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GUN_with_coordinates (1).xls" sheetId="1" r:id="rId4"/>
  </sheets>
  <definedNames>
    <definedName name="MY_FUNCTION1">LAMBDA(IF(ABS('OGUN_with_coordinates (1).xls'!$Y$2-'OGUN_with_coordinates (1).xls'!$Z$2)&lt;0.01, "Neighbor", ""))</definedName>
  </definedNames>
  <calcPr/>
</workbook>
</file>

<file path=xl/sharedStrings.xml><?xml version="1.0" encoding="utf-8"?>
<sst xmlns="http://schemas.openxmlformats.org/spreadsheetml/2006/main" count="32588" uniqueCount="16529">
  <si>
    <t>State</t>
  </si>
  <si>
    <t>LGA</t>
  </si>
  <si>
    <t>Ward</t>
  </si>
  <si>
    <t>PU-Code</t>
  </si>
  <si>
    <t>PU-Name</t>
  </si>
  <si>
    <t>Accredited_Voters</t>
  </si>
  <si>
    <t>Registered_Voters</t>
  </si>
  <si>
    <t>Results_Found</t>
  </si>
  <si>
    <t>Transcription_Count</t>
  </si>
  <si>
    <t>Result_Sheet_Stamped</t>
  </si>
  <si>
    <t>Result_Sheet_Corrected</t>
  </si>
  <si>
    <t>Result_Sheet_Invalid</t>
  </si>
  <si>
    <t>Result_Sheet_Unclear</t>
  </si>
  <si>
    <t>Result_Sheet_Unsigned</t>
  </si>
  <si>
    <t>APC</t>
  </si>
  <si>
    <t>LP</t>
  </si>
  <si>
    <t>PDP</t>
  </si>
  <si>
    <t>NNPP</t>
  </si>
  <si>
    <t>Results_File</t>
  </si>
  <si>
    <t>Location</t>
  </si>
  <si>
    <t>Latitude</t>
  </si>
  <si>
    <t>Longitude</t>
  </si>
  <si>
    <t>Nearby Units</t>
  </si>
  <si>
    <t>Mean&amp;SD For PU</t>
  </si>
  <si>
    <t>Outlier Score APC</t>
  </si>
  <si>
    <t>Outlier Score LP</t>
  </si>
  <si>
    <t>Outlier Score PDP</t>
  </si>
  <si>
    <t>Outlier Score NNPP</t>
  </si>
  <si>
    <t>Ogun State, Nigeria</t>
  </si>
  <si>
    <t>ABEOKUTA NORTH</t>
  </si>
  <si>
    <t>IKEREKU</t>
  </si>
  <si>
    <t>27-01-01-001</t>
  </si>
  <si>
    <t>O.U.S PRIMARY SCHOOL IKEREKU I</t>
  </si>
  <si>
    <t>Not Signed</t>
  </si>
  <si>
    <t>https://docs.inecelectionresults.net/elections_prod/1292/state/1/lga/3666/ward/23950/pu/90795/90795-1677482042.pdf</t>
  </si>
  <si>
    <t>O.U.S PRIMARY SCHOOL IKEREKU I, Polling Unit, ABEOKUTA NORTH, Ogun State, Nigeria</t>
  </si>
  <si>
    <t>Mean APC</t>
  </si>
  <si>
    <t>27-01-01-002</t>
  </si>
  <si>
    <t>O.U.S PRIMARY SCHOOL IKEREKU  II</t>
  </si>
  <si>
    <t>https://docs.inecelectionresults.net/elections_prod/1292/state/01/lga/01/ward/01/pu/002/002-1677422365.pdf</t>
  </si>
  <si>
    <t>O.U.S PRIMARY SCHOOL IKEREKU  II, Polling Unit, ABEOKUTA NORTH, Ogun State, Nigeria</t>
  </si>
  <si>
    <t>27-01-01-003</t>
  </si>
  <si>
    <t>NEAR HOLY TRINITY CHURCH I</t>
  </si>
  <si>
    <t>https://docs.inecelectionresults.net/elections_prod/1292/state/01/lga/01/ward/01/pu/003/003-1677423632.pdf</t>
  </si>
  <si>
    <t>NEAR HOLY TRINITY CHURCH I, Polling Unit, ABEOKUTA NORTH, Ogun State, Nigeria</t>
  </si>
  <si>
    <t>SD APC</t>
  </si>
  <si>
    <t>27-01-01-004</t>
  </si>
  <si>
    <t>NEAR HOLY TRINITY CHURCH II</t>
  </si>
  <si>
    <t>https://docs.inecelectionresults.net/elections_prod/1292/state/1/lga/3666/ward/23950/pu/90798/90798-1677482766.pdf</t>
  </si>
  <si>
    <t>NEAR HOLY TRINITY CHURCH II, Polling Unit, ABEOKUTA NORTH, Ogun State, Nigeria</t>
  </si>
  <si>
    <t>27-01-01-005</t>
  </si>
  <si>
    <t>NEAR ITA OGBONI IDOMAPA I</t>
  </si>
  <si>
    <t>https://docs.inecelectionresults.net/elections_prod/1292/state/1/lga/3666/ward/23950/pu/90799/90799-1677485148.pdf</t>
  </si>
  <si>
    <t>NEAR ITA OGBONI IDOMAPA I, Polling Unit, ABEOKUTA NORTH, Ogun State, Nigeria</t>
  </si>
  <si>
    <t>27-01-01-006</t>
  </si>
  <si>
    <t>NEAR ITA OGBONI IDOMAPA II</t>
  </si>
  <si>
    <t>https://docs.inecelectionresults.net/elections_prod/1292/state/01/lga/01/ward/01/pu/006/006-1677386762.pdf</t>
  </si>
  <si>
    <t>NEAR ITA OGBONI IDOMAPA II, Polling Unit, ABEOKUTA NORTH, Ogun State, Nigeria</t>
  </si>
  <si>
    <t>Mean LP</t>
  </si>
  <si>
    <t>27-01-01-007</t>
  </si>
  <si>
    <t>OJUDE AGBURIN</t>
  </si>
  <si>
    <t>https://docs.inecelectionresults.net/elections_prod/1292/state/1/lga/3666/ward/23950/pu/90801/90801-1677482845.pdf</t>
  </si>
  <si>
    <t>OJUDE AGBURIN, Polling Unit, ABEOKUTA NORTH, Ogun State, Nigeria</t>
  </si>
  <si>
    <t>27-01-01-008</t>
  </si>
  <si>
    <t>NEAR AROWOREHIN MOSQUE II</t>
  </si>
  <si>
    <t>https://docs.inecelectionresults.net/elections_prod/1292/state/1/lga/3666/ward/23950/pu/90802/90802-1677482480.pdf</t>
  </si>
  <si>
    <t>NEAR AROWOREHIN MOSQUE II, Polling Unit, ABEOKUTA NORTH, Ogun State, Nigeria</t>
  </si>
  <si>
    <t>SD LP</t>
  </si>
  <si>
    <t>27-01-01-010</t>
  </si>
  <si>
    <t>NEAR LASODE HOUSE I</t>
  </si>
  <si>
    <t>https://docs.inecelectionresults.net/elections_prod/1292/state/1/lga/3666/ward/23950/pu/90804/90804-1677483345.pdf</t>
  </si>
  <si>
    <t>NEAR LASODE HOUSE I, Polling Unit, ABEOKUTA NORTH, Ogun State, Nigeria</t>
  </si>
  <si>
    <t>27-01-01-011</t>
  </si>
  <si>
    <t>NEAR LASODE HOUSE II</t>
  </si>
  <si>
    <t>https://docs.inecelectionresults.net/elections_prod/1292/state/1/lga/3666/ward/23950/pu/90805/90805-1677485038.pdf</t>
  </si>
  <si>
    <t>NEAR LASODE HOUSE II, Polling Unit, ABEOKUTA NORTH, Ogun State, Nigeria</t>
  </si>
  <si>
    <t>27-01-01-012</t>
  </si>
  <si>
    <t>OPEN SPACE CLOSE TO THE AJANAKU'S</t>
  </si>
  <si>
    <t>https://docs.inecelectionresults.net/elections_prod/1292/state/1/lga/3666/ward/23950/pu/90806/90806-1677483104.pdf</t>
  </si>
  <si>
    <t>OPEN SPACE CLOSE TO THE AJANAKU'S, Polling Unit, ABEOKUTA NORTH, Ogun State, Nigeria</t>
  </si>
  <si>
    <t>Mean PDP</t>
  </si>
  <si>
    <t>IKIJA</t>
  </si>
  <si>
    <t>27-01-02-003</t>
  </si>
  <si>
    <t>HOLY PROPHET ISALE OGUN  I</t>
  </si>
  <si>
    <t>https://docs.inecelectionresults.net/elections_prod/1292/state/01/lga/01/ward/02/pu/003/003-1677413954.pdf</t>
  </si>
  <si>
    <t>HOLY PROPHET ISALE OGUN  I, Polling Unit, ABEOKUTA NORTH, Ogun State, Nigeria</t>
  </si>
  <si>
    <t>27-01-02-004</t>
  </si>
  <si>
    <t>HOLY PROPHET ISALE OGUN  II</t>
  </si>
  <si>
    <t>https://docs.inecelectionresults.net/elections_prod/1292/state/01/lga/01/ward/02/pu/004/004-1677418566.pdf</t>
  </si>
  <si>
    <t>HOLY PROPHET ISALE OGUN  II, Polling Unit, ABEOKUTA NORTH, Ogun State, Nigeria</t>
  </si>
  <si>
    <t>SD PDP</t>
  </si>
  <si>
    <t>27-01-02-005</t>
  </si>
  <si>
    <t>AHMADIYA PRIMARY SCHOOL</t>
  </si>
  <si>
    <t>https://docs.inecelectionresults.net/elections_prod/1292/state/01/lga/01/ward/02/pu/005/005-1677416701.pdf</t>
  </si>
  <si>
    <t>AHMADIYA PRIMARY SCHOOL, Polling Unit, ABEOKUTA NORTH, Ogun State, Nigeria</t>
  </si>
  <si>
    <t>27-01-02-006</t>
  </si>
  <si>
    <t>OPEN SPACE AT OSUNRINDE'S HOUSE I</t>
  </si>
  <si>
    <t>https://docs.inecelectionresults.net/elections_prod/1292/state/01/lga/01/ward/02/pu/006/006-1677415262.pdf</t>
  </si>
  <si>
    <t>OPEN SPACE AT OSUNRINDE'S HOUSE I, Polling Unit, ABEOKUTA NORTH, Ogun State, Nigeria</t>
  </si>
  <si>
    <t>AGO OKO</t>
  </si>
  <si>
    <t>27-01-03-002</t>
  </si>
  <si>
    <t>SPACE AT ITAMORIN  II</t>
  </si>
  <si>
    <t>https://docs.inecelectionresults.net/elections_prod/1292/state/01/lga/01/ward/03/pu/002/002-1677418595.pdf</t>
  </si>
  <si>
    <t>SPACE AT ITAMORIN  II, Polling Unit, ABEOKUTA NORTH, Ogun State, Nigeria</t>
  </si>
  <si>
    <t>Mean NNPP</t>
  </si>
  <si>
    <t>27-01-03-003</t>
  </si>
  <si>
    <t>SPACE AT KINOSHI HOUSE  I</t>
  </si>
  <si>
    <t>https://docs.inecelectionresults.net/elections_prod/1292/state/1/lga/3666/ward/23952/pu/90816/90816-1677488467.pdf</t>
  </si>
  <si>
    <t>SPACE AT KINOSHI HOUSE  I, Polling Unit, ABEOKUTA NORTH, Ogun State, Nigeria</t>
  </si>
  <si>
    <t>27-01-03-004</t>
  </si>
  <si>
    <t>SPACE AT KINOSHI HOUSE  II</t>
  </si>
  <si>
    <t>https://docs.inecelectionresults.net/elections_prod/1292/state/01/lga/01/ward/03/pu/004/004-1677419877.pdf</t>
  </si>
  <si>
    <t>SPACE AT KINOSHI HOUSE  II, Polling Unit, ABEOKUTA NORTH, Ogun State, Nigeria</t>
  </si>
  <si>
    <t>SD NNPP</t>
  </si>
  <si>
    <t>27-01-03-005</t>
  </si>
  <si>
    <t>MUSLIM PRIMARY SCHOOL AGO-OKO  I</t>
  </si>
  <si>
    <t>https://docs.inecelectionresults.net/elections_prod/1292/state/01/lga/01/ward/03/pu/005/005-1677426742.pdf</t>
  </si>
  <si>
    <t>MUSLIM PRIMARY SCHOOL AGO-OKO  I, Polling Unit, ABEOKUTA NORTH, Ogun State, Nigeria</t>
  </si>
  <si>
    <t>27-01-03-006</t>
  </si>
  <si>
    <t>MUSLIM PRIMARY SCHOOL AGO-OKO  II</t>
  </si>
  <si>
    <t>https://docs.inecelectionresults.net/elections_prod/1292/state/01/lga/01/ward/03/pu/006/006-1677426508.pdf</t>
  </si>
  <si>
    <t>MUSLIM PRIMARY SCHOOL AGO-OKO  II, Polling Unit, ABEOKUTA NORTH, Ogun State, Nigeria</t>
  </si>
  <si>
    <t>27-01-03-007</t>
  </si>
  <si>
    <t>MUSLIM PRIMARY SCHOOL AGO-OKO  III</t>
  </si>
  <si>
    <t>https://docs.inecelectionresults.net/elections_prod/1292/state/01/lga/01/ward/03/pu/007/007-1677427527.pdf</t>
  </si>
  <si>
    <t>MUSLIM PRIMARY SCHOOL AGO-OKO  III, Polling Unit, ABEOKUTA NORTH, Ogun State, Nigeria</t>
  </si>
  <si>
    <t>27-01-03-008</t>
  </si>
  <si>
    <t>ITA BALOGUN MOSQUE  I</t>
  </si>
  <si>
    <t>https://docs.inecelectionresults.net/elections_prod/1292/state/1/lga/3666/ward/23952/pu/90821/90821-1677474659.pdf</t>
  </si>
  <si>
    <t>ITA BALOGUN MOSQUE  I, Polling Unit, ABEOKUTA NORTH, Ogun State, Nigeria</t>
  </si>
  <si>
    <t>27-01-03-009</t>
  </si>
  <si>
    <t>ITA BALOGUN MOSQUE  II</t>
  </si>
  <si>
    <t>https://docs.inecelectionresults.net/elections_prod/1292/state/01/lga/01/ward/03/pu/009/009-1677428165.pdf</t>
  </si>
  <si>
    <t>ITA BALOGUN MOSQUE  II, Polling Unit, ABEOKUTA NORTH, Ogun State, Nigeria</t>
  </si>
  <si>
    <t>27-01-03-010</t>
  </si>
  <si>
    <t>ITA BALOGUN MOSQUE  III</t>
  </si>
  <si>
    <t>https://docs.inecelectionresults.net/elections_prod/1292/state/1/lga/3666/ward/23952/pu/90823/90823-1677474207.pdf</t>
  </si>
  <si>
    <t>ITA BALOGUN MOSQUE  III, Polling Unit, ABEOKUTA NORTH, Ogun State, Nigeria</t>
  </si>
  <si>
    <t>27-01-03-011</t>
  </si>
  <si>
    <t>ARAROMI MOSQUE</t>
  </si>
  <si>
    <t>https://docs.inecelectionresults.net/elections_prod/1292/state/01/lga/01/ward/03/pu/011/011-1677418158.pdf</t>
  </si>
  <si>
    <t>ARAROMI MOSQUE, Polling Unit, ABEOKUTA NORTH, Ogun State, Nigeria</t>
  </si>
  <si>
    <t>ELEGA</t>
  </si>
  <si>
    <t>27-01-04-001</t>
  </si>
  <si>
    <t>MUSLIM PRIMARY SCHOOL ELEGA  I</t>
  </si>
  <si>
    <t>https://docs.inecelectionresults.net/elections_prod/1292/state/01/lga/01/ward/04/pu/001/001-1677403152.pdf</t>
  </si>
  <si>
    <t>MUSLIM PRIMARY SCHOOL ELEGA  I, Polling Unit, ABEOKUTA NORTH, Ogun State, Nigeria</t>
  </si>
  <si>
    <t>27-01-04-002</t>
  </si>
  <si>
    <t>MUSLIM PRIMARY SCHOOL ELEGA  II</t>
  </si>
  <si>
    <t>https://docs.inecelectionresults.net/elections_prod/1292/state/01/lga/01/ward/04/pu/002/002-1677405596.pdf</t>
  </si>
  <si>
    <t>MUSLIM PRIMARY SCHOOL ELEGA  II, Polling Unit, ABEOKUTA NORTH, Ogun State, Nigeria</t>
  </si>
  <si>
    <t>27-01-04-003</t>
  </si>
  <si>
    <t>MUSLIM PRIMARY SCHOOL ELEGA  III</t>
  </si>
  <si>
    <t>https://docs.inecelectionresults.net/elections_prod/1292/state/01/lga/01/ward/04/pu/003/003-1677408369.pdf</t>
  </si>
  <si>
    <t>MUSLIM PRIMARY SCHOOL ELEGA  III, Polling Unit, ABEOKUTA NORTH, Ogun State, Nigeria</t>
  </si>
  <si>
    <t>27-01-04-004</t>
  </si>
  <si>
    <t>MUSLIM PRIMARY SCHOOL ELEGA  IV</t>
  </si>
  <si>
    <t>https://docs.inecelectionresults.net/elections_prod/1292/state/01/lga/01/ward/04/pu/004/004-1677409465.pdf</t>
  </si>
  <si>
    <t>MUSLIM PRIMARY SCHOOL ELEGA  IV, Polling Unit, ABEOKUTA NORTH, Ogun State, Nigeria</t>
  </si>
  <si>
    <t>27-01-04-005</t>
  </si>
  <si>
    <t>ILUGUN HIGH SCHOOL  I</t>
  </si>
  <si>
    <t>https://docs.inecelectionresults.net/elections_prod/1292/state/01/lga/01/ward/04/pu/005/005-1677410283.pdf</t>
  </si>
  <si>
    <t>ILUGUN HIGH SCHOOL  I, Polling Unit, ABEOKUTA NORTH, Ogun State, Nigeria</t>
  </si>
  <si>
    <t>27-01-04-006</t>
  </si>
  <si>
    <t>ILUGUN HIGH SCHOOL  II</t>
  </si>
  <si>
    <t>https://docs.inecelectionresults.net/elections_prod/1292/state/01/lga/01/ward/04/pu/006/006-1677411479.pdf</t>
  </si>
  <si>
    <t>ILUGUN HIGH SCHOOL  II, Polling Unit, ABEOKUTA NORTH, Ogun State, Nigeria</t>
  </si>
  <si>
    <t>27-01-04-007</t>
  </si>
  <si>
    <t>ILUGUN HIGH SCHOOL  III</t>
  </si>
  <si>
    <t>https://docs.inecelectionresults.net/elections_prod/1292/state/01/lga/01/ward/04/pu/007/007-1677419459.pdf</t>
  </si>
  <si>
    <t>ILUGUN HIGH SCHOOL  III, Polling Unit, ABEOKUTA NORTH, Ogun State, Nigeria</t>
  </si>
  <si>
    <t>27-01-04-008</t>
  </si>
  <si>
    <t>SPACE AT LEPER COLONY  I</t>
  </si>
  <si>
    <t>https://docs.inecelectionresults.net/elections_prod/1292/state/01/lga/01/ward/04/pu/008/008-1677421508.pdf</t>
  </si>
  <si>
    <t>SPACE AT LEPER COLONY  I, Polling Unit, ABEOKUTA NORTH, Ogun State, Nigeria</t>
  </si>
  <si>
    <t>27-01-04-009</t>
  </si>
  <si>
    <t>SPACE AT LEPER COLONY  II</t>
  </si>
  <si>
    <t>https://docs.inecelectionresults.net/elections_prod/1292/state/01/lga/01/ward/04/pu/009/009-1677422853.pdf</t>
  </si>
  <si>
    <t>SPACE AT LEPER COLONY  II, Polling Unit, ABEOKUTA NORTH, Ogun State, Nigeria</t>
  </si>
  <si>
    <t>ILUGUN/IBEREKODO</t>
  </si>
  <si>
    <t>27-01-05-001</t>
  </si>
  <si>
    <t>ANLG SCHOOL ILUGUN ASALU  I</t>
  </si>
  <si>
    <t>https://docs.inecelectionresults.net/elections_prod/1292/state/01/lga/01/ward/05/pu/001/001-1677425743.pdf</t>
  </si>
  <si>
    <t>ANLG SCHOOL ILUGUN ASALU  I, Polling Unit, ABEOKUTA NORTH, Ogun State, Nigeria</t>
  </si>
  <si>
    <t>27-01-05-002</t>
  </si>
  <si>
    <t>ANLG SCHOOL ILUGUN ASALU  II</t>
  </si>
  <si>
    <t>https://docs.inecelectionresults.net/elections_prod/1292/state/1/lga/3666/ward/23954/pu/90836/90836-1677481404.pdf</t>
  </si>
  <si>
    <t>ANLG SCHOOL ILUGUN ASALU  II, Polling Unit, ABEOKUTA NORTH, Ogun State, Nigeria</t>
  </si>
  <si>
    <t>27-01-05-003</t>
  </si>
  <si>
    <t>ANLG SCHOOL ILUGUN ASALU  III</t>
  </si>
  <si>
    <t>https://docs.inecelectionresults.net/elections_prod/1292/state/1/lga/3666/ward/23954/pu/90837/90837-1677488655.pdf</t>
  </si>
  <si>
    <t>ANLG SCHOOL ILUGUN ASALU  III, Polling Unit, ABEOKUTA NORTH, Ogun State, Nigeria</t>
  </si>
  <si>
    <t>27-01-05-004</t>
  </si>
  <si>
    <t>NEAR GBEMISOLA'S HOUSE   I</t>
  </si>
  <si>
    <t>https://docs.inecelectionresults.net/elections_prod/1292/state/01/lga/01/ward/05/pu/004/004-1677420481.pdf</t>
  </si>
  <si>
    <t>NEAR GBEMISOLA'S HOUSE   I, Polling Unit, ABEOKUTA NORTH, Ogun State, Nigeria</t>
  </si>
  <si>
    <t>27-01-05-005</t>
  </si>
  <si>
    <t>NEAR GBEMISOLA'S HOUSE   II</t>
  </si>
  <si>
    <t>https://docs.inecelectionresults.net/elections_prod/1292/state/01/lga/01/ward/05/pu/005/005-1677423544.pdf</t>
  </si>
  <si>
    <t>NEAR GBEMISOLA'S HOUSE   II, Polling Unit, ABEOKUTA NORTH, Ogun State, Nigeria</t>
  </si>
  <si>
    <t>27-01-05-006</t>
  </si>
  <si>
    <t>ILE EJA  I</t>
  </si>
  <si>
    <t>https://docs.inecelectionresults.net/elections_prod/1292/state/1/lga/3666/ward/23954/pu/90840/90840-1677488285.pdf</t>
  </si>
  <si>
    <t>ILE EJA  I, Polling Unit, ABEOKUTA NORTH, Ogun State, Nigeria</t>
  </si>
  <si>
    <t>27-01-05-007</t>
  </si>
  <si>
    <t>ILE EJA  II</t>
  </si>
  <si>
    <t>https://docs.inecelectionresults.net/elections_prod/1292/state/01/lga/01/ward/05/pu/007/007-1677420993.pdf</t>
  </si>
  <si>
    <t>ILE EJA  II, Polling Unit, ABEOKUTA NORTH, Ogun State, Nigeria</t>
  </si>
  <si>
    <t>27-01-05-008</t>
  </si>
  <si>
    <t>ISOTAKUN MOSQUE, IBEREKODO</t>
  </si>
  <si>
    <t>https://docs.inecelectionresults.net/elections_prod/1292/state/01/lga/01/ward/05/pu/008/008-1677427608.pdf</t>
  </si>
  <si>
    <t>ISOTAKUN MOSQUE, IBEREKODO, Polling Unit, ABEOKUTA NORTH, Ogun State, Nigeria</t>
  </si>
  <si>
    <t>27-01-05-009</t>
  </si>
  <si>
    <t>BOOTH OPP. THE ISOLA'S (CLOSE TO EJIALAMALA)</t>
  </si>
  <si>
    <t>https://docs.inecelectionresults.net/elections_prod/1292/state/01/lga/01/ward/05/pu/009/009-1677419528.pdf</t>
  </si>
  <si>
    <t>BOOTH OPP. THE ISOLA'S (CLOSE TO EJIALAMALA), Polling Unit, ABEOKUTA NORTH, Ogun State, Nigeria</t>
  </si>
  <si>
    <t>27-01-05-010</t>
  </si>
  <si>
    <t>NEAR CHIEF TAIRU'S HOUSE  I</t>
  </si>
  <si>
    <t>https://docs.inecelectionresults.net/elections_prod/1292/state/01/lga/01/ward/05/pu/010/010-1677428528.pdf</t>
  </si>
  <si>
    <t>NEAR CHIEF TAIRU'S HOUSE  I, Polling Unit, ABEOKUTA NORTH, Ogun State, Nigeria</t>
  </si>
  <si>
    <t>27-01-05-011</t>
  </si>
  <si>
    <t>NEAR CHIEF TAIRU'S HOUSE  II</t>
  </si>
  <si>
    <t>https://docs.inecelectionresults.net/elections_prod/1292/state/01/lga/01/ward/05/pu/011/011-1677421924.pdf</t>
  </si>
  <si>
    <t>NEAR CHIEF TAIRU'S HOUSE  II, Polling Unit, ABEOKUTA NORTH, Ogun State, Nigeria</t>
  </si>
  <si>
    <t>27-01-05-012</t>
  </si>
  <si>
    <t>AYO BUS STOP ALONG OKE-ONA ROAD</t>
  </si>
  <si>
    <t>https://docs.inecelectionresults.net/elections_prod/1292/state/01/lga/01/ward/05/pu/012/012-1677422656.pdf</t>
  </si>
  <si>
    <t>AYO BUS STOP ALONG OKE-ONA ROAD, Polling Unit, ABEOKUTA NORTH, Ogun State, Nigeria</t>
  </si>
  <si>
    <t>27-01-05-013</t>
  </si>
  <si>
    <t>O.U.S. SCHOOL IKIJA  I</t>
  </si>
  <si>
    <t>https://docs.inecelectionresults.net/elections_prod/1292/state/01/lga/01/ward/05/pu/013/013-1677426922.pdf</t>
  </si>
  <si>
    <t>O.U.S. SCHOOL IKIJA  I, Polling Unit, ABEOKUTA NORTH, Ogun State, Nigeria</t>
  </si>
  <si>
    <t>27-01-05-014</t>
  </si>
  <si>
    <t>O.U.S. SCHOOL IKIJA  II</t>
  </si>
  <si>
    <t>https://docs.inecelectionresults.net/elections_prod/1292/state/1/lga/3666/ward/23954/pu/90848/90848-1677489091.pdf</t>
  </si>
  <si>
    <t>O.U.S. SCHOOL IKIJA  II, Polling Unit, ABEOKUTA NORTH, Ogun State, Nigeria</t>
  </si>
  <si>
    <t>27-01-05-015</t>
  </si>
  <si>
    <t>ANLG SCHOOL AKOMOJE I</t>
  </si>
  <si>
    <t>https://docs.inecelectionresults.net/elections_prod/1292/state/01/lga/01/ward/05/pu/015/015-1677418613.pdf</t>
  </si>
  <si>
    <t>ANLG SCHOOL AKOMOJE I, Polling Unit, ABEOKUTA NORTH, Ogun State, Nigeria</t>
  </si>
  <si>
    <t>27-01-05-016</t>
  </si>
  <si>
    <t>ANLG SCHOOL AKOMOJE II</t>
  </si>
  <si>
    <t>https://docs.inecelectionresults.net/elections_prod/1292/state/01/lga/01/ward/05/pu/016/016-1677428056.pdf</t>
  </si>
  <si>
    <t>ANLG SCHOOL AKOMOJE II, Polling Unit, ABEOKUTA NORTH, Ogun State, Nigeria</t>
  </si>
  <si>
    <t>27-01-05-017</t>
  </si>
  <si>
    <t>EBENEZER GRAMMAR SCHOOL</t>
  </si>
  <si>
    <t>https://docs.inecelectionresults.net/elections_prod/1292/state/1/lga/3666/ward/23954/pu/90851/90851-1677489352.pdf</t>
  </si>
  <si>
    <t>EBENEZER GRAMMAR SCHOOL, Polling Unit, ABEOKUTA NORTH, Ogun State, Nigeria</t>
  </si>
  <si>
    <t>27-01-05-018</t>
  </si>
  <si>
    <t>FRONT OF ATAMBALA'S HOUSE</t>
  </si>
  <si>
    <t>https://docs.inecelectionresults.net/elections_prod/1292/state/01/lga/01/ward/05/pu/018/018-1677417134.pdf</t>
  </si>
  <si>
    <t>FRONT OF ATAMBALA'S HOUSE, Polling Unit, ABEOKUTA NORTH, Ogun State, Nigeria</t>
  </si>
  <si>
    <t>27-01-05-019</t>
  </si>
  <si>
    <t>MATERNITY CENTRE,IBEREKODO</t>
  </si>
  <si>
    <t>https://docs.inecelectionresults.net/elections_prod/1292/state/01/lga/01/ward/05/pu/019/019-1677409751.pdf</t>
  </si>
  <si>
    <t>MATERNITY CENTRE,IBEREKODO, Polling Unit, ABEOKUTA NORTH, Ogun State, Nigeria</t>
  </si>
  <si>
    <t>GBAGURA</t>
  </si>
  <si>
    <t>27-01-06-001</t>
  </si>
  <si>
    <t>SPACE AT CUSTOMARY COURT AGURA  I</t>
  </si>
  <si>
    <t>https://docs.inecelectionresults.net/elections_prod/1292/state/01/lga/01/ward/06/pu/001/001-1677420639.pdf</t>
  </si>
  <si>
    <t>SPACE AT CUSTOMARY COURT AGURA  I, Polling Unit, ABEOKUTA NORTH, Ogun State, Nigeria</t>
  </si>
  <si>
    <t>27-01-06-002</t>
  </si>
  <si>
    <t>SPACE AT CUSTOMARY COURT AGURA  II</t>
  </si>
  <si>
    <t>https://docs.inecelectionresults.net/elections_prod/1292/state/01/lga/01/ward/06/pu/002/002-1677421496.pdf</t>
  </si>
  <si>
    <t>SPACE AT CUSTOMARY COURT AGURA  II, Polling Unit, ABEOKUTA NORTH, Ogun State, Nigeria</t>
  </si>
  <si>
    <t>27-01-06-004</t>
  </si>
  <si>
    <t>A.U.D. KEMTA ILAWO  II</t>
  </si>
  <si>
    <t>https://docs.inecelectionresults.net/elections_prod/1292/state/01/lga/01/ward/06/pu/004/004-1677422579.pdf</t>
  </si>
  <si>
    <t>A.U.D. KEMTA ILAWO  II, Polling Unit, ABEOKUTA NORTH, Ogun State, Nigeria</t>
  </si>
  <si>
    <t>27-01-06-005</t>
  </si>
  <si>
    <t>NEAR ASUNARA MOSQUE  I</t>
  </si>
  <si>
    <t>https://docs.inecelectionresults.net/elections_prod/1292/state/01/lga/01/ward/06/pu/005/005-1677423938.pdf</t>
  </si>
  <si>
    <t>NEAR ASUNARA MOSQUE  I, Polling Unit, ABEOKUTA NORTH, Ogun State, Nigeria</t>
  </si>
  <si>
    <t>27-01-06-006</t>
  </si>
  <si>
    <t>NEAR ASUNARA MOSQUE  II</t>
  </si>
  <si>
    <t>https://docs.inecelectionresults.net/elections_prod/1292/state/01/lga/01/ward/06/pu/006/006-1677425161.pdf</t>
  </si>
  <si>
    <t>NEAR ASUNARA MOSQUE  II, Polling Unit, ABEOKUTA NORTH, Ogun State, Nigeria</t>
  </si>
  <si>
    <t>27-01-06-007</t>
  </si>
  <si>
    <t>SPACE AT OJU ODUMAKA</t>
  </si>
  <si>
    <t>https://docs.inecelectionresults.net/elections_prod/1292/state/01/lga/01/ward/06/pu/007/007-1677426063.pdf</t>
  </si>
  <si>
    <t>SPACE AT OJU ODUMAKA, Polling Unit, ABEOKUTA NORTH, Ogun State, Nigeria</t>
  </si>
  <si>
    <t>27-01-06-008</t>
  </si>
  <si>
    <t>27-01-06-009</t>
  </si>
  <si>
    <t>HOLY TRINITY OJESIMI</t>
  </si>
  <si>
    <t>https://docs.inecelectionresults.net/elections_prod/1292/state/01/lga/01/ward/06/pu/009/009-1677427595.pdf</t>
  </si>
  <si>
    <t>HOLY TRINITY OJESIMI, Polling Unit, ABEOKUTA NORTH, Ogun State, Nigeria</t>
  </si>
  <si>
    <t>27-01-06-011</t>
  </si>
  <si>
    <t>OPEN SPACE NEAR BOBAGUNWA'S HOUSE</t>
  </si>
  <si>
    <t>https://docs.inecelectionresults.net/elections_prod/1292/state/01/lga/01/ward/06/pu/010/010-1677428433.pdf</t>
  </si>
  <si>
    <t>OPEN SPACE NEAR BOBAGUNWA'S HOUSE, Polling Unit, ABEOKUTA NORTH, Ogun State, Nigeria</t>
  </si>
  <si>
    <t>IKA</t>
  </si>
  <si>
    <t>27-01-07-001</t>
  </si>
  <si>
    <t>NEAR OLD SLAUGHTER'S SLAB  I</t>
  </si>
  <si>
    <t>https://docs.inecelectionresults.net/elections_prod/1292/state/01/lga/01/ward/07/pu/001/001-1677415555.pdf</t>
  </si>
  <si>
    <t>NEAR OLD SLAUGHTER'S SLAB  I, Polling Unit, ABEOKUTA NORTH, Ogun State, Nigeria</t>
  </si>
  <si>
    <t>27-01-07-002</t>
  </si>
  <si>
    <t>APATA MOSQUE IJAYE OBIRINTI</t>
  </si>
  <si>
    <t>https://docs.inecelectionresults.net/elections_prod/1292/state/01/lga/01/ward/07/pu/002/002-1677416868.pdf</t>
  </si>
  <si>
    <t>APATA MOSQUE IJAYE OBIRINTI, Polling Unit, ABEOKUTA NORTH, Ogun State, Nigeria</t>
  </si>
  <si>
    <t>27-01-07-003</t>
  </si>
  <si>
    <t>UNITY HIGH SCHOOL AGO-IKA  I</t>
  </si>
  <si>
    <t>https://docs.inecelectionresults.net/elections_prod/1292/state/01/lga/01/ward/07/pu/003/003-1677410456.pdf</t>
  </si>
  <si>
    <t>UNITY HIGH SCHOOL AGO-IKA  I, Polling Unit, ABEOKUTA NORTH, Ogun State, Nigeria</t>
  </si>
  <si>
    <t>27-01-07-004</t>
  </si>
  <si>
    <t>UNITY HIGH SCHOOL AGO-IKA  II</t>
  </si>
  <si>
    <t>https://docs.inecelectionresults.net/elections_prod/1292/state/01/lga/01/ward/07/pu/004/004-1677419377.pdf</t>
  </si>
  <si>
    <t>UNITY HIGH SCHOOL AGO-IKA  II, Polling Unit, ABEOKUTA NORTH, Ogun State, Nigeria</t>
  </si>
  <si>
    <t>27-01-07-005</t>
  </si>
  <si>
    <t>SPACE AT AGO-IKA JUNCTION  I</t>
  </si>
  <si>
    <t>https://docs.inecelectionresults.net/elections_prod/1292/state/01/lga/01/ward/07/pu/005/005-1677420847.pdf</t>
  </si>
  <si>
    <t>SPACE AT AGO-IKA JUNCTION  I, Polling Unit, ABEOKUTA NORTH, Ogun State, Nigeria</t>
  </si>
  <si>
    <t>27-01-07-007</t>
  </si>
  <si>
    <t>NEAR ITA NLA MOSQUE IJAYE KUKUDI   I</t>
  </si>
  <si>
    <t>https://docs.inecelectionresults.net/elections_prod/1292/state/01/lga/01/ward/07/pu/007/007-1677413503.pdf</t>
  </si>
  <si>
    <t>NEAR ITA NLA MOSQUE IJAYE KUKUDI   I, Polling Unit, ABEOKUTA NORTH, Ogun State, Nigeria</t>
  </si>
  <si>
    <t>27-01-07-008</t>
  </si>
  <si>
    <t>NEAR ITA NLA MOSQUE IJAYE KUKUDI   II</t>
  </si>
  <si>
    <t>https://docs.inecelectionresults.net/elections_prod/1292/state/01/lga/01/ward/07/pu/008/008-1677416699.pdf</t>
  </si>
  <si>
    <t>NEAR ITA NLA MOSQUE IJAYE KUKUDI   II, Polling Unit, ABEOKUTA NORTH, Ogun State, Nigeria</t>
  </si>
  <si>
    <t>27-01-07-010</t>
  </si>
  <si>
    <t>ALASALATU PRIMARY SCHOOL</t>
  </si>
  <si>
    <t>https://docs.inecelectionresults.net/elections_prod/1292/state/01/lga/01/ward/07/pu/010/010-1677421901.pdf</t>
  </si>
  <si>
    <t>ALASALATU PRIMARY SCHOOL, Polling Unit, ABEOKUTA NORTH, Ogun State, Nigeria</t>
  </si>
  <si>
    <t>27-01-07-011</t>
  </si>
  <si>
    <t>OPPOSITE ODOLE'S COMP, AGO IKA</t>
  </si>
  <si>
    <t>https://docs.inecelectionresults.net/elections_prod/1292/state/01/lga/01/ward/07/pu/011/011-1677412914.pdf</t>
  </si>
  <si>
    <t>OPPOSITE ODOLE'S COMP, AGO IKA, Polling Unit, ABEOKUTA NORTH, Ogun State, Nigeria</t>
  </si>
  <si>
    <t>LAFENWA</t>
  </si>
  <si>
    <t>27-01-08-001</t>
  </si>
  <si>
    <t>ST. JOHN'S SCHOOL LAFENWA   I</t>
  </si>
  <si>
    <t>https://docs.inecelectionresults.net/elections_prod/1292/state/01/lga/01/ward/08/pu/001/001-1677382717.pdf</t>
  </si>
  <si>
    <t>ST. JOHN'S SCHOOL LAFENWA   I, Polling Unit, ABEOKUTA NORTH, Ogun State, Nigeria</t>
  </si>
  <si>
    <t>27-01-08-002</t>
  </si>
  <si>
    <t>ST. JOHN'S SCHOOL LAFENWA   II</t>
  </si>
  <si>
    <t>https://docs.inecelectionresults.net/elections_prod/1292/state/01/lga/01/ward/08/pu/002/002-1677383148.pdf</t>
  </si>
  <si>
    <t>ST. JOHN'S SCHOOL LAFENWA   II, Polling Unit, ABEOKUTA NORTH, Ogun State, Nigeria</t>
  </si>
  <si>
    <t>27-01-08-003</t>
  </si>
  <si>
    <t>APOSTOLIC CHURCH AFUNTA I</t>
  </si>
  <si>
    <t>https://docs.inecelectionresults.net/elections_prod/1292/state/01/lga/01/ward/08/pu/003/003-1677383982.pdf</t>
  </si>
  <si>
    <t>APOSTOLIC CHURCH AFUNTA I, Polling Unit, ABEOKUTA NORTH, Ogun State, Nigeria</t>
  </si>
  <si>
    <t>27-01-08-004</t>
  </si>
  <si>
    <t>APOSTOLIC CHURCH AFUNTA II</t>
  </si>
  <si>
    <t>https://docs.inecelectionresults.net/elections_prod/1292/state/01/lga/01/ward/08/pu/004/004-1677393842.pdf</t>
  </si>
  <si>
    <t>APOSTOLIC CHURCH AFUNTA II, Polling Unit, ABEOKUTA NORTH, Ogun State, Nigeria</t>
  </si>
  <si>
    <t>27-01-08-005</t>
  </si>
  <si>
    <t>NEAR YUSUFU'S HOUSE I</t>
  </si>
  <si>
    <t>https://docs.inecelectionresults.net/elections_prod/1292/state/01/lga/01/ward/08/pu/005/005-1677385453.pdf</t>
  </si>
  <si>
    <t>NEAR YUSUFU'S HOUSE I, Polling Unit, ABEOKUTA NORTH, Ogun State, Nigeria</t>
  </si>
  <si>
    <t>27-01-08-006</t>
  </si>
  <si>
    <t>NEAR YUSUFU'S HOUSE II</t>
  </si>
  <si>
    <t>https://docs.inecelectionresults.net/elections_prod/1292/state/01/lga/01/ward/08/pu/006/006-1677386061.pdf</t>
  </si>
  <si>
    <t>NEAR YUSUFU'S HOUSE II, Polling Unit, ABEOKUTA NORTH, Ogun State, Nigeria</t>
  </si>
  <si>
    <t>27-01-08-007</t>
  </si>
  <si>
    <t>FRONT OF ALH. ADEGBENRO'S HOUSE</t>
  </si>
  <si>
    <t>https://docs.inecelectionresults.net/elections_prod/1292/state/01/lga/01/ward/08/pu/007/007-1677391541.pdf</t>
  </si>
  <si>
    <t>FRONT OF ALH. ADEGBENRO'S HOUSE, Polling Unit, ABEOKUTA NORTH, Ogun State, Nigeria</t>
  </si>
  <si>
    <t>27-01-08-008</t>
  </si>
  <si>
    <t>NEAR BAALE'S HOUSE   I</t>
  </si>
  <si>
    <t>https://docs.inecelectionresults.net/elections_prod/1292/state/01/lga/01/ward/08/pu/008/008-1677387037.pdf</t>
  </si>
  <si>
    <t>NEAR BAALE'S HOUSE   I, Polling Unit, ABEOKUTA NORTH, Ogun State, Nigeria</t>
  </si>
  <si>
    <t>27-01-08-009</t>
  </si>
  <si>
    <t>NEAR BAALE'S HOUSE   II</t>
  </si>
  <si>
    <t>https://docs.inecelectionresults.net/elections_prod/1292/state/01/lga/01/ward/08/pu/009/009-1677392596.pdf</t>
  </si>
  <si>
    <t>NEAR BAALE'S HOUSE   II, Polling Unit, ABEOKUTA NORTH, Ogun State, Nigeria</t>
  </si>
  <si>
    <t>SABO</t>
  </si>
  <si>
    <t>27-01-09-001</t>
  </si>
  <si>
    <t>LAFENWA HIGH SCHOOL   I</t>
  </si>
  <si>
    <t>https://docs.inecelectionresults.net/elections_prod/1292/state/1/lga/3666/ward/23958/pu/90885/90885-1677485589.pdf</t>
  </si>
  <si>
    <t>LAFENWA HIGH SCHOOL   I, Polling Unit, ABEOKUTA NORTH, Ogun State, Nigeria</t>
  </si>
  <si>
    <t>27-01-09-002</t>
  </si>
  <si>
    <t>LAFENWA HIGH SCHOOL   II</t>
  </si>
  <si>
    <t>https://docs.inecelectionresults.net/elections_prod/1292/state/01/lga/01/ward/09/pu/002/002-1677428415.pdf</t>
  </si>
  <si>
    <t>LAFENWA HIGH SCHOOL   II, Polling Unit, ABEOKUTA NORTH, Ogun State, Nigeria</t>
  </si>
  <si>
    <t>27-01-09-003</t>
  </si>
  <si>
    <t>LAFENWA HIGH SCHOOL   III</t>
  </si>
  <si>
    <t>https://docs.inecelectionresults.net/elections_prod/1292/state/1/lga/3666/ward/23958/pu/90887/90887-1677483599.pdf</t>
  </si>
  <si>
    <t>LAFENWA HIGH SCHOOL   III, Polling Unit, ABEOKUTA NORTH, Ogun State, Nigeria</t>
  </si>
  <si>
    <t>27-01-09-004</t>
  </si>
  <si>
    <t>OPEN SPACE IN FRONT OF MATERNITY CENTER I, SABO</t>
  </si>
  <si>
    <t>https://docs.inecelectionresults.net/elections_prod/1292/state/1/lga/3666/ward/23958/pu/90888/90888-1677482699.pdf</t>
  </si>
  <si>
    <t>OPEN SPACE IN FRONT OF MATERNITY CENTER I, SABO, Polling Unit, ABEOKUTA NORTH, Ogun State, Nigeria</t>
  </si>
  <si>
    <t>27-01-09-005</t>
  </si>
  <si>
    <t>OPEN SPACE IN FRONT OF MATERNITY CENTRE II,SABO</t>
  </si>
  <si>
    <t>https://docs.inecelectionresults.net/elections_prod/1292/state/01/lga/01/ward/09/pu/005/005-1677428076.pdf</t>
  </si>
  <si>
    <t>OPEN SPACE IN FRONT OF MATERNITY CENTRE II,SABO, Polling Unit, ABEOKUTA NORTH, Ogun State, Nigeria</t>
  </si>
  <si>
    <t>27-01-09-006</t>
  </si>
  <si>
    <t>HOLY TRINITY SABO  I</t>
  </si>
  <si>
    <t>https://inec-cvr-cache.s3.eu-west-1.amazonaws.com/cached/results/89804/result_76127_1677484737_thumb.jpg</t>
  </si>
  <si>
    <t>HOLY TRINITY SABO  I, Polling Unit, ABEOKUTA NORTH, Ogun State, Nigeria</t>
  </si>
  <si>
    <t>27-01-09-007</t>
  </si>
  <si>
    <t>HOLY TRINITY SABO  II</t>
  </si>
  <si>
    <t>https://docs.inecelectionresults.net/elections_prod/1292/state/1/lga/3666/ward/23958/pu/90891/90891-1677485299.pdf</t>
  </si>
  <si>
    <t>HOLY TRINITY SABO  II, Polling Unit, ABEOKUTA NORTH, Ogun State, Nigeria</t>
  </si>
  <si>
    <t>27-01-09-008</t>
  </si>
  <si>
    <t>BAALE' HOUSE ABULE-OKE  I</t>
  </si>
  <si>
    <t>https://docs.inecelectionresults.net/elections_prod/1292/state/1/lga/3666/ward/23958/pu/90892/90892-1677484209.pdf</t>
  </si>
  <si>
    <t>BAALE' HOUSE ABULE-OKE  I, Polling Unit, ABEOKUTA NORTH, Ogun State, Nigeria</t>
  </si>
  <si>
    <t>27-01-09-009</t>
  </si>
  <si>
    <t>BAALE' HOUSE ABULE-OKE  II</t>
  </si>
  <si>
    <t>https://docs.inecelectionresults.net/elections_prod/1292/state/1/lga/3666/ward/23958/pu/90893/90893-1677487034.pdf</t>
  </si>
  <si>
    <t>BAALE' HOUSE ABULE-OKE  II, Polling Unit, ABEOKUTA NORTH, Ogun State, Nigeria</t>
  </si>
  <si>
    <t>27-01-09-010</t>
  </si>
  <si>
    <t>OPEN SPACE AT APENA'S PAPA MARU (NEAR APENA'S HOUSE PAPA MARU)</t>
  </si>
  <si>
    <t>https://inec-cvr-cache.s3.eu-west-1.amazonaws.com/cached/results/89808/result_76131_1677493332_thumb.jpg</t>
  </si>
  <si>
    <t>OPEN SPACE AT APENA'S PAPA MARU (NEAR APENA'S HOUSE PAPA MARU), Polling Unit, ABEOKUTA NORTH, Ogun State, Nigeria</t>
  </si>
  <si>
    <t>27-01-09-013</t>
  </si>
  <si>
    <t>NEAR KORODO BLOCKS, SABO</t>
  </si>
  <si>
    <t>https://docs.inecelectionresults.net/elections_prod/1292/state/01/lga/01/ward/09/pu/013/013-1677410780.pdf</t>
  </si>
  <si>
    <t>NEAR KORODO BLOCKS, SABO, Polling Unit, ABEOKUTA NORTH, Ogun State, Nigeria</t>
  </si>
  <si>
    <t>OKE-AGO OWU</t>
  </si>
  <si>
    <t>27-01-10-002</t>
  </si>
  <si>
    <t>ANLG SCHOOL AGO-OWU   II</t>
  </si>
  <si>
    <t>https://docs.inecelectionresults.net/elections_prod/1292/state/01/lga/01/ward/10/pu/002/002-1677406786.pdf</t>
  </si>
  <si>
    <t>ANLG SCHOOL AGO-OWU   II, Polling Unit, ABEOKUTA NORTH, Ogun State, Nigeria</t>
  </si>
  <si>
    <t>27-01-10-003</t>
  </si>
  <si>
    <t>OLOWU'S PALACE  I</t>
  </si>
  <si>
    <t>https://docs.inecelectionresults.net/elections_prod/1292/state/01/lga/01/ward/10/pu/003/003-1677407495.pdf</t>
  </si>
  <si>
    <t>OLOWU'S PALACE  I, Polling Unit, ABEOKUTA NORTH, Ogun State, Nigeria</t>
  </si>
  <si>
    <t>27-01-10-005</t>
  </si>
  <si>
    <t>NEAR AGBOGUNLERI'S MOSQUE</t>
  </si>
  <si>
    <t>https://docs.inecelectionresults.net/elections_prod/1292/state/01/lga/01/ward/10/pu/005/005-1677409562.pdf</t>
  </si>
  <si>
    <t>NEAR AGBOGUNLERI'S MOSQUE, Polling Unit, ABEOKUTA NORTH, Ogun State, Nigeria</t>
  </si>
  <si>
    <t>27-01-10-006</t>
  </si>
  <si>
    <t>JEBODA'S MOSQUE</t>
  </si>
  <si>
    <t>https://docs.inecelectionresults.net/elections_prod/1292/state/01/lga/01/ward/10/pu/006/006-1677409956.pdf</t>
  </si>
  <si>
    <t>JEBODA'S MOSQUE, Polling Unit, ABEOKUTA NORTH, Ogun State, Nigeria</t>
  </si>
  <si>
    <t>27-01-10-007</t>
  </si>
  <si>
    <t>AMUKANKAN  I</t>
  </si>
  <si>
    <t>https://docs.inecelectionresults.net/elections_prod/1292/state/01/lga/01/ward/10/pu/007/007-1677411168.pdf</t>
  </si>
  <si>
    <t>AMUKANKAN  I, Polling Unit, ABEOKUTA NORTH, Ogun State, Nigeria</t>
  </si>
  <si>
    <t>27-01-10-008</t>
  </si>
  <si>
    <t>AMUKANKAN  II</t>
  </si>
  <si>
    <t>https://docs.inecelectionresults.net/elections_prod/1292/state/01/lga/01/ward/10/pu/008/008-1677417387.pdf</t>
  </si>
  <si>
    <t>AMUKANKAN  II, Polling Unit, ABEOKUTA NORTH, Ogun State, Nigeria</t>
  </si>
  <si>
    <t>27-01-10-009</t>
  </si>
  <si>
    <t>OPEN SPACE OPP. OGUNSEBI EREPAJA'S HOUSE</t>
  </si>
  <si>
    <t>https://docs.inecelectionresults.net/elections_prod/1292/state/01/lga/01/ward/10/pu/009/009-1677417902.pdf</t>
  </si>
  <si>
    <t>OPEN SPACE OPP. OGUNSEBI EREPAJA'S HOUSE, Polling Unit, ABEOKUTA NORTH, Ogun State, Nigeria</t>
  </si>
  <si>
    <t>27-01-10-010</t>
  </si>
  <si>
    <t>OPP. SPACE OPP. ORUKAN'S COMPOUND</t>
  </si>
  <si>
    <t>https://docs.inecelectionresults.net/elections_prod/1292/state/01/lga/01/ward/10/pu/010/010-1677418814.pdf</t>
  </si>
  <si>
    <t>OPP. SPACE OPP. ORUKAN'S COMPOUND, Polling Unit, ABEOKUTA NORTH, Ogun State, Nigeria</t>
  </si>
  <si>
    <t>27-01-10-011</t>
  </si>
  <si>
    <t>OPP. SPACE BEHIND EGBEYEMI'S HOUSE</t>
  </si>
  <si>
    <t>https://docs.inecelectionresults.net/elections_prod/1292/state/01/lga/01/ward/10/pu/011/011-1677420001.pdf</t>
  </si>
  <si>
    <t>OPP. SPACE BEHIND EGBEYEMI'S HOUSE, Polling Unit, ABEOKUTA NORTH, Ogun State, Nigeria</t>
  </si>
  <si>
    <t>27-01-10-012</t>
  </si>
  <si>
    <t>OLUFAKUN COMPOUND (OPEN SPACE)</t>
  </si>
  <si>
    <t>https://docs.inecelectionresults.net/elections_prod/1292/state/01/lga/01/ward/10/pu/012/012-1677420444.pdf</t>
  </si>
  <si>
    <t>OLUFAKUN COMPOUND (OPEN SPACE), Polling Unit, ABEOKUTA NORTH, Ogun State, Nigeria</t>
  </si>
  <si>
    <t>27-01-10-013</t>
  </si>
  <si>
    <t>OPEN SPACE AT LARA'S COMPOUND</t>
  </si>
  <si>
    <t>https://docs.inecelectionresults.net/elections_prod/1292/state/01/lga/01/ward/10/pu/013/013-1677420952.pdf</t>
  </si>
  <si>
    <t>OPEN SPACE AT LARA'S COMPOUND, Polling Unit, ABEOKUTA NORTH, Ogun State, Nigeria</t>
  </si>
  <si>
    <t>27-01-10-015</t>
  </si>
  <si>
    <t>FRONT OF AKINTOBI'S HOUSE</t>
  </si>
  <si>
    <t>https://docs.inecelectionresults.net/elections_prod/1292/state/01/lga/01/ward/10/pu/015/015-1677421772.pdf</t>
  </si>
  <si>
    <t>FRONT OF AKINTOBI'S HOUSE, Polling Unit, ABEOKUTA NORTH, Ogun State, Nigeria</t>
  </si>
  <si>
    <t>TOTORO/SOKORI</t>
  </si>
  <si>
    <t>27-01-11-001</t>
  </si>
  <si>
    <t>TOTORO POST OFFICE  I</t>
  </si>
  <si>
    <t>https://docs.inecelectionresults.net/elections_prod/1292/state/01/lga/01/ward/11/pu/001/001-1677426927.pdf</t>
  </si>
  <si>
    <t>TOTORO POST OFFICE  I, Polling Unit, ABEOKUTA NORTH, Ogun State, Nigeria</t>
  </si>
  <si>
    <t>27-01-11-002</t>
  </si>
  <si>
    <t>TOTORO POST OFFICE  II</t>
  </si>
  <si>
    <t>https://docs.inecelectionresults.net/elections_prod/1292/state/01/lga/01/ward/11/pu/002/002-1677410414.pdf</t>
  </si>
  <si>
    <t>TOTORO POST OFFICE  II, Polling Unit, ABEOKUTA NORTH, Ogun State, Nigeria</t>
  </si>
  <si>
    <t>27-01-11-003</t>
  </si>
  <si>
    <t>TOTORO POST OFFICE  III</t>
  </si>
  <si>
    <t>https://docs.inecelectionresults.net/elections_prod/1292/state/01/lga/01/ward/11/pu/003/003-1677428638.pdf</t>
  </si>
  <si>
    <t>TOTORO POST OFFICE  III, Polling Unit, ABEOKUTA NORTH, Ogun State, Nigeria</t>
  </si>
  <si>
    <t>27-01-11-004</t>
  </si>
  <si>
    <t>OWU BAPTIST CHURCH</t>
  </si>
  <si>
    <t>https://docs.inecelectionresults.net/elections_prod/1292/state/1/lga/3666/ward/23960/pu/90916/90916-1677477876.pdf</t>
  </si>
  <si>
    <t>OWU BAPTIST CHURCH, Polling Unit, ABEOKUTA NORTH, Ogun State, Nigeria</t>
  </si>
  <si>
    <t>27-01-11-005</t>
  </si>
  <si>
    <t>FRONT OF AFRICAN CHURCH ITA-OLORI  I</t>
  </si>
  <si>
    <t>https://docs.inecelectionresults.net/elections_prod/1292/state/01/lga/01/ward/11/pu/005/005-1677409172.pdf</t>
  </si>
  <si>
    <t>FRONT OF AFRICAN CHURCH ITA-OLORI  I, Polling Unit, ABEOKUTA NORTH, Ogun State, Nigeria</t>
  </si>
  <si>
    <t>27-01-11-006</t>
  </si>
  <si>
    <t>FRONT OF AFRICAN CHURCH ITA-OLORI  II</t>
  </si>
  <si>
    <t>https://docs.inecelectionresults.net/elections_prod/1292/state/01/lga/01/ward/11/pu/006/006-1677417814.pdf</t>
  </si>
  <si>
    <t>FRONT OF AFRICAN CHURCH ITA-OLORI  II, Polling Unit, ABEOKUTA NORTH, Ogun State, Nigeria</t>
  </si>
  <si>
    <t>27-01-11-007</t>
  </si>
  <si>
    <t>FRONT OF AFRICAN CHURCH ITA-OLORI  III</t>
  </si>
  <si>
    <t>https://docs.inecelectionresults.net/elections_prod/1292/state/01/lga/01/ward/11/pu/007/007-1677410746.pdf</t>
  </si>
  <si>
    <t>FRONT OF AFRICAN CHURCH ITA-OLORI  III, Polling Unit, ABEOKUTA NORTH, Ogun State, Nigeria</t>
  </si>
  <si>
    <t>27-01-11-010</t>
  </si>
  <si>
    <t>SOKORI MARKET SQUARE  I</t>
  </si>
  <si>
    <t>https://docs.inecelectionresults.net/elections_prod/1292/state/01/lga/01/ward/11/pu/010/010-1677360597.pdf</t>
  </si>
  <si>
    <t>SOKORI MARKET SQUARE  I, Polling Unit, ABEOKUTA NORTH, Ogun State, Nigeria</t>
  </si>
  <si>
    <t>27-01-11-011</t>
  </si>
  <si>
    <t>SOKORI MARKET SQUARE  II</t>
  </si>
  <si>
    <t>https://docs.inecelectionresults.net/elections_prod/1292/state/01/lga/01/ward/11/pu/011/011-1677427860.pdf</t>
  </si>
  <si>
    <t>SOKORI MARKET SQUARE  II, Polling Unit, ABEOKUTA NORTH, Ogun State, Nigeria</t>
  </si>
  <si>
    <t>27-01-11-012</t>
  </si>
  <si>
    <t>AFRICAN CHURCH CENTRAL PRI SCH ITA IYALODE</t>
  </si>
  <si>
    <t>https://docs.inecelectionresults.net/elections_prod/1292/state/1/lga/3666/ward/23960/pu/90924/90924-1677478481.pdf</t>
  </si>
  <si>
    <t>AFRICAN CHURCH CENTRAL PRI SCH ITA IYALODE, Polling Unit, ABEOKUTA NORTH, Ogun State, Nigeria</t>
  </si>
  <si>
    <t>27-01-11-013</t>
  </si>
  <si>
    <t>METHODIST PRIMARY SCHOOL SOKORI  I</t>
  </si>
  <si>
    <t>https://docs.inecelectionresults.net/elections_prod/1292/state/01/lga/01/ward/11/pu/013/013-1677425100.pdf</t>
  </si>
  <si>
    <t>METHODIST PRIMARY SCHOOL SOKORI  I, Polling Unit, ABEOKUTA NORTH, Ogun State, Nigeria</t>
  </si>
  <si>
    <t>27-01-11-014</t>
  </si>
  <si>
    <t>OKE-SOKORI MOSQUE</t>
  </si>
  <si>
    <t>https://docs.inecelectionresults.net/elections_prod/1292/state/1/lga/3666/ward/23960/pu/90926/90926-1677478041.pdf</t>
  </si>
  <si>
    <t>OKE-SOKORI MOSQUE, Polling Unit, ABEOKUTA NORTH, Ogun State, Nigeria</t>
  </si>
  <si>
    <t>27-01-11-016</t>
  </si>
  <si>
    <t>ASASIN'S COMPOUND  II</t>
  </si>
  <si>
    <t>https://docs.inecelectionresults.net/elections_prod/1292/state/01/lga/01/ward/11/pu/016/016-1677419310.pdf</t>
  </si>
  <si>
    <t>ASASIN'S COMPOUND  II, Polling Unit, ABEOKUTA NORTH, Ogun State, Nigeria</t>
  </si>
  <si>
    <t>27-01-11-017</t>
  </si>
  <si>
    <t>OLOKUN'S COMPOUND</t>
  </si>
  <si>
    <t>https://docs.inecelectionresults.net/elections_prod/1292/state/01/lga/01/ward/11/pu/017/017-1677360575.pdf</t>
  </si>
  <si>
    <t>OLOKUN'S COMPOUND, Polling Unit, ABEOKUTA NORTH, Ogun State, Nigeria</t>
  </si>
  <si>
    <t>27-01-11-018</t>
  </si>
  <si>
    <t>SPACE AT ORIYANRIN  I</t>
  </si>
  <si>
    <t>https://docs.inecelectionresults.net/elections_prod/1292/state/1/lga/3666/ward/23960/pu/90930/90930-1677479244.pdf</t>
  </si>
  <si>
    <t>SPACE AT ORIYANRIN  I, Polling Unit, ABEOKUTA NORTH, Ogun State, Nigeria</t>
  </si>
  <si>
    <t>27-01-11-019</t>
  </si>
  <si>
    <t>SPACE AT ORIYANRIN  II</t>
  </si>
  <si>
    <t>https://docs.inecelectionresults.net/elections_prod/1292/state/01/lga/01/ward/11/pu/019/019-1677426050.pdf</t>
  </si>
  <si>
    <t>SPACE AT ORIYANRIN  II, Polling Unit, ABEOKUTA NORTH, Ogun State, Nigeria</t>
  </si>
  <si>
    <t>27-01-11-020</t>
  </si>
  <si>
    <t>A.L.G. EBU ALAPARO</t>
  </si>
  <si>
    <t>https://docs.inecelectionresults.net/elections_prod/1292/state/01/lga/01/ward/11/pu/020/020-1677421525.pdf</t>
  </si>
  <si>
    <t>A.L.G. EBU ALAPARO, Polling Unit, ABEOKUTA NORTH, Ogun State, Nigeria</t>
  </si>
  <si>
    <t>27-01-11-021</t>
  </si>
  <si>
    <t>OLOSI'S COMPOUND  I</t>
  </si>
  <si>
    <t>https://docs.inecelectionresults.net/elections_prod/1292/state/01/lga/01/ward/11/pu/021/021-1677428307.pdf</t>
  </si>
  <si>
    <t>OLOSI'S COMPOUND  I, Polling Unit, ABEOKUTA NORTH, Ogun State, Nigeria</t>
  </si>
  <si>
    <t>27-01-11-022</t>
  </si>
  <si>
    <t>OLOSOMI'S COMPOUND</t>
  </si>
  <si>
    <t>https://docs.inecelectionresults.net/elections_prod/1292/state/01/lga/01/ward/11/pu/022/022-1677361842.pdf</t>
  </si>
  <si>
    <t>OLOSOMI'S COMPOUND, Polling Unit, ABEOKUTA NORTH, Ogun State, Nigeria</t>
  </si>
  <si>
    <t>27-01-11-023</t>
  </si>
  <si>
    <t>BUS STOP AT PEPSI</t>
  </si>
  <si>
    <t>https://docs.inecelectionresults.net/elections_prod/1292/state/1/lga/3666/ward/23960/pu/90935/90935-1677479497.pdf</t>
  </si>
  <si>
    <t>BUS STOP AT PEPSI, Polling Unit, ABEOKUTA NORTH, Ogun State, Nigeria</t>
  </si>
  <si>
    <t>27-01-11-024</t>
  </si>
  <si>
    <t>A.L.G. EBU ALA PARO</t>
  </si>
  <si>
    <t>https://docs.inecelectionresults.net/elections_prod/1292/state/01/lga/01/ward/11/pu/024/024-1677424060.pdf</t>
  </si>
  <si>
    <t>A.L.G. EBU ALA PARO, Polling Unit, ABEOKUTA NORTH, Ogun State, Nigeria</t>
  </si>
  <si>
    <t>27-01-11-025</t>
  </si>
  <si>
    <t>GATEWAY SECONDARY SCHOOL   I</t>
  </si>
  <si>
    <t>https://docs.inecelectionresults.net/elections_prod/1292/state/01/lga/01/ward/11/pu/025/025-1677427975.pdf</t>
  </si>
  <si>
    <t>GATEWAY SECONDARY SCHOOL   I, Polling Unit, ABEOKUTA NORTH, Ogun State, Nigeria</t>
  </si>
  <si>
    <t>27-01-11-026</t>
  </si>
  <si>
    <t>GATEWAY SECONDARY SCHOOL   II</t>
  </si>
  <si>
    <t>https://docs.inecelectionresults.net/elections_prod/1292/state/01/lga/01/ward/11/pu/026/026-1677423524.pdf</t>
  </si>
  <si>
    <t>GATEWAY SECONDARY SCHOOL   II, Polling Unit, ABEOKUTA NORTH, Ogun State, Nigeria</t>
  </si>
  <si>
    <t>27-01-11-027</t>
  </si>
  <si>
    <t>AKINOLUGBADE SOCIAL CENTRE</t>
  </si>
  <si>
    <t>https://docs.inecelectionresults.net/elections_prod/1292/state/01/lga/01/ward/11/pu/027/027-1677427286.pdf</t>
  </si>
  <si>
    <t>AKINOLUGBADE SOCIAL CENTRE, Polling Unit, ABEOKUTA NORTH, Ogun State, Nigeria</t>
  </si>
  <si>
    <t>ITA-OSHIN/OLOMORE</t>
  </si>
  <si>
    <t>27-01-12-001</t>
  </si>
  <si>
    <t>OLOMORE HOUSING ESTATE  I</t>
  </si>
  <si>
    <t>https://docs.inecelectionresults.net/elections_prod/1292/state/01/lga/01/ward/12/pu/001/001-1677427397.pdf</t>
  </si>
  <si>
    <t>OLOMORE HOUSING ESTATE  I, Polling Unit, ABEOKUTA NORTH, Ogun State, Nigeria</t>
  </si>
  <si>
    <t>27-01-12-002</t>
  </si>
  <si>
    <t>OLOMORE HOUSING ESTATE  II</t>
  </si>
  <si>
    <t>https://docs.inecelectionresults.net/elections_prod/1292/state/01/lga/01/ward/12/pu/002/002-1677425870.pdf</t>
  </si>
  <si>
    <t>OLOMORE HOUSING ESTATE  II, Polling Unit, ABEOKUTA NORTH, Ogun State, Nigeria</t>
  </si>
  <si>
    <t>27-01-12-003</t>
  </si>
  <si>
    <t>OLOMORE HOUSING ESTATE  III</t>
  </si>
  <si>
    <t>https://docs.inecelectionresults.net/elections_prod/1292/state/01/lga/01/ward/12/pu/003/003-1677419652.pdf</t>
  </si>
  <si>
    <t>OLOMORE HOUSING ESTATE  III, Polling Unit, ABEOKUTA NORTH, Ogun State, Nigeria</t>
  </si>
  <si>
    <t>27-01-12-004</t>
  </si>
  <si>
    <t>NEAR FRESH FISH MARKET  I</t>
  </si>
  <si>
    <t>https://docs.inecelectionresults.net/elections_prod/1292/state/01/lga/01/ward/12/pu/004/004-1677418117.pdf</t>
  </si>
  <si>
    <t>NEAR FRESH FISH MARKET  I, Polling Unit, ABEOKUTA NORTH, Ogun State, Nigeria</t>
  </si>
  <si>
    <t>27-01-12-005</t>
  </si>
  <si>
    <t>NEAR FRESH FISH MARKET  II</t>
  </si>
  <si>
    <t>https://docs.inecelectionresults.net/elections_prod/1292/state/01/lga/01/ward/12/pu/005/005-1677424538.pdf</t>
  </si>
  <si>
    <t>NEAR FRESH FISH MARKET  II, Polling Unit, ABEOKUTA NORTH, Ogun State, Nigeria</t>
  </si>
  <si>
    <t>27-01-12-006</t>
  </si>
  <si>
    <t>E.A.C. ITA OSHIN  I</t>
  </si>
  <si>
    <t>https://docs.inecelectionresults.net/elections_prod/1292/state/01/lga/01/ward/12/pu/006/006-1677416324.pdf</t>
  </si>
  <si>
    <t>E.A.C. ITA OSHIN  I, Polling Unit, ABEOKUTA NORTH, Ogun State, Nigeria</t>
  </si>
  <si>
    <t>27-01-12-007</t>
  </si>
  <si>
    <t>E.A.C. ITA OSHIN  II</t>
  </si>
  <si>
    <t>https://docs.inecelectionresults.net/elections_prod/1292/state/01/lga/01/ward/12/pu/007/007-1677422254.pdf</t>
  </si>
  <si>
    <t>E.A.C. ITA OSHIN  II, Polling Unit, ABEOKUTA NORTH, Ogun State, Nigeria</t>
  </si>
  <si>
    <t>27-01-12-008</t>
  </si>
  <si>
    <t>E.A.C. ITA OSHIN  III</t>
  </si>
  <si>
    <t>https://docs.inecelectionresults.net/elections_prod/1292/state/01/lga/01/ward/12/pu/008/008-1677420449.pdf</t>
  </si>
  <si>
    <t>E.A.C. ITA OSHIN  III, Polling Unit, ABEOKUTA NORTH, Ogun State, Nigeria</t>
  </si>
  <si>
    <t>27-01-12-010</t>
  </si>
  <si>
    <t>PSYCHIATRIC HOSPITAL  I, ITA OSHIN</t>
  </si>
  <si>
    <t>https://docs.inecelectionresults.net/elections_prod/1292/state/1/lga/3666/ward/23961/pu/90949/90949-1677477720.pdf</t>
  </si>
  <si>
    <t>PSYCHIATRIC HOSPITAL  I, ITA OSHIN, Polling Unit, ABEOKUTA NORTH, Ogun State, Nigeria</t>
  </si>
  <si>
    <t>27-01-12-011</t>
  </si>
  <si>
    <t>PSYCHIATRIC HOSPITAL  II, ITA OSHIN</t>
  </si>
  <si>
    <t>https://docs.inecelectionresults.net/elections_prod/1292/state/1/lga/3666/ward/23961/pu/90950/90950-1677478703.pdf</t>
  </si>
  <si>
    <t>PSYCHIATRIC HOSPITAL  II, ITA OSHIN, Polling Unit, ABEOKUTA NORTH, Ogun State, Nigeria</t>
  </si>
  <si>
    <t>27-01-12-012</t>
  </si>
  <si>
    <t>SURULERE OLOMORE</t>
  </si>
  <si>
    <t>https://docs.inecelectionresults.net/elections_prod/1292/state/01/lga/01/ward/12/pu/012/012-1677426623.pdf</t>
  </si>
  <si>
    <t>SURULERE OLOMORE, Polling Unit, ABEOKUTA NORTH, Ogun State, Nigeria</t>
  </si>
  <si>
    <t>OLORUNDA IJALE</t>
  </si>
  <si>
    <t>27-01-13-001</t>
  </si>
  <si>
    <t>A.U.D. IJALE PAPA  I</t>
  </si>
  <si>
    <t>https://docs.inecelectionresults.net/elections_prod/1292/state/1/lga/3666/ward/23962/pu/90952/90952-1677476215.pdf</t>
  </si>
  <si>
    <t>A.U.D. IJALE PAPA  I, Polling Unit, ABEOKUTA NORTH, Ogun State, Nigeria</t>
  </si>
  <si>
    <t>27-01-13-002</t>
  </si>
  <si>
    <t>A.U.D. IJALE PAPA  II</t>
  </si>
  <si>
    <t>https://docs.inecelectionresults.net/elections_prod/1292/state/01/lga/01/ward/13/pu/002/002-1677427416.pdf</t>
  </si>
  <si>
    <t>A.U.D. IJALE PAPA  II, Polling Unit, ABEOKUTA NORTH, Ogun State, Nigeria</t>
  </si>
  <si>
    <t>27-01-13-003</t>
  </si>
  <si>
    <t>ANLG PRIMARY SCH, IJOLE ORILE</t>
  </si>
  <si>
    <t>https://docs.inecelectionresults.net/elections_prod/1292/state/01/lga/01/ward/13/pu/003/003-1677422156.pdf</t>
  </si>
  <si>
    <t>ANLG PRIMARY SCH, IJOLE ORILE, Polling Unit, ABEOKUTA NORTH, Ogun State, Nigeria</t>
  </si>
  <si>
    <t>27-01-13-004</t>
  </si>
  <si>
    <t>SERIKI VILLAGE</t>
  </si>
  <si>
    <t>https://docs.inecelectionresults.net/elections_prod/1292/state/01/lga/01/ward/13/pu/004/004-1677423759.pdf</t>
  </si>
  <si>
    <t>SERIKI VILLAGE, Polling Unit, ABEOKUTA NORTH, Ogun State, Nigeria</t>
  </si>
  <si>
    <t>27-01-13-005</t>
  </si>
  <si>
    <t>BAPTIST PRIMARY SCHOOL TIBO  I</t>
  </si>
  <si>
    <t>https://docs.inecelectionresults.net/elections_prod/1292/state/01/lga/01/ward/13/pu/005/005-1677405129.pdf</t>
  </si>
  <si>
    <t>BAPTIST PRIMARY SCHOOL TIBO  I, Polling Unit, ABEOKUTA NORTH, Ogun State, Nigeria</t>
  </si>
  <si>
    <t>27-01-13-006</t>
  </si>
  <si>
    <t>BAPTIST PRIMARY SCHOOL TIBO  II</t>
  </si>
  <si>
    <t>https://docs.inecelectionresults.net/elections_prod/1292/state/01/lga/01/ward/13/pu/006/006-1677408249.pdf</t>
  </si>
  <si>
    <t>BAPTIST PRIMARY SCHOOL TIBO  II, Polling Unit, ABEOKUTA NORTH, Ogun State, Nigeria</t>
  </si>
  <si>
    <t>27-01-13-007</t>
  </si>
  <si>
    <t>MATERNITY CENTRE, OLORUNDA</t>
  </si>
  <si>
    <t>https://docs.inecelectionresults.net/elections_prod/1292/state/01/lga/01/ward/13/pu/007/007-1677424161.pdf</t>
  </si>
  <si>
    <t>MATERNITY CENTRE, OLORUNDA, Polling Unit, ABEOKUTA NORTH, Ogun State, Nigeria</t>
  </si>
  <si>
    <t>27-01-13-008</t>
  </si>
  <si>
    <t>BAPTIST SCHOOL OLORUNDA  II</t>
  </si>
  <si>
    <t>https://docs.inecelectionresults.net/elections_prod/1292/state/01/lga/01/ward/13/pu/008/008-1677422978.pdf</t>
  </si>
  <si>
    <t>BAPTIST SCHOOL OLORUNDA  II, Polling Unit, ABEOKUTA NORTH, Ogun State, Nigeria</t>
  </si>
  <si>
    <t>27-01-13-009</t>
  </si>
  <si>
    <t>A.L.G. BEGBINLAWO  I</t>
  </si>
  <si>
    <t>https://docs.inecelectionresults.net/elections_prod/1292/state/01/lga/01/ward/13/pu/009/009-1677426224.pdf</t>
  </si>
  <si>
    <t>A.L.G. BEGBINLAWO  I, Polling Unit, ABEOKUTA NORTH, Ogun State, Nigeria</t>
  </si>
  <si>
    <t>27-01-13-010</t>
  </si>
  <si>
    <t>A.L.G. BEGBINLAWO  II</t>
  </si>
  <si>
    <t>https://docs.inecelectionresults.net/elections_prod/1292/state/01/lga/01/ward/13/pu/010/010-1677426439.pdf</t>
  </si>
  <si>
    <t>A.L.G. BEGBINLAWO  II, Polling Unit, ABEOKUTA NORTH, Ogun State, Nigeria</t>
  </si>
  <si>
    <t>27-01-13-011</t>
  </si>
  <si>
    <t>ILOGUN ORILE VILLAGE</t>
  </si>
  <si>
    <t>https://docs.inecelectionresults.net/elections_prod/1292/state/01/lga/01/ward/13/pu/011/011-1677427290.pdf</t>
  </si>
  <si>
    <t>ILOGUN ORILE VILLAGE, Polling Unit, ABEOKUTA NORTH, Ogun State, Nigeria</t>
  </si>
  <si>
    <t>27-01-13-012</t>
  </si>
  <si>
    <t>A.N.G. IDI-ORI</t>
  </si>
  <si>
    <t>https://docs.inecelectionresults.net/elections_prod/1292/state/01/lga/01/ward/13/pu/012/012-1677425013.pdf</t>
  </si>
  <si>
    <t>A.N.G. IDI-ORI, Polling Unit, ABEOKUTA NORTH, Ogun State, Nigeria</t>
  </si>
  <si>
    <t>27-01-13-013</t>
  </si>
  <si>
    <t>R.C.M. KEESAN ORILE  I</t>
  </si>
  <si>
    <t>https://docs.inecelectionresults.net/elections_prod/1292/state/1/lga/3666/ward/23962/pu/90964/90964-1677475862.pdf</t>
  </si>
  <si>
    <t>R.C.M. KEESAN ORILE  I, Polling Unit, ABEOKUTA NORTH, Ogun State, Nigeria</t>
  </si>
  <si>
    <t>27-01-13-014</t>
  </si>
  <si>
    <t>R.C.M. KEESAN ORILE  II</t>
  </si>
  <si>
    <t>https://docs.inecelectionresults.net/elections_prod/1292/state/01/lga/01/ward/13/pu/014/014-1677424892.pdf</t>
  </si>
  <si>
    <t>R.C.M. KEESAN ORILE  II, Polling Unit, ABEOKUTA NORTH, Ogun State, Nigeria</t>
  </si>
  <si>
    <t>27-01-13-015</t>
  </si>
  <si>
    <t>A.N.G. AKILIYI</t>
  </si>
  <si>
    <t>https://docs.inecelectionresults.net/elections_prod/1292/state/01/lga/01/ward/13/pu/015/015-1677423299.pdf</t>
  </si>
  <si>
    <t>A.N.G. AKILIYI, Polling Unit, ABEOKUTA NORTH, Ogun State, Nigeria</t>
  </si>
  <si>
    <t>27-01-13-016</t>
  </si>
  <si>
    <t>AKIEGUN JUNCTION</t>
  </si>
  <si>
    <t>https://docs.inecelectionresults.net/elections_prod/1292/state/01/lga/01/ward/13/pu/016/016-1677428491.pdf</t>
  </si>
  <si>
    <t>AKIEGUN JUNCTION, Polling Unit, ABEOKUTA NORTH, Ogun State, Nigeria</t>
  </si>
  <si>
    <t>27-01-13-017</t>
  </si>
  <si>
    <t>A.L.G. SCHOOL FAPOTE</t>
  </si>
  <si>
    <t>https://docs.inecelectionresults.net/elections_prod/1292/state/01/lga/01/ward/13/pu/017/017-1677428642.pdf</t>
  </si>
  <si>
    <t>A.L.G. SCHOOL FAPOTE, Polling Unit, ABEOKUTA NORTH, Ogun State, Nigeria</t>
  </si>
  <si>
    <t>IMALA - IDIEMI</t>
  </si>
  <si>
    <t>27-01-14-001</t>
  </si>
  <si>
    <t>A.L.G. SCHOOL IMALA  I</t>
  </si>
  <si>
    <t>https://docs.inecelectionresults.net/elections_prod/1292/state/1/lga/3666/ward/23963/pu/90969/90969-1677470262.pdf</t>
  </si>
  <si>
    <t>A.L.G. SCHOOL IMALA  I, Polling Unit, ABEOKUTA NORTH, Ogun State, Nigeria</t>
  </si>
  <si>
    <t>27-01-14-002</t>
  </si>
  <si>
    <t>A.L.G. SCHOOL IMALA  II</t>
  </si>
  <si>
    <t>https://docs.inecelectionresults.net/elections_prod/1292/state/1/lga/3666/ward/23963/pu/90970/90970-1677470106.pdf</t>
  </si>
  <si>
    <t>A.L.G. SCHOOL IMALA  II, Polling Unit, ABEOKUTA NORTH, Ogun State, Nigeria</t>
  </si>
  <si>
    <t>27-01-14-003</t>
  </si>
  <si>
    <t>A.L.G. SCHOOL IMALA  III</t>
  </si>
  <si>
    <t>https://docs.inecelectionresults.net/elections_prod/1292/state/01/lga/01/ward/14/pu/003/003-1677426199.pdf</t>
  </si>
  <si>
    <t>A.L.G. SCHOOL IMALA  III, Polling Unit, ABEOKUTA NORTH, Ogun State, Nigeria</t>
  </si>
  <si>
    <t>27-01-14-004</t>
  </si>
  <si>
    <t>A.L.G. SCHOOL IMALA  IV</t>
  </si>
  <si>
    <t>https://docs.inecelectionresults.net/elections_prod/1292/state/1/lga/3666/ward/23963/pu/90972/90972-1677469858.pdf</t>
  </si>
  <si>
    <t>A.L.G. SCHOOL IMALA  IV, Polling Unit, ABEOKUTA NORTH, Ogun State, Nigeria</t>
  </si>
  <si>
    <t>27-01-14-005</t>
  </si>
  <si>
    <t>A.L.G. SCHOOL IMALA  V</t>
  </si>
  <si>
    <t>https://docs.inecelectionresults.net/elections_prod/1292/state/01/lga/01/ward/14/pu/005/005-1677427337.pdf</t>
  </si>
  <si>
    <t>A.L.G. SCHOOL IMALA  V, Polling Unit, ABEOKUTA NORTH, Ogun State, Nigeria</t>
  </si>
  <si>
    <t>27-01-14-006</t>
  </si>
  <si>
    <t>OYAN FARM SETTLEMENT  I</t>
  </si>
  <si>
    <t>https://docs.inecelectionresults.net/elections_prod/1292/state/01/lga/01/ward/14/pu/006/006-1677419268.pdf</t>
  </si>
  <si>
    <t>OYAN FARM SETTLEMENT  I, Polling Unit, ABEOKUTA NORTH, Ogun State, Nigeria</t>
  </si>
  <si>
    <t>27-01-14-007</t>
  </si>
  <si>
    <t>OYAN FARM SETTLEMENT  II</t>
  </si>
  <si>
    <t>https://docs.inecelectionresults.net/elections_prod/1292/state/01/lga/01/ward/14/pu/007/007-1677417846.pdf</t>
  </si>
  <si>
    <t>OYAN FARM SETTLEMENT  II, Polling Unit, ABEOKUTA NORTH, Ogun State, Nigeria</t>
  </si>
  <si>
    <t>27-01-14-008</t>
  </si>
  <si>
    <t>F.S.P IDI-EMI   I</t>
  </si>
  <si>
    <t>https://docs.inecelectionresults.net/elections_prod/1292/state/1/lga/3666/ward/23963/pu/90976/90976-1677469664.pdf</t>
  </si>
  <si>
    <t>F.S.P IDI-EMI   I, Polling Unit, ABEOKUTA NORTH, Ogun State, Nigeria</t>
  </si>
  <si>
    <t>27-01-14-009</t>
  </si>
  <si>
    <t>F.S.P IDI-EMI   II</t>
  </si>
  <si>
    <t>https://docs.inecelectionresults.net/elections_prod/1292/state/1/lga/3666/ward/23963/pu/90977/90977-1677469418.pdf</t>
  </si>
  <si>
    <t>F.S.P IDI-EMI   II, Polling Unit, ABEOKUTA NORTH, Ogun State, Nigeria</t>
  </si>
  <si>
    <t>27-01-14-010</t>
  </si>
  <si>
    <t>F.S.P IDI-EMI   III</t>
  </si>
  <si>
    <t>https://docs.inecelectionresults.net/elections_prod/1292/state/1/lga/3666/ward/23963/pu/90978/90978-1677469207.pdf</t>
  </si>
  <si>
    <t>F.S.P IDI-EMI   III, Polling Unit, ABEOKUTA NORTH, Ogun State, Nigeria</t>
  </si>
  <si>
    <t>27-01-14-011</t>
  </si>
  <si>
    <t>F.S.P IDI-EMI   IV</t>
  </si>
  <si>
    <t>https://docs.inecelectionresults.net/elections_prod/1292/state/1/lga/3666/ward/23963/pu/90979/90979-1677467751.pdf</t>
  </si>
  <si>
    <t>F.S.P IDI-EMI   IV, Polling Unit, ABEOKUTA NORTH, Ogun State, Nigeria</t>
  </si>
  <si>
    <t>27-01-14-012</t>
  </si>
  <si>
    <t>A.L.G. ANIGBADO</t>
  </si>
  <si>
    <t>https://docs.inecelectionresults.net/elections_prod/1292/state/1/lga/3666/ward/23963/pu/90980/90980-1677468920.pdf</t>
  </si>
  <si>
    <t>A.L.G. ANIGBADO, Polling Unit, ABEOKUTA NORTH, Ogun State, Nigeria</t>
  </si>
  <si>
    <t>27-01-14-014</t>
  </si>
  <si>
    <t>ST. MATHEW IDI-EMI  II</t>
  </si>
  <si>
    <t>https://docs.inecelectionresults.net/elections_prod/1292/state/1/lga/3666/ward/23963/pu/90982/90982-1677468347.pdf</t>
  </si>
  <si>
    <t>ST. MATHEW IDI-EMI  II, Polling Unit, ABEOKUTA NORTH, Ogun State, Nigeria</t>
  </si>
  <si>
    <t>27-01-14-015</t>
  </si>
  <si>
    <t>ST. MATHEW IDI-EMI  III</t>
  </si>
  <si>
    <t>https://docs.inecelectionresults.net/elections_prod/1292/state/01/lga/01/ward/14/pu/015/015-1677428389.pdf</t>
  </si>
  <si>
    <t>ST. MATHEW IDI-EMI  III, Polling Unit, ABEOKUTA NORTH, Ogun State, Nigeria</t>
  </si>
  <si>
    <t>27-01-14-016</t>
  </si>
  <si>
    <t>ANLG SCH, OLODO</t>
  </si>
  <si>
    <t>https://docs.inecelectionresults.net/elections_prod/1292/state/1/lga/3666/ward/23963/pu/90984/90984-1677468019.pdf</t>
  </si>
  <si>
    <t>ANLG SCH, OLODO, Polling Unit, ABEOKUTA NORTH, Ogun State, Nigeria</t>
  </si>
  <si>
    <t>27-01-14-017</t>
  </si>
  <si>
    <t>A.N.G. AKAPA  I</t>
  </si>
  <si>
    <t>https://docs.inecelectionresults.net/elections_prod/1292/state/1/lga/3666/ward/23963/pu/90985/90985-1677467345.pdf</t>
  </si>
  <si>
    <t>A.N.G. AKAPA  I, Polling Unit, ABEOKUTA NORTH, Ogun State, Nigeria</t>
  </si>
  <si>
    <t>27-01-14-018</t>
  </si>
  <si>
    <t>ANLG PRIMARY SCH, MOLOMO</t>
  </si>
  <si>
    <t>https://docs.inecelectionresults.net/elections_prod/1292/state/01/lga/01/ward/14/pu/018/018-1677426668.pdf</t>
  </si>
  <si>
    <t>ANLG PRIMARY SCH, MOLOMO, Polling Unit, ABEOKUTA NORTH, Ogun State, Nigeria</t>
  </si>
  <si>
    <t>27-01-14-019</t>
  </si>
  <si>
    <t>IPAYA  AKINTUNDE</t>
  </si>
  <si>
    <t>https://docs.inecelectionresults.net/elections_prod/1292/state/1/lga/3666/ward/23963/pu/90987/90987-1677467030.pdf</t>
  </si>
  <si>
    <t>IPAYA  AKINTUNDE, Polling Unit, ABEOKUTA NORTH, Ogun State, Nigeria</t>
  </si>
  <si>
    <t>27-01-14-020</t>
  </si>
  <si>
    <t>A.N.L.G. SCHOOL OLUKOSI</t>
  </si>
  <si>
    <t>https://docs.inecelectionresults.net/elections_prod/1292/state/1/lga/3666/ward/23963/pu/90988/90988-1677466539.pdf</t>
  </si>
  <si>
    <t>A.N.L.G. SCHOOL OLUKOSI, Polling Unit, ABEOKUTA NORTH, Ogun State, Nigeria</t>
  </si>
  <si>
    <t>27-01-14-021</t>
  </si>
  <si>
    <t>ST. PATRICK ILENIKU</t>
  </si>
  <si>
    <t>https://docs.inecelectionresults.net/elections_prod/1292/state/01/lga/01/ward/14/pu/021/021-1677418509.pdf</t>
  </si>
  <si>
    <t>ST. PATRICK ILENIKU, Polling Unit, ABEOKUTA NORTH, Ogun State, Nigeria</t>
  </si>
  <si>
    <t>27-01-14-022</t>
  </si>
  <si>
    <t>OBALAKUN  I</t>
  </si>
  <si>
    <t>https://docs.inecelectionresults.net/elections_prod/1292/state/01/lga/01/ward/14/pu/022/022-1677415817.pdf</t>
  </si>
  <si>
    <t>OBALAKUN  I, Polling Unit, ABEOKUTA NORTH, Ogun State, Nigeria</t>
  </si>
  <si>
    <t>27-01-14-023</t>
  </si>
  <si>
    <t>OBALAKUN  II</t>
  </si>
  <si>
    <t>https://docs.inecelectionresults.net/elections_prod/1292/state/1/lga/3666/ward/23963/pu/90991/90991-1677465514.pdf</t>
  </si>
  <si>
    <t>OBALAKUN  II, Polling Unit, ABEOKUTA NORTH, Ogun State, Nigeria</t>
  </si>
  <si>
    <t>ISAGA ILEWO</t>
  </si>
  <si>
    <t>27-01-15-001</t>
  </si>
  <si>
    <t>ST. PAUL-ILEWO ORILE I</t>
  </si>
  <si>
    <t>https://docs.inecelectionresults.net/elections_prod/1292/state/01/lga/01/ward/15/pu/001/001-1677413860.pdf</t>
  </si>
  <si>
    <t>ST. PAUL-ILEWO ORILE I, Polling Unit, ABEOKUTA NORTH, Ogun State, Nigeria</t>
  </si>
  <si>
    <t>27-01-15-002</t>
  </si>
  <si>
    <t>ST. PAUL-ILEWO ORILE II</t>
  </si>
  <si>
    <t>https://docs.inecelectionresults.net/elections_prod/1292/state/01/lga/01/ward/15/pu/002/002-1677423294.pdf</t>
  </si>
  <si>
    <t>ST. PAUL-ILEWO ORILE II, Polling Unit, ABEOKUTA NORTH, Ogun State, Nigeria</t>
  </si>
  <si>
    <t>27-01-15-003</t>
  </si>
  <si>
    <t>L.G. SCHOOL ABESE OGONGO</t>
  </si>
  <si>
    <t>https://docs.inecelectionresults.net/elections_prod/1292/state/01/lga/01/ward/15/pu/003/003-1677424250.pdf</t>
  </si>
  <si>
    <t>L.G. SCHOOL ABESE OGONGO, Polling Unit, ABEOKUTA NORTH, Ogun State, Nigeria</t>
  </si>
  <si>
    <t>27-01-15-004</t>
  </si>
  <si>
    <t>LOKI VILLAGE</t>
  </si>
  <si>
    <t>https://docs.inecelectionresults.net/elections_prod/1292/state/01/lga/01/ward/15/pu/004/004-1677424594.pdf</t>
  </si>
  <si>
    <t>LOKI VILLAGE, Polling Unit, ABEOKUTA NORTH, Ogun State, Nigeria</t>
  </si>
  <si>
    <t>27-01-15-005</t>
  </si>
  <si>
    <t>ANG PRIMARY SCHOOL ISAGA  I</t>
  </si>
  <si>
    <t>https://docs.inecelectionresults.net/elections_prod/1292/state/01/lga/01/ward/15/pu/005/005-1677425394.pdf</t>
  </si>
  <si>
    <t>ANG PRIMARY SCHOOL ISAGA  I, Polling Unit, ABEOKUTA NORTH, Ogun State, Nigeria</t>
  </si>
  <si>
    <t>27-01-15-006</t>
  </si>
  <si>
    <t>ANG PRIMARY SCHOOL ISAGA  II</t>
  </si>
  <si>
    <t>https://docs.inecelectionresults.net/elections_prod/1292/state/01/lga/01/ward/15/pu/006/006-1677426142.pdf</t>
  </si>
  <si>
    <t>ANG PRIMARY SCHOOL ISAGA  II, Polling Unit, ABEOKUTA NORTH, Ogun State, Nigeria</t>
  </si>
  <si>
    <t>27-01-15-007</t>
  </si>
  <si>
    <t>KOOSA VILLAGE</t>
  </si>
  <si>
    <t>https://docs.inecelectionresults.net/elections_prod/1292/state/01/lga/01/ward/15/pu/007/007-1677425963.pdf</t>
  </si>
  <si>
    <t>KOOSA VILLAGE, Polling Unit, ABEOKUTA NORTH, Ogun State, Nigeria</t>
  </si>
  <si>
    <t>27-01-15-008</t>
  </si>
  <si>
    <t>S.A.A. PRIMARY SCHOOL KUTA  I</t>
  </si>
  <si>
    <t>https://docs.inecelectionresults.net/elections_prod/1292/state/01/lga/01/ward/15/pu/008/008-1677426719.pdf</t>
  </si>
  <si>
    <t>S.A.A. PRIMARY SCHOOL KUTA  I, Polling Unit, ABEOKUTA NORTH, Ogun State, Nigeria</t>
  </si>
  <si>
    <t>27-01-15-009</t>
  </si>
  <si>
    <t>S.A.A. PRIMARY SCHOOL KUTA  II</t>
  </si>
  <si>
    <t>https://docs.inecelectionresults.net/elections_prod/1292/state/01/lga/01/ward/15/pu/009/009-1677427456.pdf</t>
  </si>
  <si>
    <t>S.A.A. PRIMARY SCHOOL KUTA  II, Polling Unit, ABEOKUTA NORTH, Ogun State, Nigeria</t>
  </si>
  <si>
    <t>27-01-15-010</t>
  </si>
  <si>
    <t>ANG. SCHOOL IKEREKU  I</t>
  </si>
  <si>
    <t>https://docs.inecelectionresults.net/elections_prod/1292/state/01/lga/01/ward/15/pu/010/010-1677427488.pdf</t>
  </si>
  <si>
    <t>ANG. SCHOOL IKEREKU  I, Polling Unit, ABEOKUTA NORTH, Ogun State, Nigeria</t>
  </si>
  <si>
    <t>27-01-15-011</t>
  </si>
  <si>
    <t>ANG. SCHOOL IKEREKU  II</t>
  </si>
  <si>
    <t>https://docs.inecelectionresults.net/elections_prod/1292/state/01/lga/01/ward/15/pu/011/011-1677428029.pdf</t>
  </si>
  <si>
    <t>ANG. SCHOOL IKEREKU  II, Polling Unit, ABEOKUTA NORTH, Ogun State, Nigeria</t>
  </si>
  <si>
    <t>27-01-15-012</t>
  </si>
  <si>
    <t>A.C. SCHOOL ATAPA IKOYI</t>
  </si>
  <si>
    <t>https://docs.inecelectionresults.net/elections_prod/1292/state/01/lga/01/ward/15/pu/012/012-1677428017.pdf</t>
  </si>
  <si>
    <t>A.C. SCHOOL ATAPA IKOYI, Polling Unit, ABEOKUTA NORTH, Ogun State, Nigeria</t>
  </si>
  <si>
    <t>27-01-15-013</t>
  </si>
  <si>
    <t>KUKUDI VILLAGE</t>
  </si>
  <si>
    <t>https://docs.inecelectionresults.net/elections_prod/1292/state/01/lga/01/ward/15/pu/013/013-1677428652.pdf</t>
  </si>
  <si>
    <t>KUKUDI VILLAGE, Polling Unit, ABEOKUTA NORTH, Ogun State, Nigeria</t>
  </si>
  <si>
    <t>27-01-15-014</t>
  </si>
  <si>
    <t>FAGBENRO VILLAGE</t>
  </si>
  <si>
    <t>https://docs.inecelectionresults.net/elections_prod/1292/state/01/lga/01/ward/15/pu/014/014-1677428568.pdf</t>
  </si>
  <si>
    <t>FAGBENRO VILLAGE, Polling Unit, ABEOKUTA NORTH, Ogun State, Nigeria</t>
  </si>
  <si>
    <t>27-01-15-015</t>
  </si>
  <si>
    <t>ALG. SCHOOL SAWGOTE</t>
  </si>
  <si>
    <t>https://docs.inecelectionresults.net/elections_prod/1292/state/1/lga/3666/ward/23964/pu/91006/91006-1677491655.pdf</t>
  </si>
  <si>
    <t>ALG. SCHOOL SAWGOTE, Polling Unit, ABEOKUTA NORTH, Ogun State, Nigeria</t>
  </si>
  <si>
    <t>27-01-15-016</t>
  </si>
  <si>
    <t>OLUWO VILLAGE</t>
  </si>
  <si>
    <t>https://docs.inecelectionresults.net/elections_prod/1292/state/1/lga/3666/ward/23964/pu/91007/91007-1677489699.pdf</t>
  </si>
  <si>
    <t>OLUWO VILLAGE, Polling Unit, ABEOKUTA NORTH, Ogun State, Nigeria</t>
  </si>
  <si>
    <t>IBARA ORILE/ONISASA</t>
  </si>
  <si>
    <t>27-01-16-001</t>
  </si>
  <si>
    <t>OKE ATA HOUSING EST  I</t>
  </si>
  <si>
    <t>https://docs.inecelectionresults.net/elections_prod/1292/state/01/lga/01/ward/16/pu/001/001-1677405825.pdf</t>
  </si>
  <si>
    <t>OKE ATA HOUSING EST  I, Polling Unit, ABEOKUTA NORTH, Ogun State, Nigeria</t>
  </si>
  <si>
    <t>27-01-16-002</t>
  </si>
  <si>
    <t>OKE ATA HOUSING EST  II</t>
  </si>
  <si>
    <t>https://docs.inecelectionresults.net/elections_prod/1292/state/01/lga/01/ward/16/pu/002/002-1677406042.pdf</t>
  </si>
  <si>
    <t>OKE ATA HOUSING EST  II, Polling Unit, ABEOKUTA NORTH, Ogun State, Nigeria</t>
  </si>
  <si>
    <t>27-01-16-003</t>
  </si>
  <si>
    <t>ST. LUKES IBARA ORILE I</t>
  </si>
  <si>
    <t>https://docs.inecelectionresults.net/elections_prod/1292/state/01/lga/01/ward/16/pu/003/003-1677407825.pdf</t>
  </si>
  <si>
    <t>ST. LUKES IBARA ORILE I, Polling Unit, ABEOKUTA NORTH, Ogun State, Nigeria</t>
  </si>
  <si>
    <t>27-01-16-004</t>
  </si>
  <si>
    <t>ST. LUKES IBARA ORILE II</t>
  </si>
  <si>
    <t>https://docs.inecelectionresults.net/elections_prod/1292/state/01/lga/01/ward/16/pu/004/004-1677406493.pdf</t>
  </si>
  <si>
    <t>ST. LUKES IBARA ORILE II, Polling Unit, ABEOKUTA NORTH, Ogun State, Nigeria</t>
  </si>
  <si>
    <t>27-01-16-005</t>
  </si>
  <si>
    <t>NEAR SURAKAT MOSQUE</t>
  </si>
  <si>
    <t>https://docs.inecelectionresults.net/elections_prod/1292/state/01/lga/01/ward/16/pu/005/005-1677407740.pdf</t>
  </si>
  <si>
    <t>NEAR SURAKAT MOSQUE, Polling Unit, ABEOKUTA NORTH, Ogun State, Nigeria</t>
  </si>
  <si>
    <t>27-01-16-006</t>
  </si>
  <si>
    <t>NEAR MAMMY MARKET ALAMALA</t>
  </si>
  <si>
    <t>https://docs.inecelectionresults.net/elections_prod/1292/state/01/lga/01/ward/16/pu/006/006-1677408528.pdf</t>
  </si>
  <si>
    <t>NEAR MAMMY MARKET ALAMALA, Polling Unit, ABEOKUTA NORTH, Ogun State, Nigeria</t>
  </si>
  <si>
    <t>27-01-16-008</t>
  </si>
  <si>
    <t>ONISASA VILLAGE</t>
  </si>
  <si>
    <t>https://docs.inecelectionresults.net/elections_prod/1292/state/01/lga/01/ward/16/pu/008/008-1677408767.pdf</t>
  </si>
  <si>
    <t>ONISASA VILLAGE, Polling Unit, ABEOKUTA NORTH, Ogun State, Nigeria</t>
  </si>
  <si>
    <t>27-01-16-009</t>
  </si>
  <si>
    <t>ST. JOHN'S SCHOOL IDI-ORI</t>
  </si>
  <si>
    <t>https://docs.inecelectionresults.net/elections_prod/1292/state/01/lga/01/ward/16/pu/009/009-1677420407.pdf</t>
  </si>
  <si>
    <t>ST. JOHN'S SCHOOL IDI-ORI, Polling Unit, ABEOKUTA NORTH, Ogun State, Nigeria</t>
  </si>
  <si>
    <t>27-01-16-010</t>
  </si>
  <si>
    <t>ILUGUN VILLAGE</t>
  </si>
  <si>
    <t>https://docs.inecelectionresults.net/elections_prod/1292/state/01/lga/01/ward/16/pu/010/010-1677410415.pdf</t>
  </si>
  <si>
    <t>ILUGUN VILLAGE, Polling Unit, ABEOKUTA NORTH, Ogun State, Nigeria</t>
  </si>
  <si>
    <t>27-01-16-011</t>
  </si>
  <si>
    <t>COMMUNITY PRI.SCH. IBARO</t>
  </si>
  <si>
    <t>https://docs.inecelectionresults.net/elections_prod/1292/state/01/lga/01/ward/16/pu/011/011-1677409479.pdf</t>
  </si>
  <si>
    <t>COMMUNITY PRI.SCH. IBARO, Polling Unit, ABEOKUTA NORTH, Ogun State, Nigeria</t>
  </si>
  <si>
    <t>27-01-16-012</t>
  </si>
  <si>
    <t>ADELEYE VILLAGE</t>
  </si>
  <si>
    <t>https://docs.inecelectionresults.net/elections_prod/1292/state/01/lga/01/ward/16/pu/012/012-1677409087.pdf</t>
  </si>
  <si>
    <t>ADELEYE VILLAGE, Polling Unit, ABEOKUTA NORTH, Ogun State, Nigeria</t>
  </si>
  <si>
    <t>27-01-16-013</t>
  </si>
  <si>
    <t>ISALE ISOLO</t>
  </si>
  <si>
    <t>https://docs.inecelectionresults.net/elections_prod/1292/state/01/lga/01/ward/16/pu/013/013-1677411347.pdf</t>
  </si>
  <si>
    <t>ISALE ISOLO, Polling Unit, ABEOKUTA NORTH, Ogun State, Nigeria</t>
  </si>
  <si>
    <t>27-01-16-014</t>
  </si>
  <si>
    <t>ISALE BAALE</t>
  </si>
  <si>
    <t>https://docs.inecelectionresults.net/elections_prod/1292/state/01/lga/01/ward/16/pu/014/014-1677411562.pdf</t>
  </si>
  <si>
    <t>ISALE BAALE, Polling Unit, ABEOKUTA NORTH, Ogun State, Nigeria</t>
  </si>
  <si>
    <t>27-01-16-015</t>
  </si>
  <si>
    <t>IDI-IGBA VILLAGE</t>
  </si>
  <si>
    <t>https://docs.inecelectionresults.net/elections_prod/1292/state/01/lga/01/ward/16/pu/015/015-1677412739.pdf</t>
  </si>
  <si>
    <t>IDI-IGBA VILLAGE, Polling Unit, ABEOKUTA NORTH, Ogun State, Nigeria</t>
  </si>
  <si>
    <t>27-01-16-016</t>
  </si>
  <si>
    <t>AFRICAN SCH. ELEFUN OSILE</t>
  </si>
  <si>
    <t>https://docs.inecelectionresults.net/elections_prod/1292/state/01/lga/01/ward/16/pu/016/016-1677412251.pdf</t>
  </si>
  <si>
    <t>AFRICAN SCH. ELEFUN OSILE, Polling Unit, ABEOKUTA NORTH, Ogun State, Nigeria</t>
  </si>
  <si>
    <t>ABEOKUTA SOUTH</t>
  </si>
  <si>
    <t>AKE  I</t>
  </si>
  <si>
    <t>27-02-01-001</t>
  </si>
  <si>
    <t>ST. PETERS SCHOOL AKE</t>
  </si>
  <si>
    <t>https://docs.inecelectionresults.net/elections_prod/1292/state/01/lga/02/ward/01/pu/001/001-1677419119.pdf</t>
  </si>
  <si>
    <t>ST. PETERS SCHOOL AKE, Polling Unit, ABEOKUTA SOUTH, Ogun State, Nigeria</t>
  </si>
  <si>
    <t>27-02-01-003</t>
  </si>
  <si>
    <t>CENTENARY HALL AKE  II</t>
  </si>
  <si>
    <t>https://docs.inecelectionresults.net/elections_prod/1292/state/01/lga/02/ward/01/pu/003/003-1677418589.pdf</t>
  </si>
  <si>
    <t>CENTENARY HALL AKE  II, Polling Unit, ABEOKUTA SOUTH, Ogun State, Nigeria</t>
  </si>
  <si>
    <t>27-02-01-005</t>
  </si>
  <si>
    <t>BUS STOP NEAR PETROL STATION, SALE-AKE I</t>
  </si>
  <si>
    <t>https://docs.inecelectionresults.net/elections_prod/1292/state/01/lga/02/ward/01/pu/005/005-1677421384.pdf</t>
  </si>
  <si>
    <t>BUS STOP NEAR PETROL STATION, SALE-AKE I, Polling Unit, ABEOKUTA SOUTH, Ogun State, Nigeria</t>
  </si>
  <si>
    <t>27-02-01-009</t>
  </si>
  <si>
    <t>OPP. OGBONI, HOUSE ERUNWON  I</t>
  </si>
  <si>
    <t>https://inec-cvr-cache.s3.eu-west-1.amazonaws.com/cached/results/89946/result_76325_1677488867_thumb.jpg</t>
  </si>
  <si>
    <t>OPP. OGBONI, HOUSE ERUNWON  I, Polling Unit, ABEOKUTA SOUTH, Ogun State, Nigeria</t>
  </si>
  <si>
    <t>27-02-01-010</t>
  </si>
  <si>
    <t>OPP. OGBONI, HOUSE ERUNWON  II</t>
  </si>
  <si>
    <t>https://docs.inecelectionresults.net/elections_prod/1292/state/01/lga/02/ward/01/pu/010/010-1677409119.pdf</t>
  </si>
  <si>
    <t>OPP. OGBONI, HOUSE ERUNWON  II, Polling Unit, ABEOKUTA SOUTH, Ogun State, Nigeria</t>
  </si>
  <si>
    <t>27-02-01-011</t>
  </si>
  <si>
    <t>INT. OSO BALOGUN HS ERUNWON</t>
  </si>
  <si>
    <t>https://docs.inecelectionresults.net/elections_prod/1292/state/01/lga/02/ward/01/pu/011/011-1677409503.pdf</t>
  </si>
  <si>
    <t>INT. OSO BALOGUN HS ERUNWON, Polling Unit, ABEOKUTA SOUTH, Ogun State, Nigeria</t>
  </si>
  <si>
    <t>27-02-01-012</t>
  </si>
  <si>
    <t>ST. PETERS CLAVER SCHOOL ITESI  I</t>
  </si>
  <si>
    <t>https://docs.inecelectionresults.net/elections_prod/1292/state/01/lga/02/ward/01/pu/012/012-1677411883.pdf</t>
  </si>
  <si>
    <t>ST. PETERS CLAVER SCHOOL ITESI  I, Polling Unit, ABEOKUTA SOUTH, Ogun State, Nigeria</t>
  </si>
  <si>
    <t>27-02-01-013</t>
  </si>
  <si>
    <t>CHRIST ANG SCHOOL IPORO-AKE  I</t>
  </si>
  <si>
    <t>https://docs.inecelectionresults.net/elections_prod/1292/state/01/lga/02/ward/01/pu/013/013-1677413928.pdf</t>
  </si>
  <si>
    <t>CHRIST ANG SCHOOL IPORO-AKE  I, Polling Unit, ABEOKUTA SOUTH, Ogun State, Nigeria</t>
  </si>
  <si>
    <t>AKE II</t>
  </si>
  <si>
    <t>27-02-02-007</t>
  </si>
  <si>
    <t>OPEN SPACE AT SINECO I</t>
  </si>
  <si>
    <t>https://docs.inecelectionresults.net/elections_prod/1292/state/01/lga/02/ward/02/pu/007/007-1677419015.pdf</t>
  </si>
  <si>
    <t>OPEN SPACE AT SINECO I, Polling Unit, ABEOKUTA SOUTH, Ogun State, Nigeria</t>
  </si>
  <si>
    <t>27-02-02-009</t>
  </si>
  <si>
    <t>NEAR C. C. C, ASERO I</t>
  </si>
  <si>
    <t>https://docs.inecelectionresults.net/elections_prod/1292/state/01/lga/02/ward/02/pu/009/009-1677415200.pdf</t>
  </si>
  <si>
    <t>NEAR C. C. C, ASERO I, Polling Unit, ABEOKUTA SOUTH, Ogun State, Nigeria</t>
  </si>
  <si>
    <t>27-02-02-010</t>
  </si>
  <si>
    <t>ASERO HIGH SCHOOL</t>
  </si>
  <si>
    <t>https://docs.inecelectionresults.net/elections_prod/1292/state/01/lga/02/ward/02/pu/010/010-1677422880.pdf</t>
  </si>
  <si>
    <t>ASERO HIGH SCHOOL, Polling Unit, ABEOKUTA SOUTH, Ogun State, Nigeria</t>
  </si>
  <si>
    <t>27-02-02-012</t>
  </si>
  <si>
    <t>BELLO BAJOMO'S HOUSE</t>
  </si>
  <si>
    <t>https://docs.inecelectionresults.net/elections_prod/1292/state/01/lga/02/ward/02/pu/012/012-1677415173.pdf</t>
  </si>
  <si>
    <t>BELLO BAJOMO'S HOUSE, Polling Unit, ABEOKUTA SOUTH, Ogun State, Nigeria</t>
  </si>
  <si>
    <t>27-02-02-014</t>
  </si>
  <si>
    <t>OPEN SPACE NEAR PARAGON N/P SCH, AREGBA</t>
  </si>
  <si>
    <t>https://docs.inecelectionresults.net/elections_prod/1292/state/01/lga/02/ward/02/pu/014/014-1677428020.pdf</t>
  </si>
  <si>
    <t>OPEN SPACE NEAR PARAGON N/P SCH, AREGBA, Polling Unit, ABEOKUTA SOUTH, Ogun State, Nigeria</t>
  </si>
  <si>
    <t>27-02-02-016</t>
  </si>
  <si>
    <t>OPEN SPACE OPP. SOMOYE'S HOUSE</t>
  </si>
  <si>
    <t>https://docs.inecelectionresults.net/elections_prod/1292/state/01/lga/02/ward/02/pu/016/016-1677414097.pdf</t>
  </si>
  <si>
    <t>OPEN SPACE OPP. SOMOYE'S HOUSE, Polling Unit, ABEOKUTA SOUTH, Ogun State, Nigeria</t>
  </si>
  <si>
    <t>AKE  III</t>
  </si>
  <si>
    <t>27-02-03-004</t>
  </si>
  <si>
    <t>METH PRIMARY SCH. ADATAN  I</t>
  </si>
  <si>
    <t>https://docs.inecelectionresults.net/elections_prod/1292/state/01/lga/02/ward/03/pu/004/004-1677394605.pdf</t>
  </si>
  <si>
    <t>METH PRIMARY SCH. ADATAN  I, Polling Unit, ABEOKUTA SOUTH, Ogun State, Nigeria</t>
  </si>
  <si>
    <t>27-02-03-006</t>
  </si>
  <si>
    <t>NEAR ODUTAYO'S COMP. ISALE ABETU</t>
  </si>
  <si>
    <t>https://docs.inecelectionresults.net/elections_prod/1292/state/01/lga/02/ward/03/pu/006/006-1677412157.pdf</t>
  </si>
  <si>
    <t>NEAR ODUTAYO'S COMP. ISALE ABETU, Polling Unit, ABEOKUTA SOUTH, Ogun State, Nigeria</t>
  </si>
  <si>
    <t>27-02-03-012</t>
  </si>
  <si>
    <t>OPEN SPACE NEAR OGUNBONA'S HS  II</t>
  </si>
  <si>
    <t>https://docs.inecelectionresults.net/elections_prod/1292/state/1/lga/3667/ward/23968/pu/91069/91069-1677501602.pdf</t>
  </si>
  <si>
    <t>OPEN SPACE NEAR OGUNBONA'S HS  II, Polling Unit, ABEOKUTA SOUTH, Ogun State, Nigeria</t>
  </si>
  <si>
    <t>KEESI/EMERE</t>
  </si>
  <si>
    <t>27-02-04-001</t>
  </si>
  <si>
    <t>ST. MARY A/C SCH. OKE-EFON I</t>
  </si>
  <si>
    <t>https://docs.inecelectionresults.net/elections_prod/1292/state/01/lga/02/ward/04/pu/001/001-1677413826.pdf</t>
  </si>
  <si>
    <t>ST. MARY A/C SCH. OKE-EFON I, Polling Unit, ABEOKUTA SOUTH, Ogun State, Nigeria</t>
  </si>
  <si>
    <t>27-02-04-002</t>
  </si>
  <si>
    <t>ST. MARY A/C SCH. OKE-EFON II</t>
  </si>
  <si>
    <t>https://docs.inecelectionresults.net/elections_prod/1292/state/01/lga/02/ward/04/pu/002/002-1677413090.pdf</t>
  </si>
  <si>
    <t>ST. MARY A/C SCH. OKE-EFON II, Polling Unit, ABEOKUTA SOUTH, Ogun State, Nigeria</t>
  </si>
  <si>
    <t>27-02-04-003</t>
  </si>
  <si>
    <t>OPEN SPACE INF OGBONI'S HS OKE-EFON I</t>
  </si>
  <si>
    <t>https://docs.inecelectionresults.net/elections_prod/1292/state/01/lga/02/ward/04/pu/003/003-1677398673.pdf</t>
  </si>
  <si>
    <t>OPEN SPACE INF OGBONI'S HS OKE-EFON I, Polling Unit, ABEOKUTA SOUTH, Ogun State, Nigeria</t>
  </si>
  <si>
    <t>27-02-04-004</t>
  </si>
  <si>
    <t>OPEN SPACE INF OGBONI'S HS OKE-EFON II</t>
  </si>
  <si>
    <t>https://docs.inecelectionresults.net/elections_prod/1292/state/01/lga/02/ward/04/pu/004/004-1677411216.pdf</t>
  </si>
  <si>
    <t>OPEN SPACE INF OGBONI'S HS OKE-EFON II, Polling Unit, ABEOKUTA SOUTH, Ogun State, Nigeria</t>
  </si>
  <si>
    <t>27-02-04-005</t>
  </si>
  <si>
    <t>OPEN SPACE NEAR CHIEF Y.M. ABUDU'S HOUSE I</t>
  </si>
  <si>
    <t>https://docs.inecelectionresults.net/elections_prod/1292/state/01/lga/02/ward/04/pu/005/005-1677409195.pdf</t>
  </si>
  <si>
    <t>OPEN SPACE NEAR CHIEF Y.M. ABUDU'S HOUSE I, Polling Unit, ABEOKUTA SOUTH, Ogun State, Nigeria</t>
  </si>
  <si>
    <t>27-02-04-006</t>
  </si>
  <si>
    <t>OPEN SPACE NEAR CHIEF Y.M. ABUDU'S HOUSE  II</t>
  </si>
  <si>
    <t>https://docs.inecelectionresults.net/elections_prod/1292/state/01/lga/02/ward/04/pu/006/006-1677399581.pdf</t>
  </si>
  <si>
    <t>OPEN SPACE NEAR CHIEF Y.M. ABUDU'S HOUSE  II, Polling Unit, ABEOKUTA SOUTH, Ogun State, Nigeria</t>
  </si>
  <si>
    <t>27-02-04-007</t>
  </si>
  <si>
    <t>EBEN BAPT. SCH. OKE-SAJE  I</t>
  </si>
  <si>
    <t>https://docs.inecelectionresults.net/elections_prod/1292/state/01/lga/02/ward/04/pu/007/007-1677398063.pdf</t>
  </si>
  <si>
    <t>EBEN BAPT. SCH. OKE-SAJE  I, Polling Unit, ABEOKUTA SOUTH, Ogun State, Nigeria</t>
  </si>
  <si>
    <t>27-02-04-008</t>
  </si>
  <si>
    <t>ST. PETERS CLAVER'S SCH. OKE-EFON  II</t>
  </si>
  <si>
    <t>https://docs.inecelectionresults.net/elections_prod/1292/state/01/lga/02/ward/04/pu/008/008-1677390746.pdf</t>
  </si>
  <si>
    <t>ST. PETERS CLAVER'S SCH. OKE-EFON  II, Polling Unit, ABEOKUTA SOUTH, Ogun State, Nigeria</t>
  </si>
  <si>
    <t>27-02-04-009</t>
  </si>
  <si>
    <t>BAPT. BOYS HIGH SCH. SAJE  I</t>
  </si>
  <si>
    <t>https://docs.inecelectionresults.net/elections_prod/1292/state/01/lga/02/ward/04/pu/009/009-1677404284.pdf</t>
  </si>
  <si>
    <t>BAPT. BOYS HIGH SCH. SAJE  I, Polling Unit, ABEOKUTA SOUTH, Ogun State, Nigeria</t>
  </si>
  <si>
    <t>27-02-04-010</t>
  </si>
  <si>
    <t>BAPT. BOYS HIGH SCH. SAJE  II</t>
  </si>
  <si>
    <t>https://docs.inecelectionresults.net/elections_prod/1292/state/01/lga/02/ward/04/pu/010/010-1677393544.pdf</t>
  </si>
  <si>
    <t>BAPT. BOYS HIGH SCH. SAJE  II, Polling Unit, ABEOKUTA SOUTH, Ogun State, Nigeria</t>
  </si>
  <si>
    <t>27-02-04-011</t>
  </si>
  <si>
    <t>27-02-04-012</t>
  </si>
  <si>
    <t>EMMANUEL ANG. PRIMARY SCH. KEESI  I</t>
  </si>
  <si>
    <t>https://docs.inecelectionresults.net/elections_prod/1292/state/01/lga/02/ward/04/pu/012/012-1677408166.pdf</t>
  </si>
  <si>
    <t>EMMANUEL ANG. PRIMARY SCH. KEESI  I, Polling Unit, ABEOKUTA SOUTH, Ogun State, Nigeria</t>
  </si>
  <si>
    <t>27-02-04-013</t>
  </si>
  <si>
    <t>OPEN SPACE AT OJULAKIJENA KEESI   I</t>
  </si>
  <si>
    <t>https://docs.inecelectionresults.net/elections_prod/1292/state/01/lga/02/ward/04/pu/013/013-1677389408.pdf</t>
  </si>
  <si>
    <t>OPEN SPACE AT OJULAKIJENA KEESI   I, Polling Unit, ABEOKUTA SOUTH, Ogun State, Nigeria</t>
  </si>
  <si>
    <t>27-02-04-015</t>
  </si>
  <si>
    <t>R.C.M. SCH. EMERE  I</t>
  </si>
  <si>
    <t>https://docs.inecelectionresults.net/elections_prod/1292/state/01/lga/02/ward/04/pu/015/015-1677413062.pdf</t>
  </si>
  <si>
    <t>R.C.M. SCH. EMERE  I, Polling Unit, ABEOKUTA SOUTH, Ogun State, Nigeria</t>
  </si>
  <si>
    <t>27-02-04-017</t>
  </si>
  <si>
    <t>OPEN SPACE AT ISOKA  II</t>
  </si>
  <si>
    <t>https://inec-cvr-cache.s3.eu-west-1.amazonaws.com/cached/results/90003/result_76423_1677490050_thumb.jpg</t>
  </si>
  <si>
    <t>OPEN SPACE AT ISOKA  II, Polling Unit, ABEOKUTA SOUTH, Ogun State, Nigeria</t>
  </si>
  <si>
    <t>27-02-04-018</t>
  </si>
  <si>
    <t>INF OF OGBONI HOUSE EMERE</t>
  </si>
  <si>
    <t>https://docs.inecelectionresults.net/elections_prod/1292/state/01/lga/02/ward/04/pu/018/018-1677405524.pdf</t>
  </si>
  <si>
    <t>INF OF OGBONI HOUSE EMERE, Polling Unit, ABEOKUTA SOUTH, Ogun State, Nigeria</t>
  </si>
  <si>
    <t>27-02-04-020</t>
  </si>
  <si>
    <t>NEAR A.L.G. CLINIC KEESI  I</t>
  </si>
  <si>
    <t>https://docs.inecelectionresults.net/elections_prod/1292/state/01/lga/02/ward/04/pu/020/020-1677396683.pdf</t>
  </si>
  <si>
    <t>NEAR A.L.G. CLINIC KEESI  I, Polling Unit, ABEOKUTA SOUTH, Ogun State, Nigeria</t>
  </si>
  <si>
    <t>27-02-04-021</t>
  </si>
  <si>
    <t>NEAR A.L.G. CLINIC KEESI  II</t>
  </si>
  <si>
    <t>https://docs.inecelectionresults.net/elections_prod/1292/state/01/lga/02/ward/04/pu/021/021-1677397120.pdf</t>
  </si>
  <si>
    <t>NEAR A.L.G. CLINIC KEESI  II, Polling Unit, ABEOKUTA SOUTH, Ogun State, Nigeria</t>
  </si>
  <si>
    <t>27-02-04-022</t>
  </si>
  <si>
    <t>OPEN SPACE IKOPA MOSQUE</t>
  </si>
  <si>
    <t>https://docs.inecelectionresults.net/elections_prod/1292/state/01/lga/02/ward/04/pu/022/022-1677401446.pdf</t>
  </si>
  <si>
    <t>OPEN SPACE IKOPA MOSQUE, Polling Unit, ABEOKUTA SOUTH, Ogun State, Nigeria</t>
  </si>
  <si>
    <t>27-02-04-023</t>
  </si>
  <si>
    <t>INF OF OGBONI HS IKOPA</t>
  </si>
  <si>
    <t>https://docs.inecelectionresults.net/elections_prod/1292/state/01/lga/02/ward/04/pu/023/023-1677408944.pdf</t>
  </si>
  <si>
    <t>INF OF OGBONI HS IKOPA, Polling Unit, ABEOKUTA SOUTH, Ogun State, Nigeria</t>
  </si>
  <si>
    <t>27-02-04-024</t>
  </si>
  <si>
    <t>OPEN SPACE NEAR OJO OKE-IRO</t>
  </si>
  <si>
    <t>https://docs.inecelectionresults.net/elections_prod/1292/state/01/lga/02/ward/04/pu/024/024-1677411794.pdf</t>
  </si>
  <si>
    <t>OPEN SPACE NEAR OJO OKE-IRO, Polling Unit, ABEOKUTA SOUTH, Ogun State, Nigeria</t>
  </si>
  <si>
    <t>27-02-04-025</t>
  </si>
  <si>
    <t>A.L.G. SCH. KUGBA</t>
  </si>
  <si>
    <t>https://docs.inecelectionresults.net/elections_prod/1292/state/01/lga/02/ward/04/pu/025/025-1677395651.pdf</t>
  </si>
  <si>
    <t>A.L.G. SCH. KUGBA, Polling Unit, ABEOKUTA SOUTH, Ogun State, Nigeria</t>
  </si>
  <si>
    <t>IJEMO</t>
  </si>
  <si>
    <t>27-02-05-001</t>
  </si>
  <si>
    <t>U.A.M.C. PRIMARY SCH. ELEJA</t>
  </si>
  <si>
    <t>https://docs.inecelectionresults.net/elections_prod/1292/state/01/lga/02/ward/05/pu/001/001-1677407827.pdf</t>
  </si>
  <si>
    <t>U.A.M.C. PRIMARY SCH. ELEJA, Polling Unit, ABEOKUTA SOUTH, Ogun State, Nigeria</t>
  </si>
  <si>
    <t>27-02-05-002</t>
  </si>
  <si>
    <t>U.A.M.C. PRIMARY SCH. ELEJA  II</t>
  </si>
  <si>
    <t>https://docs.inecelectionresults.net/elections_prod/1292/state/01/lga/02/ward/05/pu/002/002-1677406800.pdf</t>
  </si>
  <si>
    <t>U.A.M.C. PRIMARY SCH. ELEJA  II, Polling Unit, ABEOKUTA SOUTH, Ogun State, Nigeria</t>
  </si>
  <si>
    <t>27-02-05-003</t>
  </si>
  <si>
    <t>OBA ADEMOLA HOSPITAL  I</t>
  </si>
  <si>
    <t>https://docs.inecelectionresults.net/elections_prod/1292/state/01/lga/02/ward/05/pu/003/003-1677410653.pdf</t>
  </si>
  <si>
    <t>OBA ADEMOLA HOSPITAL  I, Polling Unit, ABEOKUTA SOUTH, Ogun State, Nigeria</t>
  </si>
  <si>
    <t>27-02-05-004</t>
  </si>
  <si>
    <t>OBA ADEMOLA HOSPITAL  II</t>
  </si>
  <si>
    <t>https://docs.inecelectionresults.net/elections_prod/1292/state/01/lga/02/ward/05/pu/004/004-1677411271.pdf</t>
  </si>
  <si>
    <t>OBA ADEMOLA HOSPITAL  II, Polling Unit, ABEOKUTA SOUTH, Ogun State, Nigeria</t>
  </si>
  <si>
    <t>27-02-05-005</t>
  </si>
  <si>
    <t>R.C.M. SCH. OKE-PADRE  I</t>
  </si>
  <si>
    <t>https://docs.inecelectionresults.net/elections_prod/1292/state/01/lga/02/ward/05/pu/005/005-1677409966.pdf</t>
  </si>
  <si>
    <t>R.C.M. SCH. OKE-PADRE  I, Polling Unit, ABEOKUTA SOUTH, Ogun State, Nigeria</t>
  </si>
  <si>
    <t>27-02-05-008</t>
  </si>
  <si>
    <t>A.L.G. DISPENSARY</t>
  </si>
  <si>
    <t>https://docs.inecelectionresults.net/elections_prod/1292/state/01/lga/02/ward/05/pu/008/008-1677408446.pdf</t>
  </si>
  <si>
    <t>A.L.G. DISPENSARY, Polling Unit, ABEOKUTA SOUTH, Ogun State, Nigeria</t>
  </si>
  <si>
    <t>27-02-05-010</t>
  </si>
  <si>
    <t>ILE OGBONI IJAKO  II</t>
  </si>
  <si>
    <t>https://docs.inecelectionresults.net/elections_prod/1292/state/01/lga/02/ward/05/pu/010/010-1677411597.pdf</t>
  </si>
  <si>
    <t>ILE OGBONI IJAKO  II, Polling Unit, ABEOKUTA SOUTH, Ogun State, Nigeria</t>
  </si>
  <si>
    <t>27-02-05-011</t>
  </si>
  <si>
    <t>SAWYER'S HALL</t>
  </si>
  <si>
    <t>https://docs.inecelectionresults.net/elections_prod/1292/state/01/lga/02/ward/05/pu/011/011-1677404631.pdf</t>
  </si>
  <si>
    <t>SAWYER'S HALL, Polling Unit, ABEOKUTA SOUTH, Ogun State, Nigeria</t>
  </si>
  <si>
    <t>27-02-05-012</t>
  </si>
  <si>
    <t>SAWYER'S HALL  II</t>
  </si>
  <si>
    <t>https://docs.inecelectionresults.net/elections_prod/1292/state/01/lga/02/ward/05/pu/012/012-1677412216.pdf</t>
  </si>
  <si>
    <t>SAWYER'S HALL  II, Polling Unit, ABEOKUTA SOUTH, Ogun State, Nigeria</t>
  </si>
  <si>
    <t>27-02-05-013</t>
  </si>
  <si>
    <t>OPEN SPACE NEAR OGBONI IBON HOUSE</t>
  </si>
  <si>
    <t>https://docs.inecelectionresults.net/elections_prod/1292/state/01/lga/02/ward/05/pu/013/013-1677401863.pdf</t>
  </si>
  <si>
    <t>OPEN SPACE NEAR OGBONI IBON HOUSE, Polling Unit, ABEOKUTA SOUTH, Ogun State, Nigeria</t>
  </si>
  <si>
    <t>27-02-05-015</t>
  </si>
  <si>
    <t>OPEN SPACE NEAR ODO-OJA BOOTH</t>
  </si>
  <si>
    <t>https://docs.inecelectionresults.net/elections_prod/1292/state/01/lga/02/ward/05/pu/015/015-1677413808.pdf</t>
  </si>
  <si>
    <t>OPEN SPACE NEAR ODO-OJA BOOTH, Polling Unit, ABEOKUTA SOUTH, Ogun State, Nigeria</t>
  </si>
  <si>
    <t>27-02-05-016</t>
  </si>
  <si>
    <t>A.L.G. PRIMARY SCH. IJERNO</t>
  </si>
  <si>
    <t>https://docs.inecelectionresults.net/elections_prod/1292/state/01/lga/02/ward/05/pu/016/016-1677414865.pdf</t>
  </si>
  <si>
    <t>A.L.G. PRIMARY SCH. IJERNO, Polling Unit, ABEOKUTA SOUTH, Ogun State, Nigeria</t>
  </si>
  <si>
    <t>27-02-05-017</t>
  </si>
  <si>
    <t>OPEN SPACE NEAR OGUNSOLA'S HOUSE</t>
  </si>
  <si>
    <t>https://docs.inecelectionresults.net/elections_prod/1292/state/01/lga/02/ward/05/pu/017/017-1677415887.pdf</t>
  </si>
  <si>
    <t>OPEN SPACE NEAR OGUNSOLA'S HOUSE, Polling Unit, ABEOKUTA SOUTH, Ogun State, Nigeria</t>
  </si>
  <si>
    <t>ITOKO</t>
  </si>
  <si>
    <t>27-02-06-002</t>
  </si>
  <si>
    <t>E.A.;C. PRIMARY SCH  ITOKO</t>
  </si>
  <si>
    <t>https://docs.inecelectionresults.net/elections_prod/1292/state/1/lga/3667/ward/23971/pu/91116/91116-1677496983.pdf</t>
  </si>
  <si>
    <t>E.A.;C. PRIMARY SCH  ITOKO, Polling Unit, ABEOKUTA SOUTH, Ogun State, Nigeria</t>
  </si>
  <si>
    <t>27-02-06-005</t>
  </si>
  <si>
    <t>OPEN SPACE SHONLU COMP.</t>
  </si>
  <si>
    <t>https://docs.inecelectionresults.net/elections_prod/1292/state/01/lga/02/ward/06/pu/005/005-1677392249.pdf</t>
  </si>
  <si>
    <t>OPEN SPACE SHONLU COMP., Polling Unit, ABEOKUTA SOUTH, Ogun State, Nigeria</t>
  </si>
  <si>
    <t>27-02-06-006</t>
  </si>
  <si>
    <t>OPEN SPACE NEAR APITIPITI COMP.</t>
  </si>
  <si>
    <t>https://docs.inecelectionresults.net/elections_prod/1292/state/1/lga/3667/ward/23971/pu/91120/91120-1677487767.pdf</t>
  </si>
  <si>
    <t>OPEN SPACE NEAR APITIPITI COMP., Polling Unit, ABEOKUTA SOUTH, Ogun State, Nigeria</t>
  </si>
  <si>
    <t>27-02-06-007</t>
  </si>
  <si>
    <t>N.U.D. PRIMARY SCHOOL. OKE-ALEJI</t>
  </si>
  <si>
    <t>https://docs.inecelectionresults.net/elections_prod/1292/state/1/lga/3667/ward/23971/pu/91121/91121-1677471198.pdf</t>
  </si>
  <si>
    <t>N.U.D. PRIMARY SCHOOL. OKE-ALEJI, Polling Unit, ABEOKUTA SOUTH, Ogun State, Nigeria</t>
  </si>
  <si>
    <t>27-02-06-009</t>
  </si>
  <si>
    <t>OPEN SPACE ILE-EJA</t>
  </si>
  <si>
    <t>https://docs.inecelectionresults.net/elections_prod/1292/state/01/lga/02/ward/06/pu/009/009-1677427621.pdf</t>
  </si>
  <si>
    <t>OPEN SPACE ILE-EJA, Polling Unit, ABEOKUTA SOUTH, Ogun State, Nigeria</t>
  </si>
  <si>
    <t>27-02-06-010</t>
  </si>
  <si>
    <t>OPEN SPACE BEHIND EMI-ABATA  I</t>
  </si>
  <si>
    <t>https://docs.inecelectionresults.net/elections_prod/1292/state/1/lga/3667/ward/23971/pu/91124/91124-1677488073.pdf</t>
  </si>
  <si>
    <t>OPEN SPACE BEHIND EMI-ABATA  I, Polling Unit, ABEOKUTA SOUTH, Ogun State, Nigeria</t>
  </si>
  <si>
    <t>27-02-06-011</t>
  </si>
  <si>
    <t>MOSQUE NEAR HOSPITAL ISALE-ITOKO</t>
  </si>
  <si>
    <t>https://docs.inecelectionresults.net/elections_prod/1292/state/1/lga/3667/ward/23971/pu/91125/91125-1677471426.pdf</t>
  </si>
  <si>
    <t>MOSQUE NEAR HOSPITAL ISALE-ITOKO, Polling Unit, ABEOKUTA SOUTH, Ogun State, Nigeria</t>
  </si>
  <si>
    <t>27-02-06-012</t>
  </si>
  <si>
    <t>NEAR OKE ITOKO MOSQUE</t>
  </si>
  <si>
    <t>https://docs.inecelectionresults.net/elections_prod/1292/state/1/lga/3667/ward/23971/pu/91126/91126-1677489596.pdf</t>
  </si>
  <si>
    <t>NEAR OKE ITOKO MOSQUE, Polling Unit, ABEOKUTA SOUTH, Ogun State, Nigeria</t>
  </si>
  <si>
    <t>IJAYE/IDI-ABA</t>
  </si>
  <si>
    <t>27-02-07-002</t>
  </si>
  <si>
    <t>OPEN SPACE AT IJAYE GARAGE  II</t>
  </si>
  <si>
    <t>https://docs.inecelectionresults.net/elections_prod/1292/state/01/lga/02/ward/07/pu/002/002-1677428586.pdf</t>
  </si>
  <si>
    <t>OPEN SPACE AT IJAYE GARAGE  II, Polling Unit, ABEOKUTA SOUTH, Ogun State, Nigeria</t>
  </si>
  <si>
    <t>27-02-07-003</t>
  </si>
  <si>
    <t>OJA ALE IJAIYE I</t>
  </si>
  <si>
    <t>https://docs.inecelectionresults.net/elections_prod/1292/state/01/lga/02/ward/07/pu/003/003-1677426838.pdf</t>
  </si>
  <si>
    <t>OJA ALE IJAIYE I, Polling Unit, ABEOKUTA SOUTH, Ogun State, Nigeria</t>
  </si>
  <si>
    <t>27-02-07-008</t>
  </si>
  <si>
    <t>IJAYE COMM. PRIMARY SCH.  I</t>
  </si>
  <si>
    <t>https://docs.inecelectionresults.net/elections_prod/1292/state/1/lga/3667/ward/23972/pu/91134/91134-1677494917.pdf</t>
  </si>
  <si>
    <t>IJAYE COMM. PRIMARY SCH.  I, Polling Unit, ABEOKUTA SOUTH, Ogun State, Nigeria</t>
  </si>
  <si>
    <t>27-02-07-009</t>
  </si>
  <si>
    <t>OPEN SPACE OLADOSU MOSQUE</t>
  </si>
  <si>
    <t>https://docs.inecelectionresults.net/elections_prod/1292/state/01/lga/02/ward/07/pu/009/009-1677417157.pdf</t>
  </si>
  <si>
    <t>OPEN SPACE OLADOSU MOSQUE, Polling Unit, ABEOKUTA SOUTH, Ogun State, Nigeria</t>
  </si>
  <si>
    <t>27-02-07-011</t>
  </si>
  <si>
    <t>OPEN SPACE NEAR FOLARANMI HS II</t>
  </si>
  <si>
    <t>https://docs.inecelectionresults.net/elections_prod/1292/state/1/lga/3667/ward/23972/pu/91137/91137-1677496321.pdf</t>
  </si>
  <si>
    <t>OPEN SPACE NEAR FOLARANMI HS II, Polling Unit, ABEOKUTA SOUTH, Ogun State, Nigeria</t>
  </si>
  <si>
    <t>27-02-07-012</t>
  </si>
  <si>
    <t>BUS-STOP AT IJAYE  I</t>
  </si>
  <si>
    <t>https://docs.inecelectionresults.net/elections_prod/1292/state/1/lga/3667/ward/23972/pu/91138/91138-1677502786.pdf</t>
  </si>
  <si>
    <t>BUS-STOP AT IJAYE  I, Polling Unit, ABEOKUTA SOUTH, Ogun State, Nigeria</t>
  </si>
  <si>
    <t>27-02-07-013</t>
  </si>
  <si>
    <t>OPEN SPACE NEAR ALH. AKANNI IROKO HS I</t>
  </si>
  <si>
    <t>https://docs.inecelectionresults.net/elections_prod/1292/state/1/lga/3667/ward/23972/pu/91139/91139-1677491200.pdf</t>
  </si>
  <si>
    <t>OPEN SPACE NEAR ALH. AKANNI IROKO HS I, Polling Unit, ABEOKUTA SOUTH, Ogun State, Nigeria</t>
  </si>
  <si>
    <t>27-02-07-014</t>
  </si>
  <si>
    <t>OPEN SPACE NEAR ALH. AKANNI IROKO HS II</t>
  </si>
  <si>
    <t>https://docs.inecelectionresults.net/elections_prod/1292/state/1/lga/3667/ward/23972/pu/91140/91140-1677489851.pdf</t>
  </si>
  <si>
    <t>OPEN SPACE NEAR ALH. AKANNI IROKO HS II, Polling Unit, ABEOKUTA SOUTH, Ogun State, Nigeria</t>
  </si>
  <si>
    <t>27-02-07-016</t>
  </si>
  <si>
    <t>ST.JAMES PRIMARY SCHOOL IDI-ABA  I</t>
  </si>
  <si>
    <t>https://docs.inecelectionresults.net/elections_prod/1292/state/1/lga/3667/ward/23972/pu/91142/91142-1677491827.pdf</t>
  </si>
  <si>
    <t>ST.JAMES PRIMARY SCHOOL IDI-ABA  I, Polling Unit, ABEOKUTA SOUTH, Ogun State, Nigeria</t>
  </si>
  <si>
    <t>27-02-07-017</t>
  </si>
  <si>
    <t>ST.JAMES PRIMARY SCHOOL IDI-ABA  II</t>
  </si>
  <si>
    <t>https://docs.inecelectionresults.net/elections_prod/1292/state/1/lga/3667/ward/23972/pu/91143/91143-1677498566.pdf</t>
  </si>
  <si>
    <t>ST.JAMES PRIMARY SCHOOL IDI-ABA  II, Polling Unit, ABEOKUTA SOUTH, Ogun State, Nigeria</t>
  </si>
  <si>
    <t>27-02-07-022</t>
  </si>
  <si>
    <t>OPEN SPACE NEAR IYANA ODEGBAMI</t>
  </si>
  <si>
    <t>https://docs.inecelectionresults.net/elections_prod/1292/state/1/lga/3667/ward/23972/pu/91148/91148-1677490316.pdf</t>
  </si>
  <si>
    <t>OPEN SPACE NEAR IYANA ODEGBAMI, Polling Unit, ABEOKUTA SOUTH, Ogun State, Nigeria</t>
  </si>
  <si>
    <t>27-02-07-023</t>
  </si>
  <si>
    <t>OPEN SPACE OLOMOLU IJAYE</t>
  </si>
  <si>
    <t>https://docs.inecelectionresults.net/elections_prod/1292/state/1/lga/3667/ward/23972/pu/91149/91149-1677489461.pdf</t>
  </si>
  <si>
    <t>OPEN SPACE OLOMOLU IJAYE, Polling Unit, ABEOKUTA SOUTH, Ogun State, Nigeria</t>
  </si>
  <si>
    <t>27-02-07-025</t>
  </si>
  <si>
    <t>OPEN SPACE NEAR KUSIMO'S HOUSE KEMTA</t>
  </si>
  <si>
    <t>https://docs.inecelectionresults.net/elections_prod/1292/state/1/lga/3667/ward/23972/pu/91151/91151-1677503275.pdf</t>
  </si>
  <si>
    <t>OPEN SPACE NEAR KUSIMO'S HOUSE KEMTA, Polling Unit, ABEOKUTA SOUTH, Ogun State, Nigeria</t>
  </si>
  <si>
    <t>ERUNBE/OKE IJEUN</t>
  </si>
  <si>
    <t>27-02-08-001</t>
  </si>
  <si>
    <t>OPEN SPACE NEAR OGBONI HS, OKE IJEUN I</t>
  </si>
  <si>
    <t>https://docs.inecelectionresults.net/elections_prod/1292/state/01/lga/02/ward/08/pu/001/001-1677391871.pdf</t>
  </si>
  <si>
    <t>OPEN SPACE NEAR OGBONI HS, OKE IJEUN I, Polling Unit, ABEOKUTA SOUTH, Ogun State, Nigeria</t>
  </si>
  <si>
    <t>27-02-08-002</t>
  </si>
  <si>
    <t>OPEN SPACE NEAR OGBONI HS, OKE IJEUN II</t>
  </si>
  <si>
    <t>https://docs.inecelectionresults.net/elections_prod/1292/state/01/lga/02/ward/08/pu/002/002-1677393120.pdf</t>
  </si>
  <si>
    <t>OPEN SPACE NEAR OGBONI HS, OKE IJEUN II, Polling Unit, ABEOKUTA SOUTH, Ogun State, Nigeria</t>
  </si>
  <si>
    <t>27-02-08-003</t>
  </si>
  <si>
    <t>NEAR OLORUNLUGO FISH DEPOT</t>
  </si>
  <si>
    <t>https://docs.inecelectionresults.net/elections_prod/1292/state/01/lga/02/ward/08/pu/003/003-1677390209.pdf</t>
  </si>
  <si>
    <t>NEAR OLORUNLUGO FISH DEPOT, Polling Unit, ABEOKUTA SOUTH, Ogun State, Nigeria</t>
  </si>
  <si>
    <t>27-02-08-004</t>
  </si>
  <si>
    <t>SALVATION ARMY PRIMARY SCH.</t>
  </si>
  <si>
    <t>https://docs.inecelectionresults.net/elections_prod/1292/state/01/lga/02/ward/08/pu/004/004-1677395420.pdf</t>
  </si>
  <si>
    <t>SALVATION ARMY PRIMARY SCH., Polling Unit, ABEOKUTA SOUTH, Ogun State, Nigeria</t>
  </si>
  <si>
    <t>27-02-08-007</t>
  </si>
  <si>
    <t>OPEN SPACE NEAR ILOGBO JUNCTION II</t>
  </si>
  <si>
    <t>https://docs.inecelectionresults.net/elections_prod/1292/state/01/lga/02/ward/08/pu/007/007-1677396890.pdf</t>
  </si>
  <si>
    <t>OPEN SPACE NEAR ILOGBO JUNCTION II, Polling Unit, ABEOKUTA SOUTH, Ogun State, Nigeria</t>
  </si>
  <si>
    <t>27-02-08-008</t>
  </si>
  <si>
    <t>OPEN SPACE NEAR OKE-JIGBO BUS-STOP I</t>
  </si>
  <si>
    <t>https://docs.inecelectionresults.net/elections_prod/1292/state/01/lga/02/ward/08/pu/008/008-1677397629.pdf</t>
  </si>
  <si>
    <t>OPEN SPACE NEAR OKE-JIGBO BUS-STOP I, Polling Unit, ABEOKUTA SOUTH, Ogun State, Nigeria</t>
  </si>
  <si>
    <t>27-02-08-009</t>
  </si>
  <si>
    <t>OPEN SPACE NEAR OKE-JIGBO BUS-STOP II</t>
  </si>
  <si>
    <t>https://docs.inecelectionresults.net/elections_prod/1292/state/01/lga/02/ward/08/pu/009/009-1677398382.pdf</t>
  </si>
  <si>
    <t>OPEN SPACE NEAR OKE-JIGBO BUS-STOP II, Polling Unit, ABEOKUTA SOUTH, Ogun State, Nigeria</t>
  </si>
  <si>
    <t>27-02-08-010</t>
  </si>
  <si>
    <t>OPEN SPACE NEAR APESIN'S H/S</t>
  </si>
  <si>
    <t>https://docs.inecelectionresults.net/elections_prod/1292/state/01/lga/02/ward/08/pu/010/010-1677400895.pdf</t>
  </si>
  <si>
    <t>OPEN SPACE NEAR APESIN'S H/S, Polling Unit, ABEOKUTA SOUTH, Ogun State, Nigeria</t>
  </si>
  <si>
    <t>27-02-08-011</t>
  </si>
  <si>
    <t>OPEN SPACE NEAR SODIPE'S COMP OKE-IJEUN</t>
  </si>
  <si>
    <t>https://docs.inecelectionresults.net/elections_prod/1292/state/01/lga/02/ward/08/pu/011/011-1677401709.pdf</t>
  </si>
  <si>
    <t>OPEN SPACE NEAR SODIPE'S COMP OKE-IJEUN, Polling Unit, ABEOKUTA SOUTH, Ogun State, Nigeria</t>
  </si>
  <si>
    <t>27-02-08-013</t>
  </si>
  <si>
    <t>OPEN SPACE INF OF STATE HOSPITAL  I</t>
  </si>
  <si>
    <t>https://docs.inecelectionresults.net/elections_prod/1292/state/01/lga/02/ward/08/pu/013/013-1677402707.pdf</t>
  </si>
  <si>
    <t>OPEN SPACE INF OF STATE HOSPITAL  I, Polling Unit, ABEOKUTA SOUTH, Ogun State, Nigeria</t>
  </si>
  <si>
    <t>27-02-08-014</t>
  </si>
  <si>
    <t>OPEN SPACE INF OF STATE HOSPITAL  II</t>
  </si>
  <si>
    <t>https://docs.inecelectionresults.net/elections_prod/1292/state/01/lga/02/ward/08/pu/014/014-1677409472.pdf</t>
  </si>
  <si>
    <t>OPEN SPACE INF OF STATE HOSPITAL  II, Polling Unit, ABEOKUTA SOUTH, Ogun State, Nigeria</t>
  </si>
  <si>
    <t>27-02-08-015</t>
  </si>
  <si>
    <t>KUTI PRIMARY SCHOOL  I</t>
  </si>
  <si>
    <t>https://docs.inecelectionresults.net/elections_prod/1292/state/01/lga/02/ward/08/pu/015/015-1677412852.pdf</t>
  </si>
  <si>
    <t>KUTI PRIMARY SCHOOL  I, Polling Unit, ABEOKUTA SOUTH, Ogun State, Nigeria</t>
  </si>
  <si>
    <t>27-02-08-016</t>
  </si>
  <si>
    <t>ITA AGEMO ERUNBE  I</t>
  </si>
  <si>
    <t>https://docs.inecelectionresults.net/elections_prod/1292/state/01/lga/02/ward/08/pu/016/016-1677413678.pdf</t>
  </si>
  <si>
    <t>ITA AGEMO ERUNBE  I, Polling Unit, ABEOKUTA SOUTH, Ogun State, Nigeria</t>
  </si>
  <si>
    <t>27-02-08-017</t>
  </si>
  <si>
    <t>ITA AGEMO ERUNBE  II</t>
  </si>
  <si>
    <t>https://docs.inecelectionresults.net/elections_prod/1292/state/01/lga/02/ward/08/pu/017/017-1677425867.pdf</t>
  </si>
  <si>
    <t>ITA AGEMO ERUNBE  II, Polling Unit, ABEOKUTA SOUTH, Ogun State, Nigeria</t>
  </si>
  <si>
    <t>27-02-08-018</t>
  </si>
  <si>
    <t>OPEN SPACE NEAR CHIEF AKANDE'S HOUSE I</t>
  </si>
  <si>
    <t>https://docs.inecelectionresults.net/elections_prod/1292/state/01/lga/02/ward/08/pu/018/018-1677414297.pdf</t>
  </si>
  <si>
    <t>OPEN SPACE NEAR CHIEF AKANDE'S HOUSE I, Polling Unit, ABEOKUTA SOUTH, Ogun State, Nigeria</t>
  </si>
  <si>
    <t>27-02-08-019</t>
  </si>
  <si>
    <t>OPEN SPACE NEAR CHIEF AKANDE'S HOUSE II</t>
  </si>
  <si>
    <t>https://docs.inecelectionresults.net/elections_prod/1292/state/01/lga/02/ward/08/pu/019/019-1677414599.pdf</t>
  </si>
  <si>
    <t>OPEN SPACE NEAR CHIEF AKANDE'S HOUSE II, Polling Unit, ABEOKUTA SOUTH, Ogun State, Nigeria</t>
  </si>
  <si>
    <t>27-02-08-021</t>
  </si>
  <si>
    <t>OPEN SPACE NEAR SOJOBI'S HOUSE</t>
  </si>
  <si>
    <t>https://docs.inecelectionresults.net/elections_prod/1292/state/01/lga/02/ward/08/pu/021/021-1677416823.pdf</t>
  </si>
  <si>
    <t>OPEN SPACE NEAR SOJOBI'S HOUSE, Polling Unit, ABEOKUTA SOUTH, Ogun State, Nigeria</t>
  </si>
  <si>
    <t>27-02-08-022</t>
  </si>
  <si>
    <t>OPEN SPACE NEAR LOWO HOUSE OPP.</t>
  </si>
  <si>
    <t>https://docs.inecelectionresults.net/elections_prod/1292/state/01/lga/02/ward/08/pu/022/022-1677416356.pdf</t>
  </si>
  <si>
    <t>OPEN SPACE NEAR LOWO HOUSE OPP., Polling Unit, ABEOKUTA SOUTH, Ogun State, Nigeria</t>
  </si>
  <si>
    <t>AGO-EGUN/IJESA</t>
  </si>
  <si>
    <t>27-02-09-001</t>
  </si>
  <si>
    <t>OPEN SPACE NEAR CELESTIAL CHURCH IJEUN TITUN</t>
  </si>
  <si>
    <t>https://docs.inecelectionresults.net/elections_prod/1292/state/01/lga/02/ward/09/pu/001/001-1677398951.pdf</t>
  </si>
  <si>
    <t>OPEN SPACE NEAR CELESTIAL CHURCH IJEUN TITUN, Polling Unit, ABEOKUTA SOUTH, Ogun State, Nigeria</t>
  </si>
  <si>
    <t>27-02-09-002</t>
  </si>
  <si>
    <t>OPP. IJEUN TITUN MOSQUE I</t>
  </si>
  <si>
    <t>https://docs.inecelectionresults.net/elections_prod/1292/state/01/lga/02/ward/09/pu/002/002-1677400939.pdf</t>
  </si>
  <si>
    <t>OPP. IJEUN TITUN MOSQUE I, Polling Unit, ABEOKUTA SOUTH, Ogun State, Nigeria</t>
  </si>
  <si>
    <t>27-02-09-003</t>
  </si>
  <si>
    <t>OPEN SPACE NEAR IJEUN TITUN MOSQUE II</t>
  </si>
  <si>
    <t>https://docs.inecelectionresults.net/elections_prod/1292/state/01/lga/02/ward/09/pu/003/003-1677375022.pdf</t>
  </si>
  <si>
    <t>OPEN SPACE NEAR IJEUN TITUN MOSQUE II, Polling Unit, ABEOKUTA SOUTH, Ogun State, Nigeria</t>
  </si>
  <si>
    <t>27-02-09-004</t>
  </si>
  <si>
    <t>OPEN SPACE INF EKUNDAYO'S HOUSE  I</t>
  </si>
  <si>
    <t>https://docs.inecelectionresults.net/elections_prod/1292/state/01/lga/02/ward/09/pu/004/004-1677425487.pdf</t>
  </si>
  <si>
    <t>OPEN SPACE INF EKUNDAYO'S HOUSE  I, Polling Unit, ABEOKUTA SOUTH, Ogun State, Nigeria</t>
  </si>
  <si>
    <t>27-02-09-005</t>
  </si>
  <si>
    <t>OPEN SPACE INF EKUNDAYO'S HOUSE  II</t>
  </si>
  <si>
    <t>https://docs.inecelectionresults.net/elections_prod/1292/state/01/lga/02/ward/09/pu/005/005-1677408140.pdf</t>
  </si>
  <si>
    <t>OPEN SPACE INF EKUNDAYO'S HOUSE  II, Polling Unit, ABEOKUTA SOUTH, Ogun State, Nigeria</t>
  </si>
  <si>
    <t>27-02-09-006</t>
  </si>
  <si>
    <t>OPEN SPACE NEAR BALE'S HOUSE IJEUN-TITUN  I</t>
  </si>
  <si>
    <t>https://docs.inecelectionresults.net/elections_prod/1292/state/01/lga/02/ward/09/pu/006/006-1677413505.pdf</t>
  </si>
  <si>
    <t>OPEN SPACE NEAR BALE'S HOUSE IJEUN-TITUN  I, Polling Unit, ABEOKUTA SOUTH, Ogun State, Nigeria</t>
  </si>
  <si>
    <t>27-02-09-007</t>
  </si>
  <si>
    <t>OPEN SPACE NEAR BALE'S HOUSE IJEUN-TITUN  II</t>
  </si>
  <si>
    <t>https://docs.inecelectionresults.net/elections_prod/1292/state/01/lga/02/ward/09/pu/007/007-1677426775.pdf</t>
  </si>
  <si>
    <t>OPEN SPACE NEAR BALE'S HOUSE IJEUN-TITUN  II, Polling Unit, ABEOKUTA SOUTH, Ogun State, Nigeria</t>
  </si>
  <si>
    <t>27-02-09-008</t>
  </si>
  <si>
    <t>OPEN SPACE NEAR IJEUN TITUN LODGE  I</t>
  </si>
  <si>
    <t>https://docs.inecelectionresults.net/elections_prod/1292/state/01/lga/02/ward/09/pu/008/008-1677413291.pdf</t>
  </si>
  <si>
    <t>OPEN SPACE NEAR IJEUN TITUN LODGE  I, Polling Unit, ABEOKUTA SOUTH, Ogun State, Nigeria</t>
  </si>
  <si>
    <t>27-02-09-009</t>
  </si>
  <si>
    <t>OPEN SPACE NEAR AGUNBIADE'S HOUSE II</t>
  </si>
  <si>
    <t>https://docs.inecelectionresults.net/elections_prod/1292/state/01/lga/02/ward/09/pu/009/009-1677405602.pdf</t>
  </si>
  <si>
    <t>OPEN SPACE NEAR AGUNBIADE'S HOUSE II, Polling Unit, ABEOKUTA SOUTH, Ogun State, Nigeria</t>
  </si>
  <si>
    <t>27-02-09-010</t>
  </si>
  <si>
    <t>OPEN SPACE NEAR AGUNBIADE'S HOUSE  II</t>
  </si>
  <si>
    <t>https://docs.inecelectionresults.net/elections_prod/1292/state/01/lga/02/ward/09/pu/010/010-1677404153.pdf</t>
  </si>
  <si>
    <t>OPEN SPACE NEAR AGUNBIADE'S HOUSE  II, Polling Unit, ABEOKUTA SOUTH, Ogun State, Nigeria</t>
  </si>
  <si>
    <t>27-02-09-011</t>
  </si>
  <si>
    <t>OPEN SPACE NEAR OLUGBEMI ST. IDI-ERO</t>
  </si>
  <si>
    <t>https://docs.inecelectionresults.net/elections_prod/1292/state/01/lga/02/ward/09/pu/011/011-1677422209.pdf</t>
  </si>
  <si>
    <t>OPEN SPACE NEAR OLUGBEMI ST. IDI-ERO, Polling Unit, ABEOKUTA SOUTH, Ogun State, Nigeria</t>
  </si>
  <si>
    <t>27-02-09-012</t>
  </si>
  <si>
    <t>OPEN SPACE NEAR ARANSE OLUWA  OLOROMBO  I</t>
  </si>
  <si>
    <t>https://docs.inecelectionresults.net/elections_prod/1292/state/01/lga/02/ward/09/pu/012/012-1677424323.pdf</t>
  </si>
  <si>
    <t>OPEN SPACE NEAR ARANSE OLUWA  OLOROMBO  I, Polling Unit, ABEOKUTA SOUTH, Ogun State, Nigeria</t>
  </si>
  <si>
    <t>27-02-09-013</t>
  </si>
  <si>
    <t>OPEN SPACE NEAR ARANSE OLUWA  OLOROMBO  II</t>
  </si>
  <si>
    <t>https://docs.inecelectionresults.net/elections_prod/1292/state/01/lga/02/ward/09/pu/013/013-1677427406.pdf</t>
  </si>
  <si>
    <t>OPEN SPACE NEAR ARANSE OLUWA  OLOROMBO  II, Polling Unit, ABEOKUTA SOUTH, Ogun State, Nigeria</t>
  </si>
  <si>
    <t>27-02-09-014</t>
  </si>
  <si>
    <t>OPEN SPACE NEAR ODUNTAN'S HOUSE AGO-EGUN I</t>
  </si>
  <si>
    <t>https://docs.inecelectionresults.net/elections_prod/1292/state/01/lga/02/ward/09/pu/014/014-1677404387.pdf</t>
  </si>
  <si>
    <t>OPEN SPACE NEAR ODUNTAN'S HOUSE AGO-EGUN I, Polling Unit, ABEOKUTA SOUTH, Ogun State, Nigeria</t>
  </si>
  <si>
    <t>27-02-09-015</t>
  </si>
  <si>
    <t>OPEN SPACE NEAR BAALE LEME'S HOUSE</t>
  </si>
  <si>
    <t>https://docs.inecelectionresults.net/elections_prod/1292/state/1/lga/3667/ward/23974/pu/91189/91189-1677491495.pdf</t>
  </si>
  <si>
    <t>OPEN SPACE NEAR BAALE LEME'S HOUSE, Polling Unit, ABEOKUTA SOUTH, Ogun State, Nigeria</t>
  </si>
  <si>
    <t>27-02-09-016</t>
  </si>
  <si>
    <t>OPEN SPACE NEAR CHIEF DERIN'S HOUSE [IFESOWAPO]</t>
  </si>
  <si>
    <t>https://docs.inecelectionresults.net/elections_prod/1292/state/01/lga/02/ward/09/pu/016/016-1677409847.pdf</t>
  </si>
  <si>
    <t>OPEN SPACE NEAR CHIEF DERIN'S HOUSE [IFESOWAPO], Polling Unit, ABEOKUTA SOUTH, Ogun State, Nigeria</t>
  </si>
  <si>
    <t>27-02-09-017</t>
  </si>
  <si>
    <t>OPEN SPACE IN FRONT OWOTUTU'S  HOUSE</t>
  </si>
  <si>
    <t>https://docs.inecelectionresults.net/elections_prod/1292/state/01/lga/02/ward/09/pu/017/017-1677407303.pdf</t>
  </si>
  <si>
    <t>OPEN SPACE IN FRONT OWOTUTU'S  HOUSE, Polling Unit, ABEOKUTA SOUTH, Ogun State, Nigeria</t>
  </si>
  <si>
    <t>27-02-09-018</t>
  </si>
  <si>
    <t>OPEN SPACE IN FRONT LEME CENTRAL MOSQUE</t>
  </si>
  <si>
    <t>https://docs.inecelectionresults.net/elections_prod/1292/state/01/lga/02/ward/09/pu/018/018-1677419276.pdf</t>
  </si>
  <si>
    <t>OPEN SPACE IN FRONT LEME CENTRAL MOSQUE, Polling Unit, ABEOKUTA SOUTH, Ogun State, Nigeria</t>
  </si>
  <si>
    <t>27-02-09-019</t>
  </si>
  <si>
    <t>OPEN SPACE IN FRONT EWANG HOUSING ESTATE</t>
  </si>
  <si>
    <t>https://docs.inecelectionresults.net/elections_prod/1292/state/01/lga/02/ward/09/pu/019/019-1677400383.pdf</t>
  </si>
  <si>
    <t>OPEN SPACE IN FRONT EWANG HOUSING ESTATE, Polling Unit, ABEOKUTA SOUTH, Ogun State, Nigeria</t>
  </si>
  <si>
    <t>27-02-09-020</t>
  </si>
  <si>
    <t>OPP. IFELODUN CO-OPERATIVE C.E.S (ABIOLA WAY)[IFESOWAPO]</t>
  </si>
  <si>
    <t>https://docs.inecelectionresults.net/elections_prod/1292/state/01/lga/02/ward/09/pu/020/020-1677425795.pdf</t>
  </si>
  <si>
    <t>OPP. IFELODUN CO-OPERATIVE C.E.S (ABIOLA WAY)[IFESOWAPO], Polling Unit, ABEOKUTA SOUTH, Ogun State, Nigeria</t>
  </si>
  <si>
    <t>27-02-09-021</t>
  </si>
  <si>
    <t>BOOTH OPP. BABA ONIFA'S HOUSE LEME</t>
  </si>
  <si>
    <t>https://docs.inecelectionresults.net/elections_prod/1292/state/01/lga/02/ward/09/pu/021/021-1677403300.pdf</t>
  </si>
  <si>
    <t>BOOTH OPP. BABA ONIFA'S HOUSE LEME, Polling Unit, ABEOKUTA SOUTH, Ogun State, Nigeria</t>
  </si>
  <si>
    <t>SODEKE/SALE-IJEUN  I</t>
  </si>
  <si>
    <t>27-02-10-001</t>
  </si>
  <si>
    <t>OPP. SEKONI'S MOSQ. ISALE-IJEUN</t>
  </si>
  <si>
    <t>https://docs.inecelectionresults.net/elections_prod/1292/state/01/lga/02/ward/10/pu/001/001-1677396592.pdf</t>
  </si>
  <si>
    <t>OPP. SEKONI'S MOSQ. ISALE-IJEUN, Polling Unit, ABEOKUTA SOUTH, Ogun State, Nigeria</t>
  </si>
  <si>
    <t>27-02-10-002</t>
  </si>
  <si>
    <t>OPEN SPACE NEAR ADEOGUN HOUSE ISALE-IJEUN I</t>
  </si>
  <si>
    <t>https://docs.inecelectionresults.net/elections_prod/1292/state/01/lga/02/ward/10/pu/002/002-1677407475.pdf</t>
  </si>
  <si>
    <t>OPEN SPACE NEAR ADEOGUN HOUSE ISALE-IJEUN I, Polling Unit, ABEOKUTA SOUTH, Ogun State, Nigeria</t>
  </si>
  <si>
    <t>27-02-10-004</t>
  </si>
  <si>
    <t>NEAR CHIEF DASAOLU'S HOUSE ISALE IJEUN</t>
  </si>
  <si>
    <t>https://docs.inecelectionresults.net/elections_prod/1292/state/01/lga/02/ward/10/pu/004/004-1677398344.pdf</t>
  </si>
  <si>
    <t>NEAR CHIEF DASAOLU'S HOUSE ISALE IJEUN, Polling Unit, ABEOKUTA SOUTH, Ogun State, Nigeria</t>
  </si>
  <si>
    <t>27-02-10-005</t>
  </si>
  <si>
    <t>OPEN SPACE NEAR ITANLEA IDIERO SODEKE I</t>
  </si>
  <si>
    <t>https://docs.inecelectionresults.net/elections_prod/1292/state/01/lga/02/ward/10/pu/005/005-1677420137.pdf</t>
  </si>
  <si>
    <t>OPEN SPACE NEAR ITANLEA IDIERO SODEKE I, Polling Unit, ABEOKUTA SOUTH, Ogun State, Nigeria</t>
  </si>
  <si>
    <t>27-02-10-007</t>
  </si>
  <si>
    <t>OPEN SPACE NEAR CENTRAL MOSQ. KOBITI I</t>
  </si>
  <si>
    <t>https://docs.inecelectionresults.net/elections_prod/1292/state/01/lga/02/ward/10/pu/007/007-1677413674.pdf</t>
  </si>
  <si>
    <t>OPEN SPACE NEAR CENTRAL MOSQ. KOBITI I, Polling Unit, ABEOKUTA SOUTH, Ogun State, Nigeria</t>
  </si>
  <si>
    <t>27-02-10-008</t>
  </si>
  <si>
    <t>OPEN SPACE NEAR CENTRAL MOSQ. KOBITI II</t>
  </si>
  <si>
    <t>https://docs.inecelectionresults.net/elections_prod/1292/state/01/lga/02/ward/10/pu/008/008-1677407155.pdf</t>
  </si>
  <si>
    <t>OPEN SPACE NEAR CENTRAL MOSQ. KOBITI II, Polling Unit, ABEOKUTA SOUTH, Ogun State, Nigeria</t>
  </si>
  <si>
    <t>27-02-10-009</t>
  </si>
  <si>
    <t>N.U.D. PRIMARY SCHOOL ISALE-IJEUN  I</t>
  </si>
  <si>
    <t>https://docs.inecelectionresults.net/elections_prod/1292/state/01/lga/02/ward/10/pu/009/009-1677410337.pdf</t>
  </si>
  <si>
    <t>N.U.D. PRIMARY SCHOOL ISALE-IJEUN  I, Polling Unit, ABEOKUTA SOUTH, Ogun State, Nigeria</t>
  </si>
  <si>
    <t>27-02-10-010</t>
  </si>
  <si>
    <t>N.U.D. PRIMARY SCHOOL ISALE-IJEUN  II</t>
  </si>
  <si>
    <t>https://docs.inecelectionresults.net/elections_prod/1292/state/01/lga/02/ward/10/pu/010/010-1677395576.pdf</t>
  </si>
  <si>
    <t>N.U.D. PRIMARY SCHOOL ISALE-IJEUN  II, Polling Unit, ABEOKUTA SOUTH, Ogun State, Nigeria</t>
  </si>
  <si>
    <t>SODEKE/SALE-IJEUN  II</t>
  </si>
  <si>
    <t>27-02-11-001</t>
  </si>
  <si>
    <t>OPEN SPACE NEAR ONJOKO MOSQ OKE-BODE  II</t>
  </si>
  <si>
    <t>https://docs.inecelectionresults.net/elections_prod/1292/state/01/lga/02/ward/11/pu/001/001-1677408732.pdf</t>
  </si>
  <si>
    <t>OPEN SPACE NEAR ONJOKO MOSQ OKE-BODE  II, Polling Unit, ABEOKUTA SOUTH, Ogun State, Nigeria</t>
  </si>
  <si>
    <t>27-02-11-002</t>
  </si>
  <si>
    <t>OPEN SPACE NEAR OKE-ITOKU MOSQ. I</t>
  </si>
  <si>
    <t>https://docs.inecelectionresults.net/elections_prod/1292/state/01/lga/02/ward/11/pu/002/002-1677415742.pdf</t>
  </si>
  <si>
    <t>OPEN SPACE NEAR OKE-ITOKU MOSQ. I, Polling Unit, ABEOKUTA SOUTH, Ogun State, Nigeria</t>
  </si>
  <si>
    <t>27-02-11-004</t>
  </si>
  <si>
    <t>NEAR ILE-OGBONI OKE-ITOKU</t>
  </si>
  <si>
    <t>https://docs.inecelectionresults.net/elections_prod/1292/state/01/lga/02/ward/11/pu/004/004-1677418265.pdf</t>
  </si>
  <si>
    <t>NEAR ILE-OGBONI OKE-ITOKU, Polling Unit, ABEOKUTA SOUTH, Ogun State, Nigeria</t>
  </si>
  <si>
    <t>27-02-11-005</t>
  </si>
  <si>
    <t>OPEN SPACE NEAR ILE-OGBONI OKE-ITOKU  II</t>
  </si>
  <si>
    <t>https://docs.inecelectionresults.net/elections_prod/1292/state/01/lga/02/ward/11/pu/005/005-1677416574.pdf</t>
  </si>
  <si>
    <t>OPEN SPACE NEAR ILE-OGBONI OKE-ITOKU  II, Polling Unit, ABEOKUTA SOUTH, Ogun State, Nigeria</t>
  </si>
  <si>
    <t>27-02-11-006</t>
  </si>
  <si>
    <t>OPEN SPACE NEAR TOWN PLANNING  - I</t>
  </si>
  <si>
    <t>https://docs.inecelectionresults.net/elections_prod/1292/state/01/lga/02/ward/11/pu/006/006-1677394239.pdf</t>
  </si>
  <si>
    <t>OPEN SPACE NEAR TOWN PLANNING  - I, Polling Unit, ABEOKUTA SOUTH, Ogun State, Nigeria</t>
  </si>
  <si>
    <t>27-02-11-007</t>
  </si>
  <si>
    <t>OPEN SPACE NEAR TOWN PLANNING - II</t>
  </si>
  <si>
    <t>https://docs.inecelectionresults.net/elections_prod/1292/state/01/lga/02/ward/11/pu/007/007-1677407636.pdf</t>
  </si>
  <si>
    <t>OPEN SPACE NEAR TOWN PLANNING - II, Polling Unit, ABEOKUTA SOUTH, Ogun State, Nigeria</t>
  </si>
  <si>
    <t>27-02-11-009</t>
  </si>
  <si>
    <t>OPEN SPACE OJULAKIJENA  II</t>
  </si>
  <si>
    <t>https://docs.inecelectionresults.net/elections_prod/1292/state/01/lga/02/ward/11/pu/009/009-1677415592.pdf</t>
  </si>
  <si>
    <t>OPEN SPACE OJULAKIJENA  II, Polling Unit, ABEOKUTA SOUTH, Ogun State, Nigeria</t>
  </si>
  <si>
    <t>27-02-11-010</t>
  </si>
  <si>
    <t>INF. OF O.G.B.C. IMO I</t>
  </si>
  <si>
    <t>https://docs.inecelectionresults.net/elections_prod/1292/state/01/lga/02/ward/11/pu/010/010-1677410685.pdf</t>
  </si>
  <si>
    <t>INF. OF O.G.B.C. IMO I, Polling Unit, ABEOKUTA SOUTH, Ogun State, Nigeria</t>
  </si>
  <si>
    <t>27-02-11-012</t>
  </si>
  <si>
    <t>OPEN SPACE NEAR KEHINDE'S HOUSE</t>
  </si>
  <si>
    <t>https://docs.inecelectionresults.net/elections_prod/1292/state/01/lga/02/ward/11/pu/012/012-1677418844.pdf</t>
  </si>
  <si>
    <t>OPEN SPACE NEAR KEHINDE'S HOUSE, Polling Unit, ABEOKUTA SOUTH, Ogun State, Nigeria</t>
  </si>
  <si>
    <t>27-02-11-013</t>
  </si>
  <si>
    <t>ST. JOSEPH R.C.M. OKE-BODE  I</t>
  </si>
  <si>
    <t>https://docs.inecelectionresults.net/elections_prod/1292/state/01/lga/02/ward/11/pu/013/013-1677413824.pdf</t>
  </si>
  <si>
    <t>ST. JOSEPH R.C.M. OKE-BODE  I, Polling Unit, ABEOKUTA SOUTH, Ogun State, Nigeria</t>
  </si>
  <si>
    <t>27-02-11-014</t>
  </si>
  <si>
    <t>ST. JOSEPH R.C.M. OKE-BODE  II</t>
  </si>
  <si>
    <t>https://docs.inecelectionresults.net/elections_prod/1292/state/01/lga/02/ward/11/pu/014/014-1677414092.pdf</t>
  </si>
  <si>
    <t>ST. JOSEPH R.C.M. OKE-BODE  II, Polling Unit, ABEOKUTA SOUTH, Ogun State, Nigeria</t>
  </si>
  <si>
    <t>27-02-11-015</t>
  </si>
  <si>
    <t>OPEN SPACE NEAR AGO-OTUN I</t>
  </si>
  <si>
    <t>https://docs.inecelectionresults.net/elections_prod/1292/state/01/lga/02/ward/11/pu/015/015-1677406466.pdf</t>
  </si>
  <si>
    <t>OPEN SPACE NEAR AGO-OTUN I, Polling Unit, ABEOKUTA SOUTH, Ogun State, Nigeria</t>
  </si>
  <si>
    <t>27-02-11-016</t>
  </si>
  <si>
    <t>OPEN SPACE NEAR AGO-OTUN II</t>
  </si>
  <si>
    <t>https://docs.inecelectionresults.net/elections_prod/1292/state/01/lga/02/ward/11/pu/016/016-1677401097.pdf</t>
  </si>
  <si>
    <t>OPEN SPACE NEAR AGO-OTUN II, Polling Unit, ABEOKUTA SOUTH, Ogun State, Nigeria</t>
  </si>
  <si>
    <t>27-02-11-018</t>
  </si>
  <si>
    <t>OPEN SPACE KEMTA ODUTOLU MOSQ</t>
  </si>
  <si>
    <t>https://docs.inecelectionresults.net/elections_prod/1292/state/01/lga/02/ward/11/pu/018/018-1677396039.pdf</t>
  </si>
  <si>
    <t>OPEN SPACE KEMTA ODUTOLU MOSQ, Polling Unit, ABEOKUTA SOUTH, Ogun State, Nigeria</t>
  </si>
  <si>
    <t>27-02-11-019</t>
  </si>
  <si>
    <t>OPEN SPACE BUS STOP, BATA ITOKU I</t>
  </si>
  <si>
    <t>https://docs.inecelectionresults.net/elections_prod/1292/state/01/lga/02/ward/11/pu/019/019-1677403718.pdf</t>
  </si>
  <si>
    <t>OPEN SPACE BUS STOP, BATA ITOKU I, Polling Unit, ABEOKUTA SOUTH, Ogun State, Nigeria</t>
  </si>
  <si>
    <t>27-02-11-020</t>
  </si>
  <si>
    <t>OPEN SPACE BUS STOP, BATA ITOKU II</t>
  </si>
  <si>
    <t>https://docs.inecelectionresults.net/elections_prod/1292/state/01/lga/02/ward/11/pu/020/020-1677415087.pdf</t>
  </si>
  <si>
    <t>OPEN SPACE BUS STOP, BATA ITOKU II, Polling Unit, ABEOKUTA SOUTH, Ogun State, Nigeria</t>
  </si>
  <si>
    <t>27-02-11-021</t>
  </si>
  <si>
    <t>OPEN SPACE AT ODUNBAKU CLOSE</t>
  </si>
  <si>
    <t>https://docs.inecelectionresults.net/elections_prod/1292/state/01/lga/02/ward/11/pu/021/021-1677416467.pdf</t>
  </si>
  <si>
    <t>OPEN SPACE AT ODUNBAKU CLOSE, Polling Unit, ABEOKUTA SOUTH, Ogun State, Nigeria</t>
  </si>
  <si>
    <t>27-02-11-022</t>
  </si>
  <si>
    <t>OPEN SPACE NEAR AKINSOLA'S HOUSE</t>
  </si>
  <si>
    <t>https://docs.inecelectionresults.net/elections_prod/1292/state/01/lga/02/ward/11/pu/022/022-1677417051.pdf</t>
  </si>
  <si>
    <t>OPEN SPACE NEAR AKINSOLA'S HOUSE, Polling Unit, ABEOKUTA SOUTH, Ogun State, Nigeria</t>
  </si>
  <si>
    <t>27-02-11-023</t>
  </si>
  <si>
    <t>OPEN SPACE BESIDE ITOKU MOSQUE I</t>
  </si>
  <si>
    <t>https://docs.inecelectionresults.net/elections_prod/1292/state/01/lga/02/ward/11/pu/023/023-1677419265.pdf</t>
  </si>
  <si>
    <t>OPEN SPACE BESIDE ITOKU MOSQUE I, Polling Unit, ABEOKUTA SOUTH, Ogun State, Nigeria</t>
  </si>
  <si>
    <t>27-02-11-024</t>
  </si>
  <si>
    <t>OPEN SPACE BESIDE ITOKU MOSQUE II</t>
  </si>
  <si>
    <t>https://docs.inecelectionresults.net/elections_prod/1292/state/01/lga/02/ward/11/pu/024/024-1677416950.pdf</t>
  </si>
  <si>
    <t>OPEN SPACE BESIDE ITOKU MOSQUE II, Polling Unit, ABEOKUTA SOUTH, Ogun State, Nigeria</t>
  </si>
  <si>
    <t>27-02-11-025</t>
  </si>
  <si>
    <t>PRIMARY SCH IDI-APE I</t>
  </si>
  <si>
    <t>https://docs.inecelectionresults.net/elections_prod/1292/state/01/lga/02/ward/11/pu/025/025-1677413623.pdf</t>
  </si>
  <si>
    <t>PRIMARY SCH IDI-APE I, Polling Unit, ABEOKUTA SOUTH, Ogun State, Nigeria</t>
  </si>
  <si>
    <t>IMO/ISABO</t>
  </si>
  <si>
    <t>27-02-12-001</t>
  </si>
  <si>
    <t>OPEN SPACE NEAR MRS. KUTI'S HOUSE</t>
  </si>
  <si>
    <t>https://docs.inecelectionresults.net/elections_prod/1292/state/01/lga/02/ward/12/pu/001/001-1677396924.pdf</t>
  </si>
  <si>
    <t>OPEN SPACE NEAR MRS. KUTI'S HOUSE, Polling Unit, ABEOKUTA SOUTH, Ogun State, Nigeria</t>
  </si>
  <si>
    <t>27-02-12-005</t>
  </si>
  <si>
    <t>OPEN SPACE ITA-AGEMO II [ARO'S HOUSE]</t>
  </si>
  <si>
    <t>https://docs.inecelectionresults.net/elections_prod/1292/state/01/lga/02/ward/12/pu/005/005-1677412043.pdf</t>
  </si>
  <si>
    <t>OPEN SPACE ITA-AGEMO II [ARO'S HOUSE], Polling Unit, ABEOKUTA SOUTH, Ogun State, Nigeria</t>
  </si>
  <si>
    <t>27-02-12-006</t>
  </si>
  <si>
    <t>ITA OGBONI IGBEIN</t>
  </si>
  <si>
    <t>https://docs.inecelectionresults.net/elections_prod/1292/state/01/lga/02/ward/12/pu/006/006-1677414025.pdf</t>
  </si>
  <si>
    <t>ITA OGBONI IGBEIN, Polling Unit, ABEOKUTA SOUTH, Ogun State, Nigeria</t>
  </si>
  <si>
    <t>27-02-12-009</t>
  </si>
  <si>
    <t>CONT. EDUCATION CENTRE 1 [ZENITH BANK]</t>
  </si>
  <si>
    <t>https://docs.inecelectionresults.net/elections_prod/1292/state/01/lga/02/ward/12/pu/009/009-1677410599.pdf</t>
  </si>
  <si>
    <t>CONT. EDUCATION CENTRE 1 [ZENITH BANK], Polling Unit, ABEOKUTA SOUTH, Ogun State, Nigeria</t>
  </si>
  <si>
    <t>27-02-12-016</t>
  </si>
  <si>
    <t>METH PRIMARY SCHOOL OKE-YEKE 1</t>
  </si>
  <si>
    <t>https://docs.inecelectionresults.net/elections_prod/1292/state/01/lga/02/ward/12/pu/016/016-1677409673.pdf</t>
  </si>
  <si>
    <t>METH PRIMARY SCHOOL OKE-YEKE 1, Polling Unit, ABEOKUTA SOUTH, Ogun State, Nigeria</t>
  </si>
  <si>
    <t>27-02-12-017</t>
  </si>
  <si>
    <t>METH PRIMARY SCHOOL OKE-YEKE  II</t>
  </si>
  <si>
    <t>https://docs.inecelectionresults.net/elections_prod/1292/state/1/lga/3667/ward/23977/pu/91247/91247-1677498425.pdf</t>
  </si>
  <si>
    <t>METH PRIMARY SCHOOL OKE-YEKE  II, Polling Unit, ABEOKUTA SOUTH, Ogun State, Nigeria</t>
  </si>
  <si>
    <t>27-02-12-019</t>
  </si>
  <si>
    <t>OPP. MAGISTRATE COURT  I ISABO</t>
  </si>
  <si>
    <t>https://docs.inecelectionresults.net/elections_prod/1292/state/01/lga/02/ward/12/pu/019/019-1677408571.pdf</t>
  </si>
  <si>
    <t>OPP. MAGISTRATE COURT  I ISABO, Polling Unit, ABEOKUTA SOUTH, Ogun State, Nigeria</t>
  </si>
  <si>
    <t>27-02-12-024</t>
  </si>
  <si>
    <t>OPEN SPACE ISALE OJA  II</t>
  </si>
  <si>
    <t>https://docs.inecelectionresults.net/elections_prod/1292/state/01/lga/02/ward/12/pu/024/024-1677406399.pdf</t>
  </si>
  <si>
    <t>OPEN SPACE ISALE OJA  II, Polling Unit, ABEOKUTA SOUTH, Ogun State, Nigeria</t>
  </si>
  <si>
    <t>IGBORE/AGO OBA</t>
  </si>
  <si>
    <t>27-02-13-001</t>
  </si>
  <si>
    <t>ST. PAULS SCHOOL IGBORE</t>
  </si>
  <si>
    <t>https://docs.inecelectionresults.net/elections_prod/1292/state/01/lga/02/ward/13/pu/001/001-1677399349.pdf</t>
  </si>
  <si>
    <t>ST. PAULS SCHOOL IGBORE, Polling Unit, ABEOKUTA SOUTH, Ogun State, Nigeria</t>
  </si>
  <si>
    <t>27-02-13-002</t>
  </si>
  <si>
    <t>IGBORE TOWN HALL   I</t>
  </si>
  <si>
    <t>https://docs.inecelectionresults.net/elections_prod/1292/state/01/lga/02/ward/13/pu/002/002-1677399782.pdf</t>
  </si>
  <si>
    <t>IGBORE TOWN HALL   I, Polling Unit, ABEOKUTA SOUTH, Ogun State, Nigeria</t>
  </si>
  <si>
    <t>27-02-13-003</t>
  </si>
  <si>
    <t>IGBORE TOWN HALL   II</t>
  </si>
  <si>
    <t>https://docs.inecelectionresults.net/elections_prod/1292/state/01/lga/02/ward/13/pu/003/003-1677400433.pdf</t>
  </si>
  <si>
    <t>IGBORE TOWN HALL   II, Polling Unit, ABEOKUTA SOUTH, Ogun State, Nigeria</t>
  </si>
  <si>
    <t>27-02-13-004</t>
  </si>
  <si>
    <t>OPEN SPACE NEAR LALOKO COMPOUND I</t>
  </si>
  <si>
    <t>https://docs.inecelectionresults.net/elections_prod/1292/state/01/lga/02/ward/13/pu/004/004-1677391267.pdf</t>
  </si>
  <si>
    <t>OPEN SPACE NEAR LALOKO COMPOUND I, Polling Unit, ABEOKUTA SOUTH, Ogun State, Nigeria</t>
  </si>
  <si>
    <t>27-02-13-005</t>
  </si>
  <si>
    <t>OPEN SPACE NEAR LALOKO COMPOUND II</t>
  </si>
  <si>
    <t>https://docs.inecelectionresults.net/elections_prod/1292/state/01/lga/02/ward/13/pu/005/005-1677395019.pdf</t>
  </si>
  <si>
    <t>OPEN SPACE NEAR LALOKO COMPOUND II, Polling Unit, ABEOKUTA SOUTH, Ogun State, Nigeria</t>
  </si>
  <si>
    <t>27-02-13-006</t>
  </si>
  <si>
    <t>OPEN SPACE NEAR CHRIST AFRICAN CHURCH I</t>
  </si>
  <si>
    <t>https://docs.inecelectionresults.net/elections_prod/1292/state/01/lga/02/ward/13/pu/006/006-1677399597.pdf</t>
  </si>
  <si>
    <t>OPEN SPACE NEAR CHRIST AFRICAN CHURCH I, Polling Unit, ABEOKUTA SOUTH, Ogun State, Nigeria</t>
  </si>
  <si>
    <t>27-02-13-007</t>
  </si>
  <si>
    <t>OPEN SPACE NEAR CHRIST AFRICAN CHURCH II</t>
  </si>
  <si>
    <t>https://docs.inecelectionresults.net/elections_prod/1292/state/01/lga/02/ward/13/pu/007/007-1677400973.pdf</t>
  </si>
  <si>
    <t>OPEN SPACE NEAR CHRIST AFRICAN CHURCH II, Polling Unit, ABEOKUTA SOUTH, Ogun State, Nigeria</t>
  </si>
  <si>
    <t>27-02-13-008</t>
  </si>
  <si>
    <t>OPEN SPACE NEAR NTABO MOSQUE I</t>
  </si>
  <si>
    <t>https://inec-cvr-cache.s3.eu-west-1.amazonaws.com/cached/results/90177/result_76672_1677492691_thumb.jpg</t>
  </si>
  <si>
    <t>OPEN SPACE NEAR NTABO MOSQUE I, Polling Unit, ABEOKUTA SOUTH, Ogun State, Nigeria</t>
  </si>
  <si>
    <t>27-02-13-009</t>
  </si>
  <si>
    <t>OPEN SPACE NEAR NTABO MOSQUE II</t>
  </si>
  <si>
    <t>https://docs.inecelectionresults.net/elections_prod/1292/state/01/lga/02/ward/13/pu/009/009-1677394466.pdf</t>
  </si>
  <si>
    <t>OPEN SPACE NEAR NTABO MOSQUE II, Polling Unit, ABEOKUTA SOUTH, Ogun State, Nigeria</t>
  </si>
  <si>
    <t>27-02-13-010</t>
  </si>
  <si>
    <t>TEMIDIRE MATERNITY HOSPITAL, ITORI</t>
  </si>
  <si>
    <t>https://docs.inecelectionresults.net/elections_prod/1292/state/01/lga/02/ward/13/pu/010/010-1677400502.pdf</t>
  </si>
  <si>
    <t>TEMIDIRE MATERNITY HOSPITAL, ITORI, Polling Unit, ABEOKUTA SOUTH, Ogun State, Nigeria</t>
  </si>
  <si>
    <t>27-02-13-011</t>
  </si>
  <si>
    <t>OPEN SPACE NEAR OLUWO'S COMPOUND I, AGO-OBA</t>
  </si>
  <si>
    <t>https://docs.inecelectionresults.net/elections_prod/1292/state/01/lga/02/ward/13/pu/011/011-1677397313.pdf</t>
  </si>
  <si>
    <t>OPEN SPACE NEAR OLUWO'S COMPOUND I, AGO-OBA, Polling Unit, ABEOKUTA SOUTH, Ogun State, Nigeria</t>
  </si>
  <si>
    <t>27-02-13-012</t>
  </si>
  <si>
    <t>OPEN SPACE NEAR APOSTOLIC FAITH CHURCH</t>
  </si>
  <si>
    <t>https://docs.inecelectionresults.net/elections_prod/1292/state/01/lga/02/ward/13/pu/012/012-1677393715.pdf</t>
  </si>
  <si>
    <t>OPEN SPACE NEAR APOSTOLIC FAITH CHURCH, Polling Unit, ABEOKUTA SOUTH, Ogun State, Nigeria</t>
  </si>
  <si>
    <t>27-02-13-013</t>
  </si>
  <si>
    <t>OPEN SPACE NEAR OGBONI'S, ITORI-OKE</t>
  </si>
  <si>
    <t>https://docs.inecelectionresults.net/elections_prod/1292/state/01/lga/02/ward/13/pu/013/013-1677395681.pdf</t>
  </si>
  <si>
    <t>OPEN SPACE NEAR OGBONI'S, ITORI-OKE, Polling Unit, ABEOKUTA SOUTH, Ogun State, Nigeria</t>
  </si>
  <si>
    <t>27-02-13-014</t>
  </si>
  <si>
    <t>OPEN SPACE NEAR 'IGBORE JUNCTION I</t>
  </si>
  <si>
    <t>https://docs.inecelectionresults.net/elections_prod/1292/state/01/lga/02/ward/13/pu/014/014-1677401066.pdf</t>
  </si>
  <si>
    <t>OPEN SPACE NEAR 'IGBORE JUNCTION I, Polling Unit, ABEOKUTA SOUTH, Ogun State, Nigeria</t>
  </si>
  <si>
    <t>27-02-13-015</t>
  </si>
  <si>
    <t>OPEN SPACE NEAR 'IGBORE JUNCTION II</t>
  </si>
  <si>
    <t>https://docs.inecelectionresults.net/elections_prod/1292/state/01/lga/02/ward/13/pu/015/015-1677397932.pdf</t>
  </si>
  <si>
    <t>OPEN SPACE NEAR 'IGBORE JUNCTION II, Polling Unit, ABEOKUTA SOUTH, Ogun State, Nigeria</t>
  </si>
  <si>
    <t>27-02-13-016</t>
  </si>
  <si>
    <t>OPEN SPACE NEAR ODO-OYO MOSQUE I</t>
  </si>
  <si>
    <t>https://docs.inecelectionresults.net/elections_prod/1292/state/01/lga/02/ward/13/pu/016/016-1677398942.pdf</t>
  </si>
  <si>
    <t>OPEN SPACE NEAR ODO-OYO MOSQUE I, Polling Unit, ABEOKUTA SOUTH, Ogun State, Nigeria</t>
  </si>
  <si>
    <t>27-02-13-017</t>
  </si>
  <si>
    <t>OPEN SPACE NEAR ODO-OYO MOSQUE II</t>
  </si>
  <si>
    <t>https://docs.inecelectionresults.net/elections_prod/1292/state/01/lga/02/ward/13/pu/017/017-1677397268.pdf</t>
  </si>
  <si>
    <t>OPEN SPACE NEAR ODO-OYO MOSQUE II, Polling Unit, ABEOKUTA SOUTH, Ogun State, Nigeria</t>
  </si>
  <si>
    <t>27-02-13-018</t>
  </si>
  <si>
    <t>A.L.G. PRIMARY SCHOOL AGO-OBA</t>
  </si>
  <si>
    <t>https://docs.inecelectionresults.net/elections_prod/1292/state/01/lga/02/ward/13/pu/018/018-1677395462.pdf</t>
  </si>
  <si>
    <t>A.L.G. PRIMARY SCHOOL AGO-OBA, Polling Unit, ABEOKUTA SOUTH, Ogun State, Nigeria</t>
  </si>
  <si>
    <t>27-02-13-019</t>
  </si>
  <si>
    <t>METH PRIMARY SCHOOL OGBE  I</t>
  </si>
  <si>
    <t>https://docs.inecelectionresults.net/elections_prod/1292/state/01/lga/02/ward/13/pu/019/019-1677392011.pdf</t>
  </si>
  <si>
    <t>METH PRIMARY SCHOOL OGBE  I, Polling Unit, ABEOKUTA SOUTH, Ogun State, Nigeria</t>
  </si>
  <si>
    <t>27-02-13-020</t>
  </si>
  <si>
    <t>METH PRIMARY SCHOOL OGBE  II</t>
  </si>
  <si>
    <t>https://docs.inecelectionresults.net/elections_prod/1292/state/01/lga/02/ward/13/pu/020/020-1677390238.pdf</t>
  </si>
  <si>
    <t>METH PRIMARY SCHOOL OGBE  II, Polling Unit, ABEOKUTA SOUTH, Ogun State, Nigeria</t>
  </si>
  <si>
    <t>27-02-13-021</t>
  </si>
  <si>
    <t>OPEN SPACE NEAR ITORI ODO MOSQUE</t>
  </si>
  <si>
    <t>https://docs.inecelectionresults.net/elections_prod/1292/state/01/lga/02/ward/13/pu/021/021-1677396459.pdf</t>
  </si>
  <si>
    <t>OPEN SPACE NEAR ITORI ODO MOSQUE, Polling Unit, ABEOKUTA SOUTH, Ogun State, Nigeria</t>
  </si>
  <si>
    <t>27-02-13-022</t>
  </si>
  <si>
    <t>OPEN SPACE INFRONT OF CHIEF AKINREMI'S HOUSE (ITORI-ODO)</t>
  </si>
  <si>
    <t>https://docs.inecelectionresults.net/elections_prod/1292/state/01/lga/02/ward/13/pu/022/022-1677392847.pdf</t>
  </si>
  <si>
    <t>OPEN SPACE INFRONT OF CHIEF AKINREMI'S HOUSE (ITORI-ODO), Polling Unit, ABEOKUTA SOUTH, Ogun State, Nigeria</t>
  </si>
  <si>
    <t>27-02-13-023</t>
  </si>
  <si>
    <t>OPEN SPACE NEAR AGO-OBA CENTRAL MOSQUE</t>
  </si>
  <si>
    <t>https://docs.inecelectionresults.net/elections_prod/1292/state/01/lga/02/ward/13/pu/023/023-1677398774.pdf</t>
  </si>
  <si>
    <t>OPEN SPACE NEAR AGO-OBA CENTRAL MOSQUE, Polling Unit, ABEOKUTA SOUTH, Ogun State, Nigeria</t>
  </si>
  <si>
    <t>IBARA  I</t>
  </si>
  <si>
    <t>27-02-14-001</t>
  </si>
  <si>
    <t>OPEN SPACE NEAR MERCY HOSPITAL</t>
  </si>
  <si>
    <t>https://docs.inecelectionresults.net/elections_prod/1292/state/01/lga/02/ward/14/pu/001/001-1677390850.pdf</t>
  </si>
  <si>
    <t>OPEN SPACE NEAR MERCY HOSPITAL, Polling Unit, ABEOKUTA SOUTH, Ogun State, Nigeria</t>
  </si>
  <si>
    <t>27-02-14-002</t>
  </si>
  <si>
    <t>O.L.L. PRIMARY SCHOOL ONIKOKO</t>
  </si>
  <si>
    <t>https://docs.inecelectionresults.net/elections_prod/1292/state/01/lga/02/ward/14/pu/002/002-1677391252.pdf</t>
  </si>
  <si>
    <t>O.L.L. PRIMARY SCHOOL ONIKOKO, Polling Unit, ABEOKUTA SOUTH, Ogun State, Nigeria</t>
  </si>
  <si>
    <t>27-02-14-003</t>
  </si>
  <si>
    <t>OPEN SPACE 'SARAKI ILUPEJU ADIGBE I</t>
  </si>
  <si>
    <t>https://docs.inecelectionresults.net/elections_prod/1292/state/01/lga/02/ward/14/pu/003/003-1677409683.pdf</t>
  </si>
  <si>
    <t>OPEN SPACE 'SARAKI ILUPEJU ADIGBE I, Polling Unit, ABEOKUTA SOUTH, Ogun State, Nigeria</t>
  </si>
  <si>
    <t>27-02-14-004</t>
  </si>
  <si>
    <t>OPEN SPACE SARAKI ILUPEJU ADIGBE  II</t>
  </si>
  <si>
    <t>https://docs.inecelectionresults.net/elections_prod/1292/state/01/lga/02/ward/14/pu/004/004-1677402024.pdf</t>
  </si>
  <si>
    <t>OPEN SPACE SARAKI ILUPEJU ADIGBE  II, Polling Unit, ABEOKUTA SOUTH, Ogun State, Nigeria</t>
  </si>
  <si>
    <t>27-02-14-005</t>
  </si>
  <si>
    <t>OPEN SPACE NEAR SAFARI JUNCTION</t>
  </si>
  <si>
    <t>https://docs.inecelectionresults.net/elections_prod/1292/state/01/lga/02/ward/14/pu/005/005-1677412283.pdf</t>
  </si>
  <si>
    <t>OPEN SPACE NEAR SAFARI JUNCTION, Polling Unit, ABEOKUTA SOUTH, Ogun State, Nigeria</t>
  </si>
  <si>
    <t>27-02-14-006</t>
  </si>
  <si>
    <t>HOUSING ESTATE PRIMARY SCH. ONIKOLOBO  I</t>
  </si>
  <si>
    <t>https://docs.inecelectionresults.net/elections_prod/1292/state/01/lga/02/ward/14/pu/006/006-1677393819.pdf</t>
  </si>
  <si>
    <t>HOUSING ESTATE PRIMARY SCH. ONIKOLOBO  I, Polling Unit, ABEOKUTA SOUTH, Ogun State, Nigeria</t>
  </si>
  <si>
    <t>27-02-14-007</t>
  </si>
  <si>
    <t>HOUSING ESTATE PRIMARY SCH. ONIKOLOBO  II</t>
  </si>
  <si>
    <t>https://docs.inecelectionresults.net/elections_prod/1292/state/01/lga/02/ward/14/pu/007/007-1677399013.pdf</t>
  </si>
  <si>
    <t>HOUSING ESTATE PRIMARY SCH. ONIKOLOBO  II, Polling Unit, ABEOKUTA SOUTH, Ogun State, Nigeria</t>
  </si>
  <si>
    <t>27-02-14-009</t>
  </si>
  <si>
    <t>ST. PAULS DEMONSTRATION SCHOOL SODUBI  I</t>
  </si>
  <si>
    <t>https://docs.inecelectionresults.net/elections_prod/1292/state/01/lga/02/ward/14/pu/009/009-1677416085.pdf</t>
  </si>
  <si>
    <t>ST. PAULS DEMONSTRATION SCHOOL SODUBI  I, Polling Unit, ABEOKUTA SOUTH, Ogun State, Nigeria</t>
  </si>
  <si>
    <t>27-02-14-010</t>
  </si>
  <si>
    <t>ST. PAULS DEMONSTRATION SCHOOL SODUBI  II</t>
  </si>
  <si>
    <t>https://docs.inecelectionresults.net/elections_prod/1292/state/01/lga/02/ward/14/pu/010/010-1677418900.pdf</t>
  </si>
  <si>
    <t>ST. PAULS DEMONSTRATION SCHOOL SODUBI  II, Polling Unit, ABEOKUTA SOUTH, Ogun State, Nigeria</t>
  </si>
  <si>
    <t>27-02-14-011</t>
  </si>
  <si>
    <t>IJEMO TITUN HIGH SCHOOL</t>
  </si>
  <si>
    <t>https://docs.inecelectionresults.net/elections_prod/1292/state/01/lga/02/ward/14/pu/011/011-1677412953.pdf</t>
  </si>
  <si>
    <t>IJEMO TITUN HIGH SCHOOL, Polling Unit, ABEOKUTA SOUTH, Ogun State, Nigeria</t>
  </si>
  <si>
    <t>27-02-14-012</t>
  </si>
  <si>
    <t>OPEN SPACE AT OLOKEMEJI  I</t>
  </si>
  <si>
    <t>https://docs.inecelectionresults.net/elections_prod/1292/state/01/lga/02/ward/14/pu/012/012-1677419987.pdf</t>
  </si>
  <si>
    <t>OPEN SPACE AT OLOKEMEJI  I, Polling Unit, ABEOKUTA SOUTH, Ogun State, Nigeria</t>
  </si>
  <si>
    <t>27-02-14-013</t>
  </si>
  <si>
    <t>ANGLICAN HIGH SCHOOL IBARA I</t>
  </si>
  <si>
    <t>https://docs.inecelectionresults.net/elections_prod/1292/state/01/lga/02/ward/14/pu/013/013-1677389866.pdf</t>
  </si>
  <si>
    <t>ANGLICAN HIGH SCHOOL IBARA I, Polling Unit, ABEOKUTA SOUTH, Ogun State, Nigeria</t>
  </si>
  <si>
    <t>27-02-14-014</t>
  </si>
  <si>
    <t>ANGLICAN HIGH SCHOOL IBARA  II</t>
  </si>
  <si>
    <t>https://docs.inecelectionresults.net/elections_prod/1292/state/01/lga/02/ward/14/pu/014/014-1677420871.pdf</t>
  </si>
  <si>
    <t>ANGLICAN HIGH SCHOOL IBARA  II, Polling Unit, ABEOKUTA SOUTH, Ogun State, Nigeria</t>
  </si>
  <si>
    <t>27-02-14-015</t>
  </si>
  <si>
    <t>OPEN SPACE NEAR CHIEF OMOLOLU'S HOUSE</t>
  </si>
  <si>
    <t>https://docs.inecelectionresults.net/elections_prod/1292/state/01/lga/02/ward/14/pu/015/015-1677399713.pdf</t>
  </si>
  <si>
    <t>OPEN SPACE NEAR CHIEF OMOLOLU'S HOUSE, Polling Unit, ABEOKUTA SOUTH, Ogun State, Nigeria</t>
  </si>
  <si>
    <t>27-02-14-016</t>
  </si>
  <si>
    <t>OPEN SPACE NEAR SARAKI BUS-STOP ADIGBE</t>
  </si>
  <si>
    <t>https://docs.inecelectionresults.net/elections_prod/1292/state/01/lga/02/ward/14/pu/016/016-1677371609.pdf</t>
  </si>
  <si>
    <t>OPEN SPACE NEAR SARAKI BUS-STOP ADIGBE, Polling Unit, ABEOKUTA SOUTH, Ogun State, Nigeria</t>
  </si>
  <si>
    <t>27-02-14-017</t>
  </si>
  <si>
    <t>https://docs.inecelectionresults.net/elections_prod/1292/state/01/lga/02/ward/14/pu/017/017-1677370673.pdf</t>
  </si>
  <si>
    <t>IBARA  II</t>
  </si>
  <si>
    <t>27-02-15-001</t>
  </si>
  <si>
    <t>NEAR IDI ISIN IBARA I</t>
  </si>
  <si>
    <t>https://docs.inecelectionresults.net/elections_prod/1292/state/01/lga/02/ward/15/pu/001/001-1677407056.pdf</t>
  </si>
  <si>
    <t>NEAR IDI ISIN IBARA I, Polling Unit, ABEOKUTA SOUTH, Ogun State, Nigeria</t>
  </si>
  <si>
    <t>27-02-15-002</t>
  </si>
  <si>
    <t>NEAR IDI ISIN IBARA II</t>
  </si>
  <si>
    <t>https://docs.inecelectionresults.net/elections_prod/1292/state/01/lga/02/ward/15/pu/002/002-1677407747.pdf</t>
  </si>
  <si>
    <t>NEAR IDI ISIN IBARA II, Polling Unit, ABEOKUTA SOUTH, Ogun State, Nigeria</t>
  </si>
  <si>
    <t>27-02-15-003</t>
  </si>
  <si>
    <t>OPEN SPACE NEAR OKE IPA IJEJA</t>
  </si>
  <si>
    <t>https://docs.inecelectionresults.net/elections_prod/1292/state/01/lga/02/ward/15/pu/003/003-1677408293.pdf</t>
  </si>
  <si>
    <t>OPEN SPACE NEAR OKE IPA IJEJA, Polling Unit, ABEOKUTA SOUTH, Ogun State, Nigeria</t>
  </si>
  <si>
    <t>27-02-15-004</t>
  </si>
  <si>
    <t>OLD IJEJA HIGH SCHOOL</t>
  </si>
  <si>
    <t>https://docs.inecelectionresults.net/elections_prod/1292/state/01/lga/02/ward/15/pu/004/004-1677408524.pdf</t>
  </si>
  <si>
    <t>OLD IJEJA HIGH SCHOOL, Polling Unit, ABEOKUTA SOUTH, Ogun State, Nigeria</t>
  </si>
  <si>
    <t>27-02-15-005</t>
  </si>
  <si>
    <t>ST. ANDREW PRIMARY SCHOOL IBARA</t>
  </si>
  <si>
    <t>https://docs.inecelectionresults.net/elections_prod/1292/state/01/lga/02/ward/15/pu/005/005-1677410009.pdf</t>
  </si>
  <si>
    <t>ST. ANDREW PRIMARY SCHOOL IBARA, Polling Unit, ABEOKUTA SOUTH, Ogun State, Nigeria</t>
  </si>
  <si>
    <t>27-02-15-006</t>
  </si>
  <si>
    <t>OPEN SPACE NEAR BUS-STOP  ITA EKO</t>
  </si>
  <si>
    <t>https://docs.inecelectionresults.net/elections_prod/1292/state/01/lga/02/ward/15/pu/006/006-1677409277.pdf</t>
  </si>
  <si>
    <t>OPEN SPACE NEAR BUS-STOP  ITA EKO, Polling Unit, ABEOKUTA SOUTH, Ogun State, Nigeria</t>
  </si>
  <si>
    <t>27-02-15-007</t>
  </si>
  <si>
    <t>OPEN SPACE AT OGUNDIMU SURULERE AT ITA-EKO</t>
  </si>
  <si>
    <t>https://docs.inecelectionresults.net/elections_prod/1292/state/01/lga/02/ward/15/pu/007/007-1677411977.pdf</t>
  </si>
  <si>
    <t>OPEN SPACE AT OGUNDIMU SURULERE AT ITA-EKO, Polling Unit, ABEOKUTA SOUTH, Ogun State, Nigeria</t>
  </si>
  <si>
    <t>27-02-15-008</t>
  </si>
  <si>
    <t>ST. ANNES PRIMARY SCH. OKE-ILEWO</t>
  </si>
  <si>
    <t>https://docs.inecelectionresults.net/elections_prod/1292/state/01/lga/02/ward/15/pu/008/008-1677410663.pdf</t>
  </si>
  <si>
    <t>ST. ANNES PRIMARY SCH. OKE-ILEWO, Polling Unit, ABEOKUTA SOUTH, Ogun State, Nigeria</t>
  </si>
  <si>
    <t>27-02-15-009</t>
  </si>
  <si>
    <t>OPP. OLD OGUN STATE LIBRARY</t>
  </si>
  <si>
    <t>https://docs.inecelectionresults.net/elections_prod/1292/state/01/lga/02/ward/15/pu/009/009-1677411428.pdf</t>
  </si>
  <si>
    <t>OPP. OLD OGUN STATE LIBRARY, Polling Unit, ABEOKUTA SOUTH, Ogun State, Nigeria</t>
  </si>
  <si>
    <t>27-02-15-011</t>
  </si>
  <si>
    <t>G.R.A. SPORTS FIELD I</t>
  </si>
  <si>
    <t>https://docs.inecelectionresults.net/elections_prod/1292/state/01/lga/02/ward/15/pu/011/011-1677412782.pdf</t>
  </si>
  <si>
    <t>G.R.A. SPORTS FIELD I, Polling Unit, ABEOKUTA SOUTH, Ogun State, Nigeria</t>
  </si>
  <si>
    <t>27-02-15-013</t>
  </si>
  <si>
    <t>OPEN SPACE NEAR BUS-STOP AT OMIDA I</t>
  </si>
  <si>
    <t>https://docs.inecelectionresults.net/elections_prod/1292/state/01/lga/02/ward/15/pu/013/013-1677414026.pdf</t>
  </si>
  <si>
    <t>OPEN SPACE NEAR BUS-STOP AT OMIDA I, Polling Unit, ABEOKUTA SOUTH, Ogun State, Nigeria</t>
  </si>
  <si>
    <t>27-02-15-014</t>
  </si>
  <si>
    <t>OPEN SPACE NEAR BUS-STOP AT OMIDA II</t>
  </si>
  <si>
    <t>https://docs.inecelectionresults.net/elections_prod/1292/state/01/lga/02/ward/15/pu/014/014-1677414430.pdf</t>
  </si>
  <si>
    <t>OPEN SPACE NEAR BUS-STOP AT OMIDA II, Polling Unit, ABEOKUTA SOUTH, Ogun State, Nigeria</t>
  </si>
  <si>
    <t>27-02-15-015</t>
  </si>
  <si>
    <t>OPEN SPACE NEAR FIDELITY BANK, IBARA</t>
  </si>
  <si>
    <t>https://docs.inecelectionresults.net/elections_prod/1292/state/01/lga/02/ward/15/pu/015/015-1677414907.pdf</t>
  </si>
  <si>
    <t>OPEN SPACE NEAR FIDELITY BANK, IBARA, Polling Unit, ABEOKUTA SOUTH, Ogun State, Nigeria</t>
  </si>
  <si>
    <t>27-02-15-016</t>
  </si>
  <si>
    <t>OPEN SPACE AT OLURO COMPOUND</t>
  </si>
  <si>
    <t>https://docs.inecelectionresults.net/elections_prod/1292/state/01/lga/02/ward/15/pu/016/016-1677415275.pdf</t>
  </si>
  <si>
    <t>OPEN SPACE AT OLURO COMPOUND, Polling Unit, ABEOKUTA SOUTH, Ogun State, Nigeria</t>
  </si>
  <si>
    <t>27-02-15-017</t>
  </si>
  <si>
    <t>OPEN SPACE IN FRONT OF OGBC, IBARA HOUSING</t>
  </si>
  <si>
    <t>https://docs.inecelectionresults.net/elections_prod/1292/state/01/lga/02/ward/15/pu/017/017-1677415658.pdf</t>
  </si>
  <si>
    <t>OPEN SPACE IN FRONT OF OGBC, IBARA HOUSING, Polling Unit, ABEOKUTA SOUTH, Ogun State, Nigeria</t>
  </si>
  <si>
    <t>27-02-15-018</t>
  </si>
  <si>
    <t>OPEN SPACE OPP. OLOKE VILLAGE , IBARA HOUSING ESTATE</t>
  </si>
  <si>
    <t>https://docs.inecelectionresults.net/elections_prod/1292/state/01/lga/02/ward/15/pu/018/018-1677416428.pdf</t>
  </si>
  <si>
    <t>OPEN SPACE OPP. OLOKE VILLAGE , IBARA HOUSING ESTATE, Polling Unit, ABEOKUTA SOUTH, Ogun State, Nigeria</t>
  </si>
  <si>
    <t>ADO ODO-OTA</t>
  </si>
  <si>
    <t>OTA  I</t>
  </si>
  <si>
    <t>27-03-01-002</t>
  </si>
  <si>
    <t>C.M.S  IPATE II</t>
  </si>
  <si>
    <t>https://docs.inecelectionresults.net/elections_prod/1292/state/1/lga/3668/ward/23981/pu/91315/91315-1677474224.pdf</t>
  </si>
  <si>
    <t>C.M.S  IPATE II, Polling Unit, ADO ODO-OTA, Ogun State, Nigeria</t>
  </si>
  <si>
    <t>27-03-01-003</t>
  </si>
  <si>
    <t>IYEDI - TITUN</t>
  </si>
  <si>
    <t>https://docs.inecelectionresults.net/elections_prod/1292/state/01/lga/03/ward/01/pu/003/003-1677382984.pdf</t>
  </si>
  <si>
    <t>IYEDI - TITUN, Polling Unit, ADO ODO-OTA, Ogun State, Nigeria</t>
  </si>
  <si>
    <t>27-03-01-005</t>
  </si>
  <si>
    <t>MABODU SQUARE</t>
  </si>
  <si>
    <t>https://docs.inecelectionresults.net/elections_prod/1292/state/01/lga/03/ward/01/pu/005/005-1677382973.pdf</t>
  </si>
  <si>
    <t>MABODU SQUARE, Polling Unit, ADO ODO-OTA, Ogun State, Nigeria</t>
  </si>
  <si>
    <t>27-03-01-007</t>
  </si>
  <si>
    <t>OLOTA'S PALACE I</t>
  </si>
  <si>
    <t>https://docs.inecelectionresults.net/elections_prod/1292/state/01/lga/03/ward/01/pu/007/007-1677393435.pdf</t>
  </si>
  <si>
    <t>OLOTA'S PALACE I, Polling Unit, ADO ODO-OTA, Ogun State, Nigeria</t>
  </si>
  <si>
    <t>27-03-01-008</t>
  </si>
  <si>
    <t>OLOTA'S PALACE II</t>
  </si>
  <si>
    <t>https://docs.inecelectionresults.net/elections_prod/1292/state/1/lga/3668/ward/23981/pu/91321/91321-1677470429.pdf</t>
  </si>
  <si>
    <t>OLOTA'S PALACE II, Polling Unit, ADO ODO-OTA, Ogun State, Nigeria</t>
  </si>
  <si>
    <t>27-03-01-009</t>
  </si>
  <si>
    <t>TIGBO SQUARE</t>
  </si>
  <si>
    <t>https://docs.inecelectionresults.net/elections_prod/1292/state/01/lga/03/ward/01/pu/009/009-1677390595.pdf</t>
  </si>
  <si>
    <t>TIGBO SQUARE, Polling Unit, ADO ODO-OTA, Ogun State, Nigeria</t>
  </si>
  <si>
    <t>27-03-01-010</t>
  </si>
  <si>
    <t>NEAR AHMADIYA MOSQUE</t>
  </si>
  <si>
    <t>https://docs.inecelectionresults.net/elections_prod/1292/state/01/lga/03/ward/01/pu/010/010-1677380990.pdf</t>
  </si>
  <si>
    <t>NEAR AHMADIYA MOSQUE, Polling Unit, ADO ODO-OTA, Ogun State, Nigeria</t>
  </si>
  <si>
    <t>27-03-01-011</t>
  </si>
  <si>
    <t>OKEDE SQUARE</t>
  </si>
  <si>
    <t>https://docs.inecelectionresults.net/elections_prod/1292/state/01/lga/03/ward/01/pu/011/011-1677400822.pdf</t>
  </si>
  <si>
    <t>OKEDE SQUARE, Polling Unit, ADO ODO-OTA, Ogun State, Nigeria</t>
  </si>
  <si>
    <t>27-03-01-013</t>
  </si>
  <si>
    <t>ITA OTUN IJAGBA</t>
  </si>
  <si>
    <t>https://docs.inecelectionresults.net/elections_prod/1292/state/1/lga/3668/ward/23981/pu/91326/91326-1677464365.pdf</t>
  </si>
  <si>
    <t>ITA OTUN IJAGBA, Polling Unit, ADO ODO-OTA, Ogun State, Nigeria</t>
  </si>
  <si>
    <t>27-03-01-014</t>
  </si>
  <si>
    <t>ABEBI</t>
  </si>
  <si>
    <t>https://docs.inecelectionresults.net/elections_prod/1292/state/01/lga/03/ward/01/pu/014/014-1677391709.pdf</t>
  </si>
  <si>
    <t>ABEBI, Polling Unit, ADO ODO-OTA, Ogun State, Nigeria</t>
  </si>
  <si>
    <t>27-03-01-015</t>
  </si>
  <si>
    <t>MAPA QUARTERS</t>
  </si>
  <si>
    <t>https://docs.inecelectionresults.net/elections_prod/1292/state/01/lga/03/ward/01/pu/015/015-1677398565.pdf</t>
  </si>
  <si>
    <t>MAPA QUARTERS, Polling Unit, ADO ODO-OTA, Ogun State, Nigeria</t>
  </si>
  <si>
    <t>27-03-01-016</t>
  </si>
  <si>
    <t>FRONT OF OJO'S HOUSE</t>
  </si>
  <si>
    <t>https://docs.inecelectionresults.net/elections_prod/1292/state/1/lga/3668/ward/23981/pu/91329/91329-1677471817.pdf</t>
  </si>
  <si>
    <t>FRONT OF OJO'S HOUSE, Polling Unit, ADO ODO-OTA, Ogun State, Nigeria</t>
  </si>
  <si>
    <t>27-03-01-017</t>
  </si>
  <si>
    <t>FRONT OF LAWAL'S HOUSE</t>
  </si>
  <si>
    <t>https://docs.inecelectionresults.net/elections_prod/1292/state/01/lga/03/ward/01/pu/017/017-1677380703.pdf</t>
  </si>
  <si>
    <t>FRONT OF LAWAL'S HOUSE, Polling Unit, ADO ODO-OTA, Ogun State, Nigeria</t>
  </si>
  <si>
    <t>27-03-01-018</t>
  </si>
  <si>
    <t>FRONT OF LOCAL GOVERNMENT QTRS</t>
  </si>
  <si>
    <t>https://docs.inecelectionresults.net/elections_prod/1292/state/01/lga/03/ward/01/pu/018/018-1677373511.pdf</t>
  </si>
  <si>
    <t>FRONT OF LOCAL GOVERNMENT QTRS, Polling Unit, ADO ODO-OTA, Ogun State, Nigeria</t>
  </si>
  <si>
    <t>OTA  II</t>
  </si>
  <si>
    <t>27-03-02-001</t>
  </si>
  <si>
    <t>ZION METH SCHOOL</t>
  </si>
  <si>
    <t>https://docs.inecelectionresults.net/elections_prod/1292/state/1/lga/3668/ward/23982/pu/91332/91332-1677453622.pdf</t>
  </si>
  <si>
    <t>ZION METH SCHOOL, Polling Unit, ADO ODO-OTA, Ogun State, Nigeria</t>
  </si>
  <si>
    <t>27-03-02-002</t>
  </si>
  <si>
    <t>NEAR DEEPER LIFE</t>
  </si>
  <si>
    <t>https://docs.inecelectionresults.net/elections_prod/1292/state/01/lga/03/ward/02/pu/002/002-1677416874.pdf</t>
  </si>
  <si>
    <t>NEAR DEEPER LIFE, Polling Unit, ADO ODO-OTA, Ogun State, Nigeria</t>
  </si>
  <si>
    <t>27-03-02-003</t>
  </si>
  <si>
    <t>EWUPE/ROAD IYANA ILOGBO</t>
  </si>
  <si>
    <t>https://docs.inecelectionresults.net/elections_prod/1292/state/01/lga/03/ward/02/pu/003/003-1677414466.pdf</t>
  </si>
  <si>
    <t>EWUPE/ROAD IYANA ILOGBO, Polling Unit, ADO ODO-OTA, Ogun State, Nigeria</t>
  </si>
  <si>
    <t>27-03-02-004</t>
  </si>
  <si>
    <t>IGANMODE GRAMMAR SCHOOL, OTA I</t>
  </si>
  <si>
    <t>https://docs.inecelectionresults.net/elections_prod/1292/state/01/lga/03/ward/02/pu/004/004-1677421693.pdf</t>
  </si>
  <si>
    <t>IGANMODE GRAMMAR SCHOOL, OTA I, Polling Unit, ADO ODO-OTA, Ogun State, Nigeria</t>
  </si>
  <si>
    <t>27-03-02-005</t>
  </si>
  <si>
    <t>PAPA ARO</t>
  </si>
  <si>
    <t>https://docs.inecelectionresults.net/elections_prod/1292/state/01/lga/03/ward/02/pu/005/005-1677405051.pdf</t>
  </si>
  <si>
    <t>PAPA ARO, Polling Unit, ADO ODO-OTA, Ogun State, Nigeria</t>
  </si>
  <si>
    <t>27-03-02-006</t>
  </si>
  <si>
    <t>OBA T.T. DADA MARKET I</t>
  </si>
  <si>
    <t>https://docs.inecelectionresults.net/elections_prod/1292/state/01/lga/03/ward/02/pu/006/006-1677415121.pdf</t>
  </si>
  <si>
    <t>OBA T.T. DADA MARKET I, Polling Unit, ADO ODO-OTA, Ogun State, Nigeria</t>
  </si>
  <si>
    <t>27-03-02-007</t>
  </si>
  <si>
    <t>OBA T.T. DADA MARKET II</t>
  </si>
  <si>
    <t>https://docs.inecelectionresults.net/elections_prod/1292/state/01/lga/03/ward/02/pu/007/007-1677410745.pdf</t>
  </si>
  <si>
    <t>OBA T.T. DADA MARKET II, Polling Unit, ADO ODO-OTA, Ogun State, Nigeria</t>
  </si>
  <si>
    <t>27-03-02-008</t>
  </si>
  <si>
    <t>FRONT OF EGUNGUN HOUSE I</t>
  </si>
  <si>
    <t>https://docs.inecelectionresults.net/elections_prod/1292/state/01/lga/03/ward/02/pu/008/008-1677423945.pdf</t>
  </si>
  <si>
    <t>FRONT OF EGUNGUN HOUSE I, Polling Unit, ADO ODO-OTA, Ogun State, Nigeria</t>
  </si>
  <si>
    <t>27-03-02-009</t>
  </si>
  <si>
    <t>FRONT OF EGUNGUN HOUSE II</t>
  </si>
  <si>
    <t>https://docs.inecelectionresults.net/elections_prod/1292/state/01/lga/03/ward/02/pu/009/009-1677411527.pdf</t>
  </si>
  <si>
    <t>FRONT OF EGUNGUN HOUSE II, Polling Unit, ADO ODO-OTA, Ogun State, Nigeria</t>
  </si>
  <si>
    <t>27-03-02-010</t>
  </si>
  <si>
    <t>ESA NIGHT MARKET I</t>
  </si>
  <si>
    <t>https://docs.inecelectionresults.net/elections_prod/1292/state/01/lga/03/ward/02/pu/010/010-1677423567.pdf</t>
  </si>
  <si>
    <t>ESA NIGHT MARKET I, Polling Unit, ADO ODO-OTA, Ogun State, Nigeria</t>
  </si>
  <si>
    <t>27-03-02-012</t>
  </si>
  <si>
    <t>BOREHOLE</t>
  </si>
  <si>
    <t>https://docs.inecelectionresults.net/elections_prod/1292/state/01/lga/03/ward/02/pu/012/012-1677413667.pdf</t>
  </si>
  <si>
    <t>BOREHOLE, Polling Unit, ADO ODO-OTA, Ogun State, Nigeria</t>
  </si>
  <si>
    <t>27-03-02-013</t>
  </si>
  <si>
    <t>OPPOSITE U.B.A.</t>
  </si>
  <si>
    <t>https://docs.inecelectionresults.net/elections_prod/1292/state/01/lga/03/ward/02/pu/013/013-1677413584.pdf</t>
  </si>
  <si>
    <t>OPPOSITE U.B.A., Polling Unit, ADO ODO-OTA, Ogun State, Nigeria</t>
  </si>
  <si>
    <t>OTA III</t>
  </si>
  <si>
    <t>27-03-03-002</t>
  </si>
  <si>
    <t>ST. PETER'S R.C.M.</t>
  </si>
  <si>
    <t>https://docs.inecelectionresults.net/elections_prod/1292/state/01/lga/03/ward/03/pu/002/002-1677391755.pdf</t>
  </si>
  <si>
    <t>ST. PETER'S R.C.M., Polling Unit, ADO ODO-OTA, Ogun State, Nigeria</t>
  </si>
  <si>
    <t>27-03-03-003</t>
  </si>
  <si>
    <t>OJU POPO</t>
  </si>
  <si>
    <t>https://docs.inecelectionresults.net/elections_prod/1292/state/01/lga/03/ward/03/pu/003/003-1677379990.pdf</t>
  </si>
  <si>
    <t>OJU POPO, Polling Unit, ADO ODO-OTA, Ogun State, Nigeria</t>
  </si>
  <si>
    <t>27-03-03-004</t>
  </si>
  <si>
    <t>OLD MOTOR PARK I</t>
  </si>
  <si>
    <t>https://docs.inecelectionresults.net/elections_prod/1292/state/01/lga/03/ward/03/pu/004/004-1677378598.pdf</t>
  </si>
  <si>
    <t>OLD MOTOR PARK I, Polling Unit, ADO ODO-OTA, Ogun State, Nigeria</t>
  </si>
  <si>
    <t>27-03-03-005</t>
  </si>
  <si>
    <t>OLD MOTOR PARK II</t>
  </si>
  <si>
    <t>https://docs.inecelectionresults.net/elections_prod/1292/state/01/lga/03/ward/03/pu/005/005-1677391056.pdf</t>
  </si>
  <si>
    <t>OLD MOTOR PARK II, Polling Unit, ADO ODO-OTA, Ogun State, Nigeria</t>
  </si>
  <si>
    <t>27-03-03-006</t>
  </si>
  <si>
    <t>A.U.D. PRACT SCHOOL I</t>
  </si>
  <si>
    <t>https://docs.inecelectionresults.net/elections_prod/1292/state/01/lga/03/ward/03/pu/006/006-1677378260.pdf</t>
  </si>
  <si>
    <t>A.U.D. PRACT SCHOOL I, Polling Unit, ADO ODO-OTA, Ogun State, Nigeria</t>
  </si>
  <si>
    <t>27-03-03-007</t>
  </si>
  <si>
    <t>MODERN SCHOOL ROAD, OTA</t>
  </si>
  <si>
    <t>https://docs.inecelectionresults.net/elections_prod/1292/state/01/lga/03/ward/03/pu/007/007-1677394913.pdf</t>
  </si>
  <si>
    <t>MODERN SCHOOL ROAD, OTA, Polling Unit, ADO ODO-OTA, Ogun State, Nigeria</t>
  </si>
  <si>
    <t>27-03-03-008</t>
  </si>
  <si>
    <t>GRA / TOMORI</t>
  </si>
  <si>
    <t>https://docs.inecelectionresults.net/elections_prod/1292/state/01/lga/03/ward/03/pu/008/008-1677375026.pdf</t>
  </si>
  <si>
    <t>GRA / TOMORI, Polling Unit, ADO ODO-OTA, Ogun State, Nigeria</t>
  </si>
  <si>
    <t>27-03-03-009</t>
  </si>
  <si>
    <t>OKE-SUNA</t>
  </si>
  <si>
    <t>https://docs.inecelectionresults.net/elections_prod/1292/state/01/lga/03/ward/03/pu/009/009-1677380763.pdf</t>
  </si>
  <si>
    <t>OKE-SUNA, Polling Unit, ADO ODO-OTA, Ogun State, Nigeria</t>
  </si>
  <si>
    <t>27-03-03-010</t>
  </si>
  <si>
    <t>ILO /AWELA</t>
  </si>
  <si>
    <t>https://docs.inecelectionresults.net/elections_prod/1292/state/01/lga/03/ward/03/pu/010/010-1677380307.pdf</t>
  </si>
  <si>
    <t>ILO /AWELA, Polling Unit, ADO ODO-OTA, Ogun State, Nigeria</t>
  </si>
  <si>
    <t>27-03-03-011</t>
  </si>
  <si>
    <t>IBRAHEEM STREET</t>
  </si>
  <si>
    <t>https://docs.inecelectionresults.net/elections_prod/1292/state/01/lga/03/ward/03/pu/011/011-1677393018.pdf</t>
  </si>
  <si>
    <t>IBRAHEEM STREET, Polling Unit, ADO ODO-OTA, Ogun State, Nigeria</t>
  </si>
  <si>
    <t>27-03-03-012</t>
  </si>
  <si>
    <t>IBRAHEEM OLORUNGBEBE</t>
  </si>
  <si>
    <t>https://docs.inecelectionresults.net/elections_prod/1292/state/01/lga/03/ward/03/pu/012/012-1677381102.pdf</t>
  </si>
  <si>
    <t>IBRAHEEM OLORUNGBEBE, Polling Unit, ADO ODO-OTA, Ogun State, Nigeria</t>
  </si>
  <si>
    <t>27-03-03-013</t>
  </si>
  <si>
    <t>NEAR EBODINA STORE</t>
  </si>
  <si>
    <t>https://docs.inecelectionresults.net/elections_prod/1292/state/01/lga/03/ward/03/pu/013/013-1677419695.pdf</t>
  </si>
  <si>
    <t>NEAR EBODINA STORE, Polling Unit, ADO ODO-OTA, Ogun State, Nigeria</t>
  </si>
  <si>
    <t>27-03-03-015</t>
  </si>
  <si>
    <t>EJIGBO TITUN I</t>
  </si>
  <si>
    <t>https://docs.inecelectionresults.net/elections_prod/1292/state/01/lga/03/ward/03/pu/015/015-1677377391.pdf</t>
  </si>
  <si>
    <t>EJIGBO TITUN I, Polling Unit, ADO ODO-OTA, Ogun State, Nigeria</t>
  </si>
  <si>
    <t>27-03-03-016</t>
  </si>
  <si>
    <t>BACK OF WEMA  BANK</t>
  </si>
  <si>
    <t>https://docs.inecelectionresults.net/elections_prod/1292/state/01/lga/03/ward/03/pu/016/016-1677377116.pdf</t>
  </si>
  <si>
    <t>BACK OF WEMA  BANK, Polling Unit, ADO ODO-OTA, Ogun State, Nigeria</t>
  </si>
  <si>
    <t>27-03-03-017</t>
  </si>
  <si>
    <t>NEAR EDUCATION AUTHORITY</t>
  </si>
  <si>
    <t>https://docs.inecelectionresults.net/elections_prod/1292/state/01/lga/03/ward/03/pu/017/017-1677378653.pdf</t>
  </si>
  <si>
    <t>NEAR EDUCATION AUTHORITY, Polling Unit, ADO ODO-OTA, Ogun State, Nigeria</t>
  </si>
  <si>
    <t>27-03-03-018</t>
  </si>
  <si>
    <t>TOLL GATE</t>
  </si>
  <si>
    <t>https://docs.inecelectionresults.net/elections_prod/1292/state/01/lga/03/ward/03/pu/018/018-1677377221.pdf</t>
  </si>
  <si>
    <t>TOLL GATE, Polling Unit, ADO ODO-OTA, Ogun State, Nigeria</t>
  </si>
  <si>
    <t>27-03-03-019</t>
  </si>
  <si>
    <t>SHOPPING CENTRE</t>
  </si>
  <si>
    <t>https://docs.inecelectionresults.net/elections_prod/1292/state/01/lga/03/ward/03/pu/019/019-1677390014.pdf</t>
  </si>
  <si>
    <t>SHOPPING CENTRE, Polling Unit, ADO ODO-OTA, Ogun State, Nigeria</t>
  </si>
  <si>
    <t>27-03-03-020</t>
  </si>
  <si>
    <t>GRA AKINWUNMI</t>
  </si>
  <si>
    <t>https://docs.inecelectionresults.net/elections_prod/1292/state/01/lga/03/ward/03/pu/020/020-1677379795.pdf</t>
  </si>
  <si>
    <t>GRA AKINWUNMI, Polling Unit, ADO ODO-OTA, Ogun State, Nigeria</t>
  </si>
  <si>
    <t>27-03-03-021</t>
  </si>
  <si>
    <t>O.L.G SCHOOL I,   KETERE</t>
  </si>
  <si>
    <t>https://docs.inecelectionresults.net/elections_prod/1292/state/01/lga/03/ward/03/pu/021/021-1677392579.pdf</t>
  </si>
  <si>
    <t>O.L.G SCHOOL I,   KETERE, Polling Unit, ADO ODO-OTA, Ogun State, Nigeria</t>
  </si>
  <si>
    <t>27-03-03-022</t>
  </si>
  <si>
    <t>FUNMEC</t>
  </si>
  <si>
    <t>https://docs.inecelectionresults.net/elections_prod/1292/state/01/lga/03/ward/03/pu/022/022-1677376962.pdf</t>
  </si>
  <si>
    <t>FUNMEC, Polling Unit, ADO ODO-OTA, Ogun State, Nigeria</t>
  </si>
  <si>
    <t>27-03-03-023</t>
  </si>
  <si>
    <t>BEHIND JOJU HOTEL</t>
  </si>
  <si>
    <t>https://docs.inecelectionresults.net/elections_prod/1292/state/01/lga/03/ward/03/pu/023/023-1677378184.pdf</t>
  </si>
  <si>
    <t>BEHIND JOJU HOTEL, Polling Unit, ADO ODO-OTA, Ogun State, Nigeria</t>
  </si>
  <si>
    <t>27-03-03-024</t>
  </si>
  <si>
    <t>DEEPER LIFE ARAROMI</t>
  </si>
  <si>
    <t>https://docs.inecelectionresults.net/elections_prod/1292/state/01/lga/03/ward/03/pu/024/024-1677380363.pdf</t>
  </si>
  <si>
    <t>DEEPER LIFE ARAROMI, Polling Unit, ADO ODO-OTA, Ogun State, Nigeria</t>
  </si>
  <si>
    <t>27-03-03-025</t>
  </si>
  <si>
    <t>CHIEF DEINDE'S HOUSE</t>
  </si>
  <si>
    <t>https://docs.inecelectionresults.net/elections_prod/1292/state/01/lga/03/ward/03/pu/025/025-1677380179.pdf</t>
  </si>
  <si>
    <t>CHIEF DEINDE'S HOUSE, Polling Unit, ADO ODO-OTA, Ogun State, Nigeria</t>
  </si>
  <si>
    <t>27-03-03-026</t>
  </si>
  <si>
    <t>IPAMESAN</t>
  </si>
  <si>
    <t>https://docs.inecelectionresults.net/elections_prod/1292/state/01/lga/03/ward/03/pu/026/026-1677379170.pdf</t>
  </si>
  <si>
    <t>IPAMESAN, Polling Unit, ADO ODO-OTA, Ogun State, Nigeria</t>
  </si>
  <si>
    <t>27-03-03-027</t>
  </si>
  <si>
    <t>C &amp; S IGBALA</t>
  </si>
  <si>
    <t>https://docs.inecelectionresults.net/elections_prod/1292/state/01/lga/03/ward/03/pu/027/027-1677373830.pdf</t>
  </si>
  <si>
    <t>C &amp; S IGBALA, Polling Unit, ADO ODO-OTA, Ogun State, Nigeria</t>
  </si>
  <si>
    <t>27-03-03-028</t>
  </si>
  <si>
    <t>L.G SCHOOL II</t>
  </si>
  <si>
    <t>https://docs.inecelectionresults.net/elections_prod/1292/state/01/lga/03/ward/03/pu/028/028-1677408274.pdf</t>
  </si>
  <si>
    <t>L.G SCHOOL II, Polling Unit, ADO ODO-OTA, Ogun State, Nigeria</t>
  </si>
  <si>
    <t>27-03-03-029</t>
  </si>
  <si>
    <t>T.T DADA' S PALACE</t>
  </si>
  <si>
    <t>https://docs.inecelectionresults.net/elections_prod/1292/state/01/lga/03/ward/03/pu/029/029-1677395109.pdf</t>
  </si>
  <si>
    <t>T.T DADA' S PALACE, Polling Unit, ADO ODO-OTA, Ogun State, Nigeria</t>
  </si>
  <si>
    <t>27-03-03-030</t>
  </si>
  <si>
    <t>NEAR OYETAYO'S HOUSE</t>
  </si>
  <si>
    <t>https://docs.inecelectionresults.net/elections_prod/1292/state/01/lga/03/ward/03/pu/030/030-1677388260.pdf</t>
  </si>
  <si>
    <t>NEAR OYETAYO'S HOUSE, Polling Unit, ADO ODO-OTA, Ogun State, Nigeria</t>
  </si>
  <si>
    <t>27-03-03-033</t>
  </si>
  <si>
    <t>ABEBI NEW SITE</t>
  </si>
  <si>
    <t>https://docs.inecelectionresults.net/elections_prod/1292/state/01/lga/03/ward/03/pu/033/033-1677379728.pdf</t>
  </si>
  <si>
    <t>ABEBI NEW SITE, Polling Unit, ADO ODO-OTA, Ogun State, Nigeria</t>
  </si>
  <si>
    <t>27-03-03-034</t>
  </si>
  <si>
    <t>A.U.D PRACTISING SCH. II</t>
  </si>
  <si>
    <t>https://docs.inecelectionresults.net/elections_prod/1292/state/01/lga/03/ward/03/pu/034/034-1677380384.pdf</t>
  </si>
  <si>
    <t>A.U.D PRACTISING SCH. II, Polling Unit, ADO ODO-OTA, Ogun State, Nigeria</t>
  </si>
  <si>
    <t>27-03-03-035</t>
  </si>
  <si>
    <t>ALLISHIBA STREET</t>
  </si>
  <si>
    <t>https://docs.inecelectionresults.net/elections_prod/1292/state/01/lga/03/ward/03/pu/035/035-1677383666.pdf</t>
  </si>
  <si>
    <t>ALLISHIBA STREET, Polling Unit, ADO ODO-OTA, Ogun State, Nigeria</t>
  </si>
  <si>
    <t>SANGO</t>
  </si>
  <si>
    <t>27-03-04-002</t>
  </si>
  <si>
    <t>IN FRONT OF ADALEMO'S HOUSE</t>
  </si>
  <si>
    <t>https://docs.inecelectionresults.net/elections_prod/1292/state/01/lga/03/ward/04/pu/002/002-1677382203.pdf</t>
  </si>
  <si>
    <t>IN FRONT OF ADALEMO'S HOUSE, Polling Unit, ADO ODO-OTA, Ogun State, Nigeria</t>
  </si>
  <si>
    <t>27-03-04-003</t>
  </si>
  <si>
    <t>TEMIDIRE OWOSENI</t>
  </si>
  <si>
    <t>https://docs.inecelectionresults.net/elections_prod/1292/state/01/lga/03/ward/04/pu/003/003-1677362096.pdf</t>
  </si>
  <si>
    <t>TEMIDIRE OWOSENI, Polling Unit, ADO ODO-OTA, Ogun State, Nigeria</t>
  </si>
  <si>
    <t>27-03-04-004</t>
  </si>
  <si>
    <t>WATER TANKER I</t>
  </si>
  <si>
    <t>https://docs.inecelectionresults.net/elections_prod/1292/state/01/lga/03/ward/04/pu/004/004-1677370059.pdf</t>
  </si>
  <si>
    <t>WATER TANKER I, Polling Unit, ADO ODO-OTA, Ogun State, Nigeria</t>
  </si>
  <si>
    <t>27-03-04-007</t>
  </si>
  <si>
    <t>NEPA LINE ARINKO  II</t>
  </si>
  <si>
    <t>https://docs.inecelectionresults.net/elections_prod/1292/state/01/lga/03/ward/04/pu/007/007-1677386872.pdf</t>
  </si>
  <si>
    <t>NEPA LINE ARINKO  II, Polling Unit, ADO ODO-OTA, Ogun State, Nigeria</t>
  </si>
  <si>
    <t>27-03-04-008</t>
  </si>
  <si>
    <t>LEVENTIS</t>
  </si>
  <si>
    <t>https://docs.inecelectionresults.net/elections_prod/1292/state/01/lga/03/ward/04/pu/008/008-1677375675.pdf</t>
  </si>
  <si>
    <t>LEVENTIS, Polling Unit, ADO ODO-OTA, Ogun State, Nigeria</t>
  </si>
  <si>
    <t>27-03-04-009</t>
  </si>
  <si>
    <t>LAYORI HOSPITAL</t>
  </si>
  <si>
    <t>https://docs.inecelectionresults.net/elections_prod/1292/state/01/lga/03/ward/04/pu/009/009-1677366445.pdf</t>
  </si>
  <si>
    <t>LAYORI HOSPITAL, Polling Unit, ADO ODO-OTA, Ogun State, Nigeria</t>
  </si>
  <si>
    <t>27-03-04-010</t>
  </si>
  <si>
    <t>OLD MOTOR PARK</t>
  </si>
  <si>
    <t>https://docs.inecelectionresults.net/elections_prod/1292/state/01/lga/03/ward/04/pu/010/010-1677362911.pdf</t>
  </si>
  <si>
    <t>OLD MOTOR PARK, Polling Unit, ADO ODO-OTA, Ogun State, Nigeria</t>
  </si>
  <si>
    <t>27-03-04-011</t>
  </si>
  <si>
    <t>NEAR OKEBOWALE'S HOUSE</t>
  </si>
  <si>
    <t>https://docs.inecelectionresults.net/elections_prod/1292/state/01/lga/03/ward/04/pu/011/011-1677362215.pdf</t>
  </si>
  <si>
    <t>NEAR OKEBOWALE'S HOUSE, Polling Unit, ADO ODO-OTA, Ogun State, Nigeria</t>
  </si>
  <si>
    <t>27-03-04-012</t>
  </si>
  <si>
    <t>MARKET SQUARE ILOYE</t>
  </si>
  <si>
    <t>https://docs.inecelectionresults.net/elections_prod/1292/state/01/lga/03/ward/04/pu/012/012-1677391520.pdf</t>
  </si>
  <si>
    <t>MARKET SQUARE ILOYE, Polling Unit, ADO ODO-OTA, Ogun State, Nigeria</t>
  </si>
  <si>
    <t>IJOKO</t>
  </si>
  <si>
    <t>27-03-05-001</t>
  </si>
  <si>
    <t>PRIMARY SCHOOL AGORO</t>
  </si>
  <si>
    <t>https://docs.inecelectionresults.net/elections_prod/1292/state/1/lga/3668/ward/23985/pu/91392/91392-1677480256.pdf</t>
  </si>
  <si>
    <t>PRIMARY SCHOOL AGORO, Polling Unit, ADO ODO-OTA, Ogun State, Nigeria</t>
  </si>
  <si>
    <t>27-03-05-002</t>
  </si>
  <si>
    <t>N.U.D. SCHOOL IJOKO I</t>
  </si>
  <si>
    <t>https://docs.inecelectionresults.net/elections_prod/1292/state/1/lga/3668/ward/23985/pu/91393/91393-1677479235.pdf</t>
  </si>
  <si>
    <t>N.U.D. SCHOOL IJOKO I, Polling Unit, ADO ODO-OTA, Ogun State, Nigeria</t>
  </si>
  <si>
    <t>27-03-05-003</t>
  </si>
  <si>
    <t>MARKET SQUARE IJOKO I</t>
  </si>
  <si>
    <t>https://docs.inecelectionresults.net/elections_prod/1292/state/01/lga/03/ward/05/pu/003/003-1677404387.pdf</t>
  </si>
  <si>
    <t>MARKET SQUARE IJOKO I, Polling Unit, ADO ODO-OTA, Ogun State, Nigeria</t>
  </si>
  <si>
    <t>27-03-05-005</t>
  </si>
  <si>
    <t>BESIDE MOSQUE ABULE IROKO  I</t>
  </si>
  <si>
    <t>https://docs.inecelectionresults.net/elections_prod/1292/state/01/lga/03/ward/05/pu/005/005-1677402653.pdf</t>
  </si>
  <si>
    <t>BESIDE MOSQUE ABULE IROKO  I, Polling Unit, ADO ODO-OTA, Ogun State, Nigeria</t>
  </si>
  <si>
    <t>27-03-05-006</t>
  </si>
  <si>
    <t>BESIDE MOSQUE ABULE IROKO  II</t>
  </si>
  <si>
    <t>https://docs.inecelectionresults.net/elections_prod/1292/state/01/lga/03/ward/05/pu/006/006-1677396572.pdf</t>
  </si>
  <si>
    <t>BESIDE MOSQUE ABULE IROKO  II, Polling Unit, ADO ODO-OTA, Ogun State, Nigeria</t>
  </si>
  <si>
    <t>27-03-05-007</t>
  </si>
  <si>
    <t>L.G. SCHOOL APARADIJA  I</t>
  </si>
  <si>
    <t>https://docs.inecelectionresults.net/elections_prod/1292/state/01/lga/03/ward/05/pu/007/007-1677366858.pdf</t>
  </si>
  <si>
    <t>L.G. SCHOOL APARADIJA  I, Polling Unit, ADO ODO-OTA, Ogun State, Nigeria</t>
  </si>
  <si>
    <t>27-03-05-008</t>
  </si>
  <si>
    <t>L.G. SCHOOL APARADIJA  II</t>
  </si>
  <si>
    <t>https://docs.inecelectionresults.net/elections_prod/1292/state/01/lga/03/ward/05/pu/008/008-1677411483.pdf</t>
  </si>
  <si>
    <t>L.G. SCHOOL APARADIJA  II, Polling Unit, ADO ODO-OTA, Ogun State, Nigeria</t>
  </si>
  <si>
    <t>27-03-05-009</t>
  </si>
  <si>
    <t>ARIJE VILLAGE</t>
  </si>
  <si>
    <t>https://docs.inecelectionresults.net/elections_prod/1292/state/01/lga/03/ward/05/pu/009/009-1677403104.pdf</t>
  </si>
  <si>
    <t>ARIJE VILLAGE, Polling Unit, ADO ODO-OTA, Ogun State, Nigeria</t>
  </si>
  <si>
    <t>27-03-05-012</t>
  </si>
  <si>
    <t>AFIMO VILLAGE  I</t>
  </si>
  <si>
    <t>https://docs.inecelectionresults.net/elections_prod/1292/state/1/lga/3668/ward/23985/pu/91403/91403-1677480657.pdf</t>
  </si>
  <si>
    <t>AFIMO VILLAGE  I, Polling Unit, ADO ODO-OTA, Ogun State, Nigeria</t>
  </si>
  <si>
    <t>27-03-05-013</t>
  </si>
  <si>
    <t>AFIMO VILLAGE  II</t>
  </si>
  <si>
    <t>https://docs.inecelectionresults.net/elections_prod/1292/state/01/lga/03/ward/05/pu/013/013-1677400907.pdf</t>
  </si>
  <si>
    <t>AFIMO VILLAGE  II, Polling Unit, ADO ODO-OTA, Ogun State, Nigeria</t>
  </si>
  <si>
    <t>27-03-05-014</t>
  </si>
  <si>
    <t>IFETEDO HEALTH CENTER</t>
  </si>
  <si>
    <t>https://docs.inecelectionresults.net/elections_prod/1292/state/1/lga/3668/ward/23985/pu/91405/91405-1677478541.pdf</t>
  </si>
  <si>
    <t>IFETEDO HEALTH CENTER, Polling Unit, ADO ODO-OTA, Ogun State, Nigeria</t>
  </si>
  <si>
    <t>27-03-05-015</t>
  </si>
  <si>
    <t>N.U.D. SCHOOL IJOKO II</t>
  </si>
  <si>
    <t>https://docs.inecelectionresults.net/elections_prod/1292/state/1/lga/3668/ward/23985/pu/91406/91406-1677486734.pdf</t>
  </si>
  <si>
    <t>N.U.D. SCHOOL IJOKO II, Polling Unit, ADO ODO-OTA, Ogun State, Nigeria</t>
  </si>
  <si>
    <t>ATAN</t>
  </si>
  <si>
    <t>27-03-06-001</t>
  </si>
  <si>
    <t>U.A.C. SCHOOL KOKO</t>
  </si>
  <si>
    <t>https://docs.inecelectionresults.net/elections_prod/1292/state/01/lga/03/ward/06/pu/001/001-1677414509.pdf</t>
  </si>
  <si>
    <t>U.A.C. SCHOOL KOKO, Polling Unit, ADO ODO-OTA, Ogun State, Nigeria</t>
  </si>
  <si>
    <t>27-03-06-004</t>
  </si>
  <si>
    <t>UNITED PRIMARY SCH. AJEGUNLE</t>
  </si>
  <si>
    <t>https://docs.inecelectionresults.net/elections_prod/1292/state/1/lga/3668/ward/23986/pu/91410/91410-1677471216.pdf</t>
  </si>
  <si>
    <t>UNITED PRIMARY SCH. AJEGUNLE, Polling Unit, ADO ODO-OTA, Ogun State, Nigeria</t>
  </si>
  <si>
    <t>27-03-06-005</t>
  </si>
  <si>
    <t>EGUNLA AKINBO VILLAGE</t>
  </si>
  <si>
    <t>https://docs.inecelectionresults.net/elections_prod/1292/state/1/lga/3668/ward/23986/pu/91411/91411-1677472133.pdf</t>
  </si>
  <si>
    <t>EGUNLA AKINBO VILLAGE, Polling Unit, ADO ODO-OTA, Ogun State, Nigeria</t>
  </si>
  <si>
    <t>27-03-06-006</t>
  </si>
  <si>
    <t>ERINLE PRIMARY SCHOOL</t>
  </si>
  <si>
    <t>https://docs.inecelectionresults.net/elections_prod/1292/state/1/lga/3668/ward/23986/pu/91412/91412-1677468269.pdf</t>
  </si>
  <si>
    <t>ERINLE PRIMARY SCHOOL, Polling Unit, ADO ODO-OTA, Ogun State, Nigeria</t>
  </si>
  <si>
    <t>27-03-06-007</t>
  </si>
  <si>
    <t>A.C. SCH. ONSE OLOSE</t>
  </si>
  <si>
    <t>https://docs.inecelectionresults.net/elections_prod/1292/state/1/lga/3668/ward/23986/pu/91413/91413-1677467615.pdf</t>
  </si>
  <si>
    <t>A.C. SCH. ONSE OLOSE, Polling Unit, ADO ODO-OTA, Ogun State, Nigeria</t>
  </si>
  <si>
    <t>27-03-06-008</t>
  </si>
  <si>
    <t>ADEKOYENI VILLAGE</t>
  </si>
  <si>
    <t>https://docs.inecelectionresults.net/elections_prod/1292/state/1/lga/3668/ward/23986/pu/91414/91414-1677466253.pdf</t>
  </si>
  <si>
    <t>ADEKOYENI VILLAGE, Polling Unit, ADO ODO-OTA, Ogun State, Nigeria</t>
  </si>
  <si>
    <t>27-03-06-009</t>
  </si>
  <si>
    <t>O.L.G. KAJOLA - IBOORO</t>
  </si>
  <si>
    <t>https://docs.inecelectionresults.net/elections_prod/1292/state/01/lga/03/ward/06/pu/009/009-1677391010.pdf</t>
  </si>
  <si>
    <t>O.L.G. KAJOLA - IBOORO, Polling Unit, ADO ODO-OTA, Ogun State, Nigeria</t>
  </si>
  <si>
    <t>27-03-06-010</t>
  </si>
  <si>
    <t>METH. PRIMARY SCH. OKE-ORE</t>
  </si>
  <si>
    <t>https://docs.inecelectionresults.net/elections_prod/1292/state/1/lga/3668/ward/23986/pu/91416/91416-1677467943.pdf</t>
  </si>
  <si>
    <t>METH. PRIMARY SCH. OKE-ORE, Polling Unit, ADO ODO-OTA, Ogun State, Nigeria</t>
  </si>
  <si>
    <t>27-03-06-011</t>
  </si>
  <si>
    <t>ST. PAUL'S ONIGBONGBO</t>
  </si>
  <si>
    <t>https://docs.inecelectionresults.net/elections_prod/1292/state/1/lga/3668/ward/23986/pu/91417/91417-1677465853.pdf</t>
  </si>
  <si>
    <t>ST. PAUL'S ONIGBONGBO, Polling Unit, ADO ODO-OTA, Ogun State, Nigeria</t>
  </si>
  <si>
    <t>27-03-06-013</t>
  </si>
  <si>
    <t>AJIBAWO VILLAGE</t>
  </si>
  <si>
    <t>https://docs.inecelectionresults.net/elections_prod/1292/state/01/lga/03/ward/06/pu/013/013-1677411476.pdf</t>
  </si>
  <si>
    <t>AJIBAWO VILLAGE, Polling Unit, ADO ODO-OTA, Ogun State, Nigeria</t>
  </si>
  <si>
    <t>27-03-06-014</t>
  </si>
  <si>
    <t>A/C SCHOOL IGBELE-AJANA</t>
  </si>
  <si>
    <t>https://docs.inecelectionresults.net/elections_prod/1292/state/01/lga/03/ward/06/pu/014/014-1677417229.pdf</t>
  </si>
  <si>
    <t>A/C SCHOOL IGBELE-AJANA, Polling Unit, ADO ODO-OTA, Ogun State, Nigeria</t>
  </si>
  <si>
    <t>27-03-06-015</t>
  </si>
  <si>
    <t>O.L.G. SCHOOL ADEKANBI</t>
  </si>
  <si>
    <t>https://docs.inecelectionresults.net/elections_prod/1292/state/1/lga/3668/ward/23986/pu/91421/91421-1677475551.pdf</t>
  </si>
  <si>
    <t>O.L.G. SCHOOL ADEKANBI, Polling Unit, ADO ODO-OTA, Ogun State, Nigeria</t>
  </si>
  <si>
    <t>27-03-06-016</t>
  </si>
  <si>
    <t>OLD ATAN MOTOR PARK</t>
  </si>
  <si>
    <t>https://docs.inecelectionresults.net/elections_prod/1292/state/01/lga/03/ward/06/pu/016/016-1677410394.pdf</t>
  </si>
  <si>
    <t>OLD ATAN MOTOR PARK, Polling Unit, ADO ODO-OTA, Ogun State, Nigeria</t>
  </si>
  <si>
    <t>27-03-06-017</t>
  </si>
  <si>
    <t>ABULE TISA</t>
  </si>
  <si>
    <t>https://docs.inecelectionresults.net/elections_prod/1292/state/01/lga/03/ward/06/pu/017/017-1677419959.pdf</t>
  </si>
  <si>
    <t>ABULE TISA, Polling Unit, ADO ODO-OTA, Ogun State, Nigeria</t>
  </si>
  <si>
    <t>27-03-06-018</t>
  </si>
  <si>
    <t>ISAGA ONLADO</t>
  </si>
  <si>
    <t>https://docs.inecelectionresults.net/elections_prod/1292/state/1/lga/3668/ward/23986/pu/91424/91424-1677470211.pdf</t>
  </si>
  <si>
    <t>ISAGA ONLADO, Polling Unit, ADO ODO-OTA, Ogun State, Nigeria</t>
  </si>
  <si>
    <t>27-03-06-019</t>
  </si>
  <si>
    <t>N.U.D.  ATAN II</t>
  </si>
  <si>
    <t>https://docs.inecelectionresults.net/elections_prod/1292/state/01/lga/03/ward/06/pu/019/019-1677404172.pdf</t>
  </si>
  <si>
    <t>N.U.D.  ATAN II, Polling Unit, ADO ODO-OTA, Ogun State, Nigeria</t>
  </si>
  <si>
    <t>27-03-06-020</t>
  </si>
  <si>
    <t>AMODE VILLAGE</t>
  </si>
  <si>
    <t>https://docs.inecelectionresults.net/elections_prod/1292/state/1/lga/3668/ward/23986/pu/91426/91426-1677462718.pdf</t>
  </si>
  <si>
    <t>AMODE VILLAGE, Polling Unit, ADO ODO-OTA, Ogun State, Nigeria</t>
  </si>
  <si>
    <t>IJU</t>
  </si>
  <si>
    <t>27-03-07-001</t>
  </si>
  <si>
    <t>IJU EBIYE HIGH SCHOOL</t>
  </si>
  <si>
    <t>https://docs.inecelectionresults.net/elections_prod/1292/state/01/lga/03/ward/07/pu/001/001-1677413801.pdf</t>
  </si>
  <si>
    <t>IJU EBIYE HIGH SCHOOL, Polling Unit, ADO ODO-OTA, Ogun State, Nigeria</t>
  </si>
  <si>
    <t>27-03-07-002</t>
  </si>
  <si>
    <t>27-03-07-005</t>
  </si>
  <si>
    <t>A/C SCHOOL ONIBUKU</t>
  </si>
  <si>
    <t>https://docs.inecelectionresults.net/elections_prod/1292/state/01/lga/03/ward/07/pu/005/005-1677420488.pdf</t>
  </si>
  <si>
    <t>A/C SCHOOL ONIBUKU, Polling Unit, ADO ODO-OTA, Ogun State, Nigeria</t>
  </si>
  <si>
    <t>27-03-07-006</t>
  </si>
  <si>
    <t>ORE AKINDE VILLAGE</t>
  </si>
  <si>
    <t>https://docs.inecelectionresults.net/elections_prod/1292/state/01/lga/03/ward/07/pu/006/006-1677408404.pdf</t>
  </si>
  <si>
    <t>ORE AKINDE VILLAGE, Polling Unit, ADO ODO-OTA, Ogun State, Nigeria</t>
  </si>
  <si>
    <t>27-03-07-007</t>
  </si>
  <si>
    <t>A/C SCHOOL OSUKE</t>
  </si>
  <si>
    <t>https://docs.inecelectionresults.net/elections_prod/1292/state/01/lga/03/ward/07/pu/007/007-1677407782.pdf</t>
  </si>
  <si>
    <t>A/C SCHOOL OSUKE, Polling Unit, ADO ODO-OTA, Ogun State, Nigeria</t>
  </si>
  <si>
    <t>27-03-07-008</t>
  </si>
  <si>
    <t>AYETORO OPEN SPACE</t>
  </si>
  <si>
    <t>https://docs.inecelectionresults.net/elections_prod/1292/state/01/lga/03/ward/07/pu/008/008-1677378632.pdf</t>
  </si>
  <si>
    <t>AYETORO OPEN SPACE, Polling Unit, ADO ODO-OTA, Ogun State, Nigeria</t>
  </si>
  <si>
    <t>27-03-07-010</t>
  </si>
  <si>
    <t>ST. PETER'S SCHOOL IYESI</t>
  </si>
  <si>
    <t>https://docs.inecelectionresults.net/elections_prod/1292/state/01/lga/03/ward/07/pu/010/010-1677391244.pdf</t>
  </si>
  <si>
    <t>ST. PETER'S SCHOOL IYESI, Polling Unit, ADO ODO-OTA, Ogun State, Nigeria</t>
  </si>
  <si>
    <t>27-03-07-011</t>
  </si>
  <si>
    <t>L.G SCHOOL ITORI</t>
  </si>
  <si>
    <t>https://docs.inecelectionresults.net/elections_prod/1292/state/01/lga/03/ward/07/pu/011/011-1677382378.pdf</t>
  </si>
  <si>
    <t>L.G SCHOOL ITORI, Polling Unit, ADO ODO-OTA, Ogun State, Nigeria</t>
  </si>
  <si>
    <t>27-03-07-012</t>
  </si>
  <si>
    <t>ILUPEJU COMM. PRIMARY SCHOOL I</t>
  </si>
  <si>
    <t>https://docs.inecelectionresults.net/elections_prod/1292/state/01/lga/03/ward/07/pu/012/012-1677390374.pdf</t>
  </si>
  <si>
    <t>ILUPEJU COMM. PRIMARY SCHOOL I, Polling Unit, ADO ODO-OTA, Ogun State, Nigeria</t>
  </si>
  <si>
    <t>27-03-07-013</t>
  </si>
  <si>
    <t>HOUSING ESTATE</t>
  </si>
  <si>
    <t>https://docs.inecelectionresults.net/elections_prod/1292/state/01/lga/03/ward/07/pu/013/013-1677389063.pdf</t>
  </si>
  <si>
    <t>HOUSING ESTATE, Polling Unit, ADO ODO-OTA, Ogun State, Nigeria</t>
  </si>
  <si>
    <t>27-03-07-014</t>
  </si>
  <si>
    <t>L.G SCHOOL ITELE</t>
  </si>
  <si>
    <t>https://docs.inecelectionresults.net/elections_prod/1292/state/01/lga/03/ward/07/pu/014/014-1677381941.pdf</t>
  </si>
  <si>
    <t>L.G SCHOOL ITELE, Polling Unit, ADO ODO-OTA, Ogun State, Nigeria</t>
  </si>
  <si>
    <t>27-03-07-015</t>
  </si>
  <si>
    <t>LAFENWA VILLAGE SQUARE</t>
  </si>
  <si>
    <t>https://docs.inecelectionresults.net/elections_prod/1292/state/01/lga/03/ward/07/pu/015/015-1677387350.pdf</t>
  </si>
  <si>
    <t>LAFENWA VILLAGE SQUARE, Polling Unit, ADO ODO-OTA, Ogun State, Nigeria</t>
  </si>
  <si>
    <t>27-03-07-016</t>
  </si>
  <si>
    <t>IJUEBIYE VILLAGE SQUARE</t>
  </si>
  <si>
    <t>https://docs.inecelectionresults.net/elections_prod/1292/state/01/lga/03/ward/07/pu/016/016-1677409804.pdf</t>
  </si>
  <si>
    <t>IJUEBIYE VILLAGE SQUARE, Polling Unit, ADO ODO-OTA, Ogun State, Nigeria</t>
  </si>
  <si>
    <t>27-03-07-017</t>
  </si>
  <si>
    <t>ILUPEJU COMM. PRIMARY SCHOOL II</t>
  </si>
  <si>
    <t>https://docs.inecelectionresults.net/elections_prod/1292/state/01/lga/03/ward/07/pu/017/017-1677388869.pdf</t>
  </si>
  <si>
    <t>ILUPEJU COMM. PRIMARY SCHOOL II, Polling Unit, ADO ODO-OTA, Ogun State, Nigeria</t>
  </si>
  <si>
    <t>ILOGBO</t>
  </si>
  <si>
    <t>27-03-08-002</t>
  </si>
  <si>
    <t>LIASU BALOGUN</t>
  </si>
  <si>
    <t>https://docs.inecelectionresults.net/elections_prod/1292/state/01/lga/03/ward/08/pu/002/002-1677428193.pdf</t>
  </si>
  <si>
    <t>LIASU BALOGUN, Polling Unit, ADO ODO-OTA, Ogun State, Nigeria</t>
  </si>
  <si>
    <t>27-03-08-003</t>
  </si>
  <si>
    <t>IDIAGBON</t>
  </si>
  <si>
    <t>https://docs.inecelectionresults.net/elections_prod/1292/state/01/lga/03/ward/08/pu/003/003-1677427345.pdf</t>
  </si>
  <si>
    <t>IDIAGBON, Polling Unit, ADO ODO-OTA, Ogun State, Nigeria</t>
  </si>
  <si>
    <t>27-03-08-004</t>
  </si>
  <si>
    <t>L.G. SCHOOL OLORUNDA - AGANNA</t>
  </si>
  <si>
    <t>https://docs.inecelectionresults.net/elections_prod/1292/state/01/lga/03/ward/08/pu/004/004-1677408811.pdf</t>
  </si>
  <si>
    <t>L.G. SCHOOL OLORUNDA - AGANNA, Polling Unit, ADO ODO-OTA, Ogun State, Nigeria</t>
  </si>
  <si>
    <t>27-03-08-005</t>
  </si>
  <si>
    <t>L.G. SCHOOL JOGA</t>
  </si>
  <si>
    <t>https://docs.inecelectionresults.net/elections_prod/1292/state/1/lga/3668/ward/23988/pu/91448/91448-1677455795.pdf</t>
  </si>
  <si>
    <t>L.G. SCHOOL JOGA, Polling Unit, ADO ODO-OTA, Ogun State, Nigeria</t>
  </si>
  <si>
    <t>27-03-08-007</t>
  </si>
  <si>
    <t>OWODE PRIMARY SCHOOL  I</t>
  </si>
  <si>
    <t>https://docs.inecelectionresults.net/elections_prod/1292/state/01/lga/03/ward/08/pu/007/007-1677413433.pdf</t>
  </si>
  <si>
    <t>OWODE PRIMARY SCHOOL  I, Polling Unit, ADO ODO-OTA, Ogun State, Nigeria</t>
  </si>
  <si>
    <t>27-03-08-008</t>
  </si>
  <si>
    <t>OWODE TITUN</t>
  </si>
  <si>
    <t>https://docs.inecelectionresults.net/elections_prod/1292/state/01/lga/03/ward/08/pu/008/008-1677411122.pdf</t>
  </si>
  <si>
    <t>OWODE TITUN, Polling Unit, ADO ODO-OTA, Ogun State, Nigeria</t>
  </si>
  <si>
    <t>27-03-08-009</t>
  </si>
  <si>
    <t>TIGBO VILLAGE</t>
  </si>
  <si>
    <t>https://docs.inecelectionresults.net/elections_prod/1292/state/01/lga/03/ward/08/pu/009/009-1677423329.pdf</t>
  </si>
  <si>
    <t>TIGBO VILLAGE, Polling Unit, ADO ODO-OTA, Ogun State, Nigeria</t>
  </si>
  <si>
    <t>27-03-08-010</t>
  </si>
  <si>
    <t>L.G SCHOOL KONIFEWO</t>
  </si>
  <si>
    <t>https://docs.inecelectionresults.net/elections_prod/1292/state/01/lga/03/ward/08/pu/010/010-1677405520.pdf</t>
  </si>
  <si>
    <t>L.G SCHOOL KONIFEWO, Polling Unit, ADO ODO-OTA, Ogun State, Nigeria</t>
  </si>
  <si>
    <t>27-03-08-011</t>
  </si>
  <si>
    <t>IJAKO PRIMARY SCHOOL</t>
  </si>
  <si>
    <t>https://docs.inecelectionresults.net/elections_prod/1292/state/01/lga/03/ward/08/pu/011/011-1677427255.pdf</t>
  </si>
  <si>
    <t>IJAKO PRIMARY SCHOOL, Polling Unit, ADO ODO-OTA, Ogun State, Nigeria</t>
  </si>
  <si>
    <t>27-03-08-013</t>
  </si>
  <si>
    <t>IYANA ILOGBO TIGBO</t>
  </si>
  <si>
    <t>https://docs.inecelectionresults.net/elections_prod/1292/state/01/lga/03/ward/08/pu/013/013-1677428481.pdf</t>
  </si>
  <si>
    <t>IYANA ILOGBO TIGBO, Polling Unit, ADO ODO-OTA, Ogun State, Nigeria</t>
  </si>
  <si>
    <t>27-03-08-014</t>
  </si>
  <si>
    <t>ISOROSI IJAKO</t>
  </si>
  <si>
    <t>https://docs.inecelectionresults.net/elections_prod/1292/state/01/lga/03/ward/08/pu/014/014-1677411802.pdf</t>
  </si>
  <si>
    <t>ISOROSI IJAKO, Polling Unit, ADO ODO-OTA, Ogun State, Nigeria</t>
  </si>
  <si>
    <t>27-03-08-017</t>
  </si>
  <si>
    <t>LESI</t>
  </si>
  <si>
    <t>https://docs.inecelectionresults.net/elections_prod/1292/state/01/lga/03/ward/08/pu/017/017-1677412329.pdf</t>
  </si>
  <si>
    <t>LESI, Polling Unit, ADO ODO-OTA, Ogun State, Nigeria</t>
  </si>
  <si>
    <t>27-03-08-018</t>
  </si>
  <si>
    <t>ONIYANMO</t>
  </si>
  <si>
    <t>https://docs.inecelectionresults.net/elections_prod/1292/state/1/lga/3668/ward/23988/pu/91461/91461-1677456222.pdf</t>
  </si>
  <si>
    <t>ONIYANMO, Polling Unit, ADO ODO-OTA, Ogun State, Nigeria</t>
  </si>
  <si>
    <t>27-03-08-019</t>
  </si>
  <si>
    <t>EWUPE</t>
  </si>
  <si>
    <t>https://docs.inecelectionresults.net/elections_prod/1292/state/01/lga/03/ward/08/pu/019/019-1677425312.pdf</t>
  </si>
  <si>
    <t>EWUPE, Polling Unit, ADO ODO-OTA, Ogun State, Nigeria</t>
  </si>
  <si>
    <t>27-03-08-020</t>
  </si>
  <si>
    <t>ORENTE</t>
  </si>
  <si>
    <t>https://docs.inecelectionresults.net/elections_prod/1292/state/01/lga/03/ward/08/pu/020/020-1677414216.pdf</t>
  </si>
  <si>
    <t>ORENTE, Polling Unit, ADO ODO-OTA, Ogun State, Nigeria</t>
  </si>
  <si>
    <t>ADO ODO  I</t>
  </si>
  <si>
    <t>27-03-09-001</t>
  </si>
  <si>
    <t>R.C.M. SCHOOL, OKE PADRE I</t>
  </si>
  <si>
    <t>https://docs.inecelectionresults.net/elections_prod/1292/state/01/lga/03/ward/09/pu/001/001-1677409313.pdf</t>
  </si>
  <si>
    <t>R.C.M. SCHOOL, OKE PADRE I, Polling Unit, ADO ODO-OTA, Ogun State, Nigeria</t>
  </si>
  <si>
    <t>27-03-09-002</t>
  </si>
  <si>
    <t>R.C.M. SCHOOL, OKE PADRE II</t>
  </si>
  <si>
    <t>https://docs.inecelectionresults.net/elections_prod/1292/state/01/lga/03/ward/09/pu/002/002-1677402768.pdf</t>
  </si>
  <si>
    <t>R.C.M. SCHOOL, OKE PADRE II, Polling Unit, ADO ODO-OTA, Ogun State, Nigeria</t>
  </si>
  <si>
    <t>27-03-09-003</t>
  </si>
  <si>
    <t>IDOBARUN  I</t>
  </si>
  <si>
    <t>https://docs.inecelectionresults.net/elections_prod/1292/state/01/lga/03/ward/09/pu/003/003-1677399426.pdf</t>
  </si>
  <si>
    <t>IDOBARUN  I, Polling Unit, ADO ODO-OTA, Ogun State, Nigeria</t>
  </si>
  <si>
    <t>27-03-09-004</t>
  </si>
  <si>
    <t>IDOBARUN  II</t>
  </si>
  <si>
    <t>https://docs.inecelectionresults.net/elections_prod/1292/state/01/lga/03/ward/09/pu/004/004-1677395965.pdf</t>
  </si>
  <si>
    <t>IDOBARUN  II, Polling Unit, ADO ODO-OTA, Ogun State, Nigeria</t>
  </si>
  <si>
    <t>27-03-09-005</t>
  </si>
  <si>
    <t>EVENING MARKET I- OGONA</t>
  </si>
  <si>
    <t>https://docs.inecelectionresults.net/elections_prod/1292/state/01/lga/03/ward/09/pu/005/005-1677395706.pdf</t>
  </si>
  <si>
    <t>EVENING MARKET I- OGONA, Polling Unit, ADO ODO-OTA, Ogun State, Nigeria</t>
  </si>
  <si>
    <t>27-03-09-006</t>
  </si>
  <si>
    <t>OJA ALE</t>
  </si>
  <si>
    <t>https://docs.inecelectionresults.net/elections_prod/1292/state/01/lga/03/ward/09/pu/006/006-1677394351.pdf</t>
  </si>
  <si>
    <t>OJA ALE, Polling Unit, ADO ODO-OTA, Ogun State, Nigeria</t>
  </si>
  <si>
    <t>27-03-09-007</t>
  </si>
  <si>
    <t>A.O.L.G. SCHOOL, ADO-ODO  I</t>
  </si>
  <si>
    <t>https://docs.inecelectionresults.net/elections_prod/1292/state/01/lga/03/ward/09/pu/007/007-1677394018.pdf</t>
  </si>
  <si>
    <t>A.O.L.G. SCHOOL, ADO-ODO  I, Polling Unit, ADO ODO-OTA, Ogun State, Nigeria</t>
  </si>
  <si>
    <t>27-03-09-008</t>
  </si>
  <si>
    <t>A.O.L.G. SCHOOL, ADO-ODO  II</t>
  </si>
  <si>
    <t>https://docs.inecelectionresults.net/elections_prod/1292/state/01/lga/03/ward/09/pu/008/008-1677395384.pdf</t>
  </si>
  <si>
    <t>A.O.L.G. SCHOOL, ADO-ODO  II, Polling Unit, ADO ODO-OTA, Ogun State, Nigeria</t>
  </si>
  <si>
    <t>27-03-09-009</t>
  </si>
  <si>
    <t>L.G. SCHOOL OKE-OSI I</t>
  </si>
  <si>
    <t>https://docs.inecelectionresults.net/elections_prod/1292/state/01/lga/03/ward/09/pu/009/009-1677409919.pdf</t>
  </si>
  <si>
    <t>L.G. SCHOOL OKE-OSI I, Polling Unit, ADO ODO-OTA, Ogun State, Nigeria</t>
  </si>
  <si>
    <t>27-03-09-010</t>
  </si>
  <si>
    <t>L.G. SCHOOL OKE-OSI II</t>
  </si>
  <si>
    <t>https://docs.inecelectionresults.net/elections_prod/1292/state/01/lga/03/ward/09/pu/010/010-1677404272.pdf</t>
  </si>
  <si>
    <t>L.G. SCHOOL OKE-OSI II, Polling Unit, ADO ODO-OTA, Ogun State, Nigeria</t>
  </si>
  <si>
    <t>27-03-09-011</t>
  </si>
  <si>
    <t>U.A.M.C. SCHOOL ADO-ODO  I</t>
  </si>
  <si>
    <t>https://docs.inecelectionresults.net/elections_prod/1292/state/01/lga/03/ward/09/pu/011/011-1677404046.pdf</t>
  </si>
  <si>
    <t>U.A.M.C. SCHOOL ADO-ODO  I, Polling Unit, ADO ODO-OTA, Ogun State, Nigeria</t>
  </si>
  <si>
    <t>27-03-09-012</t>
  </si>
  <si>
    <t>U.A.M.C. SCHOOL ADO-ODO  II</t>
  </si>
  <si>
    <t>https://docs.inecelectionresults.net/elections_prod/1292/state/01/lga/03/ward/09/pu/012/012-1677394176.pdf</t>
  </si>
  <si>
    <t>U.A.M.C. SCHOOL ADO-ODO  II, Polling Unit, ADO ODO-OTA, Ogun State, Nigeria</t>
  </si>
  <si>
    <t>27-03-09-013</t>
  </si>
  <si>
    <t>R.C.M. SCHOOL ADO-ODO</t>
  </si>
  <si>
    <t>https://docs.inecelectionresults.net/elections_prod/1292/state/01/lga/03/ward/09/pu/013/013-1677399275.pdf</t>
  </si>
  <si>
    <t>R.C.M. SCHOOL ADO-ODO, Polling Unit, ADO ODO-OTA, Ogun State, Nigeria</t>
  </si>
  <si>
    <t>27-03-09-014</t>
  </si>
  <si>
    <t>MOTOR PARK</t>
  </si>
  <si>
    <t>https://docs.inecelectionresults.net/elections_prod/1292/state/01/lga/03/ward/09/pu/014/014-1677408112.pdf</t>
  </si>
  <si>
    <t>MOTOR PARK, Polling Unit, ADO ODO-OTA, Ogun State, Nigeria</t>
  </si>
  <si>
    <t>27-03-09-015</t>
  </si>
  <si>
    <t>PUBLIC LIBRARY I</t>
  </si>
  <si>
    <t>https://docs.inecelectionresults.net/elections_prod/1292/state/01/lga/03/ward/09/pu/015/015-1677396549.pdf</t>
  </si>
  <si>
    <t>PUBLIC LIBRARY I, Polling Unit, ADO ODO-OTA, Ogun State, Nigeria</t>
  </si>
  <si>
    <t>27-03-09-016</t>
  </si>
  <si>
    <t>L.G SCHOOL IDI OGEDE</t>
  </si>
  <si>
    <t>https://docs.inecelectionresults.net/elections_prod/1292/state/01/lga/03/ward/09/pu/016/016-1677409342.pdf</t>
  </si>
  <si>
    <t>L.G SCHOOL IDI OGEDE, Polling Unit, ADO ODO-OTA, Ogun State, Nigeria</t>
  </si>
  <si>
    <t>27-03-09-017</t>
  </si>
  <si>
    <t>INFRONT OF ALHAJI ADEGBOLA'S HOUSE</t>
  </si>
  <si>
    <t>https://docs.inecelectionresults.net/elections_prod/1292/state/01/lga/03/ward/09/pu/017/017-1677401985.pdf</t>
  </si>
  <si>
    <t>INFRONT OF ALHAJI ADEGBOLA'S HOUSE, Polling Unit, ADO ODO-OTA, Ogun State, Nigeria</t>
  </si>
  <si>
    <t>27-03-09-018</t>
  </si>
  <si>
    <t>IDOLOWU AREA</t>
  </si>
  <si>
    <t>https://docs.inecelectionresults.net/elections_prod/1292/state/01/lga/03/ward/09/pu/018/018-1677408731.pdf</t>
  </si>
  <si>
    <t>IDOLOWU AREA, Polling Unit, ADO ODO-OTA, Ogun State, Nigeria</t>
  </si>
  <si>
    <t>ADO ODO II</t>
  </si>
  <si>
    <t>27-03-10-001</t>
  </si>
  <si>
    <t>METHODIST PRIMARY SCHOOL  I</t>
  </si>
  <si>
    <t>https://docs.inecelectionresults.net/elections_prod/1292/state/01/lga/03/ward/10/pu/001/001-1677376731.pdf</t>
  </si>
  <si>
    <t>METHODIST PRIMARY SCHOOL  I, Polling Unit, ADO ODO-OTA, Ogun State, Nigeria</t>
  </si>
  <si>
    <t>27-03-10-002</t>
  </si>
  <si>
    <t>METHODIST PRIMARY SCHOOL  II</t>
  </si>
  <si>
    <t>https://docs.inecelectionresults.net/elections_prod/1292/state/01/lga/03/ward/10/pu/002/002-1677359847.pdf</t>
  </si>
  <si>
    <t>METHODIST PRIMARY SCHOOL  II, Polling Unit, ADO ODO-OTA, Ogun State, Nigeria</t>
  </si>
  <si>
    <t>27-03-10-003</t>
  </si>
  <si>
    <t>A.U.D. SCHOOL ADO</t>
  </si>
  <si>
    <t>https://docs.inecelectionresults.net/elections_prod/1292/state/01/lga/03/ward/10/pu/003/003-1677365854.pdf</t>
  </si>
  <si>
    <t>A.U.D. SCHOOL ADO, Polling Unit, ADO ODO-OTA, Ogun State, Nigeria</t>
  </si>
  <si>
    <t>27-03-10-004</t>
  </si>
  <si>
    <t>AGUNLOYE MARKET  I</t>
  </si>
  <si>
    <t>https://docs.inecelectionresults.net/elections_prod/1292/state/01/lga/03/ward/10/pu/004/004-1677368860.pdf</t>
  </si>
  <si>
    <t>AGUNLOYE MARKET  I, Polling Unit, ADO ODO-OTA, Ogun State, Nigeria</t>
  </si>
  <si>
    <t>27-03-10-005</t>
  </si>
  <si>
    <t>L.G SCH. IJIGBO</t>
  </si>
  <si>
    <t>https://docs.inecelectionresults.net/elections_prod/1292/state/01/lga/03/ward/10/pu/005/005-1677374647.pdf</t>
  </si>
  <si>
    <t>L.G SCH. IJIGBO, Polling Unit, ADO ODO-OTA, Ogun State, Nigeria</t>
  </si>
  <si>
    <t>27-03-10-006</t>
  </si>
  <si>
    <t>OKULUKU</t>
  </si>
  <si>
    <t>https://docs.inecelectionresults.net/elections_prod/1292/state/01/lga/03/ward/10/pu/006/006-1677359124.pdf</t>
  </si>
  <si>
    <t>OKULUKU, Polling Unit, ADO ODO-OTA, Ogun State, Nigeria</t>
  </si>
  <si>
    <t>27-03-10-007</t>
  </si>
  <si>
    <t>ITA EGUN-NLA  II</t>
  </si>
  <si>
    <t>https://docs.inecelectionresults.net/elections_prod/1292/state/01/lga/03/ward/10/pu/007/007-1677370243.pdf</t>
  </si>
  <si>
    <t>ITA EGUN-NLA  II, Polling Unit, ADO ODO-OTA, Ogun State, Nigeria</t>
  </si>
  <si>
    <t>27-03-10-008</t>
  </si>
  <si>
    <t>ALL SAINTS SCHOOL ADO-ODO I</t>
  </si>
  <si>
    <t>https://docs.inecelectionresults.net/elections_prod/1292/state/01/lga/03/ward/10/pu/008/008-1677359426.pdf</t>
  </si>
  <si>
    <t>ALL SAINTS SCHOOL ADO-ODO I, Polling Unit, ADO ODO-OTA, Ogun State, Nigeria</t>
  </si>
  <si>
    <t>27-03-10-009</t>
  </si>
  <si>
    <t>OPPOSITE  DISPENSARY</t>
  </si>
  <si>
    <t>https://docs.inecelectionresults.net/elections_prod/1292/state/01/lga/03/ward/10/pu/009/009-1677367763.pdf</t>
  </si>
  <si>
    <t>OPPOSITE  DISPENSARY, Polling Unit, ADO ODO-OTA, Ogun State, Nigeria</t>
  </si>
  <si>
    <t>27-03-10-012</t>
  </si>
  <si>
    <t>ITA EGUN KEKERE</t>
  </si>
  <si>
    <t>https://docs.inecelectionresults.net/elections_prod/1292/state/01/lga/03/ward/10/pu/012/012-1677370820.pdf</t>
  </si>
  <si>
    <t>ITA EGUN KEKERE, Polling Unit, ADO ODO-OTA, Ogun State, Nigeria</t>
  </si>
  <si>
    <t>27-03-10-013</t>
  </si>
  <si>
    <t>ALL SAINT'S SCHOOL ADO II</t>
  </si>
  <si>
    <t>https://docs.inecelectionresults.net/elections_prod/1292/state/01/lga/03/ward/10/pu/013/013-1677369655.pdf</t>
  </si>
  <si>
    <t>ALL SAINT'S SCHOOL ADO II, Polling Unit, ADO ODO-OTA, Ogun State, Nigeria</t>
  </si>
  <si>
    <t>27-03-10-015</t>
  </si>
  <si>
    <t>ALAGBE ESTATE, IMALE  NFE ALAAFIA</t>
  </si>
  <si>
    <t>https://docs.inecelectionresults.net/elections_prod/1292/state/01/lga/03/ward/10/pu/015/015-1677372221.pdf</t>
  </si>
  <si>
    <t>ALAGBE ESTATE, IMALE  NFE ALAAFIA, Polling Unit, ADO ODO-OTA, Ogun State, Nigeria</t>
  </si>
  <si>
    <t>ERE</t>
  </si>
  <si>
    <t>27-03-11-001</t>
  </si>
  <si>
    <t>ORITA IGBEKAN</t>
  </si>
  <si>
    <t>https://docs.inecelectionresults.net/elections_prod/1292/state/1/lga/3668/ward/23991/pu/91499/91499-1677461000.pdf</t>
  </si>
  <si>
    <t>ORITA IGBEKAN, Polling Unit, ADO ODO-OTA, Ogun State, Nigeria</t>
  </si>
  <si>
    <t>27-03-11-002</t>
  </si>
  <si>
    <t>METHODIST SCHOOL AGBOKU I</t>
  </si>
  <si>
    <t>https://docs.inecelectionresults.net/elections_prod/1292/state/1/lga/3668/ward/23991/pu/91500/91500-1677462061.pdf</t>
  </si>
  <si>
    <t>METHODIST SCHOOL AGBOKU I, Polling Unit, ADO ODO-OTA, Ogun State, Nigeria</t>
  </si>
  <si>
    <t>27-03-11-003</t>
  </si>
  <si>
    <t>METHODIST SCHOOL AGBOKU II</t>
  </si>
  <si>
    <t>https://docs.inecelectionresults.net/elections_prod/1292/state/1/lga/3668/ward/23991/pu/91501/91501-1677461428.pdf</t>
  </si>
  <si>
    <t>METHODIST SCHOOL AGBOKU II, Polling Unit, ADO ODO-OTA, Ogun State, Nigeria</t>
  </si>
  <si>
    <t>27-03-11-005</t>
  </si>
  <si>
    <t>L.G. SCHOOL AYEDE</t>
  </si>
  <si>
    <t>https://docs.inecelectionresults.net/elections_prod/1292/state/1/lga/3668/ward/23991/pu/91503/91503-1677461114.pdf</t>
  </si>
  <si>
    <t>L.G. SCHOOL AYEDE, Polling Unit, ADO ODO-OTA, Ogun State, Nigeria</t>
  </si>
  <si>
    <t>27-03-11-006</t>
  </si>
  <si>
    <t>ALAPARU IJEGEMO</t>
  </si>
  <si>
    <t>https://docs.inecelectionresults.net/elections_prod/1292/state/1/lga/3668/ward/23991/pu/91504/91504-1677462481.pdf</t>
  </si>
  <si>
    <t>ALAPARU IJEGEMO, Polling Unit, ADO ODO-OTA, Ogun State, Nigeria</t>
  </si>
  <si>
    <t>27-03-11-007</t>
  </si>
  <si>
    <t>TOYON HIGH SCHOOL</t>
  </si>
  <si>
    <t>https://docs.inecelectionresults.net/elections_prod/1292/state/1/lga/3668/ward/23991/pu/91505/91505-1677462112.pdf</t>
  </si>
  <si>
    <t>TOYON HIGH SCHOOL, Polling Unit, ADO ODO-OTA, Ogun State, Nigeria</t>
  </si>
  <si>
    <t>27-03-11-008</t>
  </si>
  <si>
    <t>METHODIST SCHOOL ERE I</t>
  </si>
  <si>
    <t>https://docs.inecelectionresults.net/elections_prod/1292/state/1/lga/3668/ward/23991/pu/91506/91506-1677462942.pdf</t>
  </si>
  <si>
    <t>METHODIST SCHOOL ERE I, Polling Unit, ADO ODO-OTA, Ogun State, Nigeria</t>
  </si>
  <si>
    <t>27-03-11-009</t>
  </si>
  <si>
    <t>METHODIST SCHOOL ERE II</t>
  </si>
  <si>
    <t>https://docs.inecelectionresults.net/elections_prod/1292/state/1/lga/3668/ward/23991/pu/91507/91507-1677461680.pdf</t>
  </si>
  <si>
    <t>METHODIST SCHOOL ERE II, Polling Unit, ADO ODO-OTA, Ogun State, Nigeria</t>
  </si>
  <si>
    <t>27-03-11-010</t>
  </si>
  <si>
    <t>FOUR SQUARE CHURCH ILEJI</t>
  </si>
  <si>
    <t>https://docs.inecelectionresults.net/elections_prod/1292/state/1/lga/3668/ward/23991/pu/91508/91508-1677464083.pdf</t>
  </si>
  <si>
    <t>FOUR SQUARE CHURCH ILEJI, Polling Unit, ADO ODO-OTA, Ogun State, Nigeria</t>
  </si>
  <si>
    <t>27-03-11-011</t>
  </si>
  <si>
    <t>R.C.M. IKOGA - ILE</t>
  </si>
  <si>
    <t>https://docs.inecelectionresults.net/elections_prod/1292/state/1/lga/3668/ward/23991/pu/91509/91509-1677462318.pdf</t>
  </si>
  <si>
    <t>R.C.M. IKOGA - ILE, Polling Unit, ADO ODO-OTA, Ogun State, Nigeria</t>
  </si>
  <si>
    <t>27-03-11-012</t>
  </si>
  <si>
    <t>L.G. SCHOOL  AKONSUN</t>
  </si>
  <si>
    <t>https://docs.inecelectionresults.net/elections_prod/1292/state/1/lga/3668/ward/23991/pu/91510/91510-1677463231.pdf</t>
  </si>
  <si>
    <t>L.G. SCHOOL  AKONSUN, Polling Unit, ADO ODO-OTA, Ogun State, Nigeria</t>
  </si>
  <si>
    <t>27-03-11-013</t>
  </si>
  <si>
    <t>U.A.M.C. SCHOOL OKANRAN</t>
  </si>
  <si>
    <t>https://docs.inecelectionresults.net/elections_prod/1292/state/1/lga/3668/ward/23991/pu/91511/91511-1677464179.pdf</t>
  </si>
  <si>
    <t>U.A.M.C. SCHOOL OKANRAN, Polling Unit, ADO ODO-OTA, Ogun State, Nigeria</t>
  </si>
  <si>
    <t>27-03-11-014</t>
  </si>
  <si>
    <t>OKANRAN TAFI</t>
  </si>
  <si>
    <t>https://docs.inecelectionresults.net/elections_prod/1292/state/1/lga/3668/ward/23991/pu/91512/91512-1677460717.pdf</t>
  </si>
  <si>
    <t>OKANRAN TAFI, Polling Unit, ADO ODO-OTA, Ogun State, Nigeria</t>
  </si>
  <si>
    <t>27-03-11-015</t>
  </si>
  <si>
    <t>A/C SCHOOL, BANDU</t>
  </si>
  <si>
    <t>https://docs.inecelectionresults.net/elections_prod/1292/state/1/lga/3668/ward/23991/pu/91513/91513-1677460469.pdf</t>
  </si>
  <si>
    <t>A/C SCHOOL, BANDU, Polling Unit, ADO ODO-OTA, Ogun State, Nigeria</t>
  </si>
  <si>
    <t>27-03-11-017</t>
  </si>
  <si>
    <t>L.G. SCHOOL - IJEGEMO</t>
  </si>
  <si>
    <t>https://docs.inecelectionresults.net/elections_prod/1292/state/1/lga/3668/ward/23991/pu/91515/91515-1677466228.pdf</t>
  </si>
  <si>
    <t>L.G. SCHOOL - IJEGEMO, Polling Unit, ADO ODO-OTA, Ogun State, Nigeria</t>
  </si>
  <si>
    <t>27-03-11-018</t>
  </si>
  <si>
    <t>ASOKERE VILLAGE SQUARE</t>
  </si>
  <si>
    <t>https://docs.inecelectionresults.net/elections_prod/1292/state/1/lga/3668/ward/23991/pu/91516/91516-1677461927.pdf</t>
  </si>
  <si>
    <t>ASOKERE VILLAGE SQUARE, Polling Unit, ADO ODO-OTA, Ogun State, Nigeria</t>
  </si>
  <si>
    <t>27-03-11-021</t>
  </si>
  <si>
    <t>AGO SANGO IDOLEHIN</t>
  </si>
  <si>
    <t>https://docs.inecelectionresults.net/elections_prod/1292/state/1/lga/3668/ward/23991/pu/91519/91519-1677465750.pdf</t>
  </si>
  <si>
    <t>AGO SANGO IDOLEHIN, Polling Unit, ADO ODO-OTA, Ogun State, Nigeria</t>
  </si>
  <si>
    <t>27-03-11-022</t>
  </si>
  <si>
    <t>ONILOGBO</t>
  </si>
  <si>
    <t>https://docs.inecelectionresults.net/elections_prod/1292/state/1/lga/3668/ward/23991/pu/91520/91520-1677465060.pdf</t>
  </si>
  <si>
    <t>ONILOGBO, Polling Unit, ADO ODO-OTA, Ogun State, Nigeria</t>
  </si>
  <si>
    <t>27-03-11-023</t>
  </si>
  <si>
    <t>ITIRE R.C.M SCHOOL</t>
  </si>
  <si>
    <t>https://docs.inecelectionresults.net/elections_prod/1292/state/1/lga/3668/ward/23991/pu/91521/91521-1677465924.pdf</t>
  </si>
  <si>
    <t>ITIRE R.C.M SCHOOL, Polling Unit, ADO ODO-OTA, Ogun State, Nigeria</t>
  </si>
  <si>
    <t>27-03-11-024</t>
  </si>
  <si>
    <t>ARIGBO VILLAGE SQUARE</t>
  </si>
  <si>
    <t>https://docs.inecelectionresults.net/elections_prod/1292/state/1/lga/3668/ward/23991/pu/91522/91522-1677464573.pdf</t>
  </si>
  <si>
    <t>ARIGBO VILLAGE SQUARE, Polling Unit, ADO ODO-OTA, Ogun State, Nigeria</t>
  </si>
  <si>
    <t>ALAPOTI</t>
  </si>
  <si>
    <t>27-03-12-002</t>
  </si>
  <si>
    <t>C.A.C. SCHOOL ALAPOTI  I</t>
  </si>
  <si>
    <t>https://docs.inecelectionresults.net/elections_prod/1292/state/01/lga/03/ward/12/pu/002/002-1677375711.pdf</t>
  </si>
  <si>
    <t>C.A.C. SCHOOL ALAPOTI  I, Polling Unit, ADO ODO-OTA, Ogun State, Nigeria</t>
  </si>
  <si>
    <t>27-03-12-003</t>
  </si>
  <si>
    <t>C.A.C. SCHOOL ALAPOTI  II</t>
  </si>
  <si>
    <t>https://docs.inecelectionresults.net/elections_prod/1292/state/01/lga/03/ward/12/pu/003/003-1677366159.pdf</t>
  </si>
  <si>
    <t>C.A.C. SCHOOL ALAPOTI  II, Polling Unit, ADO ODO-OTA, Ogun State, Nigeria</t>
  </si>
  <si>
    <t>27-03-12-004</t>
  </si>
  <si>
    <t>U.A.M.C. DODO</t>
  </si>
  <si>
    <t>https://docs.inecelectionresults.net/elections_prod/1292/state/01/lga/03/ward/12/pu/004/004-1677367532.pdf</t>
  </si>
  <si>
    <t>U.A.M.C. DODO, Polling Unit, ADO ODO-OTA, Ogun State, Nigeria</t>
  </si>
  <si>
    <t>27-03-12-005</t>
  </si>
  <si>
    <t>INAWOLE - IDOSABA</t>
  </si>
  <si>
    <t>https://docs.inecelectionresults.net/elections_prod/1292/state/01/lga/03/ward/12/pu/005/005-1677385667.pdf</t>
  </si>
  <si>
    <t>INAWOLE - IDOSABA, Polling Unit, ADO ODO-OTA, Ogun State, Nigeria</t>
  </si>
  <si>
    <t>27-03-12-006</t>
  </si>
  <si>
    <t>IJIGBE</t>
  </si>
  <si>
    <t>https://docs.inecelectionresults.net/elections_prod/1292/state/01/lga/03/ward/12/pu/006/006-1677370218.pdf</t>
  </si>
  <si>
    <t>IJIGBE, Polling Unit, ADO ODO-OTA, Ogun State, Nigeria</t>
  </si>
  <si>
    <t>27-03-12-007</t>
  </si>
  <si>
    <t>METH. PRIMARY SCH. IDOBARUN</t>
  </si>
  <si>
    <t>https://docs.inecelectionresults.net/elections_prod/1292/state/01/lga/03/ward/12/pu/007/007-1677384335.pdf</t>
  </si>
  <si>
    <t>METH. PRIMARY SCH. IDOBARUN, Polling Unit, ADO ODO-OTA, Ogun State, Nigeria</t>
  </si>
  <si>
    <t>27-03-12-008</t>
  </si>
  <si>
    <t>R.C.M SCH. ISALU</t>
  </si>
  <si>
    <t>https://docs.inecelectionresults.net/elections_prod/1292/state/01/lga/03/ward/12/pu/008/008-1677364450.pdf</t>
  </si>
  <si>
    <t>R.C.M SCH. ISALU, Polling Unit, ADO ODO-OTA, Ogun State, Nigeria</t>
  </si>
  <si>
    <t>27-03-12-009</t>
  </si>
  <si>
    <t>OKO- OBA</t>
  </si>
  <si>
    <t>https://docs.inecelectionresults.net/elections_prod/1292/state/01/lga/03/ward/12/pu/009/009-1677358964.pdf</t>
  </si>
  <si>
    <t>OKO- OBA, Polling Unit, ADO ODO-OTA, Ogun State, Nigeria</t>
  </si>
  <si>
    <t>27-03-12-010</t>
  </si>
  <si>
    <t>E.A.C OLOPARUN I</t>
  </si>
  <si>
    <t>https://docs.inecelectionresults.net/elections_prod/1292/state/01/lga/03/ward/12/pu/010/010-1677374124.pdf</t>
  </si>
  <si>
    <t>E.A.C OLOPARUN I, Polling Unit, ADO ODO-OTA, Ogun State, Nigeria</t>
  </si>
  <si>
    <t>27-03-12-011</t>
  </si>
  <si>
    <t>E.A.C OLOPARUN II</t>
  </si>
  <si>
    <t>https://docs.inecelectionresults.net/elections_prod/1292/state/01/lga/03/ward/12/pu/011/011-1677370152.pdf</t>
  </si>
  <si>
    <t>E.A.C OLOPARUN II, Polling Unit, ADO ODO-OTA, Ogun State, Nigeria</t>
  </si>
  <si>
    <t>27-03-12-012</t>
  </si>
  <si>
    <t>IJOMO</t>
  </si>
  <si>
    <t>https://docs.inecelectionresults.net/elections_prod/1292/state/01/lga/03/ward/12/pu/012/012-1677370154.pdf</t>
  </si>
  <si>
    <t>IJOMO, Polling Unit, ADO ODO-OTA, Ogun State, Nigeria</t>
  </si>
  <si>
    <t>27-03-12-013</t>
  </si>
  <si>
    <t>U.A.M.C ELEMOKI</t>
  </si>
  <si>
    <t>https://docs.inecelectionresults.net/elections_prod/1292/state/01/lga/03/ward/12/pu/013/013-1677359307.pdf</t>
  </si>
  <si>
    <t>U.A.M.C ELEMOKI, Polling Unit, ADO ODO-OTA, Ogun State, Nigeria</t>
  </si>
  <si>
    <t>27-03-12-015</t>
  </si>
  <si>
    <t>IDIOTA</t>
  </si>
  <si>
    <t>https://docs.inecelectionresults.net/elections_prod/1292/state/01/lga/03/ward/12/pu/015/015-1677369894.pdf</t>
  </si>
  <si>
    <t>IDIOTA, Polling Unit, ADO ODO-OTA, Ogun State, Nigeria</t>
  </si>
  <si>
    <t>27-03-12-016</t>
  </si>
  <si>
    <t>BAPTIST SCH. ILORO</t>
  </si>
  <si>
    <t>https://docs.inecelectionresults.net/elections_prod/1292/state/01/lga/03/ward/12/pu/016/016-1677365755.pdf</t>
  </si>
  <si>
    <t>BAPTIST SCH. ILORO, Polling Unit, ADO ODO-OTA, Ogun State, Nigeria</t>
  </si>
  <si>
    <t>KETU-ADIE-OWE</t>
  </si>
  <si>
    <t>27-03-13-001</t>
  </si>
  <si>
    <t>L.G. SCHOOL IDANYIN</t>
  </si>
  <si>
    <t>https://docs.inecelectionresults.net/elections_prod/1292/state/01/lga/03/ward/13/pu/001/001-1677425299.pdf</t>
  </si>
  <si>
    <t>L.G. SCHOOL IDANYIN, Polling Unit, ADO ODO-OTA, Ogun State, Nigeria</t>
  </si>
  <si>
    <t>27-03-13-002</t>
  </si>
  <si>
    <t>L.G. SCHOOL KETU</t>
  </si>
  <si>
    <t>https://docs.inecelectionresults.net/elections_prod/1292/state/1/lga/3668/ward/23993/pu/91540/91540-1677474472.pdf</t>
  </si>
  <si>
    <t>L.G. SCHOOL KETU, Polling Unit, ADO ODO-OTA, Ogun State, Nigeria</t>
  </si>
  <si>
    <t>27-03-13-003</t>
  </si>
  <si>
    <t>ALAGO VILLAGE SQUARE</t>
  </si>
  <si>
    <t>https://docs.inecelectionresults.net/elections_prod/1292/state/01/lga/03/ward/13/pu/003/003-1677422861.pdf</t>
  </si>
  <si>
    <t>ALAGO VILLAGE SQUARE, Polling Unit, ADO ODO-OTA, Ogun State, Nigeria</t>
  </si>
  <si>
    <t>27-03-13-004</t>
  </si>
  <si>
    <t>AJEROGUN VILLAGE SQUARE</t>
  </si>
  <si>
    <t>https://docs.inecelectionresults.net/elections_prod/1292/state/01/lga/03/ward/13/pu/004/004-1677422098.pdf</t>
  </si>
  <si>
    <t>AJEROGUN VILLAGE SQUARE, Polling Unit, ADO ODO-OTA, Ogun State, Nigeria</t>
  </si>
  <si>
    <t>27-03-13-005</t>
  </si>
  <si>
    <t>SALVATION ARMY SCH. IDOYE</t>
  </si>
  <si>
    <t>https://docs.inecelectionresults.net/elections_prod/1292/state/01/lga/03/ward/13/pu/005/005-1677417641.pdf</t>
  </si>
  <si>
    <t>SALVATION ARMY SCH. IDOYE, Polling Unit, ADO ODO-OTA, Ogun State, Nigeria</t>
  </si>
  <si>
    <t>27-03-13-006</t>
  </si>
  <si>
    <t>ATOKO VILLAGE SQUARE</t>
  </si>
  <si>
    <t>https://docs.inecelectionresults.net/elections_prod/1292/state/1/lga/3668/ward/23993/pu/91544/91544-1677473096.pdf</t>
  </si>
  <si>
    <t>ATOKO VILLAGE SQUARE, Polling Unit, ADO ODO-OTA, Ogun State, Nigeria</t>
  </si>
  <si>
    <t>27-03-13-007</t>
  </si>
  <si>
    <t>METHODIST SCHOOL ODUGBE</t>
  </si>
  <si>
    <t>https://docs.inecelectionresults.net/elections_prod/1292/state/01/lga/03/ward/13/pu/007/007-1677419593.pdf</t>
  </si>
  <si>
    <t>METHODIST SCHOOL ODUGBE, Polling Unit, ADO ODO-OTA, Ogun State, Nigeria</t>
  </si>
  <si>
    <t>27-03-13-008</t>
  </si>
  <si>
    <t>L.G. SCHOOL EGUDU BAALE</t>
  </si>
  <si>
    <t>https://docs.inecelectionresults.net/elections_prod/1292/state/01/lga/03/ward/13/pu/008/008-1677392861.pdf</t>
  </si>
  <si>
    <t>L.G. SCHOOL EGUDU BAALE, Polling Unit, ADO ODO-OTA, Ogun State, Nigeria</t>
  </si>
  <si>
    <t>27-03-13-009</t>
  </si>
  <si>
    <t>IREBALE/KUOYE/ISAGA</t>
  </si>
  <si>
    <t>https://docs.inecelectionresults.net/elections_prod/1292/state/01/lga/03/ward/13/pu/009/009-1677420601.pdf</t>
  </si>
  <si>
    <t>IREBALE/KUOYE/ISAGA, Polling Unit, ADO ODO-OTA, Ogun State, Nigeria</t>
  </si>
  <si>
    <t>27-03-13-010</t>
  </si>
  <si>
    <t>EGUNTEDO</t>
  </si>
  <si>
    <t>https://docs.inecelectionresults.net/elections_prod/1292/state/01/lga/03/ward/13/pu/010/010-1677428727.pdf</t>
  </si>
  <si>
    <t>EGUNTEDO, Polling Unit, ADO ODO-OTA, Ogun State, Nigeria</t>
  </si>
  <si>
    <t>27-03-13-011</t>
  </si>
  <si>
    <t>AKINWUNMI VILLAGE SQUARE</t>
  </si>
  <si>
    <t>https://docs.inecelectionresults.net/elections_prod/1292/state/01/lga/03/ward/13/pu/011/011-1677426511.pdf</t>
  </si>
  <si>
    <t>AKINWUNMI VILLAGE SQUARE, Polling Unit, ADO ODO-OTA, Ogun State, Nigeria</t>
  </si>
  <si>
    <t>27-03-13-012</t>
  </si>
  <si>
    <t>A/C SCHOOL AKOORE</t>
  </si>
  <si>
    <t>https://docs.inecelectionresults.net/elections_prod/1292/state/01/lga/03/ward/13/pu/012/012-1677421570.pdf</t>
  </si>
  <si>
    <t>A/C SCHOOL AKOORE, Polling Unit, ADO ODO-OTA, Ogun State, Nigeria</t>
  </si>
  <si>
    <t>27-03-13-013</t>
  </si>
  <si>
    <t>SALVATION ARMY SCHOOL EDU</t>
  </si>
  <si>
    <t>https://docs.inecelectionresults.net/elections_prod/1292/state/1/lga/3668/ward/23993/pu/91551/91551-1677579886.pdf</t>
  </si>
  <si>
    <t>SALVATION ARMY SCHOOL EDU, Polling Unit, ADO ODO-OTA, Ogun State, Nigeria</t>
  </si>
  <si>
    <t>27-03-13-014</t>
  </si>
  <si>
    <t>LUSADA MARKET SQUARE</t>
  </si>
  <si>
    <t>https://docs.inecelectionresults.net/elections_prod/1292/state/01/lga/03/ward/13/pu/014/014-1677427863.pdf</t>
  </si>
  <si>
    <t>LUSADA MARKET SQUARE, Polling Unit, ADO ODO-OTA, Ogun State, Nigeria</t>
  </si>
  <si>
    <t>27-03-13-015</t>
  </si>
  <si>
    <t>ISAGA</t>
  </si>
  <si>
    <t>https://docs.inecelectionresults.net/elections_prod/1292/state/01/lga/03/ward/13/pu/015/015-1677424165.pdf</t>
  </si>
  <si>
    <t>ISAGA, Polling Unit, ADO ODO-OTA, Ogun State, Nigeria</t>
  </si>
  <si>
    <t>IGBESA</t>
  </si>
  <si>
    <t>27-03-14-001</t>
  </si>
  <si>
    <t>BAPTIST DAY SCHOOL</t>
  </si>
  <si>
    <t>https://docs.inecelectionresults.net/elections_prod/1292/state/01/lga/03/ward/14/pu/001/001-1677389156.pdf</t>
  </si>
  <si>
    <t>BAPTIST DAY SCHOOL, Polling Unit, ADO ODO-OTA, Ogun State, Nigeria</t>
  </si>
  <si>
    <t>27-03-14-002</t>
  </si>
  <si>
    <t>L.G. SCHOOL, IGBESA  I</t>
  </si>
  <si>
    <t>https://docs.inecelectionresults.net/elections_prod/1292/state/01/lga/03/ward/14/pu/002/002-1677404567.pdf</t>
  </si>
  <si>
    <t>L.G. SCHOOL, IGBESA  I, Polling Unit, ADO ODO-OTA, Ogun State, Nigeria</t>
  </si>
  <si>
    <t>27-03-14-003</t>
  </si>
  <si>
    <t>L.G. SCHOOL, IGBESA  II</t>
  </si>
  <si>
    <t>https://docs.inecelectionresults.net/elections_prod/1292/state/01/lga/03/ward/14/pu/003/003-1677392317.pdf</t>
  </si>
  <si>
    <t>L.G. SCHOOL, IGBESA  II, Polling Unit, ADO ODO-OTA, Ogun State, Nigeria</t>
  </si>
  <si>
    <t>27-03-14-004</t>
  </si>
  <si>
    <t>https://docs.inecelectionresults.net/elections_prod/1292/state/01/lga/03/ward/14/pu/004/004-1677417618.pdf</t>
  </si>
  <si>
    <t>27-03-14-005</t>
  </si>
  <si>
    <t>ESA OGONA I</t>
  </si>
  <si>
    <t>https://docs.inecelectionresults.net/elections_prod/1292/state/01/lga/03/ward/14/pu/005/005-1677394709.pdf</t>
  </si>
  <si>
    <t>ESA OGONA I, Polling Unit, ADO ODO-OTA, Ogun State, Nigeria</t>
  </si>
  <si>
    <t>27-03-14-006</t>
  </si>
  <si>
    <t>ALL SAINTS ANG. SCHOOL I</t>
  </si>
  <si>
    <t>https://docs.inecelectionresults.net/elections_prod/1292/state/01/lga/03/ward/14/pu/006/006-1677392363.pdf</t>
  </si>
  <si>
    <t>ALL SAINTS ANG. SCHOOL I, Polling Unit, ADO ODO-OTA, Ogun State, Nigeria</t>
  </si>
  <si>
    <t>27-03-14-007</t>
  </si>
  <si>
    <t>IGBESA HIGH SCHOOL</t>
  </si>
  <si>
    <t>https://docs.inecelectionresults.net/elections_prod/1292/state/01/lga/03/ward/14/pu/007/007-1677387984.pdf</t>
  </si>
  <si>
    <t>IGBESA HIGH SCHOOL, Polling Unit, ADO ODO-OTA, Ogun State, Nigeria</t>
  </si>
  <si>
    <t>27-03-14-008</t>
  </si>
  <si>
    <t>SAL. ARMY SCHOOL</t>
  </si>
  <si>
    <t>https://docs.inecelectionresults.net/elections_prod/1292/state/01/lga/03/ward/14/pu/008/008-1677390806.pdf</t>
  </si>
  <si>
    <t>SAL. ARMY SCHOOL, Polling Unit, ADO ODO-OTA, Ogun State, Nigeria</t>
  </si>
  <si>
    <t>27-03-14-010</t>
  </si>
  <si>
    <t>NEAR OBA'S PALACE I</t>
  </si>
  <si>
    <t>https://docs.inecelectionresults.net/elections_prod/1292/state/01/lga/03/ward/14/pu/010/010-1677389848.pdf</t>
  </si>
  <si>
    <t>NEAR OBA'S PALACE I, Polling Unit, ADO ODO-OTA, Ogun State, Nigeria</t>
  </si>
  <si>
    <t>27-03-14-011</t>
  </si>
  <si>
    <t>NEAR OBA'S PALACE II</t>
  </si>
  <si>
    <t>https://docs.inecelectionresults.net/elections_prod/1292/state/01/lga/03/ward/14/pu/011/011-1677390161.pdf</t>
  </si>
  <si>
    <t>NEAR OBA'S PALACE II, Polling Unit, ADO ODO-OTA, Ogun State, Nigeria</t>
  </si>
  <si>
    <t>27-03-14-012</t>
  </si>
  <si>
    <t>ESA OGONA II</t>
  </si>
  <si>
    <t>https://docs.inecelectionresults.net/elections_prod/1292/state/01/lga/03/ward/14/pu/012/012-1677389258.pdf</t>
  </si>
  <si>
    <t>ESA OGONA II, Polling Unit, ADO ODO-OTA, Ogun State, Nigeria</t>
  </si>
  <si>
    <t>AGBARA  I</t>
  </si>
  <si>
    <t>27-03-15-001</t>
  </si>
  <si>
    <t>SALVATION ARMY SCHOOL I</t>
  </si>
  <si>
    <t>https://docs.inecelectionresults.net/elections_prod/1292/state/01/lga/03/ward/15/pu/001/001-1677409474.pdf</t>
  </si>
  <si>
    <t>SALVATION ARMY SCHOOL I, Polling Unit, ADO ODO-OTA, Ogun State, Nigeria</t>
  </si>
  <si>
    <t>27-03-15-003</t>
  </si>
  <si>
    <t>AGBARA ESTATE  I</t>
  </si>
  <si>
    <t>https://docs.inecelectionresults.net/elections_prod/1292/state/01/lga/03/ward/15/pu/003/003-1677376543.pdf</t>
  </si>
  <si>
    <t>AGBARA ESTATE  I, Polling Unit, ADO ODO-OTA, Ogun State, Nigeria</t>
  </si>
  <si>
    <t>27-03-15-004</t>
  </si>
  <si>
    <t>AGBARA ESTATE  II</t>
  </si>
  <si>
    <t>https://docs.inecelectionresults.net/elections_prod/1292/state/01/lga/03/ward/15/pu/004/004-1677375596.pdf</t>
  </si>
  <si>
    <t>AGBARA ESTATE  II, Polling Unit, ADO ODO-OTA, Ogun State, Nigeria</t>
  </si>
  <si>
    <t>27-03-15-006</t>
  </si>
  <si>
    <t>ODAN</t>
  </si>
  <si>
    <t>https://docs.inecelectionresults.net/elections_prod/1292/state/01/lga/03/ward/15/pu/006/006-1677387598.pdf</t>
  </si>
  <si>
    <t>ODAN, Polling Unit, ADO ODO-OTA, Ogun State, Nigeria</t>
  </si>
  <si>
    <t>27-03-15-007</t>
  </si>
  <si>
    <t>IPETEDO/IPERIN</t>
  </si>
  <si>
    <t>https://docs.inecelectionresults.net/elections_prod/1292/state/01/lga/03/ward/15/pu/007/007-1677400135.pdf</t>
  </si>
  <si>
    <t>IPETEDO/IPERIN, Polling Unit, ADO ODO-OTA, Ogun State, Nigeria</t>
  </si>
  <si>
    <t>27-03-15-008</t>
  </si>
  <si>
    <t>DIYA GATE</t>
  </si>
  <si>
    <t>https://docs.inecelectionresults.net/elections_prod/1292/state/01/lga/03/ward/15/pu/008/008-1677388353.pdf</t>
  </si>
  <si>
    <t>DIYA GATE, Polling Unit, ADO ODO-OTA, Ogun State, Nigeria</t>
  </si>
  <si>
    <t>27-03-15-009</t>
  </si>
  <si>
    <t>JIDA AREA</t>
  </si>
  <si>
    <t>https://docs.inecelectionresults.net/elections_prod/1292/state/01/lga/03/ward/15/pu/009/009-1677421509.pdf</t>
  </si>
  <si>
    <t>JIDA AREA, Polling Unit, ADO ODO-OTA, Ogun State, Nigeria</t>
  </si>
  <si>
    <t>27-03-15-010</t>
  </si>
  <si>
    <t>KOROGBOJI</t>
  </si>
  <si>
    <t>https://docs.inecelectionresults.net/elections_prod/1292/state/01/lga/03/ward/15/pu/010/010-1677422244.pdf</t>
  </si>
  <si>
    <t>KOROGBOJI, Polling Unit, ADO ODO-OTA, Ogun State, Nigeria</t>
  </si>
  <si>
    <t>27-03-15-011</t>
  </si>
  <si>
    <t>ISALE JIDA</t>
  </si>
  <si>
    <t>https://docs.inecelectionresults.net/elections_prod/1292/state/01/lga/03/ward/15/pu/011/011-1677394617.pdf</t>
  </si>
  <si>
    <t>ISALE JIDA, Polling Unit, ADO ODO-OTA, Ogun State, Nigeria</t>
  </si>
  <si>
    <t>27-03-15-012</t>
  </si>
  <si>
    <t>ISALE AGBARA</t>
  </si>
  <si>
    <t>https://docs.inecelectionresults.net/elections_prod/1292/state/01/lga/03/ward/15/pu/012/012-1677390108.pdf</t>
  </si>
  <si>
    <t>ISALE AGBARA, Polling Unit, ADO ODO-OTA, Ogun State, Nigeria</t>
  </si>
  <si>
    <t>27-03-15-013</t>
  </si>
  <si>
    <t>SALVATION ARMY SCHOOL II</t>
  </si>
  <si>
    <t>https://docs.inecelectionresults.net/elections_prod/1292/state/01/lga/03/ward/15/pu/013/013-1677422651.pdf</t>
  </si>
  <si>
    <t>SALVATION ARMY SCHOOL II, Polling Unit, ADO ODO-OTA, Ogun State, Nigeria</t>
  </si>
  <si>
    <t>27-03-15-014</t>
  </si>
  <si>
    <t>MEDINA ESTATE</t>
  </si>
  <si>
    <t>https://docs.inecelectionresults.net/elections_prod/1292/state/01/lga/03/ward/15/pu/014/014-1677392590.pdf</t>
  </si>
  <si>
    <t>MEDINA ESTATE, Polling Unit, ADO ODO-OTA, Ogun State, Nigeria</t>
  </si>
  <si>
    <t>AGBARA/EJILA AWORI</t>
  </si>
  <si>
    <t>27-03-16-001</t>
  </si>
  <si>
    <t>L.G. SCHOOL IPATIRA  I</t>
  </si>
  <si>
    <t>https://docs.inecelectionresults.net/elections_prod/1292/state/01/lga/03/ward/16/pu/001/001-1677383949.pdf</t>
  </si>
  <si>
    <t>L.G. SCHOOL IPATIRA  I, Polling Unit, ADO ODO-OTA, Ogun State, Nigeria</t>
  </si>
  <si>
    <t>27-03-16-002</t>
  </si>
  <si>
    <t>L.G. SCHOOL IPATIRA  II</t>
  </si>
  <si>
    <t>https://docs.inecelectionresults.net/elections_prod/1292/state/01/lga/03/ward/16/pu/002/002-1677382259.pdf</t>
  </si>
  <si>
    <t>L.G. SCHOOL IPATIRA  II, Polling Unit, ADO ODO-OTA, Ogun State, Nigeria</t>
  </si>
  <si>
    <t>27-03-16-003</t>
  </si>
  <si>
    <t>ST. JUDE'S ANG. SCHOOL ITEKUN</t>
  </si>
  <si>
    <t>https://docs.inecelectionresults.net/elections_prod/1292/state/01/lga/03/ward/16/pu/003/003-1677378700.pdf</t>
  </si>
  <si>
    <t>ST. JUDE'S ANG. SCHOOL ITEKUN, Polling Unit, ADO ODO-OTA, Ogun State, Nigeria</t>
  </si>
  <si>
    <t>27-03-16-004</t>
  </si>
  <si>
    <t>IMOLE VILLAGE SQUARE</t>
  </si>
  <si>
    <t>https://docs.inecelectionresults.net/elections_prod/1292/state/01/lga/03/ward/16/pu/004/004-1677399622.pdf</t>
  </si>
  <si>
    <t>IMOLE VILLAGE SQUARE, Polling Unit, ADO ODO-OTA, Ogun State, Nigeria</t>
  </si>
  <si>
    <t>27-03-16-005</t>
  </si>
  <si>
    <t>A.U.D. SCHOOL. EWUTAGBE</t>
  </si>
  <si>
    <t>https://docs.inecelectionresults.net/elections_prod/1292/state/01/lga/03/ward/16/pu/005/005-1677401282.pdf</t>
  </si>
  <si>
    <t>A.U.D. SCHOOL. EWUTAGBE, Polling Unit, ADO ODO-OTA, Ogun State, Nigeria</t>
  </si>
  <si>
    <t>27-03-16-006</t>
  </si>
  <si>
    <t>A/C SCHOOL ODAN ABUJA  I</t>
  </si>
  <si>
    <t>https://docs.inecelectionresults.net/elections_prod/1292/state/01/lga/03/ward/16/pu/006/006-1677398999.pdf</t>
  </si>
  <si>
    <t>A/C SCHOOL ODAN ABUJA  I, Polling Unit, ADO ODO-OTA, Ogun State, Nigeria</t>
  </si>
  <si>
    <t>27-03-16-008</t>
  </si>
  <si>
    <t>A U D IKOGBO I (IMOLE VILLAGE SQUARE)</t>
  </si>
  <si>
    <t>https://docs.inecelectionresults.net/elections_prod/1292/state/01/lga/03/ward/16/pu/008/008-1677393322.pdf</t>
  </si>
  <si>
    <t>A U D IKOGBO I (IMOLE VILLAGE SQUARE), Polling Unit, ADO ODO-OTA, Ogun State, Nigeria</t>
  </si>
  <si>
    <t>27-03-16-010</t>
  </si>
  <si>
    <t>AGBO-ODO VILLAGE</t>
  </si>
  <si>
    <t>https://docs.inecelectionresults.net/elections_prod/1292/state/01/lga/03/ward/16/pu/010/010-1677404707.pdf</t>
  </si>
  <si>
    <t>AGBO-ODO VILLAGE, Polling Unit, ADO ODO-OTA, Ogun State, Nigeria</t>
  </si>
  <si>
    <t>27-03-16-011</t>
  </si>
  <si>
    <t>EGBADO NORTH</t>
  </si>
  <si>
    <t>IDO FOI</t>
  </si>
  <si>
    <t>27-04-01-002</t>
  </si>
  <si>
    <t>ITA KOSO/SASA</t>
  </si>
  <si>
    <t>https://docs.inecelectionresults.net/elections_prod/1292/state/01/lga/04/ward/01/pu/002/002-1677369505.pdf</t>
  </si>
  <si>
    <t>ITA KOSO/SASA, Polling Unit, EGBADO NORTH, Ogun State, Nigeria</t>
  </si>
  <si>
    <t>27-04-01-003</t>
  </si>
  <si>
    <t>AYETORO MOTOR PARK</t>
  </si>
  <si>
    <t>https://docs.inecelectionresults.net/elections_prod/1292/state/01/lga/04/ward/01/pu/003/003-1677378565.pdf</t>
  </si>
  <si>
    <t>AYETORO MOTOR PARK, Polling Unit, EGBADO NORTH, Ogun State, Nigeria</t>
  </si>
  <si>
    <t>27-04-01-005</t>
  </si>
  <si>
    <t>ROCK OF AGES I</t>
  </si>
  <si>
    <t>https://docs.inecelectionresults.net/elections_prod/1292/state/01/lga/04/ward/01/pu/005/005-1677372531.pdf</t>
  </si>
  <si>
    <t>ROCK OF AGES I, Polling Unit, EGBADO NORTH, Ogun State, Nigeria</t>
  </si>
  <si>
    <t>27-04-01-007</t>
  </si>
  <si>
    <t>NEAR POST OFFICE, I</t>
  </si>
  <si>
    <t>https://docs.inecelectionresults.net/elections_prod/1292/state/01/lga/04/ward/01/pu/007/007-1677369736.pdf</t>
  </si>
  <si>
    <t>NEAR POST OFFICE, I, Polling Unit, EGBADO NORTH, Ogun State, Nigeria</t>
  </si>
  <si>
    <t>27-04-01-009</t>
  </si>
  <si>
    <t>BAPTIST SCHOOL AGBORO</t>
  </si>
  <si>
    <t>https://docs.inecelectionresults.net/elections_prod/1292/state/01/lga/04/ward/01/pu/009/009-1677376089.pdf</t>
  </si>
  <si>
    <t>BAPTIST SCHOOL AGBORO, Polling Unit, EGBADO NORTH, Ogun State, Nigeria</t>
  </si>
  <si>
    <t>27-04-01-010</t>
  </si>
  <si>
    <t>AKANNI OKE VILLAGE</t>
  </si>
  <si>
    <t>https://docs.inecelectionresults.net/elections_prod/1292/state/01/lga/04/ward/01/pu/010/010-1677370069.pdf</t>
  </si>
  <si>
    <t>AKANNI OKE VILLAGE, Polling Unit, EGBADO NORTH, Ogun State, Nigeria</t>
  </si>
  <si>
    <t>27-04-01-012</t>
  </si>
  <si>
    <t>METHODIST SCHOOL IGBORI</t>
  </si>
  <si>
    <t>https://docs.inecelectionresults.net/elections_prod/1292/state/1/lga/3669/ward/23997/pu/91602/91602-1677502294.pdf</t>
  </si>
  <si>
    <t>METHODIST SCHOOL IGBORI, Polling Unit, EGBADO NORTH, Ogun State, Nigeria</t>
  </si>
  <si>
    <t>27-04-01-014</t>
  </si>
  <si>
    <t>ABULE YEWA DISU</t>
  </si>
  <si>
    <t>https://docs.inecelectionresults.net/elections_prod/1292/state/01/lga/04/ward/01/pu/014/014-1677392730.pdf</t>
  </si>
  <si>
    <t>ABULE YEWA DISU, Polling Unit, EGBADO NORTH, Ogun State, Nigeria</t>
  </si>
  <si>
    <t>27-04-01-015</t>
  </si>
  <si>
    <t>Y.N.L.G. SCHOOL YEWA KETU</t>
  </si>
  <si>
    <t>https://docs.inecelectionresults.net/elections_prod/1292/state/1/lga/3669/ward/23997/pu/91605/91605-1677497695.pdf</t>
  </si>
  <si>
    <t>Y.N.L.G. SCHOOL YEWA KETU, Polling Unit, EGBADO NORTH, Ogun State, Nigeria</t>
  </si>
  <si>
    <t>27-04-01-016</t>
  </si>
  <si>
    <t>COMM. PRIMARY SCHOOL SEKERE</t>
  </si>
  <si>
    <t>https://docs.inecelectionresults.net/elections_prod/1292/state/01/lga/04/ward/01/pu/016/016-1677392124.pdf</t>
  </si>
  <si>
    <t>COMM. PRIMARY SCHOOL SEKERE, Polling Unit, EGBADO NORTH, Ogun State, Nigeria</t>
  </si>
  <si>
    <t>27-04-01-019</t>
  </si>
  <si>
    <t>OBIRI VILLAGE</t>
  </si>
  <si>
    <t>https://docs.inecelectionresults.net/elections_prod/1292/state/1/lga/3669/ward/23997/pu/91609/91609-1677505660.pdf</t>
  </si>
  <si>
    <t>OBIRI VILLAGE, Polling Unit, EGBADO NORTH, Ogun State, Nigeria</t>
  </si>
  <si>
    <t>27-04-01-020</t>
  </si>
  <si>
    <t>COMM. PRIMARY SCHOOL ATOKUN</t>
  </si>
  <si>
    <t>https://docs.inecelectionresults.net/elections_prod/1292/state/01/lga/04/ward/01/pu/020/020-1677371789.pdf</t>
  </si>
  <si>
    <t>COMM. PRIMARY SCHOOL ATOKUN, Polling Unit, EGBADO NORTH, Ogun State, Nigeria</t>
  </si>
  <si>
    <t>27-04-01-021</t>
  </si>
  <si>
    <t>ITA AFOYINSEBE</t>
  </si>
  <si>
    <t>https://docs.inecelectionresults.net/elections_prod/1292/state/01/lga/04/ward/01/pu/021/021-1677370125.pdf</t>
  </si>
  <si>
    <t>ITA AFOYINSEBE, Polling Unit, EGBADO NORTH, Ogun State, Nigeria</t>
  </si>
  <si>
    <t>27-04-01-022</t>
  </si>
  <si>
    <t>AWELA OLATUNJI</t>
  </si>
  <si>
    <t>https://docs.inecelectionresults.net/elections_prod/1292/state/1/lga/3669/ward/23997/pu/91612/91612-1677498164.pdf</t>
  </si>
  <si>
    <t>AWELA OLATUNJI, Polling Unit, EGBADO NORTH, Ogun State, Nigeria</t>
  </si>
  <si>
    <t>27-04-01-023</t>
  </si>
  <si>
    <t>ITA BAALE MOROWOSOLA</t>
  </si>
  <si>
    <t>https://docs.inecelectionresults.net/elections_prod/1292/state/01/lga/04/ward/01/pu/023/023-1677373260.pdf</t>
  </si>
  <si>
    <t>ITA BAALE MOROWOSOLA, Polling Unit, EGBADO NORTH, Ogun State, Nigeria</t>
  </si>
  <si>
    <t>27-04-01-024</t>
  </si>
  <si>
    <t>ARMY CHILDREN SCH</t>
  </si>
  <si>
    <t>https://docs.inecelectionresults.net/elections_prod/1292/state/1/lga/3669/ward/23997/pu/91614/91614-1677506123.pdf</t>
  </si>
  <si>
    <t>ARMY CHILDREN SCH, Polling Unit, EGBADO NORTH, Ogun State, Nigeria</t>
  </si>
  <si>
    <t>27-04-01-025</t>
  </si>
  <si>
    <t>ITA DANDY IDAGBA</t>
  </si>
  <si>
    <t>https://docs.inecelectionresults.net/elections_prod/1292/state/01/lga/04/ward/01/pu/025/025-1677370870.pdf</t>
  </si>
  <si>
    <t>ITA DANDY IDAGBA, Polling Unit, EGBADO NORTH, Ogun State, Nigeria</t>
  </si>
  <si>
    <t>27-04-01-026</t>
  </si>
  <si>
    <t>IDOFOI TOWN HALL</t>
  </si>
  <si>
    <t>https://docs.inecelectionresults.net/elections_prod/1292/state/01/lga/04/ward/01/pu/026/026-1677373571.pdf</t>
  </si>
  <si>
    <t>IDOFOI TOWN HALL, Polling Unit, EGBADO NORTH, Ogun State, Nigeria</t>
  </si>
  <si>
    <t>AYE TORO  I</t>
  </si>
  <si>
    <t>27-04-02-001</t>
  </si>
  <si>
    <t>A/C SCHOOL AYETORO</t>
  </si>
  <si>
    <t>https://docs.inecelectionresults.net/elections_prod/1292/state/01/lga/04/ward/02/pu/001/001-1677373483.pdf</t>
  </si>
  <si>
    <t>A/C SCHOOL AYETORO, Polling Unit, EGBADO NORTH, Ogun State, Nigeria</t>
  </si>
  <si>
    <t>27-04-02-002</t>
  </si>
  <si>
    <t>NEAR THE PALACE, AYETORO</t>
  </si>
  <si>
    <t>https://docs.inecelectionresults.net/elections_prod/1292/state/01/lga/04/ward/02/pu/002/002-1677375199.pdf</t>
  </si>
  <si>
    <t>NEAR THE PALACE, AYETORO, Polling Unit, EGBADO NORTH, Ogun State, Nigeria</t>
  </si>
  <si>
    <t>27-04-02-004</t>
  </si>
  <si>
    <t>NEAR JOLAN BLOCK INDUSTRY II</t>
  </si>
  <si>
    <t>https://docs.inecelectionresults.net/elections_prod/1292/state/01/lga/04/ward/02/pu/004/004-1677375964.pdf</t>
  </si>
  <si>
    <t>NEAR JOLAN BLOCK INDUSTRY II, Polling Unit, EGBADO NORTH, Ogun State, Nigeria</t>
  </si>
  <si>
    <t>27-04-02-006</t>
  </si>
  <si>
    <t>FRONT OF OBALAJU HALL I</t>
  </si>
  <si>
    <t>https://docs.inecelectionresults.net/elections_prod/1292/state/01/lga/04/ward/02/pu/006/006-1677376591.pdf</t>
  </si>
  <si>
    <t>FRONT OF OBALAJU HALL I, Polling Unit, EGBADO NORTH, Ogun State, Nigeria</t>
  </si>
  <si>
    <t>27-04-02-007</t>
  </si>
  <si>
    <t>FRONT OF OBALAJU HALL II</t>
  </si>
  <si>
    <t>https://docs.inecelectionresults.net/elections_prod/1292/state/01/lga/04/ward/02/pu/007/007-1677378606.pdf</t>
  </si>
  <si>
    <t>FRONT OF OBALAJU HALL II, Polling Unit, EGBADO NORTH, Ogun State, Nigeria</t>
  </si>
  <si>
    <t>27-04-02-008</t>
  </si>
  <si>
    <t>ITA OLALEYE I</t>
  </si>
  <si>
    <t>https://docs.inecelectionresults.net/elections_prod/1292/state/01/lga/04/ward/02/pu/008/008-1677377453.pdf</t>
  </si>
  <si>
    <t>ITA OLALEYE I, Polling Unit, EGBADO NORTH, Ogun State, Nigeria</t>
  </si>
  <si>
    <t>27-04-02-009</t>
  </si>
  <si>
    <t>ITA OLALEYE II</t>
  </si>
  <si>
    <t>https://docs.inecelectionresults.net/elections_prod/1292/state/01/lga/04/ward/02/pu/009/009-1677376754.pdf</t>
  </si>
  <si>
    <t>ITA OLALEYE II, Polling Unit, EGBADO NORTH, Ogun State, Nigeria</t>
  </si>
  <si>
    <t>27-04-02-011</t>
  </si>
  <si>
    <t>NEAR BOOMO MOSQUE  I</t>
  </si>
  <si>
    <t>https://docs.inecelectionresults.net/elections_prod/1292/state/01/lga/04/ward/02/pu/011/011-1677379008.pdf</t>
  </si>
  <si>
    <t>NEAR BOOMO MOSQUE  I, Polling Unit, EGBADO NORTH, Ogun State, Nigeria</t>
  </si>
  <si>
    <t>27-04-02-012</t>
  </si>
  <si>
    <t>ITA ADARALOYE</t>
  </si>
  <si>
    <t>https://docs.inecelectionresults.net/elections_prod/1292/state/01/lga/04/ward/02/pu/012/012-1677379377.pdf</t>
  </si>
  <si>
    <t>ITA ADARALOYE, Polling Unit, EGBADO NORTH, Ogun State, Nigeria</t>
  </si>
  <si>
    <t>27-04-02-013</t>
  </si>
  <si>
    <t>ITA OLOWU</t>
  </si>
  <si>
    <t>https://docs.inecelectionresults.net/elections_prod/1292/state/01/lga/04/ward/02/pu/013/013-1677381207.pdf</t>
  </si>
  <si>
    <t>ITA OLOWU, Polling Unit, EGBADO NORTH, Ogun State, Nigeria</t>
  </si>
  <si>
    <t>27-04-02-014</t>
  </si>
  <si>
    <t>MECHANIC JUNCTION</t>
  </si>
  <si>
    <t>https://docs.inecelectionresults.net/elections_prod/1292/state/01/lga/04/ward/02/pu/014/014-1677381757.pdf</t>
  </si>
  <si>
    <t>MECHANIC JUNCTION, Polling Unit, EGBADO NORTH, Ogun State, Nigeria</t>
  </si>
  <si>
    <t>27-04-02-015</t>
  </si>
  <si>
    <t>ITA DADA JOGA, AYETORO</t>
  </si>
  <si>
    <t>https://docs.inecelectionresults.net/elections_prod/1292/state/01/lga/04/ward/02/pu/015/015-1677382541.pdf</t>
  </si>
  <si>
    <t>ITA DADA JOGA, AYETORO, Polling Unit, EGBADO NORTH, Ogun State, Nigeria</t>
  </si>
  <si>
    <t>27-04-02-016</t>
  </si>
  <si>
    <t>BOOMO MOSQUE II</t>
  </si>
  <si>
    <t>https://docs.inecelectionresults.net/elections_prod/1292/state/01/lga/04/ward/02/pu/016/016-1677382570.pdf</t>
  </si>
  <si>
    <t>BOOMO MOSQUE II, Polling Unit, EGBADO NORTH, Ogun State, Nigeria</t>
  </si>
  <si>
    <t>27-04-02-018</t>
  </si>
  <si>
    <t>ITA J. K.</t>
  </si>
  <si>
    <t>https://docs.inecelectionresults.net/elections_prod/1292/state/01/lga/04/ward/02/pu/018/018-1677382236.pdf</t>
  </si>
  <si>
    <t>ITA J. K., Polling Unit, EGBADO NORTH, Ogun State, Nigeria</t>
  </si>
  <si>
    <t>27-04-02-019</t>
  </si>
  <si>
    <t>COMPRO. GATE II</t>
  </si>
  <si>
    <t>https://docs.inecelectionresults.net/elections_prod/1292/state/01/lga/04/ward/02/pu/019/019-1677381467.pdf</t>
  </si>
  <si>
    <t>COMPRO. GATE II, Polling Unit, EGBADO NORTH, Ogun State, Nigeria</t>
  </si>
  <si>
    <t>AYE TORO  II</t>
  </si>
  <si>
    <t>27-04-03-001</t>
  </si>
  <si>
    <t>ITA EGUNJOBI I</t>
  </si>
  <si>
    <t>https://docs.inecelectionresults.net/elections_prod/1292/state/01/lga/04/ward/03/pu/001/001-1677370311.pdf</t>
  </si>
  <si>
    <t>ITA EGUNJOBI I, Polling Unit, EGBADO NORTH, Ogun State, Nigeria</t>
  </si>
  <si>
    <t>27-04-03-002</t>
  </si>
  <si>
    <t>CUSTOMARY COURT, AIBO</t>
  </si>
  <si>
    <t>https://docs.inecelectionresults.net/elections_prod/1292/state/01/lga/04/ward/03/pu/002/002-1677373576.pdf</t>
  </si>
  <si>
    <t>CUSTOMARY COURT, AIBO, Polling Unit, EGBADO NORTH, Ogun State, Nigeria</t>
  </si>
  <si>
    <t>27-04-03-003</t>
  </si>
  <si>
    <t>OJA BAALE SAALA</t>
  </si>
  <si>
    <t>https://docs.inecelectionresults.net/elections_prod/1292/state/01/lga/04/ward/03/pu/003/003-1677372709.pdf</t>
  </si>
  <si>
    <t>OJA BAALE SAALA, Polling Unit, EGBADO NORTH, Ogun State, Nigeria</t>
  </si>
  <si>
    <t>27-04-03-004</t>
  </si>
  <si>
    <t>ITA MOSALASI SAALA</t>
  </si>
  <si>
    <t>https://docs.inecelectionresults.net/elections_prod/1292/state/01/lga/04/ward/03/pu/004/004-1677374258.pdf</t>
  </si>
  <si>
    <t>ITA MOSALASI SAALA, Polling Unit, EGBADO NORTH, Ogun State, Nigeria</t>
  </si>
  <si>
    <t>27-04-03-005</t>
  </si>
  <si>
    <t>Y.N.L.G. SCHOOL, SAALA</t>
  </si>
  <si>
    <t>https://docs.inecelectionresults.net/elections_prod/1292/state/01/lga/04/ward/03/pu/005/005-1677371454.pdf</t>
  </si>
  <si>
    <t>Y.N.L.G. SCHOOL, SAALA, Polling Unit, EGBADO NORTH, Ogun State, Nigeria</t>
  </si>
  <si>
    <t>27-04-03-006</t>
  </si>
  <si>
    <t>A.U.D. SCHOOL I, AYETORO</t>
  </si>
  <si>
    <t>https://docs.inecelectionresults.net/elections_prod/1292/state/01/lga/04/ward/03/pu/006/006-1677399510.pdf</t>
  </si>
  <si>
    <t>A.U.D. SCHOOL I, AYETORO, Polling Unit, EGBADO NORTH, Ogun State, Nigeria</t>
  </si>
  <si>
    <t>27-04-03-007</t>
  </si>
  <si>
    <t>C.A.C. SCHOOL AGO-IMALA  I</t>
  </si>
  <si>
    <t>https://docs.inecelectionresults.net/elections_prod/1292/state/01/lga/04/ward/03/pu/007/007-1677395621.pdf</t>
  </si>
  <si>
    <t>C.A.C. SCHOOL AGO-IMALA  I, Polling Unit, EGBADO NORTH, Ogun State, Nigeria</t>
  </si>
  <si>
    <t>27-04-03-009</t>
  </si>
  <si>
    <t>U.P.S. AYETORO  I</t>
  </si>
  <si>
    <t>https://docs.inecelectionresults.net/elections_prod/1292/state/01/lga/04/ward/03/pu/009/009-1677377405.pdf</t>
  </si>
  <si>
    <t>U.P.S. AYETORO  I, Polling Unit, EGBADO NORTH, Ogun State, Nigeria</t>
  </si>
  <si>
    <t>27-04-03-011</t>
  </si>
  <si>
    <t>OLD ILARO MOTOR PARK</t>
  </si>
  <si>
    <t>https://docs.inecelectionresults.net/elections_prod/1292/state/01/lga/04/ward/03/pu/011/011-1677392252.pdf</t>
  </si>
  <si>
    <t>OLD ILARO MOTOR PARK, Polling Unit, EGBADO NORTH, Ogun State, Nigeria</t>
  </si>
  <si>
    <t>27-04-03-012</t>
  </si>
  <si>
    <t>OLD LOCAL GOVT. SECRETARIAT</t>
  </si>
  <si>
    <t>https://docs.inecelectionresults.net/elections_prod/1292/state/01/lga/04/ward/03/pu/012/012-1677390020.pdf</t>
  </si>
  <si>
    <t>OLD LOCAL GOVT. SECRETARIAT, Polling Unit, EGBADO NORTH, Ogun State, Nigeria</t>
  </si>
  <si>
    <t>27-04-03-013</t>
  </si>
  <si>
    <t>C.A.C. SCHOOL - AGO-IMALA  II</t>
  </si>
  <si>
    <t>https://docs.inecelectionresults.net/elections_prod/1292/state/01/lga/04/ward/03/pu/013/013-1677375745.pdf</t>
  </si>
  <si>
    <t>C.A.C. SCHOOL - AGO-IMALA  II, Polling Unit, EGBADO NORTH, Ogun State, Nigeria</t>
  </si>
  <si>
    <t>27-04-03-014</t>
  </si>
  <si>
    <t>U.P.S. SCHOOL II - AYETORO</t>
  </si>
  <si>
    <t>https://docs.inecelectionresults.net/elections_prod/1292/state/01/lga/04/ward/03/pu/014/014-1677370952.pdf</t>
  </si>
  <si>
    <t>U.P.S. SCHOOL II - AYETORO, Polling Unit, EGBADO NORTH, Ogun State, Nigeria</t>
  </si>
  <si>
    <t>SUNWA</t>
  </si>
  <si>
    <t>27-04-04-001</t>
  </si>
  <si>
    <t>OKE OYINBO, SAALA ORILE SCHOOL</t>
  </si>
  <si>
    <t>https://docs.inecelectionresults.net/elections_prod/1292/state/01/lga/04/ward/04/pu/001/001-1677391706.pdf</t>
  </si>
  <si>
    <t>OKE OYINBO, SAALA ORILE SCHOOL, Polling Unit, EGBADO NORTH, Ogun State, Nigeria</t>
  </si>
  <si>
    <t>27-04-04-002</t>
  </si>
  <si>
    <t>R.C.M./IJAKA OKE</t>
  </si>
  <si>
    <t>https://docs.inecelectionresults.net/elections_prod/1292/state/01/lga/04/ward/04/pu/002/002-1677397048.pdf</t>
  </si>
  <si>
    <t>R.C.M./IJAKA OKE, Polling Unit, EGBADO NORTH, Ogun State, Nigeria</t>
  </si>
  <si>
    <t>27-04-04-003</t>
  </si>
  <si>
    <t>ITA OJA, SAALA ORILE</t>
  </si>
  <si>
    <t>https://docs.inecelectionresults.net/elections_prod/1292/state/01/lga/04/ward/04/pu/003/003-1677396119.pdf</t>
  </si>
  <si>
    <t>ITA OJA, SAALA ORILE, Polling Unit, EGBADO NORTH, Ogun State, Nigeria</t>
  </si>
  <si>
    <t>27-04-04-004</t>
  </si>
  <si>
    <t>C.A.C. SCHOOL SUNWA</t>
  </si>
  <si>
    <t>https://docs.inecelectionresults.net/elections_prod/1292/state/01/lga/04/ward/04/pu/004/004-1677396875.pdf</t>
  </si>
  <si>
    <t>C.A.C. SCHOOL SUNWA, Polling Unit, EGBADO NORTH, Ogun State, Nigeria</t>
  </si>
  <si>
    <t>27-04-04-005</t>
  </si>
  <si>
    <t>Y.N.L.G. SCHOOL, ERINPA</t>
  </si>
  <si>
    <t>https://docs.inecelectionresults.net/elections_prod/1292/state/01/lga/04/ward/04/pu/005/005-1677396227.pdf</t>
  </si>
  <si>
    <t>Y.N.L.G. SCHOOL, ERINPA, Polling Unit, EGBADO NORTH, Ogun State, Nigeria</t>
  </si>
  <si>
    <t>27-04-04-006</t>
  </si>
  <si>
    <t>METHODIST SCHOOL, IGAN OKOTO</t>
  </si>
  <si>
    <t>https://docs.inecelectionresults.net/elections_prod/1292/state/01/lga/04/ward/04/pu/006/006-1677395428.pdf</t>
  </si>
  <si>
    <t>METHODIST SCHOOL, IGAN OKOTO, Polling Unit, EGBADO NORTH, Ogun State, Nigeria</t>
  </si>
  <si>
    <t>27-04-04-007</t>
  </si>
  <si>
    <t>ITA OJA, IGAN-OKOTO</t>
  </si>
  <si>
    <t>https://docs.inecelectionresults.net/elections_prod/1292/state/1/lga/3669/ward/24000/pu/91657/91657-1677504601.pdf</t>
  </si>
  <si>
    <t>ITA OJA, IGAN-OKOTO, Polling Unit, EGBADO NORTH, Ogun State, Nigeria</t>
  </si>
  <si>
    <t>27-04-04-008</t>
  </si>
  <si>
    <t>COMM. HALL SAWONJO</t>
  </si>
  <si>
    <t>https://docs.inecelectionresults.net/elections_prod/1292/state/01/lga/04/ward/04/pu/008/008-1677388964.pdf</t>
  </si>
  <si>
    <t>COMM. HALL SAWONJO, Polling Unit, EGBADO NORTH, Ogun State, Nigeria</t>
  </si>
  <si>
    <t>27-04-04-009</t>
  </si>
  <si>
    <t>ITA AREKE  I</t>
  </si>
  <si>
    <t>https://docs.inecelectionresults.net/elections_prod/1292/state/01/lga/04/ward/04/pu/009/009-1677397079.pdf</t>
  </si>
  <si>
    <t>ITA AREKE  I, Polling Unit, EGBADO NORTH, Ogun State, Nigeria</t>
  </si>
  <si>
    <t>27-04-04-010</t>
  </si>
  <si>
    <t>ITA AREKE  II</t>
  </si>
  <si>
    <t>https://docs.inecelectionresults.net/elections_prod/1292/state/01/lga/04/ward/04/pu/010/010-1677395075.pdf</t>
  </si>
  <si>
    <t>ITA AREKE  II, Polling Unit, EGBADO NORTH, Ogun State, Nigeria</t>
  </si>
  <si>
    <t>27-04-04-011</t>
  </si>
  <si>
    <t>U.N.A. SCHOOL ABULE TAIWO</t>
  </si>
  <si>
    <t>https://docs.inecelectionresults.net/elections_prod/1292/state/01/lga/04/ward/04/pu/011/011-1677397025.pdf</t>
  </si>
  <si>
    <t>U.N.A. SCHOOL ABULE TAIWO, Polling Unit, EGBADO NORTH, Ogun State, Nigeria</t>
  </si>
  <si>
    <t>27-04-04-012</t>
  </si>
  <si>
    <t>BAPT. DAY SCHOOL, IJAKA-ISALE I</t>
  </si>
  <si>
    <t>https://docs.inecelectionresults.net/elections_prod/1292/state/01/lga/04/ward/04/pu/012/012-1677397737.pdf</t>
  </si>
  <si>
    <t>BAPT. DAY SCHOOL, IJAKA-ISALE I, Polling Unit, EGBADO NORTH, Ogun State, Nigeria</t>
  </si>
  <si>
    <t>27-04-04-013</t>
  </si>
  <si>
    <t>Y.N.L.G. SCHOOL AGBAWO</t>
  </si>
  <si>
    <t>https://docs.inecelectionresults.net/elections_prod/1292/state/01/lga/04/ward/04/pu/013/013-1677396997.pdf</t>
  </si>
  <si>
    <t>Y.N.L.G. SCHOOL AGBAWO, Polling Unit, EGBADO NORTH, Ogun State, Nigeria</t>
  </si>
  <si>
    <t>27-04-04-014</t>
  </si>
  <si>
    <t>FARM SETTLEMENT SAWONJO</t>
  </si>
  <si>
    <t>https://docs.inecelectionresults.net/elections_prod/1292/state/01/lga/04/ward/04/pu/014/014-1677395681.pdf</t>
  </si>
  <si>
    <t>FARM SETTLEMENT SAWONJO, Polling Unit, EGBADO NORTH, Ogun State, Nigeria</t>
  </si>
  <si>
    <t>27-04-04-015</t>
  </si>
  <si>
    <t>MOTOR PARK, IGAN - OKOTO</t>
  </si>
  <si>
    <t>https://docs.inecelectionresults.net/elections_prod/1292/state/01/lga/04/ward/04/pu/015/015-1677397399.pdf</t>
  </si>
  <si>
    <t>MOTOR PARK, IGAN - OKOTO, Polling Unit, EGBADO NORTH, Ogun State, Nigeria</t>
  </si>
  <si>
    <t>27-04-04-016</t>
  </si>
  <si>
    <t>ITA AMOSA, IGAN - OKOTO</t>
  </si>
  <si>
    <t>https://docs.inecelectionresults.net/elections_prod/1292/state/01/lga/04/ward/04/pu/016/016-1677389532.pdf</t>
  </si>
  <si>
    <t>ITA AMOSA, IGAN - OKOTO, Polling Unit, EGBADO NORTH, Ogun State, Nigeria</t>
  </si>
  <si>
    <t>27-04-04-017</t>
  </si>
  <si>
    <t>BAPTIST DAY SCHOOL IJAKA-ISALE  II</t>
  </si>
  <si>
    <t>https://docs.inecelectionresults.net/elections_prod/1292/state/01/lga/04/ward/04/pu/017/017-1677388850.pdf</t>
  </si>
  <si>
    <t>BAPTIST DAY SCHOOL IJAKA-ISALE  II, Polling Unit, EGBADO NORTH, Ogun State, Nigeria</t>
  </si>
  <si>
    <t>IBORO/JOGA</t>
  </si>
  <si>
    <t>27-04-05-001</t>
  </si>
  <si>
    <t>NEAR DISPENSARY IBOORO  I</t>
  </si>
  <si>
    <t>https://docs.inecelectionresults.net/elections_prod/1292/state/01/lga/04/ward/05/pu/001/001-1677375955.pdf</t>
  </si>
  <si>
    <t>NEAR DISPENSARY IBOORO  I, Polling Unit, EGBADO NORTH, Ogun State, Nigeria</t>
  </si>
  <si>
    <t>27-04-05-003</t>
  </si>
  <si>
    <t>NEAR ANGLICAN CHURCH, IBOORO</t>
  </si>
  <si>
    <t>https://docs.inecelectionresults.net/elections_prod/1292/state/01/lga/04/ward/05/pu/003/003-1677379923.pdf</t>
  </si>
  <si>
    <t>NEAR ANGLICAN CHURCH, IBOORO, Polling Unit, EGBADO NORTH, Ogun State, Nigeria</t>
  </si>
  <si>
    <t>27-04-05-005</t>
  </si>
  <si>
    <t>ST. PETER'S PRIMARY SCHOOL, JOGA</t>
  </si>
  <si>
    <t>https://docs.inecelectionresults.net/elections_prod/1292/state/01/lga/04/ward/05/pu/005/005-1677373727.pdf</t>
  </si>
  <si>
    <t>ST. PETER'S PRIMARY SCHOOL, JOGA, Polling Unit, EGBADO NORTH, Ogun State, Nigeria</t>
  </si>
  <si>
    <t>27-04-05-006</t>
  </si>
  <si>
    <t>OBALAJU HALL JOGA</t>
  </si>
  <si>
    <t>https://docs.inecelectionresults.net/elections_prod/1292/state/01/lga/04/ward/05/pu/006/006-1677391111.pdf</t>
  </si>
  <si>
    <t>OBALAJU HALL JOGA, Polling Unit, EGBADO NORTH, Ogun State, Nigeria</t>
  </si>
  <si>
    <t>27-04-05-007</t>
  </si>
  <si>
    <t>MARKET SQUARE, JOGA  I</t>
  </si>
  <si>
    <t>https://docs.inecelectionresults.net/elections_prod/1292/state/01/lga/04/ward/05/pu/007/007-1677391305.pdf</t>
  </si>
  <si>
    <t>MARKET SQUARE, JOGA  I, Polling Unit, EGBADO NORTH, Ogun State, Nigeria</t>
  </si>
  <si>
    <t>IMASAI</t>
  </si>
  <si>
    <t>27-04-06-001</t>
  </si>
  <si>
    <t>CHRIST CHURCH SCHL- IMASAI</t>
  </si>
  <si>
    <t>https://docs.inecelectionresults.net/elections_prod/1292/state/01/lga/04/ward/06/pu/001/001-1677374618.pdf</t>
  </si>
  <si>
    <t>CHRIST CHURCH SCHL- IMASAI, Polling Unit, EGBADO NORTH, Ogun State, Nigeria</t>
  </si>
  <si>
    <t>27-04-06-002</t>
  </si>
  <si>
    <t>MARKET SQUARE, IMASAI  I</t>
  </si>
  <si>
    <t>https://docs.inecelectionresults.net/elections_prod/1292/state/01/lga/04/ward/06/pu/002/002-1677380000.pdf</t>
  </si>
  <si>
    <t>MARKET SQUARE, IMASAI  I, Polling Unit, EGBADO NORTH, Ogun State, Nigeria</t>
  </si>
  <si>
    <t>27-04-06-003</t>
  </si>
  <si>
    <t>MARKET SQUARE, IMASAI  II</t>
  </si>
  <si>
    <t>https://docs.inecelectionresults.net/elections_prod/1292/state/01/lga/04/ward/06/pu/003/003-1677373095.pdf</t>
  </si>
  <si>
    <t>MARKET SQUARE, IMASAI  II, Polling Unit, EGBADO NORTH, Ogun State, Nigeria</t>
  </si>
  <si>
    <t>27-04-06-004</t>
  </si>
  <si>
    <t>NEAR ITA ILORI</t>
  </si>
  <si>
    <t>https://docs.inecelectionresults.net/elections_prod/1292/state/01/lga/04/ward/06/pu/004/004-1677376383.pdf</t>
  </si>
  <si>
    <t>NEAR ITA ILORI, Polling Unit, EGBADO NORTH, Ogun State, Nigeria</t>
  </si>
  <si>
    <t>27-04-06-005</t>
  </si>
  <si>
    <t>OKE ILEMO</t>
  </si>
  <si>
    <t>https://docs.inecelectionresults.net/elections_prod/1292/state/01/lga/04/ward/06/pu/005/005-1677376604.pdf</t>
  </si>
  <si>
    <t>OKE ILEMO, Polling Unit, EGBADO NORTH, Ogun State, Nigeria</t>
  </si>
  <si>
    <t>27-04-06-006</t>
  </si>
  <si>
    <t>AGA ODOFIN CHURCH AREA</t>
  </si>
  <si>
    <t>https://docs.inecelectionresults.net/elections_prod/1292/state/01/lga/04/ward/06/pu/006/006-1677372895.pdf</t>
  </si>
  <si>
    <t>AGA ODOFIN CHURCH AREA, Polling Unit, EGBADO NORTH, Ogun State, Nigeria</t>
  </si>
  <si>
    <t>27-04-06-007</t>
  </si>
  <si>
    <t>MARIA  I</t>
  </si>
  <si>
    <t>https://docs.inecelectionresults.net/elections_prod/1292/state/01/lga/04/ward/06/pu/007/007-1677375084.pdf</t>
  </si>
  <si>
    <t>MARIA  I, Polling Unit, EGBADO NORTH, Ogun State, Nigeria</t>
  </si>
  <si>
    <t>EBUTE IGBOORO</t>
  </si>
  <si>
    <t>27-04-07-001</t>
  </si>
  <si>
    <t>Y.N.L.G. SCHOOL EBUTE IGBOORO</t>
  </si>
  <si>
    <t>https://docs.inecelectionresults.net/elections_prod/1292/state/01/lga/04/ward/07/pu/001/001-1677372817.pdf</t>
  </si>
  <si>
    <t>Y.N.L.G. SCHOOL EBUTE IGBOORO, Polling Unit, EGBADO NORTH, Ogun State, Nigeria</t>
  </si>
  <si>
    <t>27-04-07-002</t>
  </si>
  <si>
    <t>ITA BAALE GBEDUN</t>
  </si>
  <si>
    <t>https://docs.inecelectionresults.net/elections_prod/1292/state/01/lga/04/ward/07/pu/002/002-1677382220.pdf</t>
  </si>
  <si>
    <t>ITA BAALE GBEDUN, Polling Unit, EGBADO NORTH, Ogun State, Nigeria</t>
  </si>
  <si>
    <t>27-04-07-003</t>
  </si>
  <si>
    <t>PRIMARY SCHOOL REFUREFU</t>
  </si>
  <si>
    <t>https://docs.inecelectionresults.net/elections_prod/1292/state/01/lga/04/ward/07/pu/003/003-1677382854.pdf</t>
  </si>
  <si>
    <t>PRIMARY SCHOOL REFUREFU, Polling Unit, EGBADO NORTH, Ogun State, Nigeria</t>
  </si>
  <si>
    <t>27-04-07-004</t>
  </si>
  <si>
    <t>Y.N.L.G. SCHOOL OJA ODAN</t>
  </si>
  <si>
    <t>https://docs.inecelectionresults.net/elections_prod/1292/state/01/lga/04/ward/07/pu/004/004-1677382039.pdf</t>
  </si>
  <si>
    <t>Y.N.L.G. SCHOOL OJA ODAN, Polling Unit, EGBADO NORTH, Ogun State, Nigeria</t>
  </si>
  <si>
    <t>27-04-07-005</t>
  </si>
  <si>
    <t>ITA OGUNDIPE (IJE AREA)</t>
  </si>
  <si>
    <t>https://docs.inecelectionresults.net/elections_prod/1292/state/01/lga/04/ward/07/pu/005/005-1677383139.pdf</t>
  </si>
  <si>
    <t>ITA OGUNDIPE (IJE AREA), Polling Unit, EGBADO NORTH, Ogun State, Nigeria</t>
  </si>
  <si>
    <t>27-04-07-006</t>
  </si>
  <si>
    <t>N.U.D. PRIMARY SCH. OROBIYI</t>
  </si>
  <si>
    <t>https://docs.inecelectionresults.net/elections_prod/1292/state/01/lga/04/ward/07/pu/006/006-1677381731.pdf</t>
  </si>
  <si>
    <t>N.U.D. PRIMARY SCH. OROBIYI, Polling Unit, EGBADO NORTH, Ogun State, Nigeria</t>
  </si>
  <si>
    <t>27-04-07-007</t>
  </si>
  <si>
    <t>ITA ABISEKAN EBUTE IGBOORO</t>
  </si>
  <si>
    <t>https://docs.inecelectionresults.net/elections_prod/1292/state/01/lga/04/ward/07/pu/007/007-1677393773.pdf</t>
  </si>
  <si>
    <t>ITA ABISEKAN EBUTE IGBOORO, Polling Unit, EGBADO NORTH, Ogun State, Nigeria</t>
  </si>
  <si>
    <t>27-04-07-008</t>
  </si>
  <si>
    <t>ITA SIMEON APETU OJA ODAN</t>
  </si>
  <si>
    <t>https://docs.inecelectionresults.net/elections_prod/1292/state/01/lga/04/ward/07/pu/008/008-1677382765.pdf</t>
  </si>
  <si>
    <t>ITA SIMEON APETU OJA ODAN, Polling Unit, EGBADO NORTH, Ogun State, Nigeria</t>
  </si>
  <si>
    <t>27-04-07-009</t>
  </si>
  <si>
    <t>ITA APAKOSE OJA ODAN</t>
  </si>
  <si>
    <t>https://docs.inecelectionresults.net/elections_prod/1292/state/01/lga/04/ward/07/pu/009/009-1677382042.pdf</t>
  </si>
  <si>
    <t>ITA APAKOSE OJA ODAN, Polling Unit, EGBADO NORTH, Ogun State, Nigeria</t>
  </si>
  <si>
    <t>27-04-07-010</t>
  </si>
  <si>
    <t>YEWA SCHOOL OLOGIRI</t>
  </si>
  <si>
    <t>https://docs.inecelectionresults.net/elections_prod/1292/state/01/lga/04/ward/07/pu/010/010-1677382454.pdf</t>
  </si>
  <si>
    <t>YEWA SCHOOL OLOGIRI, Polling Unit, EGBADO NORTH, Ogun State, Nigeria</t>
  </si>
  <si>
    <t>27-04-07-011</t>
  </si>
  <si>
    <t>C.F. SCHOOL AKERU</t>
  </si>
  <si>
    <t>https://docs.inecelectionresults.net/elections_prod/1292/state/01/lga/04/ward/07/pu/011/011-1677381878.pdf</t>
  </si>
  <si>
    <t>C.F. SCHOOL AKERU, Polling Unit, EGBADO NORTH, Ogun State, Nigeria</t>
  </si>
  <si>
    <t>27-04-07-012</t>
  </si>
  <si>
    <t>ITA LADITAN</t>
  </si>
  <si>
    <t>https://docs.inecelectionresults.net/elections_prod/1292/state/01/lga/04/ward/07/pu/012/012-1677392878.pdf</t>
  </si>
  <si>
    <t>ITA LADITAN, Polling Unit, EGBADO NORTH, Ogun State, Nigeria</t>
  </si>
  <si>
    <t>27-04-07-013</t>
  </si>
  <si>
    <t>ITA FALERU</t>
  </si>
  <si>
    <t>https://docs.inecelectionresults.net/elections_prod/1292/state/01/lga/04/ward/07/pu/013/013-1677386719.pdf</t>
  </si>
  <si>
    <t>ITA FALERU, Polling Unit, EGBADO NORTH, Ogun State, Nigeria</t>
  </si>
  <si>
    <t>27-04-07-016</t>
  </si>
  <si>
    <t>ITA BAALE IKOTUN</t>
  </si>
  <si>
    <t>https://docs.inecelectionresults.net/elections_prod/1292/state/01/lga/04/ward/07/pu/016/016-1677380730.pdf</t>
  </si>
  <si>
    <t>ITA BAALE IKOTUN, Polling Unit, EGBADO NORTH, Ogun State, Nigeria</t>
  </si>
  <si>
    <t>27-04-07-017</t>
  </si>
  <si>
    <t>Y.N.L.G. SCHOOL GBOGOR</t>
  </si>
  <si>
    <t>https://docs.inecelectionresults.net/elections_prod/1292/state/01/lga/04/ward/07/pu/017/017-1677383285.pdf</t>
  </si>
  <si>
    <t>Y.N.L.G. SCHOOL GBOGOR, Polling Unit, EGBADO NORTH, Ogun State, Nigeria</t>
  </si>
  <si>
    <t>27-04-07-018</t>
  </si>
  <si>
    <t>OWODE BALOGUN</t>
  </si>
  <si>
    <t>https://docs.inecelectionresults.net/elections_prod/1292/state/01/lga/04/ward/07/pu/018/018-1677382523.pdf</t>
  </si>
  <si>
    <t>OWODE BALOGUN, Polling Unit, EGBADO NORTH, Ogun State, Nigeria</t>
  </si>
  <si>
    <t>OHUNBE</t>
  </si>
  <si>
    <t>27-04-08-002</t>
  </si>
  <si>
    <t>COMM. PRIMARY SCHOOL KOBEJO</t>
  </si>
  <si>
    <t>https://docs.inecelectionresults.net/elections_prod/1292/state/01/lga/04/ward/08/pu/002/002-1677386811.pdf</t>
  </si>
  <si>
    <t>COMM. PRIMARY SCHOOL KOBEJO, Polling Unit, EGBADO NORTH, Ogun State, Nigeria</t>
  </si>
  <si>
    <t>27-04-08-003</t>
  </si>
  <si>
    <t>COMM. PRIMARY SCHOOL IBAYUN</t>
  </si>
  <si>
    <t>https://docs.inecelectionresults.net/elections_prod/1292/state/01/lga/04/ward/08/pu/003/003-1677388267.pdf</t>
  </si>
  <si>
    <t>COMM. PRIMARY SCHOOL IBAYUN, Polling Unit, EGBADO NORTH, Ogun State, Nigeria</t>
  </si>
  <si>
    <t>27-04-08-004</t>
  </si>
  <si>
    <t>BAPTIST SCHOOL ABULE IDI</t>
  </si>
  <si>
    <t>https://docs.inecelectionresults.net/elections_prod/1292/state/1/lga/3669/ward/24004/pu/91704/91704-1677510112.pdf</t>
  </si>
  <si>
    <t>BAPTIST SCHOOL ABULE IDI, Polling Unit, EGBADO NORTH, Ogun State, Nigeria</t>
  </si>
  <si>
    <t>27-04-08-010</t>
  </si>
  <si>
    <t>Y.N.L.G. SCHOOL ASA</t>
  </si>
  <si>
    <t>https://docs.inecelectionresults.net/elections_prod/1292/state/01/lga/04/ward/08/pu/010/010-1677391346.pdf</t>
  </si>
  <si>
    <t>Y.N.L.G. SCHOOL ASA, Polling Unit, EGBADO NORTH, Ogun State, Nigeria</t>
  </si>
  <si>
    <t>27-04-08-011</t>
  </si>
  <si>
    <t>Y.N.L.G. SCHOOL KODERA</t>
  </si>
  <si>
    <t>https://docs.inecelectionresults.net/elections_prod/1292/state/01/lga/04/ward/08/pu/011/011-1677386773.pdf</t>
  </si>
  <si>
    <t>Y.N.L.G. SCHOOL KODERA, Polling Unit, EGBADO NORTH, Ogun State, Nigeria</t>
  </si>
  <si>
    <t>27-04-08-012</t>
  </si>
  <si>
    <t>Y.N.L.G. SCHOOL OHUNBE</t>
  </si>
  <si>
    <t>https://docs.inecelectionresults.net/elections_prod/1292/state/01/lga/04/ward/08/pu/012/012-1677387995.pdf</t>
  </si>
  <si>
    <t>Y.N.L.G. SCHOOL OHUNBE, Polling Unit, EGBADO NORTH, Ogun State, Nigeria</t>
  </si>
  <si>
    <t>27-04-08-013</t>
  </si>
  <si>
    <t>ITA BAALE OBELE</t>
  </si>
  <si>
    <t>https://docs.inecelectionresults.net/elections_prod/1292/state/01/lga/04/ward/08/pu/013/013-1677387654.pdf</t>
  </si>
  <si>
    <t>ITA BAALE OBELE, Polling Unit, EGBADO NORTH, Ogun State, Nigeria</t>
  </si>
  <si>
    <t>27-04-08-014</t>
  </si>
  <si>
    <t>A/C SCHOOL ORILE IGBOORO</t>
  </si>
  <si>
    <t>https://docs.inecelectionresults.net/elections_prod/1292/state/01/lga/04/ward/08/pu/014/014-1677385029.pdf</t>
  </si>
  <si>
    <t>A/C SCHOOL ORILE IGBOORO, Polling Unit, EGBADO NORTH, Ogun State, Nigeria</t>
  </si>
  <si>
    <t>27-04-08-015</t>
  </si>
  <si>
    <t>Y.N.L.G. SCHOOL ISUKU</t>
  </si>
  <si>
    <t>https://docs.inecelectionresults.net/elections_prod/1292/state/1/lga/3669/ward/24004/pu/91715/91715-1677511011.pdf</t>
  </si>
  <si>
    <t>Y.N.L.G. SCHOOL ISUKU, Polling Unit, EGBADO NORTH, Ogun State, Nigeria</t>
  </si>
  <si>
    <t>27-04-08-018</t>
  </si>
  <si>
    <t>ITA BAALE AGBON-OJODU II</t>
  </si>
  <si>
    <t>https://docs.inecelectionresults.net/elections_prod/1292/state/1/lga/3669/ward/24004/pu/91718/91718-1677511286.pdf</t>
  </si>
  <si>
    <t>ITA BAALE AGBON-OJODU II, Polling Unit, EGBADO NORTH, Ogun State, Nigeria</t>
  </si>
  <si>
    <t>IGUA</t>
  </si>
  <si>
    <t>27-04-09-001</t>
  </si>
  <si>
    <t>NEAR CENTRAL MOSQUE, IGUA</t>
  </si>
  <si>
    <t>https://docs.inecelectionresults.net/elections_prod/1292/state/01/lga/04/ward/09/pu/001/001-1677374656.pdf</t>
  </si>
  <si>
    <t>NEAR CENTRAL MOSQUE, IGUA, Polling Unit, EGBADO NORTH, Ogun State, Nigeria</t>
  </si>
  <si>
    <t>27-04-09-002</t>
  </si>
  <si>
    <t>COURT HALL - IGUA</t>
  </si>
  <si>
    <t>https://docs.inecelectionresults.net/elections_prod/1292/state/01/lga/04/ward/09/pu/002/002-1677392708.pdf</t>
  </si>
  <si>
    <t>COURT HALL - IGUA, Polling Unit, EGBADO NORTH, Ogun State, Nigeria</t>
  </si>
  <si>
    <t>27-04-09-003</t>
  </si>
  <si>
    <t>COMM. PRIMARY SCHOOL IGBO - IJU</t>
  </si>
  <si>
    <t>https://docs.inecelectionresults.net/elections_prod/1292/state/01/lga/04/ward/09/pu/003/003-1677375408.pdf</t>
  </si>
  <si>
    <t>COMM. PRIMARY SCHOOL IGBO - IJU, Polling Unit, EGBADO NORTH, Ogun State, Nigeria</t>
  </si>
  <si>
    <t>27-04-09-004</t>
  </si>
  <si>
    <t>Y.N.L.G. SCHOOL - SAGBON</t>
  </si>
  <si>
    <t>https://docs.inecelectionresults.net/elections_prod/1292/state/01/lga/04/ward/09/pu/004/004-1677375556.pdf</t>
  </si>
  <si>
    <t>Y.N.L.G. SCHOOL - SAGBON, Polling Unit, EGBADO NORTH, Ogun State, Nigeria</t>
  </si>
  <si>
    <t>27-04-09-005</t>
  </si>
  <si>
    <t>OJA AGE</t>
  </si>
  <si>
    <t>https://docs.inecelectionresults.net/elections_prod/1292/state/01/lga/04/ward/09/pu/005/005-1677376149.pdf</t>
  </si>
  <si>
    <t>OJA AGE, Polling Unit, EGBADO NORTH, Ogun State, Nigeria</t>
  </si>
  <si>
    <t>27-04-09-006</t>
  </si>
  <si>
    <t>KETU COLLEGE, IGAN ALADE</t>
  </si>
  <si>
    <t>https://docs.inecelectionresults.net/elections_prod/1292/state/01/lga/04/ward/09/pu/006/006-1677377252.pdf</t>
  </si>
  <si>
    <t>KETU COLLEGE, IGAN ALADE, Polling Unit, EGBADO NORTH, Ogun State, Nigeria</t>
  </si>
  <si>
    <t>27-04-09-007</t>
  </si>
  <si>
    <t>ANG. PRIMARY SCH, LASILO I</t>
  </si>
  <si>
    <t>https://docs.inecelectionresults.net/elections_prod/1292/state/01/lga/04/ward/09/pu/007/007-1677377823.pdf</t>
  </si>
  <si>
    <t>ANG. PRIMARY SCH, LASILO I, Polling Unit, EGBADO NORTH, Ogun State, Nigeria</t>
  </si>
  <si>
    <t>27-04-09-008</t>
  </si>
  <si>
    <t>ANG. PRIMARY SCH, LASILO II</t>
  </si>
  <si>
    <t>https://docs.inecelectionresults.net/elections_prod/1292/state/01/lga/04/ward/09/pu/008/008-1677378440.pdf</t>
  </si>
  <si>
    <t>ANG. PRIMARY SCH, LASILO II, Polling Unit, EGBADO NORTH, Ogun State, Nigeria</t>
  </si>
  <si>
    <t>27-04-09-009</t>
  </si>
  <si>
    <t>Y.N.L.G. SCHOOL OWODE KETU</t>
  </si>
  <si>
    <t>https://docs.inecelectionresults.net/elections_prod/1292/state/01/lga/04/ward/09/pu/009/009-1677393702.pdf</t>
  </si>
  <si>
    <t>Y.N.L.G. SCHOOL OWODE KETU, Polling Unit, EGBADO NORTH, Ogun State, Nigeria</t>
  </si>
  <si>
    <t>27-04-09-010</t>
  </si>
  <si>
    <t>ITA FABUYI OWODE KETU</t>
  </si>
  <si>
    <t>https://docs.inecelectionresults.net/elections_prod/1292/state/01/lga/04/ward/09/pu/010/010-1677372922.pdf</t>
  </si>
  <si>
    <t>ITA FABUYI OWODE KETU, Polling Unit, EGBADO NORTH, Ogun State, Nigeria</t>
  </si>
  <si>
    <t>27-04-09-011</t>
  </si>
  <si>
    <t>UNITED ANG. SCHOOL TATA</t>
  </si>
  <si>
    <t>https://docs.inecelectionresults.net/elections_prod/1292/state/01/lga/04/ward/09/pu/011/011-1677394206.pdf</t>
  </si>
  <si>
    <t>UNITED ANG. SCHOOL TATA, Polling Unit, EGBADO NORTH, Ogun State, Nigeria</t>
  </si>
  <si>
    <t>27-04-09-012</t>
  </si>
  <si>
    <t>ITA ELEGBEDE IMOTO</t>
  </si>
  <si>
    <t>https://docs.inecelectionresults.net/elections_prod/1292/state/01/lga/04/ward/09/pu/012/012-1677380411.pdf</t>
  </si>
  <si>
    <t>ITA ELEGBEDE IMOTO, Polling Unit, EGBADO NORTH, Ogun State, Nigeria</t>
  </si>
  <si>
    <t>27-04-09-013</t>
  </si>
  <si>
    <t>COMM. PRIMARY SCHOOL IGBOOTA</t>
  </si>
  <si>
    <t>https://docs.inecelectionresults.net/elections_prod/1292/state/01/lga/04/ward/09/pu/013/013-1677386568.pdf</t>
  </si>
  <si>
    <t>COMM. PRIMARY SCHOOL IGBOOTA, Polling Unit, EGBADO NORTH, Ogun State, Nigeria</t>
  </si>
  <si>
    <t>27-04-09-014</t>
  </si>
  <si>
    <t>C.M.S. CHURCH ELEJA</t>
  </si>
  <si>
    <t>https://docs.inecelectionresults.net/elections_prod/1292/state/1/lga/3669/ward/24005/pu/91732/91732-1677507986.pdf</t>
  </si>
  <si>
    <t>C.M.S. CHURCH ELEJA, Polling Unit, EGBADO NORTH, Ogun State, Nigeria</t>
  </si>
  <si>
    <t>27-04-09-015</t>
  </si>
  <si>
    <t>MARKET SQUARE TATA</t>
  </si>
  <si>
    <t>https://docs.inecelectionresults.net/elections_prod/1292/state/01/lga/04/ward/09/pu/015/015-1677386308.pdf</t>
  </si>
  <si>
    <t>MARKET SQUARE TATA, Polling Unit, EGBADO NORTH, Ogun State, Nigeria</t>
  </si>
  <si>
    <t>27-04-09-016</t>
  </si>
  <si>
    <t>ITA BAALE AINA ASIPA</t>
  </si>
  <si>
    <t>https://docs.inecelectionresults.net/elections_prod/1292/state/01/lga/04/ward/09/pu/016/016-1677379276.pdf</t>
  </si>
  <si>
    <t>ITA BAALE AINA ASIPA, Polling Unit, EGBADO NORTH, Ogun State, Nigeria</t>
  </si>
  <si>
    <t>27-04-09-017</t>
  </si>
  <si>
    <t>ITA BAALE OLADOKE IMOTO</t>
  </si>
  <si>
    <t>https://docs.inecelectionresults.net/elections_prod/1292/state/01/lga/04/ward/09/pu/017/017-1677394900.pdf</t>
  </si>
  <si>
    <t>ITA BAALE OLADOKE IMOTO, Polling Unit, EGBADO NORTH, Ogun State, Nigeria</t>
  </si>
  <si>
    <t>27-04-09-018</t>
  </si>
  <si>
    <t>MOKOTA OWODE KETU</t>
  </si>
  <si>
    <t>https://docs.inecelectionresults.net/elections_prod/1292/state/01/lga/04/ward/09/pu/018/018-1677387157.pdf</t>
  </si>
  <si>
    <t>MOKOTA OWODE KETU, Polling Unit, EGBADO NORTH, Ogun State, Nigeria</t>
  </si>
  <si>
    <t>27-04-09-019</t>
  </si>
  <si>
    <t>ITA OTUTU IGUA</t>
  </si>
  <si>
    <t>https://docs.inecelectionresults.net/elections_prod/1292/state/01/lga/04/ward/09/pu/019/019-1677385358.pdf</t>
  </si>
  <si>
    <t>ITA OTUTU IGUA, Polling Unit, EGBADO NORTH, Ogun State, Nigeria</t>
  </si>
  <si>
    <t>27-04-09-020</t>
  </si>
  <si>
    <t>IDI OSE AREA, IGAN ALADE</t>
  </si>
  <si>
    <t>https://docs.inecelectionresults.net/elections_prod/1292/state/01/lga/04/ward/09/pu/020/020-1677384890.pdf</t>
  </si>
  <si>
    <t>IDI OSE AREA, IGAN ALADE, Polling Unit, EGBADO NORTH, Ogun State, Nigeria</t>
  </si>
  <si>
    <t>27-04-09-021</t>
  </si>
  <si>
    <t>YEWA CENTRAL SCHOOL, IGAN ALADE</t>
  </si>
  <si>
    <t>https://docs.inecelectionresults.net/elections_prod/1292/state/01/lga/04/ward/09/pu/021/021-1677383792.pdf</t>
  </si>
  <si>
    <t>YEWA CENTRAL SCHOOL, IGAN ALADE, Polling Unit, EGBADO NORTH, Ogun State, Nigeria</t>
  </si>
  <si>
    <t>27-04-09-022</t>
  </si>
  <si>
    <t>IDI-ORI VILLAGE</t>
  </si>
  <si>
    <t>https://docs.inecelectionresults.net/elections_prod/1292/state/01/lga/04/ward/09/pu/022/022-1677382426.pdf</t>
  </si>
  <si>
    <t>IDI-ORI VILLAGE, Polling Unit, EGBADO NORTH, Ogun State, Nigeria</t>
  </si>
  <si>
    <t>27-04-09-023</t>
  </si>
  <si>
    <t>ITA BAALE, IKA ORILE</t>
  </si>
  <si>
    <t>https://docs.inecelectionresults.net/elections_prod/1292/state/01/lga/04/ward/09/pu/023/023-1677381904.pdf</t>
  </si>
  <si>
    <t>ITA BAALE, IKA ORILE, Polling Unit, EGBADO NORTH, Ogun State, Nigeria</t>
  </si>
  <si>
    <t>27-04-09-024</t>
  </si>
  <si>
    <t>IRANJI MOTOR PARK</t>
  </si>
  <si>
    <t>https://docs.inecelectionresults.net/elections_prod/1292/state/01/lga/04/ward/09/pu/024/024-1677395062.pdf</t>
  </si>
  <si>
    <t>IRANJI MOTOR PARK, Polling Unit, EGBADO NORTH, Ogun State, Nigeria</t>
  </si>
  <si>
    <t>27-04-09-025</t>
  </si>
  <si>
    <t>KABIRI VILLAGE SQUARE</t>
  </si>
  <si>
    <t>https://docs.inecelectionresults.net/elections_prod/1292/state/01/lga/04/ward/09/pu/025/025-1677380845.pdf</t>
  </si>
  <si>
    <t>KABIRI VILLAGE SQUARE, Polling Unit, EGBADO NORTH, Ogun State, Nigeria</t>
  </si>
  <si>
    <t>27-04-09-026</t>
  </si>
  <si>
    <t>ODAN IGA</t>
  </si>
  <si>
    <t>https://docs.inecelectionresults.net/elections_prod/1292/state/01/lga/04/ward/09/pu/026/026-1677387947.pdf</t>
  </si>
  <si>
    <t>ODAN IGA, Polling Unit, EGBADO NORTH, Ogun State, Nigeria</t>
  </si>
  <si>
    <t>IJOUN</t>
  </si>
  <si>
    <t>27-04-10-001</t>
  </si>
  <si>
    <t>MARKET AREA, IJOUN I</t>
  </si>
  <si>
    <t>https://docs.inecelectionresults.net/elections_prod/1292/state/01/lga/04/ward/10/pu/001/001-1677397254.pdf</t>
  </si>
  <si>
    <t>MARKET AREA, IJOUN I, Polling Unit, EGBADO NORTH, Ogun State, Nigeria</t>
  </si>
  <si>
    <t>27-04-10-002</t>
  </si>
  <si>
    <t>ITA OTUN ISENJOUN</t>
  </si>
  <si>
    <t>https://docs.inecelectionresults.net/elections_prod/1292/state/01/lga/04/ward/10/pu/002/002-1677395222.pdf</t>
  </si>
  <si>
    <t>ITA OTUN ISENJOUN, Polling Unit, EGBADO NORTH, Ogun State, Nigeria</t>
  </si>
  <si>
    <t>27-04-10-003</t>
  </si>
  <si>
    <t>ITA BOROMU, ILE IJOUN  I</t>
  </si>
  <si>
    <t>https://docs.inecelectionresults.net/elections_prod/1292/state/01/lga/04/ward/10/pu/003/003-1677384120.pdf</t>
  </si>
  <si>
    <t>ITA BOROMU, ILE IJOUN  I, Polling Unit, EGBADO NORTH, Ogun State, Nigeria</t>
  </si>
  <si>
    <t>27-04-10-004</t>
  </si>
  <si>
    <t>ITA BOROMU, ILE IJOUN  II</t>
  </si>
  <si>
    <t>https://docs.inecelectionresults.net/elections_prod/1292/state/01/lga/04/ward/10/pu/004/004-1677398421.pdf</t>
  </si>
  <si>
    <t>ITA BOROMU, ILE IJOUN  II, Polling Unit, EGBADO NORTH, Ogun State, Nigeria</t>
  </si>
  <si>
    <t>27-04-10-005</t>
  </si>
  <si>
    <t>Y.N.L.G. SCHOOL IJALE KETU</t>
  </si>
  <si>
    <t>https://docs.inecelectionresults.net/elections_prod/1292/state/01/lga/04/ward/10/pu/005/005-1677382700.pdf</t>
  </si>
  <si>
    <t>Y.N.L.G. SCHOOL IJALE KETU, Polling Unit, EGBADO NORTH, Ogun State, Nigeria</t>
  </si>
  <si>
    <t>27-04-10-006</t>
  </si>
  <si>
    <t>Y.N.L.G. SCHOOL AWORO</t>
  </si>
  <si>
    <t>https://docs.inecelectionresults.net/elections_prod/1292/state/01/lga/04/ward/10/pu/006/006-1677384387.pdf</t>
  </si>
  <si>
    <t>Y.N.L.G. SCHOOL AWORO, Polling Unit, EGBADO NORTH, Ogun State, Nigeria</t>
  </si>
  <si>
    <t>27-04-10-007</t>
  </si>
  <si>
    <t>COOPERATIVE HALL TOBOLO</t>
  </si>
  <si>
    <t>https://docs.inecelectionresults.net/elections_prod/1292/state/01/lga/04/ward/10/pu/007/007-1677384083.pdf</t>
  </si>
  <si>
    <t>COOPERATIVE HALL TOBOLO, Polling Unit, EGBADO NORTH, Ogun State, Nigeria</t>
  </si>
  <si>
    <t>27-04-10-008</t>
  </si>
  <si>
    <t>ITA JULIUS AYETORO OGUBA</t>
  </si>
  <si>
    <t>https://docs.inecelectionresults.net/elections_prod/1292/state/01/lga/04/ward/10/pu/008/008-1677373674.pdf</t>
  </si>
  <si>
    <t>ITA JULIUS AYETORO OGUBA, Polling Unit, EGBADO NORTH, Ogun State, Nigeria</t>
  </si>
  <si>
    <t>27-04-10-009</t>
  </si>
  <si>
    <t>ITA BAALE GBOKOFIN</t>
  </si>
  <si>
    <t>https://docs.inecelectionresults.net/elections_prod/1292/state/01/lga/04/ward/10/pu/009/009-1677384594.pdf</t>
  </si>
  <si>
    <t>ITA BAALE GBOKOFIN, Polling Unit, EGBADO NORTH, Ogun State, Nigeria</t>
  </si>
  <si>
    <t>27-04-10-010</t>
  </si>
  <si>
    <t>Y.N.L.G. SCHOOL, IDIGBO</t>
  </si>
  <si>
    <t>https://docs.inecelectionresults.net/elections_prod/1292/state/01/lga/04/ward/10/pu/010/010-1677383043.pdf</t>
  </si>
  <si>
    <t>Y.N.L.G. SCHOOL, IDIGBO, Polling Unit, EGBADO NORTH, Ogun State, Nigeria</t>
  </si>
  <si>
    <t>27-04-10-011</t>
  </si>
  <si>
    <t>BAPT. DAY SCHOOL, OKE OLA</t>
  </si>
  <si>
    <t>https://docs.inecelectionresults.net/elections_prod/1292/state/01/lga/04/ward/10/pu/011/011-1677392259.pdf</t>
  </si>
  <si>
    <t>BAPT. DAY SCHOOL, OKE OLA, Polling Unit, EGBADO NORTH, Ogun State, Nigeria</t>
  </si>
  <si>
    <t>27-04-10-012</t>
  </si>
  <si>
    <t>Y.N.L.G. SCHOOL, IGBONLA</t>
  </si>
  <si>
    <t>https://docs.inecelectionresults.net/elections_prod/1292/state/01/lga/04/ward/10/pu/012/012-1677386549.pdf</t>
  </si>
  <si>
    <t>Y.N.L.G. SCHOOL, IGBONLA, Polling Unit, EGBADO NORTH, Ogun State, Nigeria</t>
  </si>
  <si>
    <t>27-04-10-013</t>
  </si>
  <si>
    <t>C.P.S. IPINLE  I</t>
  </si>
  <si>
    <t>https://docs.inecelectionresults.net/elections_prod/1292/state/01/lga/04/ward/10/pu/013/013-1677382968.pdf</t>
  </si>
  <si>
    <t>C.P.S. IPINLE  I, Polling Unit, EGBADO NORTH, Ogun State, Nigeria</t>
  </si>
  <si>
    <t>27-04-10-015</t>
  </si>
  <si>
    <t>ITA ASOJU IGBORE OKE</t>
  </si>
  <si>
    <t>https://docs.inecelectionresults.net/elections_prod/1292/state/01/lga/04/ward/10/pu/015/015-1677384580.pdf</t>
  </si>
  <si>
    <t>ITA ASOJU IGBORE OKE, Polling Unit, EGBADO NORTH, Ogun State, Nigeria</t>
  </si>
  <si>
    <t>27-04-10-016</t>
  </si>
  <si>
    <t>Y.N.L.G. SCHOOL, IJOUN</t>
  </si>
  <si>
    <t>https://docs.inecelectionresults.net/elections_prod/1292/state/01/lga/04/ward/10/pu/016/016-1677384674.pdf</t>
  </si>
  <si>
    <t>Y.N.L.G. SCHOOL, IJOUN, Polling Unit, EGBADO NORTH, Ogun State, Nigeria</t>
  </si>
  <si>
    <t>27-04-10-017</t>
  </si>
  <si>
    <t>ITA BAALE BANGIDANGI</t>
  </si>
  <si>
    <t>https://docs.inecelectionresults.net/elections_prod/1292/state/01/lga/04/ward/10/pu/017/017-1677394849.pdf</t>
  </si>
  <si>
    <t>ITA BAALE BANGIDANGI, Polling Unit, EGBADO NORTH, Ogun State, Nigeria</t>
  </si>
  <si>
    <t>27-04-10-019</t>
  </si>
  <si>
    <t>ITA BAALE ASAGA</t>
  </si>
  <si>
    <t>https://docs.inecelectionresults.net/elections_prod/1292/state/01/lga/04/ward/10/pu/019/019-1677384890.pdf</t>
  </si>
  <si>
    <t>ITA BAALE ASAGA, Polling Unit, EGBADO NORTH, Ogun State, Nigeria</t>
  </si>
  <si>
    <t>27-04-10-020</t>
  </si>
  <si>
    <t>ITA BAALE OKE ODO TOBOLO</t>
  </si>
  <si>
    <t>https://docs.inecelectionresults.net/elections_prod/1292/state/01/lga/04/ward/10/pu/020/020-1677385084.pdf</t>
  </si>
  <si>
    <t>ITA BAALE OKE ODO TOBOLO, Polling Unit, EGBADO NORTH, Ogun State, Nigeria</t>
  </si>
  <si>
    <t>27-04-10-022</t>
  </si>
  <si>
    <t>MARKET AREA II</t>
  </si>
  <si>
    <t>https://docs.inecelectionresults.net/elections_prod/1292/state/01/lga/04/ward/10/pu/022/022-1677387164.pdf</t>
  </si>
  <si>
    <t>MARKET AREA II, Polling Unit, EGBADO NORTH, Ogun State, Nigeria</t>
  </si>
  <si>
    <t>IBESE</t>
  </si>
  <si>
    <t>27-04-11-002</t>
  </si>
  <si>
    <t>BAPT. DAY SCHOOL IGBOGILA</t>
  </si>
  <si>
    <t>https://docs.inecelectionresults.net/elections_prod/1292/state/01/lga/04/ward/11/pu/002/002-1677377882.pdf</t>
  </si>
  <si>
    <t>BAPT. DAY SCHOOL IGBOGILA, Polling Unit, EGBADO NORTH, Ogun State, Nigeria</t>
  </si>
  <si>
    <t>27-04-11-003</t>
  </si>
  <si>
    <t>ITA OLADOKE</t>
  </si>
  <si>
    <t>https://docs.inecelectionresults.net/elections_prod/1292/state/01/lga/04/ward/11/pu/003/003-1677379158.pdf</t>
  </si>
  <si>
    <t>ITA OLADOKE, Polling Unit, EGBADO NORTH, Ogun State, Nigeria</t>
  </si>
  <si>
    <t>27-04-11-004</t>
  </si>
  <si>
    <t>NEAR CENTRAL MOSQUE OJA ALE IGBOGILA</t>
  </si>
  <si>
    <t>https://docs.inecelectionresults.net/elections_prod/1292/state/01/lga/04/ward/11/pu/004/004-1677379348.pdf</t>
  </si>
  <si>
    <t>NEAR CENTRAL MOSQUE OJA ALE IGBOGILA, Polling Unit, EGBADO NORTH, Ogun State, Nigeria</t>
  </si>
  <si>
    <t>27-04-11-005</t>
  </si>
  <si>
    <t>ITA OLADEHIN</t>
  </si>
  <si>
    <t>https://docs.inecelectionresults.net/elections_prod/1292/state/01/lga/04/ward/11/pu/005/005-1677381598.pdf</t>
  </si>
  <si>
    <t>ITA OLADEHIN, Polling Unit, EGBADO NORTH, Ogun State, Nigeria</t>
  </si>
  <si>
    <t>27-04-11-006</t>
  </si>
  <si>
    <t>ITA DOPEMU</t>
  </si>
  <si>
    <t>https://docs.inecelectionresults.net/elections_prod/1292/state/01/lga/04/ward/11/pu/006/006-1677381023.pdf</t>
  </si>
  <si>
    <t>ITA DOPEMU, Polling Unit, EGBADO NORTH, Ogun State, Nigeria</t>
  </si>
  <si>
    <t>27-04-11-007</t>
  </si>
  <si>
    <t>WATER WORKS</t>
  </si>
  <si>
    <t>https://docs.inecelectionresults.net/elections_prod/1292/state/01/lga/04/ward/11/pu/007/007-1677379501.pdf</t>
  </si>
  <si>
    <t>WATER WORKS, Polling Unit, EGBADO NORTH, Ogun State, Nigeria</t>
  </si>
  <si>
    <t>27-04-11-008</t>
  </si>
  <si>
    <t>ITA KUMOLU</t>
  </si>
  <si>
    <t>https://docs.inecelectionresults.net/elections_prod/1292/state/01/lga/04/ward/11/pu/008/008-1677377973.pdf</t>
  </si>
  <si>
    <t>ITA KUMOLU, Polling Unit, EGBADO NORTH, Ogun State, Nigeria</t>
  </si>
  <si>
    <t>27-04-11-009</t>
  </si>
  <si>
    <t>ITA OMOLEGBE</t>
  </si>
  <si>
    <t>https://docs.inecelectionresults.net/elections_prod/1292/state/01/lga/04/ward/11/pu/009/009-1677381109.pdf</t>
  </si>
  <si>
    <t>ITA OMOLEGBE, Polling Unit, EGBADO NORTH, Ogun State, Nigeria</t>
  </si>
  <si>
    <t>27-04-11-010</t>
  </si>
  <si>
    <t>U.N.A. SCHOOL BALOGUN</t>
  </si>
  <si>
    <t>https://docs.inecelectionresults.net/elections_prod/1292/state/01/lga/04/ward/11/pu/010/010-1677380349.pdf</t>
  </si>
  <si>
    <t>U.N.A. SCHOOL BALOGUN, Polling Unit, EGBADO NORTH, Ogun State, Nigeria</t>
  </si>
  <si>
    <t>27-04-11-011</t>
  </si>
  <si>
    <t>ST. JOHN ANG. SCHOOL WASIMI IMASAI</t>
  </si>
  <si>
    <t>https://docs.inecelectionresults.net/elections_prod/1292/state/01/lga/04/ward/11/pu/011/011-1677379615.pdf</t>
  </si>
  <si>
    <t>ST. JOHN ANG. SCHOOL WASIMI IMASAI, Polling Unit, EGBADO NORTH, Ogun State, Nigeria</t>
  </si>
  <si>
    <t>27-04-11-012</t>
  </si>
  <si>
    <t>ANG. SCHOOL ABULE OKE</t>
  </si>
  <si>
    <t>https://docs.inecelectionresults.net/elections_prod/1292/state/01/lga/04/ward/11/pu/012/012-1677378739.pdf</t>
  </si>
  <si>
    <t>ANG. SCHOOL ABULE OKE, Polling Unit, EGBADO NORTH, Ogun State, Nigeria</t>
  </si>
  <si>
    <t>27-04-11-013</t>
  </si>
  <si>
    <t>U.A.M.C. SCHOOL IBESE</t>
  </si>
  <si>
    <t>https://docs.inecelectionresults.net/elections_prod/1292/state/01/lga/04/ward/11/pu/013/013-1677378634.pdf</t>
  </si>
  <si>
    <t>U.A.M.C. SCHOOL IBESE, Polling Unit, EGBADO NORTH, Ogun State, Nigeria</t>
  </si>
  <si>
    <t>27-04-11-015</t>
  </si>
  <si>
    <t>Y.N.L.G. SCHOOL - KOMI OBA</t>
  </si>
  <si>
    <t>https://docs.inecelectionresults.net/elections_prod/1292/state/01/lga/04/ward/11/pu/015/015-1677379098.pdf</t>
  </si>
  <si>
    <t>Y.N.L.G. SCHOOL - KOMI OBA, Polling Unit, EGBADO NORTH, Ogun State, Nigeria</t>
  </si>
  <si>
    <t>27-04-11-016</t>
  </si>
  <si>
    <t>LIBRARY PREMISES IBESE</t>
  </si>
  <si>
    <t>https://docs.inecelectionresults.net/elections_prod/1292/state/01/lga/04/ward/11/pu/016/016-1677379096.pdf</t>
  </si>
  <si>
    <t>LIBRARY PREMISES IBESE, Polling Unit, EGBADO NORTH, Ogun State, Nigeria</t>
  </si>
  <si>
    <t>27-04-11-018</t>
  </si>
  <si>
    <t>OJA OSAN IGBOGILA</t>
  </si>
  <si>
    <t>https://docs.inecelectionresults.net/elections_prod/1292/state/01/lga/04/ward/11/pu/018/018-1677379678.pdf</t>
  </si>
  <si>
    <t>OJA OSAN IGBOGILA, Polling Unit, EGBADO NORTH, Ogun State, Nigeria</t>
  </si>
  <si>
    <t>27-04-11-019</t>
  </si>
  <si>
    <t>ITA BADA IGBOGILA</t>
  </si>
  <si>
    <t>https://docs.inecelectionresults.net/elections_prod/1292/state/01/lga/04/ward/11/pu/019/019-1677383558.pdf</t>
  </si>
  <si>
    <t>ITA BADA IGBOGILA, Polling Unit, EGBADO NORTH, Ogun State, Nigeria</t>
  </si>
  <si>
    <t>27-04-11-020</t>
  </si>
  <si>
    <t>OMILENDE VILLAGE SQUARE</t>
  </si>
  <si>
    <t>https://docs.inecelectionresults.net/elections_prod/1292/state/01/lga/04/ward/11/pu/020/020-1677379977.pdf</t>
  </si>
  <si>
    <t>OMILENDE VILLAGE SQUARE, Polling Unit, EGBADO NORTH, Ogun State, Nigeria</t>
  </si>
  <si>
    <t>EGBADO SOUTH</t>
  </si>
  <si>
    <t>ILARO  I</t>
  </si>
  <si>
    <t>27-05-01-002</t>
  </si>
  <si>
    <t>OPP. SOYINKA'S HOUSE  I</t>
  </si>
  <si>
    <t>https://docs.inecelectionresults.net/elections_prod/1292/state/01/lga/05/ward/01/pu/002/002-1677386089.pdf</t>
  </si>
  <si>
    <t>OPP. SOYINKA'S HOUSE  I, Polling Unit, EGBADO SOUTH, Ogun State, Nigeria</t>
  </si>
  <si>
    <t>27-05-01-003</t>
  </si>
  <si>
    <t>OPP. SOYINKA'S HOUSE  II</t>
  </si>
  <si>
    <t>https://docs.inecelectionresults.net/elections_prod/1292/state/1/lga/3670/ward/24008/pu/91789/91789-1677525042.pdf</t>
  </si>
  <si>
    <t>OPP. SOYINKA'S HOUSE  II, Polling Unit, EGBADO SOUTH, Ogun State, Nigeria</t>
  </si>
  <si>
    <t>27-05-01-004</t>
  </si>
  <si>
    <t>NEAR IDOWU'S HOUSE/OTEGBEYE STREET  I</t>
  </si>
  <si>
    <t>https://docs.inecelectionresults.net/elections_prod/1292/state/01/lga/05/ward/01/pu/004/004-1677366608.pdf</t>
  </si>
  <si>
    <t>NEAR IDOWU'S HOUSE/OTEGBEYE STREET  I, Polling Unit, EGBADO SOUTH, Ogun State, Nigeria</t>
  </si>
  <si>
    <t>27-05-01-005</t>
  </si>
  <si>
    <t>NEAR IDOWU'S HOUSE/OTEGBEYE STREET  II</t>
  </si>
  <si>
    <t>https://docs.inecelectionresults.net/elections_prod/1292/state/01/lga/05/ward/01/pu/005/005-1677397930.pdf</t>
  </si>
  <si>
    <t>NEAR IDOWU'S HOUSE/OTEGBEYE STREET  II, Polling Unit, EGBADO SOUTH, Ogun State, Nigeria</t>
  </si>
  <si>
    <t>27-05-01-006</t>
  </si>
  <si>
    <t>OBA FASINA CLOSE JUNCTON I</t>
  </si>
  <si>
    <t>https://docs.inecelectionresults.net/elections_prod/1292/state/01/lga/05/ward/01/pu/006/006-1677367459.pdf</t>
  </si>
  <si>
    <t>OBA FASINA CLOSE JUNCTON I, Polling Unit, EGBADO SOUTH, Ogun State, Nigeria</t>
  </si>
  <si>
    <t>27-05-01-007</t>
  </si>
  <si>
    <t>OBA FASINA CLOSE JUNCTON II</t>
  </si>
  <si>
    <t>https://docs.inecelectionresults.net/elections_prod/1292/state/01/lga/05/ward/01/pu/007/007-1677366222.pdf</t>
  </si>
  <si>
    <t>OBA FASINA CLOSE JUNCTON II, Polling Unit, EGBADO SOUTH, Ogun State, Nigeria</t>
  </si>
  <si>
    <t>27-05-01-008</t>
  </si>
  <si>
    <t>EGBO ALAPARUN</t>
  </si>
  <si>
    <t>https://docs.inecelectionresults.net/elections_prod/1292/state/01/lga/05/ward/01/pu/008/008-1677366606.pdf</t>
  </si>
  <si>
    <t>EGBO ALAPARUN, Polling Unit, EGBADO SOUTH, Ogun State, Nigeria</t>
  </si>
  <si>
    <t>27-05-01-009</t>
  </si>
  <si>
    <t>U.A.M.C. SCHOOL PAHAYI</t>
  </si>
  <si>
    <t>https://docs.inecelectionresults.net/elections_prod/1292/state/1/lga/3670/ward/24008/pu/91795/91795-1677527707.pdf</t>
  </si>
  <si>
    <t>U.A.M.C. SCHOOL PAHAYI, Polling Unit, EGBADO SOUTH, Ogun State, Nigeria</t>
  </si>
  <si>
    <t>27-05-01-011</t>
  </si>
  <si>
    <t>ORITA KAJOLA  II</t>
  </si>
  <si>
    <t>https://inec-cvr-cache.s3.eu-west-1.amazonaws.com/cached/results/90711/result_77678_1677524956_thumb.jpg</t>
  </si>
  <si>
    <t>ORITA KAJOLA  II, Polling Unit, EGBADO SOUTH, Ogun State, Nigeria</t>
  </si>
  <si>
    <t>27-05-01-012</t>
  </si>
  <si>
    <t>E.S.L.G. SCHOOL IJANNA</t>
  </si>
  <si>
    <t>https://inec-cvr-cache.s3.eu-west-1.amazonaws.com/cached/results/90712/result_77679_1677523394_thumb.jpg</t>
  </si>
  <si>
    <t>E.S.L.G. SCHOOL IJANNA, Polling Unit, EGBADO SOUTH, Ogun State, Nigeria</t>
  </si>
  <si>
    <t>27-05-01-013</t>
  </si>
  <si>
    <t>ITA IYALODE</t>
  </si>
  <si>
    <t>https://docs.inecelectionresults.net/elections_prod/1292/state/01/lga/05/ward/01/pu/013/013-1677364968.pdf</t>
  </si>
  <si>
    <t>ITA IYALODE, Polling Unit, EGBADO SOUTH, Ogun State, Nigeria</t>
  </si>
  <si>
    <t>27-05-01-014</t>
  </si>
  <si>
    <t>OKE-OLA - AREA</t>
  </si>
  <si>
    <t>https://docs.inecelectionresults.net/elections_prod/1292/state/1/lga/3670/ward/24008/pu/91800/91800-1677523765.pdf</t>
  </si>
  <si>
    <t>OKE-OLA - AREA, Polling Unit, EGBADO SOUTH, Ogun State, Nigeria</t>
  </si>
  <si>
    <t>27-05-01-015</t>
  </si>
  <si>
    <t>POLY. GATE</t>
  </si>
  <si>
    <t>https://docs.inecelectionresults.net/elections_prod/1292/state/1/lga/3670/ward/24008/pu/91801/91801-1677526406.pdf</t>
  </si>
  <si>
    <t>POLY. GATE, Polling Unit, EGBADO SOUTH, Ogun State, Nigeria</t>
  </si>
  <si>
    <t>27-05-01-017</t>
  </si>
  <si>
    <t>ORISUN IRAN /ILODO</t>
  </si>
  <si>
    <t>https://docs.inecelectionresults.net/elections_prod/1292/state/1/lga/3670/ward/24008/pu/91803/91803-1677525187.pdf</t>
  </si>
  <si>
    <t>ORISUN IRAN /ILODO, Polling Unit, EGBADO SOUTH, Ogun State, Nigeria</t>
  </si>
  <si>
    <t>ILARO  II</t>
  </si>
  <si>
    <t>27-05-02-002</t>
  </si>
  <si>
    <t>OPEN SPACE BESIDE APOSTOLIC (CHRIST APOSTOLIC CHURCH ILARO)</t>
  </si>
  <si>
    <t>https://docs.inecelectionresults.net/elections_prod/1292/state/01/lga/05/ward/02/pu/002/002-1677394976.pdf</t>
  </si>
  <si>
    <t>OPEN SPACE BESIDE APOSTOLIC (CHRIST APOSTOLIC CHURCH ILARO), Polling Unit, EGBADO SOUTH, Ogun State, Nigeria</t>
  </si>
  <si>
    <t>27-05-02-003</t>
  </si>
  <si>
    <t>OJU-IYEWA SQUARE, ILARO I</t>
  </si>
  <si>
    <t>https://docs.inecelectionresults.net/elections_prod/1292/state/01/lga/05/ward/02/pu/003/003-1677387020.pdf</t>
  </si>
  <si>
    <t>OJU-IYEWA SQUARE, ILARO I, Polling Unit, EGBADO SOUTH, Ogun State, Nigeria</t>
  </si>
  <si>
    <t>27-05-02-004</t>
  </si>
  <si>
    <t>OJU-IYEWA SQUARE, ILARO II</t>
  </si>
  <si>
    <t>https://docs.inecelectionresults.net/elections_prod/1292/state/01/lga/05/ward/02/pu/004/004-1677387168.pdf</t>
  </si>
  <si>
    <t>OJU-IYEWA SQUARE, ILARO II, Polling Unit, EGBADO SOUTH, Ogun State, Nigeria</t>
  </si>
  <si>
    <t>27-05-02-005</t>
  </si>
  <si>
    <t>E.S.L.G. SCHOOL ILARO</t>
  </si>
  <si>
    <t>https://docs.inecelectionresults.net/elections_prod/1292/state/01/lga/05/ward/02/pu/005/005-1677369177.pdf</t>
  </si>
  <si>
    <t>E.S.L.G. SCHOOL ILARO, Polling Unit, EGBADO SOUTH, Ogun State, Nigeria</t>
  </si>
  <si>
    <t>27-05-02-007</t>
  </si>
  <si>
    <t>HARDICAPPED SCHOOL ILARO   II</t>
  </si>
  <si>
    <t>https://docs.inecelectionresults.net/elections_prod/1292/state/01/lga/05/ward/02/pu/007/007-1677388110.pdf</t>
  </si>
  <si>
    <t>HARDICAPPED SCHOOL ILARO   II, Polling Unit, EGBADO SOUTH, Ogun State, Nigeria</t>
  </si>
  <si>
    <t>27-05-02-010</t>
  </si>
  <si>
    <t>ORONNA HIGH SCHOOL</t>
  </si>
  <si>
    <t>https://docs.inecelectionresults.net/elections_prod/1292/state/01/lga/05/ward/02/pu/010/010-1677403389.pdf</t>
  </si>
  <si>
    <t>ORONNA HIGH SCHOOL, Polling Unit, EGBADO SOUTH, Ogun State, Nigeria</t>
  </si>
  <si>
    <t>27-05-02-011</t>
  </si>
  <si>
    <t>AGO ISAGA SQUARE ILARO I</t>
  </si>
  <si>
    <t>https://docs.inecelectionresults.net/elections_prod/1292/state/01/lga/05/ward/02/pu/011/011-1677404308.pdf</t>
  </si>
  <si>
    <t>AGO ISAGA SQUARE ILARO I, Polling Unit, EGBADO SOUTH, Ogun State, Nigeria</t>
  </si>
  <si>
    <t>27-05-02-012</t>
  </si>
  <si>
    <t>AGO ISAGA SQUARE ILARO II</t>
  </si>
  <si>
    <t>https://docs.inecelectionresults.net/elections_prod/1292/state/01/lga/05/ward/02/pu/012/012-1677403472.pdf</t>
  </si>
  <si>
    <t>AGO ISAGA SQUARE ILARO II, Polling Unit, EGBADO SOUTH, Ogun State, Nigeria</t>
  </si>
  <si>
    <t>27-05-02-013</t>
  </si>
  <si>
    <t>OPEN SPACE AT ODUNTAN'S AREA</t>
  </si>
  <si>
    <t>https://docs.inecelectionresults.net/elections_prod/1292/state/01/lga/05/ward/02/pu/013/013-1677405040.pdf</t>
  </si>
  <si>
    <t>OPEN SPACE AT ODUNTAN'S AREA, Polling Unit, EGBADO SOUTH, Ogun State, Nigeria</t>
  </si>
  <si>
    <t>27-05-02-014</t>
  </si>
  <si>
    <t>BOOTH AT IGANMU</t>
  </si>
  <si>
    <t>https://docs.inecelectionresults.net/elections_prod/1292/state/01/lga/05/ward/02/pu/014/014-1677403773.pdf</t>
  </si>
  <si>
    <t>BOOTH AT IGANMU, Polling Unit, EGBADO SOUTH, Ogun State, Nigeria</t>
  </si>
  <si>
    <t>27-05-02-015</t>
  </si>
  <si>
    <t>OPP. CO-OP BANK ILARO</t>
  </si>
  <si>
    <t>https://docs.inecelectionresults.net/elections_prod/1292/state/01/lga/05/ward/02/pu/015/015-1677392053.pdf</t>
  </si>
  <si>
    <t>OPP. CO-OP BANK ILARO, Polling Unit, EGBADO SOUTH, Ogun State, Nigeria</t>
  </si>
  <si>
    <t>ILARO  III</t>
  </si>
  <si>
    <t>27-05-03-001</t>
  </si>
  <si>
    <t>CHRIST CHURCH SCHOOL ILARO</t>
  </si>
  <si>
    <t>https://docs.inecelectionresults.net/elections_prod/1292/state/01/lga/05/ward/03/pu/001/001-1677363444.pdf</t>
  </si>
  <si>
    <t>CHRIST CHURCH SCHOOL ILARO, Polling Unit, EGBADO SOUTH, Ogun State, Nigeria</t>
  </si>
  <si>
    <t>27-05-03-003</t>
  </si>
  <si>
    <t>ORONNA TOWN HALL  II</t>
  </si>
  <si>
    <t>https://docs.inecelectionresults.net/elections_prod/1292/state/01/lga/05/ward/03/pu/003/003-1677362594.pdf</t>
  </si>
  <si>
    <t>ORONNA TOWN HALL  II, Polling Unit, EGBADO SOUTH, Ogun State, Nigeria</t>
  </si>
  <si>
    <t>27-05-03-004</t>
  </si>
  <si>
    <t>BAPTIST DAY SCHOOL ILARO</t>
  </si>
  <si>
    <t>https://docs.inecelectionresults.net/elections_prod/1292/state/01/lga/05/ward/03/pu/004/004-1677372795.pdf</t>
  </si>
  <si>
    <t>BAPTIST DAY SCHOOL ILARO, Polling Unit, EGBADO SOUTH, Ogun State, Nigeria</t>
  </si>
  <si>
    <t>27-05-03-005</t>
  </si>
  <si>
    <t>A.U.D. SCHOOL ILARO I</t>
  </si>
  <si>
    <t>https://docs.inecelectionresults.net/elections_prod/1292/state/01/lga/05/ward/03/pu/005/005-1677362056.pdf</t>
  </si>
  <si>
    <t>A.U.D. SCHOOL ILARO I, Polling Unit, EGBADO SOUTH, Ogun State, Nigeria</t>
  </si>
  <si>
    <t>27-05-03-006</t>
  </si>
  <si>
    <t>A.U.D. SCHOOL ILARO II</t>
  </si>
  <si>
    <t>https://docs.inecelectionresults.net/elections_prod/1292/state/01/lga/05/ward/03/pu/006/006-1677362530.pdf</t>
  </si>
  <si>
    <t>A.U.D. SCHOOL ILARO II, Polling Unit, EGBADO SOUTH, Ogun State, Nigeria</t>
  </si>
  <si>
    <t>27-05-03-007</t>
  </si>
  <si>
    <t>AHMADIYA NURSERY&amp; PRIMARY SCH. ILARO I</t>
  </si>
  <si>
    <t>https://docs.inecelectionresults.net/elections_prod/1292/state/01/lga/05/ward/03/pu/007/007-1677360913.pdf</t>
  </si>
  <si>
    <t>AHMADIYA NURSERY&amp; PRIMARY SCH. ILARO I, Polling Unit, EGBADO SOUTH, Ogun State, Nigeria</t>
  </si>
  <si>
    <t>27-05-03-009</t>
  </si>
  <si>
    <t>N.U.D. SCHOOL ILARO  I</t>
  </si>
  <si>
    <t>https://docs.inecelectionresults.net/elections_prod/1292/state/01/lga/05/ward/03/pu/009/009-1677364163.pdf</t>
  </si>
  <si>
    <t>N.U.D. SCHOOL ILARO  I, Polling Unit, EGBADO SOUTH, Ogun State, Nigeria</t>
  </si>
  <si>
    <t>27-05-03-010</t>
  </si>
  <si>
    <t>N.U.D. SCHOOL ILARO  II</t>
  </si>
  <si>
    <t>https://docs.inecelectionresults.net/elections_prod/1292/state/01/lga/05/ward/03/pu/010/010-1677364561.pdf</t>
  </si>
  <si>
    <t>N.U.D. SCHOOL ILARO  II, Polling Unit, EGBADO SOUTH, Ogun State, Nigeria</t>
  </si>
  <si>
    <t>27-05-03-011</t>
  </si>
  <si>
    <t>KUMOYE STREET ILARO  I</t>
  </si>
  <si>
    <t>https://docs.inecelectionresults.net/elections_prod/1292/state/01/lga/05/ward/03/pu/011/011-1677362742.pdf</t>
  </si>
  <si>
    <t>KUMOYE STREET ILARO  I, Polling Unit, EGBADO SOUTH, Ogun State, Nigeria</t>
  </si>
  <si>
    <t>27-05-03-012</t>
  </si>
  <si>
    <t>KUMOYE STREET ILARO  II</t>
  </si>
  <si>
    <t>https://docs.inecelectionresults.net/elections_prod/1292/state/01/lga/05/ward/03/pu/012/012-1677361246.pdf</t>
  </si>
  <si>
    <t>KUMOYE STREET ILARO  II, Polling Unit, EGBADO SOUTH, Ogun State, Nigeria</t>
  </si>
  <si>
    <t>27-05-03-013</t>
  </si>
  <si>
    <t>METHODIST SCHOOL GBOGIDI I</t>
  </si>
  <si>
    <t>https://docs.inecelectionresults.net/elections_prod/1292/state/01/lga/05/ward/03/pu/013/013-1677363445.pdf</t>
  </si>
  <si>
    <t>METHODIST SCHOOL GBOGIDI I, Polling Unit, EGBADO SOUTH, Ogun State, Nigeria</t>
  </si>
  <si>
    <t>27-05-03-016</t>
  </si>
  <si>
    <t>E.SL..G. SCHOOL II MODEOLU II</t>
  </si>
  <si>
    <t>https://docs.inecelectionresults.net/elections_prod/1292/state/01/lga/05/ward/03/pu/016/016-1677361109.pdf</t>
  </si>
  <si>
    <t>E.SL..G. SCHOOL II MODEOLU II, Polling Unit, EGBADO SOUTH, Ogun State, Nigeria</t>
  </si>
  <si>
    <t>27-05-03-017</t>
  </si>
  <si>
    <t>R.C.M. SCHOOL ILARO  I</t>
  </si>
  <si>
    <t>https://docs.inecelectionresults.net/elections_prod/1292/state/01/lga/05/ward/03/pu/017/017-1677365816.pdf</t>
  </si>
  <si>
    <t>R.C.M. SCHOOL ILARO  I, Polling Unit, EGBADO SOUTH, Ogun State, Nigeria</t>
  </si>
  <si>
    <t>27-05-03-018</t>
  </si>
  <si>
    <t>R.C.M. SCHOOL ILARO  II</t>
  </si>
  <si>
    <t>https://docs.inecelectionresults.net/elections_prod/1292/state/01/lga/05/ward/03/pu/018/018-1677362009.pdf</t>
  </si>
  <si>
    <t>R.C.M. SCHOOL ILARO  II, Polling Unit, EGBADO SOUTH, Ogun State, Nigeria</t>
  </si>
  <si>
    <t>27-05-03-019</t>
  </si>
  <si>
    <t>ILEBA QUARTERS ILARO</t>
  </si>
  <si>
    <t>https://docs.inecelectionresults.net/elections_prod/1292/state/01/lga/05/ward/03/pu/019/019-1677363029.pdf</t>
  </si>
  <si>
    <t>ILEBA QUARTERS ILARO, Polling Unit, EGBADO SOUTH, Ogun State, Nigeria</t>
  </si>
  <si>
    <t>27-05-03-020</t>
  </si>
  <si>
    <t>ROCKY NITE CLUB  I</t>
  </si>
  <si>
    <t>https://docs.inecelectionresults.net/elections_prod/1292/state/01/lga/05/ward/03/pu/020/020-1677367358.pdf</t>
  </si>
  <si>
    <t>ROCKY NITE CLUB  I, Polling Unit, EGBADO SOUTH, Ogun State, Nigeria</t>
  </si>
  <si>
    <t>27-05-03-021</t>
  </si>
  <si>
    <t>ROCKY NITE CLUB  II</t>
  </si>
  <si>
    <t>https://docs.inecelectionresults.net/elections_prod/1292/state/01/lga/05/ward/03/pu/021/021-1677362623.pdf</t>
  </si>
  <si>
    <t>ROCKY NITE CLUB  II, Polling Unit, EGBADO SOUTH, Ogun State, Nigeria</t>
  </si>
  <si>
    <t>27-05-03-022</t>
  </si>
  <si>
    <t>E.A.C. SCHOOL ILARO</t>
  </si>
  <si>
    <t>https://docs.inecelectionresults.net/elections_prod/1292/state/01/lga/05/ward/03/pu/022/022-1677371002.pdf</t>
  </si>
  <si>
    <t>E.A.C. SCHOOL ILARO, Polling Unit, EGBADO SOUTH, Ogun State, Nigeria</t>
  </si>
  <si>
    <t>27-05-03-023</t>
  </si>
  <si>
    <t>OPEN SPACE NEAR BAPTIST AREA</t>
  </si>
  <si>
    <t>https://docs.inecelectionresults.net/elections_prod/1292/state/01/lga/05/ward/03/pu/023/023-1677363821.pdf</t>
  </si>
  <si>
    <t>OPEN SPACE NEAR BAPTIST AREA, Polling Unit, EGBADO SOUTH, Ogun State, Nigeria</t>
  </si>
  <si>
    <t>27-05-03-024</t>
  </si>
  <si>
    <t>OPEN SPACE AT OLORUNSOGO</t>
  </si>
  <si>
    <t>https://docs.inecelectionresults.net/elections_prod/1292/state/01/lga/05/ward/03/pu/024/024-1677361171.pdf</t>
  </si>
  <si>
    <t>OPEN SPACE AT OLORUNSOGO, Polling Unit, EGBADO SOUTH, Ogun State, Nigeria</t>
  </si>
  <si>
    <t>IWOYE</t>
  </si>
  <si>
    <t>27-05-04-001</t>
  </si>
  <si>
    <t>A/C SCHOOL IWOYE</t>
  </si>
  <si>
    <t>https://docs.inecelectionresults.net/elections_prod/1292/state/01/lga/05/ward/04/pu/001/001-1677361261.pdf</t>
  </si>
  <si>
    <t>A/C SCHOOL IWOYE, Polling Unit, EGBADO SOUTH, Ogun State, Nigeria</t>
  </si>
  <si>
    <t>27-05-04-002</t>
  </si>
  <si>
    <t>BAPTIST DAY SCHOOL IPAKE</t>
  </si>
  <si>
    <t>https://docs.inecelectionresults.net/elections_prod/1292/state/01/lga/05/ward/04/pu/002/002-1677387530.pdf</t>
  </si>
  <si>
    <t>BAPTIST DAY SCHOOL IPAKE, Polling Unit, EGBADO SOUTH, Ogun State, Nigeria</t>
  </si>
  <si>
    <t>27-05-04-004</t>
  </si>
  <si>
    <t>COMM. SQUARE ISAGA AMOSUN</t>
  </si>
  <si>
    <t>https://docs.inecelectionresults.net/elections_prod/1292/state/01/lga/05/ward/04/pu/004/004-1677362794.pdf</t>
  </si>
  <si>
    <t>COMM. SQUARE ISAGA AMOSUN, Polling Unit, EGBADO SOUTH, Ogun State, Nigeria</t>
  </si>
  <si>
    <t>27-05-04-005</t>
  </si>
  <si>
    <t>YEWA-MATA VILLAGE SQUARE</t>
  </si>
  <si>
    <t>https://docs.inecelectionresults.net/elections_prod/1292/state/01/lga/05/ward/04/pu/005/005-1677362670.pdf</t>
  </si>
  <si>
    <t>YEWA-MATA VILLAGE SQUARE, Polling Unit, EGBADO SOUTH, Ogun State, Nigeria</t>
  </si>
  <si>
    <t>27-05-04-006</t>
  </si>
  <si>
    <t>ST. PETERS SCHOOL IJADO</t>
  </si>
  <si>
    <t>https://docs.inecelectionresults.net/elections_prod/1292/state/01/lga/05/ward/04/pu/006/006-1677361868.pdf</t>
  </si>
  <si>
    <t>ST. PETERS SCHOOL IJADO, Polling Unit, EGBADO SOUTH, Ogun State, Nigeria</t>
  </si>
  <si>
    <t>27-05-04-008</t>
  </si>
  <si>
    <t>OLORULEKAN VILLAGE II</t>
  </si>
  <si>
    <t>https://inec-cvr-cache.s3.eu-west-1.amazonaws.com/cached/results/90765/result_77764_1677532876_thumb.jpg</t>
  </si>
  <si>
    <t>OLORULEKAN VILLAGE II, Polling Unit, EGBADO SOUTH, Ogun State, Nigeria</t>
  </si>
  <si>
    <t>27-05-04-009</t>
  </si>
  <si>
    <t>U.A.M.C. SCHOOL OLORUNDA</t>
  </si>
  <si>
    <t>https://docs.inecelectionresults.net/elections_prod/1292/state/01/lga/05/ward/04/pu/009/009-1677361622.pdf</t>
  </si>
  <si>
    <t>U.A.M.C. SCHOOL OLORUNDA, Polling Unit, EGBADO SOUTH, Ogun State, Nigeria</t>
  </si>
  <si>
    <t>27-05-04-010</t>
  </si>
  <si>
    <t>E.S.L.G. SCHOOL ASATO</t>
  </si>
  <si>
    <t>https://docs.inecelectionresults.net/elections_prod/1292/state/01/lga/05/ward/04/pu/010/010-1677361375.pdf</t>
  </si>
  <si>
    <t>E.S.L.G. SCHOOL ASATO, Polling Unit, EGBADO SOUTH, Ogun State, Nigeria</t>
  </si>
  <si>
    <t>27-05-04-011</t>
  </si>
  <si>
    <t>JAJA VILLAGE</t>
  </si>
  <si>
    <t>https://docs.inecelectionresults.net/elections_prod/1292/state/01/lga/05/ward/04/pu/011/011-1677361805.pdf</t>
  </si>
  <si>
    <t>JAJA VILLAGE, Polling Unit, EGBADO SOUTH, Ogun State, Nigeria</t>
  </si>
  <si>
    <t>27-05-04-012</t>
  </si>
  <si>
    <t>OPP. COMM HIGH SCHOOL, IWOYE</t>
  </si>
  <si>
    <t>https://docs.inecelectionresults.net/elections_prod/1292/state/01/lga/05/ward/04/pu/012/012-1677361629.pdf</t>
  </si>
  <si>
    <t>OPP. COMM HIGH SCHOOL, IWOYE, Polling Unit, EGBADO SOUTH, Ogun State, Nigeria</t>
  </si>
  <si>
    <t>27-05-04-013</t>
  </si>
  <si>
    <t>AJO VILLAGE  I</t>
  </si>
  <si>
    <t>https://docs.inecelectionresults.net/elections_prod/1292/state/01/lga/05/ward/04/pu/013/013-1677360869.pdf</t>
  </si>
  <si>
    <t>AJO VILLAGE  I, Polling Unit, EGBADO SOUTH, Ogun State, Nigeria</t>
  </si>
  <si>
    <t>27-05-04-014</t>
  </si>
  <si>
    <t>AJO VILLAGE  II</t>
  </si>
  <si>
    <t>https://docs.inecelectionresults.net/elections_prod/1292/state/01/lga/05/ward/04/pu/014/014-1677362325.pdf</t>
  </si>
  <si>
    <t>AJO VILLAGE  II, Polling Unit, EGBADO SOUTH, Ogun State, Nigeria</t>
  </si>
  <si>
    <t>27-05-04-015</t>
  </si>
  <si>
    <t>IROGUN AKERE</t>
  </si>
  <si>
    <t>https://docs.inecelectionresults.net/elections_prod/1292/state/01/lga/05/ward/04/pu/015/015-1677361082.pdf</t>
  </si>
  <si>
    <t>IROGUN AKERE, Polling Unit, EGBADO SOUTH, Ogun State, Nigeria</t>
  </si>
  <si>
    <t>27-05-04-016</t>
  </si>
  <si>
    <t>SODINRO/ADEWALE VILLAGE</t>
  </si>
  <si>
    <t>https://docs.inecelectionresults.net/elections_prod/1292/state/01/lga/05/ward/04/pu/016/016-1677361397.pdf</t>
  </si>
  <si>
    <t>SODINRO/ADEWALE VILLAGE, Polling Unit, EGBADO SOUTH, Ogun State, Nigeria</t>
  </si>
  <si>
    <t>IDOGO</t>
  </si>
  <si>
    <t>27-05-05-001</t>
  </si>
  <si>
    <t>AFRICAN CHURCH SCHOOL IDOGO</t>
  </si>
  <si>
    <t>https://docs.inecelectionresults.net/elections_prod/1292/state/01/lga/05/ward/05/pu/001/001-1677373133.pdf</t>
  </si>
  <si>
    <t>AFRICAN CHURCH SCHOOL IDOGO, Polling Unit, EGBADO SOUTH, Ogun State, Nigeria</t>
  </si>
  <si>
    <t>27-05-05-002</t>
  </si>
  <si>
    <t>METHODIST SCHOOL IDOGO</t>
  </si>
  <si>
    <t>https://docs.inecelectionresults.net/elections_prod/1292/state/01/lga/05/ward/05/pu/002/002-1677372075.pdf</t>
  </si>
  <si>
    <t>METHODIST SCHOOL IDOGO, Polling Unit, EGBADO SOUTH, Ogun State, Nigeria</t>
  </si>
  <si>
    <t>27-05-05-003</t>
  </si>
  <si>
    <t>U.A.M.C. SCHOOL OLUTE</t>
  </si>
  <si>
    <t>https://docs.inecelectionresults.net/elections_prod/1292/state/01/lga/05/ward/05/pu/003/003-1677365259.pdf</t>
  </si>
  <si>
    <t>U.A.M.C. SCHOOL OLUTE, Polling Unit, EGBADO SOUTH, Ogun State, Nigeria</t>
  </si>
  <si>
    <t>27-05-05-004</t>
  </si>
  <si>
    <t>METHODIST SCHOOL IGBEJI</t>
  </si>
  <si>
    <t>https://docs.inecelectionresults.net/elections_prod/1292/state/01/lga/05/ward/05/pu/004/004-1677363899.pdf</t>
  </si>
  <si>
    <t>METHODIST SCHOOL IGBEJI, Polling Unit, EGBADO SOUTH, Ogun State, Nigeria</t>
  </si>
  <si>
    <t>27-05-05-005</t>
  </si>
  <si>
    <t>U.N.A. SCHOOL IPAJA</t>
  </si>
  <si>
    <t>https://docs.inecelectionresults.net/elections_prod/1292/state/01/lga/05/ward/05/pu/005/005-1677372566.pdf</t>
  </si>
  <si>
    <t>U.N.A. SCHOOL IPAJA, Polling Unit, EGBADO SOUTH, Ogun State, Nigeria</t>
  </si>
  <si>
    <t>27-05-05-006</t>
  </si>
  <si>
    <t>METHODIST SCHOOL FAGBOHUN</t>
  </si>
  <si>
    <t>https://docs.inecelectionresults.net/elections_prod/1292/state/01/lga/05/ward/05/pu/006/006-1677369858.pdf</t>
  </si>
  <si>
    <t>METHODIST SCHOOL FAGBOHUN, Polling Unit, EGBADO SOUTH, Ogun State, Nigeria</t>
  </si>
  <si>
    <t>27-05-05-008</t>
  </si>
  <si>
    <t>ALL SAINTS SCHOOL ITORO</t>
  </si>
  <si>
    <t>https://docs.inecelectionresults.net/elections_prod/1292/state/01/lga/05/ward/05/pu/008/008-1677371701.pdf</t>
  </si>
  <si>
    <t>ALL SAINTS SCHOOL ITORO, Polling Unit, EGBADO SOUTH, Ogun State, Nigeria</t>
  </si>
  <si>
    <t>27-05-05-009</t>
  </si>
  <si>
    <t>E.S.L.G. SCHOOL, IDOLOGUN</t>
  </si>
  <si>
    <t>https://docs.inecelectionresults.net/elections_prod/1292/state/01/lga/05/ward/05/pu/009/009-1677368339.pdf</t>
  </si>
  <si>
    <t>E.S.L.G. SCHOOL, IDOLOGUN, Polling Unit, EGBADO SOUTH, Ogun State, Nigeria</t>
  </si>
  <si>
    <t>27-05-05-011</t>
  </si>
  <si>
    <t>E.S.L.G. SCHOOL KAKANFO</t>
  </si>
  <si>
    <t>https://docs.inecelectionresults.net/elections_prod/1292/state/01/lga/05/ward/05/pu/011/011-1677361242.pdf</t>
  </si>
  <si>
    <t>E.S.L.G. SCHOOL KAKANFO, Polling Unit, EGBADO SOUTH, Ogun State, Nigeria</t>
  </si>
  <si>
    <t>27-05-05-012</t>
  </si>
  <si>
    <t>ABULE OLOPA</t>
  </si>
  <si>
    <t>https://docs.inecelectionresults.net/elections_prod/1292/state/01/lga/05/ward/05/pu/012/012-1677362706.pdf</t>
  </si>
  <si>
    <t>ABULE OLOPA, Polling Unit, EGBADO SOUTH, Ogun State, Nigeria</t>
  </si>
  <si>
    <t>27-05-05-013</t>
  </si>
  <si>
    <t>IGA -OTUN OLOKUNTA</t>
  </si>
  <si>
    <t>https://docs.inecelectionresults.net/elections_prod/1292/state/01/lga/05/ward/05/pu/013/013-1677367382.pdf</t>
  </si>
  <si>
    <t>IGA -OTUN OLOKUNTA, Polling Unit, EGBADO SOUTH, Ogun State, Nigeria</t>
  </si>
  <si>
    <t>27-05-05-014</t>
  </si>
  <si>
    <t>RCM SCH IDOGO</t>
  </si>
  <si>
    <t>https://docs.inecelectionresults.net/elections_prod/1292/state/01/lga/05/ward/05/pu/014/014-1677366446.pdf</t>
  </si>
  <si>
    <t>RCM SCH IDOGO, Polling Unit, EGBADO SOUTH, Ogun State, Nigeria</t>
  </si>
  <si>
    <t>27-05-05-015</t>
  </si>
  <si>
    <t>OLOKUTA VILLAGE II</t>
  </si>
  <si>
    <t>https://docs.inecelectionresults.net/elections_prod/1292/state/01/lga/05/ward/05/pu/015/015-1677369144.pdf</t>
  </si>
  <si>
    <t>OLOKUTA VILLAGE II, Polling Unit, EGBADO SOUTH, Ogun State, Nigeria</t>
  </si>
  <si>
    <t>27-05-05-016</t>
  </si>
  <si>
    <t>OJETE OMILENDE VILLAGE</t>
  </si>
  <si>
    <t>https://docs.inecelectionresults.net/elections_prod/1292/state/01/lga/05/ward/05/pu/016/016-1677370469.pdf</t>
  </si>
  <si>
    <t>OJETE OMILENDE VILLAGE, Polling Unit, EGBADO SOUTH, Ogun State, Nigeria</t>
  </si>
  <si>
    <t>OKE ODAN</t>
  </si>
  <si>
    <t>27-05-06-001</t>
  </si>
  <si>
    <t>ST. JAMES SCHOOL OKE-ODAN I</t>
  </si>
  <si>
    <t>https://docs.inecelectionresults.net/elections_prod/1292/state/01/lga/05/ward/06/pu/001/001-1677385151.pdf</t>
  </si>
  <si>
    <t>ST. JAMES SCHOOL OKE-ODAN I, Polling Unit, EGBADO SOUTH, Ogun State, Nigeria</t>
  </si>
  <si>
    <t>27-05-06-002</t>
  </si>
  <si>
    <t>ST. JAMES SCHOOL OKE-ODAN  II</t>
  </si>
  <si>
    <t>https://docs.inecelectionresults.net/elections_prod/1292/state/01/lga/05/ward/06/pu/002/002-1677383873.pdf</t>
  </si>
  <si>
    <t>ST. JAMES SCHOOL OKE-ODAN  II, Polling Unit, EGBADO SOUTH, Ogun State, Nigeria</t>
  </si>
  <si>
    <t>27-05-06-004</t>
  </si>
  <si>
    <t>BAPTIST DAY SCHOOL OKE-ODAN I</t>
  </si>
  <si>
    <t>https://docs.inecelectionresults.net/elections_prod/1292/state/01/lga/05/ward/06/pu/004/004-1677379983.pdf</t>
  </si>
  <si>
    <t>BAPTIST DAY SCHOOL OKE-ODAN I, Polling Unit, EGBADO SOUTH, Ogun State, Nigeria</t>
  </si>
  <si>
    <t>27-05-06-005</t>
  </si>
  <si>
    <t>BAPTIST DAY SCHOOL OKE-ODAN II</t>
  </si>
  <si>
    <t>https://docs.inecelectionresults.net/elections_prod/1292/state/01/lga/05/ward/06/pu/005/005-1677375348.pdf</t>
  </si>
  <si>
    <t>BAPTIST DAY SCHOOL OKE-ODAN II, Polling Unit, EGBADO SOUTH, Ogun State, Nigeria</t>
  </si>
  <si>
    <t>27-05-06-006</t>
  </si>
  <si>
    <t>E.S.L.G. SCHOOL EYEKANSE</t>
  </si>
  <si>
    <t>https://docs.inecelectionresults.net/elections_prod/1292/state/01/lga/05/ward/06/pu/006/006-1677381936.pdf</t>
  </si>
  <si>
    <t>E.S.L.G. SCHOOL EYEKANSE, Polling Unit, EGBADO SOUTH, Ogun State, Nigeria</t>
  </si>
  <si>
    <t>27-05-06-009</t>
  </si>
  <si>
    <t>E.S.L.G. SCHOOL AJISE</t>
  </si>
  <si>
    <t>https://docs.inecelectionresults.net/elections_prod/1292/state/01/lga/05/ward/06/pu/009/009-1677380999.pdf</t>
  </si>
  <si>
    <t>E.S.L.G. SCHOOL AJISE, Polling Unit, EGBADO SOUTH, Ogun State, Nigeria</t>
  </si>
  <si>
    <t>27-05-06-010</t>
  </si>
  <si>
    <t>R.C.M. SCHOOL ISAGBO ERE  I</t>
  </si>
  <si>
    <t>https://docs.inecelectionresults.net/elections_prod/1292/state/01/lga/05/ward/06/pu/010/010-1677389284.pdf</t>
  </si>
  <si>
    <t>R.C.M. SCHOOL ISAGBO ERE  I, Polling Unit, EGBADO SOUTH, Ogun State, Nigeria</t>
  </si>
  <si>
    <t>27-05-06-011</t>
  </si>
  <si>
    <t>R.C.M. SCHOOL ISAGBO ERE II</t>
  </si>
  <si>
    <t>https://docs.inecelectionresults.net/elections_prod/1292/state/01/lga/05/ward/06/pu/011/011-1677385975.pdf</t>
  </si>
  <si>
    <t>R.C.M. SCHOOL ISAGBO ERE II, Polling Unit, EGBADO SOUTH, Ogun State, Nigeria</t>
  </si>
  <si>
    <t>27-05-06-012</t>
  </si>
  <si>
    <t>ST. JAMES SCHOOL R.M. II OKE-ODAN I</t>
  </si>
  <si>
    <t>https://docs.inecelectionresults.net/elections_prod/1292/state/01/lga/05/ward/06/pu/012/012-1677377250.pdf</t>
  </si>
  <si>
    <t>ST. JAMES SCHOOL R.M. II OKE-ODAN I, Polling Unit, EGBADO SOUTH, Ogun State, Nigeria</t>
  </si>
  <si>
    <t>27-05-06-013</t>
  </si>
  <si>
    <t>ST. JAMES SCHOOL R.M. II OKE ODAN II</t>
  </si>
  <si>
    <t>https://docs.inecelectionresults.net/elections_prod/1292/state/01/lga/05/ward/06/pu/013/013-1677387251.pdf</t>
  </si>
  <si>
    <t>ST. JAMES SCHOOL R.M. II OKE ODAN II, Polling Unit, EGBADO SOUTH, Ogun State, Nigeria</t>
  </si>
  <si>
    <t>27-05-06-014</t>
  </si>
  <si>
    <t>A/C SCHOOL R.M. II OKE ODAN I</t>
  </si>
  <si>
    <t>https://docs.inecelectionresults.net/elections_prod/1292/state/01/lga/05/ward/06/pu/014/014-1677389267.pdf</t>
  </si>
  <si>
    <t>A/C SCHOOL R.M. II OKE ODAN I, Polling Unit, EGBADO SOUTH, Ogun State, Nigeria</t>
  </si>
  <si>
    <t>27-05-06-016</t>
  </si>
  <si>
    <t>OPEN SPACE BESIDE K&amp;S CHURCH OKE-ODAN I</t>
  </si>
  <si>
    <t>https://docs.inecelectionresults.net/elections_prod/1292/state/01/lga/05/ward/06/pu/016/016-1677388219.pdf</t>
  </si>
  <si>
    <t>OPEN SPACE BESIDE K&amp;S CHURCH OKE-ODAN I, Polling Unit, EGBADO SOUTH, Ogun State, Nigeria</t>
  </si>
  <si>
    <t>27-05-06-017</t>
  </si>
  <si>
    <t>OPEN SPACE BESIDE K &amp; S CHURCH OKE-ODAN II</t>
  </si>
  <si>
    <t>https://docs.inecelectionresults.net/elections_prod/1292/state/01/lga/05/ward/06/pu/017/017-1677379193.pdf</t>
  </si>
  <si>
    <t>OPEN SPACE BESIDE K &amp; S CHURCH OKE-ODAN II, Polling Unit, EGBADO SOUTH, Ogun State, Nigeria</t>
  </si>
  <si>
    <t>27-05-06-018</t>
  </si>
  <si>
    <t>R.C.M. SCHOOL IJAKO</t>
  </si>
  <si>
    <t>https://docs.inecelectionresults.net/elections_prod/1292/state/01/lga/05/ward/06/pu/018/018-1677377407.pdf</t>
  </si>
  <si>
    <t>R.C.M. SCHOOL IJAKO, Polling Unit, EGBADO SOUTH, Ogun State, Nigeria</t>
  </si>
  <si>
    <t>27-05-06-019</t>
  </si>
  <si>
    <t>R.C.M. SCHOOL OWO  I</t>
  </si>
  <si>
    <t>https://docs.inecelectionresults.net/elections_prod/1292/state/01/lga/05/ward/06/pu/019/019-1677377969.pdf</t>
  </si>
  <si>
    <t>R.C.M. SCHOOL OWO  I, Polling Unit, EGBADO SOUTH, Ogun State, Nigeria</t>
  </si>
  <si>
    <t>27-05-06-020</t>
  </si>
  <si>
    <t>R.C.M. SCHOOL OWO  II</t>
  </si>
  <si>
    <t>https://inec-cvr-cache.s3.eu-west-1.amazonaws.com/cached/results/90809/result_77814_1677519034_thumb.jpg</t>
  </si>
  <si>
    <t>R.C.M. SCHOOL OWO  II, Polling Unit, EGBADO SOUTH, Ogun State, Nigeria</t>
  </si>
  <si>
    <t>27-05-06-022</t>
  </si>
  <si>
    <t>ORISADA-EYO VILLAGE SQUARE</t>
  </si>
  <si>
    <t>https://docs.inecelectionresults.net/elections_prod/1292/state/01/lga/05/ward/06/pu/022/022-1677385275.pdf</t>
  </si>
  <si>
    <t>ORISADA-EYO VILLAGE SQUARE, Polling Unit, EGBADO SOUTH, Ogun State, Nigeria</t>
  </si>
  <si>
    <t>27-05-06-023</t>
  </si>
  <si>
    <t>OLD MARKET SQUARE</t>
  </si>
  <si>
    <t>https://docs.inecelectionresults.net/elections_prod/1292/state/01/lga/05/ward/06/pu/023/023-1677379448.pdf</t>
  </si>
  <si>
    <t>OLD MARKET SQUARE, Polling Unit, EGBADO SOUTH, Ogun State, Nigeria</t>
  </si>
  <si>
    <t>27-05-06-024</t>
  </si>
  <si>
    <t>AGOSI VILLAGE</t>
  </si>
  <si>
    <t>https://docs.inecelectionresults.net/elections_prod/1292/state/01/lga/05/ward/06/pu/024/024-1677386485.pdf</t>
  </si>
  <si>
    <t>AGOSI VILLAGE, Polling Unit, EGBADO SOUTH, Ogun State, Nigeria</t>
  </si>
  <si>
    <t>OWODE I</t>
  </si>
  <si>
    <t>27-05-07-003</t>
  </si>
  <si>
    <t>BOOTH NEAR C.A.C. CHURCH I</t>
  </si>
  <si>
    <t>https://docs.inecelectionresults.net/elections_prod/1292/state/01/lga/05/ward/07/pu/003/003-1677390387.pdf</t>
  </si>
  <si>
    <t>BOOTH NEAR C.A.C. CHURCH I, Polling Unit, EGBADO SOUTH, Ogun State, Nigeria</t>
  </si>
  <si>
    <t>27-05-07-004</t>
  </si>
  <si>
    <t>BOOTH NEAR C.A.C. CHURCH II</t>
  </si>
  <si>
    <t>https://docs.inecelectionresults.net/elections_prod/1292/state/01/lga/05/ward/07/pu/004/004-1677398830.pdf</t>
  </si>
  <si>
    <t>BOOTH NEAR C.A.C. CHURCH II, Polling Unit, EGBADO SOUTH, Ogun State, Nigeria</t>
  </si>
  <si>
    <t>27-05-07-006</t>
  </si>
  <si>
    <t>NEAR CHURCH OF THE LORD ALADURA II</t>
  </si>
  <si>
    <t>https://docs.inecelectionresults.net/elections_prod/1292/state/01/lga/05/ward/07/pu/006/006-1677401309.pdf</t>
  </si>
  <si>
    <t>NEAR CHURCH OF THE LORD ALADURA II, Polling Unit, EGBADO SOUTH, Ogun State, Nigeria</t>
  </si>
  <si>
    <t>27-05-07-007</t>
  </si>
  <si>
    <t>COMM. TOWN HALL, OWODE I</t>
  </si>
  <si>
    <t>https://docs.inecelectionresults.net/elections_prod/1292/state/01/lga/05/ward/07/pu/007/007-1677389556.pdf</t>
  </si>
  <si>
    <t>COMM. TOWN HALL, OWODE I, Polling Unit, EGBADO SOUTH, Ogun State, Nigeria</t>
  </si>
  <si>
    <t>27-05-07-008</t>
  </si>
  <si>
    <t>COMM. TOWN HALL, OWOD II</t>
  </si>
  <si>
    <t>https://docs.inecelectionresults.net/elections_prod/1292/state/01/lga/05/ward/07/pu/008/008-1677401337.pdf</t>
  </si>
  <si>
    <t>COMM. TOWN HALL, OWOD II, Polling Unit, EGBADO SOUTH, Ogun State, Nigeria</t>
  </si>
  <si>
    <t>27-05-07-009</t>
  </si>
  <si>
    <t>NEAR AHMADIYYA MOSQUE OWODE I</t>
  </si>
  <si>
    <t>https://docs.inecelectionresults.net/elections_prod/1292/state/01/lga/05/ward/07/pu/009/009-1677399168.pdf</t>
  </si>
  <si>
    <t>NEAR AHMADIYYA MOSQUE OWODE I, Polling Unit, EGBADO SOUTH, Ogun State, Nigeria</t>
  </si>
  <si>
    <t>27-05-07-012</t>
  </si>
  <si>
    <t>OPP. HE-GOAT MARKET, OWODE II</t>
  </si>
  <si>
    <t>https://docs.inecelectionresults.net/elections_prod/1292/state/01/lga/05/ward/07/pu/012/012-1677379407.pdf</t>
  </si>
  <si>
    <t>OPP. HE-GOAT MARKET, OWODE II, Polling Unit, EGBADO SOUTH, Ogun State, Nigeria</t>
  </si>
  <si>
    <t>27-05-07-013</t>
  </si>
  <si>
    <t>OWODE NEAR MARKET</t>
  </si>
  <si>
    <t>https://docs.inecelectionresults.net/elections_prod/1292/state/01/lga/05/ward/07/pu/013/013-1677400926.pdf</t>
  </si>
  <si>
    <t>OWODE NEAR MARKET, Polling Unit, EGBADO SOUTH, Ogun State, Nigeria</t>
  </si>
  <si>
    <t>27-05-07-014</t>
  </si>
  <si>
    <t>ARMY CHILDREN SCHOOL OWODE I</t>
  </si>
  <si>
    <t>https://docs.inecelectionresults.net/elections_prod/1292/state/01/lga/05/ward/07/pu/014/014-1677397973.pdf</t>
  </si>
  <si>
    <t>ARMY CHILDREN SCHOOL OWODE I, Polling Unit, EGBADO SOUTH, Ogun State, Nigeria</t>
  </si>
  <si>
    <t>27-05-07-015</t>
  </si>
  <si>
    <t>ARMY CHILDREN SCHOOL OWODE II</t>
  </si>
  <si>
    <t>https://docs.inecelectionresults.net/elections_prod/1292/state/01/lga/05/ward/07/pu/015/015-1677394337.pdf</t>
  </si>
  <si>
    <t>ARMY CHILDREN SCHOOL OWODE II, Polling Unit, EGBADO SOUTH, Ogun State, Nigeria</t>
  </si>
  <si>
    <t>27-05-07-016</t>
  </si>
  <si>
    <t>OLD SLAUGHTER'S SLAB</t>
  </si>
  <si>
    <t>https://docs.inecelectionresults.net/elections_prod/1292/state/01/lga/05/ward/07/pu/016/016-1677393063.pdf</t>
  </si>
  <si>
    <t>OLD SLAUGHTER'S SLAB, Polling Unit, EGBADO SOUTH, Ogun State, Nigeria</t>
  </si>
  <si>
    <t>27-05-07-017</t>
  </si>
  <si>
    <t>BOOTH AT IREPODUN SQUARE</t>
  </si>
  <si>
    <t>https://docs.inecelectionresults.net/elections_prod/1292/state/01/lga/05/ward/07/pu/017/017-1677400338.pdf</t>
  </si>
  <si>
    <t>BOOTH AT IREPODUN SQUARE, Polling Unit, EGBADO SOUTH, Ogun State, Nigeria</t>
  </si>
  <si>
    <t>27-05-07-018</t>
  </si>
  <si>
    <t>ARMY CHILDREN SCHOOL III</t>
  </si>
  <si>
    <t>https://docs.inecelectionresults.net/elections_prod/1292/state/01/lga/05/ward/07/pu/018/018-1677384233.pdf</t>
  </si>
  <si>
    <t>ARMY CHILDREN SCHOOL III, Polling Unit, EGBADO SOUTH, Ogun State, Nigeria</t>
  </si>
  <si>
    <t>27-05-07-019</t>
  </si>
  <si>
    <t>MORICAS ARABIC SCH AGO-EGUN (OPP)</t>
  </si>
  <si>
    <t>https://docs.inecelectionresults.net/elections_prod/1292/state/01/lga/05/ward/07/pu/019/019-1677386567.pdf</t>
  </si>
  <si>
    <t>MORICAS ARABIC SCH AGO-EGUN (OPP), Polling Unit, EGBADO SOUTH, Ogun State, Nigeria</t>
  </si>
  <si>
    <t>27-05-07-020</t>
  </si>
  <si>
    <t>FRONT OF SEYE'S BAKERY</t>
  </si>
  <si>
    <t>https://docs.inecelectionresults.net/elections_prod/1292/state/01/lga/05/ward/07/pu/020/020-1677400847.pdf</t>
  </si>
  <si>
    <t>FRONT OF SEYE'S BAKERY, Polling Unit, EGBADO SOUTH, Ogun State, Nigeria</t>
  </si>
  <si>
    <t>OWODE II</t>
  </si>
  <si>
    <t>27-05-08-001</t>
  </si>
  <si>
    <t>BOOTH AT AMULE-KANGBO SQUARE I</t>
  </si>
  <si>
    <t>https://docs.inecelectionresults.net/elections_prod/1292/state/01/lga/05/ward/08/pu/001/001-1677376470.pdf</t>
  </si>
  <si>
    <t>BOOTH AT AMULE-KANGBO SQUARE I, Polling Unit, EGBADO SOUTH, Ogun State, Nigeria</t>
  </si>
  <si>
    <t>27-05-08-002</t>
  </si>
  <si>
    <t>BOOTH AT AMULE-KANGBO SQUARE II</t>
  </si>
  <si>
    <t>https://docs.inecelectionresults.net/elections_prod/1292/state/01/lga/05/ward/08/pu/002/002-1677373456.pdf</t>
  </si>
  <si>
    <t>BOOTH AT AMULE-KANGBO SQUARE II, Polling Unit, EGBADO SOUTH, Ogun State, Nigeria</t>
  </si>
  <si>
    <t>27-05-08-003</t>
  </si>
  <si>
    <t>BOOTH AT POST OFFICE OWODE I</t>
  </si>
  <si>
    <t>https://docs.inecelectionresults.net/elections_prod/1292/state/01/lga/05/ward/08/pu/003/003-1677373624.pdf</t>
  </si>
  <si>
    <t>BOOTH AT POST OFFICE OWODE I, Polling Unit, EGBADO SOUTH, Ogun State, Nigeria</t>
  </si>
  <si>
    <t>27-05-08-005</t>
  </si>
  <si>
    <t>OPEN SPACE NEAR METHODIST I, SABO</t>
  </si>
  <si>
    <t>https://docs.inecelectionresults.net/elections_prod/1292/state/01/lga/05/ward/08/pu/005/005-1677373099.pdf</t>
  </si>
  <si>
    <t>OPEN SPACE NEAR METHODIST I, SABO, Polling Unit, EGBADO SOUTH, Ogun State, Nigeria</t>
  </si>
  <si>
    <t>27-05-08-006</t>
  </si>
  <si>
    <t>OPEN SPACE NEAR METHODIST II, SABO</t>
  </si>
  <si>
    <t>https://docs.inecelectionresults.net/elections_prod/1292/state/01/lga/05/ward/08/pu/006/006-1677378990.pdf</t>
  </si>
  <si>
    <t>OPEN SPACE NEAR METHODIST II, SABO, Polling Unit, EGBADO SOUTH, Ogun State, Nigeria</t>
  </si>
  <si>
    <t>27-05-08-007</t>
  </si>
  <si>
    <t>E.S.L.G. SCHOOL OWODE</t>
  </si>
  <si>
    <t>https://docs.inecelectionresults.net/elections_prod/1292/state/01/lga/05/ward/08/pu/007/007-1677370613.pdf</t>
  </si>
  <si>
    <t>E.S.L.G. SCHOOL OWODE, Polling Unit, EGBADO SOUTH, Ogun State, Nigeria</t>
  </si>
  <si>
    <t>27-05-08-008</t>
  </si>
  <si>
    <t>OPEN SPACE AT APOSTOLIC 4-CORNER AREA I</t>
  </si>
  <si>
    <t>https://docs.inecelectionresults.net/elections_prod/1292/state/01/lga/05/ward/08/pu/008/008-1677378873.pdf</t>
  </si>
  <si>
    <t>OPEN SPACE AT APOSTOLIC 4-CORNER AREA I, Polling Unit, EGBADO SOUTH, Ogun State, Nigeria</t>
  </si>
  <si>
    <t>27-05-08-009</t>
  </si>
  <si>
    <t>OPEN SPACE AT APOSTOLIC 4-CORNER AREA II</t>
  </si>
  <si>
    <t>https://docs.inecelectionresults.net/elections_prod/1292/state/01/lga/05/ward/08/pu/009/009-1677374735.pdf</t>
  </si>
  <si>
    <t>OPEN SPACE AT APOSTOLIC 4-CORNER AREA II, Polling Unit, EGBADO SOUTH, Ogun State, Nigeria</t>
  </si>
  <si>
    <t>27-05-08-010</t>
  </si>
  <si>
    <t>COMM. PRIMARY SCHOOL OWODE I</t>
  </si>
  <si>
    <t>https://docs.inecelectionresults.net/elections_prod/1292/state/01/lga/05/ward/08/pu/010/010-1677371609.pdf</t>
  </si>
  <si>
    <t>COMM. PRIMARY SCHOOL OWODE I, Polling Unit, EGBADO SOUTH, Ogun State, Nigeria</t>
  </si>
  <si>
    <t>27-05-08-011</t>
  </si>
  <si>
    <t>COMM. PRIMARY SCHOOL OWODE II</t>
  </si>
  <si>
    <t>https://docs.inecelectionresults.net/elections_prod/1292/state/01/lga/05/ward/08/pu/011/011-1677379465.pdf</t>
  </si>
  <si>
    <t>COMM. PRIMARY SCHOOL OWODE II, Polling Unit, EGBADO SOUTH, Ogun State, Nigeria</t>
  </si>
  <si>
    <t>27-05-08-012</t>
  </si>
  <si>
    <t>AREA COMM. HIGH SCHOOL OWODE  I</t>
  </si>
  <si>
    <t>https://docs.inecelectionresults.net/elections_prod/1292/state/01/lga/05/ward/08/pu/012/012-1677376180.pdf</t>
  </si>
  <si>
    <t>AREA COMM. HIGH SCHOOL OWODE  I, Polling Unit, EGBADO SOUTH, Ogun State, Nigeria</t>
  </si>
  <si>
    <t>27-05-08-013</t>
  </si>
  <si>
    <t>AREA COMM. HIGH SCHOOL OWODE II</t>
  </si>
  <si>
    <t>https://docs.inecelectionresults.net/elections_prod/1292/state/01/lga/05/ward/08/pu/013/013-1677375503.pdf</t>
  </si>
  <si>
    <t>AREA COMM. HIGH SCHOOL OWODE II, Polling Unit, EGBADO SOUTH, Ogun State, Nigeria</t>
  </si>
  <si>
    <t>27-05-08-015</t>
  </si>
  <si>
    <t>OLD SABO MARKET OWODE  I</t>
  </si>
  <si>
    <t>https://docs.inecelectionresults.net/elections_prod/1292/state/01/lga/05/ward/08/pu/015/015-1677378599.pdf</t>
  </si>
  <si>
    <t>OLD SABO MARKET OWODE  I, Polling Unit, EGBADO SOUTH, Ogun State, Nigeria</t>
  </si>
  <si>
    <t>27-05-08-016</t>
  </si>
  <si>
    <t>OLD SABO MARKET OWODE II</t>
  </si>
  <si>
    <t>https://docs.inecelectionresults.net/elections_prod/1292/state/01/lga/05/ward/08/pu/016/016-1677372285.pdf</t>
  </si>
  <si>
    <t>OLD SABO MARKET OWODE II, Polling Unit, EGBADO SOUTH, Ogun State, Nigeria</t>
  </si>
  <si>
    <t>27-05-08-017</t>
  </si>
  <si>
    <t>BOOTH AT OLD R.C.C. ADO-ODO ROAD</t>
  </si>
  <si>
    <t>https://docs.inecelectionresults.net/elections_prod/1292/state/01/lga/05/ward/08/pu/017/017-1677376618.pdf</t>
  </si>
  <si>
    <t>BOOTH AT OLD R.C.C. ADO-ODO ROAD, Polling Unit, EGBADO SOUTH, Ogun State, Nigeria</t>
  </si>
  <si>
    <t>ILOBI/ERINJA</t>
  </si>
  <si>
    <t>27-05-09-001</t>
  </si>
  <si>
    <t>DISPENSARY OKE-ERINJA</t>
  </si>
  <si>
    <t>https://docs.inecelectionresults.net/elections_prod/1292/state/01/lga/05/ward/09/pu/001/001-1677403777.pdf</t>
  </si>
  <si>
    <t>DISPENSARY OKE-ERINJA, Polling Unit, EGBADO SOUTH, Ogun State, Nigeria</t>
  </si>
  <si>
    <t>27-05-09-002</t>
  </si>
  <si>
    <t>OPEN SPACE AT ERINJA-ILE</t>
  </si>
  <si>
    <t>https://docs.inecelectionresults.net/elections_prod/1292/state/01/lga/05/ward/09/pu/002/002-1677405768.pdf</t>
  </si>
  <si>
    <t>OPEN SPACE AT ERINJA-ILE, Polling Unit, EGBADO SOUTH, Ogun State, Nigeria</t>
  </si>
  <si>
    <t>27-05-09-004</t>
  </si>
  <si>
    <t>C.A.C. SCHOOL OKO-BABA</t>
  </si>
  <si>
    <t>https://docs.inecelectionresults.net/elections_prod/1292/state/01/lga/05/ward/09/pu/004/004-1677385540.pdf</t>
  </si>
  <si>
    <t>C.A.C. SCHOOL OKO-BABA, Polling Unit, EGBADO SOUTH, Ogun State, Nigeria</t>
  </si>
  <si>
    <t>27-05-09-005</t>
  </si>
  <si>
    <t>E.S.L.G. SCHOOL ALAGBON  I</t>
  </si>
  <si>
    <t>https://docs.inecelectionresults.net/elections_prod/1292/state/01/lga/05/ward/09/pu/005/005-1677406372.pdf</t>
  </si>
  <si>
    <t>E.S.L.G. SCHOOL ALAGBON  I, Polling Unit, EGBADO SOUTH, Ogun State, Nigeria</t>
  </si>
  <si>
    <t>27-05-09-006</t>
  </si>
  <si>
    <t>E.S.L.G. SCHOOL ALAGBON  II</t>
  </si>
  <si>
    <t>https://docs.inecelectionresults.net/elections_prod/1292/state/01/lga/05/ward/09/pu/006/006-1677387309.pdf</t>
  </si>
  <si>
    <t>E.S.L.G. SCHOOL ALAGBON  II, Polling Unit, EGBADO SOUTH, Ogun State, Nigeria</t>
  </si>
  <si>
    <t>27-05-09-007</t>
  </si>
  <si>
    <t>E.S.L.G. SCHOOL ALAGBON III</t>
  </si>
  <si>
    <t>https://docs.inecelectionresults.net/elections_prod/1292/state/01/lga/05/ward/09/pu/007/007-1677405552.pdf</t>
  </si>
  <si>
    <t>E.S.L.G. SCHOOL ALAGBON III, Polling Unit, EGBADO SOUTH, Ogun State, Nigeria</t>
  </si>
  <si>
    <t>27-05-09-009</t>
  </si>
  <si>
    <t>OPP. MARKET GARAGE</t>
  </si>
  <si>
    <t>https://inec-cvr-cache.s3.eu-west-1.amazonaws.com/cached/results/90859/result_77889_1677529009_thumb.jpg</t>
  </si>
  <si>
    <t>OPP. MARKET GARAGE, Polling Unit, EGBADO SOUTH, Ogun State, Nigeria</t>
  </si>
  <si>
    <t>27-05-09-010</t>
  </si>
  <si>
    <t>E.S.L.G. SCHOOL ERINJA ORILE</t>
  </si>
  <si>
    <t>https://docs.inecelectionresults.net/elections_prod/1292/state/01/lga/05/ward/09/pu/010/010-1677405655.pdf</t>
  </si>
  <si>
    <t>E.S.L.G. SCHOOL ERINJA ORILE, Polling Unit, EGBADO SOUTH, Ogun State, Nigeria</t>
  </si>
  <si>
    <t>AJILETE</t>
  </si>
  <si>
    <t>27-05-10-001</t>
  </si>
  <si>
    <t>CUSTOMARY COURT HALL AJILETE  I</t>
  </si>
  <si>
    <t>https://docs.inecelectionresults.net/elections_prod/1292/state/01/lga/05/ward/10/pu/001/001-1677370669.pdf</t>
  </si>
  <si>
    <t>CUSTOMARY COURT HALL AJILETE  I, Polling Unit, EGBADO SOUTH, Ogun State, Nigeria</t>
  </si>
  <si>
    <t>27-05-10-003</t>
  </si>
  <si>
    <t>A.U.D. SCHOOL AJILETE  I</t>
  </si>
  <si>
    <t>https://docs.inecelectionresults.net/elections_prod/1292/state/01/lga/05/ward/10/pu/003/003-1677371185.pdf</t>
  </si>
  <si>
    <t>A.U.D. SCHOOL AJILETE  I, Polling Unit, EGBADO SOUTH, Ogun State, Nigeria</t>
  </si>
  <si>
    <t>27-05-10-004</t>
  </si>
  <si>
    <t>A.U.D. SCHOOL AJILETE  II</t>
  </si>
  <si>
    <t>https://docs.inecelectionresults.net/elections_prod/1292/state/01/lga/05/ward/10/pu/004/004-1677378609.pdf</t>
  </si>
  <si>
    <t>A.U.D. SCHOOL AJILETE  II, Polling Unit, EGBADO SOUTH, Ogun State, Nigeria</t>
  </si>
  <si>
    <t>27-05-10-005</t>
  </si>
  <si>
    <t>ST. JOHN'S SCHOOL AJILETE I</t>
  </si>
  <si>
    <t>https://docs.inecelectionresults.net/elections_prod/1292/state/01/lga/05/ward/10/pu/005/005-1677371742.pdf</t>
  </si>
  <si>
    <t>ST. JOHN'S SCHOOL AJILETE I, Polling Unit, EGBADO SOUTH, Ogun State, Nigeria</t>
  </si>
  <si>
    <t>27-05-10-008</t>
  </si>
  <si>
    <t>APOSTOLIC CHURCH 4-CORNER AREA I</t>
  </si>
  <si>
    <t>https://docs.inecelectionresults.net/elections_prod/1292/state/01/lga/05/ward/10/pu/008/008-1677370723.pdf</t>
  </si>
  <si>
    <t>APOSTOLIC CHURCH 4-CORNER AREA I, Polling Unit, EGBADO SOUTH, Ogun State, Nigeria</t>
  </si>
  <si>
    <t>27-05-10-009</t>
  </si>
  <si>
    <t>APOSTOLIC CHURCH 4-CORNER AREA II</t>
  </si>
  <si>
    <t>https://inec-cvr-cache.s3.eu-west-1.amazonaws.com/cached/results/90869/result_77910_1677514888_thumb.jpg</t>
  </si>
  <si>
    <t>APOSTOLIC CHURCH 4-CORNER AREA II, Polling Unit, EGBADO SOUTH, Ogun State, Nigeria</t>
  </si>
  <si>
    <t>27-05-10-010</t>
  </si>
  <si>
    <t>E.S.L.G. SCHOOL KAJOLA</t>
  </si>
  <si>
    <t>https://docs.inecelectionresults.net/elections_prod/1292/state/01/lga/05/ward/10/pu/010/010-1677372817.pdf</t>
  </si>
  <si>
    <t>E.S.L.G. SCHOOL KAJOLA, Polling Unit, EGBADO SOUTH, Ogun State, Nigeria</t>
  </si>
  <si>
    <t>27-05-10-011</t>
  </si>
  <si>
    <t>BOOTH AT OJU-OTA SQUARE</t>
  </si>
  <si>
    <t>https://docs.inecelectionresults.net/elections_prod/1292/state/01/lga/05/ward/10/pu/011/011-1677378082.pdf</t>
  </si>
  <si>
    <t>BOOTH AT OJU-OTA SQUARE, Polling Unit, EGBADO SOUTH, Ogun State, Nigeria</t>
  </si>
  <si>
    <t>27-05-10-012</t>
  </si>
  <si>
    <t>COMM. PRIMARY SCHOOL IBIO</t>
  </si>
  <si>
    <t>https://docs.inecelectionresults.net/elections_prod/1292/state/01/lga/05/ward/10/pu/012/012-1677370781.pdf</t>
  </si>
  <si>
    <t>COMM. PRIMARY SCHOOL IBIO, Polling Unit, EGBADO SOUTH, Ogun State, Nigeria</t>
  </si>
  <si>
    <t>27-05-10-013</t>
  </si>
  <si>
    <t>DISPENSARY EREDO</t>
  </si>
  <si>
    <t>https://docs.inecelectionresults.net/elections_prod/1292/state/01/lga/05/ward/10/pu/013/013-1677371509.pdf</t>
  </si>
  <si>
    <t>DISPENSARY EREDO, Polling Unit, EGBADO SOUTH, Ogun State, Nigeria</t>
  </si>
  <si>
    <t>27-05-10-014</t>
  </si>
  <si>
    <t>BOOTH BESIDE A/C AJILETE</t>
  </si>
  <si>
    <t>https://docs.inecelectionresults.net/elections_prod/1292/state/01/lga/05/ward/10/pu/014/014-1677372222.pdf</t>
  </si>
  <si>
    <t>BOOTH BESIDE A/C AJILETE, Polling Unit, EGBADO SOUTH, Ogun State, Nigeria</t>
  </si>
  <si>
    <t>27-05-10-015</t>
  </si>
  <si>
    <t>BESIDE AGO-EYO MOSQUE I</t>
  </si>
  <si>
    <t>https://docs.inecelectionresults.net/elections_prod/1292/state/01/lga/05/ward/10/pu/015/015-1677381499.pdf</t>
  </si>
  <si>
    <t>BESIDE AGO-EYO MOSQUE I, Polling Unit, EGBADO SOUTH, Ogun State, Nigeria</t>
  </si>
  <si>
    <t>27-05-10-017</t>
  </si>
  <si>
    <t>ORI-OKUTA SQUARE ILARO QUARTERS</t>
  </si>
  <si>
    <t>https://docs.inecelectionresults.net/elections_prod/1292/state/01/lga/05/ward/10/pu/017/017-1677371032.pdf</t>
  </si>
  <si>
    <t>ORI-OKUTA SQUARE ILARO QUARTERS, Polling Unit, EGBADO SOUTH, Ogun State, Nigeria</t>
  </si>
  <si>
    <t>27-05-10-018</t>
  </si>
  <si>
    <t>ST. JOHN'S SCHOOL BLOCK II</t>
  </si>
  <si>
    <t>https://docs.inecelectionresults.net/elections_prod/1292/state/01/lga/05/ward/10/pu/018/018-1677373513.pdf</t>
  </si>
  <si>
    <t>ST. JOHN'S SCHOOL BLOCK II, Polling Unit, EGBADO SOUTH, Ogun State, Nigeria</t>
  </si>
  <si>
    <t>EWEKORO</t>
  </si>
  <si>
    <t>ABALABI</t>
  </si>
  <si>
    <t>27-06-01-001</t>
  </si>
  <si>
    <t>COMMUNITY HALL ABALABI  I</t>
  </si>
  <si>
    <t>https://docs.inecelectionresults.net/elections_prod/1292/state/01/lga/06/ward/01/pu/001/001-1677399681.pdf</t>
  </si>
  <si>
    <t>COMMUNITY HALL ABALABI  I, Polling Unit, EWEKORO, Ogun State, Nigeria</t>
  </si>
  <si>
    <t>27-06-01-002</t>
  </si>
  <si>
    <t>COMMUNITY HALL ABALABI  II</t>
  </si>
  <si>
    <t>https://docs.inecelectionresults.net/elections_prod/1292/state/01/lga/06/ward/01/pu/002/002-1677393486.pdf</t>
  </si>
  <si>
    <t>COMMUNITY HALL ABALABI  II, Polling Unit, EWEKORO, Ogun State, Nigeria</t>
  </si>
  <si>
    <t>27-06-01-003</t>
  </si>
  <si>
    <t>SCHOOL PREM SOJUOLU I</t>
  </si>
  <si>
    <t>https://docs.inecelectionresults.net/elections_prod/1292/state/01/lga/06/ward/01/pu/003/003-1677396421.pdf</t>
  </si>
  <si>
    <t>SCHOOL PREM SOJUOLU I, Polling Unit, EWEKORO, Ogun State, Nigeria</t>
  </si>
  <si>
    <t>27-06-01-004</t>
  </si>
  <si>
    <t>SCHOOL PREM SOJUOLU II</t>
  </si>
  <si>
    <t>https://docs.inecelectionresults.net/elections_prod/1292/state/01/lga/06/ward/01/pu/004/004-1677397612.pdf</t>
  </si>
  <si>
    <t>SCHOOL PREM SOJUOLU II, Polling Unit, EWEKORO, Ogun State, Nigeria</t>
  </si>
  <si>
    <t>27-06-01-005</t>
  </si>
  <si>
    <t>ST. PAUL ANG. SCH. SOJUOLU I</t>
  </si>
  <si>
    <t>https://docs.inecelectionresults.net/elections_prod/1292/state/01/lga/06/ward/01/pu/005/005-1677398602.pdf</t>
  </si>
  <si>
    <t>ST. PAUL ANG. SCH. SOJUOLU I, Polling Unit, EWEKORO, Ogun State, Nigeria</t>
  </si>
  <si>
    <t>27-06-01-006</t>
  </si>
  <si>
    <t>ST. PAUL ANG. SCH. SOJUOLU II</t>
  </si>
  <si>
    <t>https://docs.inecelectionresults.net/elections_prod/1292/state/01/lga/06/ward/01/pu/006/006-1677397149.pdf</t>
  </si>
  <si>
    <t>ST. PAUL ANG. SCH. SOJUOLU II, Polling Unit, EWEKORO, Ogun State, Nigeria</t>
  </si>
  <si>
    <t>27-06-01-007</t>
  </si>
  <si>
    <t>UNITED SCHOOL OLORUNDA STATION</t>
  </si>
  <si>
    <t>https://docs.inecelectionresults.net/elections_prod/1292/state/01/lga/06/ward/01/pu/007/007-1677399482.pdf</t>
  </si>
  <si>
    <t>UNITED SCHOOL OLORUNDA STATION, Polling Unit, EWEKORO, Ogun State, Nigeria</t>
  </si>
  <si>
    <t>27-06-01-008</t>
  </si>
  <si>
    <t>TOWN HALL OLORUNDA I</t>
  </si>
  <si>
    <t>https://docs.inecelectionresults.net/elections_prod/1292/state/01/lga/06/ward/01/pu/008/008-1677390025.pdf</t>
  </si>
  <si>
    <t>TOWN HALL OLORUNDA I, Polling Unit, EWEKORO, Ogun State, Nigeria</t>
  </si>
  <si>
    <t>27-06-01-009</t>
  </si>
  <si>
    <t>TOWN HALL OLORUNDA II</t>
  </si>
  <si>
    <t>https://docs.inecelectionresults.net/elections_prod/1292/state/01/lga/06/ward/01/pu/009/009-1677388141.pdf</t>
  </si>
  <si>
    <t>TOWN HALL OLORUNDA II, Polling Unit, EWEKORO, Ogun State, Nigeria</t>
  </si>
  <si>
    <t>27-06-01-010</t>
  </si>
  <si>
    <t>L.G. SCHOOL OPEYAKA I</t>
  </si>
  <si>
    <t>https://docs.inecelectionresults.net/elections_prod/1292/state/01/lga/06/ward/01/pu/010/010-1677398847.pdf</t>
  </si>
  <si>
    <t>L.G. SCHOOL OPEYAKA I, Polling Unit, EWEKORO, Ogun State, Nigeria</t>
  </si>
  <si>
    <t>27-06-01-011</t>
  </si>
  <si>
    <t>L.G. SCHOOL OPEYAKA II</t>
  </si>
  <si>
    <t>https://docs.inecelectionresults.net/elections_prod/1292/state/01/lga/06/ward/01/pu/011/011-1677400076.pdf</t>
  </si>
  <si>
    <t>L.G. SCHOOL OPEYAKA II, Polling Unit, EWEKORO, Ogun State, Nigeria</t>
  </si>
  <si>
    <t>27-06-01-012</t>
  </si>
  <si>
    <t>BAPT SCH. IDI AGA</t>
  </si>
  <si>
    <t>https://docs.inecelectionresults.net/elections_prod/1292/state/01/lga/06/ward/01/pu/012/012-1677395825.pdf</t>
  </si>
  <si>
    <t>BAPT SCH. IDI AGA, Polling Unit, EWEKORO, Ogun State, Nigeria</t>
  </si>
  <si>
    <t>27-06-01-015</t>
  </si>
  <si>
    <t>AFRICAN CHURCH SCH.AJEGUNLE III</t>
  </si>
  <si>
    <t>https://docs.inecelectionresults.net/elections_prod/1292/state/01/lga/06/ward/01/pu/015/015-1677392947.pdf</t>
  </si>
  <si>
    <t>AFRICAN CHURCH SCH.AJEGUNLE III, Polling Unit, EWEKORO, Ogun State, Nigeria</t>
  </si>
  <si>
    <t>27-06-01-016</t>
  </si>
  <si>
    <t>OPEN SPACE NEAR TOWN HALL, ABALABI</t>
  </si>
  <si>
    <t>https://docs.inecelectionresults.net/elections_prod/1292/state/01/lga/06/ward/01/pu/016/016-1677390649.pdf</t>
  </si>
  <si>
    <t>OPEN SPACE NEAR TOWN HALL, ABALABI, Polling Unit, EWEKORO, Ogun State, Nigeria</t>
  </si>
  <si>
    <t>27-06-01-018</t>
  </si>
  <si>
    <t>OPEN SPACE AT IGBO-AJE  VILLAGE,OLOKUTA</t>
  </si>
  <si>
    <t>https://docs.inecelectionresults.net/elections_prod/1292/state/01/lga/06/ward/01/pu/018/018-1677399404.pdf</t>
  </si>
  <si>
    <t>OPEN SPACE AT IGBO-AJE  VILLAGE,OLOKUTA, Polling Unit, EWEKORO, Ogun State, Nigeria</t>
  </si>
  <si>
    <t>27-06-01-019</t>
  </si>
  <si>
    <t>SCH PREMISES OTEYI ALAGBEDE</t>
  </si>
  <si>
    <t>https://docs.inecelectionresults.net/elections_prod/1292/state/01/lga/06/ward/01/pu/019/019-1677391853.pdf</t>
  </si>
  <si>
    <t>SCH PREMISES OTEYI ALAGBEDE, Polling Unit, EWEKORO, Ogun State, Nigeria</t>
  </si>
  <si>
    <t>ASA/YOBO</t>
  </si>
  <si>
    <t>27-06-02-003</t>
  </si>
  <si>
    <t>OPEN SPACE AT ASA TEPEDE</t>
  </si>
  <si>
    <t>https://docs.inecelectionresults.net/elections_prod/1292/state/01/lga/06/ward/02/pu/003/003-1677390874.pdf</t>
  </si>
  <si>
    <t>OPEN SPACE AT ASA TEPEDE, Polling Unit, EWEKORO, Ogun State, Nigeria</t>
  </si>
  <si>
    <t>27-06-02-006</t>
  </si>
  <si>
    <t>ASA OLOWO</t>
  </si>
  <si>
    <t>https://docs.inecelectionresults.net/elections_prod/1292/state/01/lga/06/ward/02/pu/006/006-1677395973.pdf</t>
  </si>
  <si>
    <t>ASA OLOWO, Polling Unit, EWEKORO, Ogun State, Nigeria</t>
  </si>
  <si>
    <t>27-06-02-009</t>
  </si>
  <si>
    <t>OPEN SPACE AT ISALE EGBA AGODO TOWN</t>
  </si>
  <si>
    <t>https://docs.inecelectionresults.net/elections_prod/1292/state/01/lga/06/ward/02/pu/009/009-1677392292.pdf</t>
  </si>
  <si>
    <t>OPEN SPACE AT ISALE EGBA AGODO TOWN, Polling Unit, EWEKORO, Ogun State, Nigeria</t>
  </si>
  <si>
    <t>27-06-02-010</t>
  </si>
  <si>
    <t>OPEN SPACE AT ABULE ADAFUNE AGODO</t>
  </si>
  <si>
    <t>https://docs.inecelectionresults.net/elections_prod/1292/state/01/lga/06/ward/02/pu/010/010-1677391403.pdf</t>
  </si>
  <si>
    <t>OPEN SPACE AT ABULE ADAFUNE AGODO, Polling Unit, EWEKORO, Ogun State, Nigeria</t>
  </si>
  <si>
    <t>ARIGBAJO</t>
  </si>
  <si>
    <t>27-06-03-001</t>
  </si>
  <si>
    <t>U.D.C. SCHOOL ARIGBAJO  I</t>
  </si>
  <si>
    <t>https://docs.inecelectionresults.net/elections_prod/1292/state/01/lga/06/ward/03/pu/001/001-1677392527.pdf</t>
  </si>
  <si>
    <t>U.D.C. SCHOOL ARIGBAJO  I, Polling Unit, EWEKORO, Ogun State, Nigeria</t>
  </si>
  <si>
    <t>27-06-03-002</t>
  </si>
  <si>
    <t>U.D.C. SCHOOL ARIGBAJO  II</t>
  </si>
  <si>
    <t>https://docs.inecelectionresults.net/elections_prod/1292/state/01/lga/06/ward/03/pu/002/002-1677397733.pdf</t>
  </si>
  <si>
    <t>U.D.C. SCHOOL ARIGBAJO  II, Polling Unit, EWEKORO, Ogun State, Nigeria</t>
  </si>
  <si>
    <t>27-06-03-003</t>
  </si>
  <si>
    <t>OKO KOGBODOKU</t>
  </si>
  <si>
    <t>https://docs.inecelectionresults.net/elections_prod/1292/state/01/lga/06/ward/03/pu/003/003-1677393778.pdf</t>
  </si>
  <si>
    <t>OKO KOGBODOKU, Polling Unit, EWEKORO, Ogun State, Nigeria</t>
  </si>
  <si>
    <t>27-06-03-004</t>
  </si>
  <si>
    <t>L.G. SCHOOL EJIO</t>
  </si>
  <si>
    <t>https://docs.inecelectionresults.net/elections_prod/1292/state/01/lga/06/ward/03/pu/004/004-1677395224.pdf</t>
  </si>
  <si>
    <t>L.G. SCHOOL EJIO, Polling Unit, EWEKORO, Ogun State, Nigeria</t>
  </si>
  <si>
    <t>27-06-03-005</t>
  </si>
  <si>
    <t>OPEN SPACE AT SODERU</t>
  </si>
  <si>
    <t>https://docs.inecelectionresults.net/elections_prod/1292/state/01/lga/06/ward/03/pu/005/005-1677391966.pdf</t>
  </si>
  <si>
    <t>OPEN SPACE AT SODERU, Polling Unit, EWEKORO, Ogun State, Nigeria</t>
  </si>
  <si>
    <t>27-06-03-006</t>
  </si>
  <si>
    <t>OPEN SPACE AT APOMU</t>
  </si>
  <si>
    <t>https://docs.inecelectionresults.net/elections_prod/1292/state/01/lga/06/ward/03/pu/006/006-1677396702.pdf</t>
  </si>
  <si>
    <t>OPEN SPACE AT APOMU, Polling Unit, EWEKORO, Ogun State, Nigeria</t>
  </si>
  <si>
    <t>27-06-03-007</t>
  </si>
  <si>
    <t>METHODIST SCHOOL ABESE</t>
  </si>
  <si>
    <t>https://docs.inecelectionresults.net/elections_prod/1292/state/01/lga/06/ward/03/pu/007/007-1677391487.pdf</t>
  </si>
  <si>
    <t>METHODIST SCHOOL ABESE, Polling Unit, EWEKORO, Ogun State, Nigeria</t>
  </si>
  <si>
    <t>27-06-03-008</t>
  </si>
  <si>
    <t>OPEN SPACE AT ELEBUTE VILLAGE SQUARE</t>
  </si>
  <si>
    <t>https://docs.inecelectionresults.net/elections_prod/1292/state/01/lga/06/ward/03/pu/008/008-1677397722.pdf</t>
  </si>
  <si>
    <t>OPEN SPACE AT ELEBUTE VILLAGE SQUARE, Polling Unit, EWEKORO, Ogun State, Nigeria</t>
  </si>
  <si>
    <t>ITORI</t>
  </si>
  <si>
    <t>27-06-04-001</t>
  </si>
  <si>
    <t>MARKET SQUARE ITORI I</t>
  </si>
  <si>
    <t>https://docs.inecelectionresults.net/elections_prod/1292/state/01/lga/06/ward/04/pu/001/001-1677402451.pdf</t>
  </si>
  <si>
    <t>MARKET SQUARE ITORI I, Polling Unit, EWEKORO, Ogun State, Nigeria</t>
  </si>
  <si>
    <t>27-06-04-002</t>
  </si>
  <si>
    <t>MARKET SQUARE ITORI II</t>
  </si>
  <si>
    <t>https://docs.inecelectionresults.net/elections_prod/1292/state/01/lga/06/ward/04/pu/002/002-1677401540.pdf</t>
  </si>
  <si>
    <t>MARKET SQUARE ITORI II, Polling Unit, EWEKORO, Ogun State, Nigeria</t>
  </si>
  <si>
    <t>27-06-04-003</t>
  </si>
  <si>
    <t>IYANA STATION  I</t>
  </si>
  <si>
    <t>https://docs.inecelectionresults.net/elections_prod/1292/state/01/lga/06/ward/04/pu/003/003-1677400437.pdf</t>
  </si>
  <si>
    <t>IYANA STATION  I, Polling Unit, EWEKORO, Ogun State, Nigeria</t>
  </si>
  <si>
    <t>27-06-04-004</t>
  </si>
  <si>
    <t>IYANA STATION  II</t>
  </si>
  <si>
    <t>https://docs.inecelectionresults.net/elections_prod/1292/state/01/lga/06/ward/04/pu/004/004-1677398127.pdf</t>
  </si>
  <si>
    <t>IYANA STATION  II, Polling Unit, EWEKORO, Ogun State, Nigeria</t>
  </si>
  <si>
    <t>27-06-04-005</t>
  </si>
  <si>
    <t>OPP. MATERNITY CENTRE ITORI  I</t>
  </si>
  <si>
    <t>https://docs.inecelectionresults.net/elections_prod/1292/state/01/lga/06/ward/04/pu/005/005-1677401685.pdf</t>
  </si>
  <si>
    <t>OPP. MATERNITY CENTRE ITORI  I, Polling Unit, EWEKORO, Ogun State, Nigeria</t>
  </si>
  <si>
    <t>27-06-04-006</t>
  </si>
  <si>
    <t>OPP. MATERNITY CENTRE ITORI II</t>
  </si>
  <si>
    <t>https://docs.inecelectionresults.net/elections_prod/1292/state/01/lga/06/ward/04/pu/006/006-1677397155.pdf</t>
  </si>
  <si>
    <t>OPP. MATERNITY CENTRE ITORI II, Polling Unit, EWEKORO, Ogun State, Nigeria</t>
  </si>
  <si>
    <t>27-06-04-007</t>
  </si>
  <si>
    <t>OPEN SPACE AT U.N.A. LAPELEKE</t>
  </si>
  <si>
    <t>https://docs.inecelectionresults.net/elections_prod/1292/state/01/lga/06/ward/04/pu/007/007-1677399330.pdf</t>
  </si>
  <si>
    <t>OPEN SPACE AT U.N.A. LAPELEKE, Polling Unit, EWEKORO, Ogun State, Nigeria</t>
  </si>
  <si>
    <t>27-06-04-008</t>
  </si>
  <si>
    <t>OPEN SPACE AT OKE OKO HALL SQUARE</t>
  </si>
  <si>
    <t>https://docs.inecelectionresults.net/elections_prod/1292/state/01/lga/06/ward/04/pu/008/008-1677397582.pdf</t>
  </si>
  <si>
    <t>OPEN SPACE AT OKE OKO HALL SQUARE, Polling Unit, EWEKORO, Ogun State, Nigeria</t>
  </si>
  <si>
    <t>27-06-04-009</t>
  </si>
  <si>
    <t>A/C SCHOOL OLUJOBI</t>
  </si>
  <si>
    <t>https://docs.inecelectionresults.net/elections_prod/1292/state/01/lga/06/ward/04/pu/009/009-1677403282.pdf</t>
  </si>
  <si>
    <t>A/C SCHOOL OLUJOBI, Polling Unit, EWEKORO, Ogun State, Nigeria</t>
  </si>
  <si>
    <t>27-06-04-010</t>
  </si>
  <si>
    <t>A/C SCHOOL ONIKOKO</t>
  </si>
  <si>
    <t>https://docs.inecelectionresults.net/elections_prod/1292/state/01/lga/06/ward/04/pu/010/010-1677402716.pdf</t>
  </si>
  <si>
    <t>A/C SCHOOL ONIKOKO, Polling Unit, EWEKORO, Ogun State, Nigeria</t>
  </si>
  <si>
    <t>27-06-04-011</t>
  </si>
  <si>
    <t>HEALTH CENTRE SOWUNMI</t>
  </si>
  <si>
    <t>https://docs.inecelectionresults.net/elections_prod/1292/state/01/lga/06/ward/04/pu/011/011-1677396820.pdf</t>
  </si>
  <si>
    <t>HEALTH CENTRE SOWUNMI, Polling Unit, EWEKORO, Ogun State, Nigeria</t>
  </si>
  <si>
    <t>27-06-04-013</t>
  </si>
  <si>
    <t>SCHOOL PREM. ELEFON</t>
  </si>
  <si>
    <t>https://docs.inecelectionresults.net/elections_prod/1292/state/01/lga/06/ward/04/pu/013/013-1677398033.pdf</t>
  </si>
  <si>
    <t>SCHOOL PREM. ELEFON, Polling Unit, EWEKORO, Ogun State, Nigeria</t>
  </si>
  <si>
    <t>27-06-04-014</t>
  </si>
  <si>
    <t>SCHOOL PREM. AFOWOWA-GBELU I</t>
  </si>
  <si>
    <t>https://docs.inecelectionresults.net/elections_prod/1292/state/01/lga/06/ward/04/pu/014/014-1677404261.pdf</t>
  </si>
  <si>
    <t>SCHOOL PREM. AFOWOWA-GBELU I, Polling Unit, EWEKORO, Ogun State, Nigeria</t>
  </si>
  <si>
    <t>27-06-04-015</t>
  </si>
  <si>
    <t>SCHOOL PREM. AFOWOWA-GBELU II</t>
  </si>
  <si>
    <t>https://docs.inecelectionresults.net/elections_prod/1292/state/01/lga/06/ward/04/pu/015/015-1677403677.pdf</t>
  </si>
  <si>
    <t>SCHOOL PREM. AFOWOWA-GBELU II, Polling Unit, EWEKORO, Ogun State, Nigeria</t>
  </si>
  <si>
    <t>27-06-04-016</t>
  </si>
  <si>
    <t>BAPT.DAY SCHOOL ERUKU</t>
  </si>
  <si>
    <t>https://docs.inecelectionresults.net/elections_prod/1292/state/01/lga/06/ward/04/pu/016/016-1677395366.pdf</t>
  </si>
  <si>
    <t>BAPT.DAY SCHOOL ERUKU, Polling Unit, EWEKORO, Ogun State, Nigeria</t>
  </si>
  <si>
    <t>27-06-04-017</t>
  </si>
  <si>
    <t>IKEREKU OLODO</t>
  </si>
  <si>
    <t>https://docs.inecelectionresults.net/elections_prod/1292/state/01/lga/06/ward/04/pu/017/017-1677402883.pdf</t>
  </si>
  <si>
    <t>IKEREKU OLODO, Polling Unit, EWEKORO, Ogun State, Nigeria</t>
  </si>
  <si>
    <t>27-06-04-018</t>
  </si>
  <si>
    <t>A/C SCHOOL OBANLADO</t>
  </si>
  <si>
    <t>https://docs.inecelectionresults.net/elections_prod/1292/state/01/lga/06/ward/04/pu/018/018-1677396066.pdf</t>
  </si>
  <si>
    <t>A/C SCHOOL OBANLADO, Polling Unit, EWEKORO, Ogun State, Nigeria</t>
  </si>
  <si>
    <t>27-06-04-019</t>
  </si>
  <si>
    <t>A/C SCHOOL OLUKE [WASIMI ABULE VILL]</t>
  </si>
  <si>
    <t>https://docs.inecelectionresults.net/elections_prod/1292/state/01/lga/06/ward/04/pu/019/019-1677406043.pdf</t>
  </si>
  <si>
    <t>A/C SCHOOL OLUKE [WASIMI ABULE VILL], Polling Unit, EWEKORO, Ogun State, Nigeria</t>
  </si>
  <si>
    <t>27-06-04-020</t>
  </si>
  <si>
    <t>OPEN SPACE AT BOLOWOSERE VILLAGE</t>
  </si>
  <si>
    <t>https://docs.inecelectionresults.net/elections_prod/1292/state/01/lga/06/ward/04/pu/020/020-1677406845.pdf</t>
  </si>
  <si>
    <t>OPEN SPACE AT BOLOWOSERE VILLAGE, Polling Unit, EWEKORO, Ogun State, Nigeria</t>
  </si>
  <si>
    <t>27-06-04-021</t>
  </si>
  <si>
    <t>OPEN SPACE AT ADUMBU VILLAGE</t>
  </si>
  <si>
    <t>https://docs.inecelectionresults.net/elections_prod/1292/state/01/lga/06/ward/04/pu/021/021-1677395075.pdf</t>
  </si>
  <si>
    <t>OPEN SPACE AT ADUMBU VILLAGE, Polling Unit, EWEKORO, Ogun State, Nigeria</t>
  </si>
  <si>
    <t>27-06-04-022</t>
  </si>
  <si>
    <t>OPEN SPACE AT LEMO VILLAGE</t>
  </si>
  <si>
    <t>https://docs.inecelectionresults.net/elections_prod/1292/state/01/lga/06/ward/04/pu/022/022-1677393093.pdf</t>
  </si>
  <si>
    <t>OPEN SPACE AT LEMO VILLAGE, Polling Unit, EWEKORO, Ogun State, Nigeria</t>
  </si>
  <si>
    <t>27-06-04-023</t>
  </si>
  <si>
    <t>OPEN SPACE AT TELU VILLAGE</t>
  </si>
  <si>
    <t>https://docs.inecelectionresults.net/elections_prod/1292/state/01/lga/06/ward/04/pu/023/023-1677403128.pdf</t>
  </si>
  <si>
    <t>OPEN SPACE AT TELU VILLAGE, Polling Unit, EWEKORO, Ogun State, Nigeria</t>
  </si>
  <si>
    <t>27-06-04-024</t>
  </si>
  <si>
    <t>JAGUNA VILLAGE SQUARE</t>
  </si>
  <si>
    <t>https://docs.inecelectionresults.net/elections_prod/1292/state/01/lga/06/ward/04/pu/024/024-1677394077.pdf</t>
  </si>
  <si>
    <t>JAGUNA VILLAGE SQUARE, Polling Unit, EWEKORO, Ogun State, Nigeria</t>
  </si>
  <si>
    <t>27-06-04-025</t>
  </si>
  <si>
    <t>OPEN SPACE AT OLUKE VILLAGE</t>
  </si>
  <si>
    <t>https://docs.inecelectionresults.net/elections_prod/1292/state/01/lga/06/ward/04/pu/025/025-1677401441.pdf</t>
  </si>
  <si>
    <t>OPEN SPACE AT OLUKE VILLAGE, Polling Unit, EWEKORO, Ogun State, Nigeria</t>
  </si>
  <si>
    <t>ELERE/ONIGBEDU</t>
  </si>
  <si>
    <t>27-06-05-001</t>
  </si>
  <si>
    <t>OPEN SPACE AT KOBORO (NEAR NEPA TRANSFORMER)</t>
  </si>
  <si>
    <t>https://docs.inecelectionresults.net/elections_prod/1292/state/01/lga/06/ward/05/pu/001/001-1677385989.pdf</t>
  </si>
  <si>
    <t>OPEN SPACE AT KOBORO (NEAR NEPA TRANSFORMER), Polling Unit, EWEKORO, Ogun State, Nigeria</t>
  </si>
  <si>
    <t>27-06-05-002</t>
  </si>
  <si>
    <t>ST. SIMEON SCHOOL ELERE/ABULETITUN I</t>
  </si>
  <si>
    <t>https://docs.inecelectionresults.net/elections_prod/1292/state/01/lga/06/ward/05/pu/002/002-1677388245.pdf</t>
  </si>
  <si>
    <t>ST. SIMEON SCHOOL ELERE/ABULETITUN I, Polling Unit, EWEKORO, Ogun State, Nigeria</t>
  </si>
  <si>
    <t>27-06-05-003</t>
  </si>
  <si>
    <t>ST. SIMEON SCHOOL ELERE/ABULE TITUN II</t>
  </si>
  <si>
    <t>https://docs.inecelectionresults.net/elections_prod/1292/state/01/lga/06/ward/05/pu/003/003-1677387309.pdf</t>
  </si>
  <si>
    <t>ST. SIMEON SCHOOL ELERE/ABULE TITUN II, Polling Unit, EWEKORO, Ogun State, Nigeria</t>
  </si>
  <si>
    <t>27-06-05-004</t>
  </si>
  <si>
    <t>OPEN SPACE AT AJIPATUTU</t>
  </si>
  <si>
    <t>https://docs.inecelectionresults.net/elections_prod/1292/state/01/lga/06/ward/05/pu/004/004-1677393039.pdf</t>
  </si>
  <si>
    <t>OPEN SPACE AT AJIPATUTU, Polling Unit, EWEKORO, Ogun State, Nigeria</t>
  </si>
  <si>
    <t>27-06-05-005</t>
  </si>
  <si>
    <t>A/C SCHOOL ONIGBEDU  I</t>
  </si>
  <si>
    <t>https://docs.inecelectionresults.net/elections_prod/1292/state/1/lga/3671/ward/24022/pu/92033/92033-1677511290.pdf</t>
  </si>
  <si>
    <t>A/C SCHOOL ONIGBEDU  I, Polling Unit, EWEKORO, Ogun State, Nigeria</t>
  </si>
  <si>
    <t>27-06-05-006</t>
  </si>
  <si>
    <t>A/C SCHOOL ONIGBEDU  II</t>
  </si>
  <si>
    <t>https://docs.inecelectionresults.net/elections_prod/1292/state/01/lga/06/ward/05/pu/006/006-1677384414.pdf</t>
  </si>
  <si>
    <t>A/C SCHOOL ONIGBEDU  II, Polling Unit, EWEKORO, Ogun State, Nigeria</t>
  </si>
  <si>
    <t>27-06-05-007</t>
  </si>
  <si>
    <t>A/C SCHOOL BABALAWO</t>
  </si>
  <si>
    <t>https://docs.inecelectionresults.net/elections_prod/1292/state/01/lga/06/ward/05/pu/007/007-1677395151.pdf</t>
  </si>
  <si>
    <t>A/C SCHOOL BABALAWO, Polling Unit, EWEKORO, Ogun State, Nigeria</t>
  </si>
  <si>
    <t>27-06-05-008</t>
  </si>
  <si>
    <t>A/C SCHOOL AGA - OLOWO</t>
  </si>
  <si>
    <t>https://docs.inecelectionresults.net/elections_prod/1292/state/01/lga/06/ward/05/pu/008/008-1677392037.pdf</t>
  </si>
  <si>
    <t>A/C SCHOOL AGA - OLOWO, Polling Unit, EWEKORO, Ogun State, Nigeria</t>
  </si>
  <si>
    <t>27-06-05-009</t>
  </si>
  <si>
    <t>A/C SCHOOL ATOLA</t>
  </si>
  <si>
    <t>https://docs.inecelectionresults.net/elections_prod/1292/state/01/lga/06/ward/05/pu/009/009-1677385170.pdf</t>
  </si>
  <si>
    <t>A/C SCHOOL ATOLA, Polling Unit, EWEKORO, Ogun State, Nigeria</t>
  </si>
  <si>
    <t>27-06-05-010</t>
  </si>
  <si>
    <t>OCCHS FIELD, ELERE</t>
  </si>
  <si>
    <t>https://docs.inecelectionresults.net/elections_prod/1292/state/01/lga/06/ward/05/pu/010/010-1677388817.pdf</t>
  </si>
  <si>
    <t>OCCHS FIELD, ELERE, Polling Unit, EWEKORO, Ogun State, Nigeria</t>
  </si>
  <si>
    <t>27-06-05-011</t>
  </si>
  <si>
    <t>INFRONT OF BAALE'S HOUSE ELERE ADUBI</t>
  </si>
  <si>
    <t>https://docs.inecelectionresults.net/elections_prod/1292/state/01/lga/06/ward/05/pu/011/011-1677391518.pdf</t>
  </si>
  <si>
    <t>INFRONT OF BAALE'S HOUSE ELERE ADUBI, Polling Unit, EWEKORO, Ogun State, Nigeria</t>
  </si>
  <si>
    <t>27-06-05-012</t>
  </si>
  <si>
    <t>OPEN SPACE AT MOREKETE/ILEFUN</t>
  </si>
  <si>
    <t>https://docs.inecelectionresults.net/elections_prod/1292/state/1/lga/3671/ward/24022/pu/92040/92040-1677510963.pdf</t>
  </si>
  <si>
    <t>OPEN SPACE AT MOREKETE/ILEFUN, Polling Unit, EWEKORO, Ogun State, Nigeria</t>
  </si>
  <si>
    <t>PAPALANTO</t>
  </si>
  <si>
    <t>27-06-06-001</t>
  </si>
  <si>
    <t>PAPALANTO HIGH SCHOOL  I</t>
  </si>
  <si>
    <t>https://docs.inecelectionresults.net/elections_prod/1292/state/01/lga/06/ward/06/pu/001/001-1677394445.pdf</t>
  </si>
  <si>
    <t>PAPALANTO HIGH SCHOOL  I, Polling Unit, EWEKORO, Ogun State, Nigeria</t>
  </si>
  <si>
    <t>27-06-06-002</t>
  </si>
  <si>
    <t>PAPALANTO HIGH SCHOOL II</t>
  </si>
  <si>
    <t>https://docs.inecelectionresults.net/elections_prod/1292/state/01/lga/06/ward/06/pu/002/002-1677384696.pdf</t>
  </si>
  <si>
    <t>PAPALANTO HIGH SCHOOL II, Polling Unit, EWEKORO, Ogun State, Nigeria</t>
  </si>
  <si>
    <t>27-06-06-003</t>
  </si>
  <si>
    <t>UNITED CENTRAL SCHOOL ISOFIN</t>
  </si>
  <si>
    <t>https://docs.inecelectionresults.net/elections_prod/1292/state/01/lga/06/ward/06/pu/003/003-1677394732.pdf</t>
  </si>
  <si>
    <t>UNITED CENTRAL SCHOOL ISOFIN, Polling Unit, EWEKORO, Ogun State, Nigeria</t>
  </si>
  <si>
    <t>27-06-06-004</t>
  </si>
  <si>
    <t>L.G. SCHOOL AYEPE</t>
  </si>
  <si>
    <t>https://docs.inecelectionresults.net/elections_prod/1292/state/01/lga/06/ward/06/pu/004/004-1677380974.pdf</t>
  </si>
  <si>
    <t>L.G. SCHOOL AYEPE, Polling Unit, EWEKORO, Ogun State, Nigeria</t>
  </si>
  <si>
    <t>27-06-06-006</t>
  </si>
  <si>
    <t>A/C SCHOOL WASIMI ALAFIA  II</t>
  </si>
  <si>
    <t>https://docs.inecelectionresults.net/elections_prod/1292/state/01/lga/06/ward/06/pu/006/006-1677395895.pdf</t>
  </si>
  <si>
    <t>A/C SCHOOL WASIMI ALAFIA  II, Polling Unit, EWEKORO, Ogun State, Nigeria</t>
  </si>
  <si>
    <t>27-06-06-007</t>
  </si>
  <si>
    <t>TOWN HALL ABULE ODO</t>
  </si>
  <si>
    <t>https://docs.inecelectionresults.net/elections_prod/1292/state/01/lga/06/ward/06/pu/007/007-1677394319.pdf</t>
  </si>
  <si>
    <t>TOWN HALL ABULE ODO, Polling Unit, EWEKORO, Ogun State, Nigeria</t>
  </si>
  <si>
    <t>27-06-06-008</t>
  </si>
  <si>
    <t>OPEN SPACE AT EWEKORO VILLAGE  I</t>
  </si>
  <si>
    <t>https://docs.inecelectionresults.net/elections_prod/1292/state/01/lga/06/ward/06/pu/008/008-1677391774.pdf</t>
  </si>
  <si>
    <t>OPEN SPACE AT EWEKORO VILLAGE  I, Polling Unit, EWEKORO, Ogun State, Nigeria</t>
  </si>
  <si>
    <t>27-06-06-010</t>
  </si>
  <si>
    <t>BAPT. SCHOOL EWEKORO</t>
  </si>
  <si>
    <t>https://docs.inecelectionresults.net/elections_prod/1292/state/01/lga/06/ward/06/pu/010/010-1677390394.pdf</t>
  </si>
  <si>
    <t>BAPT. SCHOOL EWEKORO, Polling Unit, EWEKORO, Ogun State, Nigeria</t>
  </si>
  <si>
    <t>27-06-06-011</t>
  </si>
  <si>
    <t>OPEN SPACE AT OKO LEMO</t>
  </si>
  <si>
    <t>https://docs.inecelectionresults.net/elections_prod/1292/state/01/lga/06/ward/06/pu/011/011-1677390896.pdf</t>
  </si>
  <si>
    <t>OPEN SPACE AT OKO LEMO, Polling Unit, EWEKORO, Ogun State, Nigeria</t>
  </si>
  <si>
    <t>27-06-06-012</t>
  </si>
  <si>
    <t>ARAROMI AREA VILLAGE SQUARE</t>
  </si>
  <si>
    <t>https://docs.inecelectionresults.net/elections_prod/1292/state/01/lga/06/ward/06/pu/012/012-1677400769.pdf</t>
  </si>
  <si>
    <t>ARAROMI AREA VILLAGE SQUARE, Polling Unit, EWEKORO, Ogun State, Nigeria</t>
  </si>
  <si>
    <t>27-06-06-014</t>
  </si>
  <si>
    <t>OPEN SPACE AT AJEGUNLE EGBADO</t>
  </si>
  <si>
    <t>https://docs.inecelectionresults.net/elections_prod/1292/state/01/lga/06/ward/06/pu/014/014-1677388759.pdf</t>
  </si>
  <si>
    <t>OPEN SPACE AT AJEGUNLE EGBADO, Polling Unit, EWEKORO, Ogun State, Nigeria</t>
  </si>
  <si>
    <t>27-06-06-015</t>
  </si>
  <si>
    <t>OPEN SPACE AT ABULE OTUN</t>
  </si>
  <si>
    <t>https://docs.inecelectionresults.net/elections_prod/1292/state/01/lga/06/ward/06/pu/015/015-1677388093.pdf</t>
  </si>
  <si>
    <t>OPEN SPACE AT ABULE OTUN, Polling Unit, EWEKORO, Ogun State, Nigeria</t>
  </si>
  <si>
    <t>WASIMI</t>
  </si>
  <si>
    <t>27-06-07-001</t>
  </si>
  <si>
    <t>TOWN HALL WASIMI  I</t>
  </si>
  <si>
    <t>https://docs.inecelectionresults.net/elections_prod/1292/state/01/lga/06/ward/07/pu/001/001-1677389277.pdf</t>
  </si>
  <si>
    <t>TOWN HALL WASIMI  I, Polling Unit, EWEKORO, Ogun State, Nigeria</t>
  </si>
  <si>
    <t>27-06-07-002</t>
  </si>
  <si>
    <t>TOWN HALL WASIMI  II</t>
  </si>
  <si>
    <t>https://docs.inecelectionresults.net/elections_prod/1292/state/01/lga/06/ward/07/pu/002/002-1677392735.pdf</t>
  </si>
  <si>
    <t>TOWN HALL WASIMI  II, Polling Unit, EWEKORO, Ogun State, Nigeria</t>
  </si>
  <si>
    <t>27-06-07-003</t>
  </si>
  <si>
    <t>ST. MICHEAL SCHOOL WASIMI</t>
  </si>
  <si>
    <t>https://docs.inecelectionresults.net/elections_prod/1292/state/01/lga/06/ward/07/pu/003/003-1677390848.pdf</t>
  </si>
  <si>
    <t>ST. MICHEAL SCHOOL WASIMI, Polling Unit, EWEKORO, Ogun State, Nigeria</t>
  </si>
  <si>
    <t>27-06-07-004</t>
  </si>
  <si>
    <t>A/C SCHOOL BAIYE</t>
  </si>
  <si>
    <t>https://docs.inecelectionresults.net/elections_prod/1292/state/01/lga/06/ward/07/pu/004/004-1677394590.pdf</t>
  </si>
  <si>
    <t>A/C SCHOOL BAIYE, Polling Unit, EWEKORO, Ogun State, Nigeria</t>
  </si>
  <si>
    <t>27-06-07-007</t>
  </si>
  <si>
    <t>OPEN SPACE AT OTUGADE</t>
  </si>
  <si>
    <t>https://docs.inecelectionresults.net/elections_prod/1292/state/01/lga/06/ward/07/pu/007/007-1677389689.pdf</t>
  </si>
  <si>
    <t>OPEN SPACE AT OTUGADE, Polling Unit, EWEKORO, Ogun State, Nigeria</t>
  </si>
  <si>
    <t>27-06-07-008</t>
  </si>
  <si>
    <t>PRIMARY SCHOOL OGBERE</t>
  </si>
  <si>
    <t>https://docs.inecelectionresults.net/elections_prod/1292/state/01/lga/06/ward/07/pu/008/008-1677392287.pdf</t>
  </si>
  <si>
    <t>PRIMARY SCHOOL OGBERE, Polling Unit, EWEKORO, Ogun State, Nigeria</t>
  </si>
  <si>
    <t>27-06-07-009</t>
  </si>
  <si>
    <t>A/C SCHOOL LOTI</t>
  </si>
  <si>
    <t>https://docs.inecelectionresults.net/elections_prod/1292/state/01/lga/06/ward/07/pu/009/009-1677391151.pdf</t>
  </si>
  <si>
    <t>A/C SCHOOL LOTI, Polling Unit, EWEKORO, Ogun State, Nigeria</t>
  </si>
  <si>
    <t>MOSAN</t>
  </si>
  <si>
    <t>27-06-08-001</t>
  </si>
  <si>
    <t>OPEN SPACE AT ADE-AGBA VILLAGE SQUARE</t>
  </si>
  <si>
    <t>https://docs.inecelectionresults.net/elections_prod/1292/state/01/lga/06/ward/08/pu/001/001-1677390393.pdf</t>
  </si>
  <si>
    <t>OPEN SPACE AT ADE-AGBA VILLAGE SQUARE, Polling Unit, EWEKORO, Ogun State, Nigeria</t>
  </si>
  <si>
    <t>27-06-08-002</t>
  </si>
  <si>
    <t>OPEN SPACE AT OSUPORI VILLAGE SQUARE</t>
  </si>
  <si>
    <t>https://docs.inecelectionresults.net/elections_prod/1292/state/01/lga/06/ward/08/pu/002/002-1677394445.pdf</t>
  </si>
  <si>
    <t>OPEN SPACE AT OSUPORI VILLAGE SQUARE, Polling Unit, EWEKORO, Ogun State, Nigeria</t>
  </si>
  <si>
    <t>27-06-08-003</t>
  </si>
  <si>
    <t>PRIMARY SCHOOL MOSAN</t>
  </si>
  <si>
    <t>https://docs.inecelectionresults.net/elections_prod/1292/state/01/lga/06/ward/08/pu/003/003-1677395478.pdf</t>
  </si>
  <si>
    <t>PRIMARY SCHOOL MOSAN, Polling Unit, EWEKORO, Ogun State, Nigeria</t>
  </si>
  <si>
    <t>27-06-08-004</t>
  </si>
  <si>
    <t>PRIMARY SCHOOL OTEYI OLOKUTA</t>
  </si>
  <si>
    <t>https://docs.inecelectionresults.net/elections_prod/1292/state/01/lga/06/ward/08/pu/004/004-1677396300.pdf</t>
  </si>
  <si>
    <t>PRIMARY SCHOOL OTEYI OLOKUTA, Polling Unit, EWEKORO, Ogun State, Nigeria</t>
  </si>
  <si>
    <t>27-06-08-005</t>
  </si>
  <si>
    <t>PRIMARY SCHOOL SIGO OPALOLA</t>
  </si>
  <si>
    <t>https://docs.inecelectionresults.net/elections_prod/1292/state/01/lga/06/ward/08/pu/005/005-1677396941.pdf</t>
  </si>
  <si>
    <t>PRIMARY SCHOOL SIGO OPALOLA, Polling Unit, EWEKORO, Ogun State, Nigeria</t>
  </si>
  <si>
    <t>27-06-08-006</t>
  </si>
  <si>
    <t>WASIMI ORILE</t>
  </si>
  <si>
    <t>https://docs.inecelectionresults.net/elections_prod/1292/state/01/lga/06/ward/08/pu/006/006-1677397553.pdf</t>
  </si>
  <si>
    <t>WASIMI ORILE, Polling Unit, EWEKORO, Ogun State, Nigeria</t>
  </si>
  <si>
    <t>27-06-08-007</t>
  </si>
  <si>
    <t>ISALE STATION  I</t>
  </si>
  <si>
    <t>https://docs.inecelectionresults.net/elections_prod/1292/state/01/lga/06/ward/08/pu/007/007-1677398748.pdf</t>
  </si>
  <si>
    <t>ISALE STATION  I, Polling Unit, EWEKORO, Ogun State, Nigeria</t>
  </si>
  <si>
    <t>27-06-08-008</t>
  </si>
  <si>
    <t>ISALE STATION  II</t>
  </si>
  <si>
    <t>https://docs.inecelectionresults.net/elections_prod/1292/state/01/lga/06/ward/08/pu/008/008-1677399320.pdf</t>
  </si>
  <si>
    <t>ISALE STATION  II, Polling Unit, EWEKORO, Ogun State, Nigeria</t>
  </si>
  <si>
    <t>27-06-08-009</t>
  </si>
  <si>
    <t>PRIMARY SCHOOL IGBIN OJO</t>
  </si>
  <si>
    <t>https://docs.inecelectionresults.net/elections_prod/1292/state/01/lga/06/ward/08/pu/009/009-1677400384.pdf</t>
  </si>
  <si>
    <t>PRIMARY SCHOOL IGBIN OJO, Polling Unit, EWEKORO, Ogun State, Nigeria</t>
  </si>
  <si>
    <t>27-06-08-010</t>
  </si>
  <si>
    <t>TEEMU VILLAGE</t>
  </si>
  <si>
    <t>https://docs.inecelectionresults.net/elections_prod/1292/state/01/lga/06/ward/08/pu/010/010-1677401242.pdf</t>
  </si>
  <si>
    <t>TEEMU VILLAGE, Polling Unit, EWEKORO, Ogun State, Nigeria</t>
  </si>
  <si>
    <t>27-06-08-011</t>
  </si>
  <si>
    <t>IGBIN AROWOSEGBE VILLAGE</t>
  </si>
  <si>
    <t>https://docs.inecelectionresults.net/elections_prod/1292/state/01/lga/06/ward/08/pu/011/011-1677401848.pdf</t>
  </si>
  <si>
    <t>IGBIN AROWOSEGBE VILLAGE, Polling Unit, EWEKORO, Ogun State, Nigeria</t>
  </si>
  <si>
    <t>OWOWO</t>
  </si>
  <si>
    <t>27-06-09-001</t>
  </si>
  <si>
    <t>BAPT. SCHOOL AKINALE</t>
  </si>
  <si>
    <t>https://docs.inecelectionresults.net/elections_prod/1292/state/01/lga/06/ward/09/pu/001/001-1677393954.pdf</t>
  </si>
  <si>
    <t>BAPT. SCHOOL AKINALE, Polling Unit, EWEKORO, Ogun State, Nigeria</t>
  </si>
  <si>
    <t>27-06-09-002</t>
  </si>
  <si>
    <t>A/C SCHOOL OWOWO</t>
  </si>
  <si>
    <t>https://docs.inecelectionresults.net/elections_prod/1292/state/01/lga/06/ward/09/pu/002/002-1677389331.pdf</t>
  </si>
  <si>
    <t>A/C SCHOOL OWOWO, Polling Unit, EWEKORO, Ogun State, Nigeria</t>
  </si>
  <si>
    <t>27-06-09-003</t>
  </si>
  <si>
    <t>PRIMARY SCHOOL IJUMO-OLOGBONI</t>
  </si>
  <si>
    <t>https://docs.inecelectionresults.net/elections_prod/1292/state/01/lga/06/ward/09/pu/003/003-1677396482.pdf</t>
  </si>
  <si>
    <t>PRIMARY SCHOOL IJUMO-OLOGBONI, Polling Unit, EWEKORO, Ogun State, Nigeria</t>
  </si>
  <si>
    <t>27-06-09-004</t>
  </si>
  <si>
    <t>A.U.D. SCHOOL ELEYELE</t>
  </si>
  <si>
    <t>https://docs.inecelectionresults.net/elections_prod/1292/state/01/lga/06/ward/09/pu/004/004-1677388266.pdf</t>
  </si>
  <si>
    <t>A.U.D. SCHOOL ELEYELE, Polling Unit, EWEKORO, Ogun State, Nigeria</t>
  </si>
  <si>
    <t>27-06-09-005</t>
  </si>
  <si>
    <t>A/C SCHOOL AKINBIYE</t>
  </si>
  <si>
    <t>https://docs.inecelectionresults.net/elections_prod/1292/state/01/lga/06/ward/09/pu/005/005-1677393170.pdf</t>
  </si>
  <si>
    <t>A/C SCHOOL AKINBIYE, Polling Unit, EWEKORO, Ogun State, Nigeria</t>
  </si>
  <si>
    <t>27-06-09-006</t>
  </si>
  <si>
    <t>OWOWO HIGH SCHOOL, OWOWO</t>
  </si>
  <si>
    <t>https://docs.inecelectionresults.net/elections_prod/1292/state/01/lga/06/ward/09/pu/006/006-1677392201.pdf</t>
  </si>
  <si>
    <t>OWOWO HIGH SCHOOL, OWOWO, Polling Unit, EWEKORO, Ogun State, Nigeria</t>
  </si>
  <si>
    <t>27-06-09-007</t>
  </si>
  <si>
    <t>AKINJOLE VILLAGE SQUARE</t>
  </si>
  <si>
    <t>https://docs.inecelectionresults.net/elections_prod/1292/state/01/lga/06/ward/09/pu/007/007-1677395266.pdf</t>
  </si>
  <si>
    <t>AKINJOLE VILLAGE SQUARE, Polling Unit, EWEKORO, Ogun State, Nigeria</t>
  </si>
  <si>
    <t>OBADA-OKO</t>
  </si>
  <si>
    <t>27-06-10-001</t>
  </si>
  <si>
    <t>ST. JOHN SCHOOL AYEDERE</t>
  </si>
  <si>
    <t>https://inec-cvr-cache.s3.eu-west-1.amazonaws.com/cached/results/90998/result_78096_1677516621_thumb.jpg</t>
  </si>
  <si>
    <t>ST. JOHN SCHOOL AYEDERE, Polling Unit, EWEKORO, Ogun State, Nigeria</t>
  </si>
  <si>
    <t>27-06-10-002</t>
  </si>
  <si>
    <t>IWOKUN VILLAGE</t>
  </si>
  <si>
    <t>https://docs.inecelectionresults.net/elections_prod/1292/state/01/lga/06/ward/10/pu/002/002-1677397651.pdf</t>
  </si>
  <si>
    <t>IWOKUN VILLAGE, Polling Unit, EWEKORO, Ogun State, Nigeria</t>
  </si>
  <si>
    <t>27-06-10-003</t>
  </si>
  <si>
    <t>PAKUDI</t>
  </si>
  <si>
    <t>https://inec-cvr-cache.s3.eu-west-1.amazonaws.com/cached/results/91000/result_78098_1677516959_thumb.jpg</t>
  </si>
  <si>
    <t>PAKUDI, Polling Unit, EWEKORO, Ogun State, Nigeria</t>
  </si>
  <si>
    <t>27-06-10-004</t>
  </si>
  <si>
    <t>TOWN HALL OBADA-OKO</t>
  </si>
  <si>
    <t>https://inec-cvr-cache.s3.eu-west-1.amazonaws.com/cached/results/91001/result_78099_1677516493_thumb.jpg</t>
  </si>
  <si>
    <t>TOWN HALL OBADA-OKO, Polling Unit, EWEKORO, Ogun State, Nigeria</t>
  </si>
  <si>
    <t>27-06-10-005</t>
  </si>
  <si>
    <t>OGUNSOLU VILLAGE</t>
  </si>
  <si>
    <t>https://inec-cvr-cache.s3.eu-west-1.amazonaws.com/cached/results/91002/result_78100_1677516851_thumb.jpg</t>
  </si>
  <si>
    <t>OGUNSOLU VILLAGE, Polling Unit, EWEKORO, Ogun State, Nigeria</t>
  </si>
  <si>
    <t>27-06-10-006</t>
  </si>
  <si>
    <t>IYANA IKEREKU</t>
  </si>
  <si>
    <t>https://inec-cvr-cache.s3.eu-west-1.amazonaws.com/cached/results/91003/result_78101_1677516740_thumb.jpg</t>
  </si>
  <si>
    <t>IYANA IKEREKU, Polling Unit, EWEKORO, Ogun State, Nigeria</t>
  </si>
  <si>
    <t>27-06-10-007</t>
  </si>
  <si>
    <t>MARKET AREA OBADA-OKO</t>
  </si>
  <si>
    <t>https://inec-cvr-cache.s3.eu-west-1.amazonaws.com/cached/results/91004/result_78102_1677517188_thumb.jpg</t>
  </si>
  <si>
    <t>MARKET AREA OBADA-OKO, Polling Unit, EWEKORO, Ogun State, Nigeria</t>
  </si>
  <si>
    <t>27-06-10-008</t>
  </si>
  <si>
    <t>ASIPA VILLAGE</t>
  </si>
  <si>
    <t>https://docs.inecelectionresults.net/elections_prod/1292/state/01/lga/06/ward/10/pu/008/008-1677398298.pdf</t>
  </si>
  <si>
    <t>ASIPA VILLAGE, Polling Unit, EWEKORO, Ogun State, Nigeria</t>
  </si>
  <si>
    <t>27-06-10-009</t>
  </si>
  <si>
    <t>BANJOKO VILLAGE</t>
  </si>
  <si>
    <t>https://inec-cvr-cache.s3.eu-west-1.amazonaws.com/cached/results/91006/result_78104_1677516173_thumb.jpg</t>
  </si>
  <si>
    <t>BANJOKO VILLAGE, Polling Unit, EWEKORO, Ogun State, Nigeria</t>
  </si>
  <si>
    <t>IFO</t>
  </si>
  <si>
    <t>IFO  I</t>
  </si>
  <si>
    <t>27-07-01-002</t>
  </si>
  <si>
    <t>ISOPAKO  II</t>
  </si>
  <si>
    <t>https://docs.inecelectionresults.net/elections_prod/1292/state/01/lga/07/ward/01/pu/002/002-1677392695.pdf</t>
  </si>
  <si>
    <t>ISOPAKO  II, Polling Unit, IFO, Ogun State, Nigeria</t>
  </si>
  <si>
    <t>27-07-01-005</t>
  </si>
  <si>
    <t>FRONT OF MOSQUE  III</t>
  </si>
  <si>
    <t>https://docs.inecelectionresults.net/elections_prod/1292/state/01/lga/07/ward/01/pu/005/005-1677402565.pdf</t>
  </si>
  <si>
    <t>FRONT OF MOSQUE  III, Polling Unit, IFO, Ogun State, Nigeria</t>
  </si>
  <si>
    <t>27-07-01-006</t>
  </si>
  <si>
    <t>ADENRELE PRIMARY SCHOOL  I</t>
  </si>
  <si>
    <t>https://docs.inecelectionresults.net/elections_prod/1292/state/01/lga/07/ward/01/pu/006/006-1677384552.pdf</t>
  </si>
  <si>
    <t>ADENRELE PRIMARY SCHOOL  I, Polling Unit, IFO, Ogun State, Nigeria</t>
  </si>
  <si>
    <t>27-07-01-008</t>
  </si>
  <si>
    <t>OLOSE PRIMARY SCHOOL  I</t>
  </si>
  <si>
    <t>https://docs.inecelectionresults.net/elections_prod/1292/state/01/lga/07/ward/01/pu/008/008-1677383962.pdf</t>
  </si>
  <si>
    <t>OLOSE PRIMARY SCHOOL  I, Polling Unit, IFO, Ogun State, Nigeria</t>
  </si>
  <si>
    <t>27-07-01-009</t>
  </si>
  <si>
    <t>OLOSE PRIMARY SCHOOL  II</t>
  </si>
  <si>
    <t>https://docs.inecelectionresults.net/elections_prod/1292/state/01/lga/07/ward/01/pu/009/009-1677368460.pdf</t>
  </si>
  <si>
    <t>OLOSE PRIMARY SCHOOL  II, Polling Unit, IFO, Ogun State, Nigeria</t>
  </si>
  <si>
    <t>27-07-01-010</t>
  </si>
  <si>
    <t>AGRIC. PHASE  I</t>
  </si>
  <si>
    <t>https://docs.inecelectionresults.net/elections_prod/1292/state/01/lga/07/ward/01/pu/010/010-1677387799.pdf</t>
  </si>
  <si>
    <t>AGRIC. PHASE  I, Polling Unit, IFO, Ogun State, Nigeria</t>
  </si>
  <si>
    <t>27-07-01-011</t>
  </si>
  <si>
    <t>AGRIC. PHASE  II</t>
  </si>
  <si>
    <t>https://docs.inecelectionresults.net/elections_prod/1292/state/01/lga/07/ward/01/pu/011/011-1677383458.pdf</t>
  </si>
  <si>
    <t>AGRIC. PHASE  II, Polling Unit, IFO, Ogun State, Nigeria</t>
  </si>
  <si>
    <t>27-07-01-012</t>
  </si>
  <si>
    <t>AGRIC. PHASE  III</t>
  </si>
  <si>
    <t>https://docs.inecelectionresults.net/elections_prod/1292/state/01/lga/07/ward/01/pu/012/012-1677394783.pdf</t>
  </si>
  <si>
    <t>AGRIC. PHASE  III, Polling Unit, IFO, Ogun State, Nigeria</t>
  </si>
  <si>
    <t>IFO  II</t>
  </si>
  <si>
    <t>27-07-02-001</t>
  </si>
  <si>
    <t>R.C.M. SCHOOL  I</t>
  </si>
  <si>
    <t>https://docs.inecelectionresults.net/elections_prod/1292/state/01/lga/07/ward/02/pu/001/001-1677391347.pdf</t>
  </si>
  <si>
    <t>R.C.M. SCHOOL  I, Polling Unit, IFO, Ogun State, Nigeria</t>
  </si>
  <si>
    <t>27-07-02-002</t>
  </si>
  <si>
    <t>R.C.M. SCHOOL  II</t>
  </si>
  <si>
    <t>https://docs.inecelectionresults.net/elections_prod/1292/state/01/lga/07/ward/02/pu/002/002-1677406419.pdf</t>
  </si>
  <si>
    <t>R.C.M. SCHOOL  II, Polling Unit, IFO, Ogun State, Nigeria</t>
  </si>
  <si>
    <t>27-07-02-003</t>
  </si>
  <si>
    <t>R.C.M. SCHOOL  III</t>
  </si>
  <si>
    <t>https://docs.inecelectionresults.net/elections_prod/1292/state/1/lga/3672/ward/24029/pu/92107/92107-1677510403.pdf</t>
  </si>
  <si>
    <t>R.C.M. SCHOOL  III, Polling Unit, IFO, Ogun State, Nigeria</t>
  </si>
  <si>
    <t>27-07-02-004</t>
  </si>
  <si>
    <t>OKENLA ROAD  I</t>
  </si>
  <si>
    <t>https://docs.inecelectionresults.net/elections_prod/1292/state/01/lga/07/ward/02/pu/004/004-1677417584.pdf</t>
  </si>
  <si>
    <t>OKENLA ROAD  I, Polling Unit, IFO, Ogun State, Nigeria</t>
  </si>
  <si>
    <t>27-07-02-005</t>
  </si>
  <si>
    <t>OKENLA ROAD  II</t>
  </si>
  <si>
    <t>https://docs.inecelectionresults.net/elections_prod/1292/state/01/lga/07/ward/02/pu/005/005-1677391167.pdf</t>
  </si>
  <si>
    <t>OKENLA ROAD  II, Polling Unit, IFO, Ogun State, Nigeria</t>
  </si>
  <si>
    <t>27-07-02-007</t>
  </si>
  <si>
    <t>FRONT OF EMMANUEL CHURECH II</t>
  </si>
  <si>
    <t>https://docs.inecelectionresults.net/elections_prod/1292/state/1/lga/3672/ward/24029/pu/92111/92111-1677508054.pdf</t>
  </si>
  <si>
    <t>FRONT OF EMMANUEL CHURECH II, Polling Unit, IFO, Ogun State, Nigeria</t>
  </si>
  <si>
    <t>27-07-02-008</t>
  </si>
  <si>
    <t>HAUSA QUARTERS  I</t>
  </si>
  <si>
    <t>https://docs.inecelectionresults.net/elections_prod/1292/state/01/lga/07/ward/02/pu/008/008-1677392687.pdf</t>
  </si>
  <si>
    <t>HAUSA QUARTERS  I, Polling Unit, IFO, Ogun State, Nigeria</t>
  </si>
  <si>
    <t>27-07-02-009</t>
  </si>
  <si>
    <t>HAUSA QUARTERS  II</t>
  </si>
  <si>
    <t>https://docs.inecelectionresults.net/elections_prod/1292/state/01/lga/07/ward/02/pu/009/009-1677410708.pdf</t>
  </si>
  <si>
    <t>HAUSA QUARTERS  II, Polling Unit, IFO, Ogun State, Nigeria</t>
  </si>
  <si>
    <t>27-07-02-010</t>
  </si>
  <si>
    <t>COKER ROAD JUNCTION  I</t>
  </si>
  <si>
    <t>https://docs.inecelectionresults.net/elections_prod/1292/state/1/lga/3672/ward/24029/pu/92114/92114-1677511024.pdf</t>
  </si>
  <si>
    <t>COKER ROAD JUNCTION  I, Polling Unit, IFO, Ogun State, Nigeria</t>
  </si>
  <si>
    <t>27-07-02-011</t>
  </si>
  <si>
    <t>COKER ROAD JUNCTION  II</t>
  </si>
  <si>
    <t>https://docs.inecelectionresults.net/elections_prod/1292/state/1/lga/3672/ward/24029/pu/92115/92115-1677509683.pdf</t>
  </si>
  <si>
    <t>COKER ROAD JUNCTION  II, Polling Unit, IFO, Ogun State, Nigeria</t>
  </si>
  <si>
    <t>27-07-02-012</t>
  </si>
  <si>
    <t>CRAIG LANE ILUPEJU  I</t>
  </si>
  <si>
    <t>https://docs.inecelectionresults.net/elections_prod/1292/state/01/lga/07/ward/02/pu/012/012-1677384813.pdf</t>
  </si>
  <si>
    <t>CRAIG LANE ILUPEJU  I, Polling Unit, IFO, Ogun State, Nigeria</t>
  </si>
  <si>
    <t>IFO  III</t>
  </si>
  <si>
    <t>27-07-03-002</t>
  </si>
  <si>
    <t>WILLIAMS HOUSE  I</t>
  </si>
  <si>
    <t>https://docs.inecelectionresults.net/elections_prod/1292/state/01/lga/07/ward/03/pu/002/002-1677391428.pdf</t>
  </si>
  <si>
    <t>WILLIAMS HOUSE  I, Polling Unit, IFO, Ogun State, Nigeria</t>
  </si>
  <si>
    <t>27-07-03-004</t>
  </si>
  <si>
    <t>ORILE IFO  II</t>
  </si>
  <si>
    <t>https://docs.inecelectionresults.net/elections_prod/1292/state/01/lga/07/ward/03/pu/004/004-1677386892.pdf</t>
  </si>
  <si>
    <t>ORILE IFO  II, Polling Unit, IFO, Ogun State, Nigeria</t>
  </si>
  <si>
    <t>27-07-03-005</t>
  </si>
  <si>
    <t>ORILE IFO (OPP. APATA MOSQUE)</t>
  </si>
  <si>
    <t>https://docs.inecelectionresults.net/elections_prod/1292/state/01/lga/07/ward/03/pu/005/005-1677390393.pdf</t>
  </si>
  <si>
    <t>ORILE IFO (OPP. APATA MOSQUE), Polling Unit, IFO, Ogun State, Nigeria</t>
  </si>
  <si>
    <t>27-07-03-006</t>
  </si>
  <si>
    <t>ALFA SALISU/YIDI  I</t>
  </si>
  <si>
    <t>https://docs.inecelectionresults.net/elections_prod/1292/state/01/lga/07/ward/03/pu/006/006-1677387626.pdf</t>
  </si>
  <si>
    <t>ALFA SALISU/YIDI  I, Polling Unit, IFO, Ogun State, Nigeria</t>
  </si>
  <si>
    <t>27-07-03-007</t>
  </si>
  <si>
    <t>ALFA SALISU/YIDI  II</t>
  </si>
  <si>
    <t>https://docs.inecelectionresults.net/elections_prod/1292/state/01/lga/07/ward/03/pu/007/007-1677386544.pdf</t>
  </si>
  <si>
    <t>ALFA SALISU/YIDI  II, Polling Unit, IFO, Ogun State, Nigeria</t>
  </si>
  <si>
    <t>27-07-03-008</t>
  </si>
  <si>
    <t>ALFA SALISU/YIDI  III</t>
  </si>
  <si>
    <t>https://docs.inecelectionresults.net/elections_prod/1292/state/01/lga/07/ward/03/pu/008/008-1677392476.pdf</t>
  </si>
  <si>
    <t>ALFA SALISU/YIDI  III, Polling Unit, IFO, Ogun State, Nigeria</t>
  </si>
  <si>
    <t>27-07-03-010</t>
  </si>
  <si>
    <t>FRONT OF SERIKI HOUSE II</t>
  </si>
  <si>
    <t>https://docs.inecelectionresults.net/elections_prod/1292/state/01/lga/07/ward/03/pu/010/010-1677391941.pdf</t>
  </si>
  <si>
    <t>FRONT OF SERIKI HOUSE II, Polling Unit, IFO, Ogun State, Nigeria</t>
  </si>
  <si>
    <t>27-07-03-014</t>
  </si>
  <si>
    <t>NEAR IDERE BAKERY  I</t>
  </si>
  <si>
    <t>https://docs.inecelectionresults.net/elections_prod/1292/state/1/lga/3672/ward/24030/pu/92131/92131-1677489764.pdf</t>
  </si>
  <si>
    <t>NEAR IDERE BAKERY  I, Polling Unit, IFO, Ogun State, Nigeria</t>
  </si>
  <si>
    <t>27-07-03-015</t>
  </si>
  <si>
    <t>NEAR IDERE BAKERY  II</t>
  </si>
  <si>
    <t>https://docs.inecelectionresults.net/elections_prod/1292/state/1/lga/3672/ward/24030/pu/92132/92132-1677489975.pdf</t>
  </si>
  <si>
    <t>NEAR IDERE BAKERY  II, Polling Unit, IFO, Ogun State, Nigeria</t>
  </si>
  <si>
    <t>27-07-03-016</t>
  </si>
  <si>
    <t>ABEKOKO RIGHT  I</t>
  </si>
  <si>
    <t>https://docs.inecelectionresults.net/elections_prod/1292/state/01/lga/07/ward/03/pu/016/016-1677391376.pdf</t>
  </si>
  <si>
    <t>ABEKOKO RIGHT  I, Polling Unit, IFO, Ogun State, Nigeria</t>
  </si>
  <si>
    <t>27-07-03-017</t>
  </si>
  <si>
    <t>ABEKOKO RIGHT  II</t>
  </si>
  <si>
    <t>https://docs.inecelectionresults.net/elections_prod/1292/state/01/lga/07/ward/03/pu/017/017-1677391586.pdf</t>
  </si>
  <si>
    <t>ABEKOKO RIGHT  II, Polling Unit, IFO, Ogun State, Nigeria</t>
  </si>
  <si>
    <t>27-07-03-018</t>
  </si>
  <si>
    <t>ABEKOKO RIGHT  III</t>
  </si>
  <si>
    <t>https://docs.inecelectionresults.net/elections_prod/1292/state/01/lga/07/ward/03/pu/018/018-1677390039.pdf</t>
  </si>
  <si>
    <t>ABEKOKO RIGHT  III, Polling Unit, IFO, Ogun State, Nigeria</t>
  </si>
  <si>
    <t>27-07-03-019</t>
  </si>
  <si>
    <t>OLUOMO'S QUARTERS  I</t>
  </si>
  <si>
    <t>https://docs.inecelectionresults.net/elections_prod/1292/state/01/lga/07/ward/03/pu/019/019-1677393331.pdf</t>
  </si>
  <si>
    <t>OLUOMO'S QUARTERS  I, Polling Unit, IFO, Ogun State, Nigeria</t>
  </si>
  <si>
    <t>27-07-03-020</t>
  </si>
  <si>
    <t>OLUOMO'S QUARTERS  II</t>
  </si>
  <si>
    <t>https://docs.inecelectionresults.net/elections_prod/1292/state/01/lga/07/ward/03/pu/020/020-1677400413.pdf</t>
  </si>
  <si>
    <t>OLUOMO'S QUARTERS  II, Polling Unit, IFO, Ogun State, Nigeria</t>
  </si>
  <si>
    <t>27-07-03-021</t>
  </si>
  <si>
    <t>LOCAL GOVT. SCH. ABEKOKO I</t>
  </si>
  <si>
    <t>https://docs.inecelectionresults.net/elections_prod/1292/state/01/lga/07/ward/03/pu/021/021-1677388910.pdf</t>
  </si>
  <si>
    <t>LOCAL GOVT. SCH. ABEKOKO I, Polling Unit, IFO, Ogun State, Nigeria</t>
  </si>
  <si>
    <t>27-07-03-022</t>
  </si>
  <si>
    <t>LOCAL GOVT. SCH. ABEKOKO II</t>
  </si>
  <si>
    <t>https://docs.inecelectionresults.net/elections_prod/1292/state/01/lga/07/ward/03/pu/022/022-1677389760.pdf</t>
  </si>
  <si>
    <t>LOCAL GOVT. SCH. ABEKOKO II, Polling Unit, IFO, Ogun State, Nigeria</t>
  </si>
  <si>
    <t>27-07-03-023</t>
  </si>
  <si>
    <t>LOCAL GOVT. SCH. ABEKOKO III</t>
  </si>
  <si>
    <t>https://docs.inecelectionresults.net/elections_prod/1292/state/01/lga/07/ward/03/pu/023/023-1677390730.pdf</t>
  </si>
  <si>
    <t>LOCAL GOVT. SCH. ABEKOKO III, Polling Unit, IFO, Ogun State, Nigeria</t>
  </si>
  <si>
    <t>27-07-03-024</t>
  </si>
  <si>
    <t>OLU-OMO ROAD II</t>
  </si>
  <si>
    <t>https://docs.inecelectionresults.net/elections_prod/1292/state/1/lga/3672/ward/24030/pu/92141/92141-1677491089.pdf</t>
  </si>
  <si>
    <t>OLU-OMO ROAD II, Polling Unit, IFO, Ogun State, Nigeria</t>
  </si>
  <si>
    <t>AGBADO</t>
  </si>
  <si>
    <t>27-07-04-001</t>
  </si>
  <si>
    <t>N.U.D. SCHOOL  I</t>
  </si>
  <si>
    <t>https://docs.inecelectionresults.net/elections_prod/1292/state/1/lga/3672/ward/24031/pu/92142/92142-1677582541.pdf</t>
  </si>
  <si>
    <t>N.U.D. SCHOOL  I, Polling Unit, IFO, Ogun State, Nigeria</t>
  </si>
  <si>
    <t>27-07-04-002</t>
  </si>
  <si>
    <t>N.U.D. SCHOOL  II</t>
  </si>
  <si>
    <t>https://docs.inecelectionresults.net/elections_prod/1292/state/1/lga/3672/ward/24031/pu/92143/92143-1677545136.pdf</t>
  </si>
  <si>
    <t>N.U.D. SCHOOL  II, Polling Unit, IFO, Ogun State, Nigeria</t>
  </si>
  <si>
    <t>27-07-04-003</t>
  </si>
  <si>
    <t>N.U.D. SCHOOL  III</t>
  </si>
  <si>
    <t>https://docs.inecelectionresults.net/elections_prod/1292/state/1/lga/3672/ward/24031/pu/92144/92144-1677530769.pdf</t>
  </si>
  <si>
    <t>N.U.D. SCHOOL  III, Polling Unit, IFO, Ogun State, Nigeria</t>
  </si>
  <si>
    <t>27-07-04-004</t>
  </si>
  <si>
    <t>COURT JUNCTION  I</t>
  </si>
  <si>
    <t>https://docs.inecelectionresults.net/elections_prod/1292/state/1/lga/3672/ward/24031/pu/92145/92145-1677527518.pdf</t>
  </si>
  <si>
    <t>COURT JUNCTION  I, Polling Unit, IFO, Ogun State, Nigeria</t>
  </si>
  <si>
    <t>27-07-04-007</t>
  </si>
  <si>
    <t>A.C. SCHOOL, AGBADO  I</t>
  </si>
  <si>
    <t>https://docs.inecelectionresults.net/elections_prod/1292/state/1/lga/3672/ward/24031/pu/92148/92148-1677582828.pdf</t>
  </si>
  <si>
    <t>A.C. SCHOOL, AGBADO  I, Polling Unit, IFO, Ogun State, Nigeria</t>
  </si>
  <si>
    <t>27-07-04-008</t>
  </si>
  <si>
    <t>A.C. SCHOOL, AGBADO  II</t>
  </si>
  <si>
    <t>https://docs.inecelectionresults.net/elections_prod/1292/state/1/lga/3672/ward/24031/pu/92149/92149-1677533095.pdf</t>
  </si>
  <si>
    <t>A.C. SCHOOL, AGBADO  II, Polling Unit, IFO, Ogun State, Nigeria</t>
  </si>
  <si>
    <t>27-07-04-010</t>
  </si>
  <si>
    <t>AKERA  I</t>
  </si>
  <si>
    <t>https://docs.inecelectionresults.net/elections_prod/1292/state/1/lga/3672/ward/24031/pu/92151/92151-1677528915.pdf</t>
  </si>
  <si>
    <t>AKERA  I, Polling Unit, IFO, Ogun State, Nigeria</t>
  </si>
  <si>
    <t>27-07-04-013</t>
  </si>
  <si>
    <t>L.G.A. OFFICE  II</t>
  </si>
  <si>
    <t>https://docs.inecelectionresults.net/elections_prod/1292/state/1/lga/3672/ward/24031/pu/92154/92154-1677531965.pdf</t>
  </si>
  <si>
    <t>L.G.A. OFFICE  II, Polling Unit, IFO, Ogun State, Nigeria</t>
  </si>
  <si>
    <t>27-07-04-014</t>
  </si>
  <si>
    <t>MARKET  I</t>
  </si>
  <si>
    <t>https://docs.inecelectionresults.net/elections_prod/1292/state/1/lga/3672/ward/24031/pu/92155/92155-1677532267.pdf</t>
  </si>
  <si>
    <t>MARKET  I, Polling Unit, IFO, Ogun State, Nigeria</t>
  </si>
  <si>
    <t>27-07-04-015</t>
  </si>
  <si>
    <t>MARKET  II</t>
  </si>
  <si>
    <t>https://docs.inecelectionresults.net/elections_prod/1292/state/1/lga/3672/ward/24031/pu/92156/92156-1677532866.pdf</t>
  </si>
  <si>
    <t>MARKET  II, Polling Unit, IFO, Ogun State, Nigeria</t>
  </si>
  <si>
    <t>27-07-04-016</t>
  </si>
  <si>
    <t>MARKET  III</t>
  </si>
  <si>
    <t>https://docs.inecelectionresults.net/elections_prod/1292/state/1/lga/3672/ward/24031/pu/92157/92157-1677535769.pdf</t>
  </si>
  <si>
    <t>MARKET  III, Polling Unit, IFO, Ogun State, Nigeria</t>
  </si>
  <si>
    <t>27-07-04-017</t>
  </si>
  <si>
    <t>ISAGA ABOSULE  I</t>
  </si>
  <si>
    <t>https://docs.inecelectionresults.net/elections_prod/1292/state/1/lga/3672/ward/24031/pu/92158/92158-1677534386.pdf</t>
  </si>
  <si>
    <t>ISAGA ABOSULE  I, Polling Unit, IFO, Ogun State, Nigeria</t>
  </si>
  <si>
    <t>27-07-04-023</t>
  </si>
  <si>
    <t>ADUBULEJA  II</t>
  </si>
  <si>
    <t>https://docs.inecelectionresults.net/elections_prod/1292/state/01/lga/07/ward/04/pu/023/023-1677381079.pdf</t>
  </si>
  <si>
    <t>ADUBULEJA  II, Polling Unit, IFO, Ogun State, Nigeria</t>
  </si>
  <si>
    <t>27-07-04-027</t>
  </si>
  <si>
    <t>ABORO AREA  II</t>
  </si>
  <si>
    <t>https://docs.inecelectionresults.net/elections_prod/1292/state/1/lga/3672/ward/24031/pu/92168/92168-1677536815.pdf</t>
  </si>
  <si>
    <t>ABORO AREA  II, Polling Unit, IFO, Ogun State, Nigeria</t>
  </si>
  <si>
    <t>ISERI</t>
  </si>
  <si>
    <t>27-07-05-003</t>
  </si>
  <si>
    <t>MAWERE</t>
  </si>
  <si>
    <t>https://docs.inecelectionresults.net/elections_prod/1292/state/1/lga/3672/ward/24032/pu/92176/92176-1677533438.pdf</t>
  </si>
  <si>
    <t>MAWERE, Polling Unit, IFO, Ogun State, Nigeria</t>
  </si>
  <si>
    <t>27-07-05-004</t>
  </si>
  <si>
    <t>IWO JUCTION  I</t>
  </si>
  <si>
    <t>https://docs.inecelectionresults.net/elections_prod/1292/state/1/lga/3672/ward/24032/pu/92177/92177-1677533673.pdf</t>
  </si>
  <si>
    <t>IWO JUCTION  I, Polling Unit, IFO, Ogun State, Nigeria</t>
  </si>
  <si>
    <t>27-07-05-005</t>
  </si>
  <si>
    <t>IWO JUCTION  II</t>
  </si>
  <si>
    <t>https://docs.inecelectionresults.net/elections_prod/1292/state/1/lga/3672/ward/24032/pu/92178/92178-1677541657.pdf</t>
  </si>
  <si>
    <t>IWO JUCTION  II, Polling Unit, IFO, Ogun State, Nigeria</t>
  </si>
  <si>
    <t>27-07-05-006</t>
  </si>
  <si>
    <t>IWO JUCTION  III</t>
  </si>
  <si>
    <t>https://docs.inecelectionresults.net/elections_prod/1292/state/1/lga/3672/ward/24032/pu/92179/92179-1677534124.pdf</t>
  </si>
  <si>
    <t>IWO JUCTION  III, Polling Unit, IFO, Ogun State, Nigeria</t>
  </si>
  <si>
    <t>27-07-05-007</t>
  </si>
  <si>
    <t>KAJOLA JUNCTION  I</t>
  </si>
  <si>
    <t>https://docs.inecelectionresults.net/elections_prod/1292/state/1/lga/3672/ward/24032/pu/92180/92180-1677534297.pdf</t>
  </si>
  <si>
    <t>KAJOLA JUNCTION  I, Polling Unit, IFO, Ogun State, Nigeria</t>
  </si>
  <si>
    <t>27-07-05-008</t>
  </si>
  <si>
    <t>KAJOLA JUNCTION  II</t>
  </si>
  <si>
    <t>https://docs.inecelectionresults.net/elections_prod/1292/state/1/lga/3672/ward/24032/pu/92181/92181-1677534792.pdf</t>
  </si>
  <si>
    <t>KAJOLA JUNCTION  II, Polling Unit, IFO, Ogun State, Nigeria</t>
  </si>
  <si>
    <t>27-07-05-009</t>
  </si>
  <si>
    <t>YAKOYO  I</t>
  </si>
  <si>
    <t>https://docs.inecelectionresults.net/elections_prod/1292/state/1/lga/3672/ward/24032/pu/92182/92182-1677534935.pdf</t>
  </si>
  <si>
    <t>YAKOYO  I, Polling Unit, IFO, Ogun State, Nigeria</t>
  </si>
  <si>
    <t>27-07-05-011</t>
  </si>
  <si>
    <t>SCHOOL PREMISES, OJODU  I</t>
  </si>
  <si>
    <t>https://docs.inecelectionresults.net/elections_prod/1292/state/1/lga/3672/ward/24032/pu/92184/92184-1677535176.pdf</t>
  </si>
  <si>
    <t>SCHOOL PREMISES, OJODU  I, Polling Unit, IFO, Ogun State, Nigeria</t>
  </si>
  <si>
    <t>27-07-05-013</t>
  </si>
  <si>
    <t>SCHOOL PREMISES, OJODU  III</t>
  </si>
  <si>
    <t>https://docs.inecelectionresults.net/elections_prod/1292/state/1/lga/3672/ward/24032/pu/92186/92186-1677535436.pdf</t>
  </si>
  <si>
    <t>SCHOOL PREMISES, OJODU  III, Polling Unit, IFO, Ogun State, Nigeria</t>
  </si>
  <si>
    <t>27-07-05-014</t>
  </si>
  <si>
    <t>SCHOOL PREMISES, OJODU  IV</t>
  </si>
  <si>
    <t>https://docs.inecelectionresults.net/elections_prod/1292/state/1/lga/3672/ward/24032/pu/92187/92187-1677535566.pdf</t>
  </si>
  <si>
    <t>SCHOOL PREMISES, OJODU  IV, Polling Unit, IFO, Ogun State, Nigeria</t>
  </si>
  <si>
    <t>27-07-05-015</t>
  </si>
  <si>
    <t>WARIWA/BAOKU VILLAGE  I</t>
  </si>
  <si>
    <t>https://docs.inecelectionresults.net/elections_prod/1292/state/1/lga/3672/ward/24032/pu/92188/92188-1677535773.pdf</t>
  </si>
  <si>
    <t>WARIWA/BAOKU VILLAGE  I, Polling Unit, IFO, Ogun State, Nigeria</t>
  </si>
  <si>
    <t>27-07-05-016</t>
  </si>
  <si>
    <t>WARIWA/BAOKU VILLAGE  II</t>
  </si>
  <si>
    <t>https://docs.inecelectionresults.net/elections_prod/1292/state/1/lga/3672/ward/24032/pu/92189/92189-1677535878.pdf</t>
  </si>
  <si>
    <t>WARIWA/BAOKU VILLAGE  II, Polling Unit, IFO, Ogun State, Nigeria</t>
  </si>
  <si>
    <t>27-07-05-017</t>
  </si>
  <si>
    <t>IGBEHIN ADUN  I</t>
  </si>
  <si>
    <t>https://docs.inecelectionresults.net/elections_prod/1292/state/01/lga/07/ward/05/pu/017/017-1677403463.pdf</t>
  </si>
  <si>
    <t>IGBEHIN ADUN  I, Polling Unit, IFO, Ogun State, Nigeria</t>
  </si>
  <si>
    <t>27-07-05-018</t>
  </si>
  <si>
    <t>IGBEHIN ADUN  II</t>
  </si>
  <si>
    <t>https://docs.inecelectionresults.net/elections_prod/1292/state/1/lga/3672/ward/24032/pu/92191/92191-1677536067.pdf</t>
  </si>
  <si>
    <t>IGBEHIN ADUN  II, Polling Unit, IFO, Ogun State, Nigeria</t>
  </si>
  <si>
    <t>27-07-05-019</t>
  </si>
  <si>
    <t>C.M.S. AGO-IJAYE</t>
  </si>
  <si>
    <t>https://docs.inecelectionresults.net/elections_prod/1292/state/1/lga/3672/ward/24032/pu/92192/92192-1677536191.pdf</t>
  </si>
  <si>
    <t>C.M.S. AGO-IJAYE, Polling Unit, IFO, Ogun State, Nigeria</t>
  </si>
  <si>
    <t>AJUWON/AKUTE</t>
  </si>
  <si>
    <t>27-07-06-001</t>
  </si>
  <si>
    <t>SCHOOL PREMISES AJUWON  I</t>
  </si>
  <si>
    <t>https://docs.inecelectionresults.net/elections_prod/1292/state/1/lga/3672/ward/24033/pu/92193/92193-1677541485.pdf</t>
  </si>
  <si>
    <t>SCHOOL PREMISES AJUWON  I, Polling Unit, IFO, Ogun State, Nigeria</t>
  </si>
  <si>
    <t>27-07-06-002</t>
  </si>
  <si>
    <t>SCHOOL PREMISES AJUWON II</t>
  </si>
  <si>
    <t>https://docs.inecelectionresults.net/elections_prod/1292/state/1/lga/3672/ward/24033/pu/92194/92194-1677539229.pdf</t>
  </si>
  <si>
    <t>SCHOOL PREMISES AJUWON II, Polling Unit, IFO, Ogun State, Nigeria</t>
  </si>
  <si>
    <t>27-07-06-004</t>
  </si>
  <si>
    <t>OGUNLOWO  II</t>
  </si>
  <si>
    <t>https://docs.inecelectionresults.net/elections_prod/1292/state/1/lga/3672/ward/24033/pu/92196/92196-1677538174.pdf</t>
  </si>
  <si>
    <t>OGUNLOWO  II, Polling Unit, IFO, Ogun State, Nigeria</t>
  </si>
  <si>
    <t>27-07-06-005</t>
  </si>
  <si>
    <t>OGUNLOWO  III</t>
  </si>
  <si>
    <t>https://docs.inecelectionresults.net/elections_prod/1292/state/1/lga/3672/ward/24033/pu/92197/92197-1677542561.pdf</t>
  </si>
  <si>
    <t>OGUNLOWO  III, Polling Unit, IFO, Ogun State, Nigeria</t>
  </si>
  <si>
    <t>27-07-06-006</t>
  </si>
  <si>
    <t>OJO SUNMONU  I</t>
  </si>
  <si>
    <t>https://docs.inecelectionresults.net/elections_prod/1292/state/1/lga/3672/ward/24033/pu/92198/92198-1677530638.pdf</t>
  </si>
  <si>
    <t>OJO SUNMONU  I, Polling Unit, IFO, Ogun State, Nigeria</t>
  </si>
  <si>
    <t>27-07-06-007</t>
  </si>
  <si>
    <t>OJO SUNMONU  II</t>
  </si>
  <si>
    <t>https://docs.inecelectionresults.net/elections_prod/1292/state/1/lga/3672/ward/24033/pu/92199/92199-1677497971.pdf</t>
  </si>
  <si>
    <t>OJO SUNMONU  II, Polling Unit, IFO, Ogun State, Nigeria</t>
  </si>
  <si>
    <t>27-07-06-008</t>
  </si>
  <si>
    <t>SCH. PREM. AKUTE/FABOLADE  I</t>
  </si>
  <si>
    <t>https://docs.inecelectionresults.net/elections_prod/1292/state/1/lga/3672/ward/24033/pu/92200/92200-1677499450.pdf</t>
  </si>
  <si>
    <t>SCH. PREM. AKUTE/FABOLADE  I, Polling Unit, IFO, Ogun State, Nigeria</t>
  </si>
  <si>
    <t>27-07-06-009</t>
  </si>
  <si>
    <t>SCH. PREM. AKUTE/FABOLADE  II</t>
  </si>
  <si>
    <t>https://docs.inecelectionresults.net/elections_prod/1292/state/1/lga/3672/ward/24033/pu/92201/92201-1677503859.pdf</t>
  </si>
  <si>
    <t>SCH. PREM. AKUTE/FABOLADE  II, Polling Unit, IFO, Ogun State, Nigeria</t>
  </si>
  <si>
    <t>27-07-06-010</t>
  </si>
  <si>
    <t>SCH. PREM. AKUTE/FABOLADE  III</t>
  </si>
  <si>
    <t>https://docs.inecelectionresults.net/elections_prod/1292/state/1/lga/3672/ward/24033/pu/92202/92202-1677541282.pdf</t>
  </si>
  <si>
    <t>SCH. PREM. AKUTE/FABOLADE  III, Polling Unit, IFO, Ogun State, Nigeria</t>
  </si>
  <si>
    <t>27-07-06-012</t>
  </si>
  <si>
    <t>ISASI  II</t>
  </si>
  <si>
    <t>https://docs.inecelectionresults.net/elections_prod/1292/state/1/lga/3672/ward/24033/pu/92204/92204-1677547621.pdf</t>
  </si>
  <si>
    <t>ISASI  II, Polling Unit, IFO, Ogun State, Nigeria</t>
  </si>
  <si>
    <t>27-07-06-013</t>
  </si>
  <si>
    <t>ARAROMI/MORICAS  I</t>
  </si>
  <si>
    <t>https://docs.inecelectionresults.net/elections_prod/1292/state/1/lga/3672/ward/24033/pu/92205/92205-1677499265.pdf</t>
  </si>
  <si>
    <t>ARAROMI/MORICAS  I, Polling Unit, IFO, Ogun State, Nigeria</t>
  </si>
  <si>
    <t>27-07-06-014</t>
  </si>
  <si>
    <t>ARAROMI/MORICAS  II</t>
  </si>
  <si>
    <t>https://docs.inecelectionresults.net/elections_prod/1292/state/01/lga/07/ward/06/pu/014/014-1677400527.pdf</t>
  </si>
  <si>
    <t>ARAROMI/MORICAS  II, Polling Unit, IFO, Ogun State, Nigeria</t>
  </si>
  <si>
    <t>27-07-06-015</t>
  </si>
  <si>
    <t>ARAROMI/MORICAS  III</t>
  </si>
  <si>
    <t>https://docs.inecelectionresults.net/elections_prod/1292/state/1/lga/3672/ward/24033/pu/92207/92207-1677540225.pdf</t>
  </si>
  <si>
    <t>ARAROMI/MORICAS  III, Polling Unit, IFO, Ogun State, Nigeria</t>
  </si>
  <si>
    <t>27-07-06-016</t>
  </si>
  <si>
    <t>Z.I. SCHOOL II AKUTE I</t>
  </si>
  <si>
    <t>https://docs.inecelectionresults.net/elections_prod/1292/state/1/lga/3672/ward/24033/pu/92208/92208-1677502111.pdf</t>
  </si>
  <si>
    <t>Z.I. SCHOOL II AKUTE I, Polling Unit, IFO, Ogun State, Nigeria</t>
  </si>
  <si>
    <t>27-07-06-017</t>
  </si>
  <si>
    <t>Z.I. SCHOOL II AKUTE II</t>
  </si>
  <si>
    <t>https://docs.inecelectionresults.net/elections_prod/1292/state/1/lga/3672/ward/24033/pu/92209/92209-1677533885.pdf</t>
  </si>
  <si>
    <t>Z.I. SCHOOL II AKUTE II, Polling Unit, IFO, Ogun State, Nigeria</t>
  </si>
  <si>
    <t>27-07-06-018</t>
  </si>
  <si>
    <t>TAJU BELLO (ABEKOKO)  I</t>
  </si>
  <si>
    <t>https://docs.inecelectionresults.net/elections_prod/1292/state/1/lga/3672/ward/24033/pu/92210/92210-1677535209.pdf</t>
  </si>
  <si>
    <t>TAJU BELLO (ABEKOKO)  I, Polling Unit, IFO, Ogun State, Nigeria</t>
  </si>
  <si>
    <t>27-07-06-019</t>
  </si>
  <si>
    <t>TAJU BELLO (ABEKOKO)  II</t>
  </si>
  <si>
    <t>https://docs.inecelectionresults.net/elections_prod/1292/state/1/lga/3672/ward/24033/pu/92211/92211-1677528335.pdf</t>
  </si>
  <si>
    <t>TAJU BELLO (ABEKOKO)  II, Polling Unit, IFO, Ogun State, Nigeria</t>
  </si>
  <si>
    <t>27-07-06-020</t>
  </si>
  <si>
    <t>BAALE AKINOSI  I</t>
  </si>
  <si>
    <t>https://docs.inecelectionresults.net/elections_prod/1292/state/1/lga/3672/ward/24033/pu/92212/92212-1677531438.pdf</t>
  </si>
  <si>
    <t>BAALE AKINOSI  I, Polling Unit, IFO, Ogun State, Nigeria</t>
  </si>
  <si>
    <t>27-07-06-021</t>
  </si>
  <si>
    <t>BAALE AKINOSI  II</t>
  </si>
  <si>
    <t>https://docs.inecelectionresults.net/elections_prod/1292/state/1/lga/3672/ward/24033/pu/92213/92213-1677507846.pdf</t>
  </si>
  <si>
    <t>BAALE AKINOSI  II, Polling Unit, IFO, Ogun State, Nigeria</t>
  </si>
  <si>
    <t>27-07-06-022</t>
  </si>
  <si>
    <t>BAALE AKINOSI  III</t>
  </si>
  <si>
    <t>https://docs.inecelectionresults.net/elections_prod/1292/state/1/lga/3672/ward/24033/pu/92214/92214-1677504084.pdf</t>
  </si>
  <si>
    <t>BAALE AKINOSI  III, Polling Unit, IFO, Ogun State, Nigeria</t>
  </si>
  <si>
    <t>27-07-06-023</t>
  </si>
  <si>
    <t>BAALE AKINOSI  IV</t>
  </si>
  <si>
    <t>https://docs.inecelectionresults.net/elections_prod/1292/state/1/lga/3672/ward/24033/pu/92215/92215-1677497568.pdf</t>
  </si>
  <si>
    <t>BAALE AKINOSI  IV, Polling Unit, IFO, Ogun State, Nigeria</t>
  </si>
  <si>
    <t>27-07-06-024</t>
  </si>
  <si>
    <t>BAALE AKINOSI  V</t>
  </si>
  <si>
    <t>https://docs.inecelectionresults.net/elections_prod/1292/state/1/lga/3672/ward/24033/pu/92216/92216-1677531007.pdf</t>
  </si>
  <si>
    <t>BAALE AKINOSI  V, Polling Unit, IFO, Ogun State, Nigeria</t>
  </si>
  <si>
    <t>27-07-06-026</t>
  </si>
  <si>
    <t>IJU AGA MARKET  I</t>
  </si>
  <si>
    <t>https://docs.inecelectionresults.net/elections_prod/1292/state/01/lga/07/ward/06/pu/026/026-1677419652.pdf</t>
  </si>
  <si>
    <t>IJU AGA MARKET  I, Polling Unit, IFO, Ogun State, Nigeria</t>
  </si>
  <si>
    <t>27-07-06-027</t>
  </si>
  <si>
    <t>IJU AGA MARKET  II</t>
  </si>
  <si>
    <t>https://docs.inecelectionresults.net/elections_prod/1292/state/01/lga/07/ward/06/pu/027/027-1677418960.pdf</t>
  </si>
  <si>
    <t>IJU AGA MARKET  II, Polling Unit, IFO, Ogun State, Nigeria</t>
  </si>
  <si>
    <t>27-07-06-028</t>
  </si>
  <si>
    <t>IJU AGA MARKET  III</t>
  </si>
  <si>
    <t>https://docs.inecelectionresults.net/elections_prod/1292/state/1/lga/3672/ward/24033/pu/92220/92220-1677536433.pdf</t>
  </si>
  <si>
    <t>IJU AGA MARKET  III, Polling Unit, IFO, Ogun State, Nigeria</t>
  </si>
  <si>
    <t>27-07-06-029</t>
  </si>
  <si>
    <t>GAUN  I</t>
  </si>
  <si>
    <t>https://docs.inecelectionresults.net/elections_prod/1292/state/1/lga/3672/ward/24033/pu/92221/92221-1677539807.pdf</t>
  </si>
  <si>
    <t>GAUN  I, Polling Unit, IFO, Ogun State, Nigeria</t>
  </si>
  <si>
    <t>27-07-06-030</t>
  </si>
  <si>
    <t>GAUN  II</t>
  </si>
  <si>
    <t>https://docs.inecelectionresults.net/elections_prod/1292/state/1/lga/3672/ward/24033/pu/92222/92222-1677531884.pdf</t>
  </si>
  <si>
    <t>GAUN  II, Polling Unit, IFO, Ogun State, Nigeria</t>
  </si>
  <si>
    <t>27-07-06-033</t>
  </si>
  <si>
    <t>AJUWON VILLAGE  III</t>
  </si>
  <si>
    <t>https://docs.inecelectionresults.net/elections_prod/1292/state/1/lga/3672/ward/24033/pu/92225/92225-1677532958.pdf</t>
  </si>
  <si>
    <t>AJUWON VILLAGE  III, Polling Unit, IFO, Ogun State, Nigeria</t>
  </si>
  <si>
    <t>27-07-06-037</t>
  </si>
  <si>
    <t>ONIBUDO</t>
  </si>
  <si>
    <t>https://docs.inecelectionresults.net/elections_prod/1292/state/1/lga/3672/ward/24033/pu/92229/92229-1677502432.pdf</t>
  </si>
  <si>
    <t>ONIBUDO, Polling Unit, IFO, Ogun State, Nigeria</t>
  </si>
  <si>
    <t>OKE-ARO/IBARAGUN/ROBIYAN</t>
  </si>
  <si>
    <t>27-07-07-001</t>
  </si>
  <si>
    <t>OKUN GBOLU  I</t>
  </si>
  <si>
    <t>https://docs.inecelectionresults.net/elections_prod/1292/state/01/lga/07/ward/07/pu/001/001-1677388431.pdf</t>
  </si>
  <si>
    <t>OKUN GBOLU  I, Polling Unit, IFO, Ogun State, Nigeria</t>
  </si>
  <si>
    <t>27-07-07-002</t>
  </si>
  <si>
    <t>OKUN GBOLU  II</t>
  </si>
  <si>
    <t>https://docs.inecelectionresults.net/elections_prod/1292/state/1/lga/3672/ward/24034/pu/92232/92232-1677518517.pdf</t>
  </si>
  <si>
    <t>OKUN GBOLU  II, Polling Unit, IFO, Ogun State, Nigeria</t>
  </si>
  <si>
    <t>27-07-07-003</t>
  </si>
  <si>
    <t>SCHOOL PREM MATOGUN  I</t>
  </si>
  <si>
    <t>https://docs.inecelectionresults.net/elections_prod/1292/state/01/lga/07/ward/07/pu/003/003-1677380989.pdf</t>
  </si>
  <si>
    <t>SCHOOL PREM MATOGUN  I, Polling Unit, IFO, Ogun State, Nigeria</t>
  </si>
  <si>
    <t>27-07-07-004</t>
  </si>
  <si>
    <t>SCHOOL PREM MATOGUN  II</t>
  </si>
  <si>
    <t>https://docs.inecelectionresults.net/elections_prod/1292/state/1/lga/3672/ward/24034/pu/92234/92234-1677510697.pdf</t>
  </si>
  <si>
    <t>SCHOOL PREM MATOGUN  II, Polling Unit, IFO, Ogun State, Nigeria</t>
  </si>
  <si>
    <t>27-07-07-005</t>
  </si>
  <si>
    <t>SCHOOL PREM. ROBIYAN</t>
  </si>
  <si>
    <t>https://docs.inecelectionresults.net/elections_prod/1292/state/01/lga/07/ward/07/pu/005/005-1677381780.pdf</t>
  </si>
  <si>
    <t>SCHOOL PREM. ROBIYAN, Polling Unit, IFO, Ogun State, Nigeria</t>
  </si>
  <si>
    <t>27-07-07-006</t>
  </si>
  <si>
    <t>SCH. PREM IBARAGUN  I</t>
  </si>
  <si>
    <t>https://docs.inecelectionresults.net/elections_prod/1292/state/1/lga/3672/ward/24034/pu/92236/92236-1677507804.pdf</t>
  </si>
  <si>
    <t>SCH. PREM IBARAGUN  I, Polling Unit, IFO, Ogun State, Nigeria</t>
  </si>
  <si>
    <t>27-07-07-007</t>
  </si>
  <si>
    <t>SCH. PREM IBARAGUN  II</t>
  </si>
  <si>
    <t>https://docs.inecelectionresults.net/elections_prod/1292/state/01/lga/07/ward/07/pu/007/007-1677382351.pdf</t>
  </si>
  <si>
    <t>SCH. PREM IBARAGUN  II, Polling Unit, IFO, Ogun State, Nigeria</t>
  </si>
  <si>
    <t>27-07-07-008</t>
  </si>
  <si>
    <t>SCH. PREM. OKE ARO  I</t>
  </si>
  <si>
    <t>https://docs.inecelectionresults.net/elections_prod/1292/state/01/lga/07/ward/07/pu/008/008-1677381696.pdf</t>
  </si>
  <si>
    <t>SCH. PREM. OKE ARO  I, Polling Unit, IFO, Ogun State, Nigeria</t>
  </si>
  <si>
    <t>27-07-07-009</t>
  </si>
  <si>
    <t>SCH. PREM. OKE ARO  II</t>
  </si>
  <si>
    <t>https://docs.inecelectionresults.net/elections_prod/1292/state/01/lga/07/ward/07/pu/009/009-1677377783.pdf</t>
  </si>
  <si>
    <t>SCH. PREM. OKE ARO  II, Polling Unit, IFO, Ogun State, Nigeria</t>
  </si>
  <si>
    <t>27-07-07-010</t>
  </si>
  <si>
    <t>SCH. PREM. OKE ARO  III</t>
  </si>
  <si>
    <t>https://docs.inecelectionresults.net/elections_prod/1292/state/01/lga/07/ward/07/pu/010/010-1677383777.pdf</t>
  </si>
  <si>
    <t>SCH. PREM. OKE ARO  III, Polling Unit, IFO, Ogun State, Nigeria</t>
  </si>
  <si>
    <t>27-07-07-011</t>
  </si>
  <si>
    <t>SCH. PREM. OKE ARO  IV</t>
  </si>
  <si>
    <t>https://docs.inecelectionresults.net/elections_prod/1292/state/01/lga/07/ward/07/pu/011/011-1677381890.pdf</t>
  </si>
  <si>
    <t>SCH. PREM. OKE ARO  IV, Polling Unit, IFO, Ogun State, Nigeria</t>
  </si>
  <si>
    <t>27-07-07-012</t>
  </si>
  <si>
    <t>OPE ILU IDIROKO  I</t>
  </si>
  <si>
    <t>https://docs.inecelectionresults.net/elections_prod/1292/state/01/lga/07/ward/07/pu/012/012-1677382686.pdf</t>
  </si>
  <si>
    <t>OPE ILU IDIROKO  I, Polling Unit, IFO, Ogun State, Nigeria</t>
  </si>
  <si>
    <t>27-07-07-013</t>
  </si>
  <si>
    <t>OPE ILU IDIROKO  II</t>
  </si>
  <si>
    <t>https://docs.inecelectionresults.net/elections_prod/1292/state/1/lga/3672/ward/24034/pu/92243/92243-1677509032.pdf</t>
  </si>
  <si>
    <t>OPE ILU IDIROKO  II, Polling Unit, IFO, Ogun State, Nigeria</t>
  </si>
  <si>
    <t>27-07-07-014</t>
  </si>
  <si>
    <t>YEWANDE  I</t>
  </si>
  <si>
    <t>https://docs.inecelectionresults.net/elections_prod/1292/state/01/lga/07/ward/07/pu/014/014-1677378551.pdf</t>
  </si>
  <si>
    <t>YEWANDE  I, Polling Unit, IFO, Ogun State, Nigeria</t>
  </si>
  <si>
    <t>27-07-07-015</t>
  </si>
  <si>
    <t>YEWANDE  II</t>
  </si>
  <si>
    <t>https://docs.inecelectionresults.net/elections_prod/1292/state/01/lga/07/ward/07/pu/015/015-1677397864.pdf</t>
  </si>
  <si>
    <t>YEWANDE  II, Polling Unit, IFO, Ogun State, Nigeria</t>
  </si>
  <si>
    <t>27-07-07-016</t>
  </si>
  <si>
    <t>YEWANDE  III</t>
  </si>
  <si>
    <t>https://docs.inecelectionresults.net/elections_prod/1292/state/01/lga/07/ward/07/pu/016/016-1677395097.pdf</t>
  </si>
  <si>
    <t>YEWANDE  III, Polling Unit, IFO, Ogun State, Nigeria</t>
  </si>
  <si>
    <t>27-07-07-018</t>
  </si>
  <si>
    <t>OLAMBE  I</t>
  </si>
  <si>
    <t>https://docs.inecelectionresults.net/elections_prod/1292/state/01/lga/07/ward/07/pu/018/018-1677375574.pdf</t>
  </si>
  <si>
    <t>OLAMBE  I, Polling Unit, IFO, Ogun State, Nigeria</t>
  </si>
  <si>
    <t>27-07-07-019</t>
  </si>
  <si>
    <t>OLAMBE  II</t>
  </si>
  <si>
    <t>https://docs.inecelectionresults.net/elections_prod/1292/state/01/lga/07/ward/07/pu/019/019-1677379557.pdf</t>
  </si>
  <si>
    <t>OLAMBE  II, Polling Unit, IFO, Ogun State, Nigeria</t>
  </si>
  <si>
    <t>27-07-07-020</t>
  </si>
  <si>
    <t>ITOKI  I</t>
  </si>
  <si>
    <t>https://docs.inecelectionresults.net/elections_prod/1292/state/01/lga/07/ward/07/pu/020/020-1677383089.pdf</t>
  </si>
  <si>
    <t>ITOKI  I, Polling Unit, IFO, Ogun State, Nigeria</t>
  </si>
  <si>
    <t>27-07-07-021</t>
  </si>
  <si>
    <t>ITOKI  II</t>
  </si>
  <si>
    <t>https://docs.inecelectionresults.net/elections_prod/1292/state/01/lga/07/ward/07/pu/021/021-1677375874.pdf</t>
  </si>
  <si>
    <t>ITOKI  II, Polling Unit, IFO, Ogun State, Nigeria</t>
  </si>
  <si>
    <t>27-07-07-022</t>
  </si>
  <si>
    <t>ADIYAN AJEGUNLE  I</t>
  </si>
  <si>
    <t>https://docs.inecelectionresults.net/elections_prod/1292/state/01/lga/07/ward/07/pu/022/022-1677382198.pdf</t>
  </si>
  <si>
    <t>ADIYAN AJEGUNLE  I, Polling Unit, IFO, Ogun State, Nigeria</t>
  </si>
  <si>
    <t>27-07-07-024</t>
  </si>
  <si>
    <t>ADIYAN AJEGUNLE  III</t>
  </si>
  <si>
    <t>https://docs.inecelectionresults.net/elections_prod/1292/state/01/lga/07/ward/07/pu/024/024-1677372257.pdf</t>
  </si>
  <si>
    <t>ADIYAN AJEGUNLE  III, Polling Unit, IFO, Ogun State, Nigeria</t>
  </si>
  <si>
    <t>27-07-07-025</t>
  </si>
  <si>
    <t>PETER VILLAGE JUNCTION  I</t>
  </si>
  <si>
    <t>https://docs.inecelectionresults.net/elections_prod/1292/state/01/lga/07/ward/07/pu/025/025-1677386634.pdf</t>
  </si>
  <si>
    <t>PETER VILLAGE JUNCTION  I, Polling Unit, IFO, Ogun State, Nigeria</t>
  </si>
  <si>
    <t>27-07-07-027</t>
  </si>
  <si>
    <t>LEGUN VILLAGE</t>
  </si>
  <si>
    <t>https://docs.inecelectionresults.net/elections_prod/1292/state/1/lga/3672/ward/24034/pu/92257/92257-1677504049.pdf</t>
  </si>
  <si>
    <t>LEGUN VILLAGE, Polling Unit, IFO, Ogun State, Nigeria</t>
  </si>
  <si>
    <t>27-07-07-029</t>
  </si>
  <si>
    <t>OLUWO JAFA  II</t>
  </si>
  <si>
    <t>https://docs.inecelectionresults.net/elections_prod/1292/state/01/lga/07/ward/07/pu/029/029-1677374093.pdf</t>
  </si>
  <si>
    <t>OLUWO JAFA  II, Polling Unit, IFO, Ogun State, Nigeria</t>
  </si>
  <si>
    <t>27-07-07-030</t>
  </si>
  <si>
    <t>ABULE EKUN  I</t>
  </si>
  <si>
    <t>https://docs.inecelectionresults.net/elections_prod/1292/state/01/lga/07/ward/07/pu/030/030-1677381988.pdf</t>
  </si>
  <si>
    <t>ABULE EKUN  I, Polling Unit, IFO, Ogun State, Nigeria</t>
  </si>
  <si>
    <t>27-07-07-031</t>
  </si>
  <si>
    <t>ABULE EKUN  II</t>
  </si>
  <si>
    <t>https://docs.inecelectionresults.net/elections_prod/1292/state/01/lga/07/ward/07/pu/031/031-1677367007.pdf</t>
  </si>
  <si>
    <t>ABULE EKUN  II, Polling Unit, IFO, Ogun State, Nigeria</t>
  </si>
  <si>
    <t>27-07-07-032</t>
  </si>
  <si>
    <t>ENILOLOBO YEWANDE</t>
  </si>
  <si>
    <t>https://docs.inecelectionresults.net/elections_prod/1292/state/01/lga/07/ward/07/pu/032/032-1677393985.pdf</t>
  </si>
  <si>
    <t>ENILOLOBO YEWANDE, Polling Unit, IFO, Ogun State, Nigeria</t>
  </si>
  <si>
    <t>OSOSUN</t>
  </si>
  <si>
    <t>27-07-08-002</t>
  </si>
  <si>
    <t>BAAMU</t>
  </si>
  <si>
    <t>https://docs.inecelectionresults.net/elections_prod/1292/state/1/lga/3672/ward/24035/pu/92264/92264-1677525178.pdf</t>
  </si>
  <si>
    <t>BAAMU, Polling Unit, IFO, Ogun State, Nigeria</t>
  </si>
  <si>
    <t>27-07-08-003</t>
  </si>
  <si>
    <t>BALOGUN VILLAGE</t>
  </si>
  <si>
    <t>https://docs.inecelectionresults.net/elections_prod/1292/state/1/lga/3672/ward/24035/pu/92265/92265-1677525808.pdf</t>
  </si>
  <si>
    <t>BALOGUN VILLAGE, Polling Unit, IFO, Ogun State, Nigeria</t>
  </si>
  <si>
    <t>27-07-08-005</t>
  </si>
  <si>
    <t>SCH. PREM SERIKI  I</t>
  </si>
  <si>
    <t>https://docs.inecelectionresults.net/elections_prod/1292/state/1/lga/3672/ward/24035/pu/92267/92267-1677526891.pdf</t>
  </si>
  <si>
    <t>SCH. PREM SERIKI  I, Polling Unit, IFO, Ogun State, Nigeria</t>
  </si>
  <si>
    <t>27-07-08-006</t>
  </si>
  <si>
    <t>SCH. PREM SERIKI  II</t>
  </si>
  <si>
    <t>https://docs.inecelectionresults.net/elections_prod/1292/state/01/lga/07/ward/08/pu/006/006-1677369590.pdf</t>
  </si>
  <si>
    <t>SCH. PREM SERIKI  II, Polling Unit, IFO, Ogun State, Nigeria</t>
  </si>
  <si>
    <t>27-07-08-007</t>
  </si>
  <si>
    <t>AGBEGISE</t>
  </si>
  <si>
    <t>https://docs.inecelectionresults.net/elections_prod/1292/state/01/lga/07/ward/08/pu/007/007-1677383657.pdf</t>
  </si>
  <si>
    <t>AGBEGISE, Polling Unit, IFO, Ogun State, Nigeria</t>
  </si>
  <si>
    <t>27-07-08-008</t>
  </si>
  <si>
    <t>OYERO VILLAGE</t>
  </si>
  <si>
    <t>https://docs.inecelectionresults.net/elections_prod/1292/state/01/lga/07/ward/08/pu/008/008-1677383340.pdf</t>
  </si>
  <si>
    <t>OYERO VILLAGE, Polling Unit, IFO, Ogun State, Nigeria</t>
  </si>
  <si>
    <t>27-07-08-009</t>
  </si>
  <si>
    <t>SCH. PREM OLUKE</t>
  </si>
  <si>
    <t>https://docs.inecelectionresults.net/elections_prod/1292/state/1/lga/3672/ward/24035/pu/92271/92271-1677526713.pdf</t>
  </si>
  <si>
    <t>SCH. PREM OLUKE, Polling Unit, IFO, Ogun State, Nigeria</t>
  </si>
  <si>
    <t>27-07-08-010</t>
  </si>
  <si>
    <t>RATE OFFICE IJOKO  I</t>
  </si>
  <si>
    <t>https://docs.inecelectionresults.net/elections_prod/1292/state/01/lga/07/ward/08/pu/010/010-1677384430.pdf</t>
  </si>
  <si>
    <t>RATE OFFICE IJOKO  I, Polling Unit, IFO, Ogun State, Nigeria</t>
  </si>
  <si>
    <t>27-07-08-011</t>
  </si>
  <si>
    <t>RATE OFFICE IJOKO  II</t>
  </si>
  <si>
    <t>https://docs.inecelectionresults.net/elections_prod/1292/state/1/lga/3672/ward/24035/pu/92273/92273-1677527263.pdf</t>
  </si>
  <si>
    <t>RATE OFFICE IJOKO  II, Polling Unit, IFO, Ogun State, Nigeria</t>
  </si>
  <si>
    <t>27-07-08-012</t>
  </si>
  <si>
    <t>OLAYEMI PRIMARY SCHOOL</t>
  </si>
  <si>
    <t>https://docs.inecelectionresults.net/elections_prod/1292/state/1/lga/3672/ward/24035/pu/92274/92274-1677527498.pdf</t>
  </si>
  <si>
    <t>OLAYEMI PRIMARY SCHOOL, Polling Unit, IFO, Ogun State, Nigeria</t>
  </si>
  <si>
    <t>27-07-08-013</t>
  </si>
  <si>
    <t>SCH. PREM ALAJA</t>
  </si>
  <si>
    <t>https://docs.inecelectionresults.net/elections_prod/1292/state/01/lga/07/ward/08/pu/013/013-1677380608.pdf</t>
  </si>
  <si>
    <t>SCH. PREM ALAJA, Polling Unit, IFO, Ogun State, Nigeria</t>
  </si>
  <si>
    <t>27-07-08-014</t>
  </si>
  <si>
    <t>SCH. PREM. KAJOLA</t>
  </si>
  <si>
    <t>https://docs.inecelectionresults.net/elections_prod/1292/state/1/lga/3672/ward/24035/pu/92276/92276-1677526296.pdf</t>
  </si>
  <si>
    <t>SCH. PREM. KAJOLA, Polling Unit, IFO, Ogun State, Nigeria</t>
  </si>
  <si>
    <t>27-07-08-015</t>
  </si>
  <si>
    <t>LERIN VILLAGE</t>
  </si>
  <si>
    <t>https://docs.inecelectionresults.net/elections_prod/1292/state/1/lga/3672/ward/24035/pu/92277/92277-1677526105.pdf</t>
  </si>
  <si>
    <t>LERIN VILLAGE, Polling Unit, IFO, Ogun State, Nigeria</t>
  </si>
  <si>
    <t>27-07-08-016</t>
  </si>
  <si>
    <t>SONEKAN VILLAGE</t>
  </si>
  <si>
    <t>https://docs.inecelectionresults.net/elections_prod/1292/state/01/lga/07/ward/08/pu/016/016-1677368450.pdf</t>
  </si>
  <si>
    <t>SONEKAN VILLAGE, Polling Unit, IFO, Ogun State, Nigeria</t>
  </si>
  <si>
    <t>27-07-08-017</t>
  </si>
  <si>
    <t>DEMOKULA</t>
  </si>
  <si>
    <t>https://docs.inecelectionresults.net/elections_prod/1292/state/1/lga/3672/ward/24035/pu/92279/92279-1677529517.pdf</t>
  </si>
  <si>
    <t>DEMOKULA, Polling Unit, IFO, Ogun State, Nigeria</t>
  </si>
  <si>
    <t>SUNREN</t>
  </si>
  <si>
    <t>27-07-09-001</t>
  </si>
  <si>
    <t>ANG. SCHOOL SUNREN</t>
  </si>
  <si>
    <t>https://docs.inecelectionresults.net/elections_prod/1292/state/01/lga/07/ward/09/pu/001/001-1677391857.pdf</t>
  </si>
  <si>
    <t>ANG. SCHOOL SUNREN, Polling Unit, IFO, Ogun State, Nigeria</t>
  </si>
  <si>
    <t>27-07-09-002</t>
  </si>
  <si>
    <t>SCHOOL PREM APODE</t>
  </si>
  <si>
    <t>https://docs.inecelectionresults.net/elections_prod/1292/state/01/lga/07/ward/09/pu/002/002-1677398433.pdf</t>
  </si>
  <si>
    <t>SCHOOL PREM APODE, Polling Unit, IFO, Ogun State, Nigeria</t>
  </si>
  <si>
    <t>27-07-09-004</t>
  </si>
  <si>
    <t>SCHOOL PREM. OBA OKE</t>
  </si>
  <si>
    <t>https://docs.inecelectionresults.net/elections_prod/1292/state/01/lga/07/ward/09/pu/004/004-1677407916.pdf</t>
  </si>
  <si>
    <t>SCHOOL PREM. OBA OKE, Polling Unit, IFO, Ogun State, Nigeria</t>
  </si>
  <si>
    <t>27-07-09-006</t>
  </si>
  <si>
    <t>https://docs.inecelectionresults.net/elections_prod/1292/state/01/lga/07/ward/09/pu/006/006-1677389645.pdf</t>
  </si>
  <si>
    <t>LOKI VILLAGE, Polling Unit, IFO, Ogun State, Nigeria</t>
  </si>
  <si>
    <t>COKER</t>
  </si>
  <si>
    <t>27-07-10-001</t>
  </si>
  <si>
    <t>OKE OJI  I</t>
  </si>
  <si>
    <t>https://docs.inecelectionresults.net/elections_prod/1292/state/1/lga/3672/ward/24037/pu/92288/92288-1677516236.pdf</t>
  </si>
  <si>
    <t>OKE OJI  I, Polling Unit, IFO, Ogun State, Nigeria</t>
  </si>
  <si>
    <t>27-07-10-002</t>
  </si>
  <si>
    <t>OKE OJI  II</t>
  </si>
  <si>
    <t>https://docs.inecelectionresults.net/elections_prod/1292/state/01/lga/07/ward/10/pu/002/002-1677422182.pdf</t>
  </si>
  <si>
    <t>OKE OJI  II, Polling Unit, IFO, Ogun State, Nigeria</t>
  </si>
  <si>
    <t>27-07-10-003</t>
  </si>
  <si>
    <t>SCH. PREM. FARM SETTLEMENT  I
SALU ARMY COKER</t>
  </si>
  <si>
    <t>https://docs.inecelectionresults.net/elections_prod/1292/state/1/lga/3672/ward/24037/pu/92290/92290-1677486370.pdf</t>
  </si>
  <si>
    <t>SCH. PREM. FARM SETTLEMENT  I
SALU ARMY COKER, Polling Unit, IFO, Ogun State, Nigeria</t>
  </si>
  <si>
    <t>27-07-10-004</t>
  </si>
  <si>
    <t>SALU ARMY COKER</t>
  </si>
  <si>
    <t>https://docs.inecelectionresults.net/elections_prod/1292/state/1/lga/3672/ward/24037/pu/92291/92291-1677477725.pdf</t>
  </si>
  <si>
    <t>SALU ARMY COKER, Polling Unit, IFO, Ogun State, Nigeria</t>
  </si>
  <si>
    <t>27-07-10-006</t>
  </si>
  <si>
    <t>SCH. PREM. ILEPA  II</t>
  </si>
  <si>
    <t>https://docs.inecelectionresults.net/elections_prod/1292/state/01/lga/07/ward/10/pu/006/006-1677419774.pdf</t>
  </si>
  <si>
    <t>SCH. PREM. ILEPA  II, Polling Unit, IFO, Ogun State, Nigeria</t>
  </si>
  <si>
    <t>27-07-10-008</t>
  </si>
  <si>
    <t>ODUSANGO</t>
  </si>
  <si>
    <t>https://docs.inecelectionresults.net/elections_prod/1292/state/01/lga/07/ward/10/pu/008/008-1677399322.pdf</t>
  </si>
  <si>
    <t>ODUSANGO, Polling Unit, IFO, Ogun State, Nigeria</t>
  </si>
  <si>
    <t>IBOGUN</t>
  </si>
  <si>
    <t>27-07-11-001</t>
  </si>
  <si>
    <t>AKINSINDE  I</t>
  </si>
  <si>
    <t>https://docs.inecelectionresults.net/elections_prod/1292/state/1/lga/3672/ward/24038/pu/92299/92299-1677513844.pdf</t>
  </si>
  <si>
    <t>AKINSINDE  I, Polling Unit, IFO, Ogun State, Nigeria</t>
  </si>
  <si>
    <t>27-07-11-003</t>
  </si>
  <si>
    <t>ST. DAVIS SCH. SOWUNMI I</t>
  </si>
  <si>
    <t>https://docs.inecelectionresults.net/elections_prod/1292/state/1/lga/3672/ward/24038/pu/92301/92301-1677508011.pdf</t>
  </si>
  <si>
    <t>ST. DAVIS SCH. SOWUNMI I, Polling Unit, IFO, Ogun State, Nigeria</t>
  </si>
  <si>
    <t>27-07-11-004</t>
  </si>
  <si>
    <t>ST. DAVIS SCH. SOWUNMI II</t>
  </si>
  <si>
    <t>https://docs.inecelectionresults.net/elections_prod/1292/state/1/lga/3672/ward/24038/pu/92302/92302-1677511293.pdf</t>
  </si>
  <si>
    <t>ST. DAVIS SCH. SOWUNMI II, Polling Unit, IFO, Ogun State, Nigeria</t>
  </si>
  <si>
    <t>27-07-11-010</t>
  </si>
  <si>
    <t>OLOPARUN VILLAGE  II</t>
  </si>
  <si>
    <t>https://docs.inecelectionresults.net/elections_prod/1292/state/1/lga/3672/ward/24038/pu/92308/92308-1677506735.pdf</t>
  </si>
  <si>
    <t>OLOPARUN VILLAGE  II, Polling Unit, IFO, Ogun State, Nigeria</t>
  </si>
  <si>
    <t>27-07-11-012</t>
  </si>
  <si>
    <t>ALAPAKO OKE</t>
  </si>
  <si>
    <t>https://docs.inecelectionresults.net/elections_prod/1292/state/1/lga/3672/ward/24038/pu/92310/92310-1677513173.pdf</t>
  </si>
  <si>
    <t>ALAPAKO OKE, Polling Unit, IFO, Ogun State, Nigeria</t>
  </si>
  <si>
    <t>IJEBU EAST</t>
  </si>
  <si>
    <t>IJEBU MUSHIN  I</t>
  </si>
  <si>
    <t>27-08-01-002</t>
  </si>
  <si>
    <t>IDONA CENTRAL</t>
  </si>
  <si>
    <t>https://docs.inecelectionresults.net/elections_prod/1292/state/01/lga/08/ward/01/pu/002/002-1677406049.pdf</t>
  </si>
  <si>
    <t>IDONA CENTRAL, Polling Unit, IJEBU EAST, Ogun State, Nigeria</t>
  </si>
  <si>
    <t>27-08-01-003</t>
  </si>
  <si>
    <t>ST. PETERS CLEVER PRIMARY SCH.</t>
  </si>
  <si>
    <t>https://docs.inecelectionresults.net/elections_prod/1292/state/01/lga/08/ward/01/pu/003/003-1677405470.pdf</t>
  </si>
  <si>
    <t>ST. PETERS CLEVER PRIMARY SCH., Polling Unit, IJEBU EAST, Ogun State, Nigeria</t>
  </si>
  <si>
    <t>27-08-01-004</t>
  </si>
  <si>
    <t>EWUREN SQUARE</t>
  </si>
  <si>
    <t>https://docs.inecelectionresults.net/elections_prod/1292/state/01/lga/08/ward/01/pu/004/004-1677404778.pdf</t>
  </si>
  <si>
    <t>EWUREN SQUARE, Polling Unit, IJEBU EAST, Ogun State, Nigeria</t>
  </si>
  <si>
    <t>27-08-01-005</t>
  </si>
  <si>
    <t>LOCAL GOVT. PRIMARY SCHOOL</t>
  </si>
  <si>
    <t>https://docs.inecelectionresults.net/elections_prod/1292/state/01/lga/08/ward/01/pu/005/005-1677402855.pdf</t>
  </si>
  <si>
    <t>LOCAL GOVT. PRIMARY SCHOOL, Polling Unit, IJEBU EAST, Ogun State, Nigeria</t>
  </si>
  <si>
    <t>27-08-01-006</t>
  </si>
  <si>
    <t>ST. ANDREWS SCH. IMUWEN  I</t>
  </si>
  <si>
    <t>https://docs.inecelectionresults.net/elections_prod/1292/state/01/lga/08/ward/01/pu/006/006-1677403255.pdf</t>
  </si>
  <si>
    <t>ST. ANDREWS SCH. IMUWEN  I, Polling Unit, IJEBU EAST, Ogun State, Nigeria</t>
  </si>
  <si>
    <t>27-08-01-007</t>
  </si>
  <si>
    <t>ST. ANDREWS SCH. IMUWEN  II</t>
  </si>
  <si>
    <t>https://docs.inecelectionresults.net/elections_prod/1292/state/01/lga/08/ward/01/pu/007/007-1677401775.pdf</t>
  </si>
  <si>
    <t>ST. ANDREWS SCH. IMUWEN  II, Polling Unit, IJEBU EAST, Ogun State, Nigeria</t>
  </si>
  <si>
    <t>27-08-01-008</t>
  </si>
  <si>
    <t>FEDERAL TECHNICAL ITA MOGIRI</t>
  </si>
  <si>
    <t>https://docs.inecelectionresults.net/elections_prod/1292/state/01/lga/08/ward/01/pu/008/008-1677403920.pdf</t>
  </si>
  <si>
    <t>FEDERAL TECHNICAL ITA MOGIRI, Polling Unit, IJEBU EAST, Ogun State, Nigeria</t>
  </si>
  <si>
    <t>27-08-01-009</t>
  </si>
  <si>
    <t>ESURE JUNCTION</t>
  </si>
  <si>
    <t>https://docs.inecelectionresults.net/elections_prod/1292/state/01/lga/08/ward/01/pu/009/009-1677406794.pdf</t>
  </si>
  <si>
    <t>ESURE JUNCTION, Polling Unit, IJEBU EAST, Ogun State, Nigeria</t>
  </si>
  <si>
    <t>27-08-01-010</t>
  </si>
  <si>
    <t>EHINADE COMM. PRIMARY SCH. IDOMODU</t>
  </si>
  <si>
    <t>https://docs.inecelectionresults.net/elections_prod/1292/state/01/lga/08/ward/01/pu/010/010-1677407251.pdf</t>
  </si>
  <si>
    <t>EHINADE COMM. PRIMARY SCH. IDOMODU, Polling Unit, IJEBU EAST, Ogun State, Nigeria</t>
  </si>
  <si>
    <t>IJEBU MUSHIN  II</t>
  </si>
  <si>
    <t>27-08-02-001</t>
  </si>
  <si>
    <t>MUSHIN MARKET SQUARE</t>
  </si>
  <si>
    <t>https://docs.inecelectionresults.net/elections_prod/1292/state/01/lga/08/ward/02/pu/001/001-1677404082.pdf</t>
  </si>
  <si>
    <t>MUSHIN MARKET SQUARE, Polling Unit, IJEBU EAST, Ogun State, Nigeria</t>
  </si>
  <si>
    <t>27-08-02-002</t>
  </si>
  <si>
    <t>ST. MARY'S PRIMARY OKEPO I</t>
  </si>
  <si>
    <t>https://docs.inecelectionresults.net/elections_prod/1292/state/01/lga/08/ward/02/pu/002/002-1677407469.pdf</t>
  </si>
  <si>
    <t>ST. MARY'S PRIMARY OKEPO I, Polling Unit, IJEBU EAST, Ogun State, Nigeria</t>
  </si>
  <si>
    <t>27-08-02-003</t>
  </si>
  <si>
    <t>ST. MARY'S PRIMARY OKEPO  II</t>
  </si>
  <si>
    <t>https://docs.inecelectionresults.net/elections_prod/1292/state/01/lga/08/ward/02/pu/003/003-1677404411.pdf</t>
  </si>
  <si>
    <t>ST. MARY'S PRIMARY OKEPO  II, Polling Unit, IJEBU EAST, Ogun State, Nigeria</t>
  </si>
  <si>
    <t>27-08-02-004</t>
  </si>
  <si>
    <t>L.G. SCHOOL, KOKUNESERE</t>
  </si>
  <si>
    <t>https://docs.inecelectionresults.net/elections_prod/1292/state/01/lga/08/ward/02/pu/004/004-1677407997.pdf</t>
  </si>
  <si>
    <t>L.G. SCHOOL, KOKUNESERE, Polling Unit, IJEBU EAST, Ogun State, Nigeria</t>
  </si>
  <si>
    <t>27-08-02-005</t>
  </si>
  <si>
    <t>NEAR HEALTH CENTRE ILODO</t>
  </si>
  <si>
    <t>https://docs.inecelectionresults.net/elections_prod/1292/state/01/lga/08/ward/02/pu/005/005-1677408726.pdf</t>
  </si>
  <si>
    <t>NEAR HEALTH CENTRE ILODO, Polling Unit, IJEBU EAST, Ogun State, Nigeria</t>
  </si>
  <si>
    <t>27-08-02-006</t>
  </si>
  <si>
    <t>AJEBO UNITED PRIMARY SCH. IKALA</t>
  </si>
  <si>
    <t>https://docs.inecelectionresults.net/elections_prod/1292/state/01/lga/08/ward/02/pu/006/006-1677408406.pdf</t>
  </si>
  <si>
    <t>AJEBO UNITED PRIMARY SCH. IKALA, Polling Unit, IJEBU EAST, Ogun State, Nigeria</t>
  </si>
  <si>
    <t>27-08-02-007</t>
  </si>
  <si>
    <t>OPEN SPACE INFORNT OF JEJENIWA'S HOUSE</t>
  </si>
  <si>
    <t>https://docs.inecelectionresults.net/elections_prod/1292/state/01/lga/08/ward/02/pu/007/007-1677408946.pdf</t>
  </si>
  <si>
    <t>OPEN SPACE INFORNT OF JEJENIWA'S HOUSE, Polling Unit, IJEBU EAST, Ogun State, Nigeria</t>
  </si>
  <si>
    <t>27-08-02-008</t>
  </si>
  <si>
    <t>TOJORO JUNCTION</t>
  </si>
  <si>
    <t>https://docs.inecelectionresults.net/elections_prod/1292/state/1/lga/3673/ward/24040/pu/92331/92331-1677493985.pdf</t>
  </si>
  <si>
    <t>TOJORO JUNCTION, Polling Unit, IJEBU EAST, Ogun State, Nigeria</t>
  </si>
  <si>
    <t>27-08-02-009</t>
  </si>
  <si>
    <t>ST. MARY'S SCH. EXTENSION</t>
  </si>
  <si>
    <t>https://docs.inecelectionresults.net/elections_prod/1292/state/01/lga/08/ward/02/pu/009/009-1677409016.pdf</t>
  </si>
  <si>
    <t>ST. MARY'S SCH. EXTENSION, Polling Unit, IJEBU EAST, Ogun State, Nigeria</t>
  </si>
  <si>
    <t>27-08-02-010</t>
  </si>
  <si>
    <t>IDOKUNUSI CENTRE</t>
  </si>
  <si>
    <t>https://docs.inecelectionresults.net/elections_prod/1292/state/01/lga/08/ward/02/pu/010/010-1677409269.pdf</t>
  </si>
  <si>
    <t>IDOKUNUSI CENTRE, Polling Unit, IJEBU EAST, Ogun State, Nigeria</t>
  </si>
  <si>
    <t>27-08-02-011</t>
  </si>
  <si>
    <t>OPEN SPACE NEAR ADESANYA'S HOUSE ILAGUNJO</t>
  </si>
  <si>
    <t>https://docs.inecelectionresults.net/elections_prod/1292/state/01/lga/08/ward/02/pu/011/011-1677409315.pdf</t>
  </si>
  <si>
    <t>OPEN SPACE NEAR ADESANYA'S HOUSE ILAGUNJO, Polling Unit, IJEBU EAST, Ogun State, Nigeria</t>
  </si>
  <si>
    <t>IJEBU IFE  I</t>
  </si>
  <si>
    <t>27-08-03-001</t>
  </si>
  <si>
    <t>ITAKO SQUARE</t>
  </si>
  <si>
    <t>https://docs.inecelectionresults.net/elections_prod/1292/state/01/lga/08/ward/03/pu/001/001-1677411755.pdf</t>
  </si>
  <si>
    <t>ITAKO SQUARE, Polling Unit, IJEBU EAST, Ogun State, Nigeria</t>
  </si>
  <si>
    <t>27-08-03-002</t>
  </si>
  <si>
    <t>ST. LOUIS CATH. PRIMARY, SCH. IFE.</t>
  </si>
  <si>
    <t>https://docs.inecelectionresults.net/elections_prod/1292/state/01/lga/08/ward/03/pu/002/002-1677409227.pdf</t>
  </si>
  <si>
    <t>ST. LOUIS CATH. PRIMARY, SCH. IFE., Polling Unit, IJEBU EAST, Ogun State, Nigeria</t>
  </si>
  <si>
    <t>27-08-03-003</t>
  </si>
  <si>
    <t>ITUNMODU SQUARE</t>
  </si>
  <si>
    <t>https://docs.inecelectionresults.net/elections_prod/1292/state/01/lga/08/ward/03/pu/003/003-1677415553.pdf</t>
  </si>
  <si>
    <t>ITUNMODU SQUARE, Polling Unit, IJEBU EAST, Ogun State, Nigeria</t>
  </si>
  <si>
    <t>27-08-03-004</t>
  </si>
  <si>
    <t>ANG. PRIMARY SCH. IJEBU-IFE</t>
  </si>
  <si>
    <t>https://docs.inecelectionresults.net/elections_prod/1292/state/01/lga/08/ward/03/pu/004/004-1677415390.pdf</t>
  </si>
  <si>
    <t>ANG. PRIMARY SCH. IJEBU-IFE, Polling Unit, IJEBU EAST, Ogun State, Nigeria</t>
  </si>
  <si>
    <t>27-08-03-005</t>
  </si>
  <si>
    <t>BAPTIST SCHOOL II IJEBU IFE</t>
  </si>
  <si>
    <t>https://docs.inecelectionresults.net/elections_prod/1292/state/01/lga/08/ward/03/pu/005/005-1677414689.pdf</t>
  </si>
  <si>
    <t>BAPTIST SCHOOL II IJEBU IFE, Polling Unit, IJEBU EAST, Ogun State, Nigeria</t>
  </si>
  <si>
    <t>27-08-03-006</t>
  </si>
  <si>
    <t>MOBORODE</t>
  </si>
  <si>
    <t>https://docs.inecelectionresults.net/elections_prod/1292/state/1/lga/3673/ward/24041/pu/92340/92340-1677497865.pdf</t>
  </si>
  <si>
    <t>MOBORODE, Polling Unit, IJEBU EAST, Ogun State, Nigeria</t>
  </si>
  <si>
    <t>27-08-03-007</t>
  </si>
  <si>
    <t>ODOLADALEPO SQUARE</t>
  </si>
  <si>
    <t>https://docs.inecelectionresults.net/elections_prod/1292/state/01/lga/08/ward/03/pu/007/007-1677413946.pdf</t>
  </si>
  <si>
    <t>ODOLADALEPO SQUARE, Polling Unit, IJEBU EAST, Ogun State, Nigeria</t>
  </si>
  <si>
    <t>27-08-03-008</t>
  </si>
  <si>
    <t>IROWO SQUARE</t>
  </si>
  <si>
    <t>https://docs.inecelectionresults.net/elections_prod/1292/state/01/lga/08/ward/03/pu/008/008-1677415031.pdf</t>
  </si>
  <si>
    <t>IROWO SQUARE, Polling Unit, IJEBU EAST, Ogun State, Nigeria</t>
  </si>
  <si>
    <t>27-08-03-009</t>
  </si>
  <si>
    <t>ITORO/ODELA SQUARE</t>
  </si>
  <si>
    <t>https://docs.inecelectionresults.net/elections_prod/1292/state/01/lga/08/ward/03/pu/009/009-1677412792.pdf</t>
  </si>
  <si>
    <t>ITORO/ODELA SQUARE, Polling Unit, IJEBU EAST, Ogun State, Nigeria</t>
  </si>
  <si>
    <t>27-08-03-010</t>
  </si>
  <si>
    <t>IGBODU</t>
  </si>
  <si>
    <t>https://docs.inecelectionresults.net/elections_prod/1292/state/01/lga/08/ward/03/pu/010/010-1677410802.pdf</t>
  </si>
  <si>
    <t>IGBODU, Polling Unit, IJEBU EAST, Ogun State, Nigeria</t>
  </si>
  <si>
    <t>27-08-03-011</t>
  </si>
  <si>
    <t>BESIDE OBADA MARKET</t>
  </si>
  <si>
    <t>https://docs.inecelectionresults.net/elections_prod/1292/state/01/lga/08/ward/03/pu/011/011-1677414150.pdf</t>
  </si>
  <si>
    <t>BESIDE OBADA MARKET, Polling Unit, IJEBU EAST, Ogun State, Nigeria</t>
  </si>
  <si>
    <t>IJEBU IFE  II</t>
  </si>
  <si>
    <t>27-08-04-001</t>
  </si>
  <si>
    <t>TOWN HALL IJEBU, IFE  I</t>
  </si>
  <si>
    <t>https://docs.inecelectionresults.net/elections_prod/1292/state/01/lga/08/ward/04/pu/001/001-1677404818.pdf</t>
  </si>
  <si>
    <t>TOWN HALL IJEBU, IFE  I, Polling Unit, IJEBU EAST, Ogun State, Nigeria</t>
  </si>
  <si>
    <t>27-08-04-004</t>
  </si>
  <si>
    <t>ODUDUWA SQUARE</t>
  </si>
  <si>
    <t>https://docs.inecelectionresults.net/elections_prod/1292/state/01/lga/08/ward/04/pu/004/004-1677414851.pdf</t>
  </si>
  <si>
    <t>ODUDUWA SQUARE, Polling Unit, IJEBU EAST, Ogun State, Nigeria</t>
  </si>
  <si>
    <t>27-08-04-005</t>
  </si>
  <si>
    <t>TIMOROWO SQUARE</t>
  </si>
  <si>
    <t>https://docs.inecelectionresults.net/elections_prod/1292/state/01/lga/08/ward/04/pu/005/005-1677407704.pdf</t>
  </si>
  <si>
    <t>TIMOROWO SQUARE, Polling Unit, IJEBU EAST, Ogun State, Nigeria</t>
  </si>
  <si>
    <t>27-08-04-006</t>
  </si>
  <si>
    <t>MOSLEM SCHOOL  II</t>
  </si>
  <si>
    <t>https://docs.inecelectionresults.net/elections_prod/1292/state/01/lga/08/ward/04/pu/006/006-1677413551.pdf</t>
  </si>
  <si>
    <t>MOSLEM SCHOOL  II, Polling Unit, IJEBU EAST, Ogun State, Nigeria</t>
  </si>
  <si>
    <t>27-08-04-007</t>
  </si>
  <si>
    <t>TIROSOGUN SQUARE</t>
  </si>
  <si>
    <t>https://docs.inecelectionresults.net/elections_prod/1292/state/01/lga/08/ward/04/pu/007/007-1677409618.pdf</t>
  </si>
  <si>
    <t>TIROSOGUN SQUARE, Polling Unit, IJEBU EAST, Ogun State, Nigeria</t>
  </si>
  <si>
    <t>27-08-04-009</t>
  </si>
  <si>
    <t>EHINADE ILASE</t>
  </si>
  <si>
    <t>https://docs.inecelectionresults.net/elections_prod/1292/state/01/lga/08/ward/04/pu/009/009-1677412460.pdf</t>
  </si>
  <si>
    <t>EHINADE ILASE, Polling Unit, IJEBU EAST, Ogun State, Nigeria</t>
  </si>
  <si>
    <t>27-08-04-010</t>
  </si>
  <si>
    <t>SQUARE NEAR MOSQUE (OPEN SQUARE)</t>
  </si>
  <si>
    <t>https://docs.inecelectionresults.net/elections_prod/1292/state/01/lga/08/ward/04/pu/010/010-1677408995.pdf</t>
  </si>
  <si>
    <t>SQUARE NEAR MOSQUE (OPEN SQUARE), Polling Unit, IJEBU EAST, Ogun State, Nigeria</t>
  </si>
  <si>
    <t>27-08-04-011</t>
  </si>
  <si>
    <t>IWAYA ROAD</t>
  </si>
  <si>
    <t>https://docs.inecelectionresults.net/elections_prod/1292/state/01/lga/08/ward/04/pu/011/011-1677406723.pdf</t>
  </si>
  <si>
    <t>IWAYA ROAD, Polling Unit, IJEBU EAST, Ogun State, Nigeria</t>
  </si>
  <si>
    <t>27-08-04-012</t>
  </si>
  <si>
    <t>BAPTIST SCH. I, OKE IFE</t>
  </si>
  <si>
    <t>https://docs.inecelectionresults.net/elections_prod/1292/state/01/lga/08/ward/04/pu/012/012-1677404853.pdf</t>
  </si>
  <si>
    <t>BAPTIST SCH. I, OKE IFE, Polling Unit, IJEBU EAST, Ogun State, Nigeria</t>
  </si>
  <si>
    <t>OWU</t>
  </si>
  <si>
    <t>27-08-05-001</t>
  </si>
  <si>
    <t>ANGLICAN PRIMARY SCHOOL OWU I</t>
  </si>
  <si>
    <t>https://docs.inecelectionresults.net/elections_prod/1292/state/01/lga/08/ward/05/pu/001/001-1677402071.pdf</t>
  </si>
  <si>
    <t>ANGLICAN PRIMARY SCHOOL OWU I, Polling Unit, IJEBU EAST, Ogun State, Nigeria</t>
  </si>
  <si>
    <t>27-08-05-002</t>
  </si>
  <si>
    <t>ANGLICAN PRIMARY SCHOOL OWU  II</t>
  </si>
  <si>
    <t>https://docs.inecelectionresults.net/elections_prod/1292/state/01/lga/08/ward/05/pu/002/002-1677402599.pdf</t>
  </si>
  <si>
    <t>ANGLICAN PRIMARY SCHOOL OWU  II, Polling Unit, IJEBU EAST, Ogun State, Nigeria</t>
  </si>
  <si>
    <t>27-08-05-004</t>
  </si>
  <si>
    <t>L.G. SCH. EGBEDA</t>
  </si>
  <si>
    <t>https://docs.inecelectionresults.net/elections_prod/1292/state/01/lga/08/ward/05/pu/004/004-1677404510.pdf</t>
  </si>
  <si>
    <t>L.G. SCH. EGBEDA, Polling Unit, IJEBU EAST, Ogun State, Nigeria</t>
  </si>
  <si>
    <t>27-08-05-005</t>
  </si>
  <si>
    <t>ABA OKONZIN JUCTION</t>
  </si>
  <si>
    <t>https://docs.inecelectionresults.net/elections_prod/1292/state/01/lga/08/ward/05/pu/005/005-1677405427.pdf</t>
  </si>
  <si>
    <t>ABA OKONZIN JUCTION, Polling Unit, IJEBU EAST, Ogun State, Nigeria</t>
  </si>
  <si>
    <t>27-08-05-006</t>
  </si>
  <si>
    <t>ANG. PRIMARY SCH. II AGO OWU</t>
  </si>
  <si>
    <t>https://docs.inecelectionresults.net/elections_prod/1292/state/01/lga/08/ward/05/pu/006/006-1677406088.pdf</t>
  </si>
  <si>
    <t>ANG. PRIMARY SCH. II AGO OWU, Polling Unit, IJEBU EAST, Ogun State, Nigeria</t>
  </si>
  <si>
    <t>27-08-05-007</t>
  </si>
  <si>
    <t>AJEPODO</t>
  </si>
  <si>
    <t>https://docs.inecelectionresults.net/elections_prod/1292/state/01/lga/08/ward/05/pu/007/007-1677406919.pdf</t>
  </si>
  <si>
    <t>AJEPODO, Polling Unit, IJEBU EAST, Ogun State, Nigeria</t>
  </si>
  <si>
    <t>27-08-05-008</t>
  </si>
  <si>
    <t>TOGUNMAGA</t>
  </si>
  <si>
    <t>https://docs.inecelectionresults.net/elections_prod/1292/state/01/lga/08/ward/05/pu/008/008-1677407324.pdf</t>
  </si>
  <si>
    <t>TOGUNMAGA, Polling Unit, IJEBU EAST, Ogun State, Nigeria</t>
  </si>
  <si>
    <t>27-08-05-009</t>
  </si>
  <si>
    <t>GBAMUGBAMU</t>
  </si>
  <si>
    <t>https://docs.inecelectionresults.net/elections_prod/1292/state/01/lga/08/ward/05/pu/009/009-1677407771.pdf</t>
  </si>
  <si>
    <t>GBAMUGBAMU, Polling Unit, IJEBU EAST, Ogun State, Nigeria</t>
  </si>
  <si>
    <t>27-08-05-010</t>
  </si>
  <si>
    <t>ABU SORO</t>
  </si>
  <si>
    <t>https://docs.inecelectionresults.net/elections_prod/1292/state/01/lga/08/ward/05/pu/010/010-1677408141.pdf</t>
  </si>
  <si>
    <t>ABU SORO, Polling Unit, IJEBU EAST, Ogun State, Nigeria</t>
  </si>
  <si>
    <t>27-08-05-011</t>
  </si>
  <si>
    <t>TOWN HALL, ILORO</t>
  </si>
  <si>
    <t>https://docs.inecelectionresults.net/elections_prod/1292/state/01/lga/08/ward/05/pu/011/011-1677409048.pdf</t>
  </si>
  <si>
    <t>TOWN HALL, ILORO, Polling Unit, IJEBU EAST, Ogun State, Nigeria</t>
  </si>
  <si>
    <t>27-08-06-001</t>
  </si>
  <si>
    <t>ANGLICAN PRIMARY SCH. IKIJA</t>
  </si>
  <si>
    <t>https://docs.inecelectionresults.net/elections_prod/1292/state/01/lga/08/ward/06/pu/001/001-1677420872.pdf</t>
  </si>
  <si>
    <t>ANGLICAN PRIMARY SCH. IKIJA, Polling Unit, IJEBU EAST, Ogun State, Nigeria</t>
  </si>
  <si>
    <t>27-08-06-002</t>
  </si>
  <si>
    <t>ISOMU SQUARE</t>
  </si>
  <si>
    <t>https://docs.inecelectionresults.net/elections_prod/1292/state/01/lga/08/ward/06/pu/002/002-1677421943.pdf</t>
  </si>
  <si>
    <t>ISOMU SQUARE, Polling Unit, IJEBU EAST, Ogun State, Nigeria</t>
  </si>
  <si>
    <t>27-08-06-005</t>
  </si>
  <si>
    <t>ANGLICAN PRIMARY SCH. IGAN IPABI</t>
  </si>
  <si>
    <t>https://docs.inecelectionresults.net/elections_prod/1292/state/1/lga/3673/ward/24044/pu/92373/92373-1677530604.pdf</t>
  </si>
  <si>
    <t>ANGLICAN PRIMARY SCH. IGAN IPABI, Polling Unit, IJEBU EAST, Ogun State, Nigeria</t>
  </si>
  <si>
    <t>27-08-06-006</t>
  </si>
  <si>
    <t>ODOMEFI SQUARE</t>
  </si>
  <si>
    <t>https://docs.inecelectionresults.net/elections_prod/1292/state/1/lga/3673/ward/24044/pu/92374/92374-1677528776.pdf</t>
  </si>
  <si>
    <t>ODOMEFI SQUARE, Polling Unit, IJEBU EAST, Ogun State, Nigeria</t>
  </si>
  <si>
    <t>ITELE</t>
  </si>
  <si>
    <t>27-08-07-001</t>
  </si>
  <si>
    <t>ST. JOHN'S SCH. ITELE  I</t>
  </si>
  <si>
    <t>https://docs.inecelectionresults.net/elections_prod/1292/state/01/lga/08/ward/07/pu/001/001-1677408102.pdf</t>
  </si>
  <si>
    <t>ST. JOHN'S SCH. ITELE  I, Polling Unit, IJEBU EAST, Ogun State, Nigeria</t>
  </si>
  <si>
    <t>27-08-07-002</t>
  </si>
  <si>
    <t>ST. JOHN'S SCH. ITELE  II</t>
  </si>
  <si>
    <t>https://docs.inecelectionresults.net/elections_prod/1292/state/01/lga/08/ward/07/pu/002/002-1677406306.pdf</t>
  </si>
  <si>
    <t>ST. JOHN'S SCH. ITELE  II, Polling Unit, IJEBU EAST, Ogun State, Nigeria</t>
  </si>
  <si>
    <t>27-08-07-003</t>
  </si>
  <si>
    <t>CATH. PRIMARY SCH. ITELE</t>
  </si>
  <si>
    <t>https://docs.inecelectionresults.net/elections_prod/1292/state/01/lga/08/ward/07/pu/003/003-1677410980.pdf</t>
  </si>
  <si>
    <t>CATH. PRIMARY SCH. ITELE, Polling Unit, IJEBU EAST, Ogun State, Nigeria</t>
  </si>
  <si>
    <t>27-08-07-005</t>
  </si>
  <si>
    <t>ST. JAMES SCH. ATOYO</t>
  </si>
  <si>
    <t>https://docs.inecelectionresults.net/elections_prod/1292/state/01/lga/08/ward/07/pu/005/005-1677407106.pdf</t>
  </si>
  <si>
    <t>ST. JAMES SCH. ATOYO, Polling Unit, IJEBU EAST, Ogun State, Nigeria</t>
  </si>
  <si>
    <t>27-08-07-006</t>
  </si>
  <si>
    <t>ST. PETERS SCH. OKO-EKO</t>
  </si>
  <si>
    <t>https://docs.inecelectionresults.net/elections_prod/1292/state/01/lga/08/ward/07/pu/006/006-1677403318.pdf</t>
  </si>
  <si>
    <t>ST. PETERS SCH. OKO-EKO, Polling Unit, IJEBU EAST, Ogun State, Nigeria</t>
  </si>
  <si>
    <t>27-08-07-007</t>
  </si>
  <si>
    <t>ST. JOHN'S SCH. LUMAFON</t>
  </si>
  <si>
    <t>https://docs.inecelectionresults.net/elections_prod/1292/state/01/lga/08/ward/07/pu/007/007-1677403920.pdf</t>
  </si>
  <si>
    <t>ST. JOHN'S SCH. LUMAFON, Polling Unit, IJEBU EAST, Ogun State, Nigeria</t>
  </si>
  <si>
    <t>27-08-07-008</t>
  </si>
  <si>
    <t>COMM. PRIMARY SCH. IMEGUN</t>
  </si>
  <si>
    <t>https://docs.inecelectionresults.net/elections_prod/1292/state/01/lga/08/ward/07/pu/008/008-1677408513.pdf</t>
  </si>
  <si>
    <t>COMM. PRIMARY SCH. IMEGUN, Polling Unit, IJEBU EAST, Ogun State, Nigeria</t>
  </si>
  <si>
    <t>27-08-07-009</t>
  </si>
  <si>
    <t>OPP. HEALTH POST TIGBORI</t>
  </si>
  <si>
    <t>https://docs.inecelectionresults.net/elections_prod/1292/state/01/lga/08/ward/07/pu/009/009-1677410414.pdf</t>
  </si>
  <si>
    <t>OPP. HEALTH POST TIGBORI, Polling Unit, IJEBU EAST, Ogun State, Nigeria</t>
  </si>
  <si>
    <t>27-08-07-010</t>
  </si>
  <si>
    <t>COMM. SQUARE AWOTUNDE</t>
  </si>
  <si>
    <t>https://docs.inecelectionresults.net/elections_prod/1292/state/01/lga/08/ward/07/pu/010/010-1677409779.pdf</t>
  </si>
  <si>
    <t>COMM. SQUARE AWOTUNDE, Polling Unit, IJEBU EAST, Ogun State, Nigeria</t>
  </si>
  <si>
    <t>27-08-07-011</t>
  </si>
  <si>
    <t>AGERIGE</t>
  </si>
  <si>
    <t>https://docs.inecelectionresults.net/elections_prod/1292/state/01/lga/08/ward/07/pu/011/011-1677405720.pdf</t>
  </si>
  <si>
    <t>AGERIGE, Polling Unit, IJEBU EAST, Ogun State, Nigeria</t>
  </si>
  <si>
    <t>OGBERE</t>
  </si>
  <si>
    <t>27-08-08-001</t>
  </si>
  <si>
    <t>PALACE FRONTAGE (OPEN SPACE)</t>
  </si>
  <si>
    <t>https://docs.inecelectionresults.net/elections_prod/1292/state/01/lga/08/ward/08/pu/001/001-1677413229.pdf</t>
  </si>
  <si>
    <t>PALACE FRONTAGE (OPEN SPACE), Polling Unit, IJEBU EAST, Ogun State, Nigeria</t>
  </si>
  <si>
    <t>27-08-08-002</t>
  </si>
  <si>
    <t>NEAR MOTOR PARK OGBERE (OPEN SPACE BESIDE MOTOR PARK)</t>
  </si>
  <si>
    <t>https://docs.inecelectionresults.net/elections_prod/1292/state/01/lga/08/ward/08/pu/002/002-1677410283.pdf</t>
  </si>
  <si>
    <t>NEAR MOTOR PARK OGBERE (OPEN SPACE BESIDE MOTOR PARK), Polling Unit, IJEBU EAST, Ogun State, Nigeria</t>
  </si>
  <si>
    <t>27-08-08-003</t>
  </si>
  <si>
    <t>ST. MARY SCHOOL OGBERE I</t>
  </si>
  <si>
    <t>https://docs.inecelectionresults.net/elections_prod/1292/state/01/lga/08/ward/08/pu/003/003-1677414442.pdf</t>
  </si>
  <si>
    <t>ST. MARY SCHOOL OGBERE I, Polling Unit, IJEBU EAST, Ogun State, Nigeria</t>
  </si>
  <si>
    <t>27-08-08-005</t>
  </si>
  <si>
    <t>COMM. PRIMARY SCHOOL KAJOLA</t>
  </si>
  <si>
    <t>https://docs.inecelectionresults.net/elections_prod/1292/state/01/lga/08/ward/08/pu/005/005-1677405585.pdf</t>
  </si>
  <si>
    <t>COMM. PRIMARY SCHOOL KAJOLA, Polling Unit, IJEBU EAST, Ogun State, Nigeria</t>
  </si>
  <si>
    <t>27-08-08-006</t>
  </si>
  <si>
    <t>ST. PAULS SCH. URO</t>
  </si>
  <si>
    <t>https://docs.inecelectionresults.net/elections_prod/1292/state/01/lga/08/ward/08/pu/006/006-1677411791.pdf</t>
  </si>
  <si>
    <t>ST. PAULS SCH. URO, Polling Unit, IJEBU EAST, Ogun State, Nigeria</t>
  </si>
  <si>
    <t>27-08-08-007</t>
  </si>
  <si>
    <t>ST. PAULS SCH. OGURU</t>
  </si>
  <si>
    <t>https://docs.inecelectionresults.net/elections_prod/1292/state/1/lga/3673/ward/24046/pu/92392/92392-1677502317.pdf</t>
  </si>
  <si>
    <t>ST. PAULS SCH. OGURU, Polling Unit, IJEBU EAST, Ogun State, Nigeria</t>
  </si>
  <si>
    <t>27-08-08-008</t>
  </si>
  <si>
    <t>MOBORODE VILLAGE</t>
  </si>
  <si>
    <t>https://docs.inecelectionresults.net/elections_prod/1292/state/01/lga/08/ward/08/pu/008/008-1677415636.pdf</t>
  </si>
  <si>
    <t>MOBORODE VILLAGE, Polling Unit, IJEBU EAST, Ogun State, Nigeria</t>
  </si>
  <si>
    <t>27-08-08-009</t>
  </si>
  <si>
    <t>J. 3</t>
  </si>
  <si>
    <t>https://docs.inecelectionresults.net/elections_prod/1292/state/01/lga/08/ward/08/pu/009/009-1677414824.pdf</t>
  </si>
  <si>
    <t>J. 3, Polling Unit, IJEBU EAST, Ogun State, Nigeria</t>
  </si>
  <si>
    <t>27-08-08-010</t>
  </si>
  <si>
    <t>ST. JOHN'S SCH. KOREDE</t>
  </si>
  <si>
    <t>https://docs.inecelectionresults.net/elections_prod/1292/state/01/lga/08/ward/08/pu/010/010-1677415010.pdf</t>
  </si>
  <si>
    <t>ST. JOHN'S SCH. KOREDE, Polling Unit, IJEBU EAST, Ogun State, Nigeria</t>
  </si>
  <si>
    <t>27-08-08-011</t>
  </si>
  <si>
    <t>LOCAL GOVERNMENT SCH. IMAYAN</t>
  </si>
  <si>
    <t>https://docs.inecelectionresults.net/elections_prod/1292/state/01/lga/08/ward/08/pu/011/011-1677409263.pdf</t>
  </si>
  <si>
    <t>LOCAL GOVERNMENT SCH. IMAYAN, Polling Unit, IJEBU EAST, Ogun State, Nigeria</t>
  </si>
  <si>
    <t>27-08-08-012</t>
  </si>
  <si>
    <t>ORITA IMOBI</t>
  </si>
  <si>
    <t>https://docs.inecelectionresults.net/elections_prod/1292/state/01/lga/08/ward/08/pu/012/012-1677415182.pdf</t>
  </si>
  <si>
    <t>ORITA IMOBI, Polling Unit, IJEBU EAST, Ogun State, Nigeria</t>
  </si>
  <si>
    <t>27-08-08-013</t>
  </si>
  <si>
    <t>TRIANGA</t>
  </si>
  <si>
    <t>https://docs.inecelectionresults.net/elections_prod/1292/state/01/lga/08/ward/08/pu/013/013-1677411414.pdf</t>
  </si>
  <si>
    <t>TRIANGA, Polling Unit, IJEBU EAST, Ogun State, Nigeria</t>
  </si>
  <si>
    <t>IMOBI  I</t>
  </si>
  <si>
    <t>27-08-09-001</t>
  </si>
  <si>
    <t>ST. MARY'S SCHOOL FOWOSEJE  I</t>
  </si>
  <si>
    <t>https://docs.inecelectionresults.net/elections_prod/1292/state/01/lga/08/ward/09/pu/001/001-1677406513.pdf</t>
  </si>
  <si>
    <t>ST. MARY'S SCHOOL FOWOSEJE  I, Polling Unit, IJEBU EAST, Ogun State, Nigeria</t>
  </si>
  <si>
    <t>27-08-09-004</t>
  </si>
  <si>
    <t>DENUREN</t>
  </si>
  <si>
    <t>https://docs.inecelectionresults.net/elections_prod/1292/state/01/lga/08/ward/09/pu/004/004-1677408410.pdf</t>
  </si>
  <si>
    <t>DENUREN, Polling Unit, IJEBU EAST, Ogun State, Nigeria</t>
  </si>
  <si>
    <t>27-08-09-005</t>
  </si>
  <si>
    <t>MOSLEM PRIMARY SCH. ITA PAMPA</t>
  </si>
  <si>
    <t>https://docs.inecelectionresults.net/elections_prod/1292/state/01/lga/08/ward/09/pu/005/005-1677407606.pdf</t>
  </si>
  <si>
    <t>MOSLEM PRIMARY SCH. ITA PAMPA, Polling Unit, IJEBU EAST, Ogun State, Nigeria</t>
  </si>
  <si>
    <t>27-08-09-006</t>
  </si>
  <si>
    <t>MOSLEM PRIMARY SCH. TERELU</t>
  </si>
  <si>
    <t>https://docs.inecelectionresults.net/elections_prod/1292/state/01/lga/08/ward/09/pu/006/006-1677407281.pdf</t>
  </si>
  <si>
    <t>MOSLEM PRIMARY SCH. TERELU, Polling Unit, IJEBU EAST, Ogun State, Nigeria</t>
  </si>
  <si>
    <t>27-08-09-007</t>
  </si>
  <si>
    <t>TOLIWO OKE-IMOBI</t>
  </si>
  <si>
    <t>https://docs.inecelectionresults.net/elections_prod/1292/state/01/lga/08/ward/09/pu/007/007-1677404460.pdf</t>
  </si>
  <si>
    <t>TOLIWO OKE-IMOBI, Polling Unit, IJEBU EAST, Ogun State, Nigeria</t>
  </si>
  <si>
    <t>27-08-09-008</t>
  </si>
  <si>
    <t>MAFOWOKU</t>
  </si>
  <si>
    <t>https://docs.inecelectionresults.net/elections_prod/1292/state/01/lga/08/ward/09/pu/008/008-1677403255.pdf</t>
  </si>
  <si>
    <t>MAFOWOKU, Polling Unit, IJEBU EAST, Ogun State, Nigeria</t>
  </si>
  <si>
    <t>IMOBI  II</t>
  </si>
  <si>
    <t>27-08-10-001</t>
  </si>
  <si>
    <t>CATH. SCHOOL ITASIN</t>
  </si>
  <si>
    <t>https://docs.inecelectionresults.net/elections_prod/1292/state/01/lga/08/ward/10/pu/001/001-1677402022.pdf</t>
  </si>
  <si>
    <t>CATH. SCHOOL ITASIN, Polling Unit, IJEBU EAST, Ogun State, Nigeria</t>
  </si>
  <si>
    <t>27-08-10-002</t>
  </si>
  <si>
    <t>CATH. SCHOOL EBUTE - IMOBI</t>
  </si>
  <si>
    <t>https://docs.inecelectionresults.net/elections_prod/1292/state/01/lga/08/ward/10/pu/002/002-1677401443.pdf</t>
  </si>
  <si>
    <t>CATH. SCHOOL EBUTE - IMOBI, Polling Unit, IJEBU EAST, Ogun State, Nigeria</t>
  </si>
  <si>
    <t>27-08-10-003</t>
  </si>
  <si>
    <t>ANG. PRIMARY SCH. OKI-ARAROMI</t>
  </si>
  <si>
    <t>https://docs.inecelectionresults.net/elections_prod/1292/state/01/lga/08/ward/10/pu/003/003-1677400896.pdf</t>
  </si>
  <si>
    <t>ANG. PRIMARY SCH. OKI-ARAROMI, Polling Unit, IJEBU EAST, Ogun State, Nigeria</t>
  </si>
  <si>
    <t>27-08-10-004</t>
  </si>
  <si>
    <t>CATH. SCH. OKI- IGBODE  I</t>
  </si>
  <si>
    <t>https://docs.inecelectionresults.net/elections_prod/1292/state/01/lga/08/ward/10/pu/004/004-1677402689.pdf</t>
  </si>
  <si>
    <t>CATH. SCH. OKI- IGBODE  I, Polling Unit, IJEBU EAST, Ogun State, Nigeria</t>
  </si>
  <si>
    <t>27-08-10-005</t>
  </si>
  <si>
    <t>CATH. SCH. OKI- IGBODE  II</t>
  </si>
  <si>
    <t>https://docs.inecelectionresults.net/elections_prod/1292/state/01/lga/08/ward/10/pu/005/005-1677403600.pdf</t>
  </si>
  <si>
    <t>CATH. SCH. OKI- IGBODE  II, Polling Unit, IJEBU EAST, Ogun State, Nigeria</t>
  </si>
  <si>
    <t>27-08-10-006</t>
  </si>
  <si>
    <t>ST. COLUMBUS OKE - MAKUN</t>
  </si>
  <si>
    <t>https://docs.inecelectionresults.net/elections_prod/1292/state/01/lga/08/ward/10/pu/006/006-1677404452.pdf</t>
  </si>
  <si>
    <t>ST. COLUMBUS OKE - MAKUN, Polling Unit, IJEBU EAST, Ogun State, Nigeria</t>
  </si>
  <si>
    <t>27-08-10-007</t>
  </si>
  <si>
    <t>TEGUN SILU SQUARE</t>
  </si>
  <si>
    <t>https://docs.inecelectionresults.net/elections_prod/1292/state/01/lga/08/ward/10/pu/007/007-1677405291.pdf</t>
  </si>
  <si>
    <t>TEGUN SILU SQUARE, Polling Unit, IJEBU EAST, Ogun State, Nigeria</t>
  </si>
  <si>
    <t>27-08-10-008</t>
  </si>
  <si>
    <t>TOTUNBA</t>
  </si>
  <si>
    <t>https://docs.inecelectionresults.net/elections_prod/1292/state/01/lga/08/ward/10/pu/008/008-1677404888.pdf</t>
  </si>
  <si>
    <t>TOTUNBA, Polling Unit, IJEBU EAST, Ogun State, Nigeria</t>
  </si>
  <si>
    <t>AJEBANDELE</t>
  </si>
  <si>
    <t>27-08-11-001</t>
  </si>
  <si>
    <t>COMMUNITY PRIMARY SCHOOL ORITA J 4</t>
  </si>
  <si>
    <t>https://docs.inecelectionresults.net/elections_prod/1292/state/01/lga/08/ward/11/pu/001/001-1677418422.pdf</t>
  </si>
  <si>
    <t>COMMUNITY PRIMARY SCHOOL ORITA J 4, Polling Unit, IJEBU EAST, Ogun State, Nigeria</t>
  </si>
  <si>
    <t>27-08-11-002</t>
  </si>
  <si>
    <t>AJEGBENDE</t>
  </si>
  <si>
    <t>https://docs.inecelectionresults.net/elections_prod/1292/state/01/lga/08/ward/11/pu/002/002-1677417831.pdf</t>
  </si>
  <si>
    <t>AJEGBENDE, Polling Unit, IJEBU EAST, Ogun State, Nigeria</t>
  </si>
  <si>
    <t>27-08-11-003</t>
  </si>
  <si>
    <t>ORISUMBARE</t>
  </si>
  <si>
    <t>https://docs.inecelectionresults.net/elections_prod/1292/state/01/lga/08/ward/11/pu/003/003-1677418388.pdf</t>
  </si>
  <si>
    <t>ORISUMBARE, Polling Unit, IJEBU EAST, Ogun State, Nigeria</t>
  </si>
  <si>
    <t>27-08-11-005</t>
  </si>
  <si>
    <t>ST. SAVIOUR'S SCH. AJEBANDELE  II</t>
  </si>
  <si>
    <t>https://docs.inecelectionresults.net/elections_prod/1292/state/01/lga/08/ward/11/pu/005/005-1677418817.pdf</t>
  </si>
  <si>
    <t>ST. SAVIOUR'S SCH. AJEBANDELE  II, Polling Unit, IJEBU EAST, Ogun State, Nigeria</t>
  </si>
  <si>
    <t>27-08-11-006</t>
  </si>
  <si>
    <t>COMM. PRIMARY SCH. OLOJI</t>
  </si>
  <si>
    <t>https://docs.inecelectionresults.net/elections_prod/1292/state/01/lga/08/ward/11/pu/006/006-1677418814.pdf</t>
  </si>
  <si>
    <t>COMM. PRIMARY SCH. OLOJI, Polling Unit, IJEBU EAST, Ogun State, Nigeria</t>
  </si>
  <si>
    <t>27-08-11-007</t>
  </si>
  <si>
    <t>COMM. PRIMARY SCH. ABERU</t>
  </si>
  <si>
    <t>https://docs.inecelectionresults.net/elections_prod/1292/state/01/lga/08/ward/11/pu/007/007-1677419129.pdf</t>
  </si>
  <si>
    <t>COMM. PRIMARY SCH. ABERU, Polling Unit, IJEBU EAST, Ogun State, Nigeria</t>
  </si>
  <si>
    <t>27-08-11-009</t>
  </si>
  <si>
    <t>OPEN SPACE AT ALAFIA CAMP</t>
  </si>
  <si>
    <t>https://docs.inecelectionresults.net/elections_prod/1292/state/01/lga/08/ward/11/pu/009/009-1677419455.pdf</t>
  </si>
  <si>
    <t>OPEN SPACE AT ALAFIA CAMP, Polling Unit, IJEBU EAST, Ogun State, Nigeria</t>
  </si>
  <si>
    <t>27-08-11-010</t>
  </si>
  <si>
    <t>AJELANWA</t>
  </si>
  <si>
    <t>https://docs.inecelectionresults.net/elections_prod/1292/state/01/lga/08/ward/11/pu/010/010-1677420058.pdf</t>
  </si>
  <si>
    <t>AJELANWA, Polling Unit, IJEBU EAST, Ogun State, Nigeria</t>
  </si>
  <si>
    <t>IJEBU NORTH</t>
  </si>
  <si>
    <t>ATIKORI</t>
  </si>
  <si>
    <t>27-09-01-004</t>
  </si>
  <si>
    <t>NEAR BOGIJIE'S HOUSE II</t>
  </si>
  <si>
    <t>https://docs.inecelectionresults.net/elections_prod/1292/state/01/lga/09/ward/01/pu/004/004-1677394961.pdf</t>
  </si>
  <si>
    <t>NEAR BOGIJIE'S HOUSE II, Polling Unit, IJEBU NORTH, Ogun State, Nigeria</t>
  </si>
  <si>
    <t>27-09-01-005</t>
  </si>
  <si>
    <t>HEALTH CENTRE, OKE - IFE I</t>
  </si>
  <si>
    <t>https://docs.inecelectionresults.net/elections_prod/1292/state/01/lga/09/ward/01/pu/005/005-1677394136.pdf</t>
  </si>
  <si>
    <t>HEALTH CENTRE, OKE - IFE I, Polling Unit, IJEBU NORTH, Ogun State, Nigeria</t>
  </si>
  <si>
    <t>27-09-01-006</t>
  </si>
  <si>
    <t>HEALTH CENTRE, OKE - IFE II</t>
  </si>
  <si>
    <t>https://docs.inecelectionresults.net/elections_prod/1292/state/01/lga/09/ward/01/pu/006/006-1677405277.pdf</t>
  </si>
  <si>
    <t>HEALTH CENTRE, OKE - IFE II, Polling Unit, IJEBU NORTH, Ogun State, Nigeria</t>
  </si>
  <si>
    <t>27-09-01-007</t>
  </si>
  <si>
    <t>ST. JAMES' SCHOOL  I</t>
  </si>
  <si>
    <t>https://docs.inecelectionresults.net/elections_prod/1292/state/01/lga/09/ward/01/pu/007/007-1677401698.pdf</t>
  </si>
  <si>
    <t>ST. JAMES' SCHOOL  I, Polling Unit, IJEBU NORTH, Ogun State, Nigeria</t>
  </si>
  <si>
    <t>27-09-01-009</t>
  </si>
  <si>
    <t>IN FRONT OF DR. SOJOBI'S HOUSE II</t>
  </si>
  <si>
    <t>https://docs.inecelectionresults.net/elections_prod/1292/state/01/lga/09/ward/01/pu/009/009-1677408330.pdf</t>
  </si>
  <si>
    <t>IN FRONT OF DR. SOJOBI'S HOUSE II, Polling Unit, IJEBU NORTH, Ogun State, Nigeria</t>
  </si>
  <si>
    <t>27-09-01-011</t>
  </si>
  <si>
    <t>IN FRONT OF JEBODA'S HOUSE II</t>
  </si>
  <si>
    <t>https://docs.inecelectionresults.net/elections_prod/1292/state/01/lga/09/ward/01/pu/011/011-1677408221.pdf</t>
  </si>
  <si>
    <t>IN FRONT OF JEBODA'S HOUSE II, Polling Unit, IJEBU NORTH, Ogun State, Nigeria</t>
  </si>
  <si>
    <t>27-09-01-012</t>
  </si>
  <si>
    <t>IN FRONT OF IMAM'S HOUSE OKUMOJE  I</t>
  </si>
  <si>
    <t>https://docs.inecelectionresults.net/elections_prod/1292/state/01/lga/09/ward/01/pu/012/012-1677398344.pdf</t>
  </si>
  <si>
    <t>IN FRONT OF IMAM'S HOUSE OKUMOJE  I, Polling Unit, IJEBU NORTH, Ogun State, Nigeria</t>
  </si>
  <si>
    <t>27-09-01-014</t>
  </si>
  <si>
    <t>IN FRONT OF ONIGBURE'S HOUSE</t>
  </si>
  <si>
    <t>https://docs.inecelectionresults.net/elections_prod/1292/state/01/lga/09/ward/01/pu/014/014-1677388979.pdf</t>
  </si>
  <si>
    <t>IN FRONT OF ONIGBURE'S HOUSE, Polling Unit, IJEBU NORTH, Ogun State, Nigeria</t>
  </si>
  <si>
    <t>27-09-01-015</t>
  </si>
  <si>
    <t>DAGBOLU MOTOR PARK</t>
  </si>
  <si>
    <t>https://docs.inecelectionresults.net/elections_prod/1292/state/01/lga/09/ward/01/pu/015/015-1677396802.pdf</t>
  </si>
  <si>
    <t>DAGBOLU MOTOR PARK, Polling Unit, IJEBU NORTH, Ogun State, Nigeria</t>
  </si>
  <si>
    <t>27-09-01-016</t>
  </si>
  <si>
    <t>HEALTH CENTRE</t>
  </si>
  <si>
    <t>https://docs.inecelectionresults.net/elections_prod/1292/state/01/lga/09/ward/01/pu/016/016-1677408451.pdf</t>
  </si>
  <si>
    <t>HEALTH CENTRE, Polling Unit, IJEBU NORTH, Ogun State, Nigeria</t>
  </si>
  <si>
    <t>27-09-01-017</t>
  </si>
  <si>
    <t>ST. JAMES' SCHOOL II</t>
  </si>
  <si>
    <t>https://docs.inecelectionresults.net/elections_prod/1292/state/01/lga/09/ward/01/pu/017/017-1677404189.pdf</t>
  </si>
  <si>
    <t>ST. JAMES' SCHOOL II, Polling Unit, IJEBU NORTH, Ogun State, Nigeria</t>
  </si>
  <si>
    <t>JAPARA/OJOWO</t>
  </si>
  <si>
    <t>27-09-02-001</t>
  </si>
  <si>
    <t>IN FRONT OF NUBI CARPENTER'S HOUSE</t>
  </si>
  <si>
    <t>https://docs.inecelectionresults.net/elections_prod/1292/state/01/lga/09/ward/02/pu/001/001-1677383301.pdf</t>
  </si>
  <si>
    <t>IN FRONT OF NUBI CARPENTER'S HOUSE, Polling Unit, IJEBU NORTH, Ogun State, Nigeria</t>
  </si>
  <si>
    <t>27-09-02-002</t>
  </si>
  <si>
    <t>AT LOCAL GOVT. MARKET</t>
  </si>
  <si>
    <t>https://docs.inecelectionresults.net/elections_prod/1292/state/01/lga/09/ward/02/pu/002/002-1677383971.pdf</t>
  </si>
  <si>
    <t>AT LOCAL GOVT. MARKET, Polling Unit, IJEBU NORTH, Ogun State, Nigeria</t>
  </si>
  <si>
    <t>27-09-02-003</t>
  </si>
  <si>
    <t>IN FRONT OF OLORITUN'S HOUSE</t>
  </si>
  <si>
    <t>https://docs.inecelectionresults.net/elections_prod/1292/state/01/lga/09/ward/02/pu/003/003-1677384582.pdf</t>
  </si>
  <si>
    <t>IN FRONT OF OLORITUN'S HOUSE, Polling Unit, IJEBU NORTH, Ogun State, Nigeria</t>
  </si>
  <si>
    <t>27-09-02-004</t>
  </si>
  <si>
    <t>ST. MATHEW SCHOOL II</t>
  </si>
  <si>
    <t>https://docs.inecelectionresults.net/elections_prod/1292/state/01/lga/09/ward/02/pu/004/004-1677385414.pdf</t>
  </si>
  <si>
    <t>ST. MATHEW SCHOOL II, Polling Unit, IJEBU NORTH, Ogun State, Nigeria</t>
  </si>
  <si>
    <t>27-09-02-005</t>
  </si>
  <si>
    <t>AT VICARAGE</t>
  </si>
  <si>
    <t>https://docs.inecelectionresults.net/elections_prod/1292/state/01/lga/09/ward/02/pu/005/005-1677386612.pdf</t>
  </si>
  <si>
    <t>AT VICARAGE, Polling Unit, IJEBU NORTH, Ogun State, Nigeria</t>
  </si>
  <si>
    <t>27-09-02-006</t>
  </si>
  <si>
    <t>ST. MATHEW SCHOOL I</t>
  </si>
  <si>
    <t>https://docs.inecelectionresults.net/elections_prod/1292/state/01/lga/09/ward/02/pu/006/006-1677387616.pdf</t>
  </si>
  <si>
    <t>ST. MATHEW SCHOOL I, Polling Unit, IJEBU NORTH, Ogun State, Nigeria</t>
  </si>
  <si>
    <t>27-09-02-007</t>
  </si>
  <si>
    <t>ST. LUKE'S SCHOOL, JAPARA</t>
  </si>
  <si>
    <t>https://docs.inecelectionresults.net/elections_prod/1292/state/01/lga/09/ward/02/pu/007/007-1677388148.pdf</t>
  </si>
  <si>
    <t>ST. LUKE'S SCHOOL, JAPARA, Polling Unit, IJEBU NORTH, Ogun State, Nigeria</t>
  </si>
  <si>
    <t>27-09-02-008</t>
  </si>
  <si>
    <t>FRONT OF SODINA'S HOUSE</t>
  </si>
  <si>
    <t>https://docs.inecelectionresults.net/elections_prod/1292/state/01/lga/09/ward/02/pu/008/008-1677392617.pdf</t>
  </si>
  <si>
    <t>FRONT OF SODINA'S HOUSE, Polling Unit, IJEBU NORTH, Ogun State, Nigeria</t>
  </si>
  <si>
    <t>27-09-02-009</t>
  </si>
  <si>
    <t>FRONT OF HEALTH CENTRE, JAPARA</t>
  </si>
  <si>
    <t>https://docs.inecelectionresults.net/elections_prod/1292/state/01/lga/09/ward/02/pu/009/009-1677392905.pdf</t>
  </si>
  <si>
    <t>FRONT OF HEALTH CENTRE, JAPARA, Polling Unit, IJEBU NORTH, Ogun State, Nigeria</t>
  </si>
  <si>
    <t>27-09-02-010</t>
  </si>
  <si>
    <t>FRONT OF AYANWALE'S HOUSE OJOWO</t>
  </si>
  <si>
    <t>https://docs.inecelectionresults.net/elections_prod/1292/state/01/lga/09/ward/02/pu/010/010-1677398519.pdf</t>
  </si>
  <si>
    <t>FRONT OF AYANWALE'S HOUSE OJOWO, Polling Unit, IJEBU NORTH, Ogun State, Nigeria</t>
  </si>
  <si>
    <t>27-09-02-011</t>
  </si>
  <si>
    <t>FRONT OF ALHAJI LAWALS HOUSE ODORABOYEJI</t>
  </si>
  <si>
    <t>https://docs.inecelectionresults.net/elections_prod/1292/state/01/lga/09/ward/02/pu/011/011-1677396449.pdf</t>
  </si>
  <si>
    <t>FRONT OF ALHAJI LAWALS HOUSE ODORABOYEJI, Polling Unit, IJEBU NORTH, Ogun State, Nigeria</t>
  </si>
  <si>
    <t>27-09-02-012</t>
  </si>
  <si>
    <t>FRONT OF ABEGUNDE'S HOUSE ALEDO  1</t>
  </si>
  <si>
    <t>https://docs.inecelectionresults.net/elections_prod/1292/state/01/lga/09/ward/02/pu/012/012-1677398374.pdf</t>
  </si>
  <si>
    <t>FRONT OF ABEGUNDE'S HOUSE ALEDO  1, Polling Unit, IJEBU NORTH, Ogun State, Nigeria</t>
  </si>
  <si>
    <t>27-09-02-013</t>
  </si>
  <si>
    <t>FRONT OF ABEGUNDE'S HOUSE ALEDO  II</t>
  </si>
  <si>
    <t>https://docs.inecelectionresults.net/elections_prod/1292/state/01/lga/09/ward/02/pu/013/013-1677397563.pdf</t>
  </si>
  <si>
    <t>FRONT OF ABEGUNDE'S HOUSE ALEDO  II, Polling Unit, IJEBU NORTH, Ogun State, Nigeria</t>
  </si>
  <si>
    <t>27-09-02-014</t>
  </si>
  <si>
    <t>ROUNDABOUT ODOSENBADEJO</t>
  </si>
  <si>
    <t>https://docs.inecelectionresults.net/elections_prod/1292/state/01/lga/09/ward/02/pu/014/014-1677399538.pdf</t>
  </si>
  <si>
    <t>ROUNDABOUT ODOSENBADEJO, Polling Unit, IJEBU NORTH, Ogun State, Nigeria</t>
  </si>
  <si>
    <t>27-09-02-015</t>
  </si>
  <si>
    <t>ABIDUN HALL</t>
  </si>
  <si>
    <t>https://docs.inecelectionresults.net/elections_prod/1292/state/01/lga/09/ward/02/pu/015/015-1677400099.pdf</t>
  </si>
  <si>
    <t>ABIDUN HALL, Polling Unit, IJEBU NORTH, Ogun State, Nigeria</t>
  </si>
  <si>
    <t>27-09-02-017</t>
  </si>
  <si>
    <t>FRONT OF S.S. BANJO'S HOUSE</t>
  </si>
  <si>
    <t>https://docs.inecelectionresults.net/elections_prod/1292/state/01/lga/09/ward/02/pu/017/017-1677401404.pdf</t>
  </si>
  <si>
    <t>FRONT OF S.S. BANJO'S HOUSE, Polling Unit, IJEBU NORTH, Ogun State, Nigeria</t>
  </si>
  <si>
    <t>OMEN</t>
  </si>
  <si>
    <t>27-09-03-001</t>
  </si>
  <si>
    <t>PAPA OLOGBONI'S VILLAGE</t>
  </si>
  <si>
    <t>https://docs.inecelectionresults.net/elections_prod/1292/state/01/lga/09/ward/03/pu/001/001-1677382655.pdf</t>
  </si>
  <si>
    <t>PAPA OLOGBONI'S VILLAGE, Polling Unit, IJEBU NORTH, Ogun State, Nigeria</t>
  </si>
  <si>
    <t>27-09-03-002</t>
  </si>
  <si>
    <t>IPAKODO VILLAGE</t>
  </si>
  <si>
    <t>https://docs.inecelectionresults.net/elections_prod/1292/state/01/lga/09/ward/03/pu/002/002-1677384242.pdf</t>
  </si>
  <si>
    <t>IPAKODO VILLAGE, Polling Unit, IJEBU NORTH, Ogun State, Nigeria</t>
  </si>
  <si>
    <t>27-09-03-003</t>
  </si>
  <si>
    <t>DAGBOLU LOCAL GOVT. SCH. I</t>
  </si>
  <si>
    <t>https://docs.inecelectionresults.net/elections_prod/1292/state/01/lga/09/ward/03/pu/003/003-1677384819.pdf</t>
  </si>
  <si>
    <t>DAGBOLU LOCAL GOVT. SCH. I, Polling Unit, IJEBU NORTH, Ogun State, Nigeria</t>
  </si>
  <si>
    <t>27-09-03-004</t>
  </si>
  <si>
    <t>DAGBOLU LOCAL GOVT. SCH. II</t>
  </si>
  <si>
    <t>https://docs.inecelectionresults.net/elections_prod/1292/state/01/lga/09/ward/03/pu/004/004-1677384076.pdf</t>
  </si>
  <si>
    <t>DAGBOLU LOCAL GOVT. SCH. II, Polling Unit, IJEBU NORTH, Ogun State, Nigeria</t>
  </si>
  <si>
    <t>27-09-03-005</t>
  </si>
  <si>
    <t>ITA EGBA ANGLICAN SCH.</t>
  </si>
  <si>
    <t>https://docs.inecelectionresults.net/elections_prod/1292/state/01/lga/09/ward/03/pu/005/005-1677383640.pdf</t>
  </si>
  <si>
    <t>ITA EGBA ANGLICAN SCH., Polling Unit, IJEBU NORTH, Ogun State, Nigeria</t>
  </si>
  <si>
    <t>27-09-03-006</t>
  </si>
  <si>
    <t>L.G. SCH. LUMOGEDE</t>
  </si>
  <si>
    <t>https://docs.inecelectionresults.net/elections_prod/1292/state/01/lga/09/ward/03/pu/006/006-1677382885.pdf</t>
  </si>
  <si>
    <t>L.G. SCH. LUMOGEDE, Polling Unit, IJEBU NORTH, Ogun State, Nigeria</t>
  </si>
  <si>
    <t>27-09-03-007</t>
  </si>
  <si>
    <t>L.G. SCH. GANRIGAN, JAPARA</t>
  </si>
  <si>
    <t>https://docs.inecelectionresults.net/elections_prod/1292/state/01/lga/09/ward/03/pu/007/007-1677384068.pdf</t>
  </si>
  <si>
    <t>L.G. SCH. GANRIGAN, JAPARA, Polling Unit, IJEBU NORTH, Ogun State, Nigeria</t>
  </si>
  <si>
    <t>27-09-03-008</t>
  </si>
  <si>
    <t>AJEBANDELE OGUNYE VILLAGE</t>
  </si>
  <si>
    <t>https://docs.inecelectionresults.net/elections_prod/1292/state/01/lga/09/ward/03/pu/008/008-1677383462.pdf</t>
  </si>
  <si>
    <t>AJEBANDELE OGUNYE VILLAGE, Polling Unit, IJEBU NORTH, Ogun State, Nigeria</t>
  </si>
  <si>
    <t>27-09-03-009</t>
  </si>
  <si>
    <t>OKOLIYAN VILLAGE</t>
  </si>
  <si>
    <t>https://docs.inecelectionresults.net/elections_prod/1292/state/01/lga/09/ward/03/pu/009/009-1677384059.pdf</t>
  </si>
  <si>
    <t>OKOLIYAN VILLAGE, Polling Unit, IJEBU NORTH, Ogun State, Nigeria</t>
  </si>
  <si>
    <t>27-09-03-010</t>
  </si>
  <si>
    <t>ODULAJA BAALE PRIMARY SCHOOL</t>
  </si>
  <si>
    <t>https://docs.inecelectionresults.net/elections_prod/1292/state/01/lga/09/ward/03/pu/010/010-1677385153.pdf</t>
  </si>
  <si>
    <t>ODULAJA BAALE PRIMARY SCHOOL, Polling Unit, IJEBU NORTH, Ogun State, Nigeria</t>
  </si>
  <si>
    <t>27-09-03-011</t>
  </si>
  <si>
    <t>IDIOPARUN VILLAGE   I</t>
  </si>
  <si>
    <t>https://docs.inecelectionresults.net/elections_prod/1292/state/01/lga/09/ward/03/pu/011/011-1677384242.pdf</t>
  </si>
  <si>
    <t>IDIOPARUN VILLAGE   I, Polling Unit, IJEBU NORTH, Ogun State, Nigeria</t>
  </si>
  <si>
    <t>27-09-03-012</t>
  </si>
  <si>
    <t>IDIOPARUN VILLAGE   II</t>
  </si>
  <si>
    <t>https://docs.inecelectionresults.net/elections_prod/1292/state/01/lga/09/ward/03/pu/012/012-1677383881.pdf</t>
  </si>
  <si>
    <t>IDIOPARUN VILLAGE   II, Polling Unit, IJEBU NORTH, Ogun State, Nigeria</t>
  </si>
  <si>
    <t>27-09-03-013</t>
  </si>
  <si>
    <t>ERIDU VILLAGE</t>
  </si>
  <si>
    <t>https://docs.inecelectionresults.net/elections_prod/1292/state/01/lga/09/ward/03/pu/013/013-1677395814.pdf</t>
  </si>
  <si>
    <t>ERIDU VILLAGE, Polling Unit, IJEBU NORTH, Ogun State, Nigeria</t>
  </si>
  <si>
    <t>27-09-03-014</t>
  </si>
  <si>
    <t>ORITA AGBADE I</t>
  </si>
  <si>
    <t>https://docs.inecelectionresults.net/elections_prod/1292/state/01/lga/09/ward/03/pu/014/014-1677383657.pdf</t>
  </si>
  <si>
    <t>ORITA AGBADE I, Polling Unit, IJEBU NORTH, Ogun State, Nigeria</t>
  </si>
  <si>
    <t>27-09-03-015</t>
  </si>
  <si>
    <t>ORITA AGBADE II</t>
  </si>
  <si>
    <t>https://docs.inecelectionresults.net/elections_prod/1292/state/01/lga/09/ward/03/pu/015/015-1677403240.pdf</t>
  </si>
  <si>
    <t>ORITA AGBADE II, Polling Unit, IJEBU NORTH, Ogun State, Nigeria</t>
  </si>
  <si>
    <t>27-09-03-016</t>
  </si>
  <si>
    <t>ABA TITUN VILLAGE I</t>
  </si>
  <si>
    <t>https://docs.inecelectionresults.net/elections_prod/1292/state/01/lga/09/ward/03/pu/016/016-1677383504.pdf</t>
  </si>
  <si>
    <t>ABA TITUN VILLAGE I, Polling Unit, IJEBU NORTH, Ogun State, Nigeria</t>
  </si>
  <si>
    <t>27-09-03-017</t>
  </si>
  <si>
    <t>ABA TITUN VILLAGE II</t>
  </si>
  <si>
    <t>https://docs.inecelectionresults.net/elections_prod/1292/state/01/lga/09/ward/03/pu/017/017-1677384286.pdf</t>
  </si>
  <si>
    <t>ABA TITUN VILLAGE II, Polling Unit, IJEBU NORTH, Ogun State, Nigeria</t>
  </si>
  <si>
    <t>27-09-03-018</t>
  </si>
  <si>
    <t>OSHUNBUDEPO I</t>
  </si>
  <si>
    <t>https://docs.inecelectionresults.net/elections_prod/1292/state/01/lga/09/ward/03/pu/018/018-1677382864.pdf</t>
  </si>
  <si>
    <t>OSHUNBUDEPO I, Polling Unit, IJEBU NORTH, Ogun State, Nigeria</t>
  </si>
  <si>
    <t>27-09-03-019</t>
  </si>
  <si>
    <t>OSHUNBUDEPO II</t>
  </si>
  <si>
    <t>https://docs.inecelectionresults.net/elections_prod/1292/state/01/lga/09/ward/03/pu/019/019-1677394940.pdf</t>
  </si>
  <si>
    <t>OSHUNBUDEPO II, Polling Unit, IJEBU NORTH, Ogun State, Nigeria</t>
  </si>
  <si>
    <t>27-09-03-020</t>
  </si>
  <si>
    <t>AGBALASON VILLAGE</t>
  </si>
  <si>
    <t>https://docs.inecelectionresults.net/elections_prod/1292/state/01/lga/09/ward/03/pu/020/020-1677390349.pdf</t>
  </si>
  <si>
    <t>AGBALASON VILLAGE, Polling Unit, IJEBU NORTH, Ogun State, Nigeria</t>
  </si>
  <si>
    <t>27-09-03-021</t>
  </si>
  <si>
    <t>ODULAJA HOUSE</t>
  </si>
  <si>
    <t>https://docs.inecelectionresults.net/elections_prod/1292/state/01/lga/09/ward/03/pu/021/021-1677382591.pdf</t>
  </si>
  <si>
    <t>ODULAJA HOUSE, Polling Unit, IJEBU NORTH, Ogun State, Nigeria</t>
  </si>
  <si>
    <t>27-09-03-022</t>
  </si>
  <si>
    <t>IDIOPARUN VILLAGE</t>
  </si>
  <si>
    <t>https://docs.inecelectionresults.net/elections_prod/1292/state/01/lga/09/ward/03/pu/022/022-1677383319.pdf</t>
  </si>
  <si>
    <t>IDIOPARUN VILLAGE, Polling Unit, IJEBU NORTH, Ogun State, Nigeria</t>
  </si>
  <si>
    <t>OSUN</t>
  </si>
  <si>
    <t>27-09-04-001</t>
  </si>
  <si>
    <t>IMOPA MARKET  I</t>
  </si>
  <si>
    <t>https://docs.inecelectionresults.net/elections_prod/1292/state/01/lga/09/ward/04/pu/001/001-1677394944.pdf</t>
  </si>
  <si>
    <t>IMOPA MARKET  I, Polling Unit, IJEBU NORTH, Ogun State, Nigeria</t>
  </si>
  <si>
    <t>27-09-04-002</t>
  </si>
  <si>
    <t>IMOPA MARKET  II</t>
  </si>
  <si>
    <t>https://docs.inecelectionresults.net/elections_prod/1292/state/01/lga/09/ward/04/pu/002/002-1677391044.pdf</t>
  </si>
  <si>
    <t>IMOPA MARKET  II, Polling Unit, IJEBU NORTH, Ogun State, Nigeria</t>
  </si>
  <si>
    <t>27-09-04-003</t>
  </si>
  <si>
    <t>R.C.M. SCHOOL IDAGOLU</t>
  </si>
  <si>
    <t>https://docs.inecelectionresults.net/elections_prod/1292/state/01/lga/09/ward/04/pu/003/003-1677399972.pdf</t>
  </si>
  <si>
    <t>R.C.M. SCHOOL IDAGOLU, Polling Unit, IJEBU NORTH, Ogun State, Nigeria</t>
  </si>
  <si>
    <t>27-09-04-004</t>
  </si>
  <si>
    <t>ST. GEORGE'S SCH., APARAKI</t>
  </si>
  <si>
    <t>https://docs.inecelectionresults.net/elections_prod/1292/state/01/lga/09/ward/04/pu/004/004-1677395402.pdf</t>
  </si>
  <si>
    <t>ST. GEORGE'S SCH., APARAKI, Polling Unit, IJEBU NORTH, Ogun State, Nigeria</t>
  </si>
  <si>
    <t>27-09-04-005</t>
  </si>
  <si>
    <t>L.G. SCH. EGAMORO</t>
  </si>
  <si>
    <t>https://docs.inecelectionresults.net/elections_prod/1292/state/01/lga/09/ward/04/pu/005/005-1677399402.pdf</t>
  </si>
  <si>
    <t>L.G. SCH. EGAMORO, Polling Unit, IJEBU NORTH, Ogun State, Nigeria</t>
  </si>
  <si>
    <t>27-09-04-006</t>
  </si>
  <si>
    <t>ODOOSUN VILLAGE</t>
  </si>
  <si>
    <t>https://docs.inecelectionresults.net/elections_prod/1292/state/01/lga/09/ward/04/pu/006/006-1677393075.pdf</t>
  </si>
  <si>
    <t>ODOOSUN VILLAGE, Polling Unit, IJEBU NORTH, Ogun State, Nigeria</t>
  </si>
  <si>
    <t>27-09-04-007</t>
  </si>
  <si>
    <t>ST. STEPHEN'S SCH. ASIGIDI</t>
  </si>
  <si>
    <t>https://docs.inecelectionresults.net/elections_prod/1292/state/01/lga/09/ward/04/pu/007/007-1677390332.pdf</t>
  </si>
  <si>
    <t>ST. STEPHEN'S SCH. ASIGIDI, Polling Unit, IJEBU NORTH, Ogun State, Nigeria</t>
  </si>
  <si>
    <t>27-09-04-008</t>
  </si>
  <si>
    <t>ST. PETER'S SCH. AGUNBOYE</t>
  </si>
  <si>
    <t>https://docs.inecelectionresults.net/elections_prod/1292/state/01/lga/09/ward/04/pu/008/008-1677397116.pdf</t>
  </si>
  <si>
    <t>ST. PETER'S SCH. AGUNBOYE, Polling Unit, IJEBU NORTH, Ogun State, Nigeria</t>
  </si>
  <si>
    <t>27-09-04-010</t>
  </si>
  <si>
    <t>OLORUNMODI VILLAGE I</t>
  </si>
  <si>
    <t>https://docs.inecelectionresults.net/elections_prod/1292/state/01/lga/09/ward/04/pu/010/010-1677388938.pdf</t>
  </si>
  <si>
    <t>OLORUNMODI VILLAGE I, Polling Unit, IJEBU NORTH, Ogun State, Nigeria</t>
  </si>
  <si>
    <t>27-09-04-011</t>
  </si>
  <si>
    <t>OLORUNMODI VILLAGE II</t>
  </si>
  <si>
    <t>https://docs.inecelectionresults.net/elections_prod/1292/state/01/lga/09/ward/04/pu/011/011-1677388062.pdf</t>
  </si>
  <si>
    <t>OLORUNMODI VILLAGE II, Polling Unit, IJEBU NORTH, Ogun State, Nigeria</t>
  </si>
  <si>
    <t>27-09-04-012</t>
  </si>
  <si>
    <t>ST. GEORGE PRIMARY R.C.M. SCHOOL, TOGUNBERO</t>
  </si>
  <si>
    <t>https://docs.inecelectionresults.net/elections_prod/1292/state/01/lga/09/ward/04/pu/012/012-1677396259.pdf</t>
  </si>
  <si>
    <t>ST. GEORGE PRIMARY R.C.M. SCHOOL, TOGUNBERO, Polling Unit, IJEBU NORTH, Ogun State, Nigeria</t>
  </si>
  <si>
    <t>27-09-04-013</t>
  </si>
  <si>
    <t>L.G. OUT SCHOOL, AKINLADE, OBISESAN</t>
  </si>
  <si>
    <t>https://docs.inecelectionresults.net/elections_prod/1292/state/01/lga/09/ward/04/pu/013/013-1677398426.pdf</t>
  </si>
  <si>
    <t>L.G. OUT SCHOOL, AKINLADE, OBISESAN, Polling Unit, IJEBU NORTH, Ogun State, Nigeria</t>
  </si>
  <si>
    <t>27-09-04-014</t>
  </si>
  <si>
    <t>DAMDOLA VILLAGE</t>
  </si>
  <si>
    <t>https://docs.inecelectionresults.net/elections_prod/1292/state/01/lga/09/ward/04/pu/014/014-1677392063.pdf</t>
  </si>
  <si>
    <t>DAMDOLA VILLAGE, Polling Unit, IJEBU NORTH, Ogun State, Nigeria</t>
  </si>
  <si>
    <t>27-09-04-015</t>
  </si>
  <si>
    <t>L.G. SCHOOL APOJE</t>
  </si>
  <si>
    <t>https://docs.inecelectionresults.net/elections_prod/1292/state/01/lga/09/ward/04/pu/015/015-1677402096.pdf</t>
  </si>
  <si>
    <t>L.G. SCHOOL APOJE, Polling Unit, IJEBU NORTH, Ogun State, Nigeria</t>
  </si>
  <si>
    <t>27-09-04-016</t>
  </si>
  <si>
    <t>IDEKAN CAMP</t>
  </si>
  <si>
    <t>https://inec-cvr-cache.s3.eu-west-1.amazonaws.com/cached/results/91410/result_78794_1677532756_thumb.jpg</t>
  </si>
  <si>
    <t>IDEKAN CAMP, Polling Unit, IJEBU NORTH, Ogun State, Nigeria</t>
  </si>
  <si>
    <t>27-09-04-017</t>
  </si>
  <si>
    <t>TISABA VILLAGE</t>
  </si>
  <si>
    <t>https://inec-cvr-cache.s3.eu-west-1.amazonaws.com/cached/results/91411/result_78795_1677533228_thumb.jpg</t>
  </si>
  <si>
    <t>TISABA VILLAGE, Polling Unit, IJEBU NORTH, Ogun State, Nigeria</t>
  </si>
  <si>
    <t>27-09-04-018</t>
  </si>
  <si>
    <t>TIGIWA VILLAGE</t>
  </si>
  <si>
    <t>https://inec-cvr-cache.s3.eu-west-1.amazonaws.com/cached/results/91412/result_78796_1677533788_thumb.jpg</t>
  </si>
  <si>
    <t>TIGIWA VILLAGE, Polling Unit, IJEBU NORTH, Ogun State, Nigeria</t>
  </si>
  <si>
    <t>27-09-04-019</t>
  </si>
  <si>
    <t>AGBORO VILLAGE</t>
  </si>
  <si>
    <t>https://inec-cvr-cache.s3.eu-west-1.amazonaws.com/cached/results/91413/result_78797_1677534983_thumb.jpg</t>
  </si>
  <si>
    <t>AGBORO VILLAGE, Polling Unit, IJEBU NORTH, Ogun State, Nigeria</t>
  </si>
  <si>
    <t>27-09-04-020</t>
  </si>
  <si>
    <t>ABEKU EAST  I (ABEKU AGBA)</t>
  </si>
  <si>
    <t>https://inec-cvr-cache.s3.eu-west-1.amazonaws.com/cached/results/91414/result_78798_1677534797_thumb.jpg</t>
  </si>
  <si>
    <t>ABEKU EAST  I (ABEKU AGBA), Polling Unit, IJEBU NORTH, Ogun State, Nigeria</t>
  </si>
  <si>
    <t>27-09-04-021</t>
  </si>
  <si>
    <t>ABEKU EAST  II ( IDI OPEPE</t>
  </si>
  <si>
    <t>https://inec-cvr-cache.s3.eu-west-1.amazonaws.com/cached/results/91415/result_78799_1677537127_thumb.jpg</t>
  </si>
  <si>
    <t>ABEKU EAST  II ( IDI OPEPE, Polling Unit, IJEBU NORTH, Ogun State, Nigeria</t>
  </si>
  <si>
    <t>27-09-04-022</t>
  </si>
  <si>
    <t>ERIGBORO VILLAGE</t>
  </si>
  <si>
    <t>https://docs.inecelectionresults.net/elections_prod/1292/state/1/lga/3674/ward/24053/pu/92502/92502-1677578688.pdf</t>
  </si>
  <si>
    <t>ERIGBORO VILLAGE, Polling Unit, IJEBU NORTH, Ogun State, Nigeria</t>
  </si>
  <si>
    <t>27-09-04-023</t>
  </si>
  <si>
    <t>TEMIDIRE VILLAGE</t>
  </si>
  <si>
    <t>https://inec-cvr-cache.s3.eu-west-1.amazonaws.com/cached/results/91417/result_78801_1677534147_thumb.jpg</t>
  </si>
  <si>
    <t>TEMIDIRE VILLAGE, Polling Unit, IJEBU NORTH, Ogun State, Nigeria</t>
  </si>
  <si>
    <t>27-09-04-024</t>
  </si>
  <si>
    <t>ABEKU EAST III (TEMIDIRE ABA TUNTUN)</t>
  </si>
  <si>
    <t>https://docs.inecelectionresults.net/elections_prod/1292/state/1/lga/3674/ward/24053/pu/92504/92504-1677578839.pdf</t>
  </si>
  <si>
    <t>ABEKU EAST III (TEMIDIRE ABA TUNTUN), Polling Unit, IJEBU NORTH, Ogun State, Nigeria</t>
  </si>
  <si>
    <t>27-09-04-025</t>
  </si>
  <si>
    <t>ABEKU (TOGEDENGBE)</t>
  </si>
  <si>
    <t>https://inec-cvr-cache.s3.eu-west-1.amazonaws.com/cached/results/91419/result_78803_1677535730_thumb.jpg</t>
  </si>
  <si>
    <t>ABEKU (TOGEDENGBE), Polling Unit, IJEBU NORTH, Ogun State, Nigeria</t>
  </si>
  <si>
    <t>27-09-04-026</t>
  </si>
  <si>
    <t>LAOKA OSOKO VILLAGE</t>
  </si>
  <si>
    <t>https://docs.inecelectionresults.net/elections_prod/1292/state/01/lga/09/ward/04/pu/026/026-1677408518.pdf</t>
  </si>
  <si>
    <t>LAOKA OSOKO VILLAGE, Polling Unit, IJEBU NORTH, Ogun State, Nigeria</t>
  </si>
  <si>
    <t>OKE AGBO</t>
  </si>
  <si>
    <t>27-09-05-001</t>
  </si>
  <si>
    <t>OPP. OJUBANIRE'S HOUSE I</t>
  </si>
  <si>
    <t>https://inec-cvr-cache.s3.eu-west-1.amazonaws.com/cached/results/91421/result_78808_1677513702_thumb.jpg</t>
  </si>
  <si>
    <t>OPP. OJUBANIRE'S HOUSE I, Polling Unit, IJEBU NORTH, Ogun State, Nigeria</t>
  </si>
  <si>
    <t>27-09-05-002</t>
  </si>
  <si>
    <t>OPP. OJUBANIRE'S HOUSE II</t>
  </si>
  <si>
    <t>https://docs.inecelectionresults.net/elections_prod/1292/state/01/lga/09/ward/05/pu/002/002-1677400833.pdf</t>
  </si>
  <si>
    <t>OPP. OJUBANIRE'S HOUSE II, Polling Unit, IJEBU NORTH, Ogun State, Nigeria</t>
  </si>
  <si>
    <t>27-09-05-004</t>
  </si>
  <si>
    <t>FRONT OF ODEKU'S HOUSE OKEMORO  II</t>
  </si>
  <si>
    <t>https://docs.inecelectionresults.net/elections_prod/1292/state/01/lga/09/ward/05/pu/004/004-1677401208.pdf</t>
  </si>
  <si>
    <t>FRONT OF ODEKU'S HOUSE OKEMORO  II, Polling Unit, IJEBU NORTH, Ogun State, Nigeria</t>
  </si>
  <si>
    <t>27-09-05-005</t>
  </si>
  <si>
    <t>FRONT OF EASY LIFE HOUSE I</t>
  </si>
  <si>
    <t>https://docs.inecelectionresults.net/elections_prod/1292/state/01/lga/09/ward/05/pu/005/005-1677401424.pdf</t>
  </si>
  <si>
    <t>FRONT OF EASY LIFE HOUSE I, Polling Unit, IJEBU NORTH, Ogun State, Nigeria</t>
  </si>
  <si>
    <t>27-09-05-006</t>
  </si>
  <si>
    <t>HOLY ANGEL'S PRIMARY SCH. IDOSA</t>
  </si>
  <si>
    <t>https://docs.inecelectionresults.net/elections_prod/1292/state/01/lga/09/ward/05/pu/006/006-1677398423.pdf</t>
  </si>
  <si>
    <t>HOLY ANGEL'S PRIMARY SCH. IDOSA, Polling Unit, IJEBU NORTH, Ogun State, Nigeria</t>
  </si>
  <si>
    <t>27-09-05-007</t>
  </si>
  <si>
    <t>ST. PHILIPS SCHOOL II</t>
  </si>
  <si>
    <t>https://docs.inecelectionresults.net/elections_prod/1292/state/01/lga/09/ward/05/pu/007/007-1677398687.pdf</t>
  </si>
  <si>
    <t>ST. PHILIPS SCHOOL II, Polling Unit, IJEBU NORTH, Ogun State, Nigeria</t>
  </si>
  <si>
    <t>27-09-05-008</t>
  </si>
  <si>
    <t>FRONT OF ELEYUN'S HOUSE</t>
  </si>
  <si>
    <t>https://docs.inecelectionresults.net/elections_prod/1292/state/01/lga/09/ward/05/pu/008/008-1677397559.pdf</t>
  </si>
  <si>
    <t>FRONT OF ELEYUN'S HOUSE, Polling Unit, IJEBU NORTH, Ogun State, Nigeria</t>
  </si>
  <si>
    <t>27-09-05-009</t>
  </si>
  <si>
    <t>ST. PHILIPS SCHOOL I</t>
  </si>
  <si>
    <t>https://docs.inecelectionresults.net/elections_prod/1292/state/01/lga/09/ward/05/pu/009/009-1677399070.pdf</t>
  </si>
  <si>
    <t>ST. PHILIPS SCHOOL I, Polling Unit, IJEBU NORTH, Ogun State, Nigeria</t>
  </si>
  <si>
    <t>27-09-05-010</t>
  </si>
  <si>
    <t>L.G. PRIMARY SCHOOL ALEDO</t>
  </si>
  <si>
    <t>https://docs.inecelectionresults.net/elections_prod/1292/state/01/lga/09/ward/05/pu/010/010-1677397676.pdf</t>
  </si>
  <si>
    <t>L.G. PRIMARY SCHOOL ALEDO, Polling Unit, IJEBU NORTH, Ogun State, Nigeria</t>
  </si>
  <si>
    <t>27-09-05-011</t>
  </si>
  <si>
    <t>FRONT OF CHIEF BADEJO'S HOUSE (BABAMO)  I</t>
  </si>
  <si>
    <t>https://docs.inecelectionresults.net/elections_prod/1292/state/01/lga/09/ward/05/pu/011/011-1677398236.pdf</t>
  </si>
  <si>
    <t>FRONT OF CHIEF BADEJO'S HOUSE (BABAMO)  I, Polling Unit, IJEBU NORTH, Ogun State, Nigeria</t>
  </si>
  <si>
    <t>27-09-05-012</t>
  </si>
  <si>
    <t>FRONT OF CHIEF BADEJO'S HOUSE (BABAMO) II</t>
  </si>
  <si>
    <t>https://docs.inecelectionresults.net/elections_prod/1292/state/01/lga/09/ward/05/pu/012/012-1677395386.pdf</t>
  </si>
  <si>
    <t>FRONT OF CHIEF BADEJO'S HOUSE (BABAMO) II, Polling Unit, IJEBU NORTH, Ogun State, Nigeria</t>
  </si>
  <si>
    <t>27-09-05-014</t>
  </si>
  <si>
    <t>FRONT OF IGAMOSA</t>
  </si>
  <si>
    <t>https://docs.inecelectionresults.net/elections_prod/1292/state/01/lga/09/ward/05/pu/014/014-1677399641.pdf</t>
  </si>
  <si>
    <t>FRONT OF IGAMOSA, Polling Unit, IJEBU NORTH, Ogun State, Nigeria</t>
  </si>
  <si>
    <t>27-09-05-015</t>
  </si>
  <si>
    <t>FRONT OF ALEDO'S MOSQ.</t>
  </si>
  <si>
    <t>https://docs.inecelectionresults.net/elections_prod/1292/state/01/lga/09/ward/05/pu/015/015-1677389537.pdf</t>
  </si>
  <si>
    <t>FRONT OF ALEDO'S MOSQ., Polling Unit, IJEBU NORTH, Ogun State, Nigeria</t>
  </si>
  <si>
    <t>27-09-05-016</t>
  </si>
  <si>
    <t>BESIDE IDESAN MOSQ.  I</t>
  </si>
  <si>
    <t>https://docs.inecelectionresults.net/elections_prod/1292/state/01/lga/09/ward/05/pu/016/016-1677396252.pdf</t>
  </si>
  <si>
    <t>BESIDE IDESAN MOSQ.  I, Polling Unit, IJEBU NORTH, Ogun State, Nigeria</t>
  </si>
  <si>
    <t>27-09-05-017</t>
  </si>
  <si>
    <t>BESIDE IDESAN MOSQ.  II</t>
  </si>
  <si>
    <t>https://docs.inecelectionresults.net/elections_prod/1292/state/01/lga/09/ward/05/pu/017/017-1677400353.pdf</t>
  </si>
  <si>
    <t>BESIDE IDESAN MOSQ.  II, Polling Unit, IJEBU NORTH, Ogun State, Nigeria</t>
  </si>
  <si>
    <t>27-09-05-018</t>
  </si>
  <si>
    <t>OPP. Y.K. ALASO OKE'S HOUSE I</t>
  </si>
  <si>
    <t>https://docs.inecelectionresults.net/elections_prod/1292/state/01/lga/09/ward/05/pu/018/018-1677399889.pdf</t>
  </si>
  <si>
    <t>OPP. Y.K. ALASO OKE'S HOUSE I, Polling Unit, IJEBU NORTH, Ogun State, Nigeria</t>
  </si>
  <si>
    <t>27-09-05-019</t>
  </si>
  <si>
    <t>OPP. Y.K. ALASO OKE'S HOUSE II</t>
  </si>
  <si>
    <t>https://docs.inecelectionresults.net/elections_prod/1292/state/01/lga/09/ward/05/pu/019/019-1677387611.pdf</t>
  </si>
  <si>
    <t>OPP. Y.K. ALASO OKE'S HOUSE II, Polling Unit, IJEBU NORTH, Ogun State, Nigeria</t>
  </si>
  <si>
    <t>27-09-05-020</t>
  </si>
  <si>
    <t>OPP. APOLE'S HOUSE</t>
  </si>
  <si>
    <t>https://docs.inecelectionresults.net/elections_prod/1292/state/01/lga/09/ward/05/pu/020/020-1677399470.pdf</t>
  </si>
  <si>
    <t>OPP. APOLE'S HOUSE, Polling Unit, IJEBU NORTH, Ogun State, Nigeria</t>
  </si>
  <si>
    <t>27-09-05-021</t>
  </si>
  <si>
    <t>IN FRONT OF BALA BUKOLA'S HOUSE</t>
  </si>
  <si>
    <t>https://docs.inecelectionresults.net/elections_prod/1292/state/01/lga/09/ward/05/pu/021/021-1677400255.pdf</t>
  </si>
  <si>
    <t>IN FRONT OF BALA BUKOLA'S HOUSE, Polling Unit, IJEBU NORTH, Ogun State, Nigeria</t>
  </si>
  <si>
    <t>27-09-05-022</t>
  </si>
  <si>
    <t>KADIRI JUNCTION</t>
  </si>
  <si>
    <t>https://docs.inecelectionresults.net/elections_prod/1292/state/01/lga/09/ward/05/pu/022/022-1677390293.pdf</t>
  </si>
  <si>
    <t>KADIRI JUNCTION, Polling Unit, IJEBU NORTH, Ogun State, Nigeria</t>
  </si>
  <si>
    <t>27-09-05-023</t>
  </si>
  <si>
    <t>IN FRONT OF EASY LIFE HOUSE II</t>
  </si>
  <si>
    <t>https://docs.inecelectionresults.net/elections_prod/1292/state/01/lga/09/ward/05/pu/023/023-1677396630.pdf</t>
  </si>
  <si>
    <t>IN FRONT OF EASY LIFE HOUSE II, Polling Unit, IJEBU NORTH, Ogun State, Nigeria</t>
  </si>
  <si>
    <t>27-09-05-024</t>
  </si>
  <si>
    <t>FRONT OF ELEYIN'S HOUSE</t>
  </si>
  <si>
    <t>https://docs.inecelectionresults.net/elections_prod/1292/state/01/lga/09/ward/05/pu/024/024-1677400026.pdf</t>
  </si>
  <si>
    <t>FRONT OF ELEYIN'S HOUSE, Polling Unit, IJEBU NORTH, Ogun State, Nigeria</t>
  </si>
  <si>
    <t>OKE SOPIN</t>
  </si>
  <si>
    <t>27-09-06-001</t>
  </si>
  <si>
    <t>SPACE AT ODO BALOGUN'S</t>
  </si>
  <si>
    <t>https://inec-cvr-cache.s3.eu-west-1.amazonaws.com/cached/results/91445/result_78834_1677533837_thumb.jpg</t>
  </si>
  <si>
    <t>SPACE AT ODO BALOGUN'S, Polling Unit, IJEBU NORTH, Ogun State, Nigeria</t>
  </si>
  <si>
    <t>27-09-06-002</t>
  </si>
  <si>
    <t>FRONT OF ALH. ALUBANKUDI'S HOUSE I</t>
  </si>
  <si>
    <t>https://inec-cvr-cache.s3.eu-west-1.amazonaws.com/cached/results/91446/result_78835_1677534840_thumb.jpg</t>
  </si>
  <si>
    <t>FRONT OF ALH. ALUBANKUDI'S HOUSE I, Polling Unit, IJEBU NORTH, Ogun State, Nigeria</t>
  </si>
  <si>
    <t>27-09-06-003</t>
  </si>
  <si>
    <t>FRONT OF ALH. ALUBANKUDI'S HOUSE II</t>
  </si>
  <si>
    <t>https://inec-cvr-cache.s3.eu-west-1.amazonaws.com/cached/results/91447/result_78836_1677534956_thumb.jpg</t>
  </si>
  <si>
    <t>FRONT OF ALH. ALUBANKUDI'S HOUSE II, Polling Unit, IJEBU NORTH, Ogun State, Nigeria</t>
  </si>
  <si>
    <t>27-09-06-004</t>
  </si>
  <si>
    <t>ST. JOHN'S CATH. SCH., OKE PADI I</t>
  </si>
  <si>
    <t>https://docs.inecelectionresults.net/elections_prod/1292/state/01/lga/09/ward/06/pu/004/004-1677396799.pdf</t>
  </si>
  <si>
    <t>ST. JOHN'S CATH. SCH., OKE PADI I, Polling Unit, IJEBU NORTH, Ogun State, Nigeria</t>
  </si>
  <si>
    <t>27-09-06-005</t>
  </si>
  <si>
    <t>ST. JOHN'S CATH. SCH., OKE PADI II</t>
  </si>
  <si>
    <t>https://inec-cvr-cache.s3.eu-west-1.amazonaws.com/cached/results/91449/result_78838_1677540534_thumb.jpg</t>
  </si>
  <si>
    <t>ST. JOHN'S CATH. SCH., OKE PADI II, Polling Unit, IJEBU NORTH, Ogun State, Nigeria</t>
  </si>
  <si>
    <t>27-09-06-007</t>
  </si>
  <si>
    <t>ODOYANGUSISE JUNCTION</t>
  </si>
  <si>
    <t>https://inec-cvr-cache.s3.eu-west-1.amazonaws.com/cached/results/91451/result_78840_1677539090_thumb.jpg</t>
  </si>
  <si>
    <t>ODOYANGUSISE JUNCTION, Polling Unit, IJEBU NORTH, Ogun State, Nigeria</t>
  </si>
  <si>
    <t>27-09-06-009</t>
  </si>
  <si>
    <t>NEAR ODOBOTU'S MOSQ. I</t>
  </si>
  <si>
    <t>https://inec-cvr-cache.s3.eu-west-1.amazonaws.com/cached/results/91453/result_78842_1677539992_thumb.jpg</t>
  </si>
  <si>
    <t>NEAR ODOBOTU'S MOSQ. I, Polling Unit, IJEBU NORTH, Ogun State, Nigeria</t>
  </si>
  <si>
    <t>27-09-06-012</t>
  </si>
  <si>
    <t>IDI-ABA IGBAIRE</t>
  </si>
  <si>
    <t>https://inec-cvr-cache.s3.eu-west-1.amazonaws.com/cached/results/91456/result_78845_1677539284_thumb.jpg</t>
  </si>
  <si>
    <t>IDI-ABA IGBAIRE, Polling Unit, IJEBU NORTH, Ogun State, Nigeria</t>
  </si>
  <si>
    <t>27-09-06-013</t>
  </si>
  <si>
    <t>MOSLEM SCHOOL IGBARE I</t>
  </si>
  <si>
    <t>https://inec-cvr-cache.s3.eu-west-1.amazonaws.com/cached/results/91457/result_78846_1677538508_thumb.jpg</t>
  </si>
  <si>
    <t>MOSLEM SCHOOL IGBARE I, Polling Unit, IJEBU NORTH, Ogun State, Nigeria</t>
  </si>
  <si>
    <t>27-09-06-014</t>
  </si>
  <si>
    <t>MOSLEM SCHOOL IGBARE II</t>
  </si>
  <si>
    <t>https://inec-cvr-cache.s3.eu-west-1.amazonaws.com/cached/results/91458/result_78847_1677540171_thumb.jpg</t>
  </si>
  <si>
    <t>MOSLEM SCHOOL IGBARE II, Polling Unit, IJEBU NORTH, Ogun State, Nigeria</t>
  </si>
  <si>
    <t>27-09-06-015</t>
  </si>
  <si>
    <t>FRONT OF ODORAYE'S HOUSE</t>
  </si>
  <si>
    <t>https://docs.inecelectionresults.net/elections_prod/1292/state/01/lga/09/ward/06/pu/015/015-1677397116.pdf</t>
  </si>
  <si>
    <t>FRONT OF ODORAYE'S HOUSE, Polling Unit, IJEBU NORTH, Ogun State, Nigeria</t>
  </si>
  <si>
    <t>27-09-06-016</t>
  </si>
  <si>
    <t>BESIDE PUBLIC LIBRARY OGUNGBO STREET I</t>
  </si>
  <si>
    <t>https://docs.inecelectionresults.net/elections_prod/1292/state/01/lga/09/ward/06/pu/016/016-1677397817.pdf</t>
  </si>
  <si>
    <t>BESIDE PUBLIC LIBRARY OGUNGBO STREET I, Polling Unit, IJEBU NORTH, Ogun State, Nigeria</t>
  </si>
  <si>
    <t>27-09-06-017</t>
  </si>
  <si>
    <t>BESIDE PUBLIC LIBRARY OGUNGBO STREET II</t>
  </si>
  <si>
    <t>https://inec-cvr-cache.s3.eu-west-1.amazonaws.com/cached/results/91461/result_78850_1677539388_thumb.jpg</t>
  </si>
  <si>
    <t>BESIDE PUBLIC LIBRARY OGUNGBO STREET II, Polling Unit, IJEBU NORTH, Ogun State, Nigeria</t>
  </si>
  <si>
    <t>27-09-06-018</t>
  </si>
  <si>
    <t>BESIDE ITOWO MOSQUE</t>
  </si>
  <si>
    <t>https://inec-cvr-cache.s3.eu-west-1.amazonaws.com/cached/results/91462/result_78851_1677538604_thumb.jpg</t>
  </si>
  <si>
    <t>BESIDE ITOWO MOSQUE, Polling Unit, IJEBU NORTH, Ogun State, Nigeria</t>
  </si>
  <si>
    <t>27-09-06-019</t>
  </si>
  <si>
    <t>ST. JOHN'S SCHOOL, OKE JAGA</t>
  </si>
  <si>
    <t>https://docs.inecelectionresults.net/elections_prod/1292/state/01/lga/09/ward/06/pu/019/019-1677394690.pdf</t>
  </si>
  <si>
    <t>ST. JOHN'S SCHOOL, OKE JAGA, Polling Unit, IJEBU NORTH, Ogun State, Nigeria</t>
  </si>
  <si>
    <t>27-09-06-020</t>
  </si>
  <si>
    <t>BESIDE ODORAMUSEGUN MOSQUE</t>
  </si>
  <si>
    <t>https://docs.inecelectionresults.net/elections_prod/1292/state/01/lga/09/ward/06/pu/020/020-1677399402.pdf</t>
  </si>
  <si>
    <t>BESIDE ODORAMUSEGUN MOSQUE, Polling Unit, IJEBU NORTH, Ogun State, Nigeria</t>
  </si>
  <si>
    <t>27-09-06-021</t>
  </si>
  <si>
    <t>A.U.D. PRIMARY SCHOOL OKE-SOPIN</t>
  </si>
  <si>
    <t>https://docs.inecelectionresults.net/elections_prod/1292/state/01/lga/09/ward/06/pu/021/021-1677389223.pdf</t>
  </si>
  <si>
    <t>A.U.D. PRIMARY SCHOOL OKE-SOPIN, Polling Unit, IJEBU NORTH, Ogun State, Nigeria</t>
  </si>
  <si>
    <t>27-09-06-022</t>
  </si>
  <si>
    <t>FRONT OF OLLY  THE TAILOR I</t>
  </si>
  <si>
    <t>https://inec-cvr-cache.s3.eu-west-1.amazonaws.com/cached/results/91466/result_78855_1677539590_thumb.jpg</t>
  </si>
  <si>
    <t>FRONT OF OLLY  THE TAILOR I, Polling Unit, IJEBU NORTH, Ogun State, Nigeria</t>
  </si>
  <si>
    <t>27-09-06-023</t>
  </si>
  <si>
    <t>FRONT OF PARAMOLE'S HOUSE, OKE TAKO</t>
  </si>
  <si>
    <t>https://inec-cvr-cache.s3.eu-west-1.amazonaws.com/cached/results/91467/result_78856_1677538926_thumb.jpg</t>
  </si>
  <si>
    <t>FRONT OF PARAMOLE'S HOUSE, OKE TAKO, Polling Unit, IJEBU NORTH, Ogun State, Nigeria</t>
  </si>
  <si>
    <t>27-09-06-024</t>
  </si>
  <si>
    <t>SHOKA'S JUNCTION</t>
  </si>
  <si>
    <t>https://inec-cvr-cache.s3.eu-west-1.amazonaws.com/cached/results/91468/result_78857_1677540280_thumb.jpg</t>
  </si>
  <si>
    <t>SHOKA'S JUNCTION, Polling Unit, IJEBU NORTH, Ogun State, Nigeria</t>
  </si>
  <si>
    <t>27-09-06-026</t>
  </si>
  <si>
    <t>BESIDE TADEN GARDEN HOTEL EGBE</t>
  </si>
  <si>
    <t>https://docs.inecelectionresults.net/elections_prod/1292/state/01/lga/09/ward/06/pu/026/026-1677395511.pdf</t>
  </si>
  <si>
    <t>BESIDE TADEN GARDEN HOTEL EGBE, Polling Unit, IJEBU NORTH, Ogun State, Nigeria</t>
  </si>
  <si>
    <t>27-09-06-027</t>
  </si>
  <si>
    <t>ODO-BALOGUN JUNCTION</t>
  </si>
  <si>
    <t>https://inec-cvr-cache.s3.eu-west-1.amazonaws.com/cached/results/91471/result_78860_1677539716_thumb.jpg</t>
  </si>
  <si>
    <t>ODO-BALOGUN JUNCTION, Polling Unit, IJEBU NORTH, Ogun State, Nigeria</t>
  </si>
  <si>
    <t>27-09-06-028</t>
  </si>
  <si>
    <t>FRONT OF FUNWONDARA'S HOUSE II</t>
  </si>
  <si>
    <t>https://inec-cvr-cache.s3.eu-west-1.amazonaws.com/cached/results/91472/result_78861_1677539166_thumb.jpg</t>
  </si>
  <si>
    <t>FRONT OF FUNWONDARA'S HOUSE II, Polling Unit, IJEBU NORTH, Ogun State, Nigeria</t>
  </si>
  <si>
    <t>27-09-06-030</t>
  </si>
  <si>
    <t>NEAR ODOBOTU'S MOSQ. II</t>
  </si>
  <si>
    <t>https://inec-cvr-cache.s3.eu-west-1.amazonaws.com/cached/results/91474/result_78863_1677540927_thumb.jpg</t>
  </si>
  <si>
    <t>NEAR ODOBOTU'S MOSQ. II, Polling Unit, IJEBU NORTH, Ogun State, Nigeria</t>
  </si>
  <si>
    <t>27-09-06-031</t>
  </si>
  <si>
    <t>FRONT OF ALUBANKUDI'S HOUSE III</t>
  </si>
  <si>
    <t>https://inec-cvr-cache.s3.eu-west-1.amazonaws.com/cached/results/91475/result_78864_1677538351_thumb.jpg</t>
  </si>
  <si>
    <t>FRONT OF ALUBANKUDI'S HOUSE III, Polling Unit, IJEBU NORTH, Ogun State, Nigeria</t>
  </si>
  <si>
    <t>ORU/AWA/ILAPORU</t>
  </si>
  <si>
    <t>27-09-07-001</t>
  </si>
  <si>
    <t>SAGUN UNITED PRIMARY SCH. - ORU</t>
  </si>
  <si>
    <t>https://docs.inecelectionresults.net/elections_prod/1292/state/01/lga/09/ward/07/pu/001/001-1677405111.pdf</t>
  </si>
  <si>
    <t>SAGUN UNITED PRIMARY SCH. - ORU, Polling Unit, IJEBU NORTH, Ogun State, Nigeria</t>
  </si>
  <si>
    <t>27-09-07-002</t>
  </si>
  <si>
    <t>ITALE AWA</t>
  </si>
  <si>
    <t>https://docs.inecelectionresults.net/elections_prod/1292/state/01/lga/09/ward/07/pu/002/002-1677406107.pdf</t>
  </si>
  <si>
    <t>ITALE AWA, Polling Unit, IJEBU NORTH, Ogun State, Nigeria</t>
  </si>
  <si>
    <t>27-09-07-003</t>
  </si>
  <si>
    <t>AJEBO MOSLEM SCHOOL, ORU</t>
  </si>
  <si>
    <t>https://inec-cvr-cache.s3.eu-west-1.amazonaws.com/cached/results/91479/result_78875_1677507793_thumb.jpg</t>
  </si>
  <si>
    <t>AJEBO MOSLEM SCHOOL, ORU, Polling Unit, IJEBU NORTH, Ogun State, Nigeria</t>
  </si>
  <si>
    <t>27-09-07-004</t>
  </si>
  <si>
    <t>ST. MARKS PRIMARY SCH. FALAFOMU ORU</t>
  </si>
  <si>
    <t>https://docs.inecelectionresults.net/elections_prod/1292/state/01/lga/09/ward/07/pu/004/004-1677402310.pdf</t>
  </si>
  <si>
    <t>ST. MARKS PRIMARY SCH. FALAFOMU ORU, Polling Unit, IJEBU NORTH, Ogun State, Nigeria</t>
  </si>
  <si>
    <t>27-09-07-005</t>
  </si>
  <si>
    <t>WESLEY SCH. AWA</t>
  </si>
  <si>
    <t>https://docs.inecelectionresults.net/elections_prod/1292/state/01/lga/09/ward/07/pu/005/005-1677409097.pdf</t>
  </si>
  <si>
    <t>WESLEY SCH. AWA, Polling Unit, IJEBU NORTH, Ogun State, Nigeria</t>
  </si>
  <si>
    <t>27-09-07-007</t>
  </si>
  <si>
    <t>AJEGUNLE PRIMARY SCHOOL, AWA</t>
  </si>
  <si>
    <t>https://docs.inecelectionresults.net/elections_prod/1292/state/01/lga/09/ward/07/pu/007/007-1677409434.pdf</t>
  </si>
  <si>
    <t>AJEGUNLE PRIMARY SCHOOL, AWA, Polling Unit, IJEBU NORTH, Ogun State, Nigeria</t>
  </si>
  <si>
    <t>27-09-07-008</t>
  </si>
  <si>
    <t>ST. ROSE'S CATH PRIMARY  SCHOOL, ORU</t>
  </si>
  <si>
    <t>https://docs.inecelectionresults.net/elections_prod/1292/state/1/lga/3674/ward/24056/pu/92570/92570-1677516166.pdf</t>
  </si>
  <si>
    <t>ST. ROSE'S CATH PRIMARY  SCHOOL, ORU, Polling Unit, IJEBU NORTH, Ogun State, Nigeria</t>
  </si>
  <si>
    <t>27-09-07-010</t>
  </si>
  <si>
    <t>ITALE ORU I</t>
  </si>
  <si>
    <t>https://docs.inecelectionresults.net/elections_prod/1292/state/01/lga/09/ward/07/pu/010/010-1677411564.pdf</t>
  </si>
  <si>
    <t>ITALE ORU I, Polling Unit, IJEBU NORTH, Ogun State, Nigeria</t>
  </si>
  <si>
    <t>27-09-07-011</t>
  </si>
  <si>
    <t>ST. MICHAEL'S ANG. SCHOOL, AREDI-AWA</t>
  </si>
  <si>
    <t>https://docs.inecelectionresults.net/elections_prod/1292/state/1/lga/3674/ward/24056/pu/92573/92573-1677479946.pdf</t>
  </si>
  <si>
    <t>ST. MICHAEL'S ANG. SCHOOL, AREDI-AWA, Polling Unit, IJEBU NORTH, Ogun State, Nigeria</t>
  </si>
  <si>
    <t>27-09-07-012</t>
  </si>
  <si>
    <t>IN FRONT OF TIYAMIYU HOUSE, OKE-IFE ORU</t>
  </si>
  <si>
    <t>https://docs.inecelectionresults.net/elections_prod/1292/state/01/lga/09/ward/07/pu/012/012-1677412190.pdf</t>
  </si>
  <si>
    <t>IN FRONT OF TIYAMIYU HOUSE, OKE-IFE ORU, Polling Unit, IJEBU NORTH, Ogun State, Nigeria</t>
  </si>
  <si>
    <t>27-09-07-013</t>
  </si>
  <si>
    <t>OKE SEWON AWA</t>
  </si>
  <si>
    <t>https://docs.inecelectionresults.net/elections_prod/1292/state/01/lga/09/ward/07/pu/013/013-1677414130.pdf</t>
  </si>
  <si>
    <t>OKE SEWON AWA, Polling Unit, IJEBU NORTH, Ogun State, Nigeria</t>
  </si>
  <si>
    <t>27-09-07-014</t>
  </si>
  <si>
    <t>IN FRONT OF JIMOH NUSI'S HOUSE ILAPORU</t>
  </si>
  <si>
    <t>https://docs.inecelectionresults.net/elections_prod/1292/state/1/lga/3674/ward/24056/pu/92576/92576-1677478934.pdf</t>
  </si>
  <si>
    <t>IN FRONT OF JIMOH NUSI'S HOUSE ILAPORU, Polling Unit, IJEBU NORTH, Ogun State, Nigeria</t>
  </si>
  <si>
    <t>27-09-07-015</t>
  </si>
  <si>
    <t>ST ANDREW CATHOLIC PRIMARY SCH ALAPORU</t>
  </si>
  <si>
    <t>https://docs.inecelectionresults.net/elections_prod/1292/state/01/lga/09/ward/07/pu/015/015-1677414312.pdf</t>
  </si>
  <si>
    <t>ST ANDREW CATHOLIC PRIMARY SCH ALAPORU, Polling Unit, IJEBU NORTH, Ogun State, Nigeria</t>
  </si>
  <si>
    <t>27-09-07-016</t>
  </si>
  <si>
    <t>ITALE ORU II</t>
  </si>
  <si>
    <t>https://docs.inecelectionresults.net/elections_prod/1292/state/01/lga/09/ward/07/pu/016/016-1677422289.pdf</t>
  </si>
  <si>
    <t>ITALE ORU II, Polling Unit, IJEBU NORTH, Ogun State, Nigeria</t>
  </si>
  <si>
    <t>27-09-07-017</t>
  </si>
  <si>
    <t>FRONT OF MUSI'S HOUSE</t>
  </si>
  <si>
    <t>https://docs.inecelectionresults.net/elections_prod/1292/state/01/lga/09/ward/07/pu/017/017-1677414770.pdf</t>
  </si>
  <si>
    <t>FRONT OF MUSI'S HOUSE, Polling Unit, IJEBU NORTH, Ogun State, Nigeria</t>
  </si>
  <si>
    <t>AGO IWOYE  I</t>
  </si>
  <si>
    <t>27-09-08-001</t>
  </si>
  <si>
    <t>L.G. AREA OFFICE</t>
  </si>
  <si>
    <t>https://docs.inecelectionresults.net/elections_prod/1292/state/01/lga/09/ward/08/pu/001/001-1677380764.pdf</t>
  </si>
  <si>
    <t>L.G. AREA OFFICE, Polling Unit, IJEBU NORTH, Ogun State, Nigeria</t>
  </si>
  <si>
    <t>27-09-08-002</t>
  </si>
  <si>
    <t>OYINKORO JUNCTION</t>
  </si>
  <si>
    <t>https://docs.inecelectionresults.net/elections_prod/1292/state/01/lga/09/ward/08/pu/002/002-1677381177.pdf</t>
  </si>
  <si>
    <t>OYINKORO JUNCTION, Polling Unit, IJEBU NORTH, Ogun State, Nigeria</t>
  </si>
  <si>
    <t>27-09-08-003</t>
  </si>
  <si>
    <t>R. ODUS'S JUNCTION</t>
  </si>
  <si>
    <t>https://docs.inecelectionresults.net/elections_prod/1292/state/01/lga/09/ward/08/pu/003/003-1677381740.pdf</t>
  </si>
  <si>
    <t>R. ODUS'S JUNCTION, Polling Unit, IJEBU NORTH, Ogun State, Nigeria</t>
  </si>
  <si>
    <t>27-09-08-004</t>
  </si>
  <si>
    <t>NEAR OWOSENI'S HOUSE</t>
  </si>
  <si>
    <t>https://docs.inecelectionresults.net/elections_prod/1292/state/01/lga/09/ward/08/pu/004/004-1677382028.pdf</t>
  </si>
  <si>
    <t>NEAR OWOSENI'S HOUSE, Polling Unit, IJEBU NORTH, Ogun State, Nigeria</t>
  </si>
  <si>
    <t>27-09-08-005</t>
  </si>
  <si>
    <t>IDODE WESLEY SCHOOL</t>
  </si>
  <si>
    <t>https://docs.inecelectionresults.net/elections_prod/1292/state/01/lga/09/ward/08/pu/005/005-1677382323.pdf</t>
  </si>
  <si>
    <t>IDODE WESLEY SCHOOL, Polling Unit, IJEBU NORTH, Ogun State, Nigeria</t>
  </si>
  <si>
    <t>27-09-08-006</t>
  </si>
  <si>
    <t>IDODE JUNCTION</t>
  </si>
  <si>
    <t>https://docs.inecelectionresults.net/elections_prod/1292/state/01/lga/09/ward/08/pu/006/006-1677382595.pdf</t>
  </si>
  <si>
    <t>IDODE JUNCTION, Polling Unit, IJEBU NORTH, Ogun State, Nigeria</t>
  </si>
  <si>
    <t>27-09-08-007</t>
  </si>
  <si>
    <t>OPP. ADESEGUN'S HOUSE</t>
  </si>
  <si>
    <t>https://docs.inecelectionresults.net/elections_prod/1292/state/01/lga/09/ward/08/pu/007/007-1677383181.pdf</t>
  </si>
  <si>
    <t>OPP. ADESEGUN'S HOUSE, Polling Unit, IJEBU NORTH, Ogun State, Nigeria</t>
  </si>
  <si>
    <t>27-09-08-008</t>
  </si>
  <si>
    <t>LOCAL GOVT. SCHOOL, IGAN</t>
  </si>
  <si>
    <t>https://docs.inecelectionresults.net/elections_prod/1292/state/01/lga/09/ward/08/pu/008/008-1677383001.pdf</t>
  </si>
  <si>
    <t>LOCAL GOVT. SCHOOL, IGAN, Polling Unit, IJEBU NORTH, Ogun State, Nigeria</t>
  </si>
  <si>
    <t>27-09-08-009</t>
  </si>
  <si>
    <t>IN FRONT OF OSIYEMI'S HOUSE</t>
  </si>
  <si>
    <t>https://docs.inecelectionresults.net/elections_prod/1292/state/01/lga/09/ward/08/pu/009/009-1677383461.pdf</t>
  </si>
  <si>
    <t>IN FRONT OF OSIYEMI'S HOUSE, Polling Unit, IJEBU NORTH, Ogun State, Nigeria</t>
  </si>
  <si>
    <t>27-09-08-010</t>
  </si>
  <si>
    <t>WESLEY PRIMARY SCHOOL</t>
  </si>
  <si>
    <t>https://docs.inecelectionresults.net/elections_prod/1292/state/01/lga/09/ward/08/pu/010/010-1677383605.pdf</t>
  </si>
  <si>
    <t>WESLEY PRIMARY SCHOOL, Polling Unit, IJEBU NORTH, Ogun State, Nigeria</t>
  </si>
  <si>
    <t>27-09-08-011</t>
  </si>
  <si>
    <t>ODOMOLASA VILLAGE</t>
  </si>
  <si>
    <t>https://docs.inecelectionresults.net/elections_prod/1292/state/01/lga/09/ward/08/pu/011/011-1677383852.pdf</t>
  </si>
  <si>
    <t>ODOMOLASA VILLAGE, Polling Unit, IJEBU NORTH, Ogun State, Nigeria</t>
  </si>
  <si>
    <t>27-09-08-012</t>
  </si>
  <si>
    <t>IN FRONT OF OGUNMOSU'S HOUSE I</t>
  </si>
  <si>
    <t>https://docs.inecelectionresults.net/elections_prod/1292/state/01/lga/09/ward/08/pu/012/012-1677384008.pdf</t>
  </si>
  <si>
    <t>IN FRONT OF OGUNMOSU'S HOUSE I, Polling Unit, IJEBU NORTH, Ogun State, Nigeria</t>
  </si>
  <si>
    <t>27-09-08-013</t>
  </si>
  <si>
    <t>MOSLEM SCHOOL, OKE-ODO</t>
  </si>
  <si>
    <t>https://docs.inecelectionresults.net/elections_prod/1292/state/01/lga/09/ward/08/pu/013/013-1677384389.pdf</t>
  </si>
  <si>
    <t>MOSLEM SCHOOL, OKE-ODO, Polling Unit, IJEBU NORTH, Ogun State, Nigeria</t>
  </si>
  <si>
    <t>27-09-08-014</t>
  </si>
  <si>
    <t>IN FRONT OF BAALE'S HOUSE</t>
  </si>
  <si>
    <t>https://docs.inecelectionresults.net/elections_prod/1292/state/01/lga/09/ward/08/pu/014/014-1677384677.pdf</t>
  </si>
  <si>
    <t>IN FRONT OF BAALE'S HOUSE, Polling Unit, IJEBU NORTH, Ogun State, Nigeria</t>
  </si>
  <si>
    <t>27-09-08-015</t>
  </si>
  <si>
    <t>IN FRONT OF OGUNMOSU'S HOUSE II</t>
  </si>
  <si>
    <t>https://docs.inecelectionresults.net/elections_prod/1292/state/01/lga/09/ward/08/pu/015/015-1677384879.pdf</t>
  </si>
  <si>
    <t>IN FRONT OF OGUNMOSU'S HOUSE II, Polling Unit, IJEBU NORTH, Ogun State, Nigeria</t>
  </si>
  <si>
    <t>27-09-08-016</t>
  </si>
  <si>
    <t>IN FRONT OF ODEKOMAIYA'S HOUSE</t>
  </si>
  <si>
    <t>https://docs.inecelectionresults.net/elections_prod/1292/state/01/lga/09/ward/08/pu/016/016-1677388134.pdf</t>
  </si>
  <si>
    <t>IN FRONT OF ODEKOMAIYA'S HOUSE, Polling Unit, IJEBU NORTH, Ogun State, Nigeria</t>
  </si>
  <si>
    <t>27-09-08-018</t>
  </si>
  <si>
    <t>BOOTH NEAR ONANUGA'S HOUSE</t>
  </si>
  <si>
    <t>https://docs.inecelectionresults.net/elections_prod/1292/state/01/lga/09/ward/08/pu/018/018-1677388339.pdf</t>
  </si>
  <si>
    <t>BOOTH NEAR ONANUGA'S HOUSE, Polling Unit, IJEBU NORTH, Ogun State, Nigeria</t>
  </si>
  <si>
    <t>27-09-08-020</t>
  </si>
  <si>
    <t>BOOTH OPP. DUNIYA'S HOUSE</t>
  </si>
  <si>
    <t>https://docs.inecelectionresults.net/elections_prod/1292/state/01/lga/09/ward/08/pu/020/020-1677388745.pdf</t>
  </si>
  <si>
    <t>BOOTH OPP. DUNIYA'S HOUSE, Polling Unit, IJEBU NORTH, Ogun State, Nigeria</t>
  </si>
  <si>
    <t>AGO IWOYE II</t>
  </si>
  <si>
    <t>27-09-09-002</t>
  </si>
  <si>
    <t>NEAR ALH. OLOWO IGBO'S HOUSE</t>
  </si>
  <si>
    <t>https://docs.inecelectionresults.net/elections_prod/1292/state/01/lga/09/ward/09/pu/002/002-1677376804.pdf</t>
  </si>
  <si>
    <t>NEAR ALH. OLOWO IGBO'S HOUSE, Polling Unit, IJEBU NORTH, Ogun State, Nigeria</t>
  </si>
  <si>
    <t>27-09-09-004</t>
  </si>
  <si>
    <t>OKANLAWON JUNCTION</t>
  </si>
  <si>
    <t>https://docs.inecelectionresults.net/elections_prod/1292/state/01/lga/09/ward/09/pu/004/004-1677375056.pdf</t>
  </si>
  <si>
    <t>OKANLAWON JUNCTION, Polling Unit, IJEBU NORTH, Ogun State, Nigeria</t>
  </si>
  <si>
    <t>27-09-09-006</t>
  </si>
  <si>
    <t>IN FRONT OF OSIYOKUN IMOISISI QUARTERS</t>
  </si>
  <si>
    <t>https://docs.inecelectionresults.net/elections_prod/1292/state/01/lga/09/ward/09/pu/006/006-1677360528.pdf</t>
  </si>
  <si>
    <t>IN FRONT OF OSIYOKUN IMOISISI QUARTERS, Polling Unit, IJEBU NORTH, Ogun State, Nigeria</t>
  </si>
  <si>
    <t>27-09-09-007</t>
  </si>
  <si>
    <t>ODO YANGBURIN'S JUCTION</t>
  </si>
  <si>
    <t>https://docs.inecelectionresults.net/elections_prod/1292/state/01/lga/09/ward/09/pu/007/007-1677362329.pdf</t>
  </si>
  <si>
    <t>ODO YANGBURIN'S JUCTION, Polling Unit, IJEBU NORTH, Ogun State, Nigeria</t>
  </si>
  <si>
    <t>27-09-09-008</t>
  </si>
  <si>
    <t>FRONT OF AKINSOLA'S HOUSE</t>
  </si>
  <si>
    <t>https://docs.inecelectionresults.net/elections_prod/1292/state/01/lga/09/ward/09/pu/008/008-1677359484.pdf</t>
  </si>
  <si>
    <t>FRONT OF AKINSOLA'S HOUSE, Polling Unit, IJEBU NORTH, Ogun State, Nigeria</t>
  </si>
  <si>
    <t>27-09-09-009</t>
  </si>
  <si>
    <t>IMOSISI WESLEY SCHOOL</t>
  </si>
  <si>
    <t>https://docs.inecelectionresults.net/elections_prod/1292/state/01/lga/09/ward/09/pu/009/009-1677372305.pdf</t>
  </si>
  <si>
    <t>IMOSISI WESLEY SCHOOL, Polling Unit, IJEBU NORTH, Ogun State, Nigeria</t>
  </si>
  <si>
    <t>27-09-09-010</t>
  </si>
  <si>
    <t>OPEN SPACE IN FRONT OF J.M.K'S HOUSE</t>
  </si>
  <si>
    <t>https://docs.inecelectionresults.net/elections_prod/1292/state/1/lga/3674/ward/24058/pu/92610/92610-1677520518.pdf</t>
  </si>
  <si>
    <t>OPEN SPACE IN FRONT OF J.M.K'S HOUSE, Polling Unit, IJEBU NORTH, Ogun State, Nigeria</t>
  </si>
  <si>
    <t>27-09-09-014</t>
  </si>
  <si>
    <t>BESIDE HIGH CLASS</t>
  </si>
  <si>
    <t>https://docs.inecelectionresults.net/elections_prod/1292/state/01/lga/09/ward/09/pu/014/014-1677361287.pdf</t>
  </si>
  <si>
    <t>BESIDE HIGH CLASS, Polling Unit, IJEBU NORTH, Ogun State, Nigeria</t>
  </si>
  <si>
    <t>27-09-09-015</t>
  </si>
  <si>
    <t>ST. PAUL'S PRIMARY SCHOOL IMERE</t>
  </si>
  <si>
    <t>https://docs.inecelectionresults.net/elections_prod/1292/state/01/lga/09/ward/09/pu/015/015-1677368236.pdf</t>
  </si>
  <si>
    <t>ST. PAUL'S PRIMARY SCHOOL IMERE, Polling Unit, IJEBU NORTH, Ogun State, Nigeria</t>
  </si>
  <si>
    <t>27-09-09-016</t>
  </si>
  <si>
    <t>AGO IWOYE SECONDATY SCHOOL</t>
  </si>
  <si>
    <t>https://docs.inecelectionresults.net/elections_prod/1292/state/01/lga/09/ward/09/pu/016/016-1677359974.pdf</t>
  </si>
  <si>
    <t>AGO IWOYE SECONDATY SCHOOL, Polling Unit, IJEBU NORTH, Ogun State, Nigeria</t>
  </si>
  <si>
    <t>27-09-09-017</t>
  </si>
  <si>
    <t>BOOTH OPP. KUNKUSI'S HOUSE</t>
  </si>
  <si>
    <t>https://docs.inecelectionresults.net/elections_prod/1292/state/01/lga/09/ward/09/pu/017/017-1677362250.pdf</t>
  </si>
  <si>
    <t>BOOTH OPP. KUNKUSI'S HOUSE, Polling Unit, IJEBU NORTH, Ogun State, Nigeria</t>
  </si>
  <si>
    <t>27-09-09-018</t>
  </si>
  <si>
    <t>BOOTH OPP. GBINDIN'S HOUSE</t>
  </si>
  <si>
    <t>https://docs.inecelectionresults.net/elections_prod/1292/state/01/lga/09/ward/09/pu/018/018-1677361808.pdf</t>
  </si>
  <si>
    <t>BOOTH OPP. GBINDIN'S HOUSE, Polling Unit, IJEBU NORTH, Ogun State, Nigeria</t>
  </si>
  <si>
    <t>AKO-ONIGBAGBO/GELETE</t>
  </si>
  <si>
    <t>27-09-10-002</t>
  </si>
  <si>
    <t>IPADO VILLAGE</t>
  </si>
  <si>
    <t>https://docs.inecelectionresults.net/elections_prod/1292/state/01/lga/09/ward/10/pu/002/002-1677406536.pdf</t>
  </si>
  <si>
    <t>IPADO VILLAGE, Polling Unit, IJEBU NORTH, Ogun State, Nigeria</t>
  </si>
  <si>
    <t>27-09-10-004</t>
  </si>
  <si>
    <t>IDIAKALA ANG. SCHOOL</t>
  </si>
  <si>
    <t>https://docs.inecelectionresults.net/elections_prod/1292/state/01/lga/09/ward/10/pu/004/004-1677408125.pdf</t>
  </si>
  <si>
    <t>IDIAKALA ANG. SCHOOL, Polling Unit, IJEBU NORTH, Ogun State, Nigeria</t>
  </si>
  <si>
    <t>27-09-10-005</t>
  </si>
  <si>
    <t>L.G. SCHOOL FARM SETTLEMENT I</t>
  </si>
  <si>
    <t>https://docs.inecelectionresults.net/elections_prod/1292/state/01/lga/09/ward/10/pu/005/005-1677405427.pdf</t>
  </si>
  <si>
    <t>L.G. SCHOOL FARM SETTLEMENT I, Polling Unit, IJEBU NORTH, Ogun State, Nigeria</t>
  </si>
  <si>
    <t>27-09-10-006</t>
  </si>
  <si>
    <t>L.G. SCHOOL FARM SETTLEMENT  II</t>
  </si>
  <si>
    <t>https://docs.inecelectionresults.net/elections_prod/1292/state/01/lga/09/ward/10/pu/006/006-1677404360.pdf</t>
  </si>
  <si>
    <t>L.G. SCHOOL FARM SETTLEMENT  II, Polling Unit, IJEBU NORTH, Ogun State, Nigeria</t>
  </si>
  <si>
    <t>27-09-10-007</t>
  </si>
  <si>
    <t>OKE EGBE WESLEY SCHOOL</t>
  </si>
  <si>
    <t>https://docs.inecelectionresults.net/elections_prod/1292/state/01/lga/09/ward/10/pu/007/007-1677403721.pdf</t>
  </si>
  <si>
    <t>OKE EGBE WESLEY SCHOOL, Polling Unit, IJEBU NORTH, Ogun State, Nigeria</t>
  </si>
  <si>
    <t>27-09-10-009</t>
  </si>
  <si>
    <t>ODOYE MOSLEM SCHOOL II</t>
  </si>
  <si>
    <t>https://docs.inecelectionresults.net/elections_prod/1292/state/01/lga/09/ward/10/pu/009/009-1677404843.pdf</t>
  </si>
  <si>
    <t>ODOYE MOSLEM SCHOOL II, Polling Unit, IJEBU NORTH, Ogun State, Nigeria</t>
  </si>
  <si>
    <t>27-09-10-010</t>
  </si>
  <si>
    <t>OKE BIRITIRO JUNCTION</t>
  </si>
  <si>
    <t>https://docs.inecelectionresults.net/elections_prod/1292/state/01/lga/09/ward/10/pu/010/010-1677403526.pdf</t>
  </si>
  <si>
    <t>OKE BIRITIRO JUNCTION, Polling Unit, IJEBU NORTH, Ogun State, Nigeria</t>
  </si>
  <si>
    <t>27-09-10-011</t>
  </si>
  <si>
    <t>IDAGOLU VILLAGE</t>
  </si>
  <si>
    <t>https://docs.inecelectionresults.net/elections_prod/1292/state/01/lga/09/ward/10/pu/011/011-1677406578.pdf</t>
  </si>
  <si>
    <t>IDAGOLU VILLAGE, Polling Unit, IJEBU NORTH, Ogun State, Nigeria</t>
  </si>
  <si>
    <t>27-09-10-013</t>
  </si>
  <si>
    <t>EREDO WESLEY SCHOOL</t>
  </si>
  <si>
    <t>https://docs.inecelectionresults.net/elections_prod/1292/state/01/lga/09/ward/10/pu/013/013-1677405262.pdf</t>
  </si>
  <si>
    <t>EREDO WESLEY SCHOOL, Polling Unit, IJEBU NORTH, Ogun State, Nigeria</t>
  </si>
  <si>
    <t>27-09-10-014</t>
  </si>
  <si>
    <t>OKE MASE VILLAGE</t>
  </si>
  <si>
    <t>https://docs.inecelectionresults.net/elections_prod/1292/state/01/lga/09/ward/10/pu/014/014-1677406262.pdf</t>
  </si>
  <si>
    <t>OKE MASE VILLAGE, Polling Unit, IJEBU NORTH, Ogun State, Nigeria</t>
  </si>
  <si>
    <t>27-09-10-017</t>
  </si>
  <si>
    <t>ORILE IBIPE VILLAGE</t>
  </si>
  <si>
    <t>https://docs.inecelectionresults.net/elections_prod/1292/state/01/lga/09/ward/10/pu/017/017-1677403415.pdf</t>
  </si>
  <si>
    <t>ORILE IBIPE VILLAGE, Polling Unit, IJEBU NORTH, Ogun State, Nigeria</t>
  </si>
  <si>
    <t>MAMU/ETIRI</t>
  </si>
  <si>
    <t>27-09-11-001</t>
  </si>
  <si>
    <t>ABA PANA VILLAGE</t>
  </si>
  <si>
    <t>https://docs.inecelectionresults.net/elections_prod/1292/state/01/lga/09/ward/11/pu/001/001-1677408720.pdf</t>
  </si>
  <si>
    <t>ABA PANA VILLAGE, Polling Unit, IJEBU NORTH, Ogun State, Nigeria</t>
  </si>
  <si>
    <t>27-09-11-002</t>
  </si>
  <si>
    <t>WESLEY SCHOOL ERIKAMO</t>
  </si>
  <si>
    <t>https://docs.inecelectionresults.net/elections_prod/1292/state/01/lga/09/ward/11/pu/002/002-1677407833.pdf</t>
  </si>
  <si>
    <t>WESLEY SCHOOL ERIKAMO, Polling Unit, IJEBU NORTH, Ogun State, Nigeria</t>
  </si>
  <si>
    <t>27-09-11-004</t>
  </si>
  <si>
    <t>WESLEY SCHOOL EHIM ETIRI</t>
  </si>
  <si>
    <t>https://docs.inecelectionresults.net/elections_prod/1292/state/01/lga/09/ward/11/pu/004/004-1677413496.pdf</t>
  </si>
  <si>
    <t>WESLEY SCHOOL EHIM ETIRI, Polling Unit, IJEBU NORTH, Ogun State, Nigeria</t>
  </si>
  <si>
    <t>27-09-11-008</t>
  </si>
  <si>
    <t>L.G. SCHOOL OKE-MOJO</t>
  </si>
  <si>
    <t>https://docs.inecelectionresults.net/elections_prod/1292/state/01/lga/09/ward/11/pu/008/008-1677416679.pdf</t>
  </si>
  <si>
    <t>L.G. SCHOOL OKE-MOJO, Polling Unit, IJEBU NORTH, Ogun State, Nigeria</t>
  </si>
  <si>
    <t>27-09-11-009</t>
  </si>
  <si>
    <t>OKE AROWA VILLAGE</t>
  </si>
  <si>
    <t>https://docs.inecelectionresults.net/elections_prod/1292/state/01/lga/09/ward/11/pu/009/009-1677425801.pdf</t>
  </si>
  <si>
    <t>OKE AROWA VILLAGE, Polling Unit, IJEBU NORTH, Ogun State, Nigeria</t>
  </si>
  <si>
    <t>27-09-11-011</t>
  </si>
  <si>
    <t>HEALTH CENTRE MAMU I</t>
  </si>
  <si>
    <t>https://docs.inecelectionresults.net/elections_prod/1292/state/01/lga/09/ward/11/pu/011/011-1677420663.pdf</t>
  </si>
  <si>
    <t>HEALTH CENTRE MAMU I, Polling Unit, IJEBU NORTH, Ogun State, Nigeria</t>
  </si>
  <si>
    <t>27-09-11-014</t>
  </si>
  <si>
    <t>IGAN ORILE</t>
  </si>
  <si>
    <t>https://docs.inecelectionresults.net/elections_prod/1292/state/01/lga/09/ward/11/pu/014/014-1677421730.pdf</t>
  </si>
  <si>
    <t>IGAN ORILE, Polling Unit, IJEBU NORTH, Ogun State, Nigeria</t>
  </si>
  <si>
    <t>27-09-11-015</t>
  </si>
  <si>
    <t>HEALTH CENTRE MAMU II</t>
  </si>
  <si>
    <t>https://docs.inecelectionresults.net/elections_prod/1292/state/01/lga/09/ward/11/pu/015/015-1677423147.pdf</t>
  </si>
  <si>
    <t>HEALTH CENTRE MAMU II, Polling Unit, IJEBU NORTH, Ogun State, Nigeria</t>
  </si>
  <si>
    <t>27-09-11-016</t>
  </si>
  <si>
    <t>SEMORU OGUNOIKI</t>
  </si>
  <si>
    <t>https://docs.inecelectionresults.net/elections_prod/1292/state/01/lga/09/ward/11/pu/016/016-1677425240.pdf</t>
  </si>
  <si>
    <t>SEMORU OGUNOIKI, Polling Unit, IJEBU NORTH, Ogun State, Nigeria</t>
  </si>
  <si>
    <t>27-09-11-020</t>
  </si>
  <si>
    <t>METHODIST SCH. OKE-MOJO</t>
  </si>
  <si>
    <t>https://docs.inecelectionresults.net/elections_prod/1292/state/01/lga/09/ward/11/pu/020/020-1677426719.pdf</t>
  </si>
  <si>
    <t>METHODIST SCH. OKE-MOJO, Polling Unit, IJEBU NORTH, Ogun State, Nigeria</t>
  </si>
  <si>
    <t>IJEBU NORTH EAST</t>
  </si>
  <si>
    <t>ATAN/IMUKU</t>
  </si>
  <si>
    <t>27-10-01-001</t>
  </si>
  <si>
    <t>R.C.M. PRIMARY SCHOOL ATAN  I</t>
  </si>
  <si>
    <t>https://docs.inecelectionresults.net/elections_prod/1292/state/01/lga/10/ward/01/pu/001/001-1677370942.pdf</t>
  </si>
  <si>
    <t>R.C.M. PRIMARY SCHOOL ATAN  I, Polling Unit, IJEBU NORTH EAST, Ogun State, Nigeria</t>
  </si>
  <si>
    <t>27-10-01-007</t>
  </si>
  <si>
    <t>FRONT OF L.G.E.A. IMUROKO</t>
  </si>
  <si>
    <t>https://docs.inecelectionresults.net/elections_prod/1292/state/01/lga/10/ward/01/pu/007/007-1677374038.pdf</t>
  </si>
  <si>
    <t>FRONT OF L.G.E.A. IMUROKO, Polling Unit, IJEBU NORTH EAST, Ogun State, Nigeria</t>
  </si>
  <si>
    <t>27-10-01-008</t>
  </si>
  <si>
    <t>ST. PETER'S PRIMARY SCHOOL IWAYE</t>
  </si>
  <si>
    <t>https://docs.inecelectionresults.net/elections_prod/1292/state/01/lga/10/ward/01/pu/008/008-1677373198.pdf</t>
  </si>
  <si>
    <t>ST. PETER'S PRIMARY SCHOOL IWAYE, Polling Unit, IJEBU NORTH EAST, Ogun State, Nigeria</t>
  </si>
  <si>
    <t>27-10-01-010</t>
  </si>
  <si>
    <t>IGBASA VILLAGE SQUARE</t>
  </si>
  <si>
    <t>https://docs.inecelectionresults.net/elections_prod/1292/state/01/lga/10/ward/01/pu/010/010-1677372431.pdf</t>
  </si>
  <si>
    <t>IGBASA VILLAGE SQUARE, Polling Unit, IJEBU NORTH EAST, Ogun State, Nigeria</t>
  </si>
  <si>
    <t>ODOSIMADEGUN/ODOSEBORA</t>
  </si>
  <si>
    <t>27-10-02-003</t>
  </si>
  <si>
    <t>CHRIST CHURCH SCH. ODOSENBORA</t>
  </si>
  <si>
    <t>https://docs.inecelectionresults.net/elections_prod/1292/state/1/lga/3675/ward/24062/pu/92668/92668-1677508241.pdf</t>
  </si>
  <si>
    <t>CHRIST CHURCH SCH. ODOSENBORA, Polling Unit, IJEBU NORTH EAST, Ogun State, Nigeria</t>
  </si>
  <si>
    <t>27-10-02-004</t>
  </si>
  <si>
    <t>C.A.C. PRIMARY SCHOOL ODOSIWONADE</t>
  </si>
  <si>
    <t>https://docs.inecelectionresults.net/elections_prod/1292/state/01/lga/10/ward/02/pu/004/004-1677365455.pdf</t>
  </si>
  <si>
    <t>C.A.C. PRIMARY SCHOOL ODOSIWONADE, Polling Unit, IJEBU NORTH EAST, Ogun State, Nigeria</t>
  </si>
  <si>
    <t>27-10-02-005</t>
  </si>
  <si>
    <t>ILUGUN CENTRAL ACADEMY IBIDO</t>
  </si>
  <si>
    <t>https://docs.inecelectionresults.net/elections_prod/1292/state/1/lga/3675/ward/24062/pu/92670/92670-1677509480.pdf</t>
  </si>
  <si>
    <t>ILUGUN CENTRAL ACADEMY IBIDO, Polling Unit, IJEBU NORTH EAST, Ogun State, Nigeria</t>
  </si>
  <si>
    <t>27-10-02-007</t>
  </si>
  <si>
    <t>ST. PETER'S PRIMARY SCH. OKE-AYE</t>
  </si>
  <si>
    <t>https://docs.inecelectionresults.net/elections_prod/1292/state/1/lga/3675/ward/24062/pu/92672/92672-1677510327.pdf</t>
  </si>
  <si>
    <t>ST. PETER'S PRIMARY SCH. OKE-AYE, Polling Unit, IJEBU NORTH EAST, Ogun State, Nigeria</t>
  </si>
  <si>
    <t>27-10-02-008</t>
  </si>
  <si>
    <t>COMMUNITY PLAYING FIELD, IWOROMOSUN</t>
  </si>
  <si>
    <t>https://docs.inecelectionresults.net/elections_prod/1292/state/01/lga/10/ward/02/pu/008/008-1677398967.pdf</t>
  </si>
  <si>
    <t>COMMUNITY PLAYING FIELD, IWOROMOSUN, Polling Unit, IJEBU NORTH EAST, Ogun State, Nigeria</t>
  </si>
  <si>
    <t>27-10-02-009</t>
  </si>
  <si>
    <t>ST. PAUL'S PRIMARY SCHOOL ORIWU</t>
  </si>
  <si>
    <t>https://docs.inecelectionresults.net/elections_prod/1292/state/01/lga/10/ward/02/pu/009/009-1677360510.pdf</t>
  </si>
  <si>
    <t>ST. PAUL'S PRIMARY SCHOOL ORIWU, Polling Unit, IJEBU NORTH EAST, Ogun State, Nigeria</t>
  </si>
  <si>
    <t>27-10-02-011</t>
  </si>
  <si>
    <t>COMMUNITY EVENT CENTRE, GBAWONJO</t>
  </si>
  <si>
    <t>https://docs.inecelectionresults.net/elections_prod/1292/state/01/lga/10/ward/02/pu/011/011-1677400535.pdf</t>
  </si>
  <si>
    <t>COMMUNITY EVENT CENTRE, GBAWONJO, Polling Unit, IJEBU NORTH EAST, Ogun State, Nigeria</t>
  </si>
  <si>
    <t>27-10-02-012</t>
  </si>
  <si>
    <t>COMMUNITY EVENT CENTRE,OKETI</t>
  </si>
  <si>
    <t>https://docs.inecelectionresults.net/elections_prod/1292/state/01/lga/10/ward/02/pu/012/012-1677393807.pdf</t>
  </si>
  <si>
    <t>COMMUNITY EVENT CENTRE,OKETI, Polling Unit, IJEBU NORTH EAST, Ogun State, Nigeria</t>
  </si>
  <si>
    <t>27-10-02-015</t>
  </si>
  <si>
    <t>ILUMERIN VILLAGE CENTRE</t>
  </si>
  <si>
    <t>https://docs.inecelectionresults.net/elections_prod/1292/state/01/lga/10/ward/02/pu/015/015-1677398422.pdf</t>
  </si>
  <si>
    <t>ILUMERIN VILLAGE CENTRE, Polling Unit, IJEBU NORTH EAST, Ogun State, Nigeria</t>
  </si>
  <si>
    <t>27-10-02-016</t>
  </si>
  <si>
    <t>COMMUNITY PLAYING GROUND, IWOROMOSUN</t>
  </si>
  <si>
    <t>https://docs.inecelectionresults.net/elections_prod/1292/state/01/lga/10/ward/02/pu/016/016-1677399598.pdf</t>
  </si>
  <si>
    <t>COMMUNITY PLAYING GROUND, IWOROMOSUN, Polling Unit, IJEBU NORTH EAST, Ogun State, Nigeria</t>
  </si>
  <si>
    <t>IMEWIRO/ODODEYO/IMOMO</t>
  </si>
  <si>
    <t>27-10-03-002</t>
  </si>
  <si>
    <t>MARKET SQUARE IDODE</t>
  </si>
  <si>
    <t>https://docs.inecelectionresults.net/elections_prod/1292/state/01/lga/10/ward/03/pu/002/002-1677361505.pdf</t>
  </si>
  <si>
    <t>MARKET SQUARE IDODE, Polling Unit, IJEBU NORTH EAST, Ogun State, Nigeria</t>
  </si>
  <si>
    <t>27-10-03-003</t>
  </si>
  <si>
    <t>CATHOLIC PRIMARY SCHOOL IMOMO I</t>
  </si>
  <si>
    <t>https://docs.inecelectionresults.net/elections_prod/1292/state/01/lga/10/ward/03/pu/003/003-1677359576.pdf</t>
  </si>
  <si>
    <t>CATHOLIC PRIMARY SCHOOL IMOMO I, Polling Unit, IJEBU NORTH EAST, Ogun State, Nigeria</t>
  </si>
  <si>
    <t>27-10-03-004</t>
  </si>
  <si>
    <t>ANG. CHURCH ODODEYO</t>
  </si>
  <si>
    <t>https://docs.inecelectionresults.net/elections_prod/1292/state/1/lga/3675/ward/24063/pu/92685/92685-1677502532.pdf</t>
  </si>
  <si>
    <t>ANG. CHURCH ODODEYO, Polling Unit, IJEBU NORTH EAST, Ogun State, Nigeria</t>
  </si>
  <si>
    <t>27-10-03-006</t>
  </si>
  <si>
    <t>FRONTAGE BAALE'S HOUSE , UNICOM IMOMO</t>
  </si>
  <si>
    <t>https://docs.inecelectionresults.net/elections_prod/1292/state/01/lga/10/ward/03/pu/006/006-1677363058.pdf</t>
  </si>
  <si>
    <t>FRONTAGE BAALE'S HOUSE , UNICOM IMOMO, Polling Unit, IJEBU NORTH EAST, Ogun State, Nigeria</t>
  </si>
  <si>
    <t>27-10-03-007</t>
  </si>
  <si>
    <t>OPEN SPACE IMEDU</t>
  </si>
  <si>
    <t>https://docs.inecelectionresults.net/elections_prod/1292/state/01/lga/10/ward/03/pu/007/007-1677360955.pdf</t>
  </si>
  <si>
    <t>OPEN SPACE IMEDU, Polling Unit, IJEBU NORTH EAST, Ogun State, Nigeria</t>
  </si>
  <si>
    <t>27-10-03-009</t>
  </si>
  <si>
    <t>ANG. PRIMARY SCHOOL ORUNWA</t>
  </si>
  <si>
    <t>https://docs.inecelectionresults.net/elections_prod/1292/state/01/lga/10/ward/03/pu/009/009-1677358768.pdf</t>
  </si>
  <si>
    <t>ANG. PRIMARY SCHOOL ORUNWA, Polling Unit, IJEBU NORTH EAST, Ogun State, Nigeria</t>
  </si>
  <si>
    <t>27-10-03-011</t>
  </si>
  <si>
    <t>VICARAGE FRONTAGE, IMEWURO</t>
  </si>
  <si>
    <t>https://docs.inecelectionresults.net/elections_prod/1292/state/01/lga/10/ward/03/pu/011/011-1677358890.pdf</t>
  </si>
  <si>
    <t>VICARAGE FRONTAGE, IMEWURO, Polling Unit, IJEBU NORTH EAST, Ogun State, Nigeria</t>
  </si>
  <si>
    <t>27-10-03-013</t>
  </si>
  <si>
    <t>OPEN SPACE AT ALEDO ODODEYO</t>
  </si>
  <si>
    <t>https://docs.inecelectionresults.net/elections_prod/1292/state/01/lga/10/ward/03/pu/013/013-1677359228.pdf</t>
  </si>
  <si>
    <t>OPEN SPACE AT ALEDO ODODEYO, Polling Unit, IJEBU NORTH EAST, Ogun State, Nigeria</t>
  </si>
  <si>
    <t>27-10-03-014</t>
  </si>
  <si>
    <t>COMMUNITY PRIMARY SCHL, ABA YUSUFF</t>
  </si>
  <si>
    <t>https://docs.inecelectionresults.net/elections_prod/1292/state/01/lga/10/ward/03/pu/014/014-1677364584.pdf</t>
  </si>
  <si>
    <t>COMMUNITY PRIMARY SCHL, ABA YUSUFF, Polling Unit, IJEBU NORTH EAST, Ogun State, Nigeria</t>
  </si>
  <si>
    <t>ODESENLU</t>
  </si>
  <si>
    <t>27-10-04-001</t>
  </si>
  <si>
    <t>CHRIST CHURCH SCH. ODOSENLU I</t>
  </si>
  <si>
    <t>https://docs.inecelectionresults.net/elections_prod/1292/state/01/lga/10/ward/04/pu/001/001-1677359185.pdf</t>
  </si>
  <si>
    <t>CHRIST CHURCH SCH. ODOSENLU I, Polling Unit, IJEBU NORTH EAST, Ogun State, Nigeria</t>
  </si>
  <si>
    <t>27-10-04-002</t>
  </si>
  <si>
    <t>CHRIST CHURCH SCH. ODOSENLU II</t>
  </si>
  <si>
    <t>https://docs.inecelectionresults.net/elections_prod/1292/state/01/lga/10/ward/04/pu/002/002-1677360006.pdf</t>
  </si>
  <si>
    <t>CHRIST CHURCH SCH. ODOSENLU II, Polling Unit, IJEBU NORTH EAST, Ogun State, Nigeria</t>
  </si>
  <si>
    <t>27-10-04-003</t>
  </si>
  <si>
    <t>OJU ORE SQUARE GROUND</t>
  </si>
  <si>
    <t>https://docs.inecelectionresults.net/elections_prod/1292/state/01/lga/10/ward/04/pu/003/003-1677360221.pdf</t>
  </si>
  <si>
    <t>OJU ORE SQUARE GROUND, Polling Unit, IJEBU NORTH EAST, Ogun State, Nigeria</t>
  </si>
  <si>
    <t>27-10-04-004</t>
  </si>
  <si>
    <t>OPEN SPACE ODOREGBE</t>
  </si>
  <si>
    <t>https://docs.inecelectionresults.net/elections_prod/1292/state/01/lga/10/ward/04/pu/004/004-1677362553.pdf</t>
  </si>
  <si>
    <t>OPEN SPACE ODOREGBE, Polling Unit, IJEBU NORTH EAST, Ogun State, Nigeria</t>
  </si>
  <si>
    <t>27-10-04-006</t>
  </si>
  <si>
    <t>OPEN SPACE AT OKE OLOWU</t>
  </si>
  <si>
    <t>https://docs.inecelectionresults.net/elections_prod/1292/state/01/lga/10/ward/04/pu/006/006-1677361689.pdf</t>
  </si>
  <si>
    <t>OPEN SPACE AT OKE OLOWU, Polling Unit, IJEBU NORTH EAST, Ogun State, Nigeria</t>
  </si>
  <si>
    <t>27-10-04-007</t>
  </si>
  <si>
    <t>OPEN SPACE AT EROFO</t>
  </si>
  <si>
    <t>https://docs.inecelectionresults.net/elections_prod/1292/state/01/lga/10/ward/04/pu/007/007-1677361756.pdf</t>
  </si>
  <si>
    <t>OPEN SPACE AT EROFO, Polling Unit, IJEBU NORTH EAST, Ogun State, Nigeria</t>
  </si>
  <si>
    <t>IGEDE/ITAMARUN</t>
  </si>
  <si>
    <t>27-10-05-001</t>
  </si>
  <si>
    <t>CATHOLIC PRIMARY SCHOOL IGEDE</t>
  </si>
  <si>
    <t>https://docs.inecelectionresults.net/elections_prod/1292/state/01/lga/10/ward/05/pu/001/001-1677374143.pdf</t>
  </si>
  <si>
    <t>CATHOLIC PRIMARY SCHOOL IGEDE, Polling Unit, IJEBU NORTH EAST, Ogun State, Nigeria</t>
  </si>
  <si>
    <t>27-10-05-002</t>
  </si>
  <si>
    <t>A.C.H.S. ITAMARUN</t>
  </si>
  <si>
    <t>https://docs.inecelectionresults.net/elections_prod/1292/state/01/lga/10/ward/05/pu/002/002-1677372483.pdf</t>
  </si>
  <si>
    <t>A.C.H.S. ITAMARUN, Polling Unit, IJEBU NORTH EAST, Ogun State, Nigeria</t>
  </si>
  <si>
    <t>27-10-05-003</t>
  </si>
  <si>
    <t>ST. PETER'S SCHOOL ODOGBONDU</t>
  </si>
  <si>
    <t>https://docs.inecelectionresults.net/elections_prod/1292/state/01/lga/10/ward/05/pu/003/003-1677375769.pdf</t>
  </si>
  <si>
    <t>ST. PETER'S SCHOOL ODOGBONDU, Polling Unit, IJEBU NORTH EAST, Ogun State, Nigeria</t>
  </si>
  <si>
    <t>27-10-05-004</t>
  </si>
  <si>
    <t>OPEN SPACE OKEYEJO</t>
  </si>
  <si>
    <t>https://docs.inecelectionresults.net/elections_prod/1292/state/01/lga/10/ward/05/pu/004/004-1677375247.pdf</t>
  </si>
  <si>
    <t>OPEN SPACE OKEYEJO, Polling Unit, IJEBU NORTH EAST, Ogun State, Nigeria</t>
  </si>
  <si>
    <t>27-10-05-005</t>
  </si>
  <si>
    <t>OPEN SPACE AT EGBE</t>
  </si>
  <si>
    <t>https://docs.inecelectionresults.net/elections_prod/1292/state/01/lga/10/ward/05/pu/005/005-1677374819.pdf</t>
  </si>
  <si>
    <t>OPEN SPACE AT EGBE, Polling Unit, IJEBU NORTH EAST, Ogun State, Nigeria</t>
  </si>
  <si>
    <t>27-10-05-006</t>
  </si>
  <si>
    <t>OPEN SPACE AT OKELUGBONGUN</t>
  </si>
  <si>
    <t>https://docs.inecelectionresults.net/elections_prod/1292/state/01/lga/10/ward/05/pu/006/006-1677375407.pdf</t>
  </si>
  <si>
    <t>OPEN SPACE AT OKELUGBONGUN, Polling Unit, IJEBU NORTH EAST, Ogun State, Nigeria</t>
  </si>
  <si>
    <t>OJU ONA</t>
  </si>
  <si>
    <t>27-10-06-001</t>
  </si>
  <si>
    <t>ST. MICHAEL'S SCH. IPARI NLA</t>
  </si>
  <si>
    <t>https://docs.inecelectionresults.net/elections_prod/1292/state/01/lga/10/ward/06/pu/001/001-1677377806.pdf</t>
  </si>
  <si>
    <t>ST. MICHAEL'S SCH. IPARI NLA, Polling Unit, IJEBU NORTH EAST, Ogun State, Nigeria</t>
  </si>
  <si>
    <t>27-10-06-002</t>
  </si>
  <si>
    <t>IWORO TOWN HALL</t>
  </si>
  <si>
    <t>https://docs.inecelectionresults.net/elections_prod/1292/state/01/lga/10/ward/06/pu/002/002-1677377136.pdf</t>
  </si>
  <si>
    <t>IWORO TOWN HALL, Polling Unit, IJEBU NORTH EAST, Ogun State, Nigeria</t>
  </si>
  <si>
    <t>27-10-06-003</t>
  </si>
  <si>
    <t>TOWN HALL, OKE AGBONLE</t>
  </si>
  <si>
    <t>https://docs.inecelectionresults.net/elections_prod/1292/state/01/lga/10/ward/06/pu/003/003-1677368479.pdf</t>
  </si>
  <si>
    <t>TOWN HALL, OKE AGBONLE, Polling Unit, IJEBU NORTH EAST, Ogun State, Nigeria</t>
  </si>
  <si>
    <t>27-10-06-004</t>
  </si>
  <si>
    <t>OPEN SPACE IPARI OKE</t>
  </si>
  <si>
    <t>https://docs.inecelectionresults.net/elections_prod/1292/state/01/lga/10/ward/06/pu/004/004-1677375818.pdf</t>
  </si>
  <si>
    <t>OPEN SPACE IPARI OKE, Polling Unit, IJEBU NORTH EAST, Ogun State, Nigeria</t>
  </si>
  <si>
    <t>27-10-06-006</t>
  </si>
  <si>
    <t>COMMUNITY SQUARE, IBADAN IJEBU</t>
  </si>
  <si>
    <t>https://docs.inecelectionresults.net/elections_prod/1292/state/01/lga/10/ward/06/pu/006/006-1677359536.pdf</t>
  </si>
  <si>
    <t>COMMUNITY SQUARE, IBADAN IJEBU, Polling Unit, IJEBU NORTH EAST, Ogun State, Nigeria</t>
  </si>
  <si>
    <t>27-10-06-007</t>
  </si>
  <si>
    <t>ODOGBE VILLAGE SQUARE</t>
  </si>
  <si>
    <t>https://docs.inecelectionresults.net/elections_prod/1292/state/01/lga/10/ward/06/pu/007/007-1677373606.pdf</t>
  </si>
  <si>
    <t>ODOGBE VILLAGE SQUARE, Polling Unit, IJEBU NORTH EAST, Ogun State, Nigeria</t>
  </si>
  <si>
    <t>27-10-06-008</t>
  </si>
  <si>
    <t>ONIWORO SQUARE</t>
  </si>
  <si>
    <t>https://docs.inecelectionresults.net/elections_prod/1292/state/01/lga/10/ward/06/pu/008/008-1677372866.pdf</t>
  </si>
  <si>
    <t>ONIWORO SQUARE, Polling Unit, IJEBU NORTH EAST, Ogun State, Nigeria</t>
  </si>
  <si>
    <t>ISOYIN</t>
  </si>
  <si>
    <t>27-10-07-001</t>
  </si>
  <si>
    <t>EMMANUEL PRIMARY SCH. ISONYIN</t>
  </si>
  <si>
    <t>https://docs.inecelectionresults.net/elections_prod/1292/state/01/lga/10/ward/07/pu/001/001-1677362909.pdf</t>
  </si>
  <si>
    <t>EMMANUEL PRIMARY SCH. ISONYIN, Polling Unit, IJEBU NORTH EAST, Ogun State, Nigeria</t>
  </si>
  <si>
    <t>27-10-07-002</t>
  </si>
  <si>
    <t>ISONYIN GRAMMAR SCHOOL</t>
  </si>
  <si>
    <t>https://docs.inecelectionresults.net/elections_prod/1292/state/01/lga/10/ward/07/pu/002/002-1677365333.pdf</t>
  </si>
  <si>
    <t>ISONYIN GRAMMAR SCHOOL, Polling Unit, IJEBU NORTH EAST, Ogun State, Nigeria</t>
  </si>
  <si>
    <t>27-10-07-003</t>
  </si>
  <si>
    <t>OPEN SPACE COSSY JUNCTION, ISOYIN</t>
  </si>
  <si>
    <t>https://docs.inecelectionresults.net/elections_prod/1292/state/01/lga/10/ward/07/pu/003/003-1677388446.pdf</t>
  </si>
  <si>
    <t>OPEN SPACE COSSY JUNCTION, ISOYIN, Polling Unit, IJEBU NORTH EAST, Ogun State, Nigeria</t>
  </si>
  <si>
    <t>27-10-07-004</t>
  </si>
  <si>
    <t>ODOLE JUNCTION</t>
  </si>
  <si>
    <t>https://docs.inecelectionresults.net/elections_prod/1292/state/01/lga/10/ward/07/pu/004/004-1677386981.pdf</t>
  </si>
  <si>
    <t>ODOLE JUNCTION, Polling Unit, IJEBU NORTH EAST, Ogun State, Nigeria</t>
  </si>
  <si>
    <t>27-10-07-005</t>
  </si>
  <si>
    <t>UNITED PRIMARY SCH. APUREN</t>
  </si>
  <si>
    <t>https://docs.inecelectionresults.net/elections_prod/1292/state/01/lga/10/ward/07/pu/005/005-1677365490.pdf</t>
  </si>
  <si>
    <t>UNITED PRIMARY SCH. APUREN, Polling Unit, IJEBU NORTH EAST, Ogun State, Nigeria</t>
  </si>
  <si>
    <t>27-10-07-006</t>
  </si>
  <si>
    <t>OPEN SPACE ITUN OLUSEYE, ISOYIN</t>
  </si>
  <si>
    <t>https://docs.inecelectionresults.net/elections_prod/1292/state/01/lga/10/ward/07/pu/006/006-1677365634.pdf</t>
  </si>
  <si>
    <t>OPEN SPACE ITUN OLUSEYE, ISOYIN, Polling Unit, IJEBU NORTH EAST, Ogun State, Nigeria</t>
  </si>
  <si>
    <t>27-10-07-007</t>
  </si>
  <si>
    <t>OPEN SPACE ALONG APUREN ROAD,AGBOWA</t>
  </si>
  <si>
    <t>https://docs.inecelectionresults.net/elections_prod/1292/state/01/lga/10/ward/07/pu/007/007-1677367926.pdf</t>
  </si>
  <si>
    <t>OPEN SPACE ALONG APUREN ROAD,AGBOWA, Polling Unit, IJEBU NORTH EAST, Ogun State, Nigeria</t>
  </si>
  <si>
    <t>27-10-07-008</t>
  </si>
  <si>
    <t>FRONT OF ILUPA COMMUNITY BOREHOLE,ISOYIN</t>
  </si>
  <si>
    <t>https://docs.inecelectionresults.net/elections_prod/1292/state/01/lga/10/ward/07/pu/008/008-1677361426.pdf</t>
  </si>
  <si>
    <t>FRONT OF ILUPA COMMUNITY BOREHOLE,ISOYIN, Polling Unit, IJEBU NORTH EAST, Ogun State, Nigeria</t>
  </si>
  <si>
    <t>27-10-07-009</t>
  </si>
  <si>
    <t>COMMUNITY GROUND ITUN IGBALA,ISOYIN</t>
  </si>
  <si>
    <t>https://docs.inecelectionresults.net/elections_prod/1292/state/01/lga/10/ward/07/pu/009/009-1677371994.pdf</t>
  </si>
  <si>
    <t>COMMUNITY GROUND ITUN IGBALA,ISOYIN, Polling Unit, IJEBU NORTH EAST, Ogun State, Nigeria</t>
  </si>
  <si>
    <t>ILESE</t>
  </si>
  <si>
    <t>27-10-08-001</t>
  </si>
  <si>
    <t>MOSLEM PRIMARY SCH. ILESE  I</t>
  </si>
  <si>
    <t>https://docs.inecelectionresults.net/elections_prod/1292/state/01/lga/10/ward/08/pu/001/001-1677374255.pdf</t>
  </si>
  <si>
    <t>MOSLEM PRIMARY SCH. ILESE  I, Polling Unit, IJEBU NORTH EAST, Ogun State, Nigeria</t>
  </si>
  <si>
    <t>27-10-08-002</t>
  </si>
  <si>
    <t>IDOMOWO COMMUNITY PRIMARY SCH,ILESE</t>
  </si>
  <si>
    <t>https://docs.inecelectionresults.net/elections_prod/1292/state/01/lga/10/ward/08/pu/002/002-1677392491.pdf</t>
  </si>
  <si>
    <t>IDOMOWO COMMUNITY PRIMARY SCH,ILESE, Polling Unit, IJEBU NORTH EAST, Ogun State, Nigeria</t>
  </si>
  <si>
    <t>27-10-08-003</t>
  </si>
  <si>
    <t>ARMY BARRACKS  I</t>
  </si>
  <si>
    <t>https://docs.inecelectionresults.net/elections_prod/1292/state/01/lga/10/ward/08/pu/003/003-1677394030.pdf</t>
  </si>
  <si>
    <t>ARMY BARRACKS  I, Polling Unit, IJEBU NORTH EAST, Ogun State, Nigeria</t>
  </si>
  <si>
    <t>27-10-08-004</t>
  </si>
  <si>
    <t>IDOMILA COMPREHENSIVE HIGH SCHL.</t>
  </si>
  <si>
    <t>https://docs.inecelectionresults.net/elections_prod/1292/state/01/lga/10/ward/08/pu/004/004-1677375505.pdf</t>
  </si>
  <si>
    <t>IDOMILA COMPREHENSIVE HIGH SCHL., Polling Unit, IJEBU NORTH EAST, Ogun State, Nigeria</t>
  </si>
  <si>
    <t>27-10-08-005</t>
  </si>
  <si>
    <t>OPEN SPACE AKITIPA</t>
  </si>
  <si>
    <t>https://docs.inecelectionresults.net/elections_prod/1292/state/01/lga/10/ward/08/pu/005/005-1677372996.pdf</t>
  </si>
  <si>
    <t>OPEN SPACE AKITIPA, Polling Unit, IJEBU NORTH EAST, Ogun State, Nigeria</t>
  </si>
  <si>
    <t>27-10-08-006</t>
  </si>
  <si>
    <t>OPEN SPACE OKE LISA ILESE</t>
  </si>
  <si>
    <t>https://docs.inecelectionresults.net/elections_prod/1292/state/01/lga/10/ward/08/pu/006/006-1677377972.pdf</t>
  </si>
  <si>
    <t>OPEN SPACE OKE LISA ILESE, Polling Unit, IJEBU NORTH EAST, Ogun State, Nigeria</t>
  </si>
  <si>
    <t>27-10-08-007</t>
  </si>
  <si>
    <t>ILONE VILLAGE SQUARE</t>
  </si>
  <si>
    <t>https://docs.inecelectionresults.net/elections_prod/1292/state/01/lga/10/ward/08/pu/007/007-1677375294.pdf</t>
  </si>
  <si>
    <t>ILONE VILLAGE SQUARE, Polling Unit, IJEBU NORTH EAST, Ogun State, Nigeria</t>
  </si>
  <si>
    <t>27-10-08-008</t>
  </si>
  <si>
    <t>ALEDO VILLAGE SQUARE</t>
  </si>
  <si>
    <t>https://docs.inecelectionresults.net/elections_prod/1292/state/01/lga/10/ward/08/pu/008/008-1677373177.pdf</t>
  </si>
  <si>
    <t>ALEDO VILLAGE SQUARE, Polling Unit, IJEBU NORTH EAST, Ogun State, Nigeria</t>
  </si>
  <si>
    <t>27-10-08-009</t>
  </si>
  <si>
    <t>ODOMOLASA HEALTH CENTRE</t>
  </si>
  <si>
    <t>https://docs.inecelectionresults.net/elections_prod/1292/state/01/lga/10/ward/08/pu/009/009-1677381997.pdf</t>
  </si>
  <si>
    <t>ODOMOLASA HEALTH CENTRE, Polling Unit, IJEBU NORTH EAST, Ogun State, Nigeria</t>
  </si>
  <si>
    <t>27-10-08-010</t>
  </si>
  <si>
    <t>ARMY BARRACKS  II</t>
  </si>
  <si>
    <t>https://docs.inecelectionresults.net/elections_prod/1292/state/01/lga/10/ward/08/pu/010/010-1677389084.pdf</t>
  </si>
  <si>
    <t>ARMY BARRACKS  II, Polling Unit, IJEBU NORTH EAST, Ogun State, Nigeria</t>
  </si>
  <si>
    <t>27-10-08-011</t>
  </si>
  <si>
    <t>ESEPA VILLAGE SQUARE</t>
  </si>
  <si>
    <t>https://docs.inecelectionresults.net/elections_prod/1292/state/01/lga/10/ward/08/pu/011/011-1677382623.pdf</t>
  </si>
  <si>
    <t>ESEPA VILLAGE SQUARE, Polling Unit, IJEBU NORTH EAST, Ogun State, Nigeria</t>
  </si>
  <si>
    <t>OKE-ERI/OGBOGBO</t>
  </si>
  <si>
    <t>27-10-09-002</t>
  </si>
  <si>
    <t>WESLEY PRIMARY SCHOOL OKE-ERI</t>
  </si>
  <si>
    <t>https://docs.inecelectionresults.net/elections_prod/1292/state/01/lga/10/ward/09/pu/002/002-1677387206.pdf</t>
  </si>
  <si>
    <t>WESLEY PRIMARY SCHOOL OKE-ERI, Polling Unit, IJEBU NORTH EAST, Ogun State, Nigeria</t>
  </si>
  <si>
    <t>27-10-09-003</t>
  </si>
  <si>
    <t>IREWON HEALTH CENTRE</t>
  </si>
  <si>
    <t>https://docs.inecelectionresults.net/elections_prod/1292/state/01/lga/10/ward/09/pu/003/003-1677371206.pdf</t>
  </si>
  <si>
    <t>IREWON HEALTH CENTRE, Polling Unit, IJEBU NORTH EAST, Ogun State, Nigeria</t>
  </si>
  <si>
    <t>27-10-09-005</t>
  </si>
  <si>
    <t>TOWN HALL, OGBOGBO  II</t>
  </si>
  <si>
    <t>https://docs.inecelectionresults.net/elections_prod/1292/state/01/lga/10/ward/09/pu/005/005-1677373976.pdf</t>
  </si>
  <si>
    <t>TOWN HALL, OGBOGBO  II, Polling Unit, IJEBU NORTH EAST, Ogun State, Nigeria</t>
  </si>
  <si>
    <t>27-10-09-006</t>
  </si>
  <si>
    <t>OPEN GROUND, IJARI</t>
  </si>
  <si>
    <t>https://docs.inecelectionresults.net/elections_prod/1292/state/01/lga/10/ward/09/pu/006/006-1677368041.pdf</t>
  </si>
  <si>
    <t>OPEN GROUND, IJARI, Polling Unit, IJEBU NORTH EAST, Ogun State, Nigeria</t>
  </si>
  <si>
    <t>ERUNWON</t>
  </si>
  <si>
    <t>27-10-10-001</t>
  </si>
  <si>
    <t>EPHIPHANY PRIMARY SCH. ERUNWON</t>
  </si>
  <si>
    <t>https://docs.inecelectionresults.net/elections_prod/1292/state/01/lga/10/ward/10/pu/001/001-1677388731.pdf</t>
  </si>
  <si>
    <t>EPHIPHANY PRIMARY SCH. ERUNWON, Polling Unit, IJEBU NORTH EAST, Ogun State, Nigeria</t>
  </si>
  <si>
    <t>27-10-10-003</t>
  </si>
  <si>
    <t>PRIMARY HEALTH CENTRE, ODO AYE</t>
  </si>
  <si>
    <t>https://docs.inecelectionresults.net/elections_prod/1292/state/01/lga/10/ward/10/pu/003/003-1677390348.pdf</t>
  </si>
  <si>
    <t>PRIMARY HEALTH CENTRE, ODO AYE, Polling Unit, IJEBU NORTH EAST, Ogun State, Nigeria</t>
  </si>
  <si>
    <t>27-10-10-004</t>
  </si>
  <si>
    <t>FRONTAGE, HEALTH CENTRE, IGBEBA</t>
  </si>
  <si>
    <t>https://docs.inecelectionresults.net/elections_prod/1292/state/01/lga/10/ward/10/pu/004/004-1677391699.pdf</t>
  </si>
  <si>
    <t>FRONTAGE, HEALTH CENTRE, IGBEBA, Polling Unit, IJEBU NORTH EAST, Ogun State, Nigeria</t>
  </si>
  <si>
    <t>IJEBU ODE</t>
  </si>
  <si>
    <t>ISOKU/OSOSA</t>
  </si>
  <si>
    <t>27-11-01-001</t>
  </si>
  <si>
    <t>BESIDE CO-OP BUILDING</t>
  </si>
  <si>
    <t>https://docs.inecelectionresults.net/elections_prod/1292/state/1/lga/3676/ward/24071/pu/92754/92754-1677523763.pdf</t>
  </si>
  <si>
    <t>BESIDE CO-OP BUILDING, Polling Unit, IJEBU ODE, Ogun State, Nigeria</t>
  </si>
  <si>
    <t>27-11-01-002</t>
  </si>
  <si>
    <t>EMMANUEL SCHOOL I ITALUPE</t>
  </si>
  <si>
    <t>https://docs.inecelectionresults.net/elections_prod/1292/state/01/lga/11/ward/01/pu/002/002-1677372486.pdf</t>
  </si>
  <si>
    <t>EMMANUEL SCHOOL I ITALUPE, Polling Unit, IJEBU ODE, Ogun State, Nigeria</t>
  </si>
  <si>
    <t>27-11-01-004</t>
  </si>
  <si>
    <t>FRONT OF TALABI'S HOUSE  OLISA STREET I</t>
  </si>
  <si>
    <t>https://docs.inecelectionresults.net/elections_prod/1292/state/1/lga/3676/ward/24071/pu/92757/92757-1677524250.pdf</t>
  </si>
  <si>
    <t>FRONT OF TALABI'S HOUSE  OLISA STREET I, Polling Unit, IJEBU ODE, Ogun State, Nigeria</t>
  </si>
  <si>
    <t>27-11-01-006</t>
  </si>
  <si>
    <t>OKE-OLA ILORIN</t>
  </si>
  <si>
    <t>https://docs.inecelectionresults.net/elections_prod/1292/state/01/lga/11/ward/01/pu/006/006-1677378727.pdf</t>
  </si>
  <si>
    <t>OKE-OLA ILORIN, Polling Unit, IJEBU ODE, Ogun State, Nigeria</t>
  </si>
  <si>
    <t>27-11-01-007</t>
  </si>
  <si>
    <t>27-11-01-008</t>
  </si>
  <si>
    <t>FRONT OF TALABI'S HOUSE  OLISA STREET II</t>
  </si>
  <si>
    <t>https://docs.inecelectionresults.net/elections_prod/1292/state/01/lga/11/ward/01/pu/008/008-1677358612.pdf</t>
  </si>
  <si>
    <t>FRONT OF TALABI'S HOUSE  OLISA STREET II, Polling Unit, IJEBU ODE, Ogun State, Nigeria</t>
  </si>
  <si>
    <t>ODO-ESA</t>
  </si>
  <si>
    <t>27-11-02-003</t>
  </si>
  <si>
    <t>FRONT OF ALHAJI KUKOYI'S HOUSE</t>
  </si>
  <si>
    <t>https://docs.inecelectionresults.net/elections_prod/1292/state/01/lga/11/ward/02/pu/003/003-1677374018.pdf</t>
  </si>
  <si>
    <t>FRONT OF ALHAJI KUKOYI'S HOUSE, Polling Unit, IJEBU ODE, Ogun State, Nigeria</t>
  </si>
  <si>
    <t>27-11-02-004</t>
  </si>
  <si>
    <t>OPPOSITE ITAJANA MOSQUE</t>
  </si>
  <si>
    <t>https://docs.inecelectionresults.net/elections_prod/1292/state/01/lga/11/ward/02/pu/004/004-1677376847.pdf</t>
  </si>
  <si>
    <t>OPPOSITE ITAJANA MOSQUE, Polling Unit, IJEBU ODE, Ogun State, Nigeria</t>
  </si>
  <si>
    <t>27-11-02-005</t>
  </si>
  <si>
    <t>STATE HOSPITAL</t>
  </si>
  <si>
    <t>https://docs.inecelectionresults.net/elections_prod/1292/state/01/lga/11/ward/02/pu/005/005-1677376796.pdf</t>
  </si>
  <si>
    <t>STATE HOSPITAL, Polling Unit, IJEBU ODE, Ogun State, Nigeria</t>
  </si>
  <si>
    <t>27-11-02-006</t>
  </si>
  <si>
    <t>DENTAL CENTRE</t>
  </si>
  <si>
    <t>https://docs.inecelectionresults.net/elections_prod/1292/state/01/lga/11/ward/02/pu/006/006-1677376526.pdf</t>
  </si>
  <si>
    <t>DENTAL CENTRE, Polling Unit, IJEBU ODE, Ogun State, Nigeria</t>
  </si>
  <si>
    <t>ITANTEBO</t>
  </si>
  <si>
    <t>27-11-03-001</t>
  </si>
  <si>
    <t>MOSLEM SCHOOL ETITALE I</t>
  </si>
  <si>
    <t>https://docs.inecelectionresults.net/elections_prod/1292/state/01/lga/11/ward/03/pu/001/001-1677373326.pdf</t>
  </si>
  <si>
    <t>MOSLEM SCHOOL ETITALE I, Polling Unit, IJEBU ODE, Ogun State, Nigeria</t>
  </si>
  <si>
    <t>27-11-03-002</t>
  </si>
  <si>
    <t>OPP. OLORITUN'S HOUSE</t>
  </si>
  <si>
    <t>https://docs.inecelectionresults.net/elections_prod/1292/state/01/lga/11/ward/03/pu/002/002-1677373790.pdf</t>
  </si>
  <si>
    <t>OPP. OLORITUN'S HOUSE, Polling Unit, IJEBU ODE, Ogun State, Nigeria</t>
  </si>
  <si>
    <t>27-11-03-003</t>
  </si>
  <si>
    <t>FRONT OF IGBOBURO MOSQUE</t>
  </si>
  <si>
    <t>https://docs.inecelectionresults.net/elections_prod/1292/state/01/lga/11/ward/03/pu/003/003-1677374358.pdf</t>
  </si>
  <si>
    <t>FRONT OF IGBOBURO MOSQUE, Polling Unit, IJEBU ODE, Ogun State, Nigeria</t>
  </si>
  <si>
    <t>27-11-03-004</t>
  </si>
  <si>
    <t>FRONT OF BALOGUN KUKU'S HOUSE</t>
  </si>
  <si>
    <t>https://docs.inecelectionresults.net/elections_prod/1292/state/01/lga/11/ward/03/pu/004/004-1677374763.pdf</t>
  </si>
  <si>
    <t>FRONT OF BALOGUN KUKU'S HOUSE, Polling Unit, IJEBU ODE, Ogun State, Nigeria</t>
  </si>
  <si>
    <t>27-11-03-005</t>
  </si>
  <si>
    <t>ISOKUN / ITAOGBIN JUNCTION</t>
  </si>
  <si>
    <t>https://docs.inecelectionresults.net/elections_prod/1292/state/01/lga/11/ward/03/pu/005/005-1677375128.pdf</t>
  </si>
  <si>
    <t>ISOKUN / ITAOGBIN JUNCTION, Polling Unit, IJEBU ODE, Ogun State, Nigeria</t>
  </si>
  <si>
    <t>27-11-03-006</t>
  </si>
  <si>
    <t>MOSELM SCHOOL ETITALE II</t>
  </si>
  <si>
    <t>https://docs.inecelectionresults.net/elections_prod/1292/state/01/lga/11/ward/03/pu/006/006-1677375601.pdf</t>
  </si>
  <si>
    <t>MOSELM SCHOOL ETITALE II, Polling Unit, IJEBU ODE, Ogun State, Nigeria</t>
  </si>
  <si>
    <t>IJADE / IMEPE I</t>
  </si>
  <si>
    <t>27-11-04-001</t>
  </si>
  <si>
    <t>OLD WASIMI SCHOOL HALL</t>
  </si>
  <si>
    <t>https://docs.inecelectionresults.net/elections_prod/1292/state/01/lga/11/ward/04/pu/001/001-1677392591.pdf</t>
  </si>
  <si>
    <t>OLD WASIMI SCHOOL HALL, Polling Unit, IJEBU ODE, Ogun State, Nigeria</t>
  </si>
  <si>
    <t>27-11-04-002</t>
  </si>
  <si>
    <t>JOKE TAIWO PRIMARY SCHOOL</t>
  </si>
  <si>
    <t>https://docs.inecelectionresults.net/elections_prod/1292/state/01/lga/11/ward/04/pu/002/002-1677394614.pdf</t>
  </si>
  <si>
    <t>JOKE TAIWO PRIMARY SCHOOL, Polling Unit, IJEBU ODE, Ogun State, Nigeria</t>
  </si>
  <si>
    <t>27-11-04-003</t>
  </si>
  <si>
    <t>BALOGUN KUKU ROAD</t>
  </si>
  <si>
    <t>https://docs.inecelectionresults.net/elections_prod/1292/state/01/lga/11/ward/04/pu/003/003-1677400884.pdf</t>
  </si>
  <si>
    <t>BALOGUN KUKU ROAD, Polling Unit, IJEBU ODE, Ogun State, Nigeria</t>
  </si>
  <si>
    <t>27-11-04-005</t>
  </si>
  <si>
    <t>IYANRO MOSQUE</t>
  </si>
  <si>
    <t>https://docs.inecelectionresults.net/elections_prod/1292/state/01/lga/11/ward/04/pu/005/005-1677401491.pdf</t>
  </si>
  <si>
    <t>IYANRO MOSQUE, Polling Unit, IJEBU ODE, Ogun State, Nigeria</t>
  </si>
  <si>
    <t>IJADE / IMEPE II</t>
  </si>
  <si>
    <t>27-11-05-001</t>
  </si>
  <si>
    <t>FRONT OF OLISA'S PALACE</t>
  </si>
  <si>
    <t>https://docs.inecelectionresults.net/elections_prod/1292/state/01/lga/11/ward/05/pu/001/001-1677370667.pdf</t>
  </si>
  <si>
    <t>FRONT OF OLISA'S PALACE, Polling Unit, IJEBU ODE, Ogun State, Nigeria</t>
  </si>
  <si>
    <t>27-11-05-002</t>
  </si>
  <si>
    <t>OLD IJADA MARKET</t>
  </si>
  <si>
    <t>https://docs.inecelectionresults.net/elections_prod/1292/state/01/lga/11/ward/05/pu/002/002-1677371702.pdf</t>
  </si>
  <si>
    <t>OLD IJADA MARKET, Polling Unit, IJEBU ODE, Ogun State, Nigeria</t>
  </si>
  <si>
    <t>27-11-05-003</t>
  </si>
  <si>
    <t>OMOLUWABI PRIMARY SCHOOL IMEPE</t>
  </si>
  <si>
    <t>https://docs.inecelectionresults.net/elections_prod/1292/state/01/lga/11/ward/05/pu/003/003-1677370700.pdf</t>
  </si>
  <si>
    <t>OMOLUWABI PRIMARY SCHOOL IMEPE, Polling Unit, IJEBU ODE, Ogun State, Nigeria</t>
  </si>
  <si>
    <t>27-11-05-004</t>
  </si>
  <si>
    <t>MOSLEM PRIMARY SCH. IMEPE</t>
  </si>
  <si>
    <t>https://docs.inecelectionresults.net/elections_prod/1292/state/01/lga/11/ward/05/pu/004/004-1677371120.pdf</t>
  </si>
  <si>
    <t>MOSLEM PRIMARY SCH. IMEPE, Polling Unit, IJEBU ODE, Ogun State, Nigeria</t>
  </si>
  <si>
    <t>27-11-05-005</t>
  </si>
  <si>
    <t>U.N.A. PRIMARY SCH. IMEPE</t>
  </si>
  <si>
    <t>https://docs.inecelectionresults.net/elections_prod/1292/state/01/lga/11/ward/05/pu/005/005-1677371321.pdf</t>
  </si>
  <si>
    <t>U.N.A. PRIMARY SCH. IMEPE, Polling Unit, IJEBU ODE, Ogun State, Nigeria</t>
  </si>
  <si>
    <t>27-11-05-006</t>
  </si>
  <si>
    <t>ORUNSE AREA</t>
  </si>
  <si>
    <t>https://docs.inecelectionresults.net/elections_prod/1292/state/01/lga/11/ward/05/pu/006/006-1677371655.pdf</t>
  </si>
  <si>
    <t>ORUNSE AREA, Polling Unit, IJEBU ODE, Ogun State, Nigeria</t>
  </si>
  <si>
    <t>27-11-05-007</t>
  </si>
  <si>
    <t>IDOMOWO/IMOSE</t>
  </si>
  <si>
    <t>https://docs.inecelectionresults.net/elections_prod/1292/state/01/lga/11/ward/05/pu/007/007-1677372163.pdf</t>
  </si>
  <si>
    <t>IDOMOWO/IMOSE, Polling Unit, IJEBU ODE, Ogun State, Nigeria</t>
  </si>
  <si>
    <t>27-11-05-009</t>
  </si>
  <si>
    <t>IDELE</t>
  </si>
  <si>
    <t>https://docs.inecelectionresults.net/elections_prod/1292/state/01/lga/11/ward/05/pu/009/009-1677372653.pdf</t>
  </si>
  <si>
    <t>IDELE, Polling Unit, IJEBU ODE, Ogun State, Nigeria</t>
  </si>
  <si>
    <t>27-11-05-010</t>
  </si>
  <si>
    <t>AYERU/AJEGUNLE</t>
  </si>
  <si>
    <t>https://docs.inecelectionresults.net/elections_prod/1292/state/01/lga/11/ward/05/pu/010/010-1677372382.pdf</t>
  </si>
  <si>
    <t>AYERU/AJEGUNLE, Polling Unit, IJEBU ODE, Ogun State, Nigeria</t>
  </si>
  <si>
    <t>27-11-05-011</t>
  </si>
  <si>
    <t>IPAMUREN MOSQUE</t>
  </si>
  <si>
    <t>https://docs.inecelectionresults.net/elections_prod/1292/state/01/lga/11/ward/05/pu/011/011-1677374016.pdf</t>
  </si>
  <si>
    <t>IPAMUREN MOSQUE, Polling Unit, IJEBU ODE, Ogun State, Nigeria</t>
  </si>
  <si>
    <t>27-11-05-012</t>
  </si>
  <si>
    <t>BESIDE RAMDAT HOTEL, OGUNTUGA ST I-ODE</t>
  </si>
  <si>
    <t>https://docs.inecelectionresults.net/elections_prod/1292/state/01/lga/11/ward/05/pu/012/012-1677373159.pdf</t>
  </si>
  <si>
    <t>BESIDE RAMDAT HOTEL, OGUNTUGA ST I-ODE, Polling Unit, IJEBU ODE, Ogun State, Nigeria</t>
  </si>
  <si>
    <t>POROGUN  I</t>
  </si>
  <si>
    <t>27-11-06-001</t>
  </si>
  <si>
    <t>MOSLEM COLLEGE</t>
  </si>
  <si>
    <t>https://docs.inecelectionresults.net/elections_prod/1292/state/01/lga/11/ward/06/pu/001/001-1677388255.pdf</t>
  </si>
  <si>
    <t>MOSLEM COLLEGE, Polling Unit, IJEBU ODE, Ogun State, Nigeria</t>
  </si>
  <si>
    <t>27-11-06-002</t>
  </si>
  <si>
    <t>OPPOSITE APELOKO</t>
  </si>
  <si>
    <t>https://docs.inecelectionresults.net/elections_prod/1292/state/01/lga/11/ward/06/pu/002/002-1677390181.pdf</t>
  </si>
  <si>
    <t>OPPOSITE APELOKO, Polling Unit, IJEBU ODE, Ogun State, Nigeria</t>
  </si>
  <si>
    <t>27-11-06-003</t>
  </si>
  <si>
    <t>OPPOSITE L.G. WORKS DEPT,</t>
  </si>
  <si>
    <t>https://docs.inecelectionresults.net/elections_prod/1292/state/01/lga/11/ward/06/pu/003/003-1677390809.pdf</t>
  </si>
  <si>
    <t>OPPOSITE L.G. WORKS DEPT,, Polling Unit, IJEBU ODE, Ogun State, Nigeria</t>
  </si>
  <si>
    <t>27-11-06-004</t>
  </si>
  <si>
    <t>BESIDE ISASA MOSQUE</t>
  </si>
  <si>
    <t>https://docs.inecelectionresults.net/elections_prod/1292/state/01/lga/11/ward/06/pu/004/004-1677391879.pdf</t>
  </si>
  <si>
    <t>BESIDE ISASA MOSQUE, Polling Unit, IJEBU ODE, Ogun State, Nigeria</t>
  </si>
  <si>
    <t>27-11-06-005</t>
  </si>
  <si>
    <t>CHRIST CHURCH SCHOOL MOLODE</t>
  </si>
  <si>
    <t>https://docs.inecelectionresults.net/elections_prod/1292/state/1/lga/3676/ward/24076/pu/92796/92796-1677579183.pdf</t>
  </si>
  <si>
    <t>CHRIST CHURCH SCHOOL MOLODE, Polling Unit, IJEBU ODE, Ogun State, Nigeria</t>
  </si>
  <si>
    <t>27-11-06-006</t>
  </si>
  <si>
    <t>AYEGBAMI WASIMI JUNCTION</t>
  </si>
  <si>
    <t>https://docs.inecelectionresults.net/elections_prod/1292/state/01/lga/11/ward/06/pu/006/006-1677392755.pdf</t>
  </si>
  <si>
    <t>AYEGBAMI WASIMI JUNCTION, Polling Unit, IJEBU ODE, Ogun State, Nigeria</t>
  </si>
  <si>
    <t>27-11-06-007</t>
  </si>
  <si>
    <t>OJOFA/ALAPO JUNCTION</t>
  </si>
  <si>
    <t>https://docs.inecelectionresults.net/elections_prod/1292/state/01/lga/11/ward/06/pu/007/007-1677407423.pdf</t>
  </si>
  <si>
    <t>OJOFA/ALAPO JUNCTION, Polling Unit, IJEBU ODE, Ogun State, Nigeria</t>
  </si>
  <si>
    <t>27-11-06-008</t>
  </si>
  <si>
    <t>MOBEGELU ST. (INFRONT OLOWU'S HOUSE)</t>
  </si>
  <si>
    <t>https://docs.inecelectionresults.net/elections_prod/1292/state/01/lga/11/ward/06/pu/008/008-1677415276.pdf</t>
  </si>
  <si>
    <t>MOBEGELU ST. (INFRONT OLOWU'S HOUSE), Polling Unit, IJEBU ODE, Ogun State, Nigeria</t>
  </si>
  <si>
    <t>27-11-06-010</t>
  </si>
  <si>
    <t>LOCAL GOVT. MATERNITY CENTRE</t>
  </si>
  <si>
    <t>https://docs.inecelectionresults.net/elections_prod/1292/state/1/lga/3676/ward/24076/pu/92801/92801-1677579431.pdf</t>
  </si>
  <si>
    <t>LOCAL GOVT. MATERNITY CENTRE, Polling Unit, IJEBU ODE, Ogun State, Nigeria</t>
  </si>
  <si>
    <t>POROGUN  II</t>
  </si>
  <si>
    <t>27-11-07-001</t>
  </si>
  <si>
    <t>FRONT OF BABOOBA HOUSE</t>
  </si>
  <si>
    <t>https://docs.inecelectionresults.net/elections_prod/1292/state/01/lga/11/ward/07/pu/001/001-1677378034.pdf</t>
  </si>
  <si>
    <t>FRONT OF BABOOBA HOUSE, Polling Unit, IJEBU ODE, Ogun State, Nigeria</t>
  </si>
  <si>
    <t>27-11-07-004</t>
  </si>
  <si>
    <t>A.G.G.S. OBALENDE</t>
  </si>
  <si>
    <t>https://docs.inecelectionresults.net/elections_prod/1292/state/01/lga/11/ward/07/pu/004/004-1677381390.pdf</t>
  </si>
  <si>
    <t>A.G.G.S. OBALENDE, Polling Unit, IJEBU ODE, Ogun State, Nigeria</t>
  </si>
  <si>
    <t>27-11-07-005</t>
  </si>
  <si>
    <t>ABEOKUTA ROAD FRONT OF ALOWOLODU</t>
  </si>
  <si>
    <t>https://docs.inecelectionresults.net/elections_prod/1292/state/01/lga/11/ward/07/pu/005/005-1677381708.pdf</t>
  </si>
  <si>
    <t>ABEOKUTA ROAD FRONT OF ALOWOLODU, Polling Unit, IJEBU ODE, Ogun State, Nigeria</t>
  </si>
  <si>
    <t>27-11-07-006</t>
  </si>
  <si>
    <t>OGBAGBA STREET (MIDDLE FRONT OF ALOWONLE)</t>
  </si>
  <si>
    <t>https://docs.inecelectionresults.net/elections_prod/1292/state/01/lga/11/ward/07/pu/006/006-1677384478.pdf</t>
  </si>
  <si>
    <t>OGBAGBA STREET (MIDDLE FRONT OF ALOWONLE), Polling Unit, IJEBU ODE, Ogun State, Nigeria</t>
  </si>
  <si>
    <t>27-11-07-007</t>
  </si>
  <si>
    <t>ITALAPO MOSQUE</t>
  </si>
  <si>
    <t>https://docs.inecelectionresults.net/elections_prod/1292/state/01/lga/11/ward/07/pu/007/007-1677385062.pdf</t>
  </si>
  <si>
    <t>ITALAPO MOSQUE, Polling Unit, IJEBU ODE, Ogun State, Nigeria</t>
  </si>
  <si>
    <t>27-11-07-009</t>
  </si>
  <si>
    <t>ABEOKUTA RD (INFRONT OF OLUFOWOBI'S HOUSE)</t>
  </si>
  <si>
    <t>https://docs.inecelectionresults.net/elections_prod/1292/state/01/lga/11/ward/07/pu/009/009-1677386238.pdf</t>
  </si>
  <si>
    <t>ABEOKUTA RD (INFRONT OF OLUFOWOBI'S HOUSE), Polling Unit, IJEBU ODE, Ogun State, Nigeria</t>
  </si>
  <si>
    <t>IJASI/ IDEPO</t>
  </si>
  <si>
    <t>27-11-08-001</t>
  </si>
  <si>
    <t>OUR SAVIOUR'S PRIMARY SCHOOL</t>
  </si>
  <si>
    <t>https://docs.inecelectionresults.net/elections_prod/1292/state/01/lga/11/ward/08/pu/001/001-1677384238.pdf</t>
  </si>
  <si>
    <t>OUR SAVIOUR'S PRIMARY SCHOOL, Polling Unit, IJEBU ODE, Ogun State, Nigeria</t>
  </si>
  <si>
    <t>27-11-08-002</t>
  </si>
  <si>
    <t>FRONT OF BATA SHOP</t>
  </si>
  <si>
    <t>https://docs.inecelectionresults.net/elections_prod/1292/state/1/lga/3676/ward/24078/pu/92812/92812-1677513140.pdf</t>
  </si>
  <si>
    <t>FRONT OF BATA SHOP, Polling Unit, IJEBU ODE, Ogun State, Nigeria</t>
  </si>
  <si>
    <t>27-11-08-003</t>
  </si>
  <si>
    <t>WESLEY SCHOOL</t>
  </si>
  <si>
    <t>https://docs.inecelectionresults.net/elections_prod/1292/state/01/lga/11/ward/08/pu/003/003-1677381984.pdf</t>
  </si>
  <si>
    <t>WESLEY SCHOOL, Polling Unit, IJEBU ODE, Ogun State, Nigeria</t>
  </si>
  <si>
    <t>27-11-08-004</t>
  </si>
  <si>
    <t>C.A.C. SCHOOL DEGUN</t>
  </si>
  <si>
    <t>https://docs.inecelectionresults.net/elections_prod/1292/state/01/lga/11/ward/08/pu/004/004-1677379400.pdf</t>
  </si>
  <si>
    <t>C.A.C. SCHOOL DEGUN, Polling Unit, IJEBU ODE, Ogun State, Nigeria</t>
  </si>
  <si>
    <t>27-11-08-005</t>
  </si>
  <si>
    <t>IDEPO JUNCTION</t>
  </si>
  <si>
    <t>https://docs.inecelectionresults.net/elections_prod/1292/state/01/lga/11/ward/08/pu/005/005-1677378115.pdf</t>
  </si>
  <si>
    <t>IDEPO JUNCTION, Polling Unit, IJEBU ODE, Ogun State, Nigeria</t>
  </si>
  <si>
    <t>27-11-08-006</t>
  </si>
  <si>
    <t>ARAROMI/ILORO JUNCTION</t>
  </si>
  <si>
    <t>https://docs.inecelectionresults.net/elections_prod/1292/state/01/lga/11/ward/08/pu/006/006-1677383665.pdf</t>
  </si>
  <si>
    <t>ARAROMI/ILORO JUNCTION, Polling Unit, IJEBU ODE, Ogun State, Nigeria</t>
  </si>
  <si>
    <t>27-11-08-007</t>
  </si>
  <si>
    <t>ODUTOLA ST. (BESIDE ODUPELE STREET)</t>
  </si>
  <si>
    <t>https://docs.inecelectionresults.net/elections_prod/1292/state/1/lga/3676/ward/24078/pu/92817/92817-1677509795.pdf</t>
  </si>
  <si>
    <t>ODUTOLA ST. (BESIDE ODUPELE STREET), Polling Unit, IJEBU ODE, Ogun State, Nigeria</t>
  </si>
  <si>
    <t>27-11-08-008</t>
  </si>
  <si>
    <t>MOLIPA (INFRONT OGO-OLUWA BAKERY)</t>
  </si>
  <si>
    <t>https://docs.inecelectionresults.net/elections_prod/1292/state/01/lga/11/ward/08/pu/008/008-1677383893.pdf</t>
  </si>
  <si>
    <t>MOLIPA (INFRONT OGO-OLUWA BAKERY), Polling Unit, IJEBU ODE, Ogun State, Nigeria</t>
  </si>
  <si>
    <t>27-11-08-009</t>
  </si>
  <si>
    <t>MOLIPA HIGH SCHOOL</t>
  </si>
  <si>
    <t>https://docs.inecelectionresults.net/elections_prod/1292/state/01/lga/11/ward/08/pu/009/009-1677378514.pdf</t>
  </si>
  <si>
    <t>MOLIPA HIGH SCHOOL, Polling Unit, IJEBU ODE, Ogun State, Nigeria</t>
  </si>
  <si>
    <t>27-11-08-010</t>
  </si>
  <si>
    <t>ODUPELE / OGUNYOKU JUNCTION</t>
  </si>
  <si>
    <t>https://docs.inecelectionresults.net/elections_prod/1292/state/1/lga/3676/ward/24078/pu/92820/92820-1677509498.pdf</t>
  </si>
  <si>
    <t>ODUPELE / OGUNYOKU JUNCTION, Polling Unit, IJEBU ODE, Ogun State, Nigeria</t>
  </si>
  <si>
    <t>27-11-08-011</t>
  </si>
  <si>
    <t>OSIMORE JUNCTION</t>
  </si>
  <si>
    <t>https://docs.inecelectionresults.net/elections_prod/1292/state/01/lga/11/ward/08/pu/011/011-1677382640.pdf</t>
  </si>
  <si>
    <t>OSIMORE JUNCTION, Polling Unit, IJEBU ODE, Ogun State, Nigeria</t>
  </si>
  <si>
    <t>ODO-EGBO/OLIWORO</t>
  </si>
  <si>
    <t>27-11-09-001</t>
  </si>
  <si>
    <t>ST. AUGUSTINE CATHOLIC SCHOOL</t>
  </si>
  <si>
    <t>https://docs.inecelectionresults.net/elections_prod/1292/state/01/lga/11/ward/09/pu/001/001-1677378776.pdf</t>
  </si>
  <si>
    <t>ST. AUGUSTINE CATHOLIC SCHOOL, Polling Unit, IJEBU ODE, Ogun State, Nigeria</t>
  </si>
  <si>
    <t>27-11-09-002</t>
  </si>
  <si>
    <t>A.U.D. PRIMARY SCH. I, BONOJO</t>
  </si>
  <si>
    <t>https://docs.inecelectionresults.net/elections_prod/1292/state/01/lga/11/ward/09/pu/002/002-1677379692.pdf</t>
  </si>
  <si>
    <t>A.U.D. PRIMARY SCH. I, BONOJO, Polling Unit, IJEBU ODE, Ogun State, Nigeria</t>
  </si>
  <si>
    <t>27-11-09-004</t>
  </si>
  <si>
    <t>GOVT., TECHNICAL COLLEGE</t>
  </si>
  <si>
    <t>https://docs.inecelectionresults.net/elections_prod/1292/state/01/lga/11/ward/09/pu/004/004-1677380480.pdf</t>
  </si>
  <si>
    <t>GOVT., TECHNICAL COLLEGE, Polling Unit, IJEBU ODE, Ogun State, Nigeria</t>
  </si>
  <si>
    <t>27-11-09-005</t>
  </si>
  <si>
    <t>EZEKIEL AWOYELU JUNCTION</t>
  </si>
  <si>
    <t>https://docs.inecelectionresults.net/elections_prod/1292/state/01/lga/11/ward/09/pu/005/005-1677380870.pdf</t>
  </si>
  <si>
    <t>EZEKIEL AWOYELU JUNCTION, Polling Unit, IJEBU ODE, Ogun State, Nigeria</t>
  </si>
  <si>
    <t>27-11-09-006</t>
  </si>
  <si>
    <t>BESIDE IJEBU-ODE STADIUM</t>
  </si>
  <si>
    <t>https://docs.inecelectionresults.net/elections_prod/1292/state/01/lga/11/ward/09/pu/006/006-1677382036.pdf</t>
  </si>
  <si>
    <t>BESIDE IJEBU-ODE STADIUM, Polling Unit, IJEBU ODE, Ogun State, Nigeria</t>
  </si>
  <si>
    <t>27-11-09-007</t>
  </si>
  <si>
    <t>TASUED SECONDARY SCH IGBEBA</t>
  </si>
  <si>
    <t>https://docs.inecelectionresults.net/elections_prod/1292/state/01/lga/11/ward/09/pu/007/007-1677382368.pdf</t>
  </si>
  <si>
    <t>TASUED SECONDARY SCH IGBEBA, Polling Unit, IJEBU ODE, Ogun State, Nigeria</t>
  </si>
  <si>
    <t>27-11-09-008</t>
  </si>
  <si>
    <t>OLD ODO EGBO MARKET</t>
  </si>
  <si>
    <t>https://docs.inecelectionresults.net/elections_prod/1292/state/01/lga/11/ward/09/pu/008/008-1677382869.pdf</t>
  </si>
  <si>
    <t>OLD ODO EGBO MARKET, Polling Unit, IJEBU ODE, Ogun State, Nigeria</t>
  </si>
  <si>
    <t>27-11-09-009</t>
  </si>
  <si>
    <t>AHMADIYA MOSQUE</t>
  </si>
  <si>
    <t>https://docs.inecelectionresults.net/elections_prod/1292/state/01/lga/11/ward/09/pu/009/009-1677383597.pdf</t>
  </si>
  <si>
    <t>AHMADIYA MOSQUE, Polling Unit, IJEBU ODE, Ogun State, Nigeria</t>
  </si>
  <si>
    <t>27-11-09-010</t>
  </si>
  <si>
    <t>K. MANSION</t>
  </si>
  <si>
    <t>https://docs.inecelectionresults.net/elections_prod/1292/state/01/lga/11/ward/09/pu/010/010-1677383842.pdf</t>
  </si>
  <si>
    <t>K. MANSION, Polling Unit, IJEBU ODE, Ogun State, Nigeria</t>
  </si>
  <si>
    <t>27-11-09-012</t>
  </si>
  <si>
    <t>BONOJO / ODUTOLA STREET</t>
  </si>
  <si>
    <t>https://docs.inecelectionresults.net/elections_prod/1292/state/01/lga/11/ward/09/pu/012/012-1677384391.pdf</t>
  </si>
  <si>
    <t>BONOJO / ODUTOLA STREET, Polling Unit, IJEBU ODE, Ogun State, Nigeria</t>
  </si>
  <si>
    <t>27-11-09-013</t>
  </si>
  <si>
    <t>GRA OFF AWUJALE STREET (MIDDLE)</t>
  </si>
  <si>
    <t>https://docs.inecelectionresults.net/elections_prod/1292/state/01/lga/11/ward/09/pu/013/013-1677384981.pdf</t>
  </si>
  <si>
    <t>GRA OFF AWUJALE STREET (MIDDLE), Polling Unit, IJEBU ODE, Ogun State, Nigeria</t>
  </si>
  <si>
    <t>ISIWO</t>
  </si>
  <si>
    <t>27-11-10-001</t>
  </si>
  <si>
    <t>CHRIST CHURCH PRIMARY SCHOOL - ISIWO</t>
  </si>
  <si>
    <t>https://docs.inecelectionresults.net/elections_prod/1292/state/01/lga/11/ward/10/pu/001/001-1677362844.pdf</t>
  </si>
  <si>
    <t>CHRIST CHURCH PRIMARY SCHOOL - ISIWO, Polling Unit, IJEBU ODE, Ogun State, Nigeria</t>
  </si>
  <si>
    <t>27-11-10-002</t>
  </si>
  <si>
    <t>AYETEJU MATERNITY</t>
  </si>
  <si>
    <t>https://docs.inecelectionresults.net/elections_prod/1292/state/01/lga/11/ward/10/pu/002/002-1677362816.pdf</t>
  </si>
  <si>
    <t>AYETEJU MATERNITY, Polling Unit, IJEBU ODE, Ogun State, Nigeria</t>
  </si>
  <si>
    <t>27-11-10-003</t>
  </si>
  <si>
    <t>ODO/ASONYIN PRIMARY SCH.</t>
  </si>
  <si>
    <t>https://docs.inecelectionresults.net/elections_prod/1292/state/01/lga/11/ward/10/pu/003/003-1677362482.pdf</t>
  </si>
  <si>
    <t>ODO/ASONYIN PRIMARY SCH., Polling Unit, IJEBU ODE, Ogun State, Nigeria</t>
  </si>
  <si>
    <t>27-11-10-004</t>
  </si>
  <si>
    <t>OKELISA (OPPOSITE NEW MOSQUE)</t>
  </si>
  <si>
    <t>https://docs.inecelectionresults.net/elections_prod/1292/state/01/lga/11/ward/10/pu/004/004-1677364014.pdf</t>
  </si>
  <si>
    <t>OKELISA (OPPOSITE NEW MOSQUE), Polling Unit, IJEBU ODE, Ogun State, Nigeria</t>
  </si>
  <si>
    <t>27-11-10-007</t>
  </si>
  <si>
    <t>ANSARUDEEN HIGH SCH, ISIWO</t>
  </si>
  <si>
    <t>https://docs.inecelectionresults.net/elections_prod/1292/state/01/lga/11/ward/10/pu/007/007-1677363859.pdf</t>
  </si>
  <si>
    <t>ANSARUDEEN HIGH SCH, ISIWO, Polling Unit, IJEBU ODE, Ogun State, Nigeria</t>
  </si>
  <si>
    <t>ITAMAPAKO</t>
  </si>
  <si>
    <t>27-11-11-001</t>
  </si>
  <si>
    <t>ST. ALLOYSIOUS SCH. ILOTI</t>
  </si>
  <si>
    <t>https://docs.inecelectionresults.net/elections_prod/1292/state/01/lga/11/ward/11/pu/001/001-1677389704.pdf</t>
  </si>
  <si>
    <t>ST. ALLOYSIOUS SCH. ILOTI, Polling Unit, IJEBU ODE, Ogun State, Nigeria</t>
  </si>
  <si>
    <t>27-11-11-002</t>
  </si>
  <si>
    <t>ODOSENGOLU</t>
  </si>
  <si>
    <t>https://docs.inecelectionresults.net/elections_prod/1292/state/01/lga/11/ward/11/pu/002/002-1677389837.pdf</t>
  </si>
  <si>
    <t>ODOSENGOLU, Polling Unit, IJEBU ODE, Ogun State, Nigeria</t>
  </si>
  <si>
    <t>27-11-11-003</t>
  </si>
  <si>
    <t>ODO-ARAWA MARKET</t>
  </si>
  <si>
    <t>https://docs.inecelectionresults.net/elections_prod/1292/state/01/lga/11/ward/11/pu/003/003-1677390501.pdf</t>
  </si>
  <si>
    <t>ODO-ARAWA MARKET, Polling Unit, IJEBU ODE, Ogun State, Nigeria</t>
  </si>
  <si>
    <t>27-11-11-004</t>
  </si>
  <si>
    <t>OKENLA TOMOBA PRIMARY SCH.</t>
  </si>
  <si>
    <t>https://docs.inecelectionresults.net/elections_prod/1292/state/01/lga/11/ward/11/pu/004/004-1677390918.pdf</t>
  </si>
  <si>
    <t>OKENLA TOMOBA PRIMARY SCH., Polling Unit, IJEBU ODE, Ogun State, Nigeria</t>
  </si>
  <si>
    <t>27-11-11-005</t>
  </si>
  <si>
    <t>LOCAL GOVERNMENT SCHOOL IDALE</t>
  </si>
  <si>
    <t>https://docs.inecelectionresults.net/elections_prod/1292/state/01/lga/11/ward/11/pu/005/005-1677392831.pdf</t>
  </si>
  <si>
    <t>LOCAL GOVERNMENT SCHOOL IDALE, Polling Unit, IJEBU ODE, Ogun State, Nigeria</t>
  </si>
  <si>
    <t>27-11-11-006</t>
  </si>
  <si>
    <t>ST. JOSEPH ODONOKO</t>
  </si>
  <si>
    <t>https://docs.inecelectionresults.net/elections_prod/1292/state/01/lga/11/ward/11/pu/006/006-1677391336.pdf</t>
  </si>
  <si>
    <t>ST. JOSEPH ODONOKO, Polling Unit, IJEBU ODE, Ogun State, Nigeria</t>
  </si>
  <si>
    <t>27-11-11-007</t>
  </si>
  <si>
    <t>ST. JOSEPH SCHOOL  JUNCTION, ODOLEWU</t>
  </si>
  <si>
    <t>https://docs.inecelectionresults.net/elections_prod/1292/state/01/lga/11/ward/11/pu/007/007-1677392421.pdf</t>
  </si>
  <si>
    <t>ST. JOSEPH SCHOOL  JUNCTION, ODOLEWU, Polling Unit, IJEBU ODE, Ogun State, Nigeria</t>
  </si>
  <si>
    <t>27-11-11-008</t>
  </si>
  <si>
    <t>OKE-AKO</t>
  </si>
  <si>
    <t>https://docs.inecelectionresults.net/elections_prod/1292/state/01/lga/11/ward/11/pu/008/008-1677393218.pdf</t>
  </si>
  <si>
    <t>OKE-AKO, Polling Unit, IJEBU ODE, Ogun State, Nigeria</t>
  </si>
  <si>
    <t>27-11-11-009</t>
  </si>
  <si>
    <t>ST. ANNE'S SCHOOL, IRAWO</t>
  </si>
  <si>
    <t>https://docs.inecelectionresults.net/elections_prod/1292/state/01/lga/11/ward/11/pu/009/009-1677393220.pdf</t>
  </si>
  <si>
    <t>ST. ANNE'S SCHOOL, IRAWO, Polling Unit, IJEBU ODE, Ogun State, Nigeria</t>
  </si>
  <si>
    <t>27-11-11-010</t>
  </si>
  <si>
    <t>TOMOBA VILLAGE</t>
  </si>
  <si>
    <t>https://docs.inecelectionresults.net/elections_prod/1292/state/01/lga/11/ward/11/pu/010/010-1677393787.pdf</t>
  </si>
  <si>
    <t>TOMOBA VILLAGE, Polling Unit, IJEBU ODE, Ogun State, Nigeria</t>
  </si>
  <si>
    <t>IKENNE</t>
  </si>
  <si>
    <t>IKENNE  I</t>
  </si>
  <si>
    <t>27-12-01-001</t>
  </si>
  <si>
    <t>CUSTOMARY COURT , IKENNE</t>
  </si>
  <si>
    <t>https://docs.inecelectionresults.net/elections_prod/1292/state/01/lga/12/ward/01/pu/001/001-1677386743.pdf</t>
  </si>
  <si>
    <t>CUSTOMARY COURT , IKENNE, Polling Unit, IKENNE, Ogun State, Nigeria</t>
  </si>
  <si>
    <t>27-12-01-002</t>
  </si>
  <si>
    <t>A.U.D. PRIMARY SCHOOL IKENNE</t>
  </si>
  <si>
    <t>https://docs.inecelectionresults.net/elections_prod/1292/state/01/lga/12/ward/01/pu/002/002-1677400915.pdf</t>
  </si>
  <si>
    <t>A.U.D. PRIMARY SCHOOL IKENNE, Polling Unit, IKENNE, Ogun State, Nigeria</t>
  </si>
  <si>
    <t>27-12-01-003</t>
  </si>
  <si>
    <t>ETI-OBU QUARTERS EGUNREGE , IKENNE</t>
  </si>
  <si>
    <t>https://docs.inecelectionresults.net/elections_prod/1292/state/01/lga/12/ward/01/pu/003/003-1677404522.pdf</t>
  </si>
  <si>
    <t>ETI-OBU QUARTERS EGUNREGE , IKENNE, Polling Unit, IKENNE, Ogun State, Nigeria</t>
  </si>
  <si>
    <t>27-12-01-004</t>
  </si>
  <si>
    <t>ABIYI - OLOWO, IKENNE</t>
  </si>
  <si>
    <t>https://docs.inecelectionresults.net/elections_prod/1292/state/01/lga/12/ward/01/pu/004/004-1677403283.pdf</t>
  </si>
  <si>
    <t>ABIYI - OLOWO, IKENNE, Polling Unit, IKENNE, Ogun State, Nigeria</t>
  </si>
  <si>
    <t>27-12-01-005</t>
  </si>
  <si>
    <t>MOKO STREET, IKENNE</t>
  </si>
  <si>
    <t>https://docs.inecelectionresults.net/elections_prod/1292/state/01/lga/12/ward/01/pu/005/005-1677396083.pdf</t>
  </si>
  <si>
    <t>MOKO STREET, IKENNE, Polling Unit, IKENNE, Ogun State, Nigeria</t>
  </si>
  <si>
    <t>27-12-01-006</t>
  </si>
  <si>
    <t>ETI, OBU QUARTERS (AKINDOYIN)</t>
  </si>
  <si>
    <t>https://docs.inecelectionresults.net/elections_prod/1292/state/01/lga/12/ward/01/pu/006/006-1677398094.pdf</t>
  </si>
  <si>
    <t>ETI, OBU QUARTERS (AKINDOYIN), Polling Unit, IKENNE, Ogun State, Nigeria</t>
  </si>
  <si>
    <t>27-12-01-007</t>
  </si>
  <si>
    <t>IDOMOLE SQUARE</t>
  </si>
  <si>
    <t>https://docs.inecelectionresults.net/elections_prod/1292/state/01/lga/12/ward/01/pu/007/007-1677392775.pdf</t>
  </si>
  <si>
    <t>IDOMOLE SQUARE, Polling Unit, IKENNE, Ogun State, Nigeria</t>
  </si>
  <si>
    <t>27-12-01-008</t>
  </si>
  <si>
    <t>MORO STREET</t>
  </si>
  <si>
    <t>https://docs.inecelectionresults.net/elections_prod/1292/state/01/lga/12/ward/01/pu/008/008-1677400429.pdf</t>
  </si>
  <si>
    <t>MORO STREET, Polling Unit, IKENNE, Ogun State, Nigeria</t>
  </si>
  <si>
    <t>27-12-01-009</t>
  </si>
  <si>
    <t>OPEN SPACE AT OPATEDO YEYE ODUDUWA STREET</t>
  </si>
  <si>
    <t>https://docs.inecelectionresults.net/elections_prod/1292/state/01/lga/12/ward/01/pu/009/009-1677401831.pdf</t>
  </si>
  <si>
    <t>OPEN SPACE AT OPATEDO YEYE ODUDUWA STREET, Polling Unit, IKENNE, Ogun State, Nigeria</t>
  </si>
  <si>
    <t>27-12-01-010</t>
  </si>
  <si>
    <t>OBAFEMI AWOLOWO PRIMARY SCHOOL</t>
  </si>
  <si>
    <t>https://docs.inecelectionresults.net/elections_prod/1292/state/01/lga/12/ward/01/pu/010/010-1677387793.pdf</t>
  </si>
  <si>
    <t>OBAFEMI AWOLOWO PRIMARY SCHOOL, Polling Unit, IKENNE, Ogun State, Nigeria</t>
  </si>
  <si>
    <t>27-12-01-011</t>
  </si>
  <si>
    <t>OPEN SPACE AT AYEPE JUNCTION, YAWA IKENNE</t>
  </si>
  <si>
    <t>https://docs.inecelectionresults.net/elections_prod/1292/state/01/lga/12/ward/01/pu/011/011-1677394211.pdf</t>
  </si>
  <si>
    <t>OPEN SPACE AT AYEPE JUNCTION, YAWA IKENNE, Polling Unit, IKENNE, Ogun State, Nigeria</t>
  </si>
  <si>
    <t>IKENNE  II</t>
  </si>
  <si>
    <t>27-12-02-001</t>
  </si>
  <si>
    <t>IKENNE TOWN HALL</t>
  </si>
  <si>
    <t>https://docs.inecelectionresults.net/elections_prod/1292/state/01/lga/12/ward/02/pu/001/001-1677390554.pdf</t>
  </si>
  <si>
    <t>IKENNE TOWN HALL, Polling Unit, IKENNE, Ogun State, Nigeria</t>
  </si>
  <si>
    <t>27-12-02-002</t>
  </si>
  <si>
    <t>WESLEY PRIMARY SCHOOL, IKENNE</t>
  </si>
  <si>
    <t>https://docs.inecelectionresults.net/elections_prod/1292/state/01/lga/12/ward/02/pu/002/002-1677391443.pdf</t>
  </si>
  <si>
    <t>WESLEY PRIMARY SCHOOL, IKENNE, Polling Unit, IKENNE, Ogun State, Nigeria</t>
  </si>
  <si>
    <t>27-12-02-003</t>
  </si>
  <si>
    <t>ETI-OBU QUARTERS, ISOKAN-OLD-ILISAN ROAD, IKENNE</t>
  </si>
  <si>
    <t>https://docs.inecelectionresults.net/elections_prod/1292/state/01/lga/12/ward/02/pu/003/003-1677392574.pdf</t>
  </si>
  <si>
    <t>ETI-OBU QUARTERS, ISOKAN-OLD-ILISAN ROAD, IKENNE, Polling Unit, IKENNE, Ogun State, Nigeria</t>
  </si>
  <si>
    <t>27-12-02-004</t>
  </si>
  <si>
    <t>ABUJI-OLOWO , IKENNE</t>
  </si>
  <si>
    <t>https://docs.inecelectionresults.net/elections_prod/1292/state/01/lga/12/ward/02/pu/004/004-1677393263.pdf</t>
  </si>
  <si>
    <t>ABUJI-OLOWO , IKENNE, Polling Unit, IKENNE, Ogun State, Nigeria</t>
  </si>
  <si>
    <t>27-12-02-005</t>
  </si>
  <si>
    <t>REMO PLANTATION</t>
  </si>
  <si>
    <t>https://docs.inecelectionresults.net/elections_prod/1292/state/01/lga/12/ward/02/pu/005/005-1677393865.pdf</t>
  </si>
  <si>
    <t>REMO PLANTATION, Polling Unit, IKENNE, Ogun State, Nigeria</t>
  </si>
  <si>
    <t>27-12-02-006</t>
  </si>
  <si>
    <t>ETI-OBU QUARTERS MESE</t>
  </si>
  <si>
    <t>https://docs.inecelectionresults.net/elections_prod/1292/state/01/lga/12/ward/02/pu/006/006-1677394596.pdf</t>
  </si>
  <si>
    <t>ETI-OBU QUARTERS MESE, Polling Unit, IKENNE, Ogun State, Nigeria</t>
  </si>
  <si>
    <t>27-12-02-007</t>
  </si>
  <si>
    <t>ITUN MOKO  II</t>
  </si>
  <si>
    <t>https://docs.inecelectionresults.net/elections_prod/1292/state/01/lga/12/ward/02/pu/007/007-1677396253.pdf</t>
  </si>
  <si>
    <t>ITUN MOKO  II, Polling Unit, IKENNE, Ogun State, Nigeria</t>
  </si>
  <si>
    <t>27-12-02-008</t>
  </si>
  <si>
    <t>OPEN SPACE FRONT OF MAYFLOWER SCHL, ITA-OYILA AREA</t>
  </si>
  <si>
    <t>https://docs.inecelectionresults.net/elections_prod/1292/state/01/lga/12/ward/02/pu/008/008-1677397076.pdf</t>
  </si>
  <si>
    <t>OPEN SPACE FRONT OF MAYFLOWER SCHL, ITA-OYILA AREA, Polling Unit, IKENNE, Ogun State, Nigeria</t>
  </si>
  <si>
    <t>27-12-02-009</t>
  </si>
  <si>
    <t>COMMUNITY HIGH SCHOOL IKENNE</t>
  </si>
  <si>
    <t>https://docs.inecelectionresults.net/elections_prod/1292/state/01/lga/12/ward/02/pu/009/009-1677397669.pdf</t>
  </si>
  <si>
    <t>COMMUNITY HIGH SCHOOL IKENNE, Polling Unit, IKENNE, Ogun State, Nigeria</t>
  </si>
  <si>
    <t>27-12-02-010</t>
  </si>
  <si>
    <t>OPEN SPACE AT CHRIST APOSTOLIC CHURCH OKE-IGBALA ROAD, IKENNE</t>
  </si>
  <si>
    <t>https://docs.inecelectionresults.net/elections_prod/1292/state/01/lga/12/ward/02/pu/010/010-1677398073.pdf</t>
  </si>
  <si>
    <t>OPEN SPACE AT CHRIST APOSTOLIC CHURCH OKE-IGBALA ROAD, IKENNE, Polling Unit, IKENNE, Ogun State, Nigeria</t>
  </si>
  <si>
    <t>27-12-02-012</t>
  </si>
  <si>
    <t>ITUN EPE IKENNE</t>
  </si>
  <si>
    <t>https://docs.inecelectionresults.net/elections_prod/1292/state/01/lga/12/ward/02/pu/012/012-1677398823.pdf</t>
  </si>
  <si>
    <t>ITUN EPE IKENNE, Polling Unit, IKENNE, Ogun State, Nigeria</t>
  </si>
  <si>
    <t>IPERU  I</t>
  </si>
  <si>
    <t>27-12-03-002</t>
  </si>
  <si>
    <t>ITA OSANYIN, IPERU</t>
  </si>
  <si>
    <t>https://docs.inecelectionresults.net/elections_prod/1292/state/01/lga/12/ward/03/pu/002/002-1677394784.pdf</t>
  </si>
  <si>
    <t>ITA OSANYIN, IPERU, Polling Unit, IKENNE, Ogun State, Nigeria</t>
  </si>
  <si>
    <t>27-12-03-004</t>
  </si>
  <si>
    <t>ITA OLOKU, IPERU</t>
  </si>
  <si>
    <t>https://docs.inecelectionresults.net/elections_prod/1292/state/01/lga/12/ward/03/pu/004/004-1677395839.pdf</t>
  </si>
  <si>
    <t>ITA OLOKU, IPERU, Polling Unit, IKENNE, Ogun State, Nigeria</t>
  </si>
  <si>
    <t>27-12-03-006</t>
  </si>
  <si>
    <t>IMOSAN STREET, IPERU</t>
  </si>
  <si>
    <t>https://docs.inecelectionresults.net/elections_prod/1292/state/01/lga/12/ward/03/pu/006/006-1677398445.pdf</t>
  </si>
  <si>
    <t>IMOSAN STREET, IPERU, Polling Unit, IKENNE, Ogun State, Nigeria</t>
  </si>
  <si>
    <t>IPERU  II</t>
  </si>
  <si>
    <t>27-12-04-001</t>
  </si>
  <si>
    <t>ITA-TISA, IPERU</t>
  </si>
  <si>
    <t>https://docs.inecelectionresults.net/elections_prod/1292/state/01/lga/12/ward/04/pu/001/001-1677389977.pdf</t>
  </si>
  <si>
    <t>ITA-TISA, IPERU, Polling Unit, IKENNE, Ogun State, Nigeria</t>
  </si>
  <si>
    <t>27-12-04-002</t>
  </si>
  <si>
    <t>SALVATION ARMY SCHOOL IPERU</t>
  </si>
  <si>
    <t>https://docs.inecelectionresults.net/elections_prod/1292/state/01/lga/12/ward/04/pu/002/002-1677392358.pdf</t>
  </si>
  <si>
    <t>SALVATION ARMY SCHOOL IPERU, Polling Unit, IKENNE, Ogun State, Nigeria</t>
  </si>
  <si>
    <t>27-12-04-003</t>
  </si>
  <si>
    <t>JALUGBA SQUARE, IPERU</t>
  </si>
  <si>
    <t>https://docs.inecelectionresults.net/elections_prod/1292/state/01/lga/12/ward/04/pu/003/003-1677394767.pdf</t>
  </si>
  <si>
    <t>JALUGBA SQUARE, IPERU, Polling Unit, IKENNE, Ogun State, Nigeria</t>
  </si>
  <si>
    <t>27-12-04-004</t>
  </si>
  <si>
    <t>IBU ROAD, IPERU</t>
  </si>
  <si>
    <t>https://docs.inecelectionresults.net/elections_prod/1292/state/01/lga/12/ward/04/pu/004/004-1677395349.pdf</t>
  </si>
  <si>
    <t>IBU ROAD, IPERU, Polling Unit, IKENNE, Ogun State, Nigeria</t>
  </si>
  <si>
    <t>27-12-04-005</t>
  </si>
  <si>
    <t>KANGA  STREET, OJA-ALE-IPERU</t>
  </si>
  <si>
    <t>https://docs.inecelectionresults.net/elections_prod/1292/state/01/lga/12/ward/04/pu/005/005-1677397312.pdf</t>
  </si>
  <si>
    <t>KANGA  STREET, OJA-ALE-IPERU, Polling Unit, IKENNE, Ogun State, Nigeria</t>
  </si>
  <si>
    <t>27-12-04-006</t>
  </si>
  <si>
    <t>AKESAN MARKET, IPERU</t>
  </si>
  <si>
    <t>https://docs.inecelectionresults.net/elections_prod/1292/state/01/lga/12/ward/04/pu/006/006-1677398909.pdf</t>
  </si>
  <si>
    <t>AKESAN MARKET, IPERU, Polling Unit, IKENNE, Ogun State, Nigeria</t>
  </si>
  <si>
    <t>27-12-04-007</t>
  </si>
  <si>
    <t>AJAGBE HIGH SCHOOL</t>
  </si>
  <si>
    <t>https://docs.inecelectionresults.net/elections_prod/1292/state/01/lga/12/ward/04/pu/007/007-1677399266.pdf</t>
  </si>
  <si>
    <t>AJAGBE HIGH SCHOOL, Polling Unit, IKENNE, Ogun State, Nigeria</t>
  </si>
  <si>
    <t>IPERU  III</t>
  </si>
  <si>
    <t>27-12-05-001</t>
  </si>
  <si>
    <t>ST. JOHN'S CATH. PRIMARY SCH, IPERU</t>
  </si>
  <si>
    <t>https://docs.inecelectionresults.net/elections_prod/1292/state/01/lga/12/ward/05/pu/001/001-1677391883.pdf</t>
  </si>
  <si>
    <t>ST. JOHN'S CATH. PRIMARY SCH, IPERU, Polling Unit, IKENNE, Ogun State, Nigeria</t>
  </si>
  <si>
    <t>27-12-05-002</t>
  </si>
  <si>
    <t>ARAROMI/MOSALASI SOKOTO, IPERU</t>
  </si>
  <si>
    <t>https://docs.inecelectionresults.net/elections_prod/1292/state/01/lga/12/ward/05/pu/002/002-1677389774.pdf</t>
  </si>
  <si>
    <t>ARAROMI/MOSALASI SOKOTO, IPERU, Polling Unit, IKENNE, Ogun State, Nigeria</t>
  </si>
  <si>
    <t>27-12-05-003</t>
  </si>
  <si>
    <t>OPEN SPACE ALONG OLD IBADAN ROAD, IPERU</t>
  </si>
  <si>
    <t>https://docs.inecelectionresults.net/elections_prod/1292/state/01/lga/12/ward/05/pu/003/003-1677395004.pdf</t>
  </si>
  <si>
    <t>OPEN SPACE ALONG OLD IBADAN ROAD, IPERU, Polling Unit, IKENNE, Ogun State, Nigeria</t>
  </si>
  <si>
    <t>27-12-05-005</t>
  </si>
  <si>
    <t>ST. JAMES SCHOOL, IPERU</t>
  </si>
  <si>
    <t>https://docs.inecelectionresults.net/elections_prod/1292/state/01/lga/12/ward/05/pu/005/005-1677393188.pdf</t>
  </si>
  <si>
    <t>ST. JAMES SCHOOL, IPERU, Polling Unit, IKENNE, Ogun State, Nigeria</t>
  </si>
  <si>
    <t>27-12-05-006</t>
  </si>
  <si>
    <t>A.U.D. SCHOOL, IPERU</t>
  </si>
  <si>
    <t>https://docs.inecelectionresults.net/elections_prod/1292/state/01/lga/12/ward/05/pu/006/006-1677394372.pdf</t>
  </si>
  <si>
    <t>A.U.D. SCHOOL, IPERU, Polling Unit, IKENNE, Ogun State, Nigeria</t>
  </si>
  <si>
    <t>27-12-05-007</t>
  </si>
  <si>
    <t>ABULE EGBA IMAJE, IPERU</t>
  </si>
  <si>
    <t>https://docs.inecelectionresults.net/elections_prod/1292/state/01/lga/12/ward/05/pu/007/007-1677394071.pdf</t>
  </si>
  <si>
    <t>ABULE EGBA IMAJE, IPERU, Polling Unit, IKENNE, Ogun State, Nigeria</t>
  </si>
  <si>
    <t>27-12-05-008</t>
  </si>
  <si>
    <t>OPP. OLD POLICE COLLEGE, OGERE ROAD, IPERU</t>
  </si>
  <si>
    <t>https://docs.inecelectionresults.net/elections_prod/1292/state/01/lga/12/ward/05/pu/008/008-1677396560.pdf</t>
  </si>
  <si>
    <t>OPP. OLD POLICE COLLEGE, OGERE ROAD, IPERU, Polling Unit, IKENNE, Ogun State, Nigeria</t>
  </si>
  <si>
    <t>OGERE  I</t>
  </si>
  <si>
    <t>27-12-06-002</t>
  </si>
  <si>
    <t>ITA JIREN STREET JUNCTION , OGERE</t>
  </si>
  <si>
    <t>https://docs.inecelectionresults.net/elections_prod/1292/state/01/lga/12/ward/06/pu/002/002-1677393489.pdf</t>
  </si>
  <si>
    <t>ITA JIREN STREET JUNCTION , OGERE, Polling Unit, IKENNE, Ogun State, Nigeria</t>
  </si>
  <si>
    <t>27-12-06-003</t>
  </si>
  <si>
    <t>IDOMOGUN SQUARE, OGERE</t>
  </si>
  <si>
    <t>https://docs.inecelectionresults.net/elections_prod/1292/state/01/lga/12/ward/06/pu/003/003-1677394697.pdf</t>
  </si>
  <si>
    <t>IDOMOGUN SQUARE, OGERE, Polling Unit, IKENNE, Ogun State, Nigeria</t>
  </si>
  <si>
    <t>27-12-06-004</t>
  </si>
  <si>
    <t>ITUNLA STREET, OGERE</t>
  </si>
  <si>
    <t>https://docs.inecelectionresults.net/elections_prod/1292/state/01/lga/12/ward/06/pu/004/004-1677395290.pdf</t>
  </si>
  <si>
    <t>ITUNLA STREET, OGERE, Polling Unit, IKENNE, Ogun State, Nigeria</t>
  </si>
  <si>
    <t>27-12-06-005</t>
  </si>
  <si>
    <t>OBADORE SQUARE, OGERE</t>
  </si>
  <si>
    <t>https://docs.inecelectionresults.net/elections_prod/1292/state/01/lga/12/ward/06/pu/005/005-1677390723.pdf</t>
  </si>
  <si>
    <t>OBADORE SQUARE, OGERE, Polling Unit, IKENNE, Ogun State, Nigeria</t>
  </si>
  <si>
    <t>27-12-06-006</t>
  </si>
  <si>
    <t>OKE-OJA, OGERE</t>
  </si>
  <si>
    <t>https://docs.inecelectionresults.net/elections_prod/1292/state/01/lga/12/ward/06/pu/006/006-1677396832.pdf</t>
  </si>
  <si>
    <t>OKE-OJA, OGERE, Polling Unit, IKENNE, Ogun State, Nigeria</t>
  </si>
  <si>
    <t>OGERE  II</t>
  </si>
  <si>
    <t>27-12-07-001</t>
  </si>
  <si>
    <t>AJEGUNLE, OGERE</t>
  </si>
  <si>
    <t>https://docs.inecelectionresults.net/elections_prod/1292/state/01/lga/12/ward/07/pu/001/001-1677391658.pdf</t>
  </si>
  <si>
    <t>AJEGUNLE, OGERE, Polling Unit, IKENNE, Ogun State, Nigeria</t>
  </si>
  <si>
    <t>27-12-07-002</t>
  </si>
  <si>
    <t>WESLEY SCHOOL, OGERE</t>
  </si>
  <si>
    <t>https://docs.inecelectionresults.net/elections_prod/1292/state/01/lga/12/ward/07/pu/002/002-1677391131.pdf</t>
  </si>
  <si>
    <t>WESLEY SCHOOL, OGERE, Polling Unit, IKENNE, Ogun State, Nigeria</t>
  </si>
  <si>
    <t>27-12-07-003</t>
  </si>
  <si>
    <t>TOWN HALL, OGERE</t>
  </si>
  <si>
    <t>https://docs.inecelectionresults.net/elections_prod/1292/state/01/lga/12/ward/07/pu/003/003-1677390065.pdf</t>
  </si>
  <si>
    <t>TOWN HALL, OGERE, Polling Unit, IKENNE, Ogun State, Nigeria</t>
  </si>
  <si>
    <t>27-12-07-004</t>
  </si>
  <si>
    <t>OPEN SPACE AT LISA TABORAH STREET, OGERE</t>
  </si>
  <si>
    <t>https://docs.inecelectionresults.net/elections_prod/1292/state/01/lga/12/ward/07/pu/004/004-1677388733.pdf</t>
  </si>
  <si>
    <t>OPEN SPACE AT LISA TABORAH STREET, OGERE, Polling Unit, IKENNE, Ogun State, Nigeria</t>
  </si>
  <si>
    <t>27-12-07-005</t>
  </si>
  <si>
    <t>COURT HALL, OGERE</t>
  </si>
  <si>
    <t>https://docs.inecelectionresults.net/elections_prod/1292/state/01/lga/12/ward/07/pu/005/005-1677393032.pdf</t>
  </si>
  <si>
    <t>COURT HALL, OGERE, Polling Unit, IKENNE, Ogun State, Nigeria</t>
  </si>
  <si>
    <t>27-12-07-006</t>
  </si>
  <si>
    <t>IDAREN SQUARE, OGERE</t>
  </si>
  <si>
    <t>https://docs.inecelectionresults.net/elections_prod/1292/state/01/lga/12/ward/07/pu/006/006-1677393528.pdf</t>
  </si>
  <si>
    <t>IDAREN SQUARE, OGERE, Polling Unit, IKENNE, Ogun State, Nigeria</t>
  </si>
  <si>
    <t>27-12-07-007</t>
  </si>
  <si>
    <t>ODE ROAD, CENTRAL MARKET AREA, OGERE</t>
  </si>
  <si>
    <t>https://docs.inecelectionresults.net/elections_prod/1292/state/01/lga/12/ward/07/pu/007/007-1677394163.pdf</t>
  </si>
  <si>
    <t>ODE ROAD, CENTRAL MARKET AREA, OGERE, Polling Unit, IKENNE, Ogun State, Nigeria</t>
  </si>
  <si>
    <t>ILISAN  I</t>
  </si>
  <si>
    <t>27-12-08-001</t>
  </si>
  <si>
    <t>TOWN HALL, ILISAN</t>
  </si>
  <si>
    <t>https://docs.inecelectionresults.net/elections_prod/1292/state/01/lga/12/ward/08/pu/001/001-1677391622.pdf</t>
  </si>
  <si>
    <t>TOWN HALL, ILISAN, Polling Unit, IKENNE, Ogun State, Nigeria</t>
  </si>
  <si>
    <t>27-12-08-004</t>
  </si>
  <si>
    <t>ISANBI HIGH SCHOOL, ILISAN</t>
  </si>
  <si>
    <t>https://docs.inecelectionresults.net/elections_prod/1292/state/01/lga/12/ward/08/pu/004/004-1677394300.pdf</t>
  </si>
  <si>
    <t>ISANBI HIGH SCHOOL, ILISAN, Polling Unit, IKENNE, Ogun State, Nigeria</t>
  </si>
  <si>
    <t>ILISAN  II</t>
  </si>
  <si>
    <t>27-12-09-001</t>
  </si>
  <si>
    <t>CUSTOMARY COURT, OLD POLICE STATION, ILISAN</t>
  </si>
  <si>
    <t>https://docs.inecelectionresults.net/elections_prod/1292/state/01/lga/12/ward/09/pu/001/001-1677394813.pdf</t>
  </si>
  <si>
    <t>CUSTOMARY COURT, OLD POLICE STATION, ILISAN, Polling Unit, IKENNE, Ogun State, Nigeria</t>
  </si>
  <si>
    <t>27-12-09-002</t>
  </si>
  <si>
    <t>WESLEY PRIMARY SCHOOL, ILISAN</t>
  </si>
  <si>
    <t>https://docs.inecelectionresults.net/elections_prod/1292/state/01/lga/12/ward/09/pu/002/002-1677398404.pdf</t>
  </si>
  <si>
    <t>WESLEY PRIMARY SCHOOL, ILISAN, Polling Unit, IKENNE, Ogun State, Nigeria</t>
  </si>
  <si>
    <t>27-12-09-003</t>
  </si>
  <si>
    <t>OPEN SPACE AT ITUNLEMO  QUARTERS, ILISAN</t>
  </si>
  <si>
    <t>https://docs.inecelectionresults.net/elections_prod/1292/state/01/lga/12/ward/09/pu/003/003-1677391359.pdf</t>
  </si>
  <si>
    <t>OPEN SPACE AT ITUNLEMO  QUARTERS, ILISAN, Polling Unit, IKENNE, Ogun State, Nigeria</t>
  </si>
  <si>
    <t>27-12-09-004</t>
  </si>
  <si>
    <t>IWAYE COMPOUND, ILISAN</t>
  </si>
  <si>
    <t>https://docs.inecelectionresults.net/elections_prod/1292/state/01/lga/12/ward/09/pu/004/004-1677397247.pdf</t>
  </si>
  <si>
    <t>IWAYE COMPOUND, ILISAN, Polling Unit, IKENNE, Ogun State, Nigeria</t>
  </si>
  <si>
    <t>27-12-09-005</t>
  </si>
  <si>
    <t>AGO ILARA STREET, ILISAN-IROLU ROAD, ILISAN</t>
  </si>
  <si>
    <t>https://docs.inecelectionresults.net/elections_prod/1292/state/01/lga/12/ward/09/pu/005/005-1677397635.pdf</t>
  </si>
  <si>
    <t>AGO ILARA STREET, ILISAN-IROLU ROAD, ILISAN, Polling Unit, IKENNE, Ogun State, Nigeria</t>
  </si>
  <si>
    <t>27-12-09-006</t>
  </si>
  <si>
    <t>OPEN SPACE AT ADEMO ABARA STREET, ILISAN</t>
  </si>
  <si>
    <t>https://docs.inecelectionresults.net/elections_prod/1292/state/01/lga/12/ward/09/pu/006/006-1677395822.pdf</t>
  </si>
  <si>
    <t>OPEN SPACE AT ADEMO ABARA STREET, ILISAN, Polling Unit, IKENNE, Ogun State, Nigeria</t>
  </si>
  <si>
    <t>27-12-09-007</t>
  </si>
  <si>
    <t>ASWA - TEXGARD ROAD, ILISAN-IROLU ROAD, ILISAN</t>
  </si>
  <si>
    <t>https://docs.inecelectionresults.net/elections_prod/1292/state/01/lga/12/ward/09/pu/007/007-1677393186.pdf</t>
  </si>
  <si>
    <t>ASWA - TEXGARD ROAD, ILISAN-IROLU ROAD, ILISAN, Polling Unit, IKENNE, Ogun State, Nigeria</t>
  </si>
  <si>
    <t>27-12-09-008</t>
  </si>
  <si>
    <t>OPP. BABCOCK GATE (MAIN CAMPUS), ILISAN</t>
  </si>
  <si>
    <t>https://docs.inecelectionresults.net/elections_prod/1292/state/01/lga/12/ward/09/pu/008/008-1677392263.pdf</t>
  </si>
  <si>
    <t>OPP. BABCOCK GATE (MAIN CAMPUS), ILISAN, Polling Unit, IKENNE, Ogun State, Nigeria</t>
  </si>
  <si>
    <t>ILISAN/IROLU</t>
  </si>
  <si>
    <t>27-12-10-001</t>
  </si>
  <si>
    <t>A.U.D. PRIMARY SCHOOL IROLU</t>
  </si>
  <si>
    <t>https://docs.inecelectionresults.net/elections_prod/1292/state/01/lga/12/ward/10/pu/001/001-1677367744.pdf</t>
  </si>
  <si>
    <t>A.U.D. PRIMARY SCHOOL IROLU, Polling Unit, IKENNE, Ogun State, Nigeria</t>
  </si>
  <si>
    <t>27-12-10-002</t>
  </si>
  <si>
    <t>WESLEY PRIMARY SCH. - IROLU</t>
  </si>
  <si>
    <t>https://docs.inecelectionresults.net/elections_prod/1292/state/01/lga/12/ward/10/pu/002/002-1677393859.pdf</t>
  </si>
  <si>
    <t>WESLEY PRIMARY SCH. - IROLU, Polling Unit, IKENNE, Ogun State, Nigeria</t>
  </si>
  <si>
    <t>27-12-10-003</t>
  </si>
  <si>
    <t>ANGLICAN SCH. IROLU</t>
  </si>
  <si>
    <t>https://docs.inecelectionresults.net/elections_prod/1292/state/01/lga/12/ward/10/pu/003/003-1677388849.pdf</t>
  </si>
  <si>
    <t>ANGLICAN SCH. IROLU, Polling Unit, IKENNE, Ogun State, Nigeria</t>
  </si>
  <si>
    <t>27-12-10-005</t>
  </si>
  <si>
    <t>ILISAN-IROLU ROAD</t>
  </si>
  <si>
    <t>https://docs.inecelectionresults.net/elections_prod/1292/state/01/lga/12/ward/10/pu/005/005-1677391354.pdf</t>
  </si>
  <si>
    <t>ILISAN-IROLU ROAD, Polling Unit, IKENNE, Ogun State, Nigeria</t>
  </si>
  <si>
    <t>IMEKO/AFON</t>
  </si>
  <si>
    <t>IMEKO</t>
  </si>
  <si>
    <t>27-13-01-002</t>
  </si>
  <si>
    <t>FRONT OF ONIMEKO PALACE</t>
  </si>
  <si>
    <t>https://docs.inecelectionresults.net/elections_prod/1292/state/01/lga/13/ward/01/pu/002/002-1677398465.pdf</t>
  </si>
  <si>
    <t>FRONT OF ONIMEKO PALACE, Polling Unit, IMEKO/AFON, Ogun State, Nigeria</t>
  </si>
  <si>
    <t>27-13-01-003</t>
  </si>
  <si>
    <t>NEAR AJEGUNLE MARKET</t>
  </si>
  <si>
    <t>https://docs.inecelectionresults.net/elections_prod/1292/state/01/lga/13/ward/01/pu/003/003-1677402139.pdf</t>
  </si>
  <si>
    <t>NEAR AJEGUNLE MARKET, Polling Unit, IMEKO/AFON, Ogun State, Nigeria</t>
  </si>
  <si>
    <t>27-13-01-005</t>
  </si>
  <si>
    <t>NEAR GELETE MARKET</t>
  </si>
  <si>
    <t>https://docs.inecelectionresults.net/elections_prod/1292/state/01/lga/13/ward/01/pu/005/005-1677406305.pdf</t>
  </si>
  <si>
    <t>NEAR GELETE MARKET, Polling Unit, IMEKO/AFON, Ogun State, Nigeria</t>
  </si>
  <si>
    <t>27-13-01-006</t>
  </si>
  <si>
    <t>BAPTIST PRIMARY SCHOOL</t>
  </si>
  <si>
    <t>https://docs.inecelectionresults.net/elections_prod/1292/state/01/lga/13/ward/01/pu/006/006-1677401845.pdf</t>
  </si>
  <si>
    <t>BAPTIST PRIMARY SCHOOL, Polling Unit, IMEKO/AFON, Ogun State, Nigeria</t>
  </si>
  <si>
    <t>27-13-01-007</t>
  </si>
  <si>
    <t>NEAR IGBO OLUPE, IMEKO</t>
  </si>
  <si>
    <t>https://docs.inecelectionresults.net/elections_prod/1292/state/01/lga/13/ward/01/pu/007/007-1677400239.pdf</t>
  </si>
  <si>
    <t>NEAR IGBO OLUPE, IMEKO, Polling Unit, IMEKO/AFON, Ogun State, Nigeria</t>
  </si>
  <si>
    <t>27-13-01-008</t>
  </si>
  <si>
    <t>FRONT OF ISALE BODE</t>
  </si>
  <si>
    <t>https://docs.inecelectionresults.net/elections_prod/1292/state/01/lga/13/ward/01/pu/008/008-1677402395.pdf</t>
  </si>
  <si>
    <t>FRONT OF ISALE BODE, Polling Unit, IMEKO/AFON, Ogun State, Nigeria</t>
  </si>
  <si>
    <t>27-13-01-010</t>
  </si>
  <si>
    <t>BESIDE CASHIA TREE BUTUNBU</t>
  </si>
  <si>
    <t>https://docs.inecelectionresults.net/elections_prod/1292/state/01/lga/13/ward/01/pu/010/010-1677399758.pdf</t>
  </si>
  <si>
    <t>BESIDE CASHIA TREE BUTUNBU, Polling Unit, IMEKO/AFON, Ogun State, Nigeria</t>
  </si>
  <si>
    <t>27-13-01-011</t>
  </si>
  <si>
    <t>OPP. COCOA SHOP IGBO OLONDO</t>
  </si>
  <si>
    <t>https://docs.inecelectionresults.net/elections_prod/1292/state/01/lga/13/ward/01/pu/011/011-1677400583.pdf</t>
  </si>
  <si>
    <t>OPP. COCOA SHOP IGBO OLONDO, Polling Unit, IMEKO/AFON, Ogun State, Nigeria</t>
  </si>
  <si>
    <t>27-13-01-012</t>
  </si>
  <si>
    <t>I.A.L.G. PRIMARY SCH. ONIJIN</t>
  </si>
  <si>
    <t>https://docs.inecelectionresults.net/elections_prod/1292/state/01/lga/13/ward/01/pu/012/012-1677401591.pdf</t>
  </si>
  <si>
    <t>I.A.L.G. PRIMARY SCH. ONIJIN, Polling Unit, IMEKO/AFON, Ogun State, Nigeria</t>
  </si>
  <si>
    <t>27-13-01-013</t>
  </si>
  <si>
    <t>IGBO IFA QUARTERS</t>
  </si>
  <si>
    <t>https://docs.inecelectionresults.net/elections_prod/1292/state/01/lga/13/ward/01/pu/013/013-1677403496.pdf</t>
  </si>
  <si>
    <t>IGBO IFA QUARTERS, Polling Unit, IMEKO/AFON, Ogun State, Nigeria</t>
  </si>
  <si>
    <t>27-13-01-014</t>
  </si>
  <si>
    <t>ITA LAKOSA, IMEKO</t>
  </si>
  <si>
    <t>https://docs.inecelectionresults.net/elections_prod/1292/state/1/lga/3678/ward/24092/pu/92945/92945-1677514693.pdf</t>
  </si>
  <si>
    <t>ITA LAKOSA, IMEKO, Polling Unit, IMEKO/AFON, Ogun State, Nigeria</t>
  </si>
  <si>
    <t>27-13-01-015</t>
  </si>
  <si>
    <t>ITA APOGBERE (ISHIM)</t>
  </si>
  <si>
    <t>https://docs.inecelectionresults.net/elections_prod/1292/state/01/lga/13/ward/01/pu/015/015-1677401130.pdf</t>
  </si>
  <si>
    <t>ITA APOGBERE (ISHIM), Polling Unit, IMEKO/AFON, Ogun State, Nigeria</t>
  </si>
  <si>
    <t>27-13-01-016</t>
  </si>
  <si>
    <t>ITA EMILANDU, IMEKO</t>
  </si>
  <si>
    <t>https://docs.inecelectionresults.net/elections_prod/1292/state/01/lga/13/ward/01/pu/016/016-1677401209.pdf</t>
  </si>
  <si>
    <t>ITA EMILANDU, IMEKO, Polling Unit, IMEKO/AFON, Ogun State, Nigeria</t>
  </si>
  <si>
    <t>27-13-01-017</t>
  </si>
  <si>
    <t>BEHIND C.C.C. IMEKO</t>
  </si>
  <si>
    <t>https://docs.inecelectionresults.net/elections_prod/1292/state/01/lga/13/ward/01/pu/017/017-1677405395.pdf</t>
  </si>
  <si>
    <t>BEHIND C.C.C. IMEKO, Polling Unit, IMEKO/AFON, Ogun State, Nigeria</t>
  </si>
  <si>
    <t>27-13-01-018</t>
  </si>
  <si>
    <t>ITA AGBAGBA OPEN SPACE SQUARE</t>
  </si>
  <si>
    <t>https://docs.inecelectionresults.net/elections_prod/1292/state/01/lga/13/ward/01/pu/018/018-1677400030.pdf</t>
  </si>
  <si>
    <t>ITA AGBAGBA OPEN SPACE SQUARE, Polling Unit, IMEKO/AFON, Ogun State, Nigeria</t>
  </si>
  <si>
    <t>27-13-01-019</t>
  </si>
  <si>
    <t>SUNWA MARKET, IMEKO</t>
  </si>
  <si>
    <t>https://docs.inecelectionresults.net/elections_prod/1292/state/01/lga/13/ward/01/pu/019/019-1677400568.pdf</t>
  </si>
  <si>
    <t>SUNWA MARKET, IMEKO, Polling Unit, IMEKO/AFON, Ogun State, Nigeria</t>
  </si>
  <si>
    <t>27-13-01-020</t>
  </si>
  <si>
    <t>NEW HEALTH CENTRE AREA</t>
  </si>
  <si>
    <t>https://docs.inecelectionresults.net/elections_prod/1292/state/01/lga/13/ward/01/pu/020/020-1677398850.pdf</t>
  </si>
  <si>
    <t>NEW HEALTH CENTRE AREA, Polling Unit, IMEKO/AFON, Ogun State, Nigeria</t>
  </si>
  <si>
    <t>27-13-01-021</t>
  </si>
  <si>
    <t>OJOLOKO VILLAGE</t>
  </si>
  <si>
    <t>https://docs.inecelectionresults.net/elections_prod/1292/state/01/lga/13/ward/01/pu/021/021-1677399778.pdf</t>
  </si>
  <si>
    <t>OJOLOKO VILLAGE, Polling Unit, IMEKO/AFON, Ogun State, Nigeria</t>
  </si>
  <si>
    <t>OKE AGBEDE/MORIWI/MATALE</t>
  </si>
  <si>
    <t>27-13-02-001</t>
  </si>
  <si>
    <t>C.P.S. OKE AGBEDE</t>
  </si>
  <si>
    <t>https://docs.inecelectionresults.net/elections_prod/1292/state/01/lga/13/ward/02/pu/001/001-1677416351.pdf</t>
  </si>
  <si>
    <t>C.P.S. OKE AGBEDE, Polling Unit, IMEKO/AFON, Ogun State, Nigeria</t>
  </si>
  <si>
    <t>27-13-02-003</t>
  </si>
  <si>
    <t>NEAR MARKET SQUARE WASIMI OKUTA</t>
  </si>
  <si>
    <t>https://docs.inecelectionresults.net/elections_prod/1292/state/01/lga/13/ward/02/pu/003/003-1677408056.pdf</t>
  </si>
  <si>
    <t>NEAR MARKET SQUARE WASIMI OKUTA, Polling Unit, IMEKO/AFON, Ogun State, Nigeria</t>
  </si>
  <si>
    <t>27-13-02-005</t>
  </si>
  <si>
    <t>C.N.F. SECRETARIAT</t>
  </si>
  <si>
    <t>https://docs.inecelectionresults.net/elections_prod/1292/state/01/lga/13/ward/02/pu/005/005-1677417471.pdf</t>
  </si>
  <si>
    <t>C.N.F. SECRETARIAT, Polling Unit, IMEKO/AFON, Ogun State, Nigeria</t>
  </si>
  <si>
    <t>27-13-02-006</t>
  </si>
  <si>
    <t>UNDER KIMI TREE ABULE ALARABAKAN</t>
  </si>
  <si>
    <t>https://docs.inecelectionresults.net/elections_prod/1292/state/01/lga/13/ward/02/pu/006/006-1677406666.pdf</t>
  </si>
  <si>
    <t>UNDER KIMI TREE ABULE ALARABAKAN, Polling Unit, IMEKO/AFON, Ogun State, Nigeria</t>
  </si>
  <si>
    <t>27-13-02-008</t>
  </si>
  <si>
    <t>ITA-BAALE MATALE</t>
  </si>
  <si>
    <t>https://docs.inecelectionresults.net/elections_prod/1292/state/01/lga/13/ward/02/pu/008/008-1677413012.pdf</t>
  </si>
  <si>
    <t>ITA-BAALE MATALE, Polling Unit, IMEKO/AFON, Ogun State, Nigeria</t>
  </si>
  <si>
    <t>27-13-02-009</t>
  </si>
  <si>
    <t>NEAR MOWODANI MARKET</t>
  </si>
  <si>
    <t>https://docs.inecelectionresults.net/elections_prod/1292/state/01/lga/13/ward/02/pu/009/009-1677407813.pdf</t>
  </si>
  <si>
    <t>NEAR MOWODANI MARKET, Polling Unit, IMEKO/AFON, Ogun State, Nigeria</t>
  </si>
  <si>
    <t>27-13-02-010</t>
  </si>
  <si>
    <t>IBOGUN VILLAGE</t>
  </si>
  <si>
    <t>https://docs.inecelectionresults.net/elections_prod/1292/state/01/lga/13/ward/02/pu/010/010-1677410141.pdf</t>
  </si>
  <si>
    <t>IBOGUN VILLAGE, Polling Unit, IMEKO/AFON, Ogun State, Nigeria</t>
  </si>
  <si>
    <t>27-13-02-011</t>
  </si>
  <si>
    <t>OKE-AYO VILLAGE</t>
  </si>
  <si>
    <t>https://docs.inecelectionresults.net/elections_prod/1292/state/01/lga/13/ward/02/pu/011/011-1677415438.pdf</t>
  </si>
  <si>
    <t>OKE-AYO VILLAGE, Polling Unit, IMEKO/AFON, Ogun State, Nigeria</t>
  </si>
  <si>
    <t>IDOFA</t>
  </si>
  <si>
    <t>27-13-03-001</t>
  </si>
  <si>
    <t>MANGO TREE MATERNITY CENTRE</t>
  </si>
  <si>
    <t>https://docs.inecelectionresults.net/elections_prod/1292/state/01/lga/13/ward/03/pu/001/001-1677412911.pdf</t>
  </si>
  <si>
    <t>MANGO TREE MATERNITY CENTRE, Polling Unit, IMEKO/AFON, Ogun State, Nigeria</t>
  </si>
  <si>
    <t>27-13-03-002</t>
  </si>
  <si>
    <t>OPP. ONIDOFA PALACE</t>
  </si>
  <si>
    <t>https://docs.inecelectionresults.net/elections_prod/1292/state/01/lga/13/ward/03/pu/002/002-1677412827.pdf</t>
  </si>
  <si>
    <t>OPP. ONIDOFA PALACE, Polling Unit, IMEKO/AFON, Ogun State, Nigeria</t>
  </si>
  <si>
    <t>27-13-03-003</t>
  </si>
  <si>
    <t>NEAR ISHIN TREE</t>
  </si>
  <si>
    <t>https://docs.inecelectionresults.net/elections_prod/1292/state/01/lga/13/ward/03/pu/003/003-1677413468.pdf</t>
  </si>
  <si>
    <t>NEAR ISHIN TREE, Polling Unit, IMEKO/AFON, Ogun State, Nigeria</t>
  </si>
  <si>
    <t>27-13-03-004</t>
  </si>
  <si>
    <t>OLUWATEDO TOWN HALL</t>
  </si>
  <si>
    <t>https://docs.inecelectionresults.net/elections_prod/1292/state/01/lga/13/ward/03/pu/004/004-1677413229.pdf</t>
  </si>
  <si>
    <t>OLUWATEDO TOWN HALL, Polling Unit, IMEKO/AFON, Ogun State, Nigeria</t>
  </si>
  <si>
    <t>27-13-03-005</t>
  </si>
  <si>
    <t>I.A.L.G. PRIMARY SCHOOL</t>
  </si>
  <si>
    <t>https://docs.inecelectionresults.net/elections_prod/1292/state/01/lga/13/ward/03/pu/005/005-1677413471.pdf</t>
  </si>
  <si>
    <t>I.A.L.G. PRIMARY SCHOOL, Polling Unit, IMEKO/AFON, Ogun State, Nigeria</t>
  </si>
  <si>
    <t>27-13-03-006</t>
  </si>
  <si>
    <t>NEAR MARKET SQUARE MIOFESU</t>
  </si>
  <si>
    <t>https://docs.inecelectionresults.net/elections_prod/1292/state/01/lga/13/ward/03/pu/006/006-1677415690.pdf</t>
  </si>
  <si>
    <t>NEAR MARKET SQUARE MIOFESU, Polling Unit, IMEKO/AFON, Ogun State, Nigeria</t>
  </si>
  <si>
    <t>IWOYE/JABATA</t>
  </si>
  <si>
    <t>27-13-04-002</t>
  </si>
  <si>
    <t>BESIDE MOTOR PARK</t>
  </si>
  <si>
    <t>https://docs.inecelectionresults.net/elections_prod/1292/state/1/lga/3678/ward/24095/pu/92971/92971-1677502598.pdf</t>
  </si>
  <si>
    <t>BESIDE MOTOR PARK, Polling Unit, IMEKO/AFON, Ogun State, Nigeria</t>
  </si>
  <si>
    <t>27-13-04-003</t>
  </si>
  <si>
    <t>ITA OBA IWOYE</t>
  </si>
  <si>
    <t>https://docs.inecelectionresults.net/elections_prod/1292/state/01/lga/13/ward/04/pu/003/003-1677416409.pdf</t>
  </si>
  <si>
    <t>ITA OBA IWOYE, Polling Unit, IMEKO/AFON, Ogun State, Nigeria</t>
  </si>
  <si>
    <t>27-13-04-004</t>
  </si>
  <si>
    <t>BESIDE SABO COW MARKET IWOYE</t>
  </si>
  <si>
    <t>https://docs.inecelectionresults.net/elections_prod/1292/state/01/lga/13/ward/04/pu/004/004-1677415751.pdf</t>
  </si>
  <si>
    <t>BESIDE SABO COW MARKET IWOYE, Polling Unit, IMEKO/AFON, Ogun State, Nigeria</t>
  </si>
  <si>
    <t>27-13-04-005</t>
  </si>
  <si>
    <t>NEW MARKET CENTRE JABATA</t>
  </si>
  <si>
    <t>https://docs.inecelectionresults.net/elections_prod/1292/state/01/lga/13/ward/04/pu/005/005-1677416320.pdf</t>
  </si>
  <si>
    <t>NEW MARKET CENTRE JABATA, Polling Unit, IMEKO/AFON, Ogun State, Nigeria</t>
  </si>
  <si>
    <t>ILARA/ALAGBE</t>
  </si>
  <si>
    <t>27-13-05-001</t>
  </si>
  <si>
    <t>R.C.M. SCHOOL, ILARA</t>
  </si>
  <si>
    <t>https://docs.inecelectionresults.net/elections_prod/1292/state/01/lga/13/ward/05/pu/001/001-1677418784.pdf</t>
  </si>
  <si>
    <t>R.C.M. SCHOOL, ILARA, Polling Unit, IMEKO/AFON, Ogun State, Nigeria</t>
  </si>
  <si>
    <t>27-13-05-002</t>
  </si>
  <si>
    <t>METH. PRIMARY SCHOOL ILARA</t>
  </si>
  <si>
    <t>https://docs.inecelectionresults.net/elections_prod/1292/state/01/lga/13/ward/05/pu/002/002-1677418732.pdf</t>
  </si>
  <si>
    <t>METH. PRIMARY SCHOOL ILARA, Polling Unit, IMEKO/AFON, Ogun State, Nigeria</t>
  </si>
  <si>
    <t>27-13-05-003</t>
  </si>
  <si>
    <t>ITA OBA SQUARE</t>
  </si>
  <si>
    <t>https://docs.inecelectionresults.net/elections_prod/1292/state/01/lga/13/ward/05/pu/003/003-1677419284.pdf</t>
  </si>
  <si>
    <t>ITA OBA SQUARE, Polling Unit, IMEKO/AFON, Ogun State, Nigeria</t>
  </si>
  <si>
    <t>27-13-05-004</t>
  </si>
  <si>
    <t>ITA ALE CENTRE</t>
  </si>
  <si>
    <t>https://docs.inecelectionresults.net/elections_prod/1292/state/01/lga/13/ward/05/pu/004/004-1677418166.pdf</t>
  </si>
  <si>
    <t>ITA ALE CENTRE, Polling Unit, IMEKO/AFON, Ogun State, Nigeria</t>
  </si>
  <si>
    <t>27-13-05-006</t>
  </si>
  <si>
    <t>ITA BAALE ALAGBE</t>
  </si>
  <si>
    <t>https://docs.inecelectionresults.net/elections_prod/1292/state/1/lga/3678/ward/24096/pu/92980/92980-1677505106.pdf</t>
  </si>
  <si>
    <t>ITA BAALE ALAGBE, Polling Unit, IMEKO/AFON, Ogun State, Nigeria</t>
  </si>
  <si>
    <t>27-13-05-008</t>
  </si>
  <si>
    <t>OPEN SPACE OPP. SAMON'S CENTRAL MOSQ.</t>
  </si>
  <si>
    <t>https://docs.inecelectionresults.net/elections_prod/1292/state/01/lga/13/ward/05/pu/008/008-1677420039.pdf</t>
  </si>
  <si>
    <t>OPEN SPACE OPP. SAMON'S CENTRAL MOSQ., Polling Unit, IMEKO/AFON, Ogun State, Nigeria</t>
  </si>
  <si>
    <t>27-13-05-009</t>
  </si>
  <si>
    <t>COMM. PRIMARY SCH., ALAGBE</t>
  </si>
  <si>
    <t>https://docs.inecelectionresults.net/elections_prod/1292/state/01/lga/13/ward/05/pu/009/009-1677419219.pdf</t>
  </si>
  <si>
    <t>COMM. PRIMARY SCH., ALAGBE, Polling Unit, IMEKO/AFON, Ogun State, Nigeria</t>
  </si>
  <si>
    <t>27-13-05-011</t>
  </si>
  <si>
    <t>AGBAKULA PRIMARY SCH. AGBAKULA</t>
  </si>
  <si>
    <t>https://docs.inecelectionresults.net/elections_prod/1292/state/01/lga/13/ward/05/pu/011/011-1677418807.pdf</t>
  </si>
  <si>
    <t>AGBAKULA PRIMARY SCH. AGBAKULA, Polling Unit, IMEKO/AFON, Ogun State, Nigeria</t>
  </si>
  <si>
    <t>AFON</t>
  </si>
  <si>
    <t>27-13-06-001</t>
  </si>
  <si>
    <t>BAPTIST DAY SCH. AFON</t>
  </si>
  <si>
    <t>https://docs.inecelectionresults.net/elections_prod/1292/state/01/lga/13/ward/06/pu/001/001-1677421705.pdf</t>
  </si>
  <si>
    <t>BAPTIST DAY SCH. AFON, Polling Unit, IMEKO/AFON, Ogun State, Nigeria</t>
  </si>
  <si>
    <t>27-13-06-002</t>
  </si>
  <si>
    <t>DISPENSARY CENTRE</t>
  </si>
  <si>
    <t>https://docs.inecelectionresults.net/elections_prod/1292/state/01/lga/13/ward/06/pu/002/002-1677420742.pdf</t>
  </si>
  <si>
    <t>DISPENSARY CENTRE, Polling Unit, IMEKO/AFON, Ogun State, Nigeria</t>
  </si>
  <si>
    <t>27-13-06-003</t>
  </si>
  <si>
    <t>IDI-OGUN SQUARE</t>
  </si>
  <si>
    <t>https://docs.inecelectionresults.net/elections_prod/1292/state/01/lga/13/ward/06/pu/003/003-1677420856.pdf</t>
  </si>
  <si>
    <t>IDI-OGUN SQUARE, Polling Unit, IMEKO/AFON, Ogun State, Nigeria</t>
  </si>
  <si>
    <t>27-13-06-004</t>
  </si>
  <si>
    <t>OLOKA JUNCTION</t>
  </si>
  <si>
    <t>https://docs.inecelectionresults.net/elections_prod/1292/state/01/lga/13/ward/06/pu/004/004-1677421590.pdf</t>
  </si>
  <si>
    <t>OLOKA JUNCTION, Polling Unit, IMEKO/AFON, Ogun State, Nigeria</t>
  </si>
  <si>
    <t>27-13-06-005</t>
  </si>
  <si>
    <t>ITA BAALE ASEERE</t>
  </si>
  <si>
    <t>https://docs.inecelectionresults.net/elections_prod/1292/state/01/lga/13/ward/06/pu/005/005-1677420652.pdf</t>
  </si>
  <si>
    <t>ITA BAALE ASEERE, Polling Unit, IMEKO/AFON, Ogun State, Nigeria</t>
  </si>
  <si>
    <t>27-13-06-006</t>
  </si>
  <si>
    <t>C.P.S. MASIFA</t>
  </si>
  <si>
    <t>https://docs.inecelectionresults.net/elections_prod/1292/state/01/lga/13/ward/06/pu/006/006-1677421023.pdf</t>
  </si>
  <si>
    <t>C.P.S. MASIFA, Polling Unit, IMEKO/AFON, Ogun State, Nigeria</t>
  </si>
  <si>
    <t>OTAPELE</t>
  </si>
  <si>
    <t>27-13-07-001</t>
  </si>
  <si>
    <t>I.A.L.G. SCHOOL ATAPELE KAJOLA ADERAN JUNCTION</t>
  </si>
  <si>
    <t>https://docs.inecelectionresults.net/elections_prod/1292/state/01/lga/13/ward/07/pu/001/001-1677406876.pdf</t>
  </si>
  <si>
    <t>I.A.L.G. SCHOOL ATAPELE KAJOLA ADERAN JUNCTION, Polling Unit, IMEKO/AFON, Ogun State, Nigeria</t>
  </si>
  <si>
    <t>27-13-07-002</t>
  </si>
  <si>
    <t>C.P.S. IBARA</t>
  </si>
  <si>
    <t>https://docs.inecelectionresults.net/elections_prod/1292/state/01/lga/13/ward/07/pu/002/002-1677406925.pdf</t>
  </si>
  <si>
    <t>C.P.S. IBARA, Polling Unit, IMEKO/AFON, Ogun State, Nigeria</t>
  </si>
  <si>
    <t>27-13-07-003</t>
  </si>
  <si>
    <t>I.A.L.G. BAARE FARINDE</t>
  </si>
  <si>
    <t>https://docs.inecelectionresults.net/elections_prod/1292/state/01/lga/13/ward/07/pu/003/003-1677405612.pdf</t>
  </si>
  <si>
    <t>I.A.L.G. BAARE FARINDE, Polling Unit, IMEKO/AFON, Ogun State, Nigeria</t>
  </si>
  <si>
    <t>27-13-07-004</t>
  </si>
  <si>
    <t>BAARE/KANJI JUNCTION</t>
  </si>
  <si>
    <t>https://docs.inecelectionresults.net/elections_prod/1292/state/01/lga/13/ward/07/pu/004/004-1677407336.pdf</t>
  </si>
  <si>
    <t>BAARE/KANJI JUNCTION, Polling Unit, IMEKO/AFON, Ogun State, Nigeria</t>
  </si>
  <si>
    <t>KAJOLA/AGBERIODO</t>
  </si>
  <si>
    <t>27-13-08-001</t>
  </si>
  <si>
    <t>NEAR MARKET KAJOLA APATA</t>
  </si>
  <si>
    <t>https://docs.inecelectionresults.net/elections_prod/1292/state/01/lga/13/ward/08/pu/001/001-1677408116.pdf</t>
  </si>
  <si>
    <t>NEAR MARKET KAJOLA APATA, Polling Unit, IMEKO/AFON, Ogun State, Nigeria</t>
  </si>
  <si>
    <t>27-13-08-002</t>
  </si>
  <si>
    <t>NEAR MARKET SQUARE OBOLO</t>
  </si>
  <si>
    <t>https://docs.inecelectionresults.net/elections_prod/1292/state/01/lga/13/ward/08/pu/002/002-1677408879.pdf</t>
  </si>
  <si>
    <t>NEAR MARKET SQUARE OBOLO, Polling Unit, IMEKO/AFON, Ogun State, Nigeria</t>
  </si>
  <si>
    <t>27-13-08-003</t>
  </si>
  <si>
    <t>ITA BAALE AFAKO</t>
  </si>
  <si>
    <t>https://docs.inecelectionresults.net/elections_prod/1292/state/01/lga/13/ward/08/pu/003/003-1677409713.pdf</t>
  </si>
  <si>
    <t>ITA BAALE AFAKO, Polling Unit, IMEKO/AFON, Ogun State, Nigeria</t>
  </si>
  <si>
    <t>27-13-08-004</t>
  </si>
  <si>
    <t>MANGO TREE, ABALE ALLI</t>
  </si>
  <si>
    <t>https://docs.inecelectionresults.net/elections_prod/1292/state/01/lga/13/ward/08/pu/004/004-1677408154.pdf</t>
  </si>
  <si>
    <t>MANGO TREE, ABALE ALLI, Polling Unit, IMEKO/AFON, Ogun State, Nigeria</t>
  </si>
  <si>
    <t>27-13-08-005</t>
  </si>
  <si>
    <t>I.A.L.G. ABULE PETER/NEAR MARKET OKE BENBE</t>
  </si>
  <si>
    <t>https://docs.inecelectionresults.net/elections_prod/1292/state/01/lga/13/ward/08/pu/005/005-1677409163.pdf</t>
  </si>
  <si>
    <t>I.A.L.G. ABULE PETER/NEAR MARKET OKE BENBE, Polling Unit, IMEKO/AFON, Ogun State, Nigeria</t>
  </si>
  <si>
    <t>27-13-08-006</t>
  </si>
  <si>
    <t>AJEBO MARKET</t>
  </si>
  <si>
    <t>https://docs.inecelectionresults.net/elections_prod/1292/state/01/lga/13/ward/08/pu/006/006-1677408777.pdf</t>
  </si>
  <si>
    <t>AJEBO MARKET, Polling Unit, IMEKO/AFON, Ogun State, Nigeria</t>
  </si>
  <si>
    <t>27-13-08-007</t>
  </si>
  <si>
    <t>A/C PRIMARY SCHOOL AGBERIODO</t>
  </si>
  <si>
    <t>https://docs.inecelectionresults.net/elections_prod/1292/state/01/lga/13/ward/08/pu/007/007-1677408316.pdf</t>
  </si>
  <si>
    <t>A/C PRIMARY SCHOOL AGBERIODO, Polling Unit, IMEKO/AFON, Ogun State, Nigeria</t>
  </si>
  <si>
    <t>27-13-08-008</t>
  </si>
  <si>
    <t>I.A.L.G. AJIBORO</t>
  </si>
  <si>
    <t>https://docs.inecelectionresults.net/elections_prod/1292/state/01/lga/13/ward/08/pu/008/008-1677409843.pdf</t>
  </si>
  <si>
    <t>I.A.L.G. AJIBORO, Polling Unit, IMEKO/AFON, Ogun State, Nigeria</t>
  </si>
  <si>
    <t>27-13-08-009</t>
  </si>
  <si>
    <t>SEGILE ITA BAALE</t>
  </si>
  <si>
    <t>https://docs.inecelectionresults.net/elections_prod/1292/state/01/lga/13/ward/08/pu/009/009-1677408090.pdf</t>
  </si>
  <si>
    <t>SEGILE ITA BAALE, Polling Unit, IMEKO/AFON, Ogun State, Nigeria</t>
  </si>
  <si>
    <t>27-13-08-010</t>
  </si>
  <si>
    <t>OYETEDO VILLAGE.</t>
  </si>
  <si>
    <t>https://docs.inecelectionresults.net/elections_prod/1292/state/01/lga/13/ward/08/pu/010/010-1677408920.pdf</t>
  </si>
  <si>
    <t>OYETEDO VILLAGE., Polling Unit, IMEKO/AFON, Ogun State, Nigeria</t>
  </si>
  <si>
    <t>OLORUNDA/GBOMO</t>
  </si>
  <si>
    <t>27-13-09-001</t>
  </si>
  <si>
    <t>I.A.L.G. AGBORO</t>
  </si>
  <si>
    <t>https://docs.inecelectionresults.net/elections_prod/1292/state/01/lga/13/ward/09/pu/001/001-1677414078.pdf</t>
  </si>
  <si>
    <t>I.A.L.G. AGBORO, Polling Unit, IMEKO/AFON, Ogun State, Nigeria</t>
  </si>
  <si>
    <t>27-13-09-003</t>
  </si>
  <si>
    <t>ITA BAALE BABALAWO</t>
  </si>
  <si>
    <t>https://docs.inecelectionresults.net/elections_prod/1292/state/01/lga/13/ward/09/pu/003/003-1677414757.pdf</t>
  </si>
  <si>
    <t>ITA BAALE BABALAWO, Polling Unit, IMEKO/AFON, Ogun State, Nigeria</t>
  </si>
  <si>
    <t>27-13-09-004</t>
  </si>
  <si>
    <t>ITA BAALE OLORUNDA</t>
  </si>
  <si>
    <t>https://docs.inecelectionresults.net/elections_prod/1292/state/01/lga/13/ward/09/pu/004/004-1677414215.pdf</t>
  </si>
  <si>
    <t>ITA BAALE OLORUNDA, Polling Unit, IMEKO/AFON, Ogun State, Nigeria</t>
  </si>
  <si>
    <t>27-13-09-005</t>
  </si>
  <si>
    <t>I. A. L.G. SESAN</t>
  </si>
  <si>
    <t>https://docs.inecelectionresults.net/elections_prod/1292/state/01/lga/13/ward/09/pu/005/005-1677414823.pdf</t>
  </si>
  <si>
    <t>I. A. L.G. SESAN, Polling Unit, IMEKO/AFON, Ogun State, Nigeria</t>
  </si>
  <si>
    <t>27-13-09-006</t>
  </si>
  <si>
    <t>KILE JUNCTION</t>
  </si>
  <si>
    <t>https://docs.inecelectionresults.net/elections_prod/1292/state/01/lga/13/ward/09/pu/006/006-1677414735.pdf</t>
  </si>
  <si>
    <t>KILE JUNCTION, Polling Unit, IMEKO/AFON, Ogun State, Nigeria</t>
  </si>
  <si>
    <t>27-13-09-007</t>
  </si>
  <si>
    <t>ITA BAALE INAWOLE VILLAGE</t>
  </si>
  <si>
    <t>https://docs.inecelectionresults.net/elections_prod/1292/state/01/lga/13/ward/09/pu/007/007-1677414447.pdf</t>
  </si>
  <si>
    <t>ITA BAALE INAWOLE VILLAGE, Polling Unit, IMEKO/AFON, Ogun State, Nigeria</t>
  </si>
  <si>
    <t>IDI AYIN</t>
  </si>
  <si>
    <t>27-13-10-001</t>
  </si>
  <si>
    <t>I.A.L.G. IDI AYIN</t>
  </si>
  <si>
    <t>https://docs.inecelectionresults.net/elections_prod/1292/state/01/lga/13/ward/10/pu/001/001-1677410438.pdf</t>
  </si>
  <si>
    <t>I.A.L.G. IDI AYIN, Polling Unit, IMEKO/AFON, Ogun State, Nigeria</t>
  </si>
  <si>
    <t>27-13-10-002</t>
  </si>
  <si>
    <t>SABO SQUARE OWODE MOSAFEJO SQUARE OWODE</t>
  </si>
  <si>
    <t>https://docs.inecelectionresults.net/elections_prod/1292/state/01/lga/13/ward/10/pu/002/002-1677411233.pdf</t>
  </si>
  <si>
    <t>SABO SQUARE OWODE MOSAFEJO SQUARE OWODE, Polling Unit, IMEKO/AFON, Ogun State, Nigeria</t>
  </si>
  <si>
    <t>27-13-10-003</t>
  </si>
  <si>
    <t>ITA BAALE AGO-KESAN</t>
  </si>
  <si>
    <t>https://docs.inecelectionresults.net/elections_prod/1292/state/01/lga/13/ward/10/pu/003/003-1677411547.pdf</t>
  </si>
  <si>
    <t>ITA BAALE AGO-KESAN, Polling Unit, IMEKO/AFON, Ogun State, Nigeria</t>
  </si>
  <si>
    <t>27-13-10-004</t>
  </si>
  <si>
    <t>I.A.L.G. OJUBU LATILEWO</t>
  </si>
  <si>
    <t>https://docs.inecelectionresults.net/elections_prod/1292/state/01/lga/13/ward/10/pu/004/004-1677412220.pdf</t>
  </si>
  <si>
    <t>I.A.L.G. OJUBU LATILEWO, Polling Unit, IMEKO/AFON, Ogun State, Nigeria</t>
  </si>
  <si>
    <t>27-13-10-005</t>
  </si>
  <si>
    <t>PRIMARY SCHOOL AMORE</t>
  </si>
  <si>
    <t>https://docs.inecelectionresults.net/elections_prod/1292/state/01/lga/13/ward/10/pu/005/005-1677411989.pdf</t>
  </si>
  <si>
    <t>PRIMARY SCHOOL AMORE, Polling Unit, IMEKO/AFON, Ogun State, Nigeria</t>
  </si>
  <si>
    <t>27-13-10-006</t>
  </si>
  <si>
    <t>PRIMARY SCHOOL ALAGBOMEJI</t>
  </si>
  <si>
    <t>https://docs.inecelectionresults.net/elections_prod/1292/state/01/lga/13/ward/10/pu/006/006-1677411663.pdf</t>
  </si>
  <si>
    <t>PRIMARY SCHOOL ALAGBOMEJI, Polling Unit, IMEKO/AFON, Ogun State, Nigeria</t>
  </si>
  <si>
    <t>27-13-10-007</t>
  </si>
  <si>
    <t>C.P.L. OWUWU</t>
  </si>
  <si>
    <t>https://docs.inecelectionresults.net/elections_prod/1292/state/01/lga/13/ward/10/pu/007/007-1677412403.pdf</t>
  </si>
  <si>
    <t>C.P.L. OWUWU, Polling Unit, IMEKO/AFON, Ogun State, Nigeria</t>
  </si>
  <si>
    <t>27-13-10-008</t>
  </si>
  <si>
    <t>NEAR MARKET OBADA</t>
  </si>
  <si>
    <t>https://docs.inecelectionresults.net/elections_prod/1292/state/01/lga/13/ward/10/pu/008/008-1677412186.pdf</t>
  </si>
  <si>
    <t>NEAR MARKET OBADA, Polling Unit, IMEKO/AFON, Ogun State, Nigeria</t>
  </si>
  <si>
    <t>IPOKIA</t>
  </si>
  <si>
    <t>IPOKIA  I</t>
  </si>
  <si>
    <t>27-14-01-002</t>
  </si>
  <si>
    <t>C.M.S. SCHOOL IPOKIA</t>
  </si>
  <si>
    <t>https://docs.inecelectionresults.net/elections_prod/1292/state/01/lga/14/ward/01/pu/002/002-1677410455.pdf</t>
  </si>
  <si>
    <t>C.M.S. SCHOOL IPOKIA, Polling Unit, IPOKIA, Ogun State, Nigeria</t>
  </si>
  <si>
    <t>27-14-01-004</t>
  </si>
  <si>
    <t>NEAR PALACE SQUARE, IPOKIA</t>
  </si>
  <si>
    <t>https://docs.inecelectionresults.net/elections_prod/1292/state/01/lga/14/ward/01/pu/004/004-1677408131.pdf</t>
  </si>
  <si>
    <t>NEAR PALACE SQUARE, IPOKIA, Polling Unit, IPOKIA, Ogun State, Nigeria</t>
  </si>
  <si>
    <t>27-14-01-005</t>
  </si>
  <si>
    <t>ALAFIA TAYO STREET, IPOKIA</t>
  </si>
  <si>
    <t>https://docs.inecelectionresults.net/elections_prod/1292/state/01/lga/14/ward/01/pu/005/005-1677407631.pdf</t>
  </si>
  <si>
    <t>ALAFIA TAYO STREET, IPOKIA, Polling Unit, IPOKIA, Ogun State, Nigeria</t>
  </si>
  <si>
    <t>27-14-01-007</t>
  </si>
  <si>
    <t>OPEN SPACE AT IWUKU IGBODO</t>
  </si>
  <si>
    <t>https://docs.inecelectionresults.net/elections_prod/1292/state/01/lga/14/ward/01/pu/007/007-1677406885.pdf</t>
  </si>
  <si>
    <t>OPEN SPACE AT IWUKU IGBODO, Polling Unit, IPOKIA, Ogun State, Nigeria</t>
  </si>
  <si>
    <t>27-14-01-008</t>
  </si>
  <si>
    <t>APOSTOLIC SCHOOL, OBANIGBE</t>
  </si>
  <si>
    <t>https://docs.inecelectionresults.net/elections_prod/1292/state/01/lga/14/ward/01/pu/008/008-1677406418.pdf</t>
  </si>
  <si>
    <t>APOSTOLIC SCHOOL, OBANIGBE, Polling Unit, IPOKIA, Ogun State, Nigeria</t>
  </si>
  <si>
    <t>27-14-01-009</t>
  </si>
  <si>
    <t>TOWN HALL OBANIGBE OKE</t>
  </si>
  <si>
    <t>https://docs.inecelectionresults.net/elections_prod/1292/state/01/lga/14/ward/01/pu/009/009-1677405925.pdf</t>
  </si>
  <si>
    <t>TOWN HALL OBANIGBE OKE, Polling Unit, IPOKIA, Ogun State, Nigeria</t>
  </si>
  <si>
    <t>IPOKIA  II</t>
  </si>
  <si>
    <t>27-14-02-001</t>
  </si>
  <si>
    <t>R.C.M. PRIMARY SCH, ONFO</t>
  </si>
  <si>
    <t>https://docs.inecelectionresults.net/elections_prod/1292/state/01/lga/14/ward/02/pu/001/001-1677410338.pdf</t>
  </si>
  <si>
    <t>R.C.M. PRIMARY SCH, ONFO, Polling Unit, IPOKIA, Ogun State, Nigeria</t>
  </si>
  <si>
    <t>27-14-02-002</t>
  </si>
  <si>
    <t>I.P.L.G. SCHOOL ONRO</t>
  </si>
  <si>
    <t>https://docs.inecelectionresults.net/elections_prod/1292/state/01/lga/14/ward/02/pu/002/002-1677399612.pdf</t>
  </si>
  <si>
    <t>I.P.L.G. SCHOOL ONRO, Polling Unit, IPOKIA, Ogun State, Nigeria</t>
  </si>
  <si>
    <t>27-14-02-003</t>
  </si>
  <si>
    <t>I.P.L.G SCH. GBODOROJU</t>
  </si>
  <si>
    <t>https://docs.inecelectionresults.net/elections_prod/1292/state/01/lga/14/ward/02/pu/003/003-1677409875.pdf</t>
  </si>
  <si>
    <t>I.P.L.G SCH. GBODOROJU, Polling Unit, IPOKIA, Ogun State, Nigeria</t>
  </si>
  <si>
    <t>27-14-02-004</t>
  </si>
  <si>
    <t>A.U.D. PRIMARYSCH. IDIMARUN</t>
  </si>
  <si>
    <t>https://docs.inecelectionresults.net/elections_prod/1292/state/01/lga/14/ward/02/pu/004/004-1677413062.pdf</t>
  </si>
  <si>
    <t>A.U.D. PRIMARYSCH. IDIMARUN, Polling Unit, IPOKIA, Ogun State, Nigeria</t>
  </si>
  <si>
    <t>27-14-02-006</t>
  </si>
  <si>
    <t>I.P.L.G SCH. ONIMOWO</t>
  </si>
  <si>
    <t>https://docs.inecelectionresults.net/elections_prod/1292/state/01/lga/14/ward/02/pu/006/006-1677411447.pdf</t>
  </si>
  <si>
    <t>I.P.L.G SCH. ONIMOWO, Polling Unit, IPOKIA, Ogun State, Nigeria</t>
  </si>
  <si>
    <t>27-14-02-007</t>
  </si>
  <si>
    <t>OPEN SPACE AT ODANPOPO</t>
  </si>
  <si>
    <t>https://docs.inecelectionresults.net/elections_prod/1292/state/01/lga/14/ward/02/pu/007/007-1677410117.pdf</t>
  </si>
  <si>
    <t>OPEN SPACE AT ODANPOPO, Polling Unit, IPOKIA, Ogun State, Nigeria</t>
  </si>
  <si>
    <t>27-14-02-008</t>
  </si>
  <si>
    <t>OPEN SPACE AT ODANJAYE</t>
  </si>
  <si>
    <t>https://docs.inecelectionresults.net/elections_prod/1292/state/01/lga/14/ward/02/pu/008/008-1677409564.pdf</t>
  </si>
  <si>
    <t>OPEN SPACE AT ODANJAYE, Polling Unit, IPOKIA, Ogun State, Nigeria</t>
  </si>
  <si>
    <t>AGOSASA</t>
  </si>
  <si>
    <t>27-14-03-001</t>
  </si>
  <si>
    <t>IN FRONT OF MATERNITY CENTRE AGOSASA</t>
  </si>
  <si>
    <t>https://docs.inecelectionresults.net/elections_prod/1292/state/01/lga/14/ward/03/pu/001/001-1677397315.pdf</t>
  </si>
  <si>
    <t>IN FRONT OF MATERNITY CENTRE AGOSASA, Polling Unit, IPOKIA, Ogun State, Nigeria</t>
  </si>
  <si>
    <t>27-14-03-002</t>
  </si>
  <si>
    <t>R.C.M. SCHOOL, AGOSASA</t>
  </si>
  <si>
    <t>https://docs.inecelectionresults.net/elections_prod/1292/state/01/lga/14/ward/03/pu/002/002-1677398470.pdf</t>
  </si>
  <si>
    <t>R.C.M. SCHOOL, AGOSASA, Polling Unit, IPOKIA, Ogun State, Nigeria</t>
  </si>
  <si>
    <t>27-14-03-003</t>
  </si>
  <si>
    <t>OPEN SPACE AT COURT HALL IDOMAFE</t>
  </si>
  <si>
    <t>https://docs.inecelectionresults.net/elections_prod/1292/state/01/lga/14/ward/03/pu/003/003-1677400976.pdf</t>
  </si>
  <si>
    <t>OPEN SPACE AT COURT HALL IDOMAFE, Polling Unit, IPOKIA, Ogun State, Nigeria</t>
  </si>
  <si>
    <t>27-14-03-004</t>
  </si>
  <si>
    <t>N.U.D. SCHOOL AGOSASA</t>
  </si>
  <si>
    <t>https://docs.inecelectionresults.net/elections_prod/1292/state/01/lga/14/ward/03/pu/004/004-1677402195.pdf</t>
  </si>
  <si>
    <t>N.U.D. SCHOOL AGOSASA, Polling Unit, IPOKIA, Ogun State, Nigeria</t>
  </si>
  <si>
    <t>27-14-03-005</t>
  </si>
  <si>
    <t>COMMUNITY HIGH SCHOOL AGOSASA</t>
  </si>
  <si>
    <t>https://docs.inecelectionresults.net/elections_prod/1292/state/01/lga/14/ward/03/pu/005/005-1677397613.pdf</t>
  </si>
  <si>
    <t>COMMUNITY HIGH SCHOOL AGOSASA, Polling Unit, IPOKIA, Ogun State, Nigeria</t>
  </si>
  <si>
    <t>27-14-03-006</t>
  </si>
  <si>
    <t>ODESAN  - WEST SQUARE</t>
  </si>
  <si>
    <t>https://docs.inecelectionresults.net/elections_prod/1292/state/01/lga/14/ward/03/pu/006/006-1677409868.pdf</t>
  </si>
  <si>
    <t>ODESAN  - WEST SQUARE, Polling Unit, IPOKIA, Ogun State, Nigeria</t>
  </si>
  <si>
    <t>27-14-03-007</t>
  </si>
  <si>
    <t>OPEN SPACE AT CENTRAL MOSQUE AGOSASA</t>
  </si>
  <si>
    <t>https://docs.inecelectionresults.net/elections_prod/1292/state/01/lga/14/ward/03/pu/007/007-1677400327.pdf</t>
  </si>
  <si>
    <t>OPEN SPACE AT CENTRAL MOSQUE AGOSASA, Polling Unit, IPOKIA, Ogun State, Nigeria</t>
  </si>
  <si>
    <t>27-14-03-008</t>
  </si>
  <si>
    <t>OPEN SPACE AT IDATA - IDOTUN</t>
  </si>
  <si>
    <t>https://docs.inecelectionresults.net/elections_prod/1292/state/01/lga/14/ward/03/pu/008/008-1677415411.pdf</t>
  </si>
  <si>
    <t>OPEN SPACE AT IDATA - IDOTUN, Polling Unit, IPOKIA, Ogun State, Nigeria</t>
  </si>
  <si>
    <t>27-14-03-009</t>
  </si>
  <si>
    <t>OPEN SPACE IDOLORISA</t>
  </si>
  <si>
    <t>https://docs.inecelectionresults.net/elections_prod/1292/state/01/lga/14/ward/03/pu/009/009-1677399871.pdf</t>
  </si>
  <si>
    <t>OPEN SPACE IDOLORISA, Polling Unit, IPOKIA, Ogun State, Nigeria</t>
  </si>
  <si>
    <t>27-14-03-012</t>
  </si>
  <si>
    <t>OPEN SPACE AT IBATEFIN CLINIC</t>
  </si>
  <si>
    <t>https://docs.inecelectionresults.net/elections_prod/1292/state/01/lga/14/ward/03/pu/012/012-1677416119.pdf</t>
  </si>
  <si>
    <t>OPEN SPACE AT IBATEFIN CLINIC, Polling Unit, IPOKIA, Ogun State, Nigeria</t>
  </si>
  <si>
    <t>27-14-03-013</t>
  </si>
  <si>
    <t>IN FRONT OF IBATEFIN TOWN HALL</t>
  </si>
  <si>
    <t>https://docs.inecelectionresults.net/elections_prod/1292/state/01/lga/14/ward/03/pu/013/013-1677406061.pdf</t>
  </si>
  <si>
    <t>IN FRONT OF IBATEFIN TOWN HALL, Polling Unit, IPOKIA, Ogun State, Nigeria</t>
  </si>
  <si>
    <t>27-14-03-014</t>
  </si>
  <si>
    <t>OPEN SPACE AT ATHANMAYE, AGOSASA</t>
  </si>
  <si>
    <t>https://docs.inecelectionresults.net/elections_prod/1292/state/01/lga/14/ward/03/pu/014/014-1677408725.pdf</t>
  </si>
  <si>
    <t>OPEN SPACE AT ATHANMAYE, AGOSASA, Polling Unit, IPOKIA, Ogun State, Nigeria</t>
  </si>
  <si>
    <t>27-14-03-015</t>
  </si>
  <si>
    <t>OPEN SPACE AT ASEKO VILLAGE</t>
  </si>
  <si>
    <t>https://docs.inecelectionresults.net/elections_prod/1292/state/01/lga/14/ward/03/pu/015/015-1677402933.pdf</t>
  </si>
  <si>
    <t>OPEN SPACE AT ASEKO VILLAGE, Polling Unit, IPOKIA, Ogun State, Nigeria</t>
  </si>
  <si>
    <t>27-14-03-016</t>
  </si>
  <si>
    <t>OPEN SPACE AT IDOTUN, AGOSASA</t>
  </si>
  <si>
    <t>https://docs.inecelectionresults.net/elections_prod/1292/state/01/lga/14/ward/03/pu/016/016-1677414722.pdf</t>
  </si>
  <si>
    <t>OPEN SPACE AT IDOTUN, AGOSASA, Polling Unit, IPOKIA, Ogun State, Nigeria</t>
  </si>
  <si>
    <t>27-14-03-017</t>
  </si>
  <si>
    <t>OPEN SPACE AT IDAMA VILLAGE</t>
  </si>
  <si>
    <t>https://docs.inecelectionresults.net/elections_prod/1292/state/01/lga/14/ward/03/pu/017/017-1677414443.pdf</t>
  </si>
  <si>
    <t>OPEN SPACE AT IDAMA VILLAGE, Polling Unit, IPOKIA, Ogun State, Nigeria</t>
  </si>
  <si>
    <t>27-14-03-018</t>
  </si>
  <si>
    <t>OPEN SPACE AT AGOSASA CUSTOMARY COURT,ITA-IGBOKU</t>
  </si>
  <si>
    <t>https://docs.inecelectionresults.net/elections_prod/1292/state/01/lga/14/ward/03/pu/018/018-1677414061.pdf</t>
  </si>
  <si>
    <t>OPEN SPACE AT AGOSASA CUSTOMARY COURT,ITA-IGBOKU, Polling Unit, IPOKIA, Ogun State, Nigeria</t>
  </si>
  <si>
    <t>27-14-03-019</t>
  </si>
  <si>
    <t>OPEN SPACE AT ASUNARA</t>
  </si>
  <si>
    <t>https://inec-cvr-cache.s3.eu-west-1.amazonaws.com/cached/results/91972/result_79561_1677532221_thumb.jpg</t>
  </si>
  <si>
    <t>OPEN SPACE AT ASUNARA, Polling Unit, IPOKIA, Ogun State, Nigeria</t>
  </si>
  <si>
    <t>27-14-03-020</t>
  </si>
  <si>
    <t>OPEN SPACE AT FAKEJO</t>
  </si>
  <si>
    <t>https://inec-cvr-cache.s3.eu-west-1.amazonaws.com/cached/results/91973/result_79562_1677575995_thumb.jpg</t>
  </si>
  <si>
    <t>OPEN SPACE AT FAKEJO, Polling Unit, IPOKIA, Ogun State, Nigeria</t>
  </si>
  <si>
    <t>27-14-03-022</t>
  </si>
  <si>
    <t>MOTOR PARK AGOSASA</t>
  </si>
  <si>
    <t>https://docs.inecelectionresults.net/elections_prod/1292/state/01/lga/14/ward/03/pu/022/022-1677405048.pdf</t>
  </si>
  <si>
    <t>MOTOR PARK AGOSASA, Polling Unit, IPOKIA, Ogun State, Nigeria</t>
  </si>
  <si>
    <t>27-14-03-023</t>
  </si>
  <si>
    <t>INFRONT OF ONIMALU</t>
  </si>
  <si>
    <t>https://docs.inecelectionresults.net/elections_prod/1292/state/01/lga/14/ward/03/pu/023/023-1677408521.pdf</t>
  </si>
  <si>
    <t>INFRONT OF ONIMALU, Polling Unit, IPOKIA, Ogun State, Nigeria</t>
  </si>
  <si>
    <t>27-14-03-024</t>
  </si>
  <si>
    <t>OPEN SPACE AT IDABATA</t>
  </si>
  <si>
    <t>https://docs.inecelectionresults.net/elections_prod/1292/state/01/lga/14/ward/03/pu/024/024-1677412164.pdf</t>
  </si>
  <si>
    <t>OPEN SPACE AT IDABATA, Polling Unit, IPOKIA, Ogun State, Nigeria</t>
  </si>
  <si>
    <t>IJOFIN/IDOSA</t>
  </si>
  <si>
    <t>27-14-04-001</t>
  </si>
  <si>
    <t>I.P.L.G. SCHOOL  - IJOFIN</t>
  </si>
  <si>
    <t>https://docs.inecelectionresults.net/elections_prod/1292/state/01/lga/14/ward/04/pu/001/001-1677408793.pdf</t>
  </si>
  <si>
    <t>I.P.L.G. SCHOOL  - IJOFIN, Polling Unit, IPOKIA, Ogun State, Nigeria</t>
  </si>
  <si>
    <t>27-14-04-002</t>
  </si>
  <si>
    <t>METHODIST SCHOOL IJOFIN</t>
  </si>
  <si>
    <t>https://docs.inecelectionresults.net/elections_prod/1292/state/01/lga/14/ward/04/pu/002/002-1677411377.pdf</t>
  </si>
  <si>
    <t>METHODIST SCHOOL IJOFIN, Polling Unit, IPOKIA, Ogun State, Nigeria</t>
  </si>
  <si>
    <t>27-14-04-003</t>
  </si>
  <si>
    <t>I.P.L.G. SCHOOL TONGEJI ISLAND</t>
  </si>
  <si>
    <t>https://docs.inecelectionresults.net/elections_prod/1292/state/01/lga/14/ward/04/pu/003/003-1677412784.pdf</t>
  </si>
  <si>
    <t>I.P.L.G. SCHOOL TONGEJI ISLAND, Polling Unit, IPOKIA, Ogun State, Nigeria</t>
  </si>
  <si>
    <t>27-14-04-004</t>
  </si>
  <si>
    <t>IDOWE TOWN HALL</t>
  </si>
  <si>
    <t>https://docs.inecelectionresults.net/elections_prod/1292/state/01/lga/14/ward/04/pu/004/004-1677413435.pdf</t>
  </si>
  <si>
    <t>IDOWE TOWN HALL, Polling Unit, IPOKIA, Ogun State, Nigeria</t>
  </si>
  <si>
    <t>27-14-04-005</t>
  </si>
  <si>
    <t>BAPT. SCHOOL ITA - ONIMASA</t>
  </si>
  <si>
    <t>https://docs.inecelectionresults.net/elections_prod/1292/state/01/lga/14/ward/04/pu/005/005-1677414230.pdf</t>
  </si>
  <si>
    <t>BAPT. SCHOOL ITA - ONIMASA, Polling Unit, IPOKIA, Ogun State, Nigeria</t>
  </si>
  <si>
    <t>27-14-04-007</t>
  </si>
  <si>
    <t>I.P.L.G. SCHOOL - ILEPA</t>
  </si>
  <si>
    <t>https://docs.inecelectionresults.net/elections_prod/1292/state/01/lga/14/ward/04/pu/007/007-1677415538.pdf</t>
  </si>
  <si>
    <t>I.P.L.G. SCHOOL - ILEPA, Polling Unit, IPOKIA, Ogun State, Nigeria</t>
  </si>
  <si>
    <t>27-14-04-008</t>
  </si>
  <si>
    <t>KOSOMI  SQUARE</t>
  </si>
  <si>
    <t>https://inec-cvr-cache.s3.eu-west-1.amazonaws.com/cached/results/91985/result_79591_1677532764_thumb.jpg</t>
  </si>
  <si>
    <t>KOSOMI  SQUARE, Polling Unit, IPOKIA, Ogun State, Nigeria</t>
  </si>
  <si>
    <t>27-14-04-009</t>
  </si>
  <si>
    <t>ARIGO SQUARE</t>
  </si>
  <si>
    <t>https://inec-cvr-cache.s3.eu-west-1.amazonaws.com/cached/results/91986/result_79592_1677533331_thumb.jpg</t>
  </si>
  <si>
    <t>ARIGO SQUARE, Polling Unit, IPOKIA, Ogun State, Nigeria</t>
  </si>
  <si>
    <t>27-14-04-010</t>
  </si>
  <si>
    <t>I.P;L.G. SCHOOL IDOSEMO</t>
  </si>
  <si>
    <t>https://inec-cvr-cache.s3.eu-west-1.amazonaws.com/cached/results/91987/result_79593_1677533676_thumb.jpg</t>
  </si>
  <si>
    <t>I.P;L.G. SCHOOL IDOSEMO, Polling Unit, IPOKIA, Ogun State, Nigeria</t>
  </si>
  <si>
    <t>27-14-04-011</t>
  </si>
  <si>
    <t>I.P.L.G. SCHOOL IDOSA</t>
  </si>
  <si>
    <t>https://inec-cvr-cache.s3.eu-west-1.amazonaws.com/cached/results/91988/result_79594_1677532489_thumb.jpg</t>
  </si>
  <si>
    <t>I.P.L.G. SCHOOL IDOSA, Polling Unit, IPOKIA, Ogun State, Nigeria</t>
  </si>
  <si>
    <t>27-14-04-013</t>
  </si>
  <si>
    <t>KATE SQUARE</t>
  </si>
  <si>
    <t>https://inec-cvr-cache.s3.eu-west-1.amazonaws.com/cached/results/91990/result_79596_1677532932_thumb.jpg</t>
  </si>
  <si>
    <t>KATE SQUARE, Polling Unit, IPOKIA, Ogun State, Nigeria</t>
  </si>
  <si>
    <t>27-14-04-014</t>
  </si>
  <si>
    <t>I.P.L.G. SCHOOL BODE ASE</t>
  </si>
  <si>
    <t>https://inec-cvr-cache.s3.eu-west-1.amazonaws.com/cached/results/91991/result_79597_1677533423_thumb.jpg</t>
  </si>
  <si>
    <t>I.P.L.G. SCHOOL BODE ASE, Polling Unit, IPOKIA, Ogun State, Nigeria</t>
  </si>
  <si>
    <t>27-14-04-015</t>
  </si>
  <si>
    <t>VATIPA SQUARE</t>
  </si>
  <si>
    <t>https://inec-cvr-cache.s3.eu-west-1.amazonaws.com/cached/results/91992/result_79598_1677533737_thumb.jpg</t>
  </si>
  <si>
    <t>VATIPA SQUARE, Polling Unit, IPOKIA, Ogun State, Nigeria</t>
  </si>
  <si>
    <t>27-14-04-016</t>
  </si>
  <si>
    <t>I.P.L.G. SCHOOL IDOPETU</t>
  </si>
  <si>
    <t>https://inec-cvr-cache.s3.eu-west-1.amazonaws.com/cached/results/91993/result_79599_1677532580_thumb.jpg</t>
  </si>
  <si>
    <t>I.P.L.G. SCHOOL IDOPETU, Polling Unit, IPOKIA, Ogun State, Nigeria</t>
  </si>
  <si>
    <t>27-14-04-017</t>
  </si>
  <si>
    <t>ISHIN SQUARE</t>
  </si>
  <si>
    <t>https://inec-cvr-cache.s3.eu-west-1.amazonaws.com/cached/results/91994/result_79600_1677533110_thumb.jpg</t>
  </si>
  <si>
    <t>ISHIN SQUARE, Polling Unit, IPOKIA, Ogun State, Nigeria</t>
  </si>
  <si>
    <t>27-14-04-019</t>
  </si>
  <si>
    <t>ILUFE</t>
  </si>
  <si>
    <t>https://inec-cvr-cache.s3.eu-west-1.amazonaws.com/cached/results/91996/result_79602_1677533514_thumb.jpg</t>
  </si>
  <si>
    <t>ILUFE, Polling Unit, IPOKIA, Ogun State, Nigeria</t>
  </si>
  <si>
    <t>27-14-04-020</t>
  </si>
  <si>
    <t>OPEN SPACE OPP. ONIJOFIN PALACE</t>
  </si>
  <si>
    <t>https://inec-cvr-cache.s3.eu-west-1.amazonaws.com/cached/results/91997/result_79603_1677533816_thumb.jpg</t>
  </si>
  <si>
    <t>OPEN SPACE OPP. ONIJOFIN PALACE, Polling Unit, IPOKIA, Ogun State, Nigeria</t>
  </si>
  <si>
    <t>27-14-04-021</t>
  </si>
  <si>
    <t>OPEN SPACE AT IKEFIN TOWN HALL</t>
  </si>
  <si>
    <t>https://inec-cvr-cache.s3.eu-west-1.amazonaws.com/cached/results/91998/result_79604_1677532687_thumb.jpg</t>
  </si>
  <si>
    <t>OPEN SPACE AT IKEFIN TOWN HALL, Polling Unit, IPOKIA, Ogun State, Nigeria</t>
  </si>
  <si>
    <t>TUBE</t>
  </si>
  <si>
    <t>27-14-05-001</t>
  </si>
  <si>
    <t>I.P.L.G. SCHOOL TUBE</t>
  </si>
  <si>
    <t>https://docs.inecelectionresults.net/elections_prod/1292/state/01/lga/14/ward/05/pu/001/001-1677408044.pdf</t>
  </si>
  <si>
    <t>I.P.L.G. SCHOOL TUBE, Polling Unit, IPOKIA, Ogun State, Nigeria</t>
  </si>
  <si>
    <t>27-14-05-002</t>
  </si>
  <si>
    <t>MATERNITY CENTRE TUBE</t>
  </si>
  <si>
    <t>https://docs.inecelectionresults.net/elections_prod/1292/state/01/lga/14/ward/05/pu/002/002-1677408531.pdf</t>
  </si>
  <si>
    <t>MATERNITY CENTRE TUBE, Polling Unit, IPOKIA, Ogun State, Nigeria</t>
  </si>
  <si>
    <t>27-14-05-006</t>
  </si>
  <si>
    <t>METHODIST SCHOOL ILESI</t>
  </si>
  <si>
    <t>https://docs.inecelectionresults.net/elections_prod/1292/state/01/lga/14/ward/05/pu/006/006-1677414676.pdf</t>
  </si>
  <si>
    <t>METHODIST SCHOOL ILESI, Polling Unit, IPOKIA, Ogun State, Nigeria</t>
  </si>
  <si>
    <t>27-14-05-007</t>
  </si>
  <si>
    <t>AFONJI SQUARE</t>
  </si>
  <si>
    <t>https://docs.inecelectionresults.net/elections_prod/1292/state/01/lga/14/ward/05/pu/007/007-1677415502.pdf</t>
  </si>
  <si>
    <t>AFONJI SQUARE, Polling Unit, IPOKIA, Ogun State, Nigeria</t>
  </si>
  <si>
    <t>27-14-05-008</t>
  </si>
  <si>
    <t>OVUU SQUARE</t>
  </si>
  <si>
    <t>https://docs.inecelectionresults.net/elections_prod/1292/state/01/lga/14/ward/05/pu/008/008-1677416057.pdf</t>
  </si>
  <si>
    <t>OVUU SQUARE, Polling Unit, IPOKIA, Ogun State, Nigeria</t>
  </si>
  <si>
    <t>27-14-05-009</t>
  </si>
  <si>
    <t>GBOJE SQUARE</t>
  </si>
  <si>
    <t>https://docs.inecelectionresults.net/elections_prod/1292/state/01/lga/14/ward/05/pu/009/009-1677416525.pdf</t>
  </si>
  <si>
    <t>GBOJE SQUARE, Polling Unit, IPOKIA, Ogun State, Nigeria</t>
  </si>
  <si>
    <t>27-14-05-010</t>
  </si>
  <si>
    <t>I.P.L.G. MODOBULAFON</t>
  </si>
  <si>
    <t>https://docs.inecelectionresults.net/elections_prod/1292/state/01/lga/14/ward/05/pu/010/010-1677417900.pdf</t>
  </si>
  <si>
    <t>I.P.L.G. MODOBULAFON, Polling Unit, IPOKIA, Ogun State, Nigeria</t>
  </si>
  <si>
    <t>AGADA</t>
  </si>
  <si>
    <t>27-14-06-002</t>
  </si>
  <si>
    <t>OJA AGADA SQUARE</t>
  </si>
  <si>
    <t>https://docs.inecelectionresults.net/elections_prod/1292/state/01/lga/14/ward/06/pu/002/002-1677398939.pdf</t>
  </si>
  <si>
    <t>OJA AGADA SQUARE, Polling Unit, IPOKIA, Ogun State, Nigeria</t>
  </si>
  <si>
    <t>27-14-06-008</t>
  </si>
  <si>
    <t>OPEN SPACE AT AWUSA</t>
  </si>
  <si>
    <t>https://docs.inecelectionresults.net/elections_prod/1292/state/01/lga/14/ward/06/pu/008/008-1677396977.pdf</t>
  </si>
  <si>
    <t>OPEN SPACE AT AWUSA, Polling Unit, IPOKIA, Ogun State, Nigeria</t>
  </si>
  <si>
    <t>MAUNI I</t>
  </si>
  <si>
    <t>27-14-07-001</t>
  </si>
  <si>
    <t>ANAGUNJI SQUARE</t>
  </si>
  <si>
    <t>https://docs.inecelectionresults.net/elections_prod/1292/state/01/lga/14/ward/07/pu/001/001-1677405521.pdf</t>
  </si>
  <si>
    <t>ANAGUNJI SQUARE, Polling Unit, IPOKIA, Ogun State, Nigeria</t>
  </si>
  <si>
    <t>27-14-07-002</t>
  </si>
  <si>
    <t>C.P.S.  SCHOOL ILERO</t>
  </si>
  <si>
    <t>https://docs.inecelectionresults.net/elections_prod/1292/state/01/lga/14/ward/07/pu/002/002-1677409159.pdf</t>
  </si>
  <si>
    <t>C.P.S.  SCHOOL ILERO, Polling Unit, IPOKIA, Ogun State, Nigeria</t>
  </si>
  <si>
    <t>27-14-07-003</t>
  </si>
  <si>
    <t>SEJE TOWN HALL</t>
  </si>
  <si>
    <t>https://docs.inecelectionresults.net/elections_prod/1292/state/01/lga/14/ward/07/pu/003/003-1677402549.pdf</t>
  </si>
  <si>
    <t>SEJE TOWN HALL, Polling Unit, IPOKIA, Ogun State, Nigeria</t>
  </si>
  <si>
    <t>27-14-07-004</t>
  </si>
  <si>
    <t>OPEN SPACE AT HAHAME</t>
  </si>
  <si>
    <t>https://docs.inecelectionresults.net/elections_prod/1292/state/01/lga/14/ward/07/pu/004/004-1677409786.pdf</t>
  </si>
  <si>
    <t>OPEN SPACE AT HAHAME, Polling Unit, IPOKIA, Ogun State, Nigeria</t>
  </si>
  <si>
    <t>27-14-07-005</t>
  </si>
  <si>
    <t>I.P.L.G. SCHOOL MAUN</t>
  </si>
  <si>
    <t>https://docs.inecelectionresults.net/elections_prod/1292/state/01/lga/14/ward/07/pu/005/005-1677404852.pdf</t>
  </si>
  <si>
    <t>I.P.L.G. SCHOOL MAUN, Polling Unit, IPOKIA, Ogun State, Nigeria</t>
  </si>
  <si>
    <t>27-14-07-006</t>
  </si>
  <si>
    <t>AHOLOME SQUARE</t>
  </si>
  <si>
    <t>https://docs.inecelectionresults.net/elections_prod/1292/state/01/lga/14/ward/07/pu/006/006-1677403515.pdf</t>
  </si>
  <si>
    <t>AHOLOME SQUARE, Polling Unit, IPOKIA, Ogun State, Nigeria</t>
  </si>
  <si>
    <t>27-14-07-007</t>
  </si>
  <si>
    <t>OPEN SPACE AT OSIBADAN</t>
  </si>
  <si>
    <t>https://docs.inecelectionresults.net/elections_prod/1292/state/01/lga/14/ward/07/pu/007/007-1677403034.pdf</t>
  </si>
  <si>
    <t>OPEN SPACE AT OSIBADAN, Polling Unit, IPOKIA, Ogun State, Nigeria</t>
  </si>
  <si>
    <t>27-14-07-008</t>
  </si>
  <si>
    <t>MAUN MATERNITY CENTRE</t>
  </si>
  <si>
    <t>https://docs.inecelectionresults.net/elections_prod/1292/state/01/lga/14/ward/07/pu/008/008-1677401481.pdf</t>
  </si>
  <si>
    <t>MAUN MATERNITY CENTRE, Polling Unit, IPOKIA, Ogun State, Nigeria</t>
  </si>
  <si>
    <t>27-14-07-009</t>
  </si>
  <si>
    <t>OPEN SPACE AT AKERE</t>
  </si>
  <si>
    <t>https://docs.inecelectionresults.net/elections_prod/1292/state/01/lga/14/ward/07/pu/009/009-1677400596.pdf</t>
  </si>
  <si>
    <t>OPEN SPACE AT AKERE, Polling Unit, IPOKIA, Ogun State, Nigeria</t>
  </si>
  <si>
    <t>27-14-07-010</t>
  </si>
  <si>
    <t>WHEKE TOWN HALL</t>
  </si>
  <si>
    <t>https://docs.inecelectionresults.net/elections_prod/1292/state/01/lga/14/ward/07/pu/010/010-1677398780.pdf</t>
  </si>
  <si>
    <t>WHEKE TOWN HALL, Polling Unit, IPOKIA, Ogun State, Nigeria</t>
  </si>
  <si>
    <t>27-14-07-012</t>
  </si>
  <si>
    <t>GBEGOTHO SQUARE</t>
  </si>
  <si>
    <t>https://docs.inecelectionresults.net/elections_prod/1292/state/01/lga/14/ward/07/pu/012/012-1677401805.pdf</t>
  </si>
  <si>
    <t>GBEGOTHO SQUARE, Polling Unit, IPOKIA, Ogun State, Nigeria</t>
  </si>
  <si>
    <t>27-14-07-013</t>
  </si>
  <si>
    <t>IGO/ONADILOGUN SQAURE</t>
  </si>
  <si>
    <t>https://docs.inecelectionresults.net/elections_prod/1292/state/01/lga/14/ward/07/pu/013/013-1677404143.pdf</t>
  </si>
  <si>
    <t>IGO/ONADILOGUN SQAURE, Polling Unit, IPOKIA, Ogun State, Nigeria</t>
  </si>
  <si>
    <t>MAUNI II</t>
  </si>
  <si>
    <t>27-14-08-002</t>
  </si>
  <si>
    <t>OPEN SPACE AT AGBOJETHO</t>
  </si>
  <si>
    <t>https://docs.inecelectionresults.net/elections_prod/1292/state/01/lga/14/ward/08/pu/002/002-1677397298.pdf</t>
  </si>
  <si>
    <t>OPEN SPACE AT AGBOJETHO, Polling Unit, IPOKIA, Ogun State, Nigeria</t>
  </si>
  <si>
    <t>27-14-08-004</t>
  </si>
  <si>
    <t>OPEN SPACE AT OKERE</t>
  </si>
  <si>
    <t>https://docs.inecelectionresults.net/elections_prod/1292/state/01/lga/14/ward/08/pu/004/004-1677397187.pdf</t>
  </si>
  <si>
    <t>OPEN SPACE AT OKERE, Polling Unit, IPOKIA, Ogun State, Nigeria</t>
  </si>
  <si>
    <t>27-14-08-007</t>
  </si>
  <si>
    <t>I.P.L.G. SCHOOL VAWHE TUKURU</t>
  </si>
  <si>
    <t>https://docs.inecelectionresults.net/elections_prod/1292/state/01/lga/14/ward/08/pu/007/007-1677402475.pdf</t>
  </si>
  <si>
    <t>I.P.L.G. SCHOOL VAWHE TUKURU, Polling Unit, IPOKIA, Ogun State, Nigeria</t>
  </si>
  <si>
    <t>27-14-08-008</t>
  </si>
  <si>
    <t>METHODIST SCH. HUNDO</t>
  </si>
  <si>
    <t>https://docs.inecelectionresults.net/elections_prod/1292/state/01/lga/14/ward/08/pu/008/008-1677400538.pdf</t>
  </si>
  <si>
    <t>METHODIST SCH. HUNDO, Polling Unit, IPOKIA, Ogun State, Nigeria</t>
  </si>
  <si>
    <t>27-14-08-009</t>
  </si>
  <si>
    <t>VAWHE PEVI SQUARE</t>
  </si>
  <si>
    <t>https://docs.inecelectionresults.net/elections_prod/1292/state/01/lga/14/ward/08/pu/009/009-1677400510.pdf</t>
  </si>
  <si>
    <t>VAWHE PEVI SQUARE, Polling Unit, IPOKIA, Ogun State, Nigeria</t>
  </si>
  <si>
    <t>27-14-08-010</t>
  </si>
  <si>
    <t>ARAROMI SQUARE</t>
  </si>
  <si>
    <t>https://docs.inecelectionresults.net/elections_prod/1292/state/01/lga/14/ward/08/pu/010/010-1677402375.pdf</t>
  </si>
  <si>
    <t>ARAROMI SQUARE, Polling Unit, IPOKIA, Ogun State, Nigeria</t>
  </si>
  <si>
    <t>AJEGUNLE</t>
  </si>
  <si>
    <t>27-14-09-001</t>
  </si>
  <si>
    <t>OPEN SPACE NEAR AJEGUNLE MOSQUE</t>
  </si>
  <si>
    <t>https://docs.inecelectionresults.net/elections_prod/1292/state/01/lga/14/ward/09/pu/001/001-1677379354.pdf</t>
  </si>
  <si>
    <t>OPEN SPACE NEAR AJEGUNLE MOSQUE, Polling Unit, IPOKIA, Ogun State, Nigeria</t>
  </si>
  <si>
    <t>27-14-09-005</t>
  </si>
  <si>
    <t>A/C SCHOOL OWOTEDO</t>
  </si>
  <si>
    <t>https://docs.inecelectionresults.net/elections_prod/1292/state/01/lga/14/ward/09/pu/005/005-1677398345.pdf</t>
  </si>
  <si>
    <t>A/C SCHOOL OWOTEDO, Polling Unit, IPOKIA, Ogun State, Nigeria</t>
  </si>
  <si>
    <t>27-14-09-006</t>
  </si>
  <si>
    <t>PRIMARY SCHOOL OGOSA</t>
  </si>
  <si>
    <t>https://docs.inecelectionresults.net/elections_prod/1292/state/01/lga/14/ward/09/pu/006/006-1677373685.pdf</t>
  </si>
  <si>
    <t>PRIMARY SCHOOL OGOSA, Polling Unit, IPOKIA, Ogun State, Nigeria</t>
  </si>
  <si>
    <t>27-14-09-007</t>
  </si>
  <si>
    <t>I.P.L.G. SCHOOL MEDEOGOSA</t>
  </si>
  <si>
    <t>https://docs.inecelectionresults.net/elections_prod/1292/state/01/lga/14/ward/09/pu/007/007-1677375654.pdf</t>
  </si>
  <si>
    <t>I.P.L.G. SCHOOL MEDEOGOSA, Polling Unit, IPOKIA, Ogun State, Nigeria</t>
  </si>
  <si>
    <t>27-14-09-008</t>
  </si>
  <si>
    <t>OPEN SPACE AT AGBOKU JUNCTION</t>
  </si>
  <si>
    <t>https://docs.inecelectionresults.net/elections_prod/1292/state/01/lga/14/ward/09/pu/008/008-1677396633.pdf</t>
  </si>
  <si>
    <t>OPEN SPACE AT AGBOKU JUNCTION, Polling Unit, IPOKIA, Ogun State, Nigeria</t>
  </si>
  <si>
    <t>27-14-09-009</t>
  </si>
  <si>
    <t>OPEN SPACE AT MOSAFEJO JUNCTION</t>
  </si>
  <si>
    <t>https://docs.inecelectionresults.net/elections_prod/1292/state/01/lga/14/ward/09/pu/009/009-1677401481.pdf</t>
  </si>
  <si>
    <t>OPEN SPACE AT MOSAFEJO JUNCTION, Polling Unit, IPOKIA, Ogun State, Nigeria</t>
  </si>
  <si>
    <t>27-14-09-010</t>
  </si>
  <si>
    <t>IDOLOGUN SQUARE</t>
  </si>
  <si>
    <t>https://docs.inecelectionresults.net/elections_prod/1292/state/01/lga/14/ward/09/pu/010/010-1677388694.pdf</t>
  </si>
  <si>
    <t>IDOLOGUN SQUARE, Polling Unit, IPOKIA, Ogun State, Nigeria</t>
  </si>
  <si>
    <t>27-14-09-011</t>
  </si>
  <si>
    <t>OPEN SPACE BEHIND JOLACO FILLING STATION</t>
  </si>
  <si>
    <t>https://docs.inecelectionresults.net/elections_prod/1292/state/01/lga/14/ward/09/pu/011/011-1677397529.pdf</t>
  </si>
  <si>
    <t>OPEN SPACE BEHIND JOLACO FILLING STATION, Polling Unit, IPOKIA, Ogun State, Nigeria</t>
  </si>
  <si>
    <t>IFONYINTEDO</t>
  </si>
  <si>
    <t>27-14-10-003</t>
  </si>
  <si>
    <t>BAPTIST DAY SCHOOL IFONYINTEDO</t>
  </si>
  <si>
    <t>https://docs.inecelectionresults.net/elections_prod/1292/state/01/lga/14/ward/10/pu/003/003-1677411348.pdf</t>
  </si>
  <si>
    <t>BAPTIST DAY SCHOOL IFONYINTEDO, Polling Unit, IPOKIA, Ogun State, Nigeria</t>
  </si>
  <si>
    <t>27-14-10-004</t>
  </si>
  <si>
    <t>I.P.L.G. SCHOOL IFONYINTEDO</t>
  </si>
  <si>
    <t>https://docs.inecelectionresults.net/elections_prod/1292/state/01/lga/14/ward/10/pu/004/004-1677404368.pdf</t>
  </si>
  <si>
    <t>I.P.L.G. SCHOOL IFONYINTEDO, Polling Unit, IPOKIA, Ogun State, Nigeria</t>
  </si>
  <si>
    <t>27-14-10-006</t>
  </si>
  <si>
    <t>C.M.S. SCHOOL SAASA</t>
  </si>
  <si>
    <t>https://docs.inecelectionresults.net/elections_prod/1292/state/01/lga/14/ward/10/pu/006/006-1677411043.pdf</t>
  </si>
  <si>
    <t>C.M.S. SCHOOL SAASA, Polling Unit, IPOKIA, Ogun State, Nigeria</t>
  </si>
  <si>
    <t>27-14-10-007</t>
  </si>
  <si>
    <t>OPEN SPACE NEAR C&amp;S IBOLA</t>
  </si>
  <si>
    <t>https://docs.inecelectionresults.net/elections_prod/1292/state/01/lga/14/ward/10/pu/007/007-1677412856.pdf</t>
  </si>
  <si>
    <t>OPEN SPACE NEAR C&amp;S IBOLA, Polling Unit, IPOKIA, Ogun State, Nigeria</t>
  </si>
  <si>
    <t>27-14-10-010</t>
  </si>
  <si>
    <t>BAPT. DAY SCHOOL MADOGA</t>
  </si>
  <si>
    <t>https://docs.inecelectionresults.net/elections_prod/1292/state/01/lga/14/ward/10/pu/010/010-1677414247.pdf</t>
  </si>
  <si>
    <t>BAPT. DAY SCHOOL MADOGA, Polling Unit, IPOKIA, Ogun State, Nigeria</t>
  </si>
  <si>
    <t>27-14-10-011</t>
  </si>
  <si>
    <t>OPEN SPACE NEAR BAPT. CHURCH ILAGBE</t>
  </si>
  <si>
    <t>https://docs.inecelectionresults.net/elections_prod/1292/state/01/lga/14/ward/10/pu/011/011-1677400530.pdf</t>
  </si>
  <si>
    <t>OPEN SPACE NEAR BAPT. CHURCH ILAGBE, Polling Unit, IPOKIA, Ogun State, Nigeria</t>
  </si>
  <si>
    <t>27-14-10-012</t>
  </si>
  <si>
    <t>I.P.L.G. IROPO</t>
  </si>
  <si>
    <t>https://docs.inecelectionresults.net/elections_prod/1292/state/01/lga/14/ward/10/pu/012/012-1677404999.pdf</t>
  </si>
  <si>
    <t>I.P.L.G. IROPO, Polling Unit, IPOKIA, Ogun State, Nigeria</t>
  </si>
  <si>
    <t>27-14-10-013</t>
  </si>
  <si>
    <t>COMM. SCHOOL  - IMULE</t>
  </si>
  <si>
    <t>https://docs.inecelectionresults.net/elections_prod/1292/state/01/lga/14/ward/10/pu/013/013-1677417372.pdf</t>
  </si>
  <si>
    <t>COMM. SCHOOL  - IMULE, Polling Unit, IPOKIA, Ogun State, Nigeria</t>
  </si>
  <si>
    <t>27-14-10-014</t>
  </si>
  <si>
    <t>BAPTIST DAY SCHOOL- ALAARI</t>
  </si>
  <si>
    <t>https://docs.inecelectionresults.net/elections_prod/1292/state/01/lga/14/ward/10/pu/014/014-1677414024.pdf</t>
  </si>
  <si>
    <t>BAPTIST DAY SCHOOL- ALAARI, Polling Unit, IPOKIA, Ogun State, Nigeria</t>
  </si>
  <si>
    <t>27-14-10-015</t>
  </si>
  <si>
    <t>OPEN SPACE NEAR C.A.C. CHURCH - ALAARI</t>
  </si>
  <si>
    <t>https://docs.inecelectionresults.net/elections_prod/1292/state/01/lga/14/ward/10/pu/015/015-1677415896.pdf</t>
  </si>
  <si>
    <t>OPEN SPACE NEAR C.A.C. CHURCH - ALAARI, Polling Unit, IPOKIA, Ogun State, Nigeria</t>
  </si>
  <si>
    <t>27-14-10-016</t>
  </si>
  <si>
    <t>COMMUNITY PRIMARY SCHOOL - KOKO</t>
  </si>
  <si>
    <t>https://docs.inecelectionresults.net/elections_prod/1292/state/01/lga/14/ward/10/pu/016/016-1677414897.pdf</t>
  </si>
  <si>
    <t>COMMUNITY PRIMARY SCHOOL - KOKO, Polling Unit, IPOKIA, Ogun State, Nigeria</t>
  </si>
  <si>
    <t>27-14-10-017</t>
  </si>
  <si>
    <t>U.A.M.C. WASIMI IKORODU</t>
  </si>
  <si>
    <t>https://docs.inecelectionresults.net/elections_prod/1292/state/01/lga/14/ward/10/pu/017/017-1677416426.pdf</t>
  </si>
  <si>
    <t>U.A.M.C. WASIMI IKORODU, Polling Unit, IPOKIA, Ogun State, Nigeria</t>
  </si>
  <si>
    <t>27-14-10-018</t>
  </si>
  <si>
    <t>COMMUNITY PRIMARY SCH. ASIPA</t>
  </si>
  <si>
    <t>https://docs.inecelectionresults.net/elections_prod/1292/state/01/lga/14/ward/10/pu/018/018-1677417271.pdf</t>
  </si>
  <si>
    <t>COMMUNITY PRIMARY SCH. ASIPA, Polling Unit, IPOKIA, Ogun State, Nigeria</t>
  </si>
  <si>
    <t>27-14-10-019</t>
  </si>
  <si>
    <t>OPEN SPACE NEAR BAPTIST CHURCH AFUYE</t>
  </si>
  <si>
    <t>https://docs.inecelectionresults.net/elections_prod/1292/state/01/lga/14/ward/10/pu/019/019-1677413481.pdf</t>
  </si>
  <si>
    <t>OPEN SPACE NEAR BAPTIST CHURCH AFUYE, Polling Unit, IPOKIA, Ogun State, Nigeria</t>
  </si>
  <si>
    <t>27-14-10-020</t>
  </si>
  <si>
    <t>OPEN SPACE NEAR C.M.S. CHURCH IDOMOGUN</t>
  </si>
  <si>
    <t>https://docs.inecelectionresults.net/elections_prod/1292/state/01/lga/14/ward/10/pu/020/020-1677408522.pdf</t>
  </si>
  <si>
    <t>OPEN SPACE NEAR C.M.S. CHURCH IDOMOGUN, Polling Unit, IPOKIA, Ogun State, Nigeria</t>
  </si>
  <si>
    <t>27-14-10-021</t>
  </si>
  <si>
    <t>OPEN SPACE NEAR BAPTIST CHURCH  - ILEDU</t>
  </si>
  <si>
    <t>https://docs.inecelectionresults.net/elections_prod/1292/state/01/lga/14/ward/10/pu/021/021-1677402716.pdf</t>
  </si>
  <si>
    <t>OPEN SPACE NEAR BAPTIST CHURCH  - ILEDU, Polling Unit, IPOKIA, Ogun State, Nigeria</t>
  </si>
  <si>
    <t>27-14-10-023</t>
  </si>
  <si>
    <t>OPEN SPACE NEAR C.C.C. ISALE KOKO</t>
  </si>
  <si>
    <t>https://docs.inecelectionresults.net/elections_prod/1292/state/01/lga/14/ward/10/pu/023/023-1677410972.pdf</t>
  </si>
  <si>
    <t>OPEN SPACE NEAR C.C.C. ISALE KOKO, Polling Unit, IPOKIA, Ogun State, Nigeria</t>
  </si>
  <si>
    <t>27-14-10-024</t>
  </si>
  <si>
    <t>NEAR CENTRAL MOSQUE ITA YARO,IFOYINTEDO</t>
  </si>
  <si>
    <t>https://docs.inecelectionresults.net/elections_prod/1292/state/01/lga/14/ward/10/pu/024/024-1677415376.pdf</t>
  </si>
  <si>
    <t>NEAR CENTRAL MOSQUE ITA YARO,IFOYINTEDO, Polling Unit, IPOKIA, Ogun State, Nigeria</t>
  </si>
  <si>
    <t>27-14-10-026</t>
  </si>
  <si>
    <t>OPEN SPACE BESIDE C.A.C. CHURCH IDI-OMO QUARTERS</t>
  </si>
  <si>
    <t>https://docs.inecelectionresults.net/elections_prod/1292/state/01/lga/14/ward/10/pu/026/026-1677372963.pdf</t>
  </si>
  <si>
    <t>OPEN SPACE BESIDE C.A.C. CHURCH IDI-OMO QUARTERS, Polling Unit, IPOKIA, Ogun State, Nigeria</t>
  </si>
  <si>
    <t>27-14-10-027</t>
  </si>
  <si>
    <t>I.P.L.G SCHOOL KAJOLA</t>
  </si>
  <si>
    <t>https://docs.inecelectionresults.net/elections_prod/1292/state/01/lga/14/ward/10/pu/027/027-1677405112.pdf</t>
  </si>
  <si>
    <t>I.P.L.G SCHOOL KAJOLA, Polling Unit, IPOKIA, Ogun State, Nigeria</t>
  </si>
  <si>
    <t>IDIROKO</t>
  </si>
  <si>
    <t>27-14-11-001</t>
  </si>
  <si>
    <t>OPEN SPACE AT BABALOKE</t>
  </si>
  <si>
    <t>https://docs.inecelectionresults.net/elections_prod/1292/state/01/lga/14/ward/11/pu/001/001-1677399544.pdf</t>
  </si>
  <si>
    <t>OPEN SPACE AT BABALOKE, Polling Unit, IPOKIA, Ogun State, Nigeria</t>
  </si>
  <si>
    <t>27-14-11-003</t>
  </si>
  <si>
    <t>OPEN SPACE NEAR BALOGUN IBIRINDE</t>
  </si>
  <si>
    <t>https://docs.inecelectionresults.net/elections_prod/1292/state/01/lga/14/ward/11/pu/003/003-1677400768.pdf</t>
  </si>
  <si>
    <t>OPEN SPACE NEAR BALOGUN IBIRINDE, Polling Unit, IPOKIA, Ogun State, Nigeria</t>
  </si>
  <si>
    <t>27-14-11-004</t>
  </si>
  <si>
    <t>OPEN SPACE NEAR POLICE STATION</t>
  </si>
  <si>
    <t>https://docs.inecelectionresults.net/elections_prod/1292/state/01/lga/14/ward/11/pu/004/004-1677401388.pdf</t>
  </si>
  <si>
    <t>OPEN SPACE NEAR POLICE STATION, Polling Unit, IPOKIA, Ogun State, Nigeria</t>
  </si>
  <si>
    <t>27-14-11-005</t>
  </si>
  <si>
    <t>I.P.L.G SCHOOL IDIROKO</t>
  </si>
  <si>
    <t>https://docs.inecelectionresults.net/elections_prod/1292/state/01/lga/14/ward/11/pu/005/005-1677401779.pdf</t>
  </si>
  <si>
    <t>I.P.L.G SCHOOL IDIROKO, Polling Unit, IPOKIA, Ogun State, Nigeria</t>
  </si>
  <si>
    <t>27-14-11-006</t>
  </si>
  <si>
    <t>AFERIKU SQUARE</t>
  </si>
  <si>
    <t>https://docs.inecelectionresults.net/elections_prod/1292/state/01/lga/14/ward/11/pu/006/006-1677402567.pdf</t>
  </si>
  <si>
    <t>AFERIKU SQUARE, Polling Unit, IPOKIA, Ogun State, Nigeria</t>
  </si>
  <si>
    <t>27-14-11-007</t>
  </si>
  <si>
    <t>OPEN SPACE IN FRONT OF ONIKO PALACE I</t>
  </si>
  <si>
    <t>https://docs.inecelectionresults.net/elections_prod/1292/state/01/lga/14/ward/11/pu/007/007-1677404084.pdf</t>
  </si>
  <si>
    <t>OPEN SPACE IN FRONT OF ONIKO PALACE I, Polling Unit, IPOKIA, Ogun State, Nigeria</t>
  </si>
  <si>
    <t>27-14-11-008</t>
  </si>
  <si>
    <t>OPEN SPACE IN FRONT OF CUSTOMARY COURT HALL</t>
  </si>
  <si>
    <t>https://docs.inecelectionresults.net/elections_prod/1292/state/01/lga/14/ward/11/pu/008/008-1677404935.pdf</t>
  </si>
  <si>
    <t>OPEN SPACE IN FRONT OF CUSTOMARY COURT HALL, Polling Unit, IPOKIA, Ogun State, Nigeria</t>
  </si>
  <si>
    <t>27-14-11-009</t>
  </si>
  <si>
    <t>I.P.L.G SCHOOL IKOLAJE</t>
  </si>
  <si>
    <t>https://docs.inecelectionresults.net/elections_prod/1292/state/01/lga/14/ward/11/pu/009/009-1677405455.pdf</t>
  </si>
  <si>
    <t>I.P.L.G SCHOOL IKOLAJE, Polling Unit, IPOKIA, Ogun State, Nigeria</t>
  </si>
  <si>
    <t>27-14-11-010</t>
  </si>
  <si>
    <t>ETIKOTO SQUARE</t>
  </si>
  <si>
    <t>https://docs.inecelectionresults.net/elections_prod/1292/state/01/lga/14/ward/11/pu/010/010-1677406449.pdf</t>
  </si>
  <si>
    <t>ETIKOTO SQUARE, Polling Unit, IPOKIA, Ogun State, Nigeria</t>
  </si>
  <si>
    <t>27-14-11-011</t>
  </si>
  <si>
    <t>OPEN SPACE NEAR A.U.D AGBABO</t>
  </si>
  <si>
    <t>https://docs.inecelectionresults.net/elections_prod/1292/state/01/lga/14/ward/11/pu/011/011-1677407485.pdf</t>
  </si>
  <si>
    <t>OPEN SPACE NEAR A.U.D AGBABO, Polling Unit, IPOKIA, Ogun State, Nigeria</t>
  </si>
  <si>
    <t>27-14-11-012</t>
  </si>
  <si>
    <t>OPEN SPACE AT ESELU/DEEPER LIFE</t>
  </si>
  <si>
    <t>https://docs.inecelectionresults.net/elections_prod/1292/state/01/lga/14/ward/11/pu/012/012-1677408495.pdf</t>
  </si>
  <si>
    <t>OPEN SPACE AT ESELU/DEEPER LIFE, Polling Unit, IPOKIA, Ogun State, Nigeria</t>
  </si>
  <si>
    <t>27-14-11-013</t>
  </si>
  <si>
    <t>MAYOWA AREA, IDIROKO</t>
  </si>
  <si>
    <t>https://docs.inecelectionresults.net/elections_prod/1292/state/01/lga/14/ward/11/pu/013/013-1677407693.pdf</t>
  </si>
  <si>
    <t>MAYOWA AREA, IDIROKO, Polling Unit, IPOKIA, Ogun State, Nigeria</t>
  </si>
  <si>
    <t>27-14-11-014</t>
  </si>
  <si>
    <t>OPEN SPACE IN FRONT OF ONIKO PALACE II</t>
  </si>
  <si>
    <t>https://docs.inecelectionresults.net/elections_prod/1292/state/01/lga/14/ward/11/pu/014/014-1677409540.pdf</t>
  </si>
  <si>
    <t>OPEN SPACE IN FRONT OF ONIKO PALACE II, Polling Unit, IPOKIA, Ogun State, Nigeria</t>
  </si>
  <si>
    <t>IHUNBO/ ILASE</t>
  </si>
  <si>
    <t>27-14-12-001</t>
  </si>
  <si>
    <t>ST JOHN'S SCH, IHUNBO</t>
  </si>
  <si>
    <t>https://docs.inecelectionresults.net/elections_prod/1292/state/01/lga/14/ward/12/pu/001/001-1677413779.pdf</t>
  </si>
  <si>
    <t>ST JOHN'S SCH, IHUNBO, Polling Unit, IPOKIA, Ogun State, Nigeria</t>
  </si>
  <si>
    <t>27-14-12-003</t>
  </si>
  <si>
    <t>R.C.M ITA EGBE</t>
  </si>
  <si>
    <t>https://docs.inecelectionresults.net/elections_prod/1292/state/01/lga/14/ward/12/pu/003/003-1677414359.pdf</t>
  </si>
  <si>
    <t>R.C.M ITA EGBE, Polling Unit, IPOKIA, Ogun State, Nigeria</t>
  </si>
  <si>
    <t>27-14-12-004</t>
  </si>
  <si>
    <t>I.P.L.G SCH, AYETORO</t>
  </si>
  <si>
    <t>https://docs.inecelectionresults.net/elections_prod/1292/state/01/lga/14/ward/12/pu/004/004-1677413256.pdf</t>
  </si>
  <si>
    <t>I.P.L.G SCH, AYETORO, Polling Unit, IPOKIA, Ogun State, Nigeria</t>
  </si>
  <si>
    <t>27-14-12-005</t>
  </si>
  <si>
    <t>OPEN SPACE NEAR PALACE ILASE</t>
  </si>
  <si>
    <t>https://docs.inecelectionresults.net/elections_prod/1292/state/01/lga/14/ward/12/pu/005/005-1677408461.pdf</t>
  </si>
  <si>
    <t>OPEN SPACE NEAR PALACE ILASE, Polling Unit, IPOKIA, Ogun State, Nigeria</t>
  </si>
  <si>
    <t>27-14-12-006</t>
  </si>
  <si>
    <t>BOOTH AT OKERE</t>
  </si>
  <si>
    <t>https://docs.inecelectionresults.net/elections_prod/1292/state/01/lga/14/ward/12/pu/006/006-1677407703.pdf</t>
  </si>
  <si>
    <t>BOOTH AT OKERE, Polling Unit, IPOKIA, Ogun State, Nigeria</t>
  </si>
  <si>
    <t>27-14-12-007</t>
  </si>
  <si>
    <t>I.P.L.G SCH, ILASE</t>
  </si>
  <si>
    <t>https://docs.inecelectionresults.net/elections_prod/1292/state/01/lga/14/ward/12/pu/007/007-1677412544.pdf</t>
  </si>
  <si>
    <t>I.P.L.G SCH, ILASE, Polling Unit, IPOKIA, Ogun State, Nigeria</t>
  </si>
  <si>
    <t>27-14-12-008</t>
  </si>
  <si>
    <t>OPEN SPACE NEAR IDOFORO CHURCH</t>
  </si>
  <si>
    <t>https://docs.inecelectionresults.net/elections_prod/1292/state/01/lga/14/ward/12/pu/008/008-1677406628.pdf</t>
  </si>
  <si>
    <t>OPEN SPACE NEAR IDOFORO CHURCH, Polling Unit, IPOKIA, Ogun State, Nigeria</t>
  </si>
  <si>
    <t>27-14-12-009</t>
  </si>
  <si>
    <t>PRIMARY SCH, IGANMI</t>
  </si>
  <si>
    <t>https://docs.inecelectionresults.net/elections_prod/1292/state/01/lga/14/ward/12/pu/009/009-1677412024.pdf</t>
  </si>
  <si>
    <t>PRIMARY SCH, IGANMI, Polling Unit, IPOKIA, Ogun State, Nigeria</t>
  </si>
  <si>
    <t>27-14-12-010</t>
  </si>
  <si>
    <t>OPEN SPACE NEAR BAPTIST CHURCH ONIGBEDU</t>
  </si>
  <si>
    <t>https://docs.inecelectionresults.net/elections_prod/1292/state/01/lga/14/ward/12/pu/010/010-1677414325.pdf</t>
  </si>
  <si>
    <t>OPEN SPACE NEAR BAPTIST CHURCH ONIGBEDU, Polling Unit, IPOKIA, Ogun State, Nigeria</t>
  </si>
  <si>
    <t>27-14-12-011</t>
  </si>
  <si>
    <t>BAPTIST DAY SCH, IGBOREDO</t>
  </si>
  <si>
    <t>https://docs.inecelectionresults.net/elections_prod/1292/state/01/lga/14/ward/12/pu/011/011-1677412424.pdf</t>
  </si>
  <si>
    <t>BAPTIST DAY SCH, IGBOREDO, Polling Unit, IPOKIA, Ogun State, Nigeria</t>
  </si>
  <si>
    <t>27-14-12-013</t>
  </si>
  <si>
    <t>OKE OJUMO COMM. PRIMARY SCH ADODO</t>
  </si>
  <si>
    <t>https://docs.inecelectionresults.net/elections_prod/1292/state/01/lga/14/ward/12/pu/013/013-1677411485.pdf</t>
  </si>
  <si>
    <t>OKE OJUMO COMM. PRIMARY SCH ADODO, Polling Unit, IPOKIA, Ogun State, Nigeria</t>
  </si>
  <si>
    <t>27-14-12-015</t>
  </si>
  <si>
    <t>OPEN SPACE NEAR C.A.C OJOLOWO IHUNBO</t>
  </si>
  <si>
    <t>https://docs.inecelectionresults.net/elections_prod/1292/state/01/lga/14/ward/12/pu/015/015-1677405986.pdf</t>
  </si>
  <si>
    <t>OPEN SPACE NEAR C.A.C OJOLOWO IHUNBO, Polling Unit, IPOKIA, Ogun State, Nigeria</t>
  </si>
  <si>
    <t>27-14-12-016</t>
  </si>
  <si>
    <t>BETTER LIFE MARKET - IDI-OPARUN</t>
  </si>
  <si>
    <t>https://docs.inecelectionresults.net/elections_prod/1292/state/01/lga/14/ward/12/pu/016/016-1677405971.pdf</t>
  </si>
  <si>
    <t>BETTER LIFE MARKET - IDI-OPARUN, Polling Unit, IPOKIA, Ogun State, Nigeria</t>
  </si>
  <si>
    <t>27-14-12-017</t>
  </si>
  <si>
    <t>OPEN SPACE AT AKINSOLA FAGBOHUN</t>
  </si>
  <si>
    <t>https://docs.inecelectionresults.net/elections_prod/1292/state/01/lga/14/ward/12/pu/017/017-1677401402.pdf</t>
  </si>
  <si>
    <t>OPEN SPACE AT AKINSOLA FAGBOHUN, Polling Unit, IPOKIA, Ogun State, Nigeria</t>
  </si>
  <si>
    <t>OBAFEMI/OWODE</t>
  </si>
  <si>
    <t>MOKOLOKI</t>
  </si>
  <si>
    <t>27-15-01-002</t>
  </si>
  <si>
    <t>VILLAGE SQUARE ELEWORO</t>
  </si>
  <si>
    <t>https://docs.inecelectionresults.net/elections_prod/1292/state/1/lga/3680/ward/24114/pu/93200/93200-1677584207.pdf</t>
  </si>
  <si>
    <t>VILLAGE SQUARE ELEWORO, Polling Unit, OBAFEMI/OWODE, Ogun State, Nigeria</t>
  </si>
  <si>
    <t>27-15-01-005</t>
  </si>
  <si>
    <t>O.O.L.G SCHOOL,  IYEDI BALOGUN</t>
  </si>
  <si>
    <t>https://docs.inecelectionresults.net/elections_prod/1292/state/01/lga/15/ward/01/pu/005/005-1677401060.pdf</t>
  </si>
  <si>
    <t>O.O.L.G SCHOOL,  IYEDI BALOGUN, Polling Unit, OBAFEMI/OWODE, Ogun State, Nigeria</t>
  </si>
  <si>
    <t>27-15-01-006</t>
  </si>
  <si>
    <t>FRONT OF MATERNITY CENTRE</t>
  </si>
  <si>
    <t>https://docs.inecelectionresults.net/elections_prod/1292/state/01/lga/15/ward/01/pu/006/006-1677398756.pdf</t>
  </si>
  <si>
    <t>FRONT OF MATERNITY CENTRE, Polling Unit, OBAFEMI/OWODE, Ogun State, Nigeria</t>
  </si>
  <si>
    <t>27-15-01-007</t>
  </si>
  <si>
    <t>O.O.L.G. SCHOOL, AJAMBATA</t>
  </si>
  <si>
    <t>https://docs.inecelectionresults.net/elections_prod/1292/state/01/lga/15/ward/01/pu/007/007-1677401161.pdf</t>
  </si>
  <si>
    <t>O.O.L.G. SCHOOL, AJAMBATA, Polling Unit, OBAFEMI/OWODE, Ogun State, Nigeria</t>
  </si>
  <si>
    <t>27-15-01-008</t>
  </si>
  <si>
    <t>A/C SCHOOL, OBANLADO</t>
  </si>
  <si>
    <t>https://docs.inecelectionresults.net/elections_prod/1292/state/01/lga/15/ward/01/pu/008/008-1677401509.pdf</t>
  </si>
  <si>
    <t>A/C SCHOOL, OBANLADO, Polling Unit, OBAFEMI/OWODE, Ogun State, Nigeria</t>
  </si>
  <si>
    <t>OFADA</t>
  </si>
  <si>
    <t>27-15-02-001</t>
  </si>
  <si>
    <t>O.O.L.G. SCHOOL, MAGBON ETIDO</t>
  </si>
  <si>
    <t>https://docs.inecelectionresults.net/elections_prod/1292/state/1/lga/3680/ward/24115/pu/93207/93207-1677537933.pdf</t>
  </si>
  <si>
    <t>O.O.L.G. SCHOOL, MAGBON ETIDO, Polling Unit, OBAFEMI/OWODE, Ogun State, Nigeria</t>
  </si>
  <si>
    <t>27-15-02-002</t>
  </si>
  <si>
    <t>O.O.L.G. SCHOOL, ABAREN</t>
  </si>
  <si>
    <t>https://docs.inecelectionresults.net/elections_prod/1292/state/1/lga/3680/ward/24115/pu/93208/93208-1677538108.pdf</t>
  </si>
  <si>
    <t>O.O.L.G. SCHOOL, ABAREN, Polling Unit, OBAFEMI/OWODE, Ogun State, Nigeria</t>
  </si>
  <si>
    <t>27-15-02-004</t>
  </si>
  <si>
    <t>ST. DAVID SCHOOL, OFADA II</t>
  </si>
  <si>
    <t>https://docs.inecelectionresults.net/elections_prod/1292/state/1/lga/3680/ward/24115/pu/93210/93210-1677538301.pdf</t>
  </si>
  <si>
    <t>ST. DAVID SCHOOL, OFADA II, Polling Unit, OBAFEMI/OWODE, Ogun State, Nigeria</t>
  </si>
  <si>
    <t>27-15-02-005</t>
  </si>
  <si>
    <t>ST. DAVID SCHOOL, OFADA III</t>
  </si>
  <si>
    <t>https://docs.inecelectionresults.net/elections_prod/1292/state/1/lga/3680/ward/24115/pu/93211/93211-1677538713.pdf</t>
  </si>
  <si>
    <t>ST. DAVID SCHOOL, OFADA III, Polling Unit, OBAFEMI/OWODE, Ogun State, Nigeria</t>
  </si>
  <si>
    <t>27-15-02-006</t>
  </si>
  <si>
    <t>A/C SCHOOL, OKO ARAFERIN</t>
  </si>
  <si>
    <t>https://docs.inecelectionresults.net/elections_prod/1292/state/1/lga/3680/ward/24115/pu/93212/93212-1677538910.pdf</t>
  </si>
  <si>
    <t>A/C SCHOOL, OKO ARAFERIN, Polling Unit, OBAFEMI/OWODE, Ogun State, Nigeria</t>
  </si>
  <si>
    <t>27-15-02-007</t>
  </si>
  <si>
    <t>O.O.L.G. SCHOOL, IBAFO  I</t>
  </si>
  <si>
    <t>https://docs.inecelectionresults.net/elections_prod/1292/state/1/lga/3680/ward/24115/pu/93213/93213-1677539048.pdf</t>
  </si>
  <si>
    <t>O.O.L.G. SCHOOL, IBAFO  I, Polling Unit, OBAFEMI/OWODE, Ogun State, Nigeria</t>
  </si>
  <si>
    <t>27-15-02-008</t>
  </si>
  <si>
    <t>O.O.L.G. SCHOOL, IBAFO  II</t>
  </si>
  <si>
    <t>https://docs.inecelectionresults.net/elections_prod/1292/state/1/lga/3680/ward/24115/pu/93214/93214-1677539980.pdf</t>
  </si>
  <si>
    <t>O.O.L.G. SCHOOL, IBAFO  II, Polling Unit, OBAFEMI/OWODE, Ogun State, Nigeria</t>
  </si>
  <si>
    <t>27-15-02-009</t>
  </si>
  <si>
    <t>O.O.L.G. SCHOOL, IBAFO  III</t>
  </si>
  <si>
    <t>https://docs.inecelectionresults.net/elections_prod/1292/state/1/lga/3680/ward/24115/pu/93215/93215-1677539578.pdf</t>
  </si>
  <si>
    <t>O.O.L.G. SCHOOL, IBAFO  III, Polling Unit, OBAFEMI/OWODE, Ogun State, Nigeria</t>
  </si>
  <si>
    <t>27-15-02-011</t>
  </si>
  <si>
    <t>O.O.L.G. SCHOOL,  AREPO</t>
  </si>
  <si>
    <t>https://docs.inecelectionresults.net/elections_prod/1292/state/1/lga/3680/ward/24115/pu/93217/93217-1677540171.pdf</t>
  </si>
  <si>
    <t>O.O.L.G. SCHOOL,  AREPO, Polling Unit, OBAFEMI/OWODE, Ogun State, Nigeria</t>
  </si>
  <si>
    <t>27-15-02-012</t>
  </si>
  <si>
    <t>O.O.L.G. SCHOOL, ORIMERUNMU I</t>
  </si>
  <si>
    <t>https://docs.inecelectionresults.net/elections_prod/1292/state/1/lga/3680/ward/24115/pu/93218/93218-1677540289.pdf</t>
  </si>
  <si>
    <t>O.O.L.G. SCHOOL, ORIMERUNMU I, Polling Unit, OBAFEMI/OWODE, Ogun State, Nigeria</t>
  </si>
  <si>
    <t>27-15-02-013</t>
  </si>
  <si>
    <t>O.O.L.G. SCHOOL, ORIMERUNMU II</t>
  </si>
  <si>
    <t>https://docs.inecelectionresults.net/elections_prod/1292/state/1/lga/3680/ward/24115/pu/93219/93219-1677540472.pdf</t>
  </si>
  <si>
    <t>O.O.L.G. SCHOOL, ORIMERUNMU II, Polling Unit, OBAFEMI/OWODE, Ogun State, Nigeria</t>
  </si>
  <si>
    <t>27-15-02-014</t>
  </si>
  <si>
    <t>O.O.L.G. SCHOOL, MOWE  I</t>
  </si>
  <si>
    <t>https://docs.inecelectionresults.net/elections_prod/1292/state/1/lga/3680/ward/24115/pu/93220/93220-1677540643.pdf</t>
  </si>
  <si>
    <t>O.O.L.G. SCHOOL, MOWE  I, Polling Unit, OBAFEMI/OWODE, Ogun State, Nigeria</t>
  </si>
  <si>
    <t>27-15-02-015</t>
  </si>
  <si>
    <t>O.O.L.G. SCHOOL, MOWE  II</t>
  </si>
  <si>
    <t>https://docs.inecelectionresults.net/elections_prod/1292/state/1/lga/3680/ward/24115/pu/93221/93221-1677540793.pdf</t>
  </si>
  <si>
    <t>O.O.L.G. SCHOOL, MOWE  II, Polling Unit, OBAFEMI/OWODE, Ogun State, Nigeria</t>
  </si>
  <si>
    <t>27-15-02-016</t>
  </si>
  <si>
    <t>O.O.L.G. SCHOOL, PAKURO</t>
  </si>
  <si>
    <t>https://docs.inecelectionresults.net/elections_prod/1292/state/1/lga/3680/ward/24115/pu/93222/93222-1677541107.pdf</t>
  </si>
  <si>
    <t>O.O.L.G. SCHOOL, PAKURO, Polling Unit, OBAFEMI/OWODE, Ogun State, Nigeria</t>
  </si>
  <si>
    <t>27-15-02-018</t>
  </si>
  <si>
    <t>O.O.L.G. SCHOOL, ARIGBAWONWO</t>
  </si>
  <si>
    <t>https://docs.inecelectionresults.net/elections_prod/1292/state/1/lga/3680/ward/24115/pu/93224/93224-1677541445.pdf</t>
  </si>
  <si>
    <t>O.O.L.G. SCHOOL, ARIGBAWONWO, Polling Unit, OBAFEMI/OWODE, Ogun State, Nigeria</t>
  </si>
  <si>
    <t>27-15-02-020</t>
  </si>
  <si>
    <t>BOOTH AT AKINOLA'S SQUARE PAKURO</t>
  </si>
  <si>
    <t>https://docs.inecelectionresults.net/elections_prod/1292/state/1/lga/3680/ward/24115/pu/93226/93226-1677541713.pdf</t>
  </si>
  <si>
    <t>BOOTH AT AKINOLA'S SQUARE PAKURO, Polling Unit, OBAFEMI/OWODE, Ogun State, Nigeria</t>
  </si>
  <si>
    <t>OWODE</t>
  </si>
  <si>
    <t>27-15-03-002</t>
  </si>
  <si>
    <t>ALL SAINTS SCHOOL I, OWODE  II</t>
  </si>
  <si>
    <t>https://docs.inecelectionresults.net/elections_prod/1292/state/1/lga/3680/ward/24116/pu/93243/93243-1677603926.pdf</t>
  </si>
  <si>
    <t>ALL SAINTS SCHOOL I, OWODE  II, Polling Unit, OBAFEMI/OWODE, Ogun State, Nigeria</t>
  </si>
  <si>
    <t>27-15-03-003</t>
  </si>
  <si>
    <t>ALL SAINTS SCHOOL I, OWODE  III</t>
  </si>
  <si>
    <t>https://docs.inecelectionresults.net/elections_prod/1292/state/1/lga/3680/ward/24116/pu/93244/93244-1677604169.pdf</t>
  </si>
  <si>
    <t>ALL SAINTS SCHOOL I, OWODE  III, Polling Unit, OBAFEMI/OWODE, Ogun State, Nigeria</t>
  </si>
  <si>
    <t>27-15-03-004</t>
  </si>
  <si>
    <t>ALL SAINTS SCHOOL II, OWODE I</t>
  </si>
  <si>
    <t>https://docs.inecelectionresults.net/elections_prod/1292/state/1/lga/3680/ward/24116/pu/93245/93245-1677600910.pdf</t>
  </si>
  <si>
    <t>ALL SAINTS SCHOOL II, OWODE I, Polling Unit, OBAFEMI/OWODE, Ogun State, Nigeria</t>
  </si>
  <si>
    <t>27-15-03-005</t>
  </si>
  <si>
    <t>ALL SAINTS SCHOOL II, OWODE II</t>
  </si>
  <si>
    <t>https://docs.inecelectionresults.net/elections_prod/1292/state/1/lga/3680/ward/24116/pu/93246/93246-1677603128.pdf</t>
  </si>
  <si>
    <t>ALL SAINTS SCHOOL II, OWODE II, Polling Unit, OBAFEMI/OWODE, Ogun State, Nigeria</t>
  </si>
  <si>
    <t>27-15-03-006</t>
  </si>
  <si>
    <t>MARKET STALL, GELEODUN</t>
  </si>
  <si>
    <t>https://docs.inecelectionresults.net/elections_prod/1292/state/1/lga/3680/ward/24116/pu/93247/93247-1677603659.pdf</t>
  </si>
  <si>
    <t>MARKET STALL, GELEODUN, Polling Unit, OBAFEMI/OWODE, Ogun State, Nigeria</t>
  </si>
  <si>
    <t>27-15-03-007</t>
  </si>
  <si>
    <t>A/C SCHOOL AKINBO</t>
  </si>
  <si>
    <t>https://docs.inecelectionresults.net/elections_prod/1292/state/1/lga/3680/ward/24116/pu/93248/93248-1677601974.pdf</t>
  </si>
  <si>
    <t>A/C SCHOOL AKINBO, Polling Unit, OBAFEMI/OWODE, Ogun State, Nigeria</t>
  </si>
  <si>
    <t>27-15-03-008</t>
  </si>
  <si>
    <t>A.U.D. SCHOOL SOMEKE</t>
  </si>
  <si>
    <t>https://inec-cvr-cache.s3.eu-west-1.amazonaws.com/cached/results/92148/result_79919_1677524193_thumb.jpg</t>
  </si>
  <si>
    <t>A.U.D. SCHOOL SOMEKE, Polling Unit, OBAFEMI/OWODE, Ogun State, Nigeria</t>
  </si>
  <si>
    <t>27-15-03-009</t>
  </si>
  <si>
    <t>O.O.L.G. SCHOOL, OLOWOKOJEBI</t>
  </si>
  <si>
    <t>https://inec-cvr-cache.s3.eu-west-1.amazonaws.com/cached/results/92149/result_79920_1677516175_thumb.jpg</t>
  </si>
  <si>
    <t>O.O.L.G. SCHOOL, OLOWOKOJEBI, Polling Unit, OBAFEMI/OWODE, Ogun State, Nigeria</t>
  </si>
  <si>
    <t>27-15-03-011</t>
  </si>
  <si>
    <t>A/C SCHOOL, ORILE-IGBEIN II</t>
  </si>
  <si>
    <t>https://inec-cvr-cache.s3.eu-west-1.amazonaws.com/cached/results/92151/result_79922_1677592674_thumb.jpg</t>
  </si>
  <si>
    <t>A/C SCHOOL, ORILE-IGBEIN II, Polling Unit, OBAFEMI/OWODE, Ogun State, Nigeria</t>
  </si>
  <si>
    <t>27-15-03-012</t>
  </si>
  <si>
    <t>27-15-03-013</t>
  </si>
  <si>
    <t>O.O.L.G. SCHOOL, KORISA</t>
  </si>
  <si>
    <t>https://inec-cvr-cache.s3.eu-west-1.amazonaws.com/cached/results/92153/result_79924_1677532064_thumb.jpg</t>
  </si>
  <si>
    <t>O.O.L.G. SCHOOL, KORISA, Polling Unit, OBAFEMI/OWODE, Ogun State, Nigeria</t>
  </si>
  <si>
    <t>27-15-03-015</t>
  </si>
  <si>
    <t>FRONT OF DISP. ISALE OWODE II</t>
  </si>
  <si>
    <t>https://docs.inecelectionresults.net/elections_prod/1292/state/1/lga/3680/ward/24116/pu/93256/93256-1677601600.pdf</t>
  </si>
  <si>
    <t>FRONT OF DISP. ISALE OWODE II, Polling Unit, OBAFEMI/OWODE, Ogun State, Nigeria</t>
  </si>
  <si>
    <t>27-15-03-019</t>
  </si>
  <si>
    <t>FORNT OF ELESHIN'S HOUSE EGURU</t>
  </si>
  <si>
    <t>https://docs.inecelectionresults.net/elections_prod/1292/state/01/lga/15/ward/03/pu/019/019-1677405799.pdf</t>
  </si>
  <si>
    <t>FORNT OF ELESHIN'S HOUSE EGURU, Polling Unit, OBAFEMI/OWODE, Ogun State, Nigeria</t>
  </si>
  <si>
    <t>27-15-03-020</t>
  </si>
  <si>
    <t>N.U.D SCHOOL OWODE</t>
  </si>
  <si>
    <t>https://docs.inecelectionresults.net/elections_prod/1292/state/1/lga/3680/ward/24116/pu/93261/93261-1677602288.pdf</t>
  </si>
  <si>
    <t>N.U.D SCHOOL OWODE, Polling Unit, OBAFEMI/OWODE, Ogun State, Nigeria</t>
  </si>
  <si>
    <t>27-15-03-022</t>
  </si>
  <si>
    <t>OWODE HIGH SCH., OWODE</t>
  </si>
  <si>
    <t>https://inec-cvr-cache.s3.eu-west-1.amazonaws.com/cached/results/92162/result_79933_1677518857_thumb.jpg</t>
  </si>
  <si>
    <t>OWODE HIGH SCH., OWODE, Polling Unit, OBAFEMI/OWODE, Ogun State, Nigeria</t>
  </si>
  <si>
    <t>AJURA</t>
  </si>
  <si>
    <t>27-15-04-003</t>
  </si>
  <si>
    <t>ST. JOHN SCHOOL, AJURA  I</t>
  </si>
  <si>
    <t>https://inec-cvr-cache.s3.eu-west-1.amazonaws.com/cached/results/92165/result_79953_1677548749_thumb.jpg</t>
  </si>
  <si>
    <t>ST. JOHN SCHOOL, AJURA  I, Polling Unit, OBAFEMI/OWODE, Ogun State, Nigeria</t>
  </si>
  <si>
    <t>27-15-04-004</t>
  </si>
  <si>
    <t>ST. JOHN SCHOOL, AJURA  II</t>
  </si>
  <si>
    <t>https://docs.inecelectionresults.net/elections_prod/1292/state/01/lga/15/ward/04/pu/004/004-1677414760.pdf</t>
  </si>
  <si>
    <t>ST. JOHN SCHOOL, AJURA  II, Polling Unit, OBAFEMI/OWODE, Ogun State, Nigeria</t>
  </si>
  <si>
    <t>27-15-04-006</t>
  </si>
  <si>
    <t>COMM. SCH, ORITA IJAYE I</t>
  </si>
  <si>
    <t>https://docs.inecelectionresults.net/elections_prod/1292/state/01/lga/15/ward/04/pu/006/006-1677418292.pdf</t>
  </si>
  <si>
    <t>COMM. SCH, ORITA IJAYE I, Polling Unit, OBAFEMI/OWODE, Ogun State, Nigeria</t>
  </si>
  <si>
    <t>27-15-04-007</t>
  </si>
  <si>
    <t>COMM. SCH, ORITA IJAYE II</t>
  </si>
  <si>
    <t>https://docs.inecelectionresults.net/elections_prod/1292/state/01/lga/15/ward/04/pu/007/007-1677404919.pdf</t>
  </si>
  <si>
    <t>COMM. SCH, ORITA IJAYE II, Polling Unit, OBAFEMI/OWODE, Ogun State, Nigeria</t>
  </si>
  <si>
    <t>27-15-04-008</t>
  </si>
  <si>
    <t>ST. PETER  ANG. SCH. IKANNA BALOGUN  I</t>
  </si>
  <si>
    <t>https://docs.inecelectionresults.net/elections_prod/1292/state/01/lga/15/ward/04/pu/008/008-1677409239.pdf</t>
  </si>
  <si>
    <t>ST. PETER  ANG. SCH. IKANNA BALOGUN  I, Polling Unit, OBAFEMI/OWODE, Ogun State, Nigeria</t>
  </si>
  <si>
    <t>27-15-04-009</t>
  </si>
  <si>
    <t>ST. PETER ANG. SCH, IKANNA BALOGUN II</t>
  </si>
  <si>
    <t>https://inec-cvr-cache.s3.eu-west-1.amazonaws.com/cached/results/92171/result_79959_1677549557_thumb.jpg</t>
  </si>
  <si>
    <t>ST. PETER ANG. SCH, IKANNA BALOGUN II, Polling Unit, OBAFEMI/OWODE, Ogun State, Nigeria</t>
  </si>
  <si>
    <t>27-15-04-010</t>
  </si>
  <si>
    <t>ST.PETERS SCH.,AWO APENA</t>
  </si>
  <si>
    <t>https://inec-cvr-cache.s3.eu-west-1.amazonaws.com/cached/results/92172/result_79960_1677547721_thumb.jpg</t>
  </si>
  <si>
    <t>ST.PETERS SCH.,AWO APENA, Polling Unit, OBAFEMI/OWODE, Ogun State, Nigeria</t>
  </si>
  <si>
    <t>27-15-04-012</t>
  </si>
  <si>
    <t>N.U.D. SCHOOL, ORILE - IMO II</t>
  </si>
  <si>
    <t>https://docs.inecelectionresults.net/elections_prod/1292/state/01/lga/15/ward/04/pu/012/012-1677417219.pdf</t>
  </si>
  <si>
    <t>N.U.D. SCHOOL, ORILE - IMO II, Polling Unit, OBAFEMI/OWODE, Ogun State, Nigeria</t>
  </si>
  <si>
    <t>27-15-04-013</t>
  </si>
  <si>
    <t>EREDO ALASE VILLAGE SQUARE</t>
  </si>
  <si>
    <t>https://inec-cvr-cache.s3.eu-west-1.amazonaws.com/cached/results/92175/result_79963_1677549016_thumb.jpg</t>
  </si>
  <si>
    <t>EREDO ALASE VILLAGE SQUARE, Polling Unit, OBAFEMI/OWODE, Ogun State, Nigeria</t>
  </si>
  <si>
    <t>27-15-04-014</t>
  </si>
  <si>
    <t>O.O.L.G. SCHOOL, POTOKI</t>
  </si>
  <si>
    <t>https://inec-cvr-cache.s3.eu-west-1.amazonaws.com/cached/results/92176/result_79964_1677498725_thumb.jpg</t>
  </si>
  <si>
    <t>O.O.L.G. SCHOOL, POTOKI, Polling Unit, OBAFEMI/OWODE, Ogun State, Nigeria</t>
  </si>
  <si>
    <t>27-15-04-015</t>
  </si>
  <si>
    <t>ANG. SCHOOL,  SEMORE  I</t>
  </si>
  <si>
    <t>https://inec-cvr-cache.s3.eu-west-1.amazonaws.com/cached/results/92177/result_79965_1677548422_thumb.jpg</t>
  </si>
  <si>
    <t>ANG. SCHOOL,  SEMORE  I, Polling Unit, OBAFEMI/OWODE, Ogun State, Nigeria</t>
  </si>
  <si>
    <t>27-15-04-016</t>
  </si>
  <si>
    <t>ANG. SCHOOL,  SEMORE  II</t>
  </si>
  <si>
    <t>https://docs.inecelectionresults.net/elections_prod/1292/state/01/lga/15/ward/04/pu/016/016-1677413630.pdf</t>
  </si>
  <si>
    <t>ANG. SCHOOL,  SEMORE  II, Polling Unit, OBAFEMI/OWODE, Ogun State, Nigeria</t>
  </si>
  <si>
    <t>27-15-04-017</t>
  </si>
  <si>
    <t>OPEN SPACE AT SERIKI VILLAGE</t>
  </si>
  <si>
    <t>https://inec-cvr-cache.s3.eu-west-1.amazonaws.com/cached/results/92179/result_79967_1677500581_thumb.jpg</t>
  </si>
  <si>
    <t>OPEN SPACE AT SERIKI VILLAGE, Polling Unit, OBAFEMI/OWODE, Ogun State, Nigeria</t>
  </si>
  <si>
    <t>27-15-04-018</t>
  </si>
  <si>
    <t>IKANNA OLUWO</t>
  </si>
  <si>
    <t>https://inec-cvr-cache.s3.eu-west-1.amazonaws.com/cached/results/92180/result_79968_1677552884_thumb.jpg</t>
  </si>
  <si>
    <t>IKANNA OLUWO, Polling Unit, OBAFEMI/OWODE, Ogun State, Nigeria</t>
  </si>
  <si>
    <t>MOLOKO-ASIPA</t>
  </si>
  <si>
    <t>27-15-05-001</t>
  </si>
  <si>
    <t>UNITED ANG. SCHOOL, MOLOKO - ASIPA  I</t>
  </si>
  <si>
    <t>https://docs.inecelectionresults.net/elections_prod/1292/state/1/lga/3680/ward/24118/pu/93282/93282-1677484033.pdf</t>
  </si>
  <si>
    <t>UNITED ANG. SCHOOL, MOLOKO - ASIPA  I, Polling Unit, OBAFEMI/OWODE, Ogun State, Nigeria</t>
  </si>
  <si>
    <t>27-15-05-002</t>
  </si>
  <si>
    <t>UNITED ANG. SCHOOL, MOLOKO - ASIPA  II</t>
  </si>
  <si>
    <t>https://inec-cvr-cache.s3.eu-west-1.amazonaws.com/cached/results/92182/result_79972_1677569647_thumb.jpg</t>
  </si>
  <si>
    <t>UNITED ANG. SCHOOL, MOLOKO - ASIPA  II, Polling Unit, OBAFEMI/OWODE, Ogun State, Nigeria</t>
  </si>
  <si>
    <t>27-15-05-003</t>
  </si>
  <si>
    <t>O.O.L.G. SCHOOL, OBA SERIKI</t>
  </si>
  <si>
    <t>https://inec-cvr-cache.s3.eu-west-1.amazonaws.com/cached/results/92183/result_79973_1677569811_thumb.jpg</t>
  </si>
  <si>
    <t>O.O.L.G. SCHOOL, OBA SERIKI, Polling Unit, OBAFEMI/OWODE, Ogun State, Nigeria</t>
  </si>
  <si>
    <t>27-15-05-005</t>
  </si>
  <si>
    <t>COMMUNITY HALL, KOBAPE</t>
  </si>
  <si>
    <t>https://inec-cvr-cache.s3.eu-west-1.amazonaws.com/cached/results/92185/result_79975_1677570067_thumb.jpg</t>
  </si>
  <si>
    <t>COMMUNITY HALL, KOBAPE, Polling Unit, OBAFEMI/OWODE, Ogun State, Nigeria</t>
  </si>
  <si>
    <t>27-15-05-006</t>
  </si>
  <si>
    <t>O.O.L.G. SCHOOL, MOGBAFOFO</t>
  </si>
  <si>
    <t>https://inec-cvr-cache.s3.eu-west-1.amazonaws.com/cached/results/92186/result_79976_1677570194_thumb.jpg</t>
  </si>
  <si>
    <t>O.O.L.G. SCHOOL, MOGBAFOFO, Polling Unit, OBAFEMI/OWODE, Ogun State, Nigeria</t>
  </si>
  <si>
    <t>27-15-05-007</t>
  </si>
  <si>
    <t>A/C SCHOOL, OSIKI</t>
  </si>
  <si>
    <t>https://inec-cvr-cache.s3.eu-west-1.amazonaws.com/cached/results/92187/result_79977_1677570305_thumb.jpg</t>
  </si>
  <si>
    <t>A/C SCHOOL, OSIKI, Polling Unit, OBAFEMI/OWODE, Ogun State, Nigeria</t>
  </si>
  <si>
    <t>27-15-05-008</t>
  </si>
  <si>
    <t>R.C.M. SCHOOL, IDOWU OFONRAN</t>
  </si>
  <si>
    <t>https://inec-cvr-cache.s3.eu-west-1.amazonaws.com/cached/results/92188/result_79978_1677570807_thumb.jpg</t>
  </si>
  <si>
    <t>R.C.M. SCHOOL, IDOWU OFONRAN, Polling Unit, OBAFEMI/OWODE, Ogun State, Nigeria</t>
  </si>
  <si>
    <t>27-15-05-009</t>
  </si>
  <si>
    <t>O.O.L.G. SCHOOL, ARO-ERE</t>
  </si>
  <si>
    <t>https://inec-cvr-cache.s3.eu-west-1.amazonaws.com/cached/results/92189/result_79979_1677570942_thumb.jpg</t>
  </si>
  <si>
    <t>O.O.L.G. SCHOOL, ARO-ERE, Polling Unit, OBAFEMI/OWODE, Ogun State, Nigeria</t>
  </si>
  <si>
    <t>27-15-05-010</t>
  </si>
  <si>
    <t>ANG. PRIMARY SCHOOL, ONIPEPEYE</t>
  </si>
  <si>
    <t>https://inec-cvr-cache.s3.eu-west-1.amazonaws.com/cached/results/92190/result_79980_1677568687_thumb.jpg</t>
  </si>
  <si>
    <t>ANG. PRIMARY SCHOOL, ONIPEPEYE, Polling Unit, OBAFEMI/OWODE, Ogun State, Nigeria</t>
  </si>
  <si>
    <t>27-15-05-011</t>
  </si>
  <si>
    <t>N.U.D. PRIMARY SCH. MAGBAGBODUN</t>
  </si>
  <si>
    <t>https://inec-cvr-cache.s3.eu-west-1.amazonaws.com/cached/results/92191/result_79981_1677568971_thumb.jpg</t>
  </si>
  <si>
    <t>N.U.D. PRIMARY SCH. MAGBAGBODUN, Polling Unit, OBAFEMI/OWODE, Ogun State, Nigeria</t>
  </si>
  <si>
    <t>27-15-05-012</t>
  </si>
  <si>
    <t>OPEN SPACE A IMO EMULU</t>
  </si>
  <si>
    <t>https://inec-cvr-cache.s3.eu-west-1.amazonaws.com/cached/results/92192/result_79982_1677572615_thumb.jpg</t>
  </si>
  <si>
    <t>OPEN SPACE A IMO EMULU, Polling Unit, OBAFEMI/OWODE, Ogun State, Nigeria</t>
  </si>
  <si>
    <t>27-15-05-013</t>
  </si>
  <si>
    <t>OPEN SPACE AT OKUSAN VILLAGE</t>
  </si>
  <si>
    <t>https://inec-cvr-cache.s3.eu-west-1.amazonaws.com/cached/results/92193/result_79983_1677569336_thumb.jpg</t>
  </si>
  <si>
    <t>OPEN SPACE AT OKUSAN VILLAGE, Polling Unit, OBAFEMI/OWODE, Ogun State, Nigeria</t>
  </si>
  <si>
    <t>27-15-05-014</t>
  </si>
  <si>
    <t>OPEN SPACE AT LIBEGUN VILLAGE</t>
  </si>
  <si>
    <t>https://inec-cvr-cache.s3.eu-west-1.amazonaws.com/cached/results/92194/result_79984_1677569514_thumb.jpg</t>
  </si>
  <si>
    <t>OPEN SPACE AT LIBEGUN VILLAGE, Polling Unit, OBAFEMI/OWODE, Ogun State, Nigeria</t>
  </si>
  <si>
    <t>ONIDUNDU</t>
  </si>
  <si>
    <t>27-15-06-001</t>
  </si>
  <si>
    <t>CHRIST ANG. SCH., AFOJUPANLA</t>
  </si>
  <si>
    <t>https://inec-cvr-cache.s3.eu-west-1.amazonaws.com/cached/results/92195/result_79987_1677497131_thumb.jpg</t>
  </si>
  <si>
    <t>CHRIST ANG. SCH., AFOJUPANLA, Polling Unit, OBAFEMI/OWODE, Ogun State, Nigeria</t>
  </si>
  <si>
    <t>27-15-06-002</t>
  </si>
  <si>
    <t>A/C SCHOOL, SOSERI</t>
  </si>
  <si>
    <t>https://inec-cvr-cache.s3.eu-west-1.amazonaws.com/cached/results/92196/result_79988_1677499559_thumb.jpg</t>
  </si>
  <si>
    <t>A/C SCHOOL, SOSERI, Polling Unit, OBAFEMI/OWODE, Ogun State, Nigeria</t>
  </si>
  <si>
    <t>27-15-06-003</t>
  </si>
  <si>
    <t>FRONT OF MATERNITY CENTRE, ONIDUNDU</t>
  </si>
  <si>
    <t>https://inec-cvr-cache.s3.eu-west-1.amazonaws.com/cached/results/92197/result_79989_1677500607_thumb.jpg</t>
  </si>
  <si>
    <t>FRONT OF MATERNITY CENTRE, ONIDUNDU, Polling Unit, OBAFEMI/OWODE, Ogun State, Nigeria</t>
  </si>
  <si>
    <t>27-15-06-005</t>
  </si>
  <si>
    <t>A/C SCHOOL, OROGBO - LAMODI</t>
  </si>
  <si>
    <t>https://docs.inecelectionresults.net/elections_prod/1292/state/01/lga/15/ward/06/pu/005/005-1677395829.pdf</t>
  </si>
  <si>
    <t>A/C SCHOOL, OROGBO - LAMODI, Polling Unit, OBAFEMI/OWODE, Ogun State, Nigeria</t>
  </si>
  <si>
    <t>27-15-06-006</t>
  </si>
  <si>
    <t>A/C SCHOOL, LALOKO</t>
  </si>
  <si>
    <t>https://inec-cvr-cache.s3.eu-west-1.amazonaws.com/cached/results/92200/result_79992_1677508134_thumb.jpg</t>
  </si>
  <si>
    <t>A/C SCHOOL, LALOKO, Polling Unit, OBAFEMI/OWODE, Ogun State, Nigeria</t>
  </si>
  <si>
    <t>27-15-06-007</t>
  </si>
  <si>
    <t>O.O.L.G. SCHOOL, OGBE, ODUJOKO</t>
  </si>
  <si>
    <t>https://inec-cvr-cache.s3.eu-west-1.amazonaws.com/cached/results/92201/result_79993_1677497396_thumb.jpg</t>
  </si>
  <si>
    <t>O.O.L.G. SCHOOL, OGBE, ODUJOKO, Polling Unit, OBAFEMI/OWODE, Ogun State, Nigeria</t>
  </si>
  <si>
    <t>27-15-06-008</t>
  </si>
  <si>
    <t>A/C SCHOOL, MUSIN ORE</t>
  </si>
  <si>
    <t>https://inec-cvr-cache.s3.eu-west-1.amazonaws.com/cached/results/92202/result_79994_1677510107_thumb.jpg</t>
  </si>
  <si>
    <t>A/C SCHOOL, MUSIN ORE, Polling Unit, OBAFEMI/OWODE, Ogun State, Nigeria</t>
  </si>
  <si>
    <t>27-15-06-009</t>
  </si>
  <si>
    <t>O.O.L.G. SCHOOL, AJANA - LIYEBI</t>
  </si>
  <si>
    <t>https://inec-cvr-cache.s3.eu-west-1.amazonaws.com/cached/results/92203/result_79995_1677496265_thumb.jpg</t>
  </si>
  <si>
    <t>O.O.L.G. SCHOOL, AJANA - LIYEBI, Polling Unit, OBAFEMI/OWODE, Ogun State, Nigeria</t>
  </si>
  <si>
    <t>27-15-06-010</t>
  </si>
  <si>
    <t>IJEMO LUSI (SCHOOL)</t>
  </si>
  <si>
    <t>https://inec-cvr-cache.s3.eu-west-1.amazonaws.com/cached/results/92204/result_79996_1677510122_thumb.jpg</t>
  </si>
  <si>
    <t>IJEMO LUSI (SCHOOL), Polling Unit, OBAFEMI/OWODE, Ogun State, Nigeria</t>
  </si>
  <si>
    <t>27-15-06-011</t>
  </si>
  <si>
    <t>OPEN SPACE AT AKISAN</t>
  </si>
  <si>
    <t>https://inec-cvr-cache.s3.eu-west-1.amazonaws.com/cached/results/92205/result_79997_1677497699_thumb.jpg</t>
  </si>
  <si>
    <t>OPEN SPACE AT AKISAN, Polling Unit, OBAFEMI/OWODE, Ogun State, Nigeria</t>
  </si>
  <si>
    <t>27-15-06-012</t>
  </si>
  <si>
    <t>OPEN SPACE AT OMUN</t>
  </si>
  <si>
    <t>https://inec-cvr-cache.s3.eu-west-1.amazonaws.com/cached/results/92206/result_79998_1677498153_thumb.jpg</t>
  </si>
  <si>
    <t>OPEN SPACE AT OMUN, Polling Unit, OBAFEMI/OWODE, Ogun State, Nigeria</t>
  </si>
  <si>
    <t>27-15-06-013</t>
  </si>
  <si>
    <t>OPEN SPACE AT ERINFUNOKE</t>
  </si>
  <si>
    <t>https://inec-cvr-cache.s3.eu-west-1.amazonaws.com/cached/results/92207/result_79999_1677497287_thumb.jpg</t>
  </si>
  <si>
    <t>OPEN SPACE AT ERINFUNOKE, Polling Unit, OBAFEMI/OWODE, Ogun State, Nigeria</t>
  </si>
  <si>
    <t>OBA</t>
  </si>
  <si>
    <t>27-15-07-001</t>
  </si>
  <si>
    <t>CHRIST ANG. SCHOOL, OBA  I</t>
  </si>
  <si>
    <t>https://docs.inecelectionresults.net/elections_prod/1292/state/01/lga/15/ward/07/pu/001/001-1677426072.pdf</t>
  </si>
  <si>
    <t>CHRIST ANG. SCHOOL, OBA  I, Polling Unit, OBAFEMI/OWODE, Ogun State, Nigeria</t>
  </si>
  <si>
    <t>27-15-07-002</t>
  </si>
  <si>
    <t>CHRIST ANG. SCHOOL, OBA  II</t>
  </si>
  <si>
    <t>https://docs.inecelectionresults.net/elections_prod/1292/state/01/lga/15/ward/07/pu/002/002-1677421854.pdf</t>
  </si>
  <si>
    <t>CHRIST ANG. SCHOOL, OBA  II, Polling Unit, OBAFEMI/OWODE, Ogun State, Nigeria</t>
  </si>
  <si>
    <t>27-15-07-003</t>
  </si>
  <si>
    <t>O.O.L.G SCH SODUBI</t>
  </si>
  <si>
    <t>https://docs.inecelectionresults.net/elections_prod/1292/state/01/lga/15/ward/07/pu/003/003-1677426151.pdf</t>
  </si>
  <si>
    <t>O.O.L.G SCH SODUBI, Polling Unit, OBAFEMI/OWODE, Ogun State, Nigeria</t>
  </si>
  <si>
    <t>27-15-07-004</t>
  </si>
  <si>
    <t>ST. MATT. ANG. SCH., LADEMO I</t>
  </si>
  <si>
    <t>https://docs.inecelectionresults.net/elections_prod/1292/state/01/lga/15/ward/07/pu/004/004-1677424550.pdf</t>
  </si>
  <si>
    <t>ST. MATT. ANG. SCH., LADEMO I, Polling Unit, OBAFEMI/OWODE, Ogun State, Nigeria</t>
  </si>
  <si>
    <t>27-15-07-005</t>
  </si>
  <si>
    <t>ST. MATT. ANG. SCH., LADEMO  II</t>
  </si>
  <si>
    <t>https://docs.inecelectionresults.net/elections_prod/1292/state/01/lga/15/ward/07/pu/005/005-1677424262.pdf</t>
  </si>
  <si>
    <t>ST. MATT. ANG. SCH., LADEMO  II, Polling Unit, OBAFEMI/OWODE, Ogun State, Nigeria</t>
  </si>
  <si>
    <t>27-15-07-006</t>
  </si>
  <si>
    <t>ST, PETER ANG. SCHOOL SAARE</t>
  </si>
  <si>
    <t>https://docs.inecelectionresults.net/elections_prod/1292/state/01/lga/15/ward/07/pu/006/006-1677422795.pdf</t>
  </si>
  <si>
    <t>ST, PETER ANG. SCHOOL SAARE, Polling Unit, OBAFEMI/OWODE, Ogun State, Nigeria</t>
  </si>
  <si>
    <t>27-15-07-007</t>
  </si>
  <si>
    <t>O.O.L.G. SCHOOL AJADE, OGUNDIPE</t>
  </si>
  <si>
    <t>https://docs.inecelectionresults.net/elections_prod/1292/state/01/lga/15/ward/07/pu/007/007-1677421119.pdf</t>
  </si>
  <si>
    <t>O.O.L.G. SCHOOL AJADE, OGUNDIPE, Polling Unit, OBAFEMI/OWODE, Ogun State, Nigeria</t>
  </si>
  <si>
    <t>27-15-07-008</t>
  </si>
  <si>
    <t>A/C SCH. ODANA, ASAPONDE</t>
  </si>
  <si>
    <t>https://docs.inecelectionresults.net/elections_prod/1292/state/01/lga/15/ward/07/pu/008/008-1677420163.pdf</t>
  </si>
  <si>
    <t>A/C SCH. ODANA, ASAPONDE, Polling Unit, OBAFEMI/OWODE, Ogun State, Nigeria</t>
  </si>
  <si>
    <t>27-15-07-009</t>
  </si>
  <si>
    <t>O.O.L.G. SCHOOL, ADIGBE I</t>
  </si>
  <si>
    <t>https://docs.inecelectionresults.net/elections_prod/1292/state/01/lga/15/ward/07/pu/009/009-1677425366.pdf</t>
  </si>
  <si>
    <t>O.O.L.G. SCHOOL, ADIGBE I, Polling Unit, OBAFEMI/OWODE, Ogun State, Nigeria</t>
  </si>
  <si>
    <t>27-15-07-010</t>
  </si>
  <si>
    <t>O.O.L.G. SCHOOL, ADIGBE II</t>
  </si>
  <si>
    <t>https://docs.inecelectionresults.net/elections_prod/1292/state/01/lga/15/ward/07/pu/010/010-1677404710.pdf</t>
  </si>
  <si>
    <t>O.O.L.G. SCHOOL, ADIGBE II, Polling Unit, OBAFEMI/OWODE, Ogun State, Nigeria</t>
  </si>
  <si>
    <t>27-15-07-011</t>
  </si>
  <si>
    <t>OLUWO VILLAGE VIA ONIKOLOBO</t>
  </si>
  <si>
    <t>https://docs.inecelectionresults.net/elections_prod/1292/state/01/lga/15/ward/07/pu/011/011-1677414384.pdf</t>
  </si>
  <si>
    <t>OLUWO VILLAGE VIA ONIKOLOBO, Polling Unit, OBAFEMI/OWODE, Ogun State, Nigeria</t>
  </si>
  <si>
    <t>27-15-07-012</t>
  </si>
  <si>
    <t>OPEN SPACE AT ERITI VILLAGE</t>
  </si>
  <si>
    <t>https://docs.inecelectionresults.net/elections_prod/1292/state/01/lga/15/ward/07/pu/012/012-1677424778.pdf</t>
  </si>
  <si>
    <t>OPEN SPACE AT ERITI VILLAGE, Polling Unit, OBAFEMI/OWODE, Ogun State, Nigeria</t>
  </si>
  <si>
    <t>27-15-07-013</t>
  </si>
  <si>
    <t>R.C.M. SCHOOL, OLUWO-OKE I</t>
  </si>
  <si>
    <t>https://docs.inecelectionresults.net/elections_prod/1292/state/01/lga/15/ward/07/pu/013/013-1677419204.pdf</t>
  </si>
  <si>
    <t>R.C.M. SCHOOL, OLUWO-OKE I, Polling Unit, OBAFEMI/OWODE, Ogun State, Nigeria</t>
  </si>
  <si>
    <t>27-15-07-014</t>
  </si>
  <si>
    <t>R.C.M. SCHOOL, OLUWO-OKE II</t>
  </si>
  <si>
    <t>https://docs.inecelectionresults.net/elections_prod/1292/state/01/lga/15/ward/07/pu/014/014-1677426534.pdf</t>
  </si>
  <si>
    <t>R.C.M. SCHOOL, OLUWO-OKE II, Polling Unit, OBAFEMI/OWODE, Ogun State, Nigeria</t>
  </si>
  <si>
    <t>27-15-07-016</t>
  </si>
  <si>
    <t>ST. PAUL PRIMARY SCH. OKE-OGBUN</t>
  </si>
  <si>
    <t>https://docs.inecelectionresults.net/elections_prod/1292/state/01/lga/15/ward/07/pu/016/016-1677422597.pdf</t>
  </si>
  <si>
    <t>ST. PAUL PRIMARY SCH. OKE-OGBUN, Polling Unit, OBAFEMI/OWODE, Ogun State, Nigeria</t>
  </si>
  <si>
    <t>27-15-07-017</t>
  </si>
  <si>
    <t>VILLAGE SQUARE SOGBAMU</t>
  </si>
  <si>
    <t>https://docs.inecelectionresults.net/elections_prod/1292/state/01/lga/15/ward/07/pu/017/017-1677417346.pdf</t>
  </si>
  <si>
    <t>VILLAGE SQUARE SOGBAMU, Polling Unit, OBAFEMI/OWODE, Ogun State, Nigeria</t>
  </si>
  <si>
    <t>27-15-07-018</t>
  </si>
  <si>
    <t>PRIMARY SCH. AGODO</t>
  </si>
  <si>
    <t>https://docs.inecelectionresults.net/elections_prod/1292/state/01/lga/15/ward/07/pu/018/018-1677424145.pdf</t>
  </si>
  <si>
    <t>PRIMARY SCH. AGODO, Polling Unit, OBAFEMI/OWODE, Ogun State, Nigeria</t>
  </si>
  <si>
    <t>27-15-07-019</t>
  </si>
  <si>
    <t>OPEN SPACE  NEAR ALH. ADEGBERO'S HOUSE, MANGO B/STOP, ADIGBE</t>
  </si>
  <si>
    <t>https://docs.inecelectionresults.net/elections_prod/1292/state/01/lga/15/ward/07/pu/019/019-1677423784.pdf</t>
  </si>
  <si>
    <t>OPEN SPACE  NEAR ALH. ADEGBERO'S HOUSE, MANGO B/STOP, ADIGBE, Polling Unit, OBAFEMI/OWODE, Ogun State, Nigeria</t>
  </si>
  <si>
    <t>27-15-07-020</t>
  </si>
  <si>
    <t>OPEN SPACE ALH. AJIA'S HOUSE(OPP.) , ALOWONLE B/STOP ADIGBE</t>
  </si>
  <si>
    <t>https://docs.inecelectionresults.net/elections_prod/1292/state/01/lga/15/ward/07/pu/020/020-1677420882.pdf</t>
  </si>
  <si>
    <t>OPEN SPACE ALH. AJIA'S HOUSE(OPP.) , ALOWONLE B/STOP ADIGBE, Polling Unit, OBAFEMI/OWODE, Ogun State, Nigeria</t>
  </si>
  <si>
    <t>27-15-07-021</t>
  </si>
  <si>
    <t>OPEN SPACE AT ADEDOTUN VILLAGE</t>
  </si>
  <si>
    <t>https://docs.inecelectionresults.net/elections_prod/1292/state/01/lga/15/ward/07/pu/021/021-1677420127.pdf</t>
  </si>
  <si>
    <t>OPEN SPACE AT ADEDOTUN VILLAGE, Polling Unit, OBAFEMI/OWODE, Ogun State, Nigeria</t>
  </si>
  <si>
    <t>27-15-07-022</t>
  </si>
  <si>
    <t>POLY GATE, OJERE</t>
  </si>
  <si>
    <t>https://docs.inecelectionresults.net/elections_prod/1292/state/01/lga/15/ward/07/pu/022/022-1677424956.pdf</t>
  </si>
  <si>
    <t>POLY GATE, OJERE, Polling Unit, OBAFEMI/OWODE, Ogun State, Nigeria</t>
  </si>
  <si>
    <t>EGBEDA</t>
  </si>
  <si>
    <t>27-15-08-001</t>
  </si>
  <si>
    <t>O.O.L.G. SCHOOL, AYEROSE</t>
  </si>
  <si>
    <t>https://inec-cvr-cache.s3.eu-west-1.amazonaws.com/cached/results/92232/result_80038_1677488251_thumb.jpg</t>
  </si>
  <si>
    <t>O.O.L.G. SCHOOL, AYEROSE, Polling Unit, OBAFEMI/OWODE, Ogun State, Nigeria</t>
  </si>
  <si>
    <t>27-15-08-002</t>
  </si>
  <si>
    <t>O.O.L.G. SCHOOL, EGBEDA</t>
  </si>
  <si>
    <t>https://inec-cvr-cache.s3.eu-west-1.amazonaws.com/cached/results/92233/result_80039_1677489653_thumb.jpg</t>
  </si>
  <si>
    <t>O.O.L.G. SCHOOL, EGBEDA, Polling Unit, OBAFEMI/OWODE, Ogun State, Nigeria</t>
  </si>
  <si>
    <t>27-15-08-003</t>
  </si>
  <si>
    <t>O.O.L.G. SCHOOL, MASA</t>
  </si>
  <si>
    <t>https://inec-cvr-cache.s3.eu-west-1.amazonaws.com/cached/results/92234/result_80040_1677490554_thumb.jpg</t>
  </si>
  <si>
    <t>O.O.L.G. SCHOOL, MASA, Polling Unit, OBAFEMI/OWODE, Ogun State, Nigeria</t>
  </si>
  <si>
    <t>27-15-08-005</t>
  </si>
  <si>
    <t>ST. JAMES  ANG. SCH, OTOTO II</t>
  </si>
  <si>
    <t>https://inec-cvr-cache.s3.eu-west-1.amazonaws.com/cached/results/92236/result_80042_1677618551_thumb.jpg</t>
  </si>
  <si>
    <t>ST. JAMES  ANG. SCH, OTOTO II, Polling Unit, OBAFEMI/OWODE, Ogun State, Nigeria</t>
  </si>
  <si>
    <t>27-15-08-006</t>
  </si>
  <si>
    <t>VILLAGE SQUARE ELEFUN</t>
  </si>
  <si>
    <t>https://inec-cvr-cache.s3.eu-west-1.amazonaws.com/cached/results/92237/result_80043_1677491494_thumb.jpg</t>
  </si>
  <si>
    <t>VILLAGE SQUARE ELEFUN, Polling Unit, OBAFEMI/OWODE, Ogun State, Nigeria</t>
  </si>
  <si>
    <t>27-15-08-007</t>
  </si>
  <si>
    <t>ST. PETER ANG. SCH., IGBO-ITOKU</t>
  </si>
  <si>
    <t>https://inec-cvr-cache.s3.eu-west-1.amazonaws.com/cached/results/92238/result_80044_1677491705_thumb.jpg</t>
  </si>
  <si>
    <t>ST. PETER ANG. SCH., IGBO-ITOKU, Polling Unit, OBAFEMI/OWODE, Ogun State, Nigeria</t>
  </si>
  <si>
    <t>27-15-08-008</t>
  </si>
  <si>
    <t>ST. PETERS ANG. SCH, AGBANGBA</t>
  </si>
  <si>
    <t>https://inec-cvr-cache.s3.eu-west-1.amazonaws.com/cached/results/92239/result_80045_1677492100_thumb.jpg</t>
  </si>
  <si>
    <t>ST. PETERS ANG. SCH, AGBANGBA, Polling Unit, OBAFEMI/OWODE, Ogun State, Nigeria</t>
  </si>
  <si>
    <t>27-15-08-009</t>
  </si>
  <si>
    <t>ADEDERO MARKET AREA</t>
  </si>
  <si>
    <t>https://inec-cvr-cache.s3.eu-west-1.amazonaws.com/cached/results/92240/result_80046_1677494489_thumb.jpg</t>
  </si>
  <si>
    <t>ADEDERO MARKET AREA, Polling Unit, OBAFEMI/OWODE, Ogun State, Nigeria</t>
  </si>
  <si>
    <t>27-15-08-010</t>
  </si>
  <si>
    <t>O.O.L.G. SCH., AGBOKE-LUKARI</t>
  </si>
  <si>
    <t>https://inec-cvr-cache.s3.eu-west-1.amazonaws.com/cached/results/92241/result_80047_1677620263_thumb.jpg</t>
  </si>
  <si>
    <t>O.O.L.G. SCH., AGBOKE-LUKARI, Polling Unit, OBAFEMI/OWODE, Ogun State, Nigeria</t>
  </si>
  <si>
    <t>27-15-08-011</t>
  </si>
  <si>
    <t>OPEN SPACE AT NLEMO VILLAGE</t>
  </si>
  <si>
    <t>https://inec-cvr-cache.s3.eu-west-1.amazonaws.com/cached/results/92242/result_80048_1677495255_thumb.jpg</t>
  </si>
  <si>
    <t>OPEN SPACE AT NLEMO VILLAGE, Polling Unit, OBAFEMI/OWODE, Ogun State, Nigeria</t>
  </si>
  <si>
    <t>27-15-08-012</t>
  </si>
  <si>
    <t>JAGUNA ITOKU VILLAGE (JAGAN ILOKO VILLAGE)</t>
  </si>
  <si>
    <t>https://inec-cvr-cache.s3.eu-west-1.amazonaws.com/cached/results/92243/result_80049_1677495898_thumb.jpg</t>
  </si>
  <si>
    <t>JAGUNA ITOKU VILLAGE (JAGAN ILOKO VILLAGE), Polling Unit, OBAFEMI/OWODE, Ogun State, Nigeria</t>
  </si>
  <si>
    <t>KAJOLA</t>
  </si>
  <si>
    <t>27-15-09-001</t>
  </si>
  <si>
    <t>ST. PETER A/C SCHOOL, AJIBAYO</t>
  </si>
  <si>
    <t>https://inec-cvr-cache.s3.eu-west-1.amazonaws.com/cached/results/92244/result_80053_1677666083_thumb.jpg</t>
  </si>
  <si>
    <t>ST. PETER A/C SCHOOL, AJIBAYO, Polling Unit, OBAFEMI/OWODE, Ogun State, Nigeria</t>
  </si>
  <si>
    <t>27-15-09-002</t>
  </si>
  <si>
    <t>METHODIST SCHOOL OYERO, IKOSOFE</t>
  </si>
  <si>
    <t>https://inec-cvr-cache.s3.eu-west-1.amazonaws.com/cached/results/92245/result_80054_1677494984_thumb.jpg</t>
  </si>
  <si>
    <t>METHODIST SCHOOL OYERO, IKOSOFE, Polling Unit, OBAFEMI/OWODE, Ogun State, Nigeria</t>
  </si>
  <si>
    <t>27-15-09-003</t>
  </si>
  <si>
    <t>ST. JAMES SCHOOL, KAJOLA</t>
  </si>
  <si>
    <t>https://inec-cvr-cache.s3.eu-west-1.amazonaws.com/cached/results/92246/result_80055_1677505877_thumb.jpg</t>
  </si>
  <si>
    <t>ST. JAMES SCHOOL, KAJOLA, Polling Unit, OBAFEMI/OWODE, Ogun State, Nigeria</t>
  </si>
  <si>
    <t>27-15-09-005</t>
  </si>
  <si>
    <t>ANG. SCHOOL, KUTI</t>
  </si>
  <si>
    <t>https://inec-cvr-cache.s3.eu-west-1.amazonaws.com/cached/results/92248/result_80057_1677618904_thumb.jpg</t>
  </si>
  <si>
    <t>ANG. SCHOOL, KUTI, Polling Unit, OBAFEMI/OWODE, Ogun State, Nigeria</t>
  </si>
  <si>
    <t>27-15-09-006</t>
  </si>
  <si>
    <t>ANG. SCHOOL, ODO-IJESA</t>
  </si>
  <si>
    <t>https://inec-cvr-cache.s3.eu-west-1.amazonaws.com/cached/results/92249/result_80058_1677508956_thumb.jpg</t>
  </si>
  <si>
    <t>ANG. SCHOOL, ODO-IJESA, Polling Unit, OBAFEMI/OWODE, Ogun State, Nigeria</t>
  </si>
  <si>
    <t>27-15-09-008</t>
  </si>
  <si>
    <t>ANG. SCHOOL, ABERU AGBA  II</t>
  </si>
  <si>
    <t>https://inec-cvr-cache.s3.eu-west-1.amazonaws.com/cached/results/92251/result_80060_1677507968_thumb.jpg</t>
  </si>
  <si>
    <t>ANG. SCHOOL, ABERU AGBA  II, Polling Unit, OBAFEMI/OWODE, Ogun State, Nigeria</t>
  </si>
  <si>
    <t>27-15-09-009</t>
  </si>
  <si>
    <t>PRIMARY SCHOOL, ISAN-ONIGBAGBO</t>
  </si>
  <si>
    <t>https://inec-cvr-cache.s3.eu-west-1.amazonaws.com/cached/results/92252/result_80061_1677508219_thumb.jpg</t>
  </si>
  <si>
    <t>PRIMARY SCHOOL, ISAN-ONIGBAGBO, Polling Unit, OBAFEMI/OWODE, Ogun State, Nigeria</t>
  </si>
  <si>
    <t>27-15-09-010</t>
  </si>
  <si>
    <t>OPEN SPACE AT ALAPAKO VILLAGE</t>
  </si>
  <si>
    <t>https://inec-cvr-cache.s3.eu-west-1.amazonaws.com/cached/results/92253/result_80062_1677508481_thumb.jpg</t>
  </si>
  <si>
    <t>OPEN SPACE AT ALAPAKO VILLAGE, Polling Unit, OBAFEMI/OWODE, Ogun State, Nigeria</t>
  </si>
  <si>
    <t>27-15-09-011</t>
  </si>
  <si>
    <t>OPEN SPACE AT SOONU VILLAGE</t>
  </si>
  <si>
    <t>https://inec-cvr-cache.s3.eu-west-1.amazonaws.com/cached/results/92254/result_80063_1677508760_thumb.jpg</t>
  </si>
  <si>
    <t>OPEN SPACE AT SOONU VILLAGE, Polling Unit, OBAFEMI/OWODE, Ogun State, Nigeria</t>
  </si>
  <si>
    <t>OBAFEMI</t>
  </si>
  <si>
    <t>27-15-10-001</t>
  </si>
  <si>
    <t>CENTRAL SCHOOL, OBAFEMI I</t>
  </si>
  <si>
    <t>https://docs.inecelectionresults.net/elections_prod/1292/state/01/lga/15/ward/10/pu/001/001-1677408772.pdf</t>
  </si>
  <si>
    <t>CENTRAL SCHOOL, OBAFEMI I, Polling Unit, OBAFEMI/OWODE, Ogun State, Nigeria</t>
  </si>
  <si>
    <t>27-15-10-002</t>
  </si>
  <si>
    <t>CENTRAL SCHOOL, OBAFEMI II</t>
  </si>
  <si>
    <t>https://inec-cvr-cache.s3.eu-west-1.amazonaws.com/cached/results/92256/result_80066_1677571875_thumb.jpg</t>
  </si>
  <si>
    <t>CENTRAL SCHOOL, OBAFEMI II, Polling Unit, OBAFEMI/OWODE, Ogun State, Nigeria</t>
  </si>
  <si>
    <t>27-15-10-003</t>
  </si>
  <si>
    <t>FRONT OF DISPENSARY, IGBARI - AKE</t>
  </si>
  <si>
    <t>https://docs.inecelectionresults.net/elections_prod/1292/state/01/lga/15/ward/10/pu/003/003-1677413720.pdf</t>
  </si>
  <si>
    <t>FRONT OF DISPENSARY, IGBARI - AKE, Polling Unit, OBAFEMI/OWODE, Ogun State, Nigeria</t>
  </si>
  <si>
    <t>27-15-10-004</t>
  </si>
  <si>
    <t>ANG. SCH. ALAHA  I</t>
  </si>
  <si>
    <t>https://docs.inecelectionresults.net/elections_prod/1292/state/1/lga/3680/ward/24123/pu/93359/93359-1677596047.pdf</t>
  </si>
  <si>
    <t>ANG. SCH. ALAHA  I, Polling Unit, OBAFEMI/OWODE, Ogun State, Nigeria</t>
  </si>
  <si>
    <t>27-15-10-005</t>
  </si>
  <si>
    <t>ANG. SCH. ALAHA  II</t>
  </si>
  <si>
    <t>https://docs.inecelectionresults.net/elections_prod/1292/state/01/lga/15/ward/10/pu/005/005-1677415180.pdf</t>
  </si>
  <si>
    <t>ANG. SCH. ALAHA  II, Polling Unit, OBAFEMI/OWODE, Ogun State, Nigeria</t>
  </si>
  <si>
    <t>27-15-10-006</t>
  </si>
  <si>
    <t>ST. PETERS ANG. SCH.,ILOGBO-OLOFIN</t>
  </si>
  <si>
    <t>https://docs.inecelectionresults.net/elections_prod/1292/state/1/lga/3680/ward/24123/pu/93361/93361-1677596679.pdf</t>
  </si>
  <si>
    <t>ST. PETERS ANG. SCH.,ILOGBO-OLOFIN, Polling Unit, OBAFEMI/OWODE, Ogun State, Nigeria</t>
  </si>
  <si>
    <t>27-15-10-007</t>
  </si>
  <si>
    <t>O.O.L.G. SCHOOL, APENA ERUNBE</t>
  </si>
  <si>
    <t>https://docs.inecelectionresults.net/elections_prod/1292/state/01/lga/15/ward/10/pu/007/007-1677411030.pdf</t>
  </si>
  <si>
    <t>O.O.L.G. SCHOOL, APENA ERUNBE, Polling Unit, OBAFEMI/OWODE, Ogun State, Nigeria</t>
  </si>
  <si>
    <t>27-15-10-008</t>
  </si>
  <si>
    <t>ST. THERESA R.C.M. SCHOOL, GBURE</t>
  </si>
  <si>
    <t>https://docs.inecelectionresults.net/elections_prod/1292/state/1/lga/3680/ward/24123/pu/93363/93363-1677597085.pdf</t>
  </si>
  <si>
    <t>ST. THERESA R.C.M. SCHOOL, GBURE, Polling Unit, OBAFEMI/OWODE, Ogun State, Nigeria</t>
  </si>
  <si>
    <t>27-15-10-009</t>
  </si>
  <si>
    <t>VILLAGE SQUARE, AGBORUN</t>
  </si>
  <si>
    <t>https://docs.inecelectionresults.net/elections_prod/1292/state/1/lga/3680/ward/24123/pu/93364/93364-1677597589.pdf</t>
  </si>
  <si>
    <t>VILLAGE SQUARE, AGBORUN, Polling Unit, OBAFEMI/OWODE, Ogun State, Nigeria</t>
  </si>
  <si>
    <t>27-15-10-010</t>
  </si>
  <si>
    <t>O.O.L.G. SCHOOL, BAASE IPORO</t>
  </si>
  <si>
    <t>https://docs.inecelectionresults.net/elections_prod/1292/state/1/lga/3680/ward/24123/pu/93365/93365-1677599431.pdf</t>
  </si>
  <si>
    <t>O.O.L.G. SCHOOL, BAASE IPORO, Polling Unit, OBAFEMI/OWODE, Ogun State, Nigeria</t>
  </si>
  <si>
    <t>27-15-10-011</t>
  </si>
  <si>
    <t>FRONT OF MATERNITY CENTRE, APENA- AKE</t>
  </si>
  <si>
    <t>https://docs.inecelectionresults.net/elections_prod/1292/state/1/lga/3680/ward/24123/pu/93366/93366-1677594871.pdf</t>
  </si>
  <si>
    <t>FRONT OF MATERNITY CENTRE, APENA- AKE, Polling Unit, OBAFEMI/OWODE, Ogun State, Nigeria</t>
  </si>
  <si>
    <t>27-15-10-012</t>
  </si>
  <si>
    <t>N.U.D. SCHOOL, IGBEDU</t>
  </si>
  <si>
    <t>https://docs.inecelectionresults.net/elections_prod/1292/state/1/lga/3680/ward/24123/pu/93367/93367-1677599113.pdf</t>
  </si>
  <si>
    <t>N.U.D. SCHOOL, IGBEDU, Polling Unit, OBAFEMI/OWODE, Ogun State, Nigeria</t>
  </si>
  <si>
    <t>AJEBO</t>
  </si>
  <si>
    <t>27-15-11-001</t>
  </si>
  <si>
    <t>AJEBO HIGH SCHOOL, AJEBO  I</t>
  </si>
  <si>
    <t>https://inec-cvr-cache.s3.eu-west-1.amazonaws.com/cached/results/92267/result_80079_1677511783_thumb.jpg</t>
  </si>
  <si>
    <t>AJEBO HIGH SCHOOL, AJEBO  I, Polling Unit, OBAFEMI/OWODE, Ogun State, Nigeria</t>
  </si>
  <si>
    <t>27-15-11-003</t>
  </si>
  <si>
    <t>ST. JOHN SCH. OWOJO  I</t>
  </si>
  <si>
    <t>https://docs.inecelectionresults.net/elections_prod/1292/state/01/lga/15/ward/11/pu/003/003-1677401796.pdf</t>
  </si>
  <si>
    <t>ST. JOHN SCH. OWOJO  I, Polling Unit, OBAFEMI/OWODE, Ogun State, Nigeria</t>
  </si>
  <si>
    <t>27-15-11-006</t>
  </si>
  <si>
    <t>N.U.D. SCHOOL, OLUWO-IFOTE</t>
  </si>
  <si>
    <t>https://docs.inecelectionresults.net/elections_prod/1292/state/01/lga/15/ward/11/pu/006/006-1677404980.pdf</t>
  </si>
  <si>
    <t>N.U.D. SCHOOL, OLUWO-IFOTE, Polling Unit, OBAFEMI/OWODE, Ogun State, Nigeria</t>
  </si>
  <si>
    <t>27-15-11-007</t>
  </si>
  <si>
    <t>ST. PETER SCH, ABATAN</t>
  </si>
  <si>
    <t>https://docs.inecelectionresults.net/elections_prod/1292/state/01/lga/15/ward/11/pu/007/007-1677406076.pdf</t>
  </si>
  <si>
    <t>ST. PETER SCH, ABATAN, Polling Unit, OBAFEMI/OWODE, Ogun State, Nigeria</t>
  </si>
  <si>
    <t>27-15-11-009</t>
  </si>
  <si>
    <t>ST. JAMES SCHOOL, AKINOLA</t>
  </si>
  <si>
    <t>https://docs.inecelectionresults.net/elections_prod/1292/state/01/lga/15/ward/11/pu/009/009-1677408396.pdf</t>
  </si>
  <si>
    <t>ST. JAMES SCHOOL, AKINOLA, Polling Unit, OBAFEMI/OWODE, Ogun State, Nigeria</t>
  </si>
  <si>
    <t>27-15-11-010</t>
  </si>
  <si>
    <t>BAPT SCHOOL, ERINLE</t>
  </si>
  <si>
    <t>https://docs.inecelectionresults.net/elections_prod/1292/state/01/lga/15/ward/11/pu/010/010-1677409545.pdf</t>
  </si>
  <si>
    <t>BAPT SCHOOL, ERINLE, Polling Unit, OBAFEMI/OWODE, Ogun State, Nigeria</t>
  </si>
  <si>
    <t>27-15-11-011</t>
  </si>
  <si>
    <t>C &amp; C SCHOOL, OLUGBO ODEYEMI</t>
  </si>
  <si>
    <t>https://docs.inecelectionresults.net/elections_prod/1292/state/01/lga/15/ward/11/pu/011/011-1677412450.pdf</t>
  </si>
  <si>
    <t>C &amp; C SCHOOL, OLUGBO ODEYEMI, Polling Unit, OBAFEMI/OWODE, Ogun State, Nigeria</t>
  </si>
  <si>
    <t>27-15-11-012</t>
  </si>
  <si>
    <t>ANG. SCH, ITOKO-APATA</t>
  </si>
  <si>
    <t>https://docs.inecelectionresults.net/elections_prod/1292/state/01/lga/15/ward/11/pu/012/012-1677410813.pdf</t>
  </si>
  <si>
    <t>ANG. SCH, ITOKO-APATA, Polling Unit, OBAFEMI/OWODE, Ogun State, Nigeria</t>
  </si>
  <si>
    <t>ALAPAKO-ONI</t>
  </si>
  <si>
    <t>27-15-12-001</t>
  </si>
  <si>
    <t>ST. PETER'S ANG. SCHOOL, ALAPAKO-ONI</t>
  </si>
  <si>
    <t>https://docs.inecelectionresults.net/elections_prod/1292/state/1/lga/3680/ward/24125/pu/93380/93380-1677596541.pdf</t>
  </si>
  <si>
    <t>ST. PETER'S ANG. SCHOOL, ALAPAKO-ONI, Polling Unit, OBAFEMI/OWODE, Ogun State, Nigeria</t>
  </si>
  <si>
    <t>27-15-12-002</t>
  </si>
  <si>
    <t>ST. PAUL ANG. SCHOOL, ABUJANA</t>
  </si>
  <si>
    <t>https://inec-cvr-cache.s3.eu-west-1.amazonaws.com/cached/results/92280/result_80093_1677502394_thumb.jpg</t>
  </si>
  <si>
    <t>ST. PAUL ANG. SCHOOL, ABUJANA, Polling Unit, OBAFEMI/OWODE, Ogun State, Nigeria</t>
  </si>
  <si>
    <t>27-15-12-003</t>
  </si>
  <si>
    <t>ANG. SCHOOL,SERIKI-SOTAYO</t>
  </si>
  <si>
    <t>https://inec-cvr-cache.s3.eu-west-1.amazonaws.com/cached/results/92281/result_80094_1677502672_thumb.jpg</t>
  </si>
  <si>
    <t>ANG. SCHOOL,SERIKI-SOTAYO, Polling Unit, OBAFEMI/OWODE, Ogun State, Nigeria</t>
  </si>
  <si>
    <t>27-15-12-004</t>
  </si>
  <si>
    <t>O.O.L.G. SCHOOL, OGUNMAKIN  I</t>
  </si>
  <si>
    <t>https://inec-cvr-cache.s3.eu-west-1.amazonaws.com/cached/results/92282/result_80095_1677502857_thumb.jpg</t>
  </si>
  <si>
    <t>O.O.L.G. SCHOOL, OGUNMAKIN  I, Polling Unit, OBAFEMI/OWODE, Ogun State, Nigeria</t>
  </si>
  <si>
    <t>27-15-12-005</t>
  </si>
  <si>
    <t>O.O.L.G. SCHOOL, OGUNMAKIN II</t>
  </si>
  <si>
    <t>https://inec-cvr-cache.s3.eu-west-1.amazonaws.com/cached/results/92283/result_80096_1677505306_thumb.jpg</t>
  </si>
  <si>
    <t>O.O.L.G. SCHOOL, OGUNMAKIN II, Polling Unit, OBAFEMI/OWODE, Ogun State, Nigeria</t>
  </si>
  <si>
    <t>27-15-12-006</t>
  </si>
  <si>
    <t>O.O.L.G. SCHOOL, IMOLISA</t>
  </si>
  <si>
    <t>https://inec-cvr-cache.s3.eu-west-1.amazonaws.com/cached/results/92284/result_80097_1677505444_thumb.jpg</t>
  </si>
  <si>
    <t>O.O.L.G. SCHOOL, IMOLISA, Polling Unit, OBAFEMI/OWODE, Ogun State, Nigeria</t>
  </si>
  <si>
    <t>27-15-12-007</t>
  </si>
  <si>
    <t>UNITED PRIMARY SCHOOL BOODO  I</t>
  </si>
  <si>
    <t>https://inec-cvr-cache.s3.eu-west-1.amazonaws.com/cached/results/92285/result_80098_1677505604_thumb.jpg</t>
  </si>
  <si>
    <t>UNITED PRIMARY SCHOOL BOODO  I, Polling Unit, OBAFEMI/OWODE, Ogun State, Nigeria</t>
  </si>
  <si>
    <t>27-15-12-008</t>
  </si>
  <si>
    <t>UNITED PRIMARY SCHOOL BOODO  II</t>
  </si>
  <si>
    <t>https://inec-cvr-cache.s3.eu-west-1.amazonaws.com/cached/results/92286/result_80099_1677505793_thumb.jpg</t>
  </si>
  <si>
    <t>UNITED PRIMARY SCHOOL BOODO  II, Polling Unit, OBAFEMI/OWODE, Ogun State, Nigeria</t>
  </si>
  <si>
    <t>27-15-12-009</t>
  </si>
  <si>
    <t>O.O.L.G. SCHOOL, AKINDELE</t>
  </si>
  <si>
    <t>https://inec-cvr-cache.s3.eu-west-1.amazonaws.com/cached/results/92287/result_80100_1677505957_thumb.jpg</t>
  </si>
  <si>
    <t>O.O.L.G. SCHOOL, AKINDELE, Polling Unit, OBAFEMI/OWODE, Ogun State, Nigeria</t>
  </si>
  <si>
    <t>27-15-12-010</t>
  </si>
  <si>
    <t>ABULE OGUNMAKIN ( SOWUNMI)</t>
  </si>
  <si>
    <t>https://inec-cvr-cache.s3.eu-west-1.amazonaws.com/cached/results/92288/result_80101_1677506606_thumb.jpg</t>
  </si>
  <si>
    <t>ABULE OGUNMAKIN ( SOWUNMI), Polling Unit, OBAFEMI/OWODE, Ogun State, Nigeria</t>
  </si>
  <si>
    <t>ODEDA</t>
  </si>
  <si>
    <t>27-16-01-001</t>
  </si>
  <si>
    <t>ODEDA MARKET  I</t>
  </si>
  <si>
    <t>https://docs.inecelectionresults.net/elections_prod/1292/state/01/lga/16/ward/01/pu/001/001-1677362324.pdf</t>
  </si>
  <si>
    <t>ODEDA MARKET  I, Polling Unit, ODEDA, Ogun State, Nigeria</t>
  </si>
  <si>
    <t>27-16-01-002</t>
  </si>
  <si>
    <t>ODEDA MARKET  II</t>
  </si>
  <si>
    <t>https://docs.inecelectionresults.net/elections_prod/1292/state/01/lga/16/ward/01/pu/002/002-1677365738.pdf</t>
  </si>
  <si>
    <t>ODEDA MARKET  II, Polling Unit, ODEDA, Ogun State, Nigeria</t>
  </si>
  <si>
    <t>27-16-01-003</t>
  </si>
  <si>
    <t>IKA AINA TITUN VILLAGE</t>
  </si>
  <si>
    <t>https://docs.inecelectionresults.net/elections_prod/1292/state/01/lga/16/ward/01/pu/003/003-1677362502.pdf</t>
  </si>
  <si>
    <t>IKA AINA TITUN VILLAGE, Polling Unit, ODEDA, Ogun State, Nigeria</t>
  </si>
  <si>
    <t>27-16-01-004</t>
  </si>
  <si>
    <t>ROGUN PRIMARY SCHOOL</t>
  </si>
  <si>
    <t>https://docs.inecelectionresults.net/elections_prod/1292/state/01/lga/16/ward/01/pu/004/004-1677362440.pdf</t>
  </si>
  <si>
    <t>ROGUN PRIMARY SCHOOL, Polling Unit, ODEDA, Ogun State, Nigeria</t>
  </si>
  <si>
    <t>27-16-01-005</t>
  </si>
  <si>
    <t>OGIJAN VILLAGE</t>
  </si>
  <si>
    <t>https://docs.inecelectionresults.net/elections_prod/1292/state/01/lga/16/ward/01/pu/005/005-1677386118.pdf</t>
  </si>
  <si>
    <t>OGIJAN VILLAGE, Polling Unit, ODEDA, Ogun State, Nigeria</t>
  </si>
  <si>
    <t>27-16-01-006</t>
  </si>
  <si>
    <t>OGBOYE PRIMARY SCHOOL</t>
  </si>
  <si>
    <t>https://docs.inecelectionresults.net/elections_prod/1292/state/01/lga/16/ward/01/pu/006/006-1677360287.pdf</t>
  </si>
  <si>
    <t>OGBOYE PRIMARY SCHOOL, Polling Unit, ODEDA, Ogun State, Nigeria</t>
  </si>
  <si>
    <t>27-16-01-008</t>
  </si>
  <si>
    <t>OLUGBO MARKET</t>
  </si>
  <si>
    <t>https://docs.inecelectionresults.net/elections_prod/1292/state/01/lga/16/ward/01/pu/008/008-1677360338.pdf</t>
  </si>
  <si>
    <t>OLUGBO MARKET, Polling Unit, ODEDA, Ogun State, Nigeria</t>
  </si>
  <si>
    <t>27-16-01-009</t>
  </si>
  <si>
    <t>ILE-OLU, PRIMARY SCHOOL</t>
  </si>
  <si>
    <t>https://docs.inecelectionresults.net/elections_prod/1292/state/1/lga/3681/ward/24126/pu/93399/93399-1677584010.pdf</t>
  </si>
  <si>
    <t>ILE-OLU, PRIMARY SCHOOL, Polling Unit, ODEDA, Ogun State, Nigeria</t>
  </si>
  <si>
    <t>27-16-01-010</t>
  </si>
  <si>
    <t>BAALE OGUNBAYO</t>
  </si>
  <si>
    <t>https://docs.inecelectionresults.net/elections_prod/1292/state/01/lga/16/ward/01/pu/010/010-1677359357.pdf</t>
  </si>
  <si>
    <t>BAALE OGUNBAYO, Polling Unit, ODEDA, Ogun State, Nigeria</t>
  </si>
  <si>
    <t>27-16-01-011</t>
  </si>
  <si>
    <t>OLUGA PRIMARY SCHOOL</t>
  </si>
  <si>
    <t>https://docs.inecelectionresults.net/elections_prod/1292/state/01/lga/16/ward/01/pu/011/011-1677368230.pdf</t>
  </si>
  <si>
    <t>OLUGA PRIMARY SCHOOL, Polling Unit, ODEDA, Ogun State, Nigeria</t>
  </si>
  <si>
    <t>27-16-01-012</t>
  </si>
  <si>
    <t>AREGE PRIMARY SCHOOL</t>
  </si>
  <si>
    <t>https://docs.inecelectionresults.net/elections_prod/1292/state/01/lga/16/ward/01/pu/012/012-1677359341.pdf</t>
  </si>
  <si>
    <t>AREGE PRIMARY SCHOOL, Polling Unit, ODEDA, Ogun State, Nigeria</t>
  </si>
  <si>
    <t>27-16-01-013</t>
  </si>
  <si>
    <t>SANYAOLU OLOBE</t>
  </si>
  <si>
    <t>https://docs.inecelectionresults.net/elections_prod/1292/state/01/lga/16/ward/01/pu/013/013-1677391535.pdf</t>
  </si>
  <si>
    <t>SANYAOLU OLOBE, Polling Unit, ODEDA, Ogun State, Nigeria</t>
  </si>
  <si>
    <t>27-16-01-014</t>
  </si>
  <si>
    <t>ILAGBE VILLAGE</t>
  </si>
  <si>
    <t>https://docs.inecelectionresults.net/elections_prod/1292/state/01/lga/16/ward/01/pu/014/014-1677359324.pdf</t>
  </si>
  <si>
    <t>ILAGBE VILLAGE, Polling Unit, ODEDA, Ogun State, Nigeria</t>
  </si>
  <si>
    <t>27-16-01-015</t>
  </si>
  <si>
    <t>OGBOYE PRIMARY SCHOOL II</t>
  </si>
  <si>
    <t>https://docs.inecelectionresults.net/elections_prod/1292/state/01/lga/16/ward/01/pu/015/015-1677359846.pdf</t>
  </si>
  <si>
    <t>OGBOYE PRIMARY SCHOOL II, Polling Unit, ODEDA, Ogun State, Nigeria</t>
  </si>
  <si>
    <t>BALOGUN ITESI</t>
  </si>
  <si>
    <t>27-16-02-001</t>
  </si>
  <si>
    <t>TOBA PRIMARY SCHOOL</t>
  </si>
  <si>
    <t>https://docs.inecelectionresults.net/elections_prod/1292/state/01/lga/16/ward/02/pu/001/001-1677395735.pdf</t>
  </si>
  <si>
    <t>TOBA PRIMARY SCHOOL, Polling Unit, ODEDA, Ogun State, Nigeria</t>
  </si>
  <si>
    <t>27-16-02-002</t>
  </si>
  <si>
    <t>OBELU VILLAGE</t>
  </si>
  <si>
    <t>https://docs.inecelectionresults.net/elections_prod/1292/state/01/lga/16/ward/02/pu/002/002-1677397093.pdf</t>
  </si>
  <si>
    <t>OBELU VILLAGE, Polling Unit, ODEDA, Ogun State, Nigeria</t>
  </si>
  <si>
    <t>27-16-02-004</t>
  </si>
  <si>
    <t>ADERU PRIMARY, SCHOOL</t>
  </si>
  <si>
    <t>https://docs.inecelectionresults.net/elections_prod/1292/state/01/lga/16/ward/02/pu/004/004-1677398460.pdf</t>
  </si>
  <si>
    <t>ADERU PRIMARY, SCHOOL, Polling Unit, ODEDA, Ogun State, Nigeria</t>
  </si>
  <si>
    <t>27-16-02-006</t>
  </si>
  <si>
    <t>EMULU</t>
  </si>
  <si>
    <t>https://docs.inecelectionresults.net/elections_prod/1292/state/01/lga/16/ward/02/pu/006/006-1677399886.pdf</t>
  </si>
  <si>
    <t>EMULU, Polling Unit, ODEDA, Ogun State, Nigeria</t>
  </si>
  <si>
    <t>27-16-02-007</t>
  </si>
  <si>
    <t>PAPA OJA</t>
  </si>
  <si>
    <t>https://docs.inecelectionresults.net/elections_prod/1292/state/01/lga/16/ward/02/pu/007/007-1677400986.pdf</t>
  </si>
  <si>
    <t>PAPA OJA, Polling Unit, ODEDA, Ogun State, Nigeria</t>
  </si>
  <si>
    <t>27-16-02-008</t>
  </si>
  <si>
    <t>ODE LAITAN PRIMARY SCHOOL</t>
  </si>
  <si>
    <t>https://docs.inecelectionresults.net/elections_prod/1292/state/01/lga/16/ward/02/pu/008/008-1677401745.pdf</t>
  </si>
  <si>
    <t>ODE LAITAN PRIMARY SCHOOL, Polling Unit, ODEDA, Ogun State, Nigeria</t>
  </si>
  <si>
    <t>OLODO</t>
  </si>
  <si>
    <t>27-16-03-001</t>
  </si>
  <si>
    <t>ORILE KEESI GRAMMAR SCHOOL I</t>
  </si>
  <si>
    <t>https://docs.inecelectionresults.net/elections_prod/1292/state/01/lga/16/ward/03/pu/001/001-1677391646.pdf</t>
  </si>
  <si>
    <t>ORILE KEESI GRAMMAR SCHOOL I, Polling Unit, ODEDA, Ogun State, Nigeria</t>
  </si>
  <si>
    <t>27-16-03-002</t>
  </si>
  <si>
    <t>ALL SAINTS PRIMARY SCHOOL, OTERE, IKEREKU</t>
  </si>
  <si>
    <t>https://docs.inecelectionresults.net/elections_prod/1292/state/01/lga/16/ward/03/pu/002/002-1677386980.pdf</t>
  </si>
  <si>
    <t>ALL SAINTS PRIMARY SCHOOL, OTERE, IKEREKU, Polling Unit, ODEDA, Ogun State, Nigeria</t>
  </si>
  <si>
    <t>27-16-03-003</t>
  </si>
  <si>
    <t>OBO OGUNSOLA VILLAGE</t>
  </si>
  <si>
    <t>https://docs.inecelectionresults.net/elections_prod/1292/state/01/lga/16/ward/03/pu/003/003-1677388133.pdf</t>
  </si>
  <si>
    <t>OBO OGUNSOLA VILLAGE, Polling Unit, ODEDA, Ogun State, Nigeria</t>
  </si>
  <si>
    <t>27-16-03-004</t>
  </si>
  <si>
    <t>OTERE OGUNKOLA VILLAGE</t>
  </si>
  <si>
    <t>https://docs.inecelectionresults.net/elections_prod/1292/state/01/lga/16/ward/03/pu/004/004-1677391124.pdf</t>
  </si>
  <si>
    <t>OTERE OGUNKOLA VILLAGE, Polling Unit, ODEDA, Ogun State, Nigeria</t>
  </si>
  <si>
    <t>27-16-03-005</t>
  </si>
  <si>
    <t>OJU OGUN PRIMARYSCHOOL</t>
  </si>
  <si>
    <t>https://docs.inecelectionresults.net/elections_prod/1292/state/01/lga/16/ward/03/pu/005/005-1677387839.pdf</t>
  </si>
  <si>
    <t>OJU OGUN PRIMARYSCHOOL, Polling Unit, ODEDA, Ogun State, Nigeria</t>
  </si>
  <si>
    <t>27-16-03-006</t>
  </si>
  <si>
    <t>IKIJA VILLAGE</t>
  </si>
  <si>
    <t>https://docs.inecelectionresults.net/elections_prod/1292/state/01/lga/16/ward/03/pu/006/006-1677388406.pdf</t>
  </si>
  <si>
    <t>IKIJA VILLAGE, Polling Unit, ODEDA, Ogun State, Nigeria</t>
  </si>
  <si>
    <t>27-16-03-007</t>
  </si>
  <si>
    <t>BAAGBON PRIMARY SCHOOL</t>
  </si>
  <si>
    <t>https://docs.inecelectionresults.net/elections_prod/1292/state/01/lga/16/ward/03/pu/007/007-1677389309.pdf</t>
  </si>
  <si>
    <t>BAAGBON PRIMARY SCHOOL, Polling Unit, ODEDA, Ogun State, Nigeria</t>
  </si>
  <si>
    <t>27-16-03-008</t>
  </si>
  <si>
    <t>AFOJUOWO VILLAGE</t>
  </si>
  <si>
    <t>https://docs.inecelectionresults.net/elections_prod/1292/state/01/lga/16/ward/03/pu/008/008-1677389586.pdf</t>
  </si>
  <si>
    <t>AFOJUOWO VILLAGE, Polling Unit, ODEDA, Ogun State, Nigeria</t>
  </si>
  <si>
    <t>27-16-03-009</t>
  </si>
  <si>
    <t>ADEPEGBA VILLAGE</t>
  </si>
  <si>
    <t>https://docs.inecelectionresults.net/elections_prod/1292/state/01/lga/16/ward/03/pu/009/009-1677387651.pdf</t>
  </si>
  <si>
    <t>ADEPEGBA VILLAGE, Polling Unit, ODEDA, Ogun State, Nigeria</t>
  </si>
  <si>
    <t>27-16-03-010</t>
  </si>
  <si>
    <t>AGBE PRIMARY SCHOOL</t>
  </si>
  <si>
    <t>https://docs.inecelectionresults.net/elections_prod/1292/state/01/lga/16/ward/03/pu/010/010-1677387280.pdf</t>
  </si>
  <si>
    <t>AGBE PRIMARY SCHOOL, Polling Unit, ODEDA, Ogun State, Nigeria</t>
  </si>
  <si>
    <t>27-16-03-011</t>
  </si>
  <si>
    <t>MOGAN PRIMARY SCHOOL</t>
  </si>
  <si>
    <t>https://docs.inecelectionresults.net/elections_prod/1292/state/01/lga/16/ward/03/pu/011/011-1677388984.pdf</t>
  </si>
  <si>
    <t>MOGAN PRIMARY SCHOOL, Polling Unit, ODEDA, Ogun State, Nigeria</t>
  </si>
  <si>
    <t>27-16-03-012</t>
  </si>
  <si>
    <t>BAMGBOSE VILLAGE</t>
  </si>
  <si>
    <t>https://docs.inecelectionresults.net/elections_prod/1292/state/01/lga/16/ward/03/pu/012/012-1677359413.pdf</t>
  </si>
  <si>
    <t>BAMGBOSE VILLAGE, Polling Unit, ODEDA, Ogun State, Nigeria</t>
  </si>
  <si>
    <t>ALAGBAGBA</t>
  </si>
  <si>
    <t>27-16-04-001</t>
  </si>
  <si>
    <t>C.A.C. PRIMARY SCHOOL, ALAGBAGBA</t>
  </si>
  <si>
    <t>https://docs.inecelectionresults.net/elections_prod/1292/state/01/lga/16/ward/04/pu/001/001-1677359573.pdf</t>
  </si>
  <si>
    <t>C.A.C. PRIMARY SCHOOL, ALAGBAGBA, Polling Unit, ODEDA, Ogun State, Nigeria</t>
  </si>
  <si>
    <t>27-16-04-002</t>
  </si>
  <si>
    <t>ABULE, OLA PRIMARY SCHOOL</t>
  </si>
  <si>
    <t>https://docs.inecelectionresults.net/elections_prod/1292/state/01/lga/16/ward/04/pu/002/002-1677359434.pdf</t>
  </si>
  <si>
    <t>ABULE, OLA PRIMARY SCHOOL, Polling Unit, ODEDA, Ogun State, Nigeria</t>
  </si>
  <si>
    <t>27-16-04-003</t>
  </si>
  <si>
    <t>BABAPUPA. PRIMARY SCHOOL</t>
  </si>
  <si>
    <t>https://docs.inecelectionresults.net/elections_prod/1292/state/01/lga/16/ward/04/pu/003/003-1677361641.pdf</t>
  </si>
  <si>
    <t>BABAPUPA. PRIMARY SCHOOL, Polling Unit, ODEDA, Ogun State, Nigeria</t>
  </si>
  <si>
    <t>27-16-04-005</t>
  </si>
  <si>
    <t>OWU VILLAGE</t>
  </si>
  <si>
    <t>https://docs.inecelectionresults.net/elections_prod/1292/state/01/lga/16/ward/04/pu/005/005-1677358596.pdf</t>
  </si>
  <si>
    <t>OWU VILLAGE, Polling Unit, ODEDA, Ogun State, Nigeria</t>
  </si>
  <si>
    <t>27-16-04-006</t>
  </si>
  <si>
    <t>IJEMO FADIPE, PRIMARY SCHOOL I</t>
  </si>
  <si>
    <t>https://docs.inecelectionresults.net/elections_prod/1292/state/01/lga/16/ward/04/pu/006/006-1677360049.pdf</t>
  </si>
  <si>
    <t>IJEMO FADIPE, PRIMARY SCHOOL I, Polling Unit, ODEDA, Ogun State, Nigeria</t>
  </si>
  <si>
    <t>27-16-04-009</t>
  </si>
  <si>
    <t>ABAKUYAMO VILLAGE</t>
  </si>
  <si>
    <t>https://docs.inecelectionresults.net/elections_prod/1292/state/01/lga/16/ward/04/pu/009/009-1677359294.pdf</t>
  </si>
  <si>
    <t>ABAKUYAMO VILLAGE, Polling Unit, ODEDA, Ogun State, Nigeria</t>
  </si>
  <si>
    <t>27-16-04-010</t>
  </si>
  <si>
    <t>BALOGUN LANLOKO VILLAGE</t>
  </si>
  <si>
    <t>https://docs.inecelectionresults.net/elections_prod/1292/state/01/lga/16/ward/04/pu/010/010-1677358697.pdf</t>
  </si>
  <si>
    <t>BALOGUN LANLOKO VILLAGE, Polling Unit, ODEDA, Ogun State, Nigeria</t>
  </si>
  <si>
    <t>27-16-04-011</t>
  </si>
  <si>
    <t>OJEBIYI VILLAGE</t>
  </si>
  <si>
    <t>https://docs.inecelectionresults.net/elections_prod/1292/state/01/lga/16/ward/04/pu/011/011-1677361032.pdf</t>
  </si>
  <si>
    <t>OJEBIYI VILLAGE, Polling Unit, ODEDA, Ogun State, Nigeria</t>
  </si>
  <si>
    <t>27-16-04-012</t>
  </si>
  <si>
    <t>ELEGUNMEFA VILLAGE</t>
  </si>
  <si>
    <t>https://docs.inecelectionresults.net/elections_prod/1292/state/01/lga/16/ward/04/pu/012/012-1677360514.pdf</t>
  </si>
  <si>
    <t>ELEGUNMEFA VILLAGE, Polling Unit, ODEDA, Ogun State, Nigeria</t>
  </si>
  <si>
    <t>ILUGUN</t>
  </si>
  <si>
    <t>27-16-05-001</t>
  </si>
  <si>
    <t>ST. JAMES PRIMARY SCH. I, ILUGUN</t>
  </si>
  <si>
    <t>https://docs.inecelectionresults.net/elections_prod/1292/state/01/lga/16/ward/05/pu/001/001-1677416157.pdf</t>
  </si>
  <si>
    <t>ST. JAMES PRIMARY SCH. I, ILUGUN, Polling Unit, ODEDA, Ogun State, Nigeria</t>
  </si>
  <si>
    <t>27-16-05-002</t>
  </si>
  <si>
    <t>OLOFIN PRIMARY SCHOOL</t>
  </si>
  <si>
    <t>https://docs.inecelectionresults.net/elections_prod/1292/state/01/lga/16/ward/05/pu/002/002-1677428157.pdf</t>
  </si>
  <si>
    <t>OLOFIN PRIMARY SCHOOL, Polling Unit, ODEDA, Ogun State, Nigeria</t>
  </si>
  <si>
    <t>27-16-05-003</t>
  </si>
  <si>
    <t>ST. ANDREWS PRIMARY SCH. I, KILA</t>
  </si>
  <si>
    <t>https://docs.inecelectionresults.net/elections_prod/1292/state/01/lga/16/ward/05/pu/003/003-1677427466.pdf</t>
  </si>
  <si>
    <t>ST. ANDREWS PRIMARY SCH. I, KILA, Polling Unit, ODEDA, Ogun State, Nigeria</t>
  </si>
  <si>
    <t>27-16-05-004</t>
  </si>
  <si>
    <t>OKIRI OJULE PRIMARY SCHOOL</t>
  </si>
  <si>
    <t>https://docs.inecelectionresults.net/elections_prod/1292/state/01/lga/16/ward/05/pu/004/004-1677426759.pdf</t>
  </si>
  <si>
    <t>OKIRI OJULE PRIMARY SCHOOL, Polling Unit, ODEDA, Ogun State, Nigeria</t>
  </si>
  <si>
    <t>27-16-05-006</t>
  </si>
  <si>
    <t>AKONKO PRIMARY SCHOOL</t>
  </si>
  <si>
    <t>https://docs.inecelectionresults.net/elections_prod/1292/state/01/lga/16/ward/05/pu/006/006-1677425233.pdf</t>
  </si>
  <si>
    <t>AKONKO PRIMARY SCHOOL, Polling Unit, ODEDA, Ogun State, Nigeria</t>
  </si>
  <si>
    <t>27-16-05-007</t>
  </si>
  <si>
    <t>AKINTOYE PRIMARY SCHOOL</t>
  </si>
  <si>
    <t>https://docs.inecelectionresults.net/elections_prod/1292/state/01/lga/16/ward/05/pu/007/007-1677424835.pdf</t>
  </si>
  <si>
    <t>AKINTOYE PRIMARY SCHOOL, Polling Unit, ODEDA, Ogun State, Nigeria</t>
  </si>
  <si>
    <t>27-16-05-008</t>
  </si>
  <si>
    <t>ONIREKE VILLAGE</t>
  </si>
  <si>
    <t>https://docs.inecelectionresults.net/elections_prod/1292/state/01/lga/16/ward/05/pu/008/008-1677424177.pdf</t>
  </si>
  <si>
    <t>ONIREKE VILLAGE, Polling Unit, ODEDA, Ogun State, Nigeria</t>
  </si>
  <si>
    <t>27-16-05-009</t>
  </si>
  <si>
    <t>OLOWO VILLAGE</t>
  </si>
  <si>
    <t>https://docs.inecelectionresults.net/elections_prod/1292/state/01/lga/16/ward/05/pu/009/009-1677422953.pdf</t>
  </si>
  <si>
    <t>OLOWO VILLAGE, Polling Unit, ODEDA, Ogun State, Nigeria</t>
  </si>
  <si>
    <t>27-16-05-010</t>
  </si>
  <si>
    <t>ALAGBA VILLAGE</t>
  </si>
  <si>
    <t>https://docs.inecelectionresults.net/elections_prod/1292/state/01/lga/16/ward/05/pu/010/010-1677422506.pdf</t>
  </si>
  <si>
    <t>ALAGBA VILLAGE, Polling Unit, ODEDA, Ogun State, Nigeria</t>
  </si>
  <si>
    <t>27-16-05-011</t>
  </si>
  <si>
    <t>OLOKEMEJI PRIMARY SCHOOL  I</t>
  </si>
  <si>
    <t>https://docs.inecelectionresults.net/elections_prod/1292/state/01/lga/16/ward/05/pu/011/011-1677421930.pdf</t>
  </si>
  <si>
    <t>OLOKEMEJI PRIMARY SCHOOL  I, Polling Unit, ODEDA, Ogun State, Nigeria</t>
  </si>
  <si>
    <t>27-16-05-012</t>
  </si>
  <si>
    <t>ADEWUSI PRIMARY SCHOOL</t>
  </si>
  <si>
    <t>https://docs.inecelectionresults.net/elections_prod/1292/state/01/lga/16/ward/05/pu/012/012-1677421364.pdf</t>
  </si>
  <si>
    <t>ADEWUSI PRIMARY SCHOOL, Polling Unit, ODEDA, Ogun State, Nigeria</t>
  </si>
  <si>
    <t>27-16-05-013</t>
  </si>
  <si>
    <t>O.L.G. PRIMARY SCHOOL, EFON ADANRI</t>
  </si>
  <si>
    <t>https://docs.inecelectionresults.net/elections_prod/1292/state/01/lga/16/ward/05/pu/013/013-1677420737.pdf</t>
  </si>
  <si>
    <t>O.L.G. PRIMARY SCHOOL, EFON ADANRI, Polling Unit, ODEDA, Ogun State, Nigeria</t>
  </si>
  <si>
    <t>27-16-05-014</t>
  </si>
  <si>
    <t>DAODU VILLAGE</t>
  </si>
  <si>
    <t>https://docs.inecelectionresults.net/elections_prod/1292/state/01/lga/16/ward/05/pu/014/014-1677417364.pdf</t>
  </si>
  <si>
    <t>DAODU VILLAGE, Polling Unit, ODEDA, Ogun State, Nigeria</t>
  </si>
  <si>
    <t>27-16-05-015</t>
  </si>
  <si>
    <t>OLOSAN VILLAGE</t>
  </si>
  <si>
    <t>https://docs.inecelectionresults.net/elections_prod/1292/state/01/lga/16/ward/05/pu/015/015-1677387221.pdf</t>
  </si>
  <si>
    <t>OLOSAN VILLAGE, Polling Unit, ODEDA, Ogun State, Nigeria</t>
  </si>
  <si>
    <t>27-16-05-016</t>
  </si>
  <si>
    <t>OGUNTOLU PRIMARY SCHOOL, ITOKO FADIPE</t>
  </si>
  <si>
    <t>https://docs.inecelectionresults.net/elections_prod/1292/state/01/lga/16/ward/05/pu/016/016-1677393658.pdf</t>
  </si>
  <si>
    <t>OGUNTOLU PRIMARY SCHOOL, ITOKO FADIPE, Polling Unit, ODEDA, Ogun State, Nigeria</t>
  </si>
  <si>
    <t>OSIELE</t>
  </si>
  <si>
    <t>27-16-06-001</t>
  </si>
  <si>
    <t>ST. MARY'S PRIMARY SCH., I, OSIELE</t>
  </si>
  <si>
    <t>https://docs.inecelectionresults.net/elections_prod/1292/state/01/lga/16/ward/06/pu/001/001-1677410601.pdf</t>
  </si>
  <si>
    <t>ST. MARY'S PRIMARY SCH., I, OSIELE, Polling Unit, ODEDA, Ogun State, Nigeria</t>
  </si>
  <si>
    <t>27-16-06-002</t>
  </si>
  <si>
    <t>ST. MARY'S PRIMARY SCH.,II, OSIELE</t>
  </si>
  <si>
    <t>https://docs.inecelectionresults.net/elections_prod/1292/state/01/lga/16/ward/06/pu/002/002-1677397010.pdf</t>
  </si>
  <si>
    <t>ST. MARY'S PRIMARY SCH.,II, OSIELE, Polling Unit, ODEDA, Ogun State, Nigeria</t>
  </si>
  <si>
    <t>27-16-06-003</t>
  </si>
  <si>
    <t>CAMP VILLAGE</t>
  </si>
  <si>
    <t>https://docs.inecelectionresults.net/elections_prod/1292/state/01/lga/16/ward/06/pu/003/003-1677402015.pdf</t>
  </si>
  <si>
    <t>CAMP VILLAGE, Polling Unit, ODEDA, Ogun State, Nigeria</t>
  </si>
  <si>
    <t>27-16-06-004</t>
  </si>
  <si>
    <t>APAKILA VILLAGE</t>
  </si>
  <si>
    <t>https://docs.inecelectionresults.net/elections_prod/1292/state/01/lga/16/ward/06/pu/004/004-1677408409.pdf</t>
  </si>
  <si>
    <t>APAKILA VILLAGE, Polling Unit, ODEDA, Ogun State, Nigeria</t>
  </si>
  <si>
    <t>27-16-06-005</t>
  </si>
  <si>
    <t>IDI-AKA VILLAGE</t>
  </si>
  <si>
    <t>https://docs.inecelectionresults.net/elections_prod/1292/state/01/lga/16/ward/06/pu/005/005-1677405718.pdf</t>
  </si>
  <si>
    <t>IDI-AKA VILLAGE, Polling Unit, ODEDA, Ogun State, Nigeria</t>
  </si>
  <si>
    <t>27-16-06-006</t>
  </si>
  <si>
    <t>C.P.S. IWO ALLI</t>
  </si>
  <si>
    <t>https://docs.inecelectionresults.net/elections_prod/1292/state/01/lga/16/ward/06/pu/006/006-1677409876.pdf</t>
  </si>
  <si>
    <t>C.P.S. IWO ALLI, Polling Unit, ODEDA, Ogun State, Nigeria</t>
  </si>
  <si>
    <t>27-16-06-007</t>
  </si>
  <si>
    <t>OGBOJA PRIMARY SCHOOL</t>
  </si>
  <si>
    <t>https://docs.inecelectionresults.net/elections_prod/1292/state/01/lga/16/ward/06/pu/007/007-1677417388.pdf</t>
  </si>
  <si>
    <t>OGBOJA PRIMARY SCHOOL, Polling Unit, ODEDA, Ogun State, Nigeria</t>
  </si>
  <si>
    <t>27-16-06-008</t>
  </si>
  <si>
    <t>O.L.G. ITESI AJEGUNLE  I</t>
  </si>
  <si>
    <t>https://docs.inecelectionresults.net/elections_prod/1292/state/01/lga/16/ward/06/pu/008/008-1677398850.pdf</t>
  </si>
  <si>
    <t>O.L.G. ITESI AJEGUNLE  I, Polling Unit, ODEDA, Ogun State, Nigeria</t>
  </si>
  <si>
    <t>27-16-06-009</t>
  </si>
  <si>
    <t>JAGUN AKINFENWA</t>
  </si>
  <si>
    <t>https://docs.inecelectionresults.net/elections_prod/1292/state/01/lga/16/ward/06/pu/009/009-1677404019.pdf</t>
  </si>
  <si>
    <t>JAGUN AKINFENWA, Polling Unit, ODEDA, Ogun State, Nigeria</t>
  </si>
  <si>
    <t>OBANTOKO</t>
  </si>
  <si>
    <t>27-16-07-001</t>
  </si>
  <si>
    <t>O.L.G. SCHOOL I, OBANTOKO</t>
  </si>
  <si>
    <t>https://docs.inecelectionresults.net/elections_prod/1292/state/01/lga/16/ward/07/pu/001/001-1677401564.pdf</t>
  </si>
  <si>
    <t>O.L.G. SCHOOL I, OBANTOKO, Polling Unit, ODEDA, Ogun State, Nigeria</t>
  </si>
  <si>
    <t>27-16-07-002</t>
  </si>
  <si>
    <t>O.L.G. SCHOOL II, OBANTOKO</t>
  </si>
  <si>
    <t>https://docs.inecelectionresults.net/elections_prod/1292/state/01/lga/16/ward/07/pu/002/002-1677404629.pdf</t>
  </si>
  <si>
    <t>O.L.G. SCHOOL II, OBANTOKO, Polling Unit, ODEDA, Ogun State, Nigeria</t>
  </si>
  <si>
    <t>27-16-07-004</t>
  </si>
  <si>
    <t>AKINGBADE VILLAGE</t>
  </si>
  <si>
    <t>https://docs.inecelectionresults.net/elections_prod/1292/state/01/lga/16/ward/07/pu/004/004-1677385676.pdf</t>
  </si>
  <si>
    <t>AKINGBADE VILLAGE, Polling Unit, ODEDA, Ogun State, Nigeria</t>
  </si>
  <si>
    <t>27-16-07-005</t>
  </si>
  <si>
    <t>ANIGILAJE VILLAGE</t>
  </si>
  <si>
    <t>https://docs.inecelectionresults.net/elections_prod/1292/state/01/lga/16/ward/07/pu/005/005-1677392758.pdf</t>
  </si>
  <si>
    <t>ANIGILAJE VILLAGE, Polling Unit, ODEDA, Ogun State, Nigeria</t>
  </si>
  <si>
    <t>27-16-07-006</t>
  </si>
  <si>
    <t>AAYA PRIMARY SCHOOL</t>
  </si>
  <si>
    <t>https://docs.inecelectionresults.net/elections_prod/1292/state/01/lga/16/ward/07/pu/006/006-1677360393.pdf</t>
  </si>
  <si>
    <t>AAYA PRIMARY SCHOOL, Polling Unit, ODEDA, Ogun State, Nigeria</t>
  </si>
  <si>
    <t>27-16-07-007</t>
  </si>
  <si>
    <t>AYETORO BUDO</t>
  </si>
  <si>
    <t>https://docs.inecelectionresults.net/elections_prod/1292/state/01/lga/16/ward/07/pu/007/007-1677367081.pdf</t>
  </si>
  <si>
    <t>AYETORO BUDO, Polling Unit, ODEDA, Ogun State, Nigeria</t>
  </si>
  <si>
    <t>27-16-07-008</t>
  </si>
  <si>
    <t>ISOLU VILLAGE</t>
  </si>
  <si>
    <t>https://docs.inecelectionresults.net/elections_prod/1292/state/01/lga/16/ward/07/pu/008/008-1677404467.pdf</t>
  </si>
  <si>
    <t>ISOLU VILLAGE, Polling Unit, ODEDA, Ogun State, Nigeria</t>
  </si>
  <si>
    <t>27-16-07-010</t>
  </si>
  <si>
    <t>ILUGUN ITOKO</t>
  </si>
  <si>
    <t>https://docs.inecelectionresults.net/elections_prod/1292/state/01/lga/16/ward/07/pu/010/010-1677404166.pdf</t>
  </si>
  <si>
    <t>ILUGUN ITOKO, Polling Unit, ODEDA, Ogun State, Nigeria</t>
  </si>
  <si>
    <t>27-16-07-011</t>
  </si>
  <si>
    <t>ILUPEJU ALAGBEDE</t>
  </si>
  <si>
    <t>https://docs.inecelectionresults.net/elections_prod/1292/state/01/lga/16/ward/07/pu/011/011-1677386146.pdf</t>
  </si>
  <si>
    <t>ILUPEJU ALAGBEDE, Polling Unit, ODEDA, Ogun State, Nigeria</t>
  </si>
  <si>
    <t>27-16-07-013</t>
  </si>
  <si>
    <t>AHMADIYYA EGBATEDO SCHOOL</t>
  </si>
  <si>
    <t>https://docs.inecelectionresults.net/elections_prod/1292/state/01/lga/16/ward/07/pu/013/013-1677368861.pdf</t>
  </si>
  <si>
    <t>AHMADIYYA EGBATEDO SCHOOL, Polling Unit, ODEDA, Ogun State, Nigeria</t>
  </si>
  <si>
    <t>ALABATA</t>
  </si>
  <si>
    <t>27-16-08-002</t>
  </si>
  <si>
    <t>OKIJI/MALAKA</t>
  </si>
  <si>
    <t>https://docs.inecelectionresults.net/elections_prod/1292/state/01/lga/16/ward/08/pu/002/002-1677363189.pdf</t>
  </si>
  <si>
    <t>OKIJI/MALAKA, Polling Unit, ODEDA, Ogun State, Nigeria</t>
  </si>
  <si>
    <t>27-16-08-003</t>
  </si>
  <si>
    <t>BALOGUN AGURODO</t>
  </si>
  <si>
    <t>https://docs.inecelectionresults.net/elections_prod/1292/state/1/lga/3681/ward/24133/pu/93479/93479-1677583071.pdf</t>
  </si>
  <si>
    <t>BALOGUN AGURODO, Polling Unit, ODEDA, Ogun State, Nigeria</t>
  </si>
  <si>
    <t>27-16-08-004</t>
  </si>
  <si>
    <t>ADAO VILLAGE</t>
  </si>
  <si>
    <t>https://docs.inecelectionresults.net/elections_prod/1292/state/01/lga/16/ward/08/pu/004/004-1677362940.pdf</t>
  </si>
  <si>
    <t>ADAO VILLAGE, Polling Unit, ODEDA, Ogun State, Nigeria</t>
  </si>
  <si>
    <t>27-16-08-005</t>
  </si>
  <si>
    <t>TEJEOUN VILLAGE</t>
  </si>
  <si>
    <t>https://docs.inecelectionresults.net/elections_prod/1292/state/01/lga/16/ward/08/pu/005/005-1677363147.pdf</t>
  </si>
  <si>
    <t>TEJEOUN VILLAGE, Polling Unit, ODEDA, Ogun State, Nigeria</t>
  </si>
  <si>
    <t>27-16-08-006</t>
  </si>
  <si>
    <t>FAAMI VILLAGE</t>
  </si>
  <si>
    <t>https://docs.inecelectionresults.net/elections_prod/1292/state/01/lga/16/ward/08/pu/006/006-1677364426.pdf</t>
  </si>
  <si>
    <t>FAAMI VILLAGE, Polling Unit, ODEDA, Ogun State, Nigeria</t>
  </si>
  <si>
    <t>27-16-08-007</t>
  </si>
  <si>
    <t>ONSEMO</t>
  </si>
  <si>
    <t>https://docs.inecelectionresults.net/elections_prod/1292/state/01/lga/16/ward/08/pu/007/007-1677363788.pdf</t>
  </si>
  <si>
    <t>ONSEMO, Polling Unit, ODEDA, Ogun State, Nigeria</t>
  </si>
  <si>
    <t>OBETE</t>
  </si>
  <si>
    <t>27-16-09-001</t>
  </si>
  <si>
    <t>OBETE AKANBI PRIMARY SCHOOL I</t>
  </si>
  <si>
    <t>https://docs.inecelectionresults.net/elections_prod/1292/state/01/lga/16/ward/09/pu/001/001-1677405486.pdf</t>
  </si>
  <si>
    <t>OBETE AKANBI PRIMARY SCHOOL I, Polling Unit, ODEDA, Ogun State, Nigeria</t>
  </si>
  <si>
    <t>27-16-09-002</t>
  </si>
  <si>
    <t>APOJOLA PRIMARY SCHOOL</t>
  </si>
  <si>
    <t>https://docs.inecelectionresults.net/elections_prod/1292/state/01/lga/16/ward/09/pu/002/002-1677410999.pdf</t>
  </si>
  <si>
    <t>APOJOLA PRIMARY SCHOOL, Polling Unit, ODEDA, Ogun State, Nigeria</t>
  </si>
  <si>
    <t>27-16-09-004</t>
  </si>
  <si>
    <t>ABULE SET PRIMARY SCHOOL</t>
  </si>
  <si>
    <t>https://docs.inecelectionresults.net/elections_prod/1292/state/01/lga/16/ward/09/pu/004/004-1677408619.pdf</t>
  </si>
  <si>
    <t>ABULE SET PRIMARY SCHOOL, Polling Unit, ODEDA, Ogun State, Nigeria</t>
  </si>
  <si>
    <t>27-16-09-005</t>
  </si>
  <si>
    <t>SANUSI VILLAGE</t>
  </si>
  <si>
    <t>https://docs.inecelectionresults.net/elections_prod/1292/state/01/lga/16/ward/09/pu/005/005-1677406590.pdf</t>
  </si>
  <si>
    <t>SANUSI VILLAGE, Polling Unit, ODEDA, Ogun State, Nigeria</t>
  </si>
  <si>
    <t>27-16-09-006</t>
  </si>
  <si>
    <t>LUHANI VILLAGE</t>
  </si>
  <si>
    <t>https://docs.inecelectionresults.net/elections_prod/1292/state/01/lga/16/ward/09/pu/006/006-1677405991.pdf</t>
  </si>
  <si>
    <t>LUHANI VILLAGE, Polling Unit, ODEDA, Ogun State, Nigeria</t>
  </si>
  <si>
    <t>27-16-09-007</t>
  </si>
  <si>
    <t>OKEDI VILLAGE</t>
  </si>
  <si>
    <t>https://docs.inecelectionresults.net/elections_prod/1292/state/01/lga/16/ward/09/pu/007/007-1677407851.pdf</t>
  </si>
  <si>
    <t>OKEDI VILLAGE, Polling Unit, ODEDA, Ogun State, Nigeria</t>
  </si>
  <si>
    <t>27-16-09-008</t>
  </si>
  <si>
    <t>AYOYO VILLAGE</t>
  </si>
  <si>
    <t>https://docs.inecelectionresults.net/elections_prod/1292/state/01/lga/16/ward/09/pu/008/008-1677406900.pdf</t>
  </si>
  <si>
    <t>AYOYO VILLAGE, Polling Unit, ODEDA, Ogun State, Nigeria</t>
  </si>
  <si>
    <t>OPEJI</t>
  </si>
  <si>
    <t>27-16-10-001</t>
  </si>
  <si>
    <t>O.L.G. SCHOOL I, OPEJI</t>
  </si>
  <si>
    <t>https://docs.inecelectionresults.net/elections_prod/1292/state/01/lga/16/ward/10/pu/001/001-1677371795.pdf</t>
  </si>
  <si>
    <t>O.L.G. SCHOOL I, OPEJI, Polling Unit, ODEDA, Ogun State, Nigeria</t>
  </si>
  <si>
    <t>27-16-10-002</t>
  </si>
  <si>
    <t>O.L.G. SCHOOL I, MAWUKO</t>
  </si>
  <si>
    <t>https://docs.inecelectionresults.net/elections_prod/1292/state/01/lga/16/ward/10/pu/002/002-1677384051.pdf</t>
  </si>
  <si>
    <t>O.L.G. SCHOOL I, MAWUKO, Polling Unit, ODEDA, Ogun State, Nigeria</t>
  </si>
  <si>
    <t>27-16-10-004</t>
  </si>
  <si>
    <t>O.L.G. SCHOOL, ADAKO</t>
  </si>
  <si>
    <t>https://docs.inecelectionresults.net/elections_prod/1292/state/01/lga/16/ward/10/pu/004/004-1677374660.pdf</t>
  </si>
  <si>
    <t>O.L.G. SCHOOL, ADAKO, Polling Unit, ODEDA, Ogun State, Nigeria</t>
  </si>
  <si>
    <t>27-16-10-005</t>
  </si>
  <si>
    <t>NAWARUDEEN PRIMARY SCH. BODE OLUDE I</t>
  </si>
  <si>
    <t>https://docs.inecelectionresults.net/elections_prod/1292/state/01/lga/16/ward/10/pu/005/005-1677371313.pdf</t>
  </si>
  <si>
    <t>NAWARUDEEN PRIMARY SCH. BODE OLUDE I, Polling Unit, ODEDA, Ogun State, Nigeria</t>
  </si>
  <si>
    <t>27-16-10-006</t>
  </si>
  <si>
    <t>FADAGE</t>
  </si>
  <si>
    <t>https://docs.inecelectionresults.net/elections_prod/1292/state/01/lga/16/ward/10/pu/006/006-1677373916.pdf</t>
  </si>
  <si>
    <t>FADAGE, Polling Unit, ODEDA, Ogun State, Nigeria</t>
  </si>
  <si>
    <t>27-16-10-007</t>
  </si>
  <si>
    <t>IJO-AGBE VILLAGE</t>
  </si>
  <si>
    <t>https://docs.inecelectionresults.net/elections_prod/1292/state/01/lga/16/ward/10/pu/007/007-1677374876.pdf</t>
  </si>
  <si>
    <t>IJO-AGBE VILLAGE, Polling Unit, ODEDA, Ogun State, Nigeria</t>
  </si>
  <si>
    <t>27-16-10-008</t>
  </si>
  <si>
    <t>O.L.G. PRIMARY SCHOOL, ONIGBOGBO</t>
  </si>
  <si>
    <t>https://docs.inecelectionresults.net/elections_prod/1292/state/01/lga/16/ward/10/pu/008/008-1677373825.pdf</t>
  </si>
  <si>
    <t>O.L.G. PRIMARY SCHOOL, ONIGBOGBO, Polling Unit, ODEDA, Ogun State, Nigeria</t>
  </si>
  <si>
    <t>27-16-10-009</t>
  </si>
  <si>
    <t>IGBO - OLORIN</t>
  </si>
  <si>
    <t>https://docs.inecelectionresults.net/elections_prod/1292/state/01/lga/16/ward/10/pu/009/009-1677375170.pdf</t>
  </si>
  <si>
    <t>IGBO - OLORIN, Polling Unit, ODEDA, Ogun State, Nigeria</t>
  </si>
  <si>
    <t>27-16-10-011</t>
  </si>
  <si>
    <t>BOOTH OPP. ALHAJI FASIU'S HOUSE, BODE - OLUDE</t>
  </si>
  <si>
    <t>https://docs.inecelectionresults.net/elections_prod/1292/state/01/lga/16/ward/10/pu/011/011-1677368728.pdf</t>
  </si>
  <si>
    <t>BOOTH OPP. ALHAJI FASIU'S HOUSE, BODE - OLUDE, Polling Unit, ODEDA, Ogun State, Nigeria</t>
  </si>
  <si>
    <t>27-16-10-012</t>
  </si>
  <si>
    <t>BODE OLUDE II</t>
  </si>
  <si>
    <t>https://docs.inecelectionresults.net/elections_prod/1292/state/01/lga/16/ward/10/pu/012/012-1677373641.pdf</t>
  </si>
  <si>
    <t>BODE OLUDE II, Polling Unit, ODEDA, Ogun State, Nigeria</t>
  </si>
  <si>
    <t>ODOGBOLU</t>
  </si>
  <si>
    <t>IMOSAN</t>
  </si>
  <si>
    <t>27-17-01-001</t>
  </si>
  <si>
    <t>MOSLEM PRIMARY SCHOOL, IMOSAN</t>
  </si>
  <si>
    <t>https://docs.inecelectionresults.net/elections_prod/1292/state/01/lga/17/ward/01/pu/001/001-1677372299.pdf</t>
  </si>
  <si>
    <t>MOSLEM PRIMARY SCHOOL, IMOSAN, Polling Unit, ODOGBOLU, Ogun State, Nigeria</t>
  </si>
  <si>
    <t>27-17-01-003</t>
  </si>
  <si>
    <t>AJEREGUN ROAD, FRONT EBA TUTU HOUSE, IPERIN</t>
  </si>
  <si>
    <t>https://docs.inecelectionresults.net/elections_prod/1292/state/01/lga/17/ward/01/pu/003/003-1677380343.pdf</t>
  </si>
  <si>
    <t>AJEREGUN ROAD, FRONT EBA TUTU HOUSE, IPERIN, Polling Unit, ODOGBOLU, Ogun State, Nigeria</t>
  </si>
  <si>
    <t>27-17-01-004</t>
  </si>
  <si>
    <t>ST PETER ANGLICAN CHURCH, ODOYANTA</t>
  </si>
  <si>
    <t>https://docs.inecelectionresults.net/elections_prod/1292/state/01/lga/17/ward/01/pu/004/004-1677376834.pdf</t>
  </si>
  <si>
    <t>ST PETER ANGLICAN CHURCH, ODOYANTA, Polling Unit, ODOGBOLU, Ogun State, Nigeria</t>
  </si>
  <si>
    <t>IMODI</t>
  </si>
  <si>
    <t>27-17-02-001</t>
  </si>
  <si>
    <t>RECRETATION CENTER,IMODI</t>
  </si>
  <si>
    <t>https://docs.inecelectionresults.net/elections_prod/1292/state/01/lga/17/ward/02/pu/001/001-1677364555.pdf</t>
  </si>
  <si>
    <t>RECRETATION CENTER,IMODI, Polling Unit, ODOGBOLU, Ogun State, Nigeria</t>
  </si>
  <si>
    <t>27-17-02-002</t>
  </si>
  <si>
    <t>ST. MATTEW PRIMARYSCH. IMODI</t>
  </si>
  <si>
    <t>https://docs.inecelectionresults.net/elections_prod/1292/state/01/lga/17/ward/02/pu/002/002-1677366050.pdf</t>
  </si>
  <si>
    <t>ST. MATTEW PRIMARYSCH. IMODI, Polling Unit, ODOGBOLU, Ogun State, Nigeria</t>
  </si>
  <si>
    <t>27-17-02-003</t>
  </si>
  <si>
    <t>OPP.IKANGBA CHURCH, IKANGBA</t>
  </si>
  <si>
    <t>https://docs.inecelectionresults.net/elections_prod/1292/state/01/lga/17/ward/02/pu/003/003-1677363556.pdf</t>
  </si>
  <si>
    <t>OPP.IKANGBA CHURCH, IKANGBA, Polling Unit, ODOGBOLU, Ogun State, Nigeria</t>
  </si>
  <si>
    <t>27-17-02-004</t>
  </si>
  <si>
    <t>CHRIST ANG PRIMARYSCH.AGORO</t>
  </si>
  <si>
    <t>https://docs.inecelectionresults.net/elections_prod/1292/state/01/lga/17/ward/02/pu/004/004-1677365600.pdf</t>
  </si>
  <si>
    <t>CHRIST ANG PRIMARYSCH.AGORO, Polling Unit, ODOGBOLU, Ogun State, Nigeria</t>
  </si>
  <si>
    <t>27-17-02-005</t>
  </si>
  <si>
    <t>OPP.ST.JOHN CHURCH, ERINLU I</t>
  </si>
  <si>
    <t>https://docs.inecelectionresults.net/elections_prod/1292/state/01/lga/17/ward/02/pu/005/005-1677372558.pdf</t>
  </si>
  <si>
    <t>OPP.ST.JOHN CHURCH, ERINLU I, Polling Unit, ODOGBOLU, Ogun State, Nigeria</t>
  </si>
  <si>
    <t>27-17-02-006</t>
  </si>
  <si>
    <t>MARKET SQUARE,IMODI</t>
  </si>
  <si>
    <t>https://docs.inecelectionresults.net/elections_prod/1292/state/01/lga/17/ward/02/pu/006/006-1677365003.pdf</t>
  </si>
  <si>
    <t>MARKET SQUARE,IMODI, Polling Unit, ODOGBOLU, Ogun State, Nigeria</t>
  </si>
  <si>
    <t>27-17-02-007</t>
  </si>
  <si>
    <t>MOSLEM PRIMARYSCH.IMODI</t>
  </si>
  <si>
    <t>https://docs.inecelectionresults.net/elections_prod/1292/state/01/lga/17/ward/02/pu/007/007-1677366184.pdf</t>
  </si>
  <si>
    <t>MOSLEM PRIMARYSCH.IMODI, Polling Unit, ODOGBOLU, Ogun State, Nigeria</t>
  </si>
  <si>
    <t>27-17-02-008</t>
  </si>
  <si>
    <t>BLACK AND WHITE HOTEL, HOUSING ESTATE IKANGBA</t>
  </si>
  <si>
    <t>https://docs.inecelectionresults.net/elections_prod/1292/state/01/lga/17/ward/02/pu/008/008-1677367805.pdf</t>
  </si>
  <si>
    <t>BLACK AND WHITE HOTEL, HOUSING ESTATE IKANGBA, Polling Unit, ODOGBOLU, Ogun State, Nigeria</t>
  </si>
  <si>
    <t>27-17-02-009</t>
  </si>
  <si>
    <t>RECRETATION CENTER II, IMODI</t>
  </si>
  <si>
    <t>https://docs.inecelectionresults.net/elections_prod/1292/state/01/lga/17/ward/02/pu/009/009-1677363381.pdf</t>
  </si>
  <si>
    <t>RECRETATION CENTER II, IMODI, Polling Unit, ODOGBOLU, Ogun State, Nigeria</t>
  </si>
  <si>
    <t>27-17-02-010</t>
  </si>
  <si>
    <t>OPP.IKANGBA CHURCH II, IKANGBA</t>
  </si>
  <si>
    <t>https://docs.inecelectionresults.net/elections_prod/1292/state/01/lga/17/ward/02/pu/010/010-1677381111.pdf</t>
  </si>
  <si>
    <t>OPP.IKANGBA CHURCH II, IKANGBA, Polling Unit, ODOGBOLU, Ogun State, Nigeria</t>
  </si>
  <si>
    <t>27-17-02-011</t>
  </si>
  <si>
    <t>OPP.ST.JOHN CHURCH, ERINLU II</t>
  </si>
  <si>
    <t>https://docs.inecelectionresults.net/elections_prod/1292/state/01/lga/17/ward/02/pu/011/011-1677373710.pdf</t>
  </si>
  <si>
    <t>OPP.ST.JOHN CHURCH, ERINLU II, Polling Unit, ODOGBOLU, Ogun State, Nigeria</t>
  </si>
  <si>
    <t>OKUN-OWA</t>
  </si>
  <si>
    <t>27-17-03-003</t>
  </si>
  <si>
    <t>OKUN OWA TOWN HALL, OKUN OWA</t>
  </si>
  <si>
    <t>https://docs.inecelectionresults.net/elections_prod/1292/state/01/lga/17/ward/03/pu/003/003-1677387482.pdf</t>
  </si>
  <si>
    <t>OKUN OWA TOWN HALL, OKUN OWA, Polling Unit, ODOGBOLU, Ogun State, Nigeria</t>
  </si>
  <si>
    <t>27-17-03-004</t>
  </si>
  <si>
    <t>ST. JUDES PRIMARY SCHOOL,  IJESHA IJEBU</t>
  </si>
  <si>
    <t>https://docs.inecelectionresults.net/elections_prod/1292/state/01/lga/17/ward/03/pu/004/004-1677391358.pdf</t>
  </si>
  <si>
    <t>ST. JUDES PRIMARY SCHOOL,  IJESHA IJEBU, Polling Unit, ODOGBOLU, Ogun State, Nigeria</t>
  </si>
  <si>
    <t>27-17-03-005</t>
  </si>
  <si>
    <t>ST. PETER'S PRIMARY SCHOOL, ARAROMI AKE</t>
  </si>
  <si>
    <t>https://docs.inecelectionresults.net/elections_prod/1292/state/01/lga/17/ward/03/pu/005/005-1677389031.pdf</t>
  </si>
  <si>
    <t>ST. PETER'S PRIMARY SCHOOL, ARAROMI AKE, Polling Unit, ODOGBOLU, Ogun State, Nigeria</t>
  </si>
  <si>
    <t>27-17-03-007</t>
  </si>
  <si>
    <t>ST. BANABAS PRIMARY SCHL, OKUN OWA</t>
  </si>
  <si>
    <t>https://docs.inecelectionresults.net/elections_prod/1292/state/01/lga/17/ward/03/pu/007/007-1677396161.pdf</t>
  </si>
  <si>
    <t>ST. BANABAS PRIMARY SCHL, OKUN OWA, Polling Unit, ODOGBOLU, Ogun State, Nigeria</t>
  </si>
  <si>
    <t>27-17-03-008</t>
  </si>
  <si>
    <t>OPP OTUNBA OLUKOYA'S COMP, OKUN OWA</t>
  </si>
  <si>
    <t>https://docs.inecelectionresults.net/elections_prod/1292/state/01/lga/17/ward/03/pu/008/008-1677399497.pdf</t>
  </si>
  <si>
    <t>OPP OTUNBA OLUKOYA'S COMP, OKUN OWA, Polling Unit, ODOGBOLU, Ogun State, Nigeria</t>
  </si>
  <si>
    <t>ODOGBOLU  I</t>
  </si>
  <si>
    <t>27-17-04-001</t>
  </si>
  <si>
    <t>ODO MARKET, ODOGBOLU</t>
  </si>
  <si>
    <t>https://docs.inecelectionresults.net/elections_prod/1292/state/01/lga/17/ward/04/pu/001/001-1677362567.pdf</t>
  </si>
  <si>
    <t>ODO MARKET, ODOGBOLU, Polling Unit, ODOGBOLU, Ogun State, Nigeria</t>
  </si>
  <si>
    <t>27-17-04-002</t>
  </si>
  <si>
    <t>OPEN SPACE, ITUN ORIWU ODOGBOLU</t>
  </si>
  <si>
    <t>https://docs.inecelectionresults.net/elections_prod/1292/state/01/lga/17/ward/04/pu/002/002-1677369868.pdf</t>
  </si>
  <si>
    <t>OPEN SPACE, ITUN ORIWU ODOGBOLU, Polling Unit, ODOGBOLU, Ogun State, Nigeria</t>
  </si>
  <si>
    <t>27-17-04-004</t>
  </si>
  <si>
    <t>ITUN AGBON STREET, ODOGBOLU</t>
  </si>
  <si>
    <t>https://docs.inecelectionresults.net/elections_prod/1292/state/01/lga/17/ward/04/pu/004/004-1677383844.pdf</t>
  </si>
  <si>
    <t>ITUN AGBON STREET, ODOGBOLU, Polling Unit, ODOGBOLU, Ogun State, Nigeria</t>
  </si>
  <si>
    <t>27-17-04-005</t>
  </si>
  <si>
    <t>OPPOSITE, ST. PAUL CHURCH, IGBEPA ODOGBOLU</t>
  </si>
  <si>
    <t>https://docs.inecelectionresults.net/elections_prod/1292/state/01/lga/17/ward/04/pu/005/005-1677359505.pdf</t>
  </si>
  <si>
    <t>OPPOSITE, ST. PAUL CHURCH, IGBEPA ODOGBOLU, Polling Unit, ODOGBOLU, Ogun State, Nigeria</t>
  </si>
  <si>
    <t>27-17-04-006</t>
  </si>
  <si>
    <t>OPEN SPACE, ODI TAMI, ODOGBOLU</t>
  </si>
  <si>
    <t>https://docs.inecelectionresults.net/elections_prod/1292/state/01/lga/17/ward/04/pu/006/006-1677360188.pdf</t>
  </si>
  <si>
    <t>OPEN SPACE, ODI TAMI, ODOGBOLU, Polling Unit, ODOGBOLU, Ogun State, Nigeria</t>
  </si>
  <si>
    <t>27-17-04-008</t>
  </si>
  <si>
    <t>ODO ALORO QUARTERS, ODOGBOLU</t>
  </si>
  <si>
    <t>https://docs.inecelectionresults.net/elections_prod/1292/state/01/lga/17/ward/04/pu/008/008-1677358635.pdf</t>
  </si>
  <si>
    <t>ODO ALORO QUARTERS, ODOGBOLU, Polling Unit, ODOGBOLU, Ogun State, Nigeria</t>
  </si>
  <si>
    <t>ODOGBOLU  II</t>
  </si>
  <si>
    <t>27-17-05-002</t>
  </si>
  <si>
    <t>FEDERAL GOVT. COLLEGE,ODOGBOLU</t>
  </si>
  <si>
    <t>https://docs.inecelectionresults.net/elections_prod/1292/state/01/lga/17/ward/05/pu/002/002-1677378790.pdf</t>
  </si>
  <si>
    <t>FEDERAL GOVT. COLLEGE,ODOGBOLU, Polling Unit, ODOGBOLU, Ogun State, Nigeria</t>
  </si>
  <si>
    <t>27-17-05-003</t>
  </si>
  <si>
    <t>ITUN ISOKU (BESIDE OLORUNFUNMI HOUSE) ODOGBOLU</t>
  </si>
  <si>
    <t>https://docs.inecelectionresults.net/elections_prod/1292/state/01/lga/17/ward/05/pu/003/003-1677380062.pdf</t>
  </si>
  <si>
    <t>ITUN ISOKU (BESIDE OLORUNFUNMI HOUSE) ODOGBOLU, Polling Unit, ODOGBOLU, Ogun State, Nigeria</t>
  </si>
  <si>
    <t>27-17-05-004</t>
  </si>
  <si>
    <t>UBU QUARTERS, ODOGBOLU</t>
  </si>
  <si>
    <t>https://docs.inecelectionresults.net/elections_prod/1292/state/01/lga/17/ward/05/pu/004/004-1677409948.pdf</t>
  </si>
  <si>
    <t>UBU QUARTERS, ODOGBOLU, Polling Unit, ODOGBOLU, Ogun State, Nigeria</t>
  </si>
  <si>
    <t>27-17-05-005</t>
  </si>
  <si>
    <t>ODOGBON QUARTERS, ODOGBOLU</t>
  </si>
  <si>
    <t>https://docs.inecelectionresults.net/elections_prod/1292/state/01/lga/17/ward/05/pu/005/005-1677410585.pdf</t>
  </si>
  <si>
    <t>ODOGBON QUARTERS, ODOGBOLU, Polling Unit, ODOGBOLU, Ogun State, Nigeria</t>
  </si>
  <si>
    <t>27-17-05-006</t>
  </si>
  <si>
    <t>ILODA QUARTERS, ODOGBOLU</t>
  </si>
  <si>
    <t>https://docs.inecelectionresults.net/elections_prod/1292/state/01/lga/17/ward/05/pu/006/006-1677411203.pdf</t>
  </si>
  <si>
    <t>ILODA QUARTERS, ODOGBOLU, Polling Unit, ODOGBOLU, Ogun State, Nigeria</t>
  </si>
  <si>
    <t>27-17-05-007</t>
  </si>
  <si>
    <t>EFIYAN , (FRONTAGE 1ST CHOICE PHOTO), ODOGBOLU</t>
  </si>
  <si>
    <t>https://docs.inecelectionresults.net/elections_prod/1292/state/01/lga/17/ward/05/pu/007/007-1677417349.pdf</t>
  </si>
  <si>
    <t>EFIYAN , (FRONTAGE 1ST CHOICE PHOTO), ODOGBOLU, Polling Unit, ODOGBOLU, Ogun State, Nigeria</t>
  </si>
  <si>
    <t>27-17-05-008</t>
  </si>
  <si>
    <t>IDENA QUARTERS ,ODOGBOLU</t>
  </si>
  <si>
    <t>https://docs.inecelectionresults.net/elections_prod/1292/state/01/lga/17/ward/05/pu/008/008-1677419956.pdf</t>
  </si>
  <si>
    <t>IDENA QUARTERS ,ODOGBOLU, Polling Unit, ODOGBOLU, Ogun State, Nigeria</t>
  </si>
  <si>
    <t>AIYEPE</t>
  </si>
  <si>
    <t>27-17-06-001</t>
  </si>
  <si>
    <t>OPPOSITE ABA CENTRAL, MOSQUE AIYEPE</t>
  </si>
  <si>
    <t>https://inec-cvr-cache.s3.eu-west-1.amazonaws.com/cached/results/92446/result_80348_1677525233_thumb.jpg</t>
  </si>
  <si>
    <t>OPPOSITE ABA CENTRAL, MOSQUE AIYEPE, Polling Unit, ODOGBOLU, Ogun State, Nigeria</t>
  </si>
  <si>
    <t>27-17-06-002</t>
  </si>
  <si>
    <t>IDOBIRI MARKET AIYEPE</t>
  </si>
  <si>
    <t>https://inec-cvr-cache.s3.eu-west-1.amazonaws.com/cached/results/92447/result_80349_1677527395_thumb.jpg</t>
  </si>
  <si>
    <t>IDOBIRI MARKET AIYEPE, Polling Unit, ODOGBOLU, Ogun State, Nigeria</t>
  </si>
  <si>
    <t>27-17-06-003</t>
  </si>
  <si>
    <t>HOLY TRINITY PRIMARY SCH.AIYEPE</t>
  </si>
  <si>
    <t>https://inec-cvr-cache.s3.eu-west-1.amazonaws.com/cached/results/92448/result_80350_1677527913_thumb.jpg</t>
  </si>
  <si>
    <t>HOLY TRINITY PRIMARY SCH.AIYEPE, Polling Unit, ODOGBOLU, Ogun State, Nigeria</t>
  </si>
  <si>
    <t>27-17-06-005</t>
  </si>
  <si>
    <t>OPPOSITE ILAKAN MOSQUE, AIYEPE</t>
  </si>
  <si>
    <t>https://inec-cvr-cache.s3.eu-west-1.amazonaws.com/cached/results/92450/result_80352_1677531188_thumb.jpg</t>
  </si>
  <si>
    <t>OPPOSITE ILAKAN MOSQUE, AIYEPE, Polling Unit, ODOGBOLU, Ogun State, Nigeria</t>
  </si>
  <si>
    <t>27-17-06-006</t>
  </si>
  <si>
    <t>ST. PAUL PRIMARY SCHOOL, EYINWA</t>
  </si>
  <si>
    <t>https://inec-cvr-cache.s3.eu-west-1.amazonaws.com/cached/results/92451/result_80353_1677531854_thumb.jpg</t>
  </si>
  <si>
    <t>ST. PAUL PRIMARY SCHOOL, EYINWA, Polling Unit, ODOGBOLU, Ogun State, Nigeria</t>
  </si>
  <si>
    <t>27-17-06-007</t>
  </si>
  <si>
    <t>MARKET SQUARE, ABA AIYEPE</t>
  </si>
  <si>
    <t>https://inec-cvr-cache.s3.eu-west-1.amazonaws.com/cached/results/92452/result_80354_1677532132_thumb.jpg</t>
  </si>
  <si>
    <t>MARKET SQUARE, ABA AIYEPE, Polling Unit, ODOGBOLU, Ogun State, Nigeria</t>
  </si>
  <si>
    <t>27-17-06-008</t>
  </si>
  <si>
    <t>FRONTAGE BADA HOUSE AGBOWA ROAD, AIYEPE</t>
  </si>
  <si>
    <t>https://inec-cvr-cache.s3.eu-west-1.amazonaws.com/cached/results/92453/result_80355_1677532540_thumb.jpg</t>
  </si>
  <si>
    <t>FRONTAGE BADA HOUSE AGBOWA ROAD, AIYEPE, Polling Unit, ODOGBOLU, Ogun State, Nigeria</t>
  </si>
  <si>
    <t>OSOSA</t>
  </si>
  <si>
    <t>27-17-07-001</t>
  </si>
  <si>
    <t>OBALUFON IDOMOWO  SQUARE, OSOSA</t>
  </si>
  <si>
    <t>https://docs.inecelectionresults.net/elections_prod/1292/state/1/lga/3682/ward/24142/pu/93555/93555-1677591136.pdf</t>
  </si>
  <si>
    <t>OBALUFON IDOMOWO  SQUARE, OSOSA, Polling Unit, ODOGBOLU, Ogun State, Nigeria</t>
  </si>
  <si>
    <t>27-17-07-002</t>
  </si>
  <si>
    <t>CATHOLIC  PRIMARY SCH. OSOSA</t>
  </si>
  <si>
    <t>https://inec-cvr-cache.s3.eu-west-1.amazonaws.com/cached/results/92455/result_80363_1677529640_thumb.jpg</t>
  </si>
  <si>
    <t>CATHOLIC  PRIMARY SCH. OSOSA, Polling Unit, ODOGBOLU, Ogun State, Nigeria</t>
  </si>
  <si>
    <t>27-17-07-003</t>
  </si>
  <si>
    <t>OSOSA TOWN HALL</t>
  </si>
  <si>
    <t>https://inec-cvr-cache.s3.eu-west-1.amazonaws.com/cached/results/92456/result_80364_1677529445_thumb.jpg</t>
  </si>
  <si>
    <t>OSOSA TOWN HALL, Polling Unit, ODOGBOLU, Ogun State, Nigeria</t>
  </si>
  <si>
    <t>27-17-07-004</t>
  </si>
  <si>
    <t>OSOSA DISPENSARY, OSOSA</t>
  </si>
  <si>
    <t>https://inec-cvr-cache.s3.eu-west-1.amazonaws.com/cached/results/92457/result_80365_1677529208_thumb.jpg</t>
  </si>
  <si>
    <t>OSOSA DISPENSARY, OSOSA, Polling Unit, ODOGBOLU, Ogun State, Nigeria</t>
  </si>
  <si>
    <t>27-17-07-005</t>
  </si>
  <si>
    <t>OPPOSITE IJOKU MOSQUE OSOSA</t>
  </si>
  <si>
    <t>https://inec-cvr-cache.s3.eu-west-1.amazonaws.com/cached/results/92458/result_80366_1677526740_thumb.jpg</t>
  </si>
  <si>
    <t>OPPOSITE IJOKU MOSQUE OSOSA, Polling Unit, ODOGBOLU, Ogun State, Nigeria</t>
  </si>
  <si>
    <t>27-17-07-006</t>
  </si>
  <si>
    <t>ST. JOHN PRIMARY SCHOOL OSOSA</t>
  </si>
  <si>
    <t>https://inec-cvr-cache.s3.eu-west-1.amazonaws.com/cached/results/92459/result_80367_1677525923_thumb.jpg</t>
  </si>
  <si>
    <t>ST. JOHN PRIMARY SCHOOL OSOSA, Polling Unit, ODOGBOLU, Ogun State, Nigeria</t>
  </si>
  <si>
    <t>27-17-07-007</t>
  </si>
  <si>
    <t>SABO MARKET, OSOSA</t>
  </si>
  <si>
    <t>https://inec-cvr-cache.s3.eu-west-1.amazonaws.com/cached/results/92460/result_80368_1677531036_thumb.jpg</t>
  </si>
  <si>
    <t>SABO MARKET, OSOSA, Polling Unit, ODOGBOLU, Ogun State, Nigeria</t>
  </si>
  <si>
    <t>IDOWA</t>
  </si>
  <si>
    <t>27-17-08-001</t>
  </si>
  <si>
    <t>FRONT OF IDOWA TOWN HALL, IDOWA</t>
  </si>
  <si>
    <t>https://docs.inecelectionresults.net/elections_prod/1292/state/01/lga/17/ward/08/pu/001/001-1677369846.pdf</t>
  </si>
  <si>
    <t>FRONT OF IDOWA TOWN HALL, IDOWA, Polling Unit, ODOGBOLU, Ogun State, Nigeria</t>
  </si>
  <si>
    <t>27-17-08-002</t>
  </si>
  <si>
    <t>ILOYE MATERNITY, IDOWA</t>
  </si>
  <si>
    <t>https://docs.inecelectionresults.net/elections_prod/1292/state/01/lga/17/ward/08/pu/002/002-1677370220.pdf</t>
  </si>
  <si>
    <t>ILOYE MATERNITY, IDOWA, Polling Unit, ODOGBOLU, Ogun State, Nigeria</t>
  </si>
  <si>
    <t>27-17-08-003</t>
  </si>
  <si>
    <t>BACK OF IDOWA TOWN HALL, IDOWA</t>
  </si>
  <si>
    <t>https://docs.inecelectionresults.net/elections_prod/1292/state/01/lga/17/ward/08/pu/003/003-1677370069.pdf</t>
  </si>
  <si>
    <t>BACK OF IDOWA TOWN HALL, IDOWA, Polling Unit, ODOGBOLU, Ogun State, Nigeria</t>
  </si>
  <si>
    <t>27-17-08-004</t>
  </si>
  <si>
    <t>OPP. CHIEF OLU ADEBANJO'S HOUSE, IDOWA</t>
  </si>
  <si>
    <t>https://docs.inecelectionresults.net/elections_prod/1292/state/01/lga/17/ward/08/pu/004/004-1677372087.pdf</t>
  </si>
  <si>
    <t>OPP. CHIEF OLU ADEBANJO'S HOUSE, IDOWA, Polling Unit, ODOGBOLU, Ogun State, Nigeria</t>
  </si>
  <si>
    <t>IBEFUN</t>
  </si>
  <si>
    <t>27-17-09-001</t>
  </si>
  <si>
    <t>ARAROMI IBEFUN WATER WORKS, IBEFUN</t>
  </si>
  <si>
    <t>https://inec-cvr-cache.s3.eu-west-1.amazonaws.com/cached/results/92465/result_80384_1677524990_thumb.jpg</t>
  </si>
  <si>
    <t>ARAROMI IBEFUN WATER WORKS, IBEFUN, Polling Unit, ODOGBOLU, Ogun State, Nigeria</t>
  </si>
  <si>
    <t>27-17-09-002</t>
  </si>
  <si>
    <t>OWODE QUARTERS, (FRONTAGE OSIPITAN'S HOUSE) IBEFUN</t>
  </si>
  <si>
    <t>https://inec-cvr-cache.s3.eu-west-1.amazonaws.com/cached/results/92466/result_80385_1677525232_thumb.jpg</t>
  </si>
  <si>
    <t>OWODE QUARTERS, (FRONTAGE OSIPITAN'S HOUSE) IBEFUN, Polling Unit, ODOGBOLU, Ogun State, Nigeria</t>
  </si>
  <si>
    <t>27-17-09-003</t>
  </si>
  <si>
    <t>CATHOLIC PRIMARY SCH. IBEFUN</t>
  </si>
  <si>
    <t>https://inec-cvr-cache.s3.eu-west-1.amazonaws.com/cached/results/92467/result_80386_1677525361_thumb.jpg</t>
  </si>
  <si>
    <t>CATHOLIC PRIMARY SCH. IBEFUN, Polling Unit, ODOGBOLU, Ogun State, Nigeria</t>
  </si>
  <si>
    <t>27-17-09-004</t>
  </si>
  <si>
    <t>OKETUN IBEFUN</t>
  </si>
  <si>
    <t>https://inec-cvr-cache.s3.eu-west-1.amazonaws.com/cached/results/92468/result_80387_1677525520_thumb.jpg</t>
  </si>
  <si>
    <t>OKETUN IBEFUN, Polling Unit, ODOGBOLU, Ogun State, Nigeria</t>
  </si>
  <si>
    <t>27-17-09-005</t>
  </si>
  <si>
    <t>FRONTAGE OF MATERNITY CENTRE, (ISALE IBEFUN)</t>
  </si>
  <si>
    <t>https://inec-cvr-cache.s3.eu-west-1.amazonaws.com/cached/results/92469/result_80388_1677525764_thumb.jpg</t>
  </si>
  <si>
    <t>FRONTAGE OF MATERNITY CENTRE, (ISALE IBEFUN), Polling Unit, ODOGBOLU, Ogun State, Nigeria</t>
  </si>
  <si>
    <t>27-17-09-006</t>
  </si>
  <si>
    <t>MARKET SQUARE IBEFUN</t>
  </si>
  <si>
    <t>https://inec-cvr-cache.s3.eu-west-1.amazonaws.com/cached/results/92470/result_80389_1677525964_thumb.jpg</t>
  </si>
  <si>
    <t>MARKET SQUARE IBEFUN, Polling Unit, ODOGBOLU, Ogun State, Nigeria</t>
  </si>
  <si>
    <t>ILADO</t>
  </si>
  <si>
    <t>27-17-10-001</t>
  </si>
  <si>
    <t>INFORNT OF ILADO SOCIAL CLUB SIBADEWA ILADO</t>
  </si>
  <si>
    <t>https://docs.inecelectionresults.net/elections_prod/1292/state/01/lga/17/ward/10/pu/001/001-1677359535.pdf</t>
  </si>
  <si>
    <t>INFORNT OF ILADO SOCIAL CLUB SIBADEWA ILADO, Polling Unit, ODOGBOLU, Ogun State, Nigeria</t>
  </si>
  <si>
    <t>27-17-10-002</t>
  </si>
  <si>
    <t>ST. LUKE PRIMARY SCHOOL IMODI, IJASI</t>
  </si>
  <si>
    <t>https://docs.inecelectionresults.net/elections_prod/1292/state/01/lga/17/ward/10/pu/002/002-1677361636.pdf</t>
  </si>
  <si>
    <t>ST. LUKE PRIMARY SCHOOL IMODI, IJASI, Polling Unit, ODOGBOLU, Ogun State, Nigeria</t>
  </si>
  <si>
    <t>27-17-10-003</t>
  </si>
  <si>
    <t>ODOSENLU MARKET, ODOSENLU</t>
  </si>
  <si>
    <t>https://docs.inecelectionresults.net/elections_prod/1292/state/01/lga/17/ward/10/pu/003/003-1677363266.pdf</t>
  </si>
  <si>
    <t>ODOSENLU MARKET, ODOSENLU, Polling Unit, ODOGBOLU, Ogun State, Nigeria</t>
  </si>
  <si>
    <t>27-17-10-004</t>
  </si>
  <si>
    <t>OPEN SPACE AT ABA TIWA/ABA SOOBO</t>
  </si>
  <si>
    <t>https://docs.inecelectionresults.net/elections_prod/1292/state/01/lga/17/ward/10/pu/004/004-1677365265.pdf</t>
  </si>
  <si>
    <t>OPEN SPACE AT ABA TIWA/ABA SOOBO, Polling Unit, ODOGBOLU, Ogun State, Nigeria</t>
  </si>
  <si>
    <t>27-17-10-005</t>
  </si>
  <si>
    <t>OPEN SPACE, AKIO</t>
  </si>
  <si>
    <t>https://docs.inecelectionresults.net/elections_prod/1292/state/01/lga/17/ward/10/pu/005/005-1677367188.pdf</t>
  </si>
  <si>
    <t>OPEN SPACE, AKIO, Polling Unit, ODOGBOLU, Ogun State, Nigeria</t>
  </si>
  <si>
    <t>OGBO/MORAIKA/ITA-EPO  I</t>
  </si>
  <si>
    <t>27-17-11-001</t>
  </si>
  <si>
    <t>OPPOSITE IMORU CHURCH, IMORU</t>
  </si>
  <si>
    <t>https://docs.inecelectionresults.net/elections_prod/1292/state/1/lga/3682/ward/24146/pu/93577/93577-1677618864.pdf</t>
  </si>
  <si>
    <t>OPPOSITE IMORU CHURCH, IMORU, Polling Unit, ODOGBOLU, Ogun State, Nigeria</t>
  </si>
  <si>
    <t>27-17-11-002</t>
  </si>
  <si>
    <t>MOBALUFON TOWN HALL</t>
  </si>
  <si>
    <t>https://docs.inecelectionresults.net/elections_prod/1292/state/1/lga/3682/ward/24146/pu/93578/93578-1677619619.pdf</t>
  </si>
  <si>
    <t>MOBALUFON TOWN HALL, Polling Unit, ODOGBOLU, Ogun State, Nigeria</t>
  </si>
  <si>
    <t>27-17-11-003</t>
  </si>
  <si>
    <t>OPEN SPACE AT ADEFISAN</t>
  </si>
  <si>
    <t>https://docs.inecelectionresults.net/elections_prod/1292/state/1/lga/3682/ward/24146/pu/93579/93579-1677619388.pdf</t>
  </si>
  <si>
    <t>OPEN SPACE AT ADEFISAN, Polling Unit, ODOGBOLU, Ogun State, Nigeria</t>
  </si>
  <si>
    <t>27-17-11-004</t>
  </si>
  <si>
    <t>ST. JAMES PRIMARY SCH. ATIBA</t>
  </si>
  <si>
    <t>https://docs.inecelectionresults.net/elections_prod/1292/state/1/lga/3682/ward/24146/pu/93580/93580-1677619871.pdf</t>
  </si>
  <si>
    <t>ST. JAMES PRIMARY SCH. ATIBA, Polling Unit, ODOGBOLU, Ogun State, Nigeria</t>
  </si>
  <si>
    <t>27-17-11-005</t>
  </si>
  <si>
    <t>TOWN HALL, EGBE</t>
  </si>
  <si>
    <t>https://docs.inecelectionresults.net/elections_prod/1292/state/1/lga/3682/ward/24146/pu/93581/93581-1677620240.pdf</t>
  </si>
  <si>
    <t>TOWN HALL, EGBE, Polling Unit, ODOGBOLU, Ogun State, Nigeria</t>
  </si>
  <si>
    <t>27-17-11-006</t>
  </si>
  <si>
    <t>UNITED PRIMARY SCH. OKE OWA</t>
  </si>
  <si>
    <t>https://docs.inecelectionresults.net/elections_prod/1292/state/1/lga/3682/ward/24146/pu/93582/93582-1677618266.pdf</t>
  </si>
  <si>
    <t>UNITED PRIMARY SCH. OKE OWA, Polling Unit, ODOGBOLU, Ogun State, Nigeria</t>
  </si>
  <si>
    <t>27-17-11-007</t>
  </si>
  <si>
    <t>OPPOSITE ODO EPO CHURCH, ODO EPO</t>
  </si>
  <si>
    <t>https://docs.inecelectionresults.net/elections_prod/1292/state/1/lga/3682/ward/24146/pu/93583/93583-1677618810.pdf</t>
  </si>
  <si>
    <t>OPPOSITE ODO EPO CHURCH, ODO EPO, Polling Unit, ODOGBOLU, Ogun State, Nigeria</t>
  </si>
  <si>
    <t>27-17-11-008</t>
  </si>
  <si>
    <t>OPEN SPACE AT IMAGBON STATION</t>
  </si>
  <si>
    <t>https://docs.inecelectionresults.net/elections_prod/1292/state/1/lga/3682/ward/24146/pu/93584/93584-1677620393.pdf</t>
  </si>
  <si>
    <t>OPEN SPACE AT IMAGBON STATION, Polling Unit, ODOGBOLU, Ogun State, Nigeria</t>
  </si>
  <si>
    <t>27-17-11-009</t>
  </si>
  <si>
    <t>FEDERAL HOUSING ESTATE IKOTO</t>
  </si>
  <si>
    <t>https://docs.inecelectionresults.net/elections_prod/1292/state/1/lga/3682/ward/24146/pu/93585/93585-1677620835.pdf</t>
  </si>
  <si>
    <t>FEDERAL HOUSING ESTATE IKOTO, Polling Unit, ODOGBOLU, Ogun State, Nigeria</t>
  </si>
  <si>
    <t>27-17-11-010</t>
  </si>
  <si>
    <t>INFRONT OF BALE HOUSE, LATOGUN</t>
  </si>
  <si>
    <t>https://docs.inecelectionresults.net/elections_prod/1292/state/1/lga/3682/ward/24146/pu/93586/93586-1677621135.pdf</t>
  </si>
  <si>
    <t>INFRONT OF BALE HOUSE, LATOGUN, Polling Unit, ODOGBOLU, Ogun State, Nigeria</t>
  </si>
  <si>
    <t>27-17-11-011</t>
  </si>
  <si>
    <t>INFRONT OF OLU OF OREGU'S HOUSE ARAROMI OREGUN</t>
  </si>
  <si>
    <t>https://docs.inecelectionresults.net/elections_prod/1292/state/1/lga/3682/ward/24146/pu/93587/93587-1677620799.pdf</t>
  </si>
  <si>
    <t>INFRONT OF OLU OF OREGU'S HOUSE ARAROMI OREGUN, Polling Unit, ODOGBOLU, Ogun State, Nigeria</t>
  </si>
  <si>
    <t>27-17-11-012</t>
  </si>
  <si>
    <t>MARKET SQUARE, IMAKA</t>
  </si>
  <si>
    <t>https://docs.inecelectionresults.net/elections_prod/1292/state/1/lga/3682/ward/24146/pu/93588/93588-1677621021.pdf</t>
  </si>
  <si>
    <t>MARKET SQUARE, IMAKA, Polling Unit, ODOGBOLU, Ogun State, Nigeria</t>
  </si>
  <si>
    <t>27-17-11-013</t>
  </si>
  <si>
    <t>OPPOSITE CHURCH, EMUREN</t>
  </si>
  <si>
    <t>https://docs.inecelectionresults.net/elections_prod/1292/state/1/lga/3682/ward/24146/pu/93589/93589-1677621240.pdf</t>
  </si>
  <si>
    <t>OPPOSITE CHURCH, EMUREN, Polling Unit, ODOGBOLU, Ogun State, Nigeria</t>
  </si>
  <si>
    <t>27-17-11-014</t>
  </si>
  <si>
    <t>LUMODAN MARKET, IMAGBON</t>
  </si>
  <si>
    <t>https://docs.inecelectionresults.net/elections_prod/1292/state/1/lga/3682/ward/24146/pu/93590/93590-1677621456.pdf</t>
  </si>
  <si>
    <t>LUMODAN MARKET, IMAGBON, Polling Unit, ODOGBOLU, Ogun State, Nigeria</t>
  </si>
  <si>
    <t>ALA/IGBILE</t>
  </si>
  <si>
    <t>27-17-12-002</t>
  </si>
  <si>
    <t>FRONT OF TOWN HALL , ALA</t>
  </si>
  <si>
    <t>https://inec-cvr-cache.s3.eu-west-1.amazonaws.com/cached/results/92491/result_80429_1677587545_thumb.jpg</t>
  </si>
  <si>
    <t>FRONT OF TOWN HALL , ALA, Polling Unit, ODOGBOLU, Ogun State, Nigeria</t>
  </si>
  <si>
    <t>27-17-12-003</t>
  </si>
  <si>
    <t>FRONTAGE MATERNITY, ILOFA/IWAYE IGBILE</t>
  </si>
  <si>
    <t>https://inec-cvr-cache.s3.eu-west-1.amazonaws.com/cached/results/92492/result_80430_1677589293_thumb.jpg</t>
  </si>
  <si>
    <t>FRONTAGE MATERNITY, ILOFA/IWAYE IGBILE, Polling Unit, ODOGBOLU, Ogun State, Nigeria</t>
  </si>
  <si>
    <t>27-17-12-004</t>
  </si>
  <si>
    <t>SIFOLU/OWODE MARKET, IGBILE</t>
  </si>
  <si>
    <t>https://docs.inecelectionresults.net/elections_prod/1292/state/1/lga/3682/ward/24147/pu/93594/93594-1677589264.pdf</t>
  </si>
  <si>
    <t>SIFOLU/OWODE MARKET, IGBILE, Polling Unit, ODOGBOLU, Ogun State, Nigeria</t>
  </si>
  <si>
    <t>27-17-12-005</t>
  </si>
  <si>
    <t>INFRONT OF OLORILU'S HOUSE OKE-ORUNDUN</t>
  </si>
  <si>
    <t>https://docs.inecelectionresults.net/elections_prod/1292/state/01/lga/17/ward/12/pu/005/005-1677372485.pdf</t>
  </si>
  <si>
    <t>INFRONT OF OLORILU'S HOUSE OKE-ORUNDUN, Polling Unit, ODOGBOLU, Ogun State, Nigeria</t>
  </si>
  <si>
    <t>27-17-12-006</t>
  </si>
  <si>
    <t>ARAROMI SQUARE ALA</t>
  </si>
  <si>
    <t>https://docs.inecelectionresults.net/elections_prod/1292/state/1/lga/3682/ward/24147/pu/93596/93596-1677589565.pdf</t>
  </si>
  <si>
    <t>ARAROMI SQUARE ALA, Polling Unit, ODOGBOLU, Ogun State, Nigeria</t>
  </si>
  <si>
    <t>JOBORE/IBIDO/IKISE</t>
  </si>
  <si>
    <t>27-17-13-001</t>
  </si>
  <si>
    <t>ST. MICHAEL PRIMARY SCHOOL, JOBORE</t>
  </si>
  <si>
    <t>https://docs.inecelectionresults.net/elections_prod/1292/state/01/lga/17/ward/13/pu/001/001-1677360451.pdf</t>
  </si>
  <si>
    <t>ST. MICHAEL PRIMARY SCHOOL, JOBORE, Polling Unit, ODOGBOLU, Ogun State, Nigeria</t>
  </si>
  <si>
    <t>27-17-13-002</t>
  </si>
  <si>
    <t>OLORUNSOGO TOWN HALL, IBIDO</t>
  </si>
  <si>
    <t>https://docs.inecelectionresults.net/elections_prod/1292/state/01/lga/17/ward/13/pu/002/002-1677361741.pdf</t>
  </si>
  <si>
    <t>OLORUNSOGO TOWN HALL, IBIDO, Polling Unit, ODOGBOLU, Ogun State, Nigeria</t>
  </si>
  <si>
    <t>27-17-13-003</t>
  </si>
  <si>
    <t>FRONTAGE JAMES HOUSE, IKISE</t>
  </si>
  <si>
    <t>https://docs.inecelectionresults.net/elections_prod/1292/state/01/lga/17/ward/13/pu/003/003-1677363428.pdf</t>
  </si>
  <si>
    <t>FRONTAGE JAMES HOUSE, IKISE, Polling Unit, ODOGBOLU, Ogun State, Nigeria</t>
  </si>
  <si>
    <t>OMU</t>
  </si>
  <si>
    <t>27-17-14-002</t>
  </si>
  <si>
    <t>U.N.A. PRIMARY SCHOOL, OMU</t>
  </si>
  <si>
    <t>https://inec-cvr-cache.s3.eu-west-1.amazonaws.com/cached/results/92501/result_80440_1677510402_thumb.jpg</t>
  </si>
  <si>
    <t>U.N.A. PRIMARY SCHOOL, OMU, Polling Unit, ODOGBOLU, Ogun State, Nigeria</t>
  </si>
  <si>
    <t>27-17-14-004</t>
  </si>
  <si>
    <t>OPPOSITE MOTA MOSQUE, OMU</t>
  </si>
  <si>
    <t>https://inec-cvr-cache.s3.eu-west-1.amazonaws.com/cached/results/92503/result_80442_1677528625_thumb.jpg</t>
  </si>
  <si>
    <t>OPPOSITE MOTA MOSQUE, OMU, Polling Unit, ODOGBOLU, Ogun State, Nigeria</t>
  </si>
  <si>
    <t>27-17-14-005</t>
  </si>
  <si>
    <t>FRONTAGE OLISA HOUSE, OMU</t>
  </si>
  <si>
    <t>https://docs.inecelectionresults.net/elections_prod/1292/state/01/lga/17/ward/14/pu/005/005-1677375899.pdf</t>
  </si>
  <si>
    <t>FRONTAGE OLISA HOUSE, OMU, Polling Unit, ODOGBOLU, Ogun State, Nigeria</t>
  </si>
  <si>
    <t>27-17-14-006</t>
  </si>
  <si>
    <t>OPPOSITE IRETE MOSQUE, IRETE</t>
  </si>
  <si>
    <t>https://inec-cvr-cache.s3.eu-west-1.amazonaws.com/cached/results/92505/result_80444_1677528345_thumb.jpg</t>
  </si>
  <si>
    <t>OPPOSITE IRETE MOSQUE, IRETE, Polling Unit, ODOGBOLU, Ogun State, Nigeria</t>
  </si>
  <si>
    <t>27-17-14-007</t>
  </si>
  <si>
    <t>BESIDE ITA ALE MARKET, OMU</t>
  </si>
  <si>
    <t>https://docs.inecelectionresults.net/elections_prod/1292/state/01/lga/17/ward/14/pu/007/007-1677375398.pdf</t>
  </si>
  <si>
    <t>BESIDE ITA ALE MARKET, OMU, Polling Unit, ODOGBOLU, Ogun State, Nigeria</t>
  </si>
  <si>
    <t>27-17-14-010</t>
  </si>
  <si>
    <t>FRONTAGE ONANIYI'S HOUSE, OMU</t>
  </si>
  <si>
    <t>https://docs.inecelectionresults.net/elections_prod/1292/state/01/lga/17/ward/14/pu/010/010-1677366073.pdf</t>
  </si>
  <si>
    <t>FRONTAGE ONANIYI'S HOUSE, OMU, Polling Unit, ODOGBOLU, Ogun State, Nigeria</t>
  </si>
  <si>
    <t>OGBO/MORAIKA/ITA EPO II</t>
  </si>
  <si>
    <t>27-17-15-001</t>
  </si>
  <si>
    <t>IMAWEJE TOWN HALL, IMAWEJE</t>
  </si>
  <si>
    <t>https://docs.inecelectionresults.net/elections_prod/1292/state/01/lga/17/ward/15/pu/001/001-1677363213.pdf</t>
  </si>
  <si>
    <t>IMAWEJE TOWN HALL, IMAWEJE, Polling Unit, ODOGBOLU, Ogun State, Nigeria</t>
  </si>
  <si>
    <t>27-17-15-003</t>
  </si>
  <si>
    <t>OPPOSITE ST PAUL'S ANG CHURCH, IBIDO OGBO</t>
  </si>
  <si>
    <t>https://docs.inecelectionresults.net/elections_prod/1292/state/01/lga/17/ward/15/pu/003/003-1677363986.pdf</t>
  </si>
  <si>
    <t>OPPOSITE ST PAUL'S ANG CHURCH, IBIDO OGBO, Polling Unit, ODOGBOLU, Ogun State, Nigeria</t>
  </si>
  <si>
    <t>27-17-15-005</t>
  </si>
  <si>
    <t>ISANYA OGBO MATERNITY</t>
  </si>
  <si>
    <t>https://docs.inecelectionresults.net/elections_prod/1292/state/01/lga/17/ward/15/pu/005/005-1677365548.pdf</t>
  </si>
  <si>
    <t>ISANYA OGBO MATERNITY, Polling Unit, ODOGBOLU, Ogun State, Nigeria</t>
  </si>
  <si>
    <t>27-17-15-007</t>
  </si>
  <si>
    <t>OPEN SPACE ,ABAPAWA</t>
  </si>
  <si>
    <t>https://docs.inecelectionresults.net/elections_prod/1292/state/1/lga/3682/ward/24150/pu/93617/93617-1677594408.pdf</t>
  </si>
  <si>
    <t>OPEN SPACE ,ABAPAWA, Polling Unit, ODOGBOLU, Ogun State, Nigeria</t>
  </si>
  <si>
    <t>OGUN WATER SIDE</t>
  </si>
  <si>
    <t>IWOPIN</t>
  </si>
  <si>
    <t>27-18-01-001</t>
  </si>
  <si>
    <t>L.G. SCHOOL, IWOPIN</t>
  </si>
  <si>
    <t>https://docs.inecelectionresults.net/elections_prod/1292/state/01/lga/18/ward/01/pu/001/001-1677404000.pdf</t>
  </si>
  <si>
    <t>L.G. SCHOOL, IWOPIN, Polling Unit, OGUN WATER SIDE, Ogun State, Nigeria</t>
  </si>
  <si>
    <t>27-18-01-002</t>
  </si>
  <si>
    <t>ST. MARY'S PRIMARY SCHOOL, OLOJU META</t>
  </si>
  <si>
    <t>https://docs.inecelectionresults.net/elections_prod/1292/state/01/lga/18/ward/01/pu/002/002-1677360121.pdf</t>
  </si>
  <si>
    <t>ST. MARY'S PRIMARY SCHOOL, OLOJU META, Polling Unit, OGUN WATER SIDE, Ogun State, Nigeria</t>
  </si>
  <si>
    <t>27-18-01-003</t>
  </si>
  <si>
    <t>FISHERIES OFFICE, EHINDI</t>
  </si>
  <si>
    <t>https://docs.inecelectionresults.net/elections_prod/1292/state/01/lga/18/ward/01/pu/003/003-1677405071.pdf</t>
  </si>
  <si>
    <t>FISHERIES OFFICE, EHINDI, Polling Unit, OGUN WATER SIDE, Ogun State, Nigeria</t>
  </si>
  <si>
    <t>27-18-01-004</t>
  </si>
  <si>
    <t>L.G. SCHOOL, IMOSIRI</t>
  </si>
  <si>
    <t>https://docs.inecelectionresults.net/elections_prod/1292/state/01/lga/18/ward/01/pu/004/004-1677408728.pdf</t>
  </si>
  <si>
    <t>L.G. SCHOOL, IMOSIRI, Polling Unit, OGUN WATER SIDE, Ogun State, Nigeria</t>
  </si>
  <si>
    <t>27-18-01-005</t>
  </si>
  <si>
    <t>EBUTE ILAMO SQUARE</t>
  </si>
  <si>
    <t>https://docs.inecelectionresults.net/elections_prod/1292/state/01/lga/18/ward/01/pu/005/005-1677401881.pdf</t>
  </si>
  <si>
    <t>EBUTE ILAMO SQUARE, Polling Unit, OGUN WATER SIDE, Ogun State, Nigeria</t>
  </si>
  <si>
    <t>27-18-01-006</t>
  </si>
  <si>
    <t>I.P.R.C. PRIMARY SCHOOL, IWOPIN</t>
  </si>
  <si>
    <t>https://docs.inecelectionresults.net/elections_prod/1292/state/01/lga/18/ward/01/pu/006/006-1677407389.pdf</t>
  </si>
  <si>
    <t>I.P.R.C. PRIMARY SCHOOL, IWOPIN, Polling Unit, OGUN WATER SIDE, Ogun State, Nigeria</t>
  </si>
  <si>
    <t>27-18-01-007</t>
  </si>
  <si>
    <t>L.G. SCHOOL, IMEKI</t>
  </si>
  <si>
    <t>https://docs.inecelectionresults.net/elections_prod/1292/state/01/lga/18/ward/01/pu/007/007-1677412087.pdf</t>
  </si>
  <si>
    <t>L.G. SCHOOL, IMEKI, Polling Unit, OGUN WATER SIDE, Ogun State, Nigeria</t>
  </si>
  <si>
    <t>27-18-01-008</t>
  </si>
  <si>
    <t>TOWN HALL, IWOPIN</t>
  </si>
  <si>
    <t>https://docs.inecelectionresults.net/elections_prod/1292/state/01/lga/18/ward/01/pu/008/008-1677409015.pdf</t>
  </si>
  <si>
    <t>TOWN HALL, IWOPIN, Polling Unit, OGUN WATER SIDE, Ogun State, Nigeria</t>
  </si>
  <si>
    <t>ONI</t>
  </si>
  <si>
    <t>27-18-02-002</t>
  </si>
  <si>
    <t>L.G SCH. ONI II</t>
  </si>
  <si>
    <t>https://docs.inecelectionresults.net/elections_prod/1292/state/01/lga/18/ward/02/pu/002/002-1677401083.pdf</t>
  </si>
  <si>
    <t>L.G SCH. ONI II, Polling Unit, OGUN WATER SIDE, Ogun State, Nigeria</t>
  </si>
  <si>
    <t>27-18-02-004</t>
  </si>
  <si>
    <t>L.G SCH, AKILA</t>
  </si>
  <si>
    <t>https://docs.inecelectionresults.net/elections_prod/1292/state/01/lga/18/ward/02/pu/004/004-1677400410.pdf</t>
  </si>
  <si>
    <t>L.G SCH, AKILA, Polling Unit, OGUN WATER SIDE, Ogun State, Nigeria</t>
  </si>
  <si>
    <t>27-18-02-005</t>
  </si>
  <si>
    <t>ORITA OMO SQUARE</t>
  </si>
  <si>
    <t>https://docs.inecelectionresults.net/elections_prod/1292/state/01/lga/18/ward/02/pu/005/005-1677407322.pdf</t>
  </si>
  <si>
    <t>ORITA OMO SQUARE, Polling Unit, OGUN WATER SIDE, Ogun State, Nigeria</t>
  </si>
  <si>
    <t>27-18-02-009</t>
  </si>
  <si>
    <t>MATERNITY CENTRE, ONI</t>
  </si>
  <si>
    <t>https://docs.inecelectionresults.net/elections_prod/1292/state/01/lga/18/ward/02/pu/009/009-1677408025.pdf</t>
  </si>
  <si>
    <t>MATERNITY CENTRE, ONI, Polling Unit, OGUN WATER SIDE, Ogun State, Nigeria</t>
  </si>
  <si>
    <t>27-18-02-010</t>
  </si>
  <si>
    <t>OPEN SPACE OPP, BALOGUN BELLO'S HOUSE</t>
  </si>
  <si>
    <t>https://docs.inecelectionresults.net/elections_prod/1292/state/01/lga/18/ward/02/pu/010/010-1677412095.pdf</t>
  </si>
  <si>
    <t>OPEN SPACE OPP, BALOGUN BELLO'S HOUSE, Polling Unit, OGUN WATER SIDE, Ogun State, Nigeria</t>
  </si>
  <si>
    <t>IBIADE</t>
  </si>
  <si>
    <t>27-18-03-001</t>
  </si>
  <si>
    <t>TEBUWO SQUARE</t>
  </si>
  <si>
    <t>https://docs.inecelectionresults.net/elections_prod/1292/state/01/lga/18/ward/03/pu/001/001-1677415374.pdf</t>
  </si>
  <si>
    <t>TEBUWO SQUARE, Polling Unit, OGUN WATER SIDE, Ogun State, Nigeria</t>
  </si>
  <si>
    <t>27-18-03-002</t>
  </si>
  <si>
    <t>ST. MICH. PRIMARY SCHOOL, IBIADE</t>
  </si>
  <si>
    <t>https://docs.inecelectionresults.net/elections_prod/1292/state/1/lga/3683/ward/24153/pu/93638/93638-1677592312.pdf</t>
  </si>
  <si>
    <t>ST. MICH. PRIMARY SCHOOL, IBIADE, Polling Unit, OGUN WATER SIDE, Ogun State, Nigeria</t>
  </si>
  <si>
    <t>27-18-03-004</t>
  </si>
  <si>
    <t>TOGBUNRI SQUARE</t>
  </si>
  <si>
    <t>https://docs.inecelectionresults.net/elections_prod/1292/state/01/lga/18/ward/03/pu/004/004-1677415577.pdf</t>
  </si>
  <si>
    <t>TOGBUNRI SQUARE, Polling Unit, OGUN WATER SIDE, Ogun State, Nigeria</t>
  </si>
  <si>
    <t>27-18-03-009</t>
  </si>
  <si>
    <t>ARAROMI QUARTERS</t>
  </si>
  <si>
    <t>https://docs.inecelectionresults.net/elections_prod/1292/state/01/lga/18/ward/03/pu/009/009-1677414823.pdf</t>
  </si>
  <si>
    <t>ARAROMI QUARTERS, Polling Unit, OGUN WATER SIDE, Ogun State, Nigeria</t>
  </si>
  <si>
    <t>27-18-03-010</t>
  </si>
  <si>
    <t>L.G. SCHOOL FARM SETTLEMENT</t>
  </si>
  <si>
    <t>https://docs.inecelectionresults.net/elections_prod/1292/state/01/lga/18/ward/03/pu/010/010-1677420595.pdf</t>
  </si>
  <si>
    <t>L.G. SCHOOL FARM SETTLEMENT, Polling Unit, OGUN WATER SIDE, Ogun State, Nigeria</t>
  </si>
  <si>
    <t>27-18-03-011</t>
  </si>
  <si>
    <t>(OPEN SPACE) ZION IBIADE</t>
  </si>
  <si>
    <t>https://docs.inecelectionresults.net/elections_prod/1292/state/01/lga/18/ward/03/pu/011/011-1677416257.pdf</t>
  </si>
  <si>
    <t>(OPEN SPACE) ZION IBIADE, Polling Unit, OGUN WATER SIDE, Ogun State, Nigeria</t>
  </si>
  <si>
    <t>27-18-03-012</t>
  </si>
  <si>
    <t>OPEN SPACE OPP. ODULAJA'S HOUSE</t>
  </si>
  <si>
    <t>https://docs.inecelectionresults.net/elections_prod/1292/state/01/lga/18/ward/03/pu/012/012-1677412915.pdf</t>
  </si>
  <si>
    <t>OPEN SPACE OPP. ODULAJA'S HOUSE, Polling Unit, OGUN WATER SIDE, Ogun State, Nigeria</t>
  </si>
  <si>
    <t>27-18-03-013</t>
  </si>
  <si>
    <t>HEALTH CENTRE, IBIADE (GEN. HOSPITAL ROAD)</t>
  </si>
  <si>
    <t>https://docs.inecelectionresults.net/elections_prod/1292/state/01/lga/18/ward/03/pu/013/013-1677412390.pdf</t>
  </si>
  <si>
    <t>HEALTH CENTRE, IBIADE (GEN. HOSPITAL ROAD), Polling Unit, OGUN WATER SIDE, Ogun State, Nigeria</t>
  </si>
  <si>
    <t>LUKOGBE/ILUSIN</t>
  </si>
  <si>
    <t>27-18-04-001</t>
  </si>
  <si>
    <t>L.G. SCHOOL LUKOGBE  I</t>
  </si>
  <si>
    <t>https://docs.inecelectionresults.net/elections_prod/1292/state/01/lga/18/ward/04/pu/001/001-1677408609.pdf</t>
  </si>
  <si>
    <t>L.G. SCHOOL LUKOGBE  I, Polling Unit, OGUN WATER SIDE, Ogun State, Nigeria</t>
  </si>
  <si>
    <t>27-18-04-003</t>
  </si>
  <si>
    <t>ITUN MELEKUN LOKULA</t>
  </si>
  <si>
    <t>https://docs.inecelectionresults.net/elections_prod/1292/state/1/lga/3683/ward/24154/pu/93652/93652-1677515234.pdf</t>
  </si>
  <si>
    <t>ITUN MELEKUN LOKULA, Polling Unit, OGUN WATER SIDE, Ogun State, Nigeria</t>
  </si>
  <si>
    <t>27-18-04-004</t>
  </si>
  <si>
    <t>L.G. SCHOOL ILUSIN  I</t>
  </si>
  <si>
    <t>https://docs.inecelectionresults.net/elections_prod/1292/state/01/lga/18/ward/04/pu/004/004-1677404535.pdf</t>
  </si>
  <si>
    <t>L.G. SCHOOL ILUSIN  I, Polling Unit, OGUN WATER SIDE, Ogun State, Nigeria</t>
  </si>
  <si>
    <t>27-18-04-005</t>
  </si>
  <si>
    <t>L.G. SCHOOL ILUSIN  II</t>
  </si>
  <si>
    <t>https://docs.inecelectionresults.net/elections_prod/1292/state/01/lga/18/ward/04/pu/005/005-1677403619.pdf</t>
  </si>
  <si>
    <t>L.G. SCHOOL ILUSIN  II, Polling Unit, OGUN WATER SIDE, Ogun State, Nigeria</t>
  </si>
  <si>
    <t>27-18-04-006</t>
  </si>
  <si>
    <t>ILUSIN ZION</t>
  </si>
  <si>
    <t>https://docs.inecelectionresults.net/elections_prod/1292/state/01/lga/18/ward/04/pu/006/006-1677413230.pdf</t>
  </si>
  <si>
    <t>ILUSIN ZION, Polling Unit, OGUN WATER SIDE, Ogun State, Nigeria</t>
  </si>
  <si>
    <t>27-18-04-007</t>
  </si>
  <si>
    <t>F.S.P. MARKET AGBURE</t>
  </si>
  <si>
    <t>https://docs.inecelectionresults.net/elections_prod/1292/state/01/lga/18/ward/04/pu/007/007-1677403991.pdf</t>
  </si>
  <si>
    <t>F.S.P. MARKET AGBURE, Polling Unit, OGUN WATER SIDE, Ogun State, Nigeria</t>
  </si>
  <si>
    <t>27-18-04-008</t>
  </si>
  <si>
    <t>L.G. SCHOOL ARAFIN</t>
  </si>
  <si>
    <t>https://docs.inecelectionresults.net/elections_prod/1292/state/01/lga/18/ward/04/pu/008/008-1677415392.pdf</t>
  </si>
  <si>
    <t>L.G. SCHOOL ARAFIN, Polling Unit, OGUN WATER SIDE, Ogun State, Nigeria</t>
  </si>
  <si>
    <t>27-18-04-009</t>
  </si>
  <si>
    <t>LABOUR CAMP</t>
  </si>
  <si>
    <t>https://docs.inecelectionresults.net/elections_prod/1292/state/01/lga/18/ward/04/pu/009/009-1677401864.pdf</t>
  </si>
  <si>
    <t>LABOUR CAMP, Polling Unit, OGUN WATER SIDE, Ogun State, Nigeria</t>
  </si>
  <si>
    <t>27-18-04-010</t>
  </si>
  <si>
    <t>ST. JOHN'S PRIMARY SCH. AGODO</t>
  </si>
  <si>
    <t>https://docs.inecelectionresults.net/elections_prod/1292/state/01/lga/18/ward/04/pu/010/010-1677402576.pdf</t>
  </si>
  <si>
    <t>ST. JOHN'S PRIMARY SCH. AGODO, Polling Unit, OGUN WATER SIDE, Ogun State, Nigeria</t>
  </si>
  <si>
    <t>27-18-04-011</t>
  </si>
  <si>
    <t>LABOUR CAMP  I</t>
  </si>
  <si>
    <t>https://docs.inecelectionresults.net/elections_prod/1292/state/01/lga/18/ward/04/pu/011/011-1677397865.pdf</t>
  </si>
  <si>
    <t>LABOUR CAMP  I, Polling Unit, OGUN WATER SIDE, Ogun State, Nigeria</t>
  </si>
  <si>
    <t>27-18-04-012</t>
  </si>
  <si>
    <t>LABOUR CAMP  II</t>
  </si>
  <si>
    <t>https://docs.inecelectionresults.net/elections_prod/1292/state/01/lga/18/ward/04/pu/012/012-1677407954.pdf</t>
  </si>
  <si>
    <t>LABOUR CAMP  II, Polling Unit, OGUN WATER SIDE, Ogun State, Nigeria</t>
  </si>
  <si>
    <t>27-18-04-013</t>
  </si>
  <si>
    <t>LABOUR CAMP  III</t>
  </si>
  <si>
    <t>https://docs.inecelectionresults.net/elections_prod/1292/state/01/lga/18/ward/04/pu/013/013-1677410069.pdf</t>
  </si>
  <si>
    <t>LABOUR CAMP  III, Polling Unit, OGUN WATER SIDE, Ogun State, Nigeria</t>
  </si>
  <si>
    <t>27-18-04-014</t>
  </si>
  <si>
    <t>APATAL ODUNI JUNCTION</t>
  </si>
  <si>
    <t>https://docs.inecelectionresults.net/elections_prod/1292/state/01/lga/18/ward/04/pu/014/014-1677406846.pdf</t>
  </si>
  <si>
    <t>APATAL ODUNI JUNCTION, Polling Unit, OGUN WATER SIDE, Ogun State, Nigeria</t>
  </si>
  <si>
    <t>27-18-04-015</t>
  </si>
  <si>
    <t>BAGBE CAMP</t>
  </si>
  <si>
    <t>https://docs.inecelectionresults.net/elections_prod/1292/state/01/lga/18/ward/04/pu/015/015-1677405456.pdf</t>
  </si>
  <si>
    <t>BAGBE CAMP, Polling Unit, OGUN WATER SIDE, Ogun State, Nigeria</t>
  </si>
  <si>
    <t>ABIGI</t>
  </si>
  <si>
    <t>27-18-05-001</t>
  </si>
  <si>
    <t>MOSLEM PRIMARY SCHOOL ABIGI  I</t>
  </si>
  <si>
    <t>https://docs.inecelectionresults.net/elections_prod/1292/state/01/lga/18/ward/05/pu/001/001-1677401090.pdf</t>
  </si>
  <si>
    <t>MOSLEM PRIMARY SCHOOL ABIGI  I, Polling Unit, OGUN WATER SIDE, Ogun State, Nigeria</t>
  </si>
  <si>
    <t>27-18-05-002</t>
  </si>
  <si>
    <t>MOSLEM PRIMARY SCHOOL ABIGI II</t>
  </si>
  <si>
    <t>https://docs.inecelectionresults.net/elections_prod/1292/state/01/lga/18/ward/05/pu/002/002-1677410670.pdf</t>
  </si>
  <si>
    <t>MOSLEM PRIMARY SCHOOL ABIGI II, Polling Unit, OGUN WATER SIDE, Ogun State, Nigeria</t>
  </si>
  <si>
    <t>27-18-05-003</t>
  </si>
  <si>
    <t>ST. THOMAS PRIMARY SCHOOL I ABIGI</t>
  </si>
  <si>
    <t>https://docs.inecelectionresults.net/elections_prod/1292/state/01/lga/18/ward/05/pu/003/003-1677408081.pdf</t>
  </si>
  <si>
    <t>ST. THOMAS PRIMARY SCHOOL I ABIGI, Polling Unit, OGUN WATER SIDE, Ogun State, Nigeria</t>
  </si>
  <si>
    <t>27-18-05-006</t>
  </si>
  <si>
    <t>MARKET SQUARE ABIGI  II</t>
  </si>
  <si>
    <t>https://docs.inecelectionresults.net/elections_prod/1292/state/01/lga/18/ward/05/pu/006/006-1677411941.pdf</t>
  </si>
  <si>
    <t>MARKET SQUARE ABIGI  II, Polling Unit, OGUN WATER SIDE, Ogun State, Nigeria</t>
  </si>
  <si>
    <t>27-18-05-007</t>
  </si>
  <si>
    <t>L.G. SCHOOL ITA-OGUN I</t>
  </si>
  <si>
    <t>https://docs.inecelectionresults.net/elections_prod/1292/state/01/lga/18/ward/05/pu/007/007-1677400056.pdf</t>
  </si>
  <si>
    <t>L.G. SCHOOL ITA-OGUN I, Polling Unit, OGUN WATER SIDE, Ogun State, Nigeria</t>
  </si>
  <si>
    <t>27-18-05-009</t>
  </si>
  <si>
    <t>L.G. SCHOOL, ITA-OTU</t>
  </si>
  <si>
    <t>https://docs.inecelectionresults.net/elections_prod/1292/state/01/lga/18/ward/05/pu/009/009-1677402708.pdf</t>
  </si>
  <si>
    <t>L.G. SCHOOL, ITA-OTU, Polling Unit, OGUN WATER SIDE, Ogun State, Nigeria</t>
  </si>
  <si>
    <t>27-18-05-012</t>
  </si>
  <si>
    <t>NPC OFFICE ABIGI</t>
  </si>
  <si>
    <t>https://docs.inecelectionresults.net/elections_prod/1292/state/01/lga/18/ward/05/pu/012/012-1677405206.pdf</t>
  </si>
  <si>
    <t>NPC OFFICE ABIGI, Polling Unit, OGUN WATER SIDE, Ogun State, Nigeria</t>
  </si>
  <si>
    <t>27-18-05-013</t>
  </si>
  <si>
    <t>AYEGBAMI QUARTERS</t>
  </si>
  <si>
    <t>https://docs.inecelectionresults.net/elections_prod/1292/state/01/lga/18/ward/05/pu/013/013-1677409330.pdf</t>
  </si>
  <si>
    <t>AYEGBAMI QUARTERS, Polling Unit, OGUN WATER SIDE, Ogun State, Nigeria</t>
  </si>
  <si>
    <t>27-18-05-014</t>
  </si>
  <si>
    <t>PELEBE AT OKO-IGBO</t>
  </si>
  <si>
    <t>https://docs.inecelectionresults.net/elections_prod/1292/state/01/lga/18/ward/05/pu/014/014-1677409975.pdf</t>
  </si>
  <si>
    <t>PELEBE AT OKO-IGBO, Polling Unit, OGUN WATER SIDE, Ogun State, Nigeria</t>
  </si>
  <si>
    <t>EFIRE</t>
  </si>
  <si>
    <t>27-18-06-001</t>
  </si>
  <si>
    <t>ILE-ONA, NEAR OLD CENTRAL MOSQUE</t>
  </si>
  <si>
    <t>https://docs.inecelectionresults.net/elections_prod/1292/state/01/lga/18/ward/06/pu/001/001-1677402462.pdf</t>
  </si>
  <si>
    <t>ILE-ONA, NEAR OLD CENTRAL MOSQUE, Polling Unit, OGUN WATER SIDE, Ogun State, Nigeria</t>
  </si>
  <si>
    <t>27-18-06-002</t>
  </si>
  <si>
    <t>IFELO DUN UNITED PRIMARY SCHOOL</t>
  </si>
  <si>
    <t>https://docs.inecelectionresults.net/elections_prod/1292/state/01/lga/18/ward/06/pu/002/002-1677410698.pdf</t>
  </si>
  <si>
    <t>IFELO DUN UNITED PRIMARY SCHOOL, Polling Unit, OGUN WATER SIDE, Ogun State, Nigeria</t>
  </si>
  <si>
    <t>27-18-06-004</t>
  </si>
  <si>
    <t>UBIKU CAMP</t>
  </si>
  <si>
    <t>https://docs.inecelectionresults.net/elections_prod/1292/state/01/lga/18/ward/06/pu/004/004-1677396177.pdf</t>
  </si>
  <si>
    <t>UBIKU CAMP, Polling Unit, OGUN WATER SIDE, Ogun State, Nigeria</t>
  </si>
  <si>
    <t>27-18-06-006</t>
  </si>
  <si>
    <t>CALABAR CAMP  I</t>
  </si>
  <si>
    <t>https://docs.inecelectionresults.net/elections_prod/1292/state/01/lga/18/ward/06/pu/006/006-1677404425.pdf</t>
  </si>
  <si>
    <t>CALABAR CAMP  I, Polling Unit, OGUN WATER SIDE, Ogun State, Nigeria</t>
  </si>
  <si>
    <t>27-18-06-007</t>
  </si>
  <si>
    <t>CALABAR CAMP  II</t>
  </si>
  <si>
    <t>https://docs.inecelectionresults.net/elections_prod/1292/state/01/lga/18/ward/06/pu/007/007-1677397986.pdf</t>
  </si>
  <si>
    <t>CALABAR CAMP  II, Polling Unit, OGUN WATER SIDE, Ogun State, Nigeria</t>
  </si>
  <si>
    <t>27-18-06-008</t>
  </si>
  <si>
    <t>AJE BAMIDELE</t>
  </si>
  <si>
    <t>https://docs.inecelectionresults.net/elections_prod/1292/state/01/lga/18/ward/06/pu/008/008-1677405536.pdf</t>
  </si>
  <si>
    <t>AJE BAMIDELE, Polling Unit, OGUN WATER SIDE, Ogun State, Nigeria</t>
  </si>
  <si>
    <t>27-18-06-009</t>
  </si>
  <si>
    <t>ONADA SQUARE(ITUN ONA-OBA)</t>
  </si>
  <si>
    <t>https://docs.inecelectionresults.net/elections_prod/1292/state/01/lga/18/ward/06/pu/009/009-1677408994.pdf</t>
  </si>
  <si>
    <t>ONADA SQUARE(ITUN ONA-OBA), Polling Unit, OGUN WATER SIDE, Ogun State, Nigeria</t>
  </si>
  <si>
    <t>27-18-06-010</t>
  </si>
  <si>
    <t>LEREN CAMP</t>
  </si>
  <si>
    <t>https://docs.inecelectionresults.net/elections_prod/1292/state/01/lga/18/ward/06/pu/010/010-1677406561.pdf</t>
  </si>
  <si>
    <t>LEREN CAMP, Polling Unit, OGUN WATER SIDE, Ogun State, Nigeria</t>
  </si>
  <si>
    <t>27-18-06-011</t>
  </si>
  <si>
    <t>SUNBARE'S CAMP [JEREMIAH]</t>
  </si>
  <si>
    <t>https://docs.inecelectionresults.net/elections_prod/1292/state/01/lga/18/ward/06/pu/011/011-1677400148.pdf</t>
  </si>
  <si>
    <t>SUNBARE'S CAMP [JEREMIAH], Polling Unit, OGUN WATER SIDE, Ogun State, Nigeria</t>
  </si>
  <si>
    <t>AYEDE/LOMIRO</t>
  </si>
  <si>
    <t>27-18-07-001</t>
  </si>
  <si>
    <t>R.C.M. SCHOOL, AYEDE</t>
  </si>
  <si>
    <t>https://docs.inecelectionresults.net/elections_prod/1292/state/01/lga/18/ward/07/pu/001/001-1677401790.pdf</t>
  </si>
  <si>
    <t>R.C.M. SCHOOL, AYEDE, Polling Unit, OGUN WATER SIDE, Ogun State, Nigeria</t>
  </si>
  <si>
    <t>27-18-07-002</t>
  </si>
  <si>
    <t>ST. LUKE'S SCHOOL, LUWODO</t>
  </si>
  <si>
    <t>https://docs.inecelectionresults.net/elections_prod/1292/state/01/lga/18/ward/07/pu/002/002-1677410558.pdf</t>
  </si>
  <si>
    <t>ST. LUKE'S SCHOOL, LUWODO, Polling Unit, OGUN WATER SIDE, Ogun State, Nigeria</t>
  </si>
  <si>
    <t>27-18-07-004</t>
  </si>
  <si>
    <t>ST. JOHN'S SCHOOL, AJEGUNLE</t>
  </si>
  <si>
    <t>https://docs.inecelectionresults.net/elections_prod/1292/state/01/lga/18/ward/07/pu/004/004-1677417814.pdf</t>
  </si>
  <si>
    <t>ST. JOHN'S SCHOOL, AJEGUNLE, Polling Unit, OGUN WATER SIDE, Ogun State, Nigeria</t>
  </si>
  <si>
    <t>27-18-07-005</t>
  </si>
  <si>
    <t>C.M.S SCHOOL, LOMIRO</t>
  </si>
  <si>
    <t>https://docs.inecelectionresults.net/elections_prod/1292/state/01/lga/18/ward/07/pu/005/005-1677416011.pdf</t>
  </si>
  <si>
    <t>C.M.S SCHOOL, LOMIRO, Polling Unit, OGUN WATER SIDE, Ogun State, Nigeria</t>
  </si>
  <si>
    <t>27-18-07-008</t>
  </si>
  <si>
    <t>L.G. SCHOOL, IPAI KEMORE</t>
  </si>
  <si>
    <t>https://docs.inecelectionresults.net/elections_prod/1292/state/01/lga/18/ward/07/pu/008/008-1677406820.pdf</t>
  </si>
  <si>
    <t>L.G. SCHOOL, IPAI KEMORE, Polling Unit, OGUN WATER SIDE, Ogun State, Nigeria</t>
  </si>
  <si>
    <t>27-18-07-009</t>
  </si>
  <si>
    <t>OLOLA CAMP</t>
  </si>
  <si>
    <t>https://docs.inecelectionresults.net/elections_prod/1292/state/01/lga/18/ward/07/pu/009/009-1677397886.pdf</t>
  </si>
  <si>
    <t>OLOLA CAMP, Polling Unit, OGUN WATER SIDE, Ogun State, Nigeria</t>
  </si>
  <si>
    <t>27-18-07-011</t>
  </si>
  <si>
    <t>LAPETI BAALE'S QUARTERS</t>
  </si>
  <si>
    <t>https://docs.inecelectionresults.net/elections_prod/1292/state/01/lga/18/ward/07/pu/011/011-1677407395.pdf</t>
  </si>
  <si>
    <t>LAPETI BAALE'S QUARTERS, Polling Unit, OGUN WATER SIDE, Ogun State, Nigeria</t>
  </si>
  <si>
    <t>AYILA/ITEBU</t>
  </si>
  <si>
    <t>27-18-08-001</t>
  </si>
  <si>
    <t>ST. PHILLIP'S PRIMARY SCHOOL</t>
  </si>
  <si>
    <t>https://docs.inecelectionresults.net/elections_prod/1292/state/01/lga/18/ward/08/pu/001/001-1677423476.pdf</t>
  </si>
  <si>
    <t>ST. PHILLIP'S PRIMARY SCHOOL, Polling Unit, OGUN WATER SIDE, Ogun State, Nigeria</t>
  </si>
  <si>
    <t>27-18-08-003</t>
  </si>
  <si>
    <t>ST. JOHN'S PRIMARY SCH, AYILA II</t>
  </si>
  <si>
    <t>https://docs.inecelectionresults.net/elections_prod/1292/state/01/lga/18/ward/08/pu/003/003-1677416322.pdf</t>
  </si>
  <si>
    <t>ST. JOHN'S PRIMARY SCH, AYILA II, Polling Unit, OGUN WATER SIDE, Ogun State, Nigeria</t>
  </si>
  <si>
    <t>27-18-08-004</t>
  </si>
  <si>
    <t>ST. JOSEPH R.C.M. SCHOOL, AYILA</t>
  </si>
  <si>
    <t>https://docs.inecelectionresults.net/elections_prod/1292/state/1/lga/3683/ward/24158/pu/93704/93704-1677666806.pdf</t>
  </si>
  <si>
    <t>ST. JOSEPH R.C.M. SCHOOL, AYILA, Polling Unit, OGUN WATER SIDE, Ogun State, Nigeria</t>
  </si>
  <si>
    <t>27-18-08-005</t>
  </si>
  <si>
    <t>https://docs.inecelectionresults.net/elections_prod/1292/state/1/lga/3683/ward/24158/pu/93705/93705-1677754140.pdf</t>
  </si>
  <si>
    <t>27-18-08-006</t>
  </si>
  <si>
    <t>ST. DAVID PRIMARY SCHOOL, AYE TUMARE</t>
  </si>
  <si>
    <t>https://docs.inecelectionresults.net/elections_prod/1292/state/01/lga/18/ward/08/pu/006/006-1677420234.pdf</t>
  </si>
  <si>
    <t>ST. DAVID PRIMARY SCHOOL, AYE TUMARE, Polling Unit, OGUN WATER SIDE, Ogun State, Nigeria</t>
  </si>
  <si>
    <t>27-18-08-007</t>
  </si>
  <si>
    <t>ST. MARKS SCHOOL, ITEBU</t>
  </si>
  <si>
    <t>https://docs.inecelectionresults.net/elections_prod/1292/state/01/lga/18/ward/08/pu/007/007-1677408659.pdf</t>
  </si>
  <si>
    <t>ST. MARKS SCHOOL, ITEBU, Polling Unit, OGUN WATER SIDE, Ogun State, Nigeria</t>
  </si>
  <si>
    <t>27-18-08-008</t>
  </si>
  <si>
    <t>DOLUKE QUARTERS</t>
  </si>
  <si>
    <t>https://docs.inecelectionresults.net/elections_prod/1292/state/01/lga/18/ward/08/pu/008/008-1677422245.pdf</t>
  </si>
  <si>
    <t>DOLUKE QUARTERS, Polling Unit, OGUN WATER SIDE, Ogun State, Nigeria</t>
  </si>
  <si>
    <t>27-18-08-009</t>
  </si>
  <si>
    <t>AGO-AJAYE QUARTERS</t>
  </si>
  <si>
    <t>https://docs.inecelectionresults.net/elections_prod/1292/state/1/lga/3683/ward/24158/pu/93709/93709-1677597701.pdf</t>
  </si>
  <si>
    <t>AGO-AJAYE QUARTERS, Polling Unit, OGUN WATER SIDE, Ogun State, Nigeria</t>
  </si>
  <si>
    <t>MAKUN/IROKUN</t>
  </si>
  <si>
    <t>27-18-09-001</t>
  </si>
  <si>
    <t>L.G. SCHOOL, MAKUN OMI</t>
  </si>
  <si>
    <t>https://docs.inecelectionresults.net/elections_prod/1292/state/1/lga/3683/ward/24159/pu/93710/93710-1677588214.pdf</t>
  </si>
  <si>
    <t>L.G. SCHOOL, MAKUN OMI, Polling Unit, OGUN WATER SIDE, Ogun State, Nigeria</t>
  </si>
  <si>
    <t>27-18-09-003</t>
  </si>
  <si>
    <t>L.G. SCHOOL, EBA</t>
  </si>
  <si>
    <t>https://docs.inecelectionresults.net/elections_prod/1292/state/1/lga/3683/ward/24159/pu/93712/93712-1677602949.pdf</t>
  </si>
  <si>
    <t>L.G. SCHOOL, EBA, Polling Unit, OGUN WATER SIDE, Ogun State, Nigeria</t>
  </si>
  <si>
    <t>27-18-09-004</t>
  </si>
  <si>
    <t>L.G. SCHOOL, IROKUN</t>
  </si>
  <si>
    <t>https://docs.inecelectionresults.net/elections_prod/1292/state/1/lga/3683/ward/24159/pu/93713/93713-1677584911.pdf</t>
  </si>
  <si>
    <t>L.G. SCHOOL, IROKUN, Polling Unit, OGUN WATER SIDE, Ogun State, Nigeria</t>
  </si>
  <si>
    <t>27-18-09-005</t>
  </si>
  <si>
    <t>L.G. SCHOOL, IGBO-EDU</t>
  </si>
  <si>
    <t>https://docs.inecelectionresults.net/elections_prod/1292/state/1/lga/3683/ward/24159/pu/93714/93714-1677585635.pdf</t>
  </si>
  <si>
    <t>L.G. SCHOOL, IGBO-EDU, Polling Unit, OGUN WATER SIDE, Ogun State, Nigeria</t>
  </si>
  <si>
    <t>27-18-09-006</t>
  </si>
  <si>
    <t>L.G. SCHOOL, IROKUN II</t>
  </si>
  <si>
    <t>https://docs.inecelectionresults.net/elections_prod/1292/state/01/lga/18/ward/09/pu/006/006-1677420024.pdf</t>
  </si>
  <si>
    <t>L.G. SCHOOL, IROKUN II, Polling Unit, OGUN WATER SIDE, Ogun State, Nigeria</t>
  </si>
  <si>
    <t>27-18-09-007</t>
  </si>
  <si>
    <t>MATERNITY CENTRE, MAKUN-OMI</t>
  </si>
  <si>
    <t>https://docs.inecelectionresults.net/elections_prod/1292/state/01/lga/18/ward/09/pu/007/007-1677410302.pdf</t>
  </si>
  <si>
    <t>MATERNITY CENTRE, MAKUN-OMI, Polling Unit, OGUN WATER SIDE, Ogun State, Nigeria</t>
  </si>
  <si>
    <t>27-18-09-008</t>
  </si>
  <si>
    <t>ARIYAN VILLAGE SQUARE</t>
  </si>
  <si>
    <t>https://docs.inecelectionresults.net/elections_prod/1292/state/01/lga/18/ward/09/pu/008/008-1677415288.pdf</t>
  </si>
  <si>
    <t>ARIYAN VILLAGE SQUARE, Polling Unit, OGUN WATER SIDE, Ogun State, Nigeria</t>
  </si>
  <si>
    <t>27-18-09-009</t>
  </si>
  <si>
    <t>ASEPH CAMP IGBO-EDU  I</t>
  </si>
  <si>
    <t>https://docs.inecelectionresults.net/elections_prod/1292/state/1/lga/3683/ward/24159/pu/93718/93718-1677584520.pdf</t>
  </si>
  <si>
    <t>ASEPH CAMP IGBO-EDU  I, Polling Unit, OGUN WATER SIDE, Ogun State, Nigeria</t>
  </si>
  <si>
    <t>27-18-09-010</t>
  </si>
  <si>
    <t>ASEPH CAMP IGBO-EDU  II</t>
  </si>
  <si>
    <t>https://docs.inecelectionresults.net/elections_prod/1292/state/01/lga/18/ward/09/pu/010/010-1677421796.pdf</t>
  </si>
  <si>
    <t>ASEPH CAMP IGBO-EDU  II, Polling Unit, OGUN WATER SIDE, Ogun State, Nigeria</t>
  </si>
  <si>
    <t>27-18-09-011</t>
  </si>
  <si>
    <t>NEAR CHIEF TAYO AJAYI'S HOUSE, MAKUN</t>
  </si>
  <si>
    <t>https://docs.inecelectionresults.net/elections_prod/1292/state/1/lga/3683/ward/24159/pu/93720/93720-1677583623.pdf</t>
  </si>
  <si>
    <t>NEAR CHIEF TAYO AJAYI'S HOUSE, MAKUN, Polling Unit, OGUN WATER SIDE, Ogun State, Nigeria</t>
  </si>
  <si>
    <t>ODE-OMI</t>
  </si>
  <si>
    <t>27-18-10-001</t>
  </si>
  <si>
    <t>L.G. SCHOOL, ODE-OMI  I</t>
  </si>
  <si>
    <t>https://docs.inecelectionresults.net/elections_prod/1292/state/01/lga/18/ward/10/pu/001/001-1677397660.pdf</t>
  </si>
  <si>
    <t>L.G. SCHOOL, ODE-OMI  I, Polling Unit, OGUN WATER SIDE, Ogun State, Nigeria</t>
  </si>
  <si>
    <t>27-18-10-002</t>
  </si>
  <si>
    <t>L.G. SCHOOL, IGBOSERE</t>
  </si>
  <si>
    <t>https://docs.inecelectionresults.net/elections_prod/1292/state/01/lga/18/ward/10/pu/002/002-1677397332.pdf</t>
  </si>
  <si>
    <t>L.G. SCHOOL, IGBOSERE, Polling Unit, OGUN WATER SIDE, Ogun State, Nigeria</t>
  </si>
  <si>
    <t>27-18-10-003</t>
  </si>
  <si>
    <t>L.G. SCHOOL, AWODIKORA</t>
  </si>
  <si>
    <t>https://docs.inecelectionresults.net/elections_prod/1292/state/01/lga/18/ward/10/pu/003/003-1677398912.pdf</t>
  </si>
  <si>
    <t>L.G. SCHOOL, AWODIKORA, Polling Unit, OGUN WATER SIDE, Ogun State, Nigeria</t>
  </si>
  <si>
    <t>27-18-10-006</t>
  </si>
  <si>
    <t>RICE MILL, BARIKEN</t>
  </si>
  <si>
    <t>https://docs.inecelectionresults.net/elections_prod/1292/state/01/lga/18/ward/10/pu/006/006-1677383048.pdf</t>
  </si>
  <si>
    <t>RICE MILL, BARIKEN, Polling Unit, OGUN WATER SIDE, Ogun State, Nigeria</t>
  </si>
  <si>
    <t>27-18-10-007</t>
  </si>
  <si>
    <t>OKUN ISEKUN</t>
  </si>
  <si>
    <t>https://docs.inecelectionresults.net/elections_prod/1292/state/1/lga/3683/ward/24160/pu/93727/93727-1677614579.pdf</t>
  </si>
  <si>
    <t>OKUN ISEKUN, Polling Unit, OGUN WATER SIDE, Ogun State, Nigeria</t>
  </si>
  <si>
    <t>27-18-10-008</t>
  </si>
  <si>
    <t>OWA OBA SQUARE,ITUN OLOJA,ODE-OMI</t>
  </si>
  <si>
    <t>https://docs.inecelectionresults.net/elections_prod/1292/state/01/lga/18/ward/10/pu/008/008-1677400318.pdf</t>
  </si>
  <si>
    <t>OWA OBA SQUARE,ITUN OLOJA,ODE-OMI, Polling Unit, OGUN WATER SIDE, Ogun State, Nigeria</t>
  </si>
  <si>
    <t>27-18-10-009</t>
  </si>
  <si>
    <t>OPEN SPACE AT IGBESERE</t>
  </si>
  <si>
    <t>https://docs.inecelectionresults.net/elections_prod/1292/state/01/lga/18/ward/10/pu/009/009-1677398432.pdf</t>
  </si>
  <si>
    <t>OPEN SPACE AT IGBESERE, Polling Unit, OGUN WATER SIDE, Ogun State, Nigeria</t>
  </si>
  <si>
    <t>REMO NORTH</t>
  </si>
  <si>
    <t>AYEGBAMI</t>
  </si>
  <si>
    <t>27-19-01-002</t>
  </si>
  <si>
    <t>OPEN SPACE AT AGO ARO JUNCTION  II</t>
  </si>
  <si>
    <t>https://docs.inecelectionresults.net/elections_prod/1292/state/01/lga/19/ward/01/pu/002/002-1677361258.pdf</t>
  </si>
  <si>
    <t>OPEN SPACE AT AGO ARO JUNCTION  II, Polling Unit, REMO NORTH, Ogun State, Nigeria</t>
  </si>
  <si>
    <t>27-19-01-003</t>
  </si>
  <si>
    <t>OPEN SPACE AT IDI-ABA</t>
  </si>
  <si>
    <t>https://docs.inecelectionresults.net/elections_prod/1292/state/01/lga/19/ward/01/pu/003/003-1677377904.pdf</t>
  </si>
  <si>
    <t>OPEN SPACE AT IDI-ABA, Polling Unit, REMO NORTH, Ogun State, Nigeria</t>
  </si>
  <si>
    <t>27-19-01-004</t>
  </si>
  <si>
    <t>ST. PETERS SCHOOL,AYEGBAMI ISARA</t>
  </si>
  <si>
    <t>https://docs.inecelectionresults.net/elections_prod/1292/state/01/lga/19/ward/01/pu/004/004-1677377443.pdf</t>
  </si>
  <si>
    <t>ST. PETERS SCHOOL,AYEGBAMI ISARA, Polling Unit, REMO NORTH, Ogun State, Nigeria</t>
  </si>
  <si>
    <t>27-19-01-006</t>
  </si>
  <si>
    <t>OPEN SPACE AT ALL WELL (AT OMO OLOWO) II</t>
  </si>
  <si>
    <t>https://docs.inecelectionresults.net/elections_prod/1292/state/01/lga/19/ward/01/pu/006/006-1677373518.pdf</t>
  </si>
  <si>
    <t>OPEN SPACE AT ALL WELL (AT OMO OLOWO) II, Polling Unit, REMO NORTH, Ogun State, Nigeria</t>
  </si>
  <si>
    <t>27-19-01-007</t>
  </si>
  <si>
    <t>OPEN SPACE AT ARAROMI MIDWAY  I</t>
  </si>
  <si>
    <t>https://docs.inecelectionresults.net/elections_prod/1292/state/01/lga/19/ward/01/pu/007/007-1677377109.pdf</t>
  </si>
  <si>
    <t>OPEN SPACE AT ARAROMI MIDWAY  I, Polling Unit, REMO NORTH, Ogun State, Nigeria</t>
  </si>
  <si>
    <t>27-19-01-008</t>
  </si>
  <si>
    <t>OPEN SPACE AT ARAROMI MIDWAY  II</t>
  </si>
  <si>
    <t>https://docs.inecelectionresults.net/elections_prod/1292/state/01/lga/19/ward/01/pu/008/008-1677375575.pdf</t>
  </si>
  <si>
    <t>OPEN SPACE AT ARAROMI MIDWAY  II, Polling Unit, REMO NORTH, Ogun State, Nigeria</t>
  </si>
  <si>
    <t>27-19-01-009</t>
  </si>
  <si>
    <t>OPEN SPACE AT LEMO ( ITALE)</t>
  </si>
  <si>
    <t>https://docs.inecelectionresults.net/elections_prod/1292/state/01/lga/19/ward/01/pu/009/009-1677374890.pdf</t>
  </si>
  <si>
    <t>OPEN SPACE AT LEMO ( ITALE), Polling Unit, REMO NORTH, Ogun State, Nigeria</t>
  </si>
  <si>
    <t>27-19-01-010</t>
  </si>
  <si>
    <t>OPEN SPACE AT ALAGOMEJI</t>
  </si>
  <si>
    <t>https://docs.inecelectionresults.net/elections_prod/1292/state/01/lga/19/ward/01/pu/010/010-1677368486.pdf</t>
  </si>
  <si>
    <t>OPEN SPACE AT ALAGOMEJI, Polling Unit, REMO NORTH, Ogun State, Nigeria</t>
  </si>
  <si>
    <t>27-19-01-011</t>
  </si>
  <si>
    <t>OPEN SPACE AT IFEPE MID-WAY</t>
  </si>
  <si>
    <t>https://docs.inecelectionresults.net/elections_prod/1292/state/01/lga/19/ward/01/pu/011/011-1677372225.pdf</t>
  </si>
  <si>
    <t>OPEN SPACE AT IFEPE MID-WAY, Polling Unit, REMO NORTH, Ogun State, Nigeria</t>
  </si>
  <si>
    <t>27-19-01-014</t>
  </si>
  <si>
    <t>OPEN SPACE AT MOTOYE,ISARA</t>
  </si>
  <si>
    <t>https://docs.inecelectionresults.net/elections_prod/1292/state/01/lga/19/ward/01/pu/014/014-1677376221.pdf</t>
  </si>
  <si>
    <t>OPEN SPACE AT MOTOYE,ISARA, Polling Unit, REMO NORTH, Ogun State, Nigeria</t>
  </si>
  <si>
    <t>27-19-01-015</t>
  </si>
  <si>
    <t>OPEN SPACE AT EREDO</t>
  </si>
  <si>
    <t>https://docs.inecelectionresults.net/elections_prod/1292/state/01/lga/19/ward/01/pu/015/015-1677367614.pdf</t>
  </si>
  <si>
    <t>OPEN SPACE AT EREDO, Polling Unit, REMO NORTH, Ogun State, Nigeria</t>
  </si>
  <si>
    <t>27-19-01-016</t>
  </si>
  <si>
    <t>OPEN SPACE AT SAREPAWO</t>
  </si>
  <si>
    <t>https://docs.inecelectionresults.net/elections_prod/1292/state/01/lga/19/ward/01/pu/016/016-1677375799.pdf</t>
  </si>
  <si>
    <t>OPEN SPACE AT SAREPAWO, Polling Unit, REMO NORTH, Ogun State, Nigeria</t>
  </si>
  <si>
    <t>IGAN/AJINA</t>
  </si>
  <si>
    <t>27-19-02-001</t>
  </si>
  <si>
    <t>OPEN SPACE AT OLIWO JUNCTION  I</t>
  </si>
  <si>
    <t>https://docs.inecelectionresults.net/elections_prod/1292/state/01/lga/19/ward/02/pu/001/001-1677385122.pdf</t>
  </si>
  <si>
    <t>OPEN SPACE AT OLIWO JUNCTION  I, Polling Unit, REMO NORTH, Ogun State, Nigeria</t>
  </si>
  <si>
    <t>27-19-02-002</t>
  </si>
  <si>
    <t>OPEN SPACE AT OLIWO JUNCTION  II</t>
  </si>
  <si>
    <t>https://docs.inecelectionresults.net/elections_prod/1292/state/01/lga/19/ward/02/pu/002/002-1677388728.pdf</t>
  </si>
  <si>
    <t>OPEN SPACE AT OLIWO JUNCTION  II, Polling Unit, REMO NORTH, Ogun State, Nigeria</t>
  </si>
  <si>
    <t>27-19-02-003</t>
  </si>
  <si>
    <t>AJINA SQUARE  I, ISARA</t>
  </si>
  <si>
    <t>https://docs.inecelectionresults.net/elections_prod/1292/state/01/lga/19/ward/02/pu/003/003-1677388741.pdf</t>
  </si>
  <si>
    <t>AJINA SQUARE  I, ISARA, Polling Unit, REMO NORTH, Ogun State, Nigeria</t>
  </si>
  <si>
    <t>27-19-02-004</t>
  </si>
  <si>
    <t>AJINA SQUARE  II, ISARA</t>
  </si>
  <si>
    <t>https://docs.inecelectionresults.net/elections_prod/1292/state/01/lga/19/ward/02/pu/004/004-1677390927.pdf</t>
  </si>
  <si>
    <t>AJINA SQUARE  II, ISARA, Polling Unit, REMO NORTH, Ogun State, Nigeria</t>
  </si>
  <si>
    <t>27-19-02-005</t>
  </si>
  <si>
    <t>OPEN SPACE AT JABATA  I</t>
  </si>
  <si>
    <t>https://docs.inecelectionresults.net/elections_prod/1292/state/01/lga/19/ward/02/pu/005/005-1677384572.pdf</t>
  </si>
  <si>
    <t>OPEN SPACE AT JABATA  I, Polling Unit, REMO NORTH, Ogun State, Nigeria</t>
  </si>
  <si>
    <t>27-19-02-007</t>
  </si>
  <si>
    <t>OPEN SPACE AT JABATA  III</t>
  </si>
  <si>
    <t>https://docs.inecelectionresults.net/elections_prod/1292/state/01/lga/19/ward/02/pu/007/007-1677366516.pdf</t>
  </si>
  <si>
    <t>OPEN SPACE AT JABATA  III, Polling Unit, REMO NORTH, Ogun State, Nigeria</t>
  </si>
  <si>
    <t>27-19-02-008</t>
  </si>
  <si>
    <t>OPEN SPACE AT ITA POKE</t>
  </si>
  <si>
    <t>https://docs.inecelectionresults.net/elections_prod/1292/state/01/lga/19/ward/02/pu/008/008-1677390433.pdf</t>
  </si>
  <si>
    <t>OPEN SPACE AT ITA POKE, Polling Unit, REMO NORTH, Ogun State, Nigeria</t>
  </si>
  <si>
    <t>27-19-02-010</t>
  </si>
  <si>
    <t>OPEN SPACE AT MAJAAGO</t>
  </si>
  <si>
    <t>https://docs.inecelectionresults.net/elections_prod/1292/state/01/lga/19/ward/02/pu/010/010-1677387750.pdf</t>
  </si>
  <si>
    <t>OPEN SPACE AT MAJAAGO, Polling Unit, REMO NORTH, Ogun State, Nigeria</t>
  </si>
  <si>
    <t>27-19-02-011</t>
  </si>
  <si>
    <t>OPEN SPACE AT MAJAAGO'S PALACE</t>
  </si>
  <si>
    <t>https://docs.inecelectionresults.net/elections_prod/1292/state/01/lga/19/ward/02/pu/011/011-1677385848.pdf</t>
  </si>
  <si>
    <t>OPEN SPACE AT MAJAAGO'S PALACE, Polling Unit, REMO NORTH, Ogun State, Nigeria</t>
  </si>
  <si>
    <t>27-19-02-012</t>
  </si>
  <si>
    <t>OPEN SPACE AT ILE AWO,OPP. GEN. HOSPITAL</t>
  </si>
  <si>
    <t>https://docs.inecelectionresults.net/elections_prod/1292/state/01/lga/19/ward/02/pu/012/012-1677382947.pdf</t>
  </si>
  <si>
    <t>OPEN SPACE AT ILE AWO,OPP. GEN. HOSPITAL, Polling Unit, REMO NORTH, Ogun State, Nigeria</t>
  </si>
  <si>
    <t>27-19-02-014</t>
  </si>
  <si>
    <t>OPEN SPACE AT ERINLA MIDWAY</t>
  </si>
  <si>
    <t>https://docs.inecelectionresults.net/elections_prod/1292/state/01/lga/19/ward/02/pu/014/014-1677387263.pdf</t>
  </si>
  <si>
    <t>OPEN SPACE AT ERINLA MIDWAY, Polling Unit, REMO NORTH, Ogun State, Nigeria</t>
  </si>
  <si>
    <t>27-19-02-015</t>
  </si>
  <si>
    <t>OPEN SPACE AT POKE</t>
  </si>
  <si>
    <t>https://docs.inecelectionresults.net/elections_prod/1292/state/01/lga/19/ward/02/pu/015/015-1677383238.pdf</t>
  </si>
  <si>
    <t>OPEN SPACE AT POKE, Polling Unit, REMO NORTH, Ogun State, Nigeria</t>
  </si>
  <si>
    <t>27-19-02-016</t>
  </si>
  <si>
    <t>OPEN SPACE AT MADOGA STREET</t>
  </si>
  <si>
    <t>https://docs.inecelectionresults.net/elections_prod/1292/state/01/lga/19/ward/02/pu/016/016-1677383942.pdf</t>
  </si>
  <si>
    <t>OPEN SPACE AT MADOGA STREET, Polling Unit, REMO NORTH, Ogun State, Nigeria</t>
  </si>
  <si>
    <t>MOBORODE/OKE-OLA</t>
  </si>
  <si>
    <t>27-19-03-001</t>
  </si>
  <si>
    <t>OPEN SPACE AT OKE OLA, MID WAY  I</t>
  </si>
  <si>
    <t>https://docs.inecelectionresults.net/elections_prod/1292/state/01/lga/19/ward/03/pu/001/001-1677391861.pdf</t>
  </si>
  <si>
    <t>OPEN SPACE AT OKE OLA, MID WAY  I, Polling Unit, REMO NORTH, Ogun State, Nigeria</t>
  </si>
  <si>
    <t>27-19-03-002</t>
  </si>
  <si>
    <t>OPEN SPACE AT OKE OLA, MID WAY  II</t>
  </si>
  <si>
    <t>https://docs.inecelectionresults.net/elections_prod/1292/state/01/lga/19/ward/03/pu/002/002-1677392256.pdf</t>
  </si>
  <si>
    <t>OPEN SPACE AT OKE OLA, MID WAY  II, Polling Unit, REMO NORTH, Ogun State, Nigeria</t>
  </si>
  <si>
    <t>27-19-03-003</t>
  </si>
  <si>
    <t>A.U.D. SCHOOL, ISARA  I</t>
  </si>
  <si>
    <t>https://docs.inecelectionresults.net/elections_prod/1292/state/01/lga/19/ward/03/pu/003/003-1677392648.pdf</t>
  </si>
  <si>
    <t>A.U.D. SCHOOL, ISARA  I, Polling Unit, REMO NORTH, Ogun State, Nigeria</t>
  </si>
  <si>
    <t>27-19-03-004</t>
  </si>
  <si>
    <t>A.U.D. SCHOOL, ISARA  II</t>
  </si>
  <si>
    <t>https://docs.inecelectionresults.net/elections_prod/1292/state/01/lga/19/ward/03/pu/004/004-1677393705.pdf</t>
  </si>
  <si>
    <t>A.U.D. SCHOOL, ISARA  II, Polling Unit, REMO NORTH, Ogun State, Nigeria</t>
  </si>
  <si>
    <t>27-19-03-006</t>
  </si>
  <si>
    <t>WESLEY SCHOOL, ISARA  II</t>
  </si>
  <si>
    <t>https://docs.inecelectionresults.net/elections_prod/1292/state/01/lga/19/ward/03/pu/006/006-1677394445.pdf</t>
  </si>
  <si>
    <t>WESLEY SCHOOL, ISARA  II, Polling Unit, REMO NORTH, Ogun State, Nigeria</t>
  </si>
  <si>
    <t>27-19-03-007</t>
  </si>
  <si>
    <t>OPEN SPACE AT OBALENDE JUNCTION</t>
  </si>
  <si>
    <t>https://docs.inecelectionresults.net/elections_prod/1292/state/01/lga/19/ward/03/pu/007/007-1677395031.pdf</t>
  </si>
  <si>
    <t>OPEN SPACE AT OBALENDE JUNCTION, Polling Unit, REMO NORTH, Ogun State, Nigeria</t>
  </si>
  <si>
    <t>27-19-03-008</t>
  </si>
  <si>
    <t>OPEN SPACE AT IDI-OBI, OBALENDE</t>
  </si>
  <si>
    <t>https://docs.inecelectionresults.net/elections_prod/1292/state/01/lga/19/ward/03/pu/008/008-1677395785.pdf</t>
  </si>
  <si>
    <t>OPEN SPACE AT IDI-OBI, OBALENDE, Polling Unit, REMO NORTH, Ogun State, Nigeria</t>
  </si>
  <si>
    <t>27-19-03-009</t>
  </si>
  <si>
    <t>OPEN SPACE AT IMORISA MID-WAY</t>
  </si>
  <si>
    <t>https://docs.inecelectionresults.net/elections_prod/1292/state/01/lga/19/ward/03/pu/009/009-1677396433.pdf</t>
  </si>
  <si>
    <t>OPEN SPACE AT IMORISA MID-WAY, Polling Unit, REMO NORTH, Ogun State, Nigeria</t>
  </si>
  <si>
    <t>ODOFIN/IMAGBO/PETEKUN/DAWARA</t>
  </si>
  <si>
    <t>27-19-04-001</t>
  </si>
  <si>
    <t>L.G. SCHOOL ODO  I</t>
  </si>
  <si>
    <t>https://docs.inecelectionresults.net/elections_prod/1292/state/01/lga/19/ward/04/pu/001/001-1677371980.pdf</t>
  </si>
  <si>
    <t>L.G. SCHOOL ODO  I, Polling Unit, REMO NORTH, Ogun State, Nigeria</t>
  </si>
  <si>
    <t>27-19-04-002</t>
  </si>
  <si>
    <t>L.G. SCHOOL ODO  II</t>
  </si>
  <si>
    <t>https://docs.inecelectionresults.net/elections_prod/1292/state/01/lga/19/ward/04/pu/002/002-1677369885.pdf</t>
  </si>
  <si>
    <t>L.G. SCHOOL ODO  II, Polling Unit, REMO NORTH, Ogun State, Nigeria</t>
  </si>
  <si>
    <t>27-19-04-003</t>
  </si>
  <si>
    <t>L.G. SCHOOL JOWOJE</t>
  </si>
  <si>
    <t>https://docs.inecelectionresults.net/elections_prod/1292/state/01/lga/19/ward/04/pu/003/003-1677378172.pdf</t>
  </si>
  <si>
    <t>L.G. SCHOOL JOWOJE, Polling Unit, REMO NORTH, Ogun State, Nigeria</t>
  </si>
  <si>
    <t>27-19-04-004</t>
  </si>
  <si>
    <t>L.G. SCHOOL GBASEMO</t>
  </si>
  <si>
    <t>https://docs.inecelectionresults.net/elections_prod/1292/state/01/lga/19/ward/04/pu/004/004-1677371821.pdf</t>
  </si>
  <si>
    <t>L.G. SCHOOL GBASEMO, Polling Unit, REMO NORTH, Ogun State, Nigeria</t>
  </si>
  <si>
    <t>27-19-04-005</t>
  </si>
  <si>
    <t>L.G. SCHOOL IMAGBON</t>
  </si>
  <si>
    <t>https://docs.inecelectionresults.net/elections_prod/1292/state/01/lga/19/ward/04/pu/005/005-1677375011.pdf</t>
  </si>
  <si>
    <t>L.G. SCHOOL IMAGBON, Polling Unit, REMO NORTH, Ogun State, Nigeria</t>
  </si>
  <si>
    <t>27-19-04-006</t>
  </si>
  <si>
    <t>L.G. SCHOOL, ELUJU</t>
  </si>
  <si>
    <t>https://docs.inecelectionresults.net/elections_prod/1292/state/01/lga/19/ward/04/pu/006/006-1677379202.pdf</t>
  </si>
  <si>
    <t>L.G. SCHOOL, ELUJU, Polling Unit, REMO NORTH, Ogun State, Nigeria</t>
  </si>
  <si>
    <t>27-19-04-007</t>
  </si>
  <si>
    <t>OLOPARUN VILLAGE SQUARE</t>
  </si>
  <si>
    <t>https://docs.inecelectionresults.net/elections_prod/1292/state/01/lga/19/ward/04/pu/007/007-1677403078.pdf</t>
  </si>
  <si>
    <t>OLOPARUN VILLAGE SQUARE, Polling Unit, REMO NORTH, Ogun State, Nigeria</t>
  </si>
  <si>
    <t>27-19-04-008</t>
  </si>
  <si>
    <t>EGUNFOYE VILLAGE SQUARE I</t>
  </si>
  <si>
    <t>https://docs.inecelectionresults.net/elections_prod/1292/state/01/lga/19/ward/04/pu/008/008-1677368121.pdf</t>
  </si>
  <si>
    <t>EGUNFOYE VILLAGE SQUARE I, Polling Unit, REMO NORTH, Ogun State, Nigeria</t>
  </si>
  <si>
    <t>27-19-04-009</t>
  </si>
  <si>
    <t>EGUNFOYE VILLAGE SQUARE II</t>
  </si>
  <si>
    <t>https://docs.inecelectionresults.net/elections_prod/1292/state/01/lga/19/ward/04/pu/009/009-1677375539.pdf</t>
  </si>
  <si>
    <t>EGUNFOYE VILLAGE SQUARE II, Polling Unit, REMO NORTH, Ogun State, Nigeria</t>
  </si>
  <si>
    <t>27-19-04-010</t>
  </si>
  <si>
    <t>LAGBANA PRIMARY SCHOOL</t>
  </si>
  <si>
    <t>https://docs.inecelectionresults.net/elections_prod/1292/state/01/lga/19/ward/04/pu/010/010-1677373578.pdf</t>
  </si>
  <si>
    <t>LAGBANA PRIMARY SCHOOL, Polling Unit, REMO NORTH, Ogun State, Nigeria</t>
  </si>
  <si>
    <t>27-19-04-011</t>
  </si>
  <si>
    <t>OPEN SPACE AT IRESI VILLAGE</t>
  </si>
  <si>
    <t>https://docs.inecelectionresults.net/elections_prod/1292/state/01/lga/19/ward/04/pu/011/011-1677373562.pdf</t>
  </si>
  <si>
    <t>OPEN SPACE AT IRESI VILLAGE, Polling Unit, REMO NORTH, Ogun State, Nigeria</t>
  </si>
  <si>
    <t>27-19-04-012</t>
  </si>
  <si>
    <t>OPEN SPACE AT PETEKU LISA VILLAGE I</t>
  </si>
  <si>
    <t>https://docs.inecelectionresults.net/elections_prod/1292/state/01/lga/19/ward/04/pu/012/012-1677381041.pdf</t>
  </si>
  <si>
    <t>OPEN SPACE AT PETEKU LISA VILLAGE I, Polling Unit, REMO NORTH, Ogun State, Nigeria</t>
  </si>
  <si>
    <t>27-19-04-013</t>
  </si>
  <si>
    <t>OPE SPACE AT PETEKU LISA VILLAGE II</t>
  </si>
  <si>
    <t>https://docs.inecelectionresults.net/elections_prod/1292/state/01/lga/19/ward/04/pu/013/013-1677378487.pdf</t>
  </si>
  <si>
    <t>OPE SPACE AT PETEKU LISA VILLAGE II, Polling Unit, REMO NORTH, Ogun State, Nigeria</t>
  </si>
  <si>
    <t>27-19-04-014</t>
  </si>
  <si>
    <t>OPEN SPACE AT DEYORUWA</t>
  </si>
  <si>
    <t>https://docs.inecelectionresults.net/elections_prod/1292/state/01/lga/19/ward/04/pu/014/014-1677381333.pdf</t>
  </si>
  <si>
    <t>OPEN SPACE AT DEYORUWA, Polling Unit, REMO NORTH, Ogun State, Nigeria</t>
  </si>
  <si>
    <t>27-19-04-015</t>
  </si>
  <si>
    <t>OPEN SPACE AT DAWARA</t>
  </si>
  <si>
    <t>https://docs.inecelectionresults.net/elections_prod/1292/state/01/lga/19/ward/04/pu/015/015-1677379769.pdf</t>
  </si>
  <si>
    <t>OPEN SPACE AT DAWARA, Polling Unit, REMO NORTH, Ogun State, Nigeria</t>
  </si>
  <si>
    <t>27-19-04-017</t>
  </si>
  <si>
    <t>OPEN SPACE AT ALAGBE</t>
  </si>
  <si>
    <t>https://docs.inecelectionresults.net/elections_prod/1292/state/01/lga/19/ward/04/pu/017/017-1677376918.pdf</t>
  </si>
  <si>
    <t>OPEN SPACE AT ALAGBE, Polling Unit, REMO NORTH, Ogun State, Nigeria</t>
  </si>
  <si>
    <t>27-19-04-018</t>
  </si>
  <si>
    <t>OPEN SPACE AT OLIWO</t>
  </si>
  <si>
    <t>https://docs.inecelectionresults.net/elections_prod/1292/state/01/lga/19/ward/04/pu/018/018-1677376019.pdf</t>
  </si>
  <si>
    <t>OPEN SPACE AT OLIWO, Polling Unit, REMO NORTH, Ogun State, Nigeria</t>
  </si>
  <si>
    <t>ILARA</t>
  </si>
  <si>
    <t>27-19-05-001</t>
  </si>
  <si>
    <t>UNITED SCHOOL, ILARA  I</t>
  </si>
  <si>
    <t>https://docs.inecelectionresults.net/elections_prod/1292/state/01/lga/19/ward/05/pu/001/001-1677395024.pdf</t>
  </si>
  <si>
    <t>UNITED SCHOOL, ILARA  I, Polling Unit, REMO NORTH, Ogun State, Nigeria</t>
  </si>
  <si>
    <t>27-19-05-002</t>
  </si>
  <si>
    <t>UNITED SCHOOL, ILARA  II</t>
  </si>
  <si>
    <t>https://docs.inecelectionresults.net/elections_prod/1292/state/01/lga/19/ward/05/pu/002/002-1677396381.pdf</t>
  </si>
  <si>
    <t>UNITED SCHOOL, ILARA  II, Polling Unit, REMO NORTH, Ogun State, Nigeria</t>
  </si>
  <si>
    <t>27-19-05-006</t>
  </si>
  <si>
    <t>OPEN SPACE AT J. JUNCTION ILARA  II</t>
  </si>
  <si>
    <t>https://docs.inecelectionresults.net/elections_prod/1292/state/01/lga/19/ward/05/pu/006/006-1677398619.pdf</t>
  </si>
  <si>
    <t>OPEN SPACE AT J. JUNCTION ILARA  II, Polling Unit, REMO NORTH, Ogun State, Nigeria</t>
  </si>
  <si>
    <t>AKAKA</t>
  </si>
  <si>
    <t>27-19-06-001</t>
  </si>
  <si>
    <t>UNITED SCHOOL, AKAKA  I</t>
  </si>
  <si>
    <t>https://docs.inecelectionresults.net/elections_prod/1292/state/01/lga/19/ward/06/pu/001/001-1677366571.pdf</t>
  </si>
  <si>
    <t>UNITED SCHOOL, AKAKA  I, Polling Unit, REMO NORTH, Ogun State, Nigeria</t>
  </si>
  <si>
    <t>27-19-06-004</t>
  </si>
  <si>
    <t>AFONLADE VILLAGE SQUARE II</t>
  </si>
  <si>
    <t>https://docs.inecelectionresults.net/elections_prod/1292/state/01/lga/19/ward/06/pu/004/004-1677365604.pdf</t>
  </si>
  <si>
    <t>AFONLADE VILLAGE SQUARE II, Polling Unit, REMO NORTH, Ogun State, Nigeria</t>
  </si>
  <si>
    <t>27-19-06-005</t>
  </si>
  <si>
    <t>SALU VILLAGE SQUARE</t>
  </si>
  <si>
    <t>https://docs.inecelectionresults.net/elections_prod/1292/state/01/lga/19/ward/06/pu/005/005-1677368771.pdf</t>
  </si>
  <si>
    <t>SALU VILLAGE SQUARE, Polling Unit, REMO NORTH, Ogun State, Nigeria</t>
  </si>
  <si>
    <t>27-19-06-006</t>
  </si>
  <si>
    <t>UNITED SCHOOL, AKE AMURE</t>
  </si>
  <si>
    <t>https://docs.inecelectionresults.net/elections_prod/1292/state/01/lga/19/ward/06/pu/006/006-1677369927.pdf</t>
  </si>
  <si>
    <t>UNITED SCHOOL, AKE AMURE, Polling Unit, REMO NORTH, Ogun State, Nigeria</t>
  </si>
  <si>
    <t>27-19-06-007</t>
  </si>
  <si>
    <t>OPEN SPACE FRONT MATERNITY CENTRE, AKAKA</t>
  </si>
  <si>
    <t>https://docs.inecelectionresults.net/elections_prod/1292/state/01/lga/19/ward/06/pu/007/007-1677367714.pdf</t>
  </si>
  <si>
    <t>OPEN SPACE FRONT MATERNITY CENTRE, AKAKA, Polling Unit, REMO NORTH, Ogun State, Nigeria</t>
  </si>
  <si>
    <t>27-19-06-008</t>
  </si>
  <si>
    <t>OPEN SPACE AT AGORIGO</t>
  </si>
  <si>
    <t>https://docs.inecelectionresults.net/elections_prod/1292/state/01/lga/19/ward/06/pu/008/008-1677364238.pdf</t>
  </si>
  <si>
    <t>OPEN SPACE AT AGORIGO, Polling Unit, REMO NORTH, Ogun State, Nigeria</t>
  </si>
  <si>
    <t>27-19-06-009</t>
  </si>
  <si>
    <t>OPEN SPACE AT ABORO</t>
  </si>
  <si>
    <t>https://docs.inecelectionresults.net/elections_prod/1292/state/01/lga/19/ward/06/pu/009/009-1677374796.pdf</t>
  </si>
  <si>
    <t>OPEN SPACE AT ABORO, Polling Unit, REMO NORTH, Ogun State, Nigeria</t>
  </si>
  <si>
    <t>27-19-06-010</t>
  </si>
  <si>
    <t>OPEN SPACE AT ABEAYIKA</t>
  </si>
  <si>
    <t>https://docs.inecelectionresults.net/elections_prod/1292/state/01/lga/19/ward/06/pu/010/010-1677371348.pdf</t>
  </si>
  <si>
    <t>OPEN SPACE AT ABEAYIKA, Polling Unit, REMO NORTH, Ogun State, Nigeria</t>
  </si>
  <si>
    <t>27-19-06-011</t>
  </si>
  <si>
    <t>ABULE BALOGUN VILLAGE SQUARE</t>
  </si>
  <si>
    <t>https://docs.inecelectionresults.net/elections_prod/1292/state/01/lga/19/ward/06/pu/011/011-1677388836.pdf</t>
  </si>
  <si>
    <t>ABULE BALOGUN VILLAGE SQUARE, Polling Unit, REMO NORTH, Ogun State, Nigeria</t>
  </si>
  <si>
    <t>IPARA</t>
  </si>
  <si>
    <t>27-19-07-001</t>
  </si>
  <si>
    <t>MARKET SQUARE IPARA  I</t>
  </si>
  <si>
    <t>https://docs.inecelectionresults.net/elections_prod/1292/state/01/lga/19/ward/07/pu/001/001-1677379818.pdf</t>
  </si>
  <si>
    <t>MARKET SQUARE IPARA  I, Polling Unit, REMO NORTH, Ogun State, Nigeria</t>
  </si>
  <si>
    <t>27-19-07-002</t>
  </si>
  <si>
    <t>MARKET SQUARE IPARA  II</t>
  </si>
  <si>
    <t>https://docs.inecelectionresults.net/elections_prod/1292/state/01/lga/19/ward/07/pu/002/002-1677376062.pdf</t>
  </si>
  <si>
    <t>MARKET SQUARE IPARA  II, Polling Unit, REMO NORTH, Ogun State, Nigeria</t>
  </si>
  <si>
    <t>27-19-07-003</t>
  </si>
  <si>
    <t>LOCAL GOVT. SCH. IPARA  I</t>
  </si>
  <si>
    <t>https://docs.inecelectionresults.net/elections_prod/1292/state/01/lga/19/ward/07/pu/003/003-1677372212.pdf</t>
  </si>
  <si>
    <t>LOCAL GOVT. SCH. IPARA  I, Polling Unit, REMO NORTH, Ogun State, Nigeria</t>
  </si>
  <si>
    <t>27-19-07-004</t>
  </si>
  <si>
    <t>LOCAL GOVT. SCH. IPARA  II</t>
  </si>
  <si>
    <t>https://docs.inecelectionresults.net/elections_prod/1292/state/01/lga/19/ward/07/pu/004/004-1677374107.pdf</t>
  </si>
  <si>
    <t>LOCAL GOVT. SCH. IPARA  II, Polling Unit, REMO NORTH, Ogun State, Nigeria</t>
  </si>
  <si>
    <t>27-19-07-005</t>
  </si>
  <si>
    <t>UNITED SCH. IPARA  I</t>
  </si>
  <si>
    <t>https://docs.inecelectionresults.net/elections_prod/1292/state/01/lga/19/ward/07/pu/005/005-1677375263.pdf</t>
  </si>
  <si>
    <t>UNITED SCH. IPARA  I, Polling Unit, REMO NORTH, Ogun State, Nigeria</t>
  </si>
  <si>
    <t>27-19-07-006</t>
  </si>
  <si>
    <t>UNITED SCH. IPARA  II</t>
  </si>
  <si>
    <t>https://docs.inecelectionresults.net/elections_prod/1292/state/01/lga/19/ward/07/pu/006/006-1677378099.pdf</t>
  </si>
  <si>
    <t>UNITED SCH. IPARA  II, Polling Unit, REMO NORTH, Ogun State, Nigeria</t>
  </si>
  <si>
    <t>27-19-07-007</t>
  </si>
  <si>
    <t>OPEN SPACE AT ABULE SONOYI</t>
  </si>
  <si>
    <t>https://docs.inecelectionresults.net/elections_prod/1292/state/01/lga/19/ward/07/pu/007/007-1677369762.pdf</t>
  </si>
  <si>
    <t>OPEN SPACE AT ABULE SONOYI, Polling Unit, REMO NORTH, Ogun State, Nigeria</t>
  </si>
  <si>
    <t>27-19-07-008</t>
  </si>
  <si>
    <t>OPEN SPACE AT AYEGBAMI IPARA, I</t>
  </si>
  <si>
    <t>https://docs.inecelectionresults.net/elections_prod/1292/state/01/lga/19/ward/07/pu/008/008-1677373119.pdf</t>
  </si>
  <si>
    <t>OPEN SPACE AT AYEGBAMI IPARA, I, Polling Unit, REMO NORTH, Ogun State, Nigeria</t>
  </si>
  <si>
    <t>27-19-07-009</t>
  </si>
  <si>
    <t>OPEN SPACE AT AYEGBAMI IPARA II</t>
  </si>
  <si>
    <t>https://docs.inecelectionresults.net/elections_prod/1292/state/01/lga/19/ward/07/pu/009/009-1677368497.pdf</t>
  </si>
  <si>
    <t>OPEN SPACE AT AYEGBAMI IPARA II, Polling Unit, REMO NORTH, Ogun State, Nigeria</t>
  </si>
  <si>
    <t>ORILE-OKO</t>
  </si>
  <si>
    <t>27-19-08-001</t>
  </si>
  <si>
    <t>ANGLICAN SCHOOL, ISAN</t>
  </si>
  <si>
    <t>https://docs.inecelectionresults.net/elections_prod/1292/state/01/lga/19/ward/08/pu/001/001-1677368797.pdf</t>
  </si>
  <si>
    <t>ANGLICAN SCHOOL, ISAN, Polling Unit, REMO NORTH, Ogun State, Nigeria</t>
  </si>
  <si>
    <t>27-19-08-002</t>
  </si>
  <si>
    <t>L.G. SCHOOL, OKODELOKUN</t>
  </si>
  <si>
    <t>https://docs.inecelectionresults.net/elections_prod/1292/state/01/lga/19/ward/08/pu/002/002-1677374019.pdf</t>
  </si>
  <si>
    <t>L.G. SCHOOL, OKODELOKUN, Polling Unit, REMO NORTH, Ogun State, Nigeria</t>
  </si>
  <si>
    <t>27-19-08-003</t>
  </si>
  <si>
    <t>L.G. SCHOOL, ATOBA</t>
  </si>
  <si>
    <t>https://docs.inecelectionresults.net/elections_prod/1292/state/01/lga/19/ward/08/pu/003/003-1677370827.pdf</t>
  </si>
  <si>
    <t>L.G. SCHOOL, ATOBA, Polling Unit, REMO NORTH, Ogun State, Nigeria</t>
  </si>
  <si>
    <t>27-19-08-004</t>
  </si>
  <si>
    <t>UNITED HALL AJANA</t>
  </si>
  <si>
    <t>https://docs.inecelectionresults.net/elections_prod/1292/state/01/lga/19/ward/08/pu/004/004-1677369825.pdf</t>
  </si>
  <si>
    <t>UNITED HALL AJANA, Polling Unit, REMO NORTH, Ogun State, Nigeria</t>
  </si>
  <si>
    <t>27-19-08-005</t>
  </si>
  <si>
    <t>AJEGUNLE VILLAGE SQUARE</t>
  </si>
  <si>
    <t>https://docs.inecelectionresults.net/elections_prod/1292/state/01/lga/19/ward/08/pu/005/005-1677395796.pdf</t>
  </si>
  <si>
    <t>AJEGUNLE VILLAGE SQUARE, Polling Unit, REMO NORTH, Ogun State, Nigeria</t>
  </si>
  <si>
    <t>27-19-08-006</t>
  </si>
  <si>
    <t>ARAROMI MARKET SQUARE</t>
  </si>
  <si>
    <t>https://docs.inecelectionresults.net/elections_prod/1292/state/01/lga/19/ward/08/pu/006/006-1677395125.pdf</t>
  </si>
  <si>
    <t>ARAROMI MARKET SQUARE, Polling Unit, REMO NORTH, Ogun State, Nigeria</t>
  </si>
  <si>
    <t>27-19-08-007</t>
  </si>
  <si>
    <t>OPEN SPACE AT OGUNMUYIWA VILLAGE</t>
  </si>
  <si>
    <t>https://docs.inecelectionresults.net/elections_prod/1292/state/01/lga/19/ward/08/pu/007/007-1677396374.pdf</t>
  </si>
  <si>
    <t>OPEN SPACE AT OGUNMUYIWA VILLAGE, Polling Unit, REMO NORTH, Ogun State, Nigeria</t>
  </si>
  <si>
    <t>27-19-08-008</t>
  </si>
  <si>
    <t>KAJOLA VILLAGE SQUARE</t>
  </si>
  <si>
    <t>https://docs.inecelectionresults.net/elections_prod/1292/state/01/lga/19/ward/08/pu/008/008-1677373349.pdf</t>
  </si>
  <si>
    <t>KAJOLA VILLAGE SQUARE, Polling Unit, REMO NORTH, Ogun State, Nigeria</t>
  </si>
  <si>
    <t>27-19-08-009</t>
  </si>
  <si>
    <t>OLIWO VILLAGE SQUARE</t>
  </si>
  <si>
    <t>https://docs.inecelectionresults.net/elections_prod/1292/state/01/lga/19/ward/08/pu/009/009-1677369230.pdf</t>
  </si>
  <si>
    <t>OLIWO VILLAGE SQUARE, Polling Unit, REMO NORTH, Ogun State, Nigeria</t>
  </si>
  <si>
    <t>ODE  I</t>
  </si>
  <si>
    <t>27-19-09-001</t>
  </si>
  <si>
    <t>XT. CHURCH SCHOOL, ODO  I</t>
  </si>
  <si>
    <t>https://docs.inecelectionresults.net/elections_prod/1292/state/01/lga/19/ward/09/pu/001/001-1677390367.pdf</t>
  </si>
  <si>
    <t>XT. CHURCH SCHOOL, ODO  I, Polling Unit, REMO NORTH, Ogun State, Nigeria</t>
  </si>
  <si>
    <t>27-19-09-002</t>
  </si>
  <si>
    <t>XT. CHURCH SCHOOL, ODO  II</t>
  </si>
  <si>
    <t>https://docs.inecelectionresults.net/elections_prod/1292/state/01/lga/19/ward/09/pu/002/002-1677402469.pdf</t>
  </si>
  <si>
    <t>XT. CHURCH SCHOOL, ODO  II, Polling Unit, REMO NORTH, Ogun State, Nigeria</t>
  </si>
  <si>
    <t>27-19-09-003</t>
  </si>
  <si>
    <t>ODE REMO TOWN HALL  I</t>
  </si>
  <si>
    <t>https://docs.inecelectionresults.net/elections_prod/1292/state/01/lga/19/ward/09/pu/003/003-1677382473.pdf</t>
  </si>
  <si>
    <t>ODE REMO TOWN HALL  I, Polling Unit, REMO NORTH, Ogun State, Nigeria</t>
  </si>
  <si>
    <t>27-19-09-004</t>
  </si>
  <si>
    <t>ODE REMO TOWN HALL  II</t>
  </si>
  <si>
    <t>https://docs.inecelectionresults.net/elections_prod/1292/state/01/lga/19/ward/09/pu/004/004-1677380017.pdf</t>
  </si>
  <si>
    <t>ODE REMO TOWN HALL  II, Polling Unit, REMO NORTH, Ogun State, Nigeria</t>
  </si>
  <si>
    <t>27-19-09-005</t>
  </si>
  <si>
    <t>NLOKU MARKET SQUARE  I</t>
  </si>
  <si>
    <t>https://docs.inecelectionresults.net/elections_prod/1292/state/01/lga/19/ward/09/pu/005/005-1677397163.pdf</t>
  </si>
  <si>
    <t>NLOKU MARKET SQUARE  I, Polling Unit, REMO NORTH, Ogun State, Nigeria</t>
  </si>
  <si>
    <t>27-19-09-006</t>
  </si>
  <si>
    <t>NLOKU MARKET SQUARE II</t>
  </si>
  <si>
    <t>https://docs.inecelectionresults.net/elections_prod/1292/state/01/lga/19/ward/09/pu/006/006-1677393989.pdf</t>
  </si>
  <si>
    <t>NLOKU MARKET SQUARE II, Polling Unit, REMO NORTH, Ogun State, Nigeria</t>
  </si>
  <si>
    <t>27-19-09-007</t>
  </si>
  <si>
    <t>OPEN SPACE FRONT MATERNITY CENTRE  I</t>
  </si>
  <si>
    <t>https://docs.inecelectionresults.net/elections_prod/1292/state/01/lga/19/ward/09/pu/007/007-1677396655.pdf</t>
  </si>
  <si>
    <t>OPEN SPACE FRONT MATERNITY CENTRE  I, Polling Unit, REMO NORTH, Ogun State, Nigeria</t>
  </si>
  <si>
    <t>27-19-09-008</t>
  </si>
  <si>
    <t>OPEN SPACE FRONT MATERNITY CENTRE  II</t>
  </si>
  <si>
    <t>https://docs.inecelectionresults.net/elections_prod/1292/state/01/lga/19/ward/09/pu/008/008-1677393257.pdf</t>
  </si>
  <si>
    <t>OPEN SPACE FRONT MATERNITY CENTRE  II, Polling Unit, REMO NORTH, Ogun State, Nigeria</t>
  </si>
  <si>
    <t>27-19-09-009</t>
  </si>
  <si>
    <t>ODE REMO HIGH SCH.  I</t>
  </si>
  <si>
    <t>https://docs.inecelectionresults.net/elections_prod/1292/state/01/lga/19/ward/09/pu/009/009-1677390839.pdf</t>
  </si>
  <si>
    <t>ODE REMO HIGH SCH.  I, Polling Unit, REMO NORTH, Ogun State, Nigeria</t>
  </si>
  <si>
    <t>27-19-09-010</t>
  </si>
  <si>
    <t>ODE REMO HIGH SCH.  II</t>
  </si>
  <si>
    <t>https://docs.inecelectionresults.net/elections_prod/1292/state/01/lga/19/ward/09/pu/010/010-1677391969.pdf</t>
  </si>
  <si>
    <t>ODE REMO HIGH SCH.  II, Polling Unit, REMO NORTH, Ogun State, Nigeria</t>
  </si>
  <si>
    <t>27-19-09-011</t>
  </si>
  <si>
    <t>AJINA SQUARE  I</t>
  </si>
  <si>
    <t>https://docs.inecelectionresults.net/elections_prod/1292/state/01/lga/19/ward/09/pu/011/011-1677366495.pdf</t>
  </si>
  <si>
    <t>AJINA SQUARE  I, Polling Unit, REMO NORTH, Ogun State, Nigeria</t>
  </si>
  <si>
    <t>27-19-09-012</t>
  </si>
  <si>
    <t>AJINA SQUARE  II</t>
  </si>
  <si>
    <t>https://docs.inecelectionresults.net/elections_prod/1292/state/01/lga/19/ward/09/pu/012/012-1677392552.pdf</t>
  </si>
  <si>
    <t>AJINA SQUARE  II, Polling Unit, REMO NORTH, Ogun State, Nigeria</t>
  </si>
  <si>
    <t>27-19-09-013</t>
  </si>
  <si>
    <t>OPEN SPACE AT ITAMARO I</t>
  </si>
  <si>
    <t>https://docs.inecelectionresults.net/elections_prod/1292/state/01/lga/19/ward/09/pu/013/013-1677399336.pdf</t>
  </si>
  <si>
    <t>OPEN SPACE AT ITAMARO I, Polling Unit, REMO NORTH, Ogun State, Nigeria</t>
  </si>
  <si>
    <t>27-19-09-014</t>
  </si>
  <si>
    <t>OPEN SPACE AT ITAMARO II</t>
  </si>
  <si>
    <t>https://docs.inecelectionresults.net/elections_prod/1292/state/01/lga/19/ward/09/pu/014/014-1677400351.pdf</t>
  </si>
  <si>
    <t>OPEN SPACE AT ITAMARO II, Polling Unit, REMO NORTH, Ogun State, Nigeria</t>
  </si>
  <si>
    <t>27-19-09-015</t>
  </si>
  <si>
    <t>AJINA SQUARE</t>
  </si>
  <si>
    <t>https://docs.inecelectionresults.net/elections_prod/1292/state/01/lga/19/ward/09/pu/015/015-1677401584.pdf</t>
  </si>
  <si>
    <t>AJINA SQUARE, Polling Unit, REMO NORTH, Ogun State, Nigeria</t>
  </si>
  <si>
    <t>ODE  II</t>
  </si>
  <si>
    <t>27-19-10-002</t>
  </si>
  <si>
    <t>A.U.D. SCHOOL, ODE  II</t>
  </si>
  <si>
    <t>https://docs.inecelectionresults.net/elections_prod/1292/state/01/lga/19/ward/10/pu/002/002-1677397443.pdf</t>
  </si>
  <si>
    <t>A.U.D. SCHOOL, ODE  II, Polling Unit, REMO NORTH, Ogun State, Nigeria</t>
  </si>
  <si>
    <t>27-19-10-003</t>
  </si>
  <si>
    <t>WESLEY SCHOOL, ODE I</t>
  </si>
  <si>
    <t>https://docs.inecelectionresults.net/elections_prod/1292/state/1/lga/3684/ward/24170/pu/93841/93841-1677519057.pdf</t>
  </si>
  <si>
    <t>WESLEY SCHOOL, ODE I, Polling Unit, REMO NORTH, Ogun State, Nigeria</t>
  </si>
  <si>
    <t>27-19-10-005</t>
  </si>
  <si>
    <t>OPEN SPACE AT ITUN-ODE/IGODO NEAR ASIRU'S MOSQUE</t>
  </si>
  <si>
    <t>https://docs.inecelectionresults.net/elections_prod/1292/state/1/lga/3684/ward/24170/pu/93843/93843-1677570255.pdf</t>
  </si>
  <si>
    <t>OPEN SPACE AT ITUN-ODE/IGODO NEAR ASIRU'S MOSQUE, Polling Unit, REMO NORTH, Ogun State, Nigeria</t>
  </si>
  <si>
    <t>27-19-10-007</t>
  </si>
  <si>
    <t>AGBERO MARKET SQUARE II</t>
  </si>
  <si>
    <t>https://docs.inecelectionresults.net/elections_prod/1292/state/01/lga/19/ward/10/pu/007/007-1677391274.pdf</t>
  </si>
  <si>
    <t>AGBERO MARKET SQUARE II, Polling Unit, REMO NORTH, Ogun State, Nigeria</t>
  </si>
  <si>
    <t>27-19-10-008</t>
  </si>
  <si>
    <t>OKE-OLA (NEAR ADERANGA'S HOUSE) I</t>
  </si>
  <si>
    <t>https://docs.inecelectionresults.net/elections_prod/1292/state/01/lga/19/ward/10/pu/008/008-1677396903.pdf</t>
  </si>
  <si>
    <t>OKE-OLA (NEAR ADERANGA'S HOUSE) I, Polling Unit, REMO NORTH, Ogun State, Nigeria</t>
  </si>
  <si>
    <t>27-19-10-011</t>
  </si>
  <si>
    <t>OPEN SPACE AT MARIDAN STREET ADEBONYI II</t>
  </si>
  <si>
    <t>https://docs.inecelectionresults.net/elections_prod/1292/state/01/lga/19/ward/10/pu/011/011-1677381519.pdf</t>
  </si>
  <si>
    <t>OPEN SPACE AT MARIDAN STREET ADEBONYI II, Polling Unit, REMO NORTH, Ogun State, Nigeria</t>
  </si>
  <si>
    <t>27-19-10-014</t>
  </si>
  <si>
    <t>OPEN SPACE AT ITA OLISA</t>
  </si>
  <si>
    <t>https://docs.inecelectionresults.net/elections_prod/1292/state/01/lga/19/ward/10/pu/014/014-1677385673.pdf</t>
  </si>
  <si>
    <t>OPEN SPACE AT ITA OLISA, Polling Unit, REMO NORTH, Ogun State, Nigeria</t>
  </si>
  <si>
    <t>27-19-10-015</t>
  </si>
  <si>
    <t>AGBERO MARKET SQUARE III</t>
  </si>
  <si>
    <t>https://docs.inecelectionresults.net/elections_prod/1292/state/1/lga/3684/ward/24170/pu/93853/93853-1677570703.pdf</t>
  </si>
  <si>
    <t>AGBERO MARKET SQUARE III, Polling Unit, REMO NORTH, Ogun State, Nigeria</t>
  </si>
  <si>
    <t>SAGAMU</t>
  </si>
  <si>
    <t>OKO/EPE/ITULA  I</t>
  </si>
  <si>
    <t>27-20-01-002</t>
  </si>
  <si>
    <t>WESLEY SCHOOL, OKO  I</t>
  </si>
  <si>
    <t>https://docs.inecelectionresults.net/elections_prod/1292/state/1/lga/3685/ward/24171/pu/93856/93856-1677495256.pdf</t>
  </si>
  <si>
    <t>WESLEY SCHOOL, OKO  I, Polling Unit, SAGAMU, Ogun State, Nigeria</t>
  </si>
  <si>
    <t>27-20-01-003</t>
  </si>
  <si>
    <t>WESLEY SCHOOL, OKO  II</t>
  </si>
  <si>
    <t>https://docs.inecelectionresults.net/elections_prod/1292/state/1/lga/3685/ward/24171/pu/93857/93857-1677496905.pdf</t>
  </si>
  <si>
    <t>WESLEY SCHOOL, OKO  II, Polling Unit, SAGAMU, Ogun State, Nigeria</t>
  </si>
  <si>
    <t>27-20-01-005</t>
  </si>
  <si>
    <t>OPEN SPACE NEAR NURSERY SCHOOL EJIIRO I</t>
  </si>
  <si>
    <t>https://docs.inecelectionresults.net/elections_prod/1292/state/1/lga/3685/ward/24171/pu/93859/93859-1677493397.pdf</t>
  </si>
  <si>
    <t>OPEN SPACE NEAR NURSERY SCHOOL EJIIRO I, Polling Unit, SAGAMU, Ogun State, Nigeria</t>
  </si>
  <si>
    <t>27-20-01-006</t>
  </si>
  <si>
    <t>SOYINDO WESLEY SCHOOL  I, SOYINDO</t>
  </si>
  <si>
    <t>https://docs.inecelectionresults.net/elections_prod/1292/state/1/lga/3685/ward/24171/pu/93860/93860-1677492505.pdf</t>
  </si>
  <si>
    <t>SOYINDO WESLEY SCHOOL  I, SOYINDO, Polling Unit, SAGAMU, Ogun State, Nigeria</t>
  </si>
  <si>
    <t>27-20-01-007</t>
  </si>
  <si>
    <t>A.U.D. SCHOOL OKO  I</t>
  </si>
  <si>
    <t>https://docs.inecelectionresults.net/elections_prod/1292/state/1/lga/3685/ward/24171/pu/93861/93861-1677494049.pdf</t>
  </si>
  <si>
    <t>A.U.D. SCHOOL OKO  I, Polling Unit, SAGAMU, Ogun State, Nigeria</t>
  </si>
  <si>
    <t>OKO/EPE/ITULA  II</t>
  </si>
  <si>
    <t>27-20-02-001</t>
  </si>
  <si>
    <t>OPEN SPACE NEAR ALADO PALACE, OFF HOSPITAL ROAD</t>
  </si>
  <si>
    <t>https://docs.inecelectionresults.net/elections_prod/1292/state/01/lga/20/ward/02/pu/001/001-1677362081.pdf</t>
  </si>
  <si>
    <t>OPEN SPACE NEAR ALADO PALACE, OFF HOSPITAL ROAD, Polling Unit, SAGAMU, Ogun State, Nigeria</t>
  </si>
  <si>
    <t>27-20-02-002</t>
  </si>
  <si>
    <t>OPPOSITE OWONIFARI'S HOUSE, OFF AKARIGBO ROAD</t>
  </si>
  <si>
    <t>https://docs.inecelectionresults.net/elections_prod/1292/state/01/lga/20/ward/02/pu/002/002-1677362286.pdf</t>
  </si>
  <si>
    <t>OPPOSITE OWONIFARI'S HOUSE, OFF AKARIGBO ROAD, Polling Unit, SAGAMU, Ogun State, Nigeria</t>
  </si>
  <si>
    <t>27-20-02-004</t>
  </si>
  <si>
    <t>OPEN SPACE BESIDE K &amp; S CHURCH,  ORIOKUTA</t>
  </si>
  <si>
    <t>https://docs.inecelectionresults.net/elections_prod/1292/state/01/lga/20/ward/02/pu/004/004-1677362803.pdf</t>
  </si>
  <si>
    <t>OPEN SPACE BESIDE K &amp; S CHURCH,  ORIOKUTA, Polling Unit, SAGAMU, Ogun State, Nigeria</t>
  </si>
  <si>
    <t>27-20-02-005</t>
  </si>
  <si>
    <t>OPEN SPACE AT DEGORUNSEN JUNCTION I</t>
  </si>
  <si>
    <t>https://docs.inecelectionresults.net/elections_prod/1292/state/01/lga/20/ward/02/pu/005/005-1677362050.pdf</t>
  </si>
  <si>
    <t>OPEN SPACE AT DEGORUNSEN JUNCTION I, Polling Unit, SAGAMU, Ogun State, Nigeria</t>
  </si>
  <si>
    <t>27-20-02-006</t>
  </si>
  <si>
    <t>OPEN SPACE AT DEGORUNSEN UPPER</t>
  </si>
  <si>
    <t>https://docs.inecelectionresults.net/elections_prod/1292/state/01/lga/20/ward/02/pu/006/006-1677361195.pdf</t>
  </si>
  <si>
    <t>OPEN SPACE AT DEGORUNSEN UPPER, Polling Unit, SAGAMU, Ogun State, Nigeria</t>
  </si>
  <si>
    <t>27-20-02-007</t>
  </si>
  <si>
    <t>OPEN SPACE AT IGA LOSI/AKARIGBO ROAD</t>
  </si>
  <si>
    <t>https://docs.inecelectionresults.net/elections_prod/1292/state/01/lga/20/ward/02/pu/007/007-1677365299.pdf</t>
  </si>
  <si>
    <t>OPEN SPACE AT IGA LOSI/AKARIGBO ROAD, Polling Unit, SAGAMU, Ogun State, Nigeria</t>
  </si>
  <si>
    <t>27-20-02-008</t>
  </si>
  <si>
    <t>OPEN SPACE AT AJINA/ISOKUN ST. JUNCTION</t>
  </si>
  <si>
    <t>https://docs.inecelectionresults.net/elections_prod/1292/state/01/lga/20/ward/02/pu/008/008-1677363951.pdf</t>
  </si>
  <si>
    <t>OPEN SPACE AT AJINA/ISOKUN ST. JUNCTION, Polling Unit, SAGAMU, Ogun State, Nigeria</t>
  </si>
  <si>
    <t>27-20-02-009</t>
  </si>
  <si>
    <t>OPEN SPACE NEAR K &amp; S CHURCH</t>
  </si>
  <si>
    <t>https://docs.inecelectionresults.net/elections_prod/1292/state/01/lga/20/ward/02/pu/009/009-1677359782.pdf</t>
  </si>
  <si>
    <t>OPEN SPACE NEAR K &amp; S CHURCH, Polling Unit, SAGAMU, Ogun State, Nigeria</t>
  </si>
  <si>
    <t>27-20-02-010</t>
  </si>
  <si>
    <t>OPEN SPACE OPP. LOWA IBU</t>
  </si>
  <si>
    <t>https://docs.inecelectionresults.net/elections_prod/1292/state/01/lga/20/ward/02/pu/010/010-1677361613.pdf</t>
  </si>
  <si>
    <t>OPEN SPACE OPP. LOWA IBU, Polling Unit, SAGAMU, Ogun State, Nigeria</t>
  </si>
  <si>
    <t>27-20-02-011</t>
  </si>
  <si>
    <t>OPEN SPACE OPPOSITE IPOJI</t>
  </si>
  <si>
    <t>https://docs.inecelectionresults.net/elections_prod/1292/state/01/lga/20/ward/02/pu/011/011-1677360944.pdf</t>
  </si>
  <si>
    <t>OPEN SPACE OPPOSITE IPOJI, Polling Unit, SAGAMU, Ogun State, Nigeria</t>
  </si>
  <si>
    <t>27-20-02-012</t>
  </si>
  <si>
    <t>OPEN SPACE AT MABADEJE JUNCTION  I</t>
  </si>
  <si>
    <t>https://docs.inecelectionresults.net/elections_prod/1292/state/01/lga/20/ward/02/pu/012/012-1677388578.pdf</t>
  </si>
  <si>
    <t>OPEN SPACE AT MABADEJE JUNCTION  I, Polling Unit, SAGAMU, Ogun State, Nigeria</t>
  </si>
  <si>
    <t>AYEGBAMI/IJOKUN</t>
  </si>
  <si>
    <t>27-20-03-001</t>
  </si>
  <si>
    <t>OPEN SPACE BESIDE ODEKUN, AIYEPE ROAD</t>
  </si>
  <si>
    <t>https://docs.inecelectionresults.net/elections_prod/1292/state/01/lga/20/ward/03/pu/001/001-1677411406.pdf</t>
  </si>
  <si>
    <t>OPEN SPACE BESIDE ODEKUN, AIYEPE ROAD, Polling Unit, SAGAMU, Ogun State, Nigeria</t>
  </si>
  <si>
    <t>27-20-03-002</t>
  </si>
  <si>
    <t>OPEN SPACE FRONTAGE OF JEBE, AYEGBAMI</t>
  </si>
  <si>
    <t>https://docs.inecelectionresults.net/elections_prod/1292/state/01/lga/20/ward/03/pu/002/002-1677414525.pdf</t>
  </si>
  <si>
    <t>OPEN SPACE FRONTAGE OF JEBE, AYEGBAMI, Polling Unit, SAGAMU, Ogun State, Nigeria</t>
  </si>
  <si>
    <t>27-20-03-003</t>
  </si>
  <si>
    <t>OPEN SPACE NEAR OLOKO, AYEGBAMI</t>
  </si>
  <si>
    <t>https://docs.inecelectionresults.net/elections_prod/1292/state/01/lga/20/ward/03/pu/003/003-1677406014.pdf</t>
  </si>
  <si>
    <t>OPEN SPACE NEAR OLOKO, AYEGBAMI, Polling Unit, SAGAMU, Ogun State, Nigeria</t>
  </si>
  <si>
    <t>27-20-03-004</t>
  </si>
  <si>
    <t>OPEN SPACE AT KAMIYO STREET, MIDWAY, AYEGBAMI</t>
  </si>
  <si>
    <t>https://docs.inecelectionresults.net/elections_prod/1292/state/01/lga/20/ward/03/pu/004/004-1677413579.pdf</t>
  </si>
  <si>
    <t>OPEN SPACE AT KAMIYO STREET, MIDWAY, AYEGBAMI, Polling Unit, SAGAMU, Ogun State, Nigeria</t>
  </si>
  <si>
    <t>27-20-03-005</t>
  </si>
  <si>
    <t>OPEN SPACE AT SODE, AYEGBAMI</t>
  </si>
  <si>
    <t>https://docs.inecelectionresults.net/elections_prod/1292/state/01/lga/20/ward/03/pu/005/005-1677414721.pdf</t>
  </si>
  <si>
    <t>OPEN SPACE AT SODE, AYEGBAMI, Polling Unit, SAGAMU, Ogun State, Nigeria</t>
  </si>
  <si>
    <t>27-20-03-006</t>
  </si>
  <si>
    <t>OPEN SPACE NEAR AWOSANYA, AYEGBAMI</t>
  </si>
  <si>
    <t>https://docs.inecelectionresults.net/elections_prod/1292/state/01/lga/20/ward/03/pu/006/006-1677411830.pdf</t>
  </si>
  <si>
    <t>OPEN SPACE NEAR AWOSANYA, AYEGBAMI, Polling Unit, SAGAMU, Ogun State, Nigeria</t>
  </si>
  <si>
    <t>27-20-03-007</t>
  </si>
  <si>
    <t>ST. PAUL'S SCHOOL IJOKUN</t>
  </si>
  <si>
    <t>https://docs.inecelectionresults.net/elections_prod/1292/state/01/lga/20/ward/03/pu/007/007-1677416046.pdf</t>
  </si>
  <si>
    <t>ST. PAUL'S SCHOOL IJOKUN, Polling Unit, SAGAMU, Ogun State, Nigeria</t>
  </si>
  <si>
    <t>SABO 1</t>
  </si>
  <si>
    <t>27-20-04-001</t>
  </si>
  <si>
    <t>OPEN SPACE AT JOHNSON OGUNSOLA CARWASH,SABO</t>
  </si>
  <si>
    <t>https://docs.inecelectionresults.net/elections_prod/1292/state/1/lga/3685/ward/24174/pu/93882/93882-1677499369.pdf</t>
  </si>
  <si>
    <t>OPEN SPACE AT JOHNSON OGUNSOLA CARWASH,SABO, Polling Unit, SAGAMU, Ogun State, Nigeria</t>
  </si>
  <si>
    <t>27-20-04-002</t>
  </si>
  <si>
    <t>OPEN SPACE AT DAN-TAJIRA I, SABO</t>
  </si>
  <si>
    <t>https://docs.inecelectionresults.net/elections_prod/1292/state/1/lga/3685/ward/24174/pu/93883/93883-1677502382.pdf</t>
  </si>
  <si>
    <t>OPEN SPACE AT DAN-TAJIRA I, SABO, Polling Unit, SAGAMU, Ogun State, Nigeria</t>
  </si>
  <si>
    <t>27-20-04-004</t>
  </si>
  <si>
    <t>OPEN SPACE OPPOSITE OLORI ILU, SABO</t>
  </si>
  <si>
    <t>https://docs.inecelectionresults.net/elections_prod/1292/state/1/lga/3685/ward/24174/pu/93885/93885-1677516942.pdf</t>
  </si>
  <si>
    <t>OPEN SPACE OPPOSITE OLORI ILU, SABO, Polling Unit, SAGAMU, Ogun State, Nigeria</t>
  </si>
  <si>
    <t>27-20-04-005</t>
  </si>
  <si>
    <t>OPEN SPACE BESIDE OLUWAKEMI, SABO</t>
  </si>
  <si>
    <t>https://docs.inecelectionresults.net/elections_prod/1292/state/1/lga/3685/ward/24174/pu/93886/93886-1677527026.pdf</t>
  </si>
  <si>
    <t>OPEN SPACE BESIDE OLUWAKEMI, SABO, Polling Unit, SAGAMU, Ogun State, Nigeria</t>
  </si>
  <si>
    <t>27-20-04-006</t>
  </si>
  <si>
    <t>OPEN SPACE AT GBASEMO STREET MIDWAY, SABO</t>
  </si>
  <si>
    <t>https://docs.inecelectionresults.net/elections_prod/1292/state/01/lga/20/ward/04/pu/006/006-1677364734.pdf</t>
  </si>
  <si>
    <t>OPEN SPACE AT GBASEMO STREET MIDWAY, SABO, Polling Unit, SAGAMU, Ogun State, Nigeria</t>
  </si>
  <si>
    <t>27-20-04-007</t>
  </si>
  <si>
    <t>OPEN SPACE AT BURAIMO STREET ,MIDWAY, SABO</t>
  </si>
  <si>
    <t>https://docs.inecelectionresults.net/elections_prod/1292/state/01/lga/20/ward/04/pu/007/007-1677400510.pdf</t>
  </si>
  <si>
    <t>OPEN SPACE AT BURAIMO STREET ,MIDWAY, SABO, Polling Unit, SAGAMU, Ogun State, Nigeria</t>
  </si>
  <si>
    <t>27-20-04-010</t>
  </si>
  <si>
    <t>OPEN SPACE AT MOSINMI, GRA ROAD, SABO</t>
  </si>
  <si>
    <t>https://docs.inecelectionresults.net/elections_prod/1292/state/1/lga/3685/ward/24174/pu/93891/93891-1677532731.pdf</t>
  </si>
  <si>
    <t>OPEN SPACE AT MOSINMI, GRA ROAD, SABO, Polling Unit, SAGAMU, Ogun State, Nigeria</t>
  </si>
  <si>
    <t>27-20-04-011</t>
  </si>
  <si>
    <t>OPEN SPACE AT OKULAJA STREET, MIDWAY, SABO</t>
  </si>
  <si>
    <t>https://docs.inecelectionresults.net/elections_prod/1292/state/01/lga/20/ward/04/pu/011/011-1677400808.pdf</t>
  </si>
  <si>
    <t>OPEN SPACE AT OKULAJA STREET, MIDWAY, SABO, Polling Unit, SAGAMU, Ogun State, Nigeria</t>
  </si>
  <si>
    <t>27-20-04-012</t>
  </si>
  <si>
    <t>OPEN SPACE NEAR MRS OKUBOTE HOUSE, GRA ROAD, SABO</t>
  </si>
  <si>
    <t>https://docs.inecelectionresults.net/elections_prod/1292/state/1/lga/3685/ward/24174/pu/93893/93893-1677525920.pdf</t>
  </si>
  <si>
    <t>OPEN SPACE NEAR MRS OKUBOTE HOUSE, GRA ROAD, SABO, Polling Unit, SAGAMU, Ogun State, Nigeria</t>
  </si>
  <si>
    <t>27-20-04-013</t>
  </si>
  <si>
    <t>OPEN SPACE NEAR JUBRIL BALOGUN STREET, SABO</t>
  </si>
  <si>
    <t>https://docs.inecelectionresults.net/elections_prod/1292/state/1/lga/3685/ward/24174/pu/93894/93894-1677525040.pdf</t>
  </si>
  <si>
    <t>OPEN SPACE NEAR JUBRIL BALOGUN STREET, SABO, Polling Unit, SAGAMU, Ogun State, Nigeria</t>
  </si>
  <si>
    <t>27-20-04-014</t>
  </si>
  <si>
    <t>OPEN SPACE AT KAARA TRAILER PARK I, SABO</t>
  </si>
  <si>
    <t>https://docs.inecelectionresults.net/elections_prod/1292/state/1/lga/3685/ward/24174/pu/93895/93895-1677528179.pdf</t>
  </si>
  <si>
    <t>OPEN SPACE AT KAARA TRAILER PARK I, SABO, Polling Unit, SAGAMU, Ogun State, Nigeria</t>
  </si>
  <si>
    <t>27-20-04-015</t>
  </si>
  <si>
    <t>OPEN SPACE AT FAKOYA STREET, MIDWAY, SABO</t>
  </si>
  <si>
    <t>https://docs.inecelectionresults.net/elections_prod/1292/state/1/lga/3685/ward/24174/pu/93896/93896-1677534879.pdf</t>
  </si>
  <si>
    <t>OPEN SPACE AT FAKOYA STREET, MIDWAY, SABO, Polling Unit, SAGAMU, Ogun State, Nigeria</t>
  </si>
  <si>
    <t>27-20-04-016</t>
  </si>
  <si>
    <t>OPPOSITE STAR-LIGHT, SABO</t>
  </si>
  <si>
    <t>https://docs.inecelectionresults.net/elections_prod/1292/state/1/lga/3685/ward/24174/pu/93897/93897-1677530196.pdf</t>
  </si>
  <si>
    <t>OPPOSITE STAR-LIGHT, SABO, Polling Unit, SAGAMU, Ogun State, Nigeria</t>
  </si>
  <si>
    <t>SABO II</t>
  </si>
  <si>
    <t>27-20-05-001</t>
  </si>
  <si>
    <t>OPEN SPACE OPPOSITE KINGS CROWN HOTEL , SABO</t>
  </si>
  <si>
    <t>https://docs.inecelectionresults.net/elections_prod/1292/state/01/lga/20/ward/05/pu/001/001-1677397394.pdf</t>
  </si>
  <si>
    <t>OPEN SPACE OPPOSITE KINGS CROWN HOTEL , SABO, Polling Unit, SAGAMU, Ogun State, Nigeria</t>
  </si>
  <si>
    <t>27-20-05-002</t>
  </si>
  <si>
    <t>OPEN SPACE NEAR SERIKI, AGURA-SABO</t>
  </si>
  <si>
    <t>https://docs.inecelectionresults.net/elections_prod/1292/state/01/lga/20/ward/05/pu/002/002-1677403179.pdf</t>
  </si>
  <si>
    <t>OPEN SPACE NEAR SERIKI, AGURA-SABO, Polling Unit, SAGAMU, Ogun State, Nigeria</t>
  </si>
  <si>
    <t>27-20-05-003</t>
  </si>
  <si>
    <t>L.G SCHOOL I SABO I</t>
  </si>
  <si>
    <t>https://docs.inecelectionresults.net/elections_prod/1292/state/01/lga/20/ward/05/pu/003/003-1677397935.pdf</t>
  </si>
  <si>
    <t>L.G SCHOOL I SABO I, Polling Unit, SAGAMU, Ogun State, Nigeria</t>
  </si>
  <si>
    <t>27-20-05-004</t>
  </si>
  <si>
    <t>OPEN SPACE NEAR AGURA ROAD UPPER</t>
  </si>
  <si>
    <t>https://docs.inecelectionresults.net/elections_prod/1292/state/01/lga/20/ward/05/pu/004/004-1677398977.pdf</t>
  </si>
  <si>
    <t>OPEN SPACE NEAR AGURA ROAD UPPER, Polling Unit, SAGAMU, Ogun State, Nigeria</t>
  </si>
  <si>
    <t>27-20-05-006</t>
  </si>
  <si>
    <t>OPEN SPACE NEAR AGURA ROAD END</t>
  </si>
  <si>
    <t>https://docs.inecelectionresults.net/elections_prod/1292/state/01/lga/20/ward/05/pu/006/006-1677404889.pdf</t>
  </si>
  <si>
    <t>OPEN SPACE NEAR AGURA ROAD END, Polling Unit, SAGAMU, Ogun State, Nigeria</t>
  </si>
  <si>
    <t>27-20-05-007</t>
  </si>
  <si>
    <t>OPP. NURSERY SCHOOL ODUJOKO I, SABO</t>
  </si>
  <si>
    <t>https://docs.inecelectionresults.net/elections_prod/1292/state/01/lga/20/ward/05/pu/007/007-1677397428.pdf</t>
  </si>
  <si>
    <t>OPP. NURSERY SCHOOL ODUJOKO I, SABO, Polling Unit, SAGAMU, Ogun State, Nigeria</t>
  </si>
  <si>
    <t>27-20-05-008</t>
  </si>
  <si>
    <t>OPEN SPACE AT SODE LANE UPPER, SABO</t>
  </si>
  <si>
    <t>https://docs.inecelectionresults.net/elections_prod/1292/state/01/lga/20/ward/05/pu/008/008-1677405334.pdf</t>
  </si>
  <si>
    <t>OPEN SPACE AT SODE LANE UPPER, SABO, Polling Unit, SAGAMU, Ogun State, Nigeria</t>
  </si>
  <si>
    <t>27-20-05-011</t>
  </si>
  <si>
    <t>OPEN SPACE AT ODI OLOWO / AKARIGBO STREET</t>
  </si>
  <si>
    <t>https://docs.inecelectionresults.net/elections_prod/1292/state/01/lga/20/ward/05/pu/011/011-1677404655.pdf</t>
  </si>
  <si>
    <t>OPEN SPACE AT ODI OLOWO / AKARIGBO STREET, Polling Unit, SAGAMU, Ogun State, Nigeria</t>
  </si>
  <si>
    <t>27-20-05-012</t>
  </si>
  <si>
    <t>OPEN SPACE AT ONIGBALE STREET, SABO</t>
  </si>
  <si>
    <t>https://docs.inecelectionresults.net/elections_prod/1292/state/01/lga/20/ward/05/pu/012/012-1677404843.pdf</t>
  </si>
  <si>
    <t>OPEN SPACE AT ONIGBALE STREET, SABO, Polling Unit, SAGAMU, Ogun State, Nigeria</t>
  </si>
  <si>
    <t>27-20-05-013</t>
  </si>
  <si>
    <t>REMO DIVISIONAL HIGH SCHOOL I, SABO</t>
  </si>
  <si>
    <t>https://docs.inecelectionresults.net/elections_prod/1292/state/01/lga/20/ward/05/pu/013/013-1677398577.pdf</t>
  </si>
  <si>
    <t>REMO DIVISIONAL HIGH SCHOOL I, SABO, Polling Unit, SAGAMU, Ogun State, Nigeria</t>
  </si>
  <si>
    <t>27-20-05-014</t>
  </si>
  <si>
    <t>BUCKNORS HOUSE BY NEPA I, SABO</t>
  </si>
  <si>
    <t>https://docs.inecelectionresults.net/elections_prod/1292/state/01/lga/20/ward/05/pu/014/014-1677398540.pdf</t>
  </si>
  <si>
    <t>BUCKNORS HOUSE BY NEPA I, SABO, Polling Unit, SAGAMU, Ogun State, Nigeria</t>
  </si>
  <si>
    <t>27-20-05-015</t>
  </si>
  <si>
    <t>OPEN SPACE AT TAIWO GORIOLA , SABO</t>
  </si>
  <si>
    <t>https://docs.inecelectionresults.net/elections_prod/1292/state/01/lga/20/ward/05/pu/015/015-1677403753.pdf</t>
  </si>
  <si>
    <t>OPEN SPACE AT TAIWO GORIOLA , SABO, Polling Unit, SAGAMU, Ogun State, Nigeria</t>
  </si>
  <si>
    <t>27-20-05-016</t>
  </si>
  <si>
    <t>OPEN SPACE NEAR AGURA ROAD MIDDLE,(IGBELEFUN)</t>
  </si>
  <si>
    <t>https://docs.inecelectionresults.net/elections_prod/1292/state/01/lga/20/ward/05/pu/016/016-1677406014.pdf</t>
  </si>
  <si>
    <t>OPEN SPACE NEAR AGURA ROAD MIDDLE,(IGBELEFUN), Polling Unit, SAGAMU, Ogun State, Nigeria</t>
  </si>
  <si>
    <t>ISOKUN / OYEBAJO</t>
  </si>
  <si>
    <t>27-20-06-001</t>
  </si>
  <si>
    <t>OPEN SPACE NEAR  AGOLO,CENTRAL MOSQUE, ISOKUN</t>
  </si>
  <si>
    <t>https://docs.inecelectionresults.net/elections_prod/1292/state/01/lga/20/ward/06/pu/001/001-1677392218.pdf</t>
  </si>
  <si>
    <t>OPEN SPACE NEAR  AGOLO,CENTRAL MOSQUE, ISOKUN, Polling Unit, SAGAMU, Ogun State, Nigeria</t>
  </si>
  <si>
    <t>27-20-06-003</t>
  </si>
  <si>
    <t>ST. PAUL'S SCHOOL ALAGBO</t>
  </si>
  <si>
    <t>https://docs.inecelectionresults.net/elections_prod/1292/state/01/lga/20/ward/06/pu/002/002-1677390591.pdf</t>
  </si>
  <si>
    <t>ST. PAUL'S SCHOOL ALAGBO, Polling Unit, SAGAMU, Ogun State, Nigeria</t>
  </si>
  <si>
    <t>27-20-06-007</t>
  </si>
  <si>
    <t>OPEN SPACE AT OGUNLANA ARAROMI JUNCTION I</t>
  </si>
  <si>
    <t>https://docs.inecelectionresults.net/elections_prod/1292/state/01/lga/20/ward/06/pu/007/007-1677393976.pdf</t>
  </si>
  <si>
    <t>OPEN SPACE AT OGUNLANA ARAROMI JUNCTION I, Polling Unit, SAGAMU, Ogun State, Nigeria</t>
  </si>
  <si>
    <t>27-20-06-008</t>
  </si>
  <si>
    <t>AJEGUNLE / AKARINGBO STREET</t>
  </si>
  <si>
    <t>https://docs.inecelectionresults.net/elections_prod/1292/state/01/lga/20/ward/06/pu/008/008-1677393857.pdf</t>
  </si>
  <si>
    <t>AJEGUNLE / AKARINGBO STREET, Polling Unit, SAGAMU, Ogun State, Nigeria</t>
  </si>
  <si>
    <t>IJAGBA</t>
  </si>
  <si>
    <t>27-20-07-001</t>
  </si>
  <si>
    <t>L.G. SCHOOL , IJAGBA I</t>
  </si>
  <si>
    <t>https://inec-cvr-cache.s3.eu-west-1.amazonaws.com/cached/results/92821/result_80843_1677518727_thumb.jpg</t>
  </si>
  <si>
    <t>L.G. SCHOOL , IJAGBA I, Polling Unit, SAGAMU, Ogun State, Nigeria</t>
  </si>
  <si>
    <t>27-20-07-003</t>
  </si>
  <si>
    <t>OPEN SPACE OPPOSITE OF ILE- IFA</t>
  </si>
  <si>
    <t>https://inec-cvr-cache.s3.eu-west-1.amazonaws.com/cached/results/92823/result_80845_1677518866_thumb.jpg</t>
  </si>
  <si>
    <t>OPEN SPACE OPPOSITE OF ILE- IFA, Polling Unit, SAGAMU, Ogun State, Nigeria</t>
  </si>
  <si>
    <t>27-20-07-004</t>
  </si>
  <si>
    <t>OPEN SPACE NEAR AFINJU BABALAWO STREET, IJAGBA</t>
  </si>
  <si>
    <t>https://inec-cvr-cache.s3.eu-west-1.amazonaws.com/cached/results/92824/result_80846_1677519063_thumb.jpg</t>
  </si>
  <si>
    <t>OPEN SPACE NEAR AFINJU BABALAWO STREET, IJAGBA, Polling Unit, SAGAMU, Ogun State, Nigeria</t>
  </si>
  <si>
    <t>27-20-07-005</t>
  </si>
  <si>
    <t>OPEN SPACE NEAR LEGUNSEN PALACE, IJAGBA</t>
  </si>
  <si>
    <t>https://inec-cvr-cache.s3.eu-west-1.amazonaws.com/cached/results/92825/result_80847_1677519154_thumb.jpg</t>
  </si>
  <si>
    <t>OPEN SPACE NEAR LEGUNSEN PALACE, IJAGBA, Polling Unit, SAGAMU, Ogun State, Nigeria</t>
  </si>
  <si>
    <t>27-20-07-007</t>
  </si>
  <si>
    <t>OPEN SPACE AT ITA IJAGBA JUNCTION</t>
  </si>
  <si>
    <t>https://inec-cvr-cache.s3.eu-west-1.amazonaws.com/cached/results/92827/result_80849_1677519332_thumb.jpg</t>
  </si>
  <si>
    <t>OPEN SPACE AT ITA IJAGBA JUNCTION, Polling Unit, SAGAMU, Ogun State, Nigeria</t>
  </si>
  <si>
    <t>27-20-07-008</t>
  </si>
  <si>
    <t>ONIRERE OPPOSITE</t>
  </si>
  <si>
    <t>https://inec-cvr-cache.s3.eu-west-1.amazonaws.com/cached/results/92828/result_80850_1677519481_thumb.jpg</t>
  </si>
  <si>
    <t>ONIRERE OPPOSITE, Polling Unit, SAGAMU, Ogun State, Nigeria</t>
  </si>
  <si>
    <t>LATAWA</t>
  </si>
  <si>
    <t>27-20-08-001</t>
  </si>
  <si>
    <t>OPEN SPACE AT LATAWA PALACE I</t>
  </si>
  <si>
    <t>https://docs.inecelectionresults.net/elections_prod/1292/state/01/lga/20/ward/08/pu/001/001-1677405398.pdf</t>
  </si>
  <si>
    <t>OPEN SPACE AT LATAWA PALACE I, Polling Unit, SAGAMU, Ogun State, Nigeria</t>
  </si>
  <si>
    <t>27-20-08-002</t>
  </si>
  <si>
    <t>OPEN SPACE NEAR OGUNMEKUN STREET, LATAWA</t>
  </si>
  <si>
    <t>https://docs.inecelectionresults.net/elections_prod/1292/state/01/lga/20/ward/08/pu/002/002-1677406212.pdf</t>
  </si>
  <si>
    <t>OPEN SPACE NEAR OGUNMEKUN STREET, LATAWA, Polling Unit, SAGAMU, Ogun State, Nigeria</t>
  </si>
  <si>
    <t>27-20-08-003</t>
  </si>
  <si>
    <t>OPEN SPACE AT LATAWA SQUARE I</t>
  </si>
  <si>
    <t>https://docs.inecelectionresults.net/elections_prod/1292/state/01/lga/20/ward/08/pu/003/003-1677404211.pdf</t>
  </si>
  <si>
    <t>OPEN SPACE AT LATAWA SQUARE I, Polling Unit, SAGAMU, Ogun State, Nigeria</t>
  </si>
  <si>
    <t>27-20-08-004</t>
  </si>
  <si>
    <t>OPEN SPACE NEAR ARAROMI BAKERY , LATAWA</t>
  </si>
  <si>
    <t>https://docs.inecelectionresults.net/elections_prod/1292/state/01/lga/20/ward/08/pu/004/004-1677410911.pdf</t>
  </si>
  <si>
    <t>OPEN SPACE NEAR ARAROMI BAKERY , LATAWA, Polling Unit, SAGAMU, Ogun State, Nigeria</t>
  </si>
  <si>
    <t>27-20-08-005</t>
  </si>
  <si>
    <t>OPEN SPACE NEAR MECHANIC SITE /KAJOLA</t>
  </si>
  <si>
    <t>https://docs.inecelectionresults.net/elections_prod/1292/state/01/lga/20/ward/08/pu/005/005-1677405965.pdf</t>
  </si>
  <si>
    <t>OPEN SPACE NEAR MECHANIC SITE /KAJOLA, Polling Unit, SAGAMU, Ogun State, Nigeria</t>
  </si>
  <si>
    <t>27-20-08-007</t>
  </si>
  <si>
    <t>U.A.M.C. ELEJA II</t>
  </si>
  <si>
    <t>https://docs.inecelectionresults.net/elections_prod/1292/state/01/lga/20/ward/08/pu/007/007-1677410018.pdf</t>
  </si>
  <si>
    <t>U.A.M.C. ELEJA II, Polling Unit, SAGAMU, Ogun State, Nigeria</t>
  </si>
  <si>
    <t>ODE -LEMO</t>
  </si>
  <si>
    <t>27-20-09-001</t>
  </si>
  <si>
    <t>ST. JOHN'S PRIMARY SCHOOL ODE - LEMO</t>
  </si>
  <si>
    <t>https://docs.inecelectionresults.net/elections_prod/1292/state/01/lga/20/ward/09/pu/001/001-1677374798.pdf</t>
  </si>
  <si>
    <t>ST. JOHN'S PRIMARY SCHOOL ODE - LEMO, Polling Unit, SAGAMU, Ogun State, Nigeria</t>
  </si>
  <si>
    <t>27-20-09-002</t>
  </si>
  <si>
    <t>OPEN SPACE NEAR LEMO, MARKET</t>
  </si>
  <si>
    <t>https://docs.inecelectionresults.net/elections_prod/1292/state/01/lga/20/ward/09/pu/002/002-1677372821.pdf</t>
  </si>
  <si>
    <t>OPEN SPACE NEAR LEMO, MARKET, Polling Unit, SAGAMU, Ogun State, Nigeria</t>
  </si>
  <si>
    <t>27-20-09-003</t>
  </si>
  <si>
    <t>OPEN SPACE NEAR BABA IJO</t>
  </si>
  <si>
    <t>https://docs.inecelectionresults.net/elections_prod/1292/state/01/lga/20/ward/09/pu/003/003-1677372547.pdf</t>
  </si>
  <si>
    <t>OPEN SPACE NEAR BABA IJO, Polling Unit, SAGAMU, Ogun State, Nigeria</t>
  </si>
  <si>
    <t>27-20-09-004</t>
  </si>
  <si>
    <t>A.U.D. SCHOOL ODE - LEMO I</t>
  </si>
  <si>
    <t>https://docs.inecelectionresults.net/elections_prod/1292/state/01/lga/20/ward/09/pu/004/004-1677374969.pdf</t>
  </si>
  <si>
    <t>A.U.D. SCHOOL ODE - LEMO I, Polling Unit, SAGAMU, Ogun State, Nigeria</t>
  </si>
  <si>
    <t>27-20-09-005</t>
  </si>
  <si>
    <t>A.U.D. SCHOOL ODE - LEMO II</t>
  </si>
  <si>
    <t>https://docs.inecelectionresults.net/elections_prod/1292/state/01/lga/20/ward/09/pu/005/005-1677374912.pdf</t>
  </si>
  <si>
    <t>A.U.D. SCHOOL ODE - LEMO II, Polling Unit, SAGAMU, Ogun State, Nigeria</t>
  </si>
  <si>
    <t>27-20-09-006</t>
  </si>
  <si>
    <t>OPEN SPACE AT ILE - AJE MARKET ODE</t>
  </si>
  <si>
    <t>https://docs.inecelectionresults.net/elections_prod/1292/state/01/lga/20/ward/09/pu/006/006-1677388275.pdf</t>
  </si>
  <si>
    <t>OPEN SPACE AT ILE - AJE MARKET ODE, Polling Unit, SAGAMU, Ogun State, Nigeria</t>
  </si>
  <si>
    <t>27-20-09-008</t>
  </si>
  <si>
    <t>ST. PAUL'S SCHOOL IGBOLOLO</t>
  </si>
  <si>
    <t>https://docs.inecelectionresults.net/elections_prod/1292/state/01/lga/20/ward/09/pu/008/008-1677386714.pdf</t>
  </si>
  <si>
    <t>ST. PAUL'S SCHOOL IGBOLOLO, Polling Unit, SAGAMU, Ogun State, Nigeria</t>
  </si>
  <si>
    <t>27-20-09-011</t>
  </si>
  <si>
    <t>OPEN SPACE AT MARKET SQUARE I</t>
  </si>
  <si>
    <t>https://docs.inecelectionresults.net/elections_prod/1292/state/01/lga/20/ward/09/pu/011/011-1677375031.pdf</t>
  </si>
  <si>
    <t>OPEN SPACE AT MARKET SQUARE I, Polling Unit, SAGAMU, Ogun State, Nigeria</t>
  </si>
  <si>
    <t>27-20-09-012</t>
  </si>
  <si>
    <t>OPEN SPACE AT EMUREN MARKET SQUARE II</t>
  </si>
  <si>
    <t>https://docs.inecelectionresults.net/elections_prod/1292/state/01/lga/20/ward/09/pu/012/012-1677375637.pdf</t>
  </si>
  <si>
    <t>OPEN SPACE AT EMUREN MARKET SQUARE II, Polling Unit, SAGAMU, Ogun State, Nigeria</t>
  </si>
  <si>
    <t>OGIJO/ LIKOSI</t>
  </si>
  <si>
    <t>27-20-10-001</t>
  </si>
  <si>
    <t>ST . PAUL'S SCHOOL IGBODE</t>
  </si>
  <si>
    <t>https://docs.inecelectionresults.net/elections_prod/1292/state/01/lga/20/ward/10/pu/001/001-1677361097.pdf</t>
  </si>
  <si>
    <t>ST . PAUL'S SCHOOL IGBODE, Polling Unit, SAGAMU, Ogun State, Nigeria</t>
  </si>
  <si>
    <t>27-20-10-002</t>
  </si>
  <si>
    <t>OPEN SPACE AT OSIGBOYEDE VILLAGE I</t>
  </si>
  <si>
    <t>https://docs.inecelectionresults.net/elections_prod/1292/state/01/lga/20/ward/10/pu/002/002-1677368306.pdf</t>
  </si>
  <si>
    <t>OPEN SPACE AT OSIGBOYEDE VILLAGE I, Polling Unit, SAGAMU, Ogun State, Nigeria</t>
  </si>
  <si>
    <t>27-20-10-003</t>
  </si>
  <si>
    <t>ST. MICHAEL R.C.M. FAKALE</t>
  </si>
  <si>
    <t>https://docs.inecelectionresults.net/elections_prod/1292/state/01/lga/20/ward/10/pu/003/003-1677358786.pdf</t>
  </si>
  <si>
    <t>ST. MICHAEL R.C.M. FAKALE, Polling Unit, SAGAMU, Ogun State, Nigeria</t>
  </si>
  <si>
    <t>27-20-10-005</t>
  </si>
  <si>
    <t>ST. FRANCIS SCHOOL IGBOSORO</t>
  </si>
  <si>
    <t>https://docs.inecelectionresults.net/elections_prod/1292/state/01/lga/20/ward/10/pu/005/005-1677359173.pdf</t>
  </si>
  <si>
    <t>ST. FRANCIS SCHOOL IGBOSORO, Polling Unit, SAGAMU, Ogun State, Nigeria</t>
  </si>
  <si>
    <t>27-20-10-007</t>
  </si>
  <si>
    <t>ST. JOHN SCHOOL OGIJO II</t>
  </si>
  <si>
    <t>https://docs.inecelectionresults.net/elections_prod/1292/state/01/lga/20/ward/10/pu/007/007-1677383776.pdf</t>
  </si>
  <si>
    <t>ST. JOHN SCHOOL OGIJO II, Polling Unit, SAGAMU, Ogun State, Nigeria</t>
  </si>
  <si>
    <t>27-20-10-008</t>
  </si>
  <si>
    <t>OPEN SPACE FRONT OF LISA'S HOUSE</t>
  </si>
  <si>
    <t>https://docs.inecelectionresults.net/elections_prod/1292/state/01/lga/20/ward/10/pu/008/008-1677361780.pdf</t>
  </si>
  <si>
    <t>OPEN SPACE FRONT OF LISA'S HOUSE, Polling Unit, SAGAMU, Ogun State, Nigeria</t>
  </si>
  <si>
    <t>27-20-10-009</t>
  </si>
  <si>
    <t>WESLEY SCHOOL EREFUN</t>
  </si>
  <si>
    <t>https://docs.inecelectionresults.net/elections_prod/1292/state/1/lga/3685/ward/24180/pu/93958/93958-1677508733.pdf</t>
  </si>
  <si>
    <t>WESLEY SCHOOL EREFUN, Polling Unit, SAGAMU, Ogun State, Nigeria</t>
  </si>
  <si>
    <t>27-20-10-011</t>
  </si>
  <si>
    <t>L.G SCHOOL IGBAGA</t>
  </si>
  <si>
    <t>https://docs.inecelectionresults.net/elections_prod/1292/state/01/lga/20/ward/10/pu/011/011-1677358703.pdf</t>
  </si>
  <si>
    <t>L.G SCHOOL IGBAGA, Polling Unit, SAGAMU, Ogun State, Nigeria</t>
  </si>
  <si>
    <t>27-20-10-012</t>
  </si>
  <si>
    <t>MOSIMI VILLAGE</t>
  </si>
  <si>
    <t>https://docs.inecelectionresults.net/elections_prod/1292/state/01/lga/20/ward/10/pu/012/012-1677373676.pdf</t>
  </si>
  <si>
    <t>MOSIMI VILLAGE, Polling Unit, SAGAMU, Ogun State, Nigeria</t>
  </si>
  <si>
    <t>27-20-10-013</t>
  </si>
  <si>
    <t>L.G. SCHOOL ITA - MERIN</t>
  </si>
  <si>
    <t>https://docs.inecelectionresults.net/elections_prod/1292/state/1/lga/3685/ward/24180/pu/93962/93962-1677509181.pdf</t>
  </si>
  <si>
    <t>L.G. SCHOOL ITA - MERIN, Polling Unit, SAGAMU, Ogun State, Nigeria</t>
  </si>
  <si>
    <t>27-20-10-015</t>
  </si>
  <si>
    <t>EYIN EGBE VILLAGE</t>
  </si>
  <si>
    <t>https://docs.inecelectionresults.net/elections_prod/1292/state/01/lga/20/ward/10/pu/015/015-1677358543.pdf</t>
  </si>
  <si>
    <t>EYIN EGBE VILLAGE, Polling Unit, SAGAMU, Ogun State, Nigeria</t>
  </si>
  <si>
    <t>27-20-10-016</t>
  </si>
  <si>
    <t>WESLEY SCHOOL SOTUNBO</t>
  </si>
  <si>
    <t>https://docs.inecelectionresults.net/elections_prod/1292/state/01/lga/20/ward/10/pu/016/016-1677358967.pdf</t>
  </si>
  <si>
    <t>WESLEY SCHOOL SOTUNBO, Polling Unit, SAGAMU, Ogun State, Nigeria</t>
  </si>
  <si>
    <t>27-20-10-017</t>
  </si>
  <si>
    <t>C.A.C. SCHOOL OGIJO I</t>
  </si>
  <si>
    <t>https://docs.inecelectionresults.net/elections_prod/1292/state/1/lga/3685/ward/24180/pu/93966/93966-1677496466.pdf</t>
  </si>
  <si>
    <t>C.A.C. SCHOOL OGIJO I, Polling Unit, SAGAMU, Ogun State, Nigeria</t>
  </si>
  <si>
    <t>27-20-10-018</t>
  </si>
  <si>
    <t>EWU OLOJA PRIMARY SCHOOL</t>
  </si>
  <si>
    <t>https://docs.inecelectionresults.net/elections_prod/1292/state/01/lga/20/ward/10/pu/018/018-1677365509.pdf</t>
  </si>
  <si>
    <t>EWU OLOJA PRIMARY SCHOOL, Polling Unit, SAGAMU, Ogun State, Nigeria</t>
  </si>
  <si>
    <t>27-20-10-019</t>
  </si>
  <si>
    <t>L.G SCHOOL AJAREGUN I</t>
  </si>
  <si>
    <t>https://docs.inecelectionresults.net/elections_prod/1292/state/01/lga/20/ward/10/pu/019/019-1677365371.pdf</t>
  </si>
  <si>
    <t>L.G SCHOOL AJAREGUN I, Polling Unit, SAGAMU, Ogun State, Nigeria</t>
  </si>
  <si>
    <t>SURULERE</t>
  </si>
  <si>
    <t>27-20-11-001</t>
  </si>
  <si>
    <t>WESLEY SCHOOL MAKUN I</t>
  </si>
  <si>
    <t>https://docs.inecelectionresults.net/elections_prod/1292/state/1/lga/3685/ward/24181/pu/93969/93969-1677460072.pdf</t>
  </si>
  <si>
    <t>WESLEY SCHOOL MAKUN I, Polling Unit, SAGAMU, Ogun State, Nigeria</t>
  </si>
  <si>
    <t>27-20-11-003</t>
  </si>
  <si>
    <t>OPEN SPACE AT AKOREDE MIDWAY</t>
  </si>
  <si>
    <t>https://docs.inecelectionresults.net/elections/1292/1677441003-93971.pdf</t>
  </si>
  <si>
    <t>OPEN SPACE AT AKOREDE MIDWAY, Polling Unit, SAGAMU, Ogun State, Nigeria</t>
  </si>
  <si>
    <t>27-20-11-004</t>
  </si>
  <si>
    <t>OPEN SPACE AT AKOREDE UPPER</t>
  </si>
  <si>
    <t>https://docs.inecelectionresults.net/elections_prod/1292/state/1/lga/3685/ward/24181/pu/93972/93972-1677456886.pdf</t>
  </si>
  <si>
    <t>OPEN SPACE AT AKOREDE UPPER, Polling Unit, SAGAMU, Ogun State, Nigeria</t>
  </si>
  <si>
    <t>27-20-11-005</t>
  </si>
  <si>
    <t>A.U.D. SCHOOL MAKUN</t>
  </si>
  <si>
    <t>https://docs.inecelectionresults.net/elections_prod/1292/state/1/lga/3685/ward/24181/pu/93973/93973-1677457874.pdf</t>
  </si>
  <si>
    <t>A.U.D. SCHOOL MAKUN, Polling Unit, SAGAMU, Ogun State, Nigeria</t>
  </si>
  <si>
    <t>27-20-11-006</t>
  </si>
  <si>
    <t>SOKOYA MEMORIAL SCHOOL I</t>
  </si>
  <si>
    <t>https://docs.inecelectionresults.net/elections_prod/1292/state/1/lga/3685/ward/24181/pu/93974/93974-1677460498.pdf</t>
  </si>
  <si>
    <t>SOKOYA MEMORIAL SCHOOL I, Polling Unit, SAGAMU, Ogun State, Nigeria</t>
  </si>
  <si>
    <t>27-20-11-007</t>
  </si>
  <si>
    <t>OPEN SPACE AT AKOREDE LOWER</t>
  </si>
  <si>
    <t>https://docs.inecelectionresults.net/elections_prod/1292/state/01/lga/20/ward/11/pu/007/007-1677390089.pdf</t>
  </si>
  <si>
    <t>OPEN SPACE AT AKOREDE LOWER, Polling Unit, SAGAMU, Ogun State, Nigeria</t>
  </si>
  <si>
    <t>27-20-11-008</t>
  </si>
  <si>
    <t>AKOREDE JUNCTION</t>
  </si>
  <si>
    <t>https://docs.inecelectionresults.net/elections_prod/1292/state/1/lga/3685/ward/24181/pu/93976/93976-1677456181.pdf</t>
  </si>
  <si>
    <t>AKOREDE JUNCTION, Polling Unit, SAGAMU, Ogun State, Nigeria</t>
  </si>
  <si>
    <t>ISOTE</t>
  </si>
  <si>
    <t>27-20-12-001</t>
  </si>
  <si>
    <t>OPEN SPACE OPP DAODU'S HOUSE I</t>
  </si>
  <si>
    <t>https://docs.inecelectionresults.net/elections_prod/1292/state/01/lga/20/ward/12/pu/001/001-1677389444.pdf</t>
  </si>
  <si>
    <t>OPEN SPACE OPP DAODU'S HOUSE I, Polling Unit, SAGAMU, Ogun State, Nigeria</t>
  </si>
  <si>
    <t>27-20-12-002</t>
  </si>
  <si>
    <t>OPEN SPACE OPP. AGBON OLOWOTEDO</t>
  </si>
  <si>
    <t>https://docs.inecelectionresults.net/elections_prod/1292/state/1/lga/3685/ward/24182/pu/93978/93978-1677489605.pdf</t>
  </si>
  <si>
    <t>OPEN SPACE OPP. AGBON OLOWOTEDO, Polling Unit, SAGAMU, Ogun State, Nigeria</t>
  </si>
  <si>
    <t>27-20-12-003</t>
  </si>
  <si>
    <t>OPEN SPACE AT RADELU ISOTE JUNCTION</t>
  </si>
  <si>
    <t>https://docs.inecelectionresults.net/elections_prod/1292/state/1/lga/3685/ward/24182/pu/93979/93979-1677485037.pdf</t>
  </si>
  <si>
    <t>OPEN SPACE AT RADELU ISOTE JUNCTION, Polling Unit, SAGAMU, Ogun State, Nigeria</t>
  </si>
  <si>
    <t>27-20-12-004</t>
  </si>
  <si>
    <t>OPEN SPACE AT EWUSI HOUSE</t>
  </si>
  <si>
    <t>https://docs.inecelectionresults.net/elections_prod/1292/state/01/lga/20/ward/12/pu/004/004-1677391343.pdf</t>
  </si>
  <si>
    <t>OPEN SPACE AT EWUSI HOUSE, Polling Unit, SAGAMU, Ogun State, Nigeria</t>
  </si>
  <si>
    <t>27-20-12-005</t>
  </si>
  <si>
    <t>OPEN SPACE AT ISOTE STREET MIDWAY</t>
  </si>
  <si>
    <t>https://docs.inecelectionresults.net/elections_prod/1292/state/01/lga/20/ward/12/pu/005/005-1677391401.pdf</t>
  </si>
  <si>
    <t>OPEN SPACE AT ISOTE STREET MIDWAY, Polling Unit, SAGAMU, Ogun State, Nigeria</t>
  </si>
  <si>
    <t>27-20-12-006</t>
  </si>
  <si>
    <t>OPEN SPACE AT OYEKAN HOUSE</t>
  </si>
  <si>
    <t>https://docs.inecelectionresults.net/elections_prod/1292/state/01/lga/20/ward/12/pu/006/006-1677395758.pdf</t>
  </si>
  <si>
    <t>OPEN SPACE AT OYEKAN HOUSE, Polling Unit, SAGAMU, Ogun State, Nigeria</t>
  </si>
  <si>
    <t>27-20-12-008</t>
  </si>
  <si>
    <t>OPEN SPACE AT OSISANYA ST. MIDWAY</t>
  </si>
  <si>
    <t>https://docs.inecelectionresults.net/elections_prod/1292/state/01/lga/20/ward/12/pu/008/008-1677392347.pdf</t>
  </si>
  <si>
    <t>OPEN SPACE AT OSISANYA ST. MIDWAY, Polling Unit, SAGAMU, Ogun State, Nigeria</t>
  </si>
  <si>
    <t>SIMAWA / IWELEPE</t>
  </si>
  <si>
    <t>27-20-13-001</t>
  </si>
  <si>
    <t>ST. PAUL'S SCHOOL SIMAWA</t>
  </si>
  <si>
    <t>https://docs.inecelectionresults.net/elections_prod/1292/state/01/lga/20/ward/13/pu/001/001-1677405103.pdf</t>
  </si>
  <si>
    <t>ST. PAUL'S SCHOOL SIMAWA, Polling Unit, SAGAMU, Ogun State, Nigeria</t>
  </si>
  <si>
    <t>27-20-13-002</t>
  </si>
  <si>
    <t>OPEN SPACE AT EWU BOUN</t>
  </si>
  <si>
    <t>https://docs.inecelectionresults.net/elections_prod/1292/state/01/lga/20/ward/13/pu/002/002-1677409687.pdf</t>
  </si>
  <si>
    <t>OPEN SPACE AT EWU BOUN, Polling Unit, SAGAMU, Ogun State, Nigeria</t>
  </si>
  <si>
    <t>27-20-13-003</t>
  </si>
  <si>
    <t>OPEN SPACE AT ALAWUIN VILLAGE</t>
  </si>
  <si>
    <t>https://docs.inecelectionresults.net/elections_prod/1292/state/01/lga/20/ward/13/pu/003/003-1677407107.pdf</t>
  </si>
  <si>
    <t>OPEN SPACE AT ALAWUIN VILLAGE, Polling Unit, SAGAMU, Ogun State, Nigeria</t>
  </si>
  <si>
    <t>27-20-13-004</t>
  </si>
  <si>
    <t>ST PAUL'S SCHOOL IWELEPE</t>
  </si>
  <si>
    <t>https://docs.inecelectionresults.net/elections_prod/1292/state/01/lga/20/ward/13/pu/004/004-1677404433.pdf</t>
  </si>
  <si>
    <t>ST PAUL'S SCHOOL IWELEPE, Polling Unit, SAGAMU, Ogun State, Nigeria</t>
  </si>
  <si>
    <t>27-20-13-005</t>
  </si>
  <si>
    <t>OPEN SPACE AT OYELEKE SETTLEMENT</t>
  </si>
  <si>
    <t>https://docs.inecelectionresults.net/elections_prod/1292/state/01/lga/20/ward/13/pu/005/005-1677397909.pdf</t>
  </si>
  <si>
    <t>OPEN SPACE AT OYELEKE SETTLEMENT, Polling Unit, SAGAMU, Ogun State, Nigeria</t>
  </si>
  <si>
    <t>27-20-13-006</t>
  </si>
  <si>
    <t>L.G. SCHOOL KAMIYI</t>
  </si>
  <si>
    <t>https://docs.inecelectionresults.net/elections_prod/1292/state/01/lga/20/ward/13/pu/006/006-1677400525.pdf</t>
  </si>
  <si>
    <t>L.G. SCHOOL KAMIYI, Polling Unit, SAGAMU, Ogun State, Nigeria</t>
  </si>
  <si>
    <t>27-20-13-007</t>
  </si>
  <si>
    <t>ST. PAUL'S SCHOOL AYETORO</t>
  </si>
  <si>
    <t>https://docs.inecelectionresults.net/elections_prod/1292/state/01/lga/20/ward/13/pu/007/007-1677399964.pdf</t>
  </si>
  <si>
    <t>ST. PAUL'S SCHOOL AYETORO, Polling Unit, SAGAMU, Ogun State, Nigeria</t>
  </si>
  <si>
    <t>27-20-13-008</t>
  </si>
  <si>
    <t>ST. PAUL'S SCHOOL OKE -ATE</t>
  </si>
  <si>
    <t>https://docs.inecelectionresults.net/elections_prod/1292/state/01/lga/20/ward/13/pu/008/008-1677402189.pdf</t>
  </si>
  <si>
    <t>ST. PAUL'S SCHOOL OKE -ATE, Polling Unit, SAGAMU, Ogun State, Nigeria</t>
  </si>
  <si>
    <t>27-20-13-009</t>
  </si>
  <si>
    <t>OPEN SPACE AT EWU OSI</t>
  </si>
  <si>
    <t>https://docs.inecelectionresults.net/elections_prod/1292/state/01/lga/20/ward/13/pu/009/009-1677402953.pdf</t>
  </si>
  <si>
    <t>OPEN SPACE AT EWU OSI, Polling Unit, SAGAMU, Ogun State, Nigeria</t>
  </si>
  <si>
    <t>27-20-13-010</t>
  </si>
  <si>
    <t>L.G. SCHOOL AGUNFOYE</t>
  </si>
  <si>
    <t>https://docs.inecelectionresults.net/elections_prod/1292/state/1/lga/3685/ward/24183/pu/93994/93994-1677507922.pdf</t>
  </si>
  <si>
    <t>L.G. SCHOOL AGUNFOYE, Polling Unit, SAGAMU, Ogun State, Nigeria</t>
  </si>
  <si>
    <t>27-20-13-011</t>
  </si>
  <si>
    <t>OPEN SPACE AT EWU DODO</t>
  </si>
  <si>
    <t>https://docs.inecelectionresults.net/elections_prod/1292/state/01/lga/20/ward/13/pu/011/011-1677405647.pdf</t>
  </si>
  <si>
    <t>OPEN SPACE AT EWU DODO, Polling Unit, SAGAMU, Ogun State, Nigeria</t>
  </si>
  <si>
    <t>27-20-13-012</t>
  </si>
  <si>
    <t>OPEN SPACE AT EGBEJODA /ARAROMI JUNCTION</t>
  </si>
  <si>
    <t>https://docs.inecelectionresults.net/elections_prod/1292/state/01/lga/20/ward/13/pu/012/012-1677399415.pdf</t>
  </si>
  <si>
    <t>OPEN SPACE AT EGBEJODA /ARAROMI JUNCTION, Polling Unit, SAGAMU, Ogun State, Nigeria</t>
  </si>
  <si>
    <t>27-20-13-013</t>
  </si>
  <si>
    <t>OPEN SPACE AT ASUNORA</t>
  </si>
  <si>
    <t>https://docs.inecelectionresults.net/elections_prod/1292/state/01/lga/20/ward/13/pu/013/013-1677405817.pdf</t>
  </si>
  <si>
    <t>OPEN SPACE AT ASUNORA, Polling Unit, SAGAMU, Ogun State, Nigeria</t>
  </si>
  <si>
    <t>27-20-13-014</t>
  </si>
  <si>
    <t>OPEN SPACE AT EWU BALE</t>
  </si>
  <si>
    <t>https://docs.inecelectionresults.net/elections_prod/1292/state/01/lga/20/ward/13/pu/014/014-1677401864.pdf</t>
  </si>
  <si>
    <t>OPEN SPACE AT EWU BALE, Polling Unit, SAGAMU, Ogun State, Nigeria</t>
  </si>
  <si>
    <t>27-20-13-015</t>
  </si>
  <si>
    <t>OPEN SPACE AT MECHANIC VILLAGE</t>
  </si>
  <si>
    <t>https://docs.inecelectionresults.net/elections_prod/1292/state/01/lga/20/ward/13/pu/015/015-1677407250.pdf</t>
  </si>
  <si>
    <t>OPEN SPACE AT MECHANIC VILLAGE, Polling Unit, SAGAMU, Ogun State, Nigeria</t>
  </si>
  <si>
    <t>27-20-13-016</t>
  </si>
  <si>
    <t>OPEN SPACE AT EWU BOUN II</t>
  </si>
  <si>
    <t>https://docs.inecelectionresults.net/elections_prod/1292/state/01/lga/20/ward/13/pu/016/016-1677396356.pdf</t>
  </si>
  <si>
    <t>OPEN SPACE AT EWU BOUN II, Polling Unit, SAGAMU, Ogun State, Nigeria</t>
  </si>
  <si>
    <t>AGBOWA</t>
  </si>
  <si>
    <t>27-20-14-001</t>
  </si>
  <si>
    <t>OPEN SPACE AT WANPONRIN COURT</t>
  </si>
  <si>
    <t>https://docs.inecelectionresults.net/elections_prod/1292/state/01/lga/20/ward/14/pu/001/001-1677405985.pdf</t>
  </si>
  <si>
    <t>OPEN SPACE AT WANPONRIN COURT, Polling Unit, SAGAMU, Ogun State, Nigeria</t>
  </si>
  <si>
    <t>27-20-14-002</t>
  </si>
  <si>
    <t>OPEN SPACE AT RASUSI COMPOUND</t>
  </si>
  <si>
    <t>https://docs.inecelectionresults.net/elections_prod/1292/state/01/lga/20/ward/14/pu/002/002-1677405488.pdf</t>
  </si>
  <si>
    <t>OPEN SPACE AT RASUSI COMPOUND, Polling Unit, SAGAMU, Ogun State, Nigeria</t>
  </si>
  <si>
    <t>27-20-14-003</t>
  </si>
  <si>
    <t>OPEN SPACE AT OKE - AGBAWO NEAR AWOYEMI</t>
  </si>
  <si>
    <t>https://docs.inecelectionresults.net/elections_prod/1292/state/01/lga/20/ward/14/pu/003/003-1677388677.pdf</t>
  </si>
  <si>
    <t>OPEN SPACE AT OKE - AGBAWO NEAR AWOYEMI, Polling Unit, SAGAMU, Ogun State, Nigeria</t>
  </si>
  <si>
    <t>27-20-14-004</t>
  </si>
  <si>
    <t>ST. PAUL'S SCHOOL MAKUN</t>
  </si>
  <si>
    <t>https://docs.inecelectionresults.net/elections_prod/1292/state/01/lga/20/ward/14/pu/004/004-1677406706.pdf</t>
  </si>
  <si>
    <t>ST. PAUL'S SCHOOL MAKUN, Polling Unit, SAGAMU, Ogun State, Nigeria</t>
  </si>
  <si>
    <t>27-20-14-005</t>
  </si>
  <si>
    <t>OPEN SPACE AT OGURO ST. MIDWAY</t>
  </si>
  <si>
    <t>https://docs.inecelectionresults.net/elections_prod/1292/state/01/lga/20/ward/14/pu/005/005-1677407341.pdf</t>
  </si>
  <si>
    <t>OPEN SPACE AT OGURO ST. MIDWAY, Polling Unit, SAGAMU, Ogun State, Nigeria</t>
  </si>
  <si>
    <t>27-20-14-006</t>
  </si>
  <si>
    <t>OPEN SPACE AT KAJOLA ST. UPPER</t>
  </si>
  <si>
    <t>https://docs.inecelectionresults.net/elections_prod/1292/state/01/lga/20/ward/14/pu/006/006-1677410032.pdf</t>
  </si>
  <si>
    <t>OPEN SPACE AT KAJOLA ST. UPPER, Polling Unit, SAGAMU, Ogun State, Nigeria</t>
  </si>
  <si>
    <t>27-20-14-008</t>
  </si>
  <si>
    <t>OPEN SPACE AT OUR MOTHER'S PLACE</t>
  </si>
  <si>
    <t>https://docs.inecelectionresults.net/elections_prod/1292/state/01/lga/20/ward/14/pu/008/008-1677410851.pdf</t>
  </si>
  <si>
    <t>OPEN SPACE AT OUR MOTHER'S PLACE, Polling Unit, SAGAMU, Ogun State, Nigeria</t>
  </si>
  <si>
    <t>27-20-14-009</t>
  </si>
  <si>
    <t>OPEN SPACE IN FRONT OF SHEU TIJANI</t>
  </si>
  <si>
    <t>https://docs.inecelectionresults.net/elections_prod/1292/state/01/lga/20/ward/14/pu/009/009-1677410564.pdf</t>
  </si>
  <si>
    <t>OPEN SPACE IN FRONT OF SHEU TIJANI, Polling Unit, SAGAMU, Ogun State, Nigeria</t>
  </si>
  <si>
    <t>27-20-14-010</t>
  </si>
  <si>
    <t>OPEN SPACE AT TIPPER'S GARAGE</t>
  </si>
  <si>
    <t>https://docs.inecelectionresults.net/elections_prod/1292/state/01/lga/20/ward/14/pu/010/010-1677388052.pdf</t>
  </si>
  <si>
    <t>OPEN SPACE AT TIPPER'S GARAGE, Polling Unit, SAGAMU, Ogun State, Nigeria</t>
  </si>
  <si>
    <t>27-20-14-011</t>
  </si>
  <si>
    <t>OPEN SPACE NEAR SAGAMU MODEL SCHOOL</t>
  </si>
  <si>
    <t>https://docs.inecelectionresults.net/elections_prod/1292/state/01/lga/20/ward/14/pu/011/011-1677411582.pdf</t>
  </si>
  <si>
    <t>OPEN SPACE NEAR SAGAMU MODEL SCHOOL, Polling Unit, SAGAMU, Ogun State, Nigeria</t>
  </si>
  <si>
    <t>27-20-14-012</t>
  </si>
  <si>
    <t>OPEN SPACE AT BESIDE DALOF HOTEL</t>
  </si>
  <si>
    <t>https://docs.inecelectionresults.net/elections_prod/1292/state/01/lga/20/ward/14/pu/012/012-1677413187.pdf</t>
  </si>
  <si>
    <t>OPEN SPACE AT BESIDE DALOF HOTEL, Polling Unit, SAGAMU, Ogun State, Nigeria</t>
  </si>
  <si>
    <t>IBIDO/ITUWA/ALARA</t>
  </si>
  <si>
    <t>27-20-15-001</t>
  </si>
  <si>
    <t>TOWN HALL , SAGAMU I</t>
  </si>
  <si>
    <t>https://docs.inecelectionresults.net/elections_prod/1292/state/01/lga/20/ward/15/pu/001/001-1677396438.pdf</t>
  </si>
  <si>
    <t>TOWN HALL , SAGAMU I, Polling Unit, SAGAMU, Ogun State, Nigeria</t>
  </si>
  <si>
    <t>27-20-15-002</t>
  </si>
  <si>
    <t>OPEN SPACE AT OSORIBIYA COURT</t>
  </si>
  <si>
    <t>https://docs.inecelectionresults.net/elections_prod/1292/state/01/lga/20/ward/15/pu/002/002-1677396863.pdf</t>
  </si>
  <si>
    <t>OPEN SPACE AT OSORIBIYA COURT, Polling Unit, SAGAMU, Ogun State, Nigeria</t>
  </si>
  <si>
    <t>27-20-15-003</t>
  </si>
  <si>
    <t>OPEN SPACE AT AGBOWA</t>
  </si>
  <si>
    <t>https://docs.inecelectionresults.net/elections_prod/1292/state/01/lga/20/ward/15/pu/003/003-1677401433.pdf</t>
  </si>
  <si>
    <t>OPEN SPACE AT AGBOWA, Polling Unit, SAGAMU, Ogun State, Nigeria</t>
  </si>
  <si>
    <t>27-20-15-004</t>
  </si>
  <si>
    <t>OPEN SPACE AT IRAYE UPPER</t>
  </si>
  <si>
    <t>https://docs.inecelectionresults.net/elections_prod/1292/state/01/lga/20/ward/15/pu/004/004-1677397010.pdf</t>
  </si>
  <si>
    <t>OPEN SPACE AT IRAYE UPPER, Polling Unit, SAGAMU, Ogun State, Nigeria</t>
  </si>
  <si>
    <t>27-20-15-005</t>
  </si>
  <si>
    <t>OPEN SPACE AT IRAYE LOWER</t>
  </si>
  <si>
    <t>https://docs.inecelectionresults.net/elections_prod/1292/state/01/lga/20/ward/15/pu/005/005-1677402570.pdf</t>
  </si>
  <si>
    <t>OPEN SPACE AT IRAYE LOWER, Polling Unit, SAGAMU, Ogun State, Nigeria</t>
  </si>
  <si>
    <t>27-20-15-006</t>
  </si>
  <si>
    <t>OPEN SPACE AT ITUN ALARA</t>
  </si>
  <si>
    <t>https://docs.inecelectionresults.net/elections_prod/1292/state/01/lga/20/ward/15/pu/006/006-1677391632.pdf</t>
  </si>
  <si>
    <t>OPEN SPACE AT ITUN ALARA, Polling Unit, SAGAMU, Ogun State, Nigeria</t>
  </si>
  <si>
    <t>27-20-15-007</t>
  </si>
  <si>
    <t>27-01-03-012</t>
  </si>
  <si>
    <t>OPEN SPACE NEAR PUBLIC WATER, ITAMORIN</t>
  </si>
  <si>
    <t>https://docs.inecelectionresults.net/elections_prod/1292/state/01/lga/01/ward/03/pu/012/012-1677424556.pdf</t>
  </si>
  <si>
    <t>OPEN SPACE NEAR PUBLIC WATER, ITAMORIN, Polling Unit, ABEOKUTA NORTH, Ogun State, Nigeria</t>
  </si>
  <si>
    <t>27-01-03-013</t>
  </si>
  <si>
    <t>OPEN SPACE AT OBA ADEDAMOLA STREET</t>
  </si>
  <si>
    <t>https://docs.inecelectionresults.net/elections_prod/1292/state/01/lga/01/ward/03/pu/013/013-1677415638.pdf</t>
  </si>
  <si>
    <t>OPEN SPACE AT OBA ADEDAMOLA STREET, Polling Unit, ABEOKUTA NORTH, Ogun State, Nigeria</t>
  </si>
  <si>
    <t>27-01-03-014</t>
  </si>
  <si>
    <t>OPEN SPACE IN FRONT OF TAPO MOSQUE</t>
  </si>
  <si>
    <t>https://docs.inecelectionresults.net/elections_prod/1292/state/01/lga/01/ward/03/pu/014/014-1677422290.pdf</t>
  </si>
  <si>
    <t>OPEN SPACE IN FRONT OF TAPO MOSQUE, Polling Unit, ABEOKUTA NORTH, Ogun State, Nigeria</t>
  </si>
  <si>
    <t>27-01-03-015</t>
  </si>
  <si>
    <t>NEAR ALABUKUN HOUSE</t>
  </si>
  <si>
    <t>https://docs.inecelectionresults.net/elections_prod/1292/state/01/lga/01/ward/03/pu/015/015-1677423883.pdf</t>
  </si>
  <si>
    <t>NEAR ALABUKUN HOUSE, Polling Unit, ABEOKUTA NORTH, Ogun State, Nigeria</t>
  </si>
  <si>
    <t>27-01-03-016</t>
  </si>
  <si>
    <t>OPEN SPACE NEAR TANTOLORUN MOSQUE, OKE-OKO</t>
  </si>
  <si>
    <t>https://docs.inecelectionresults.net/elections_prod/1292/state/01/lga/01/ward/03/pu/016/016-1677424129.pdf</t>
  </si>
  <si>
    <t>OPEN SPACE NEAR TANTOLORUN MOSQUE, OKE-OKO, Polling Unit, ABEOKUTA NORTH, Ogun State, Nigeria</t>
  </si>
  <si>
    <t>27-01-03-017</t>
  </si>
  <si>
    <t>OPEN SPACE IN FRONT OF JEHOVAH WITNESS, KINGDOM HALL</t>
  </si>
  <si>
    <t>https://docs.inecelectionresults.net/elections_prod/1292/state/01/lga/01/ward/03/pu/017/017-1677421894.pdf</t>
  </si>
  <si>
    <t>OPEN SPACE IN FRONT OF JEHOVAH WITNESS, KINGDOM HALL, Polling Unit, ABEOKUTA NORTH, Ogun State, Nigeria</t>
  </si>
  <si>
    <t>27-01-04-013</t>
  </si>
  <si>
    <t>OPEN SPACE BESIDE SEMBAD FILLING STATION, IDOFIN, ELEGA</t>
  </si>
  <si>
    <t>https://docs.inecelectionresults.net/elections_prod/1292/state/01/lga/01/ward/04/pu/013/013-1677426272.pdf</t>
  </si>
  <si>
    <t>OPEN SPACE BESIDE SEMBAD FILLING STATION, IDOFIN, ELEGA, Polling Unit, ABEOKUTA NORTH, Ogun State, Nigeria</t>
  </si>
  <si>
    <t>27-01-04-014</t>
  </si>
  <si>
    <t>SCHOOL PREMISES A.N.L.G NURSERY AND PRIMARY SCHOOL F.H.E. ELEGA.</t>
  </si>
  <si>
    <t>https://docs.inecelectionresults.net/elections_prod/1292/state/01/lga/01/ward/04/pu/014/014-1677427245.pdf</t>
  </si>
  <si>
    <t>SCHOOL PREMISES A.N.L.G NURSERY AND PRIMARY SCHOOL F.H.E. ELEGA., Polling Unit, ABEOKUTA NORTH, Ogun State, Nigeria</t>
  </si>
  <si>
    <t>27-01-04-015</t>
  </si>
  <si>
    <t>A2 FIELD  IN FRONT F.H.E   ROTARY CLUB, ELEGA</t>
  </si>
  <si>
    <t>https://docs.inecelectionresults.net/elections_prod/1292/state/01/lga/01/ward/04/pu/015/015-1677428606.pdf</t>
  </si>
  <si>
    <t>A2 FIELD  IN FRONT F.H.E   ROTARY CLUB, ELEGA, Polling Unit, ABEOKUTA NORTH, Ogun State, Nigeria</t>
  </si>
  <si>
    <t>27-01-04-016</t>
  </si>
  <si>
    <t>OPEN SPACE BESIDE COMMUNITY MOSQUE, F.H.E. ELEGA.</t>
  </si>
  <si>
    <t>https://docs.inecelectionresults.net/elections_prod/1292/state/1/lga/3666/ward/23953/pu/164750/164750-1677470900.pdf</t>
  </si>
  <si>
    <t>OPEN SPACE BESIDE COMMUNITY MOSQUE, F.H.E. ELEGA., Polling Unit, ABEOKUTA NORTH, Ogun State, Nigeria</t>
  </si>
  <si>
    <t>27-01-04-017</t>
  </si>
  <si>
    <t>OPEN SPACE AT B1 JUNCTION BY GOLDEN SCHOOL, ELEGA</t>
  </si>
  <si>
    <t>https://docs.inecelectionresults.net/elections_prod/1292/state/1/lga/3666/ward/23953/pu/164751/164751-1677471526.pdf</t>
  </si>
  <si>
    <t>OPEN SPACE AT B1 JUNCTION BY GOLDEN SCHOOL, ELEGA, Polling Unit, ABEOKUTA NORTH, Ogun State, Nigeria</t>
  </si>
  <si>
    <t>27-01-04-018</t>
  </si>
  <si>
    <t>OPEN SPACE AT ODO-EJA ILUPEJU JUNCTION</t>
  </si>
  <si>
    <t>https://docs.inecelectionresults.net/elections_prod/1292/state/1/lga/3666/ward/23953/pu/164752/164752-1677472006.pdf</t>
  </si>
  <si>
    <t>OPEN SPACE AT ODO-EJA ILUPEJU JUNCTION, Polling Unit, ABEOKUTA NORTH, Ogun State, Nigeria</t>
  </si>
  <si>
    <t>27-01-04-019</t>
  </si>
  <si>
    <t>OPEN SPACE NEAR KENNY OGUN LAB JUNCTION,ILUPEJU</t>
  </si>
  <si>
    <t>https://docs.inecelectionresults.net/elections_prod/1292/state/1/lga/3666/ward/23953/pu/164753/164753-1677472439.pdf</t>
  </si>
  <si>
    <t>OPEN SPACE NEAR KENNY OGUN LAB JUNCTION,ILUPEJU, Polling Unit, ABEOKUTA NORTH, Ogun State, Nigeria</t>
  </si>
  <si>
    <t>27-01-04-020</t>
  </si>
  <si>
    <t>OPEN SPACE AT SIKEMI OLUWA JUNCTION, IMALA ELEGA</t>
  </si>
  <si>
    <t>https://docs.inecelectionresults.net/elections_prod/1292/state/1/lga/3666/ward/23953/pu/164754/164754-1677472801.pdf</t>
  </si>
  <si>
    <t>OPEN SPACE AT SIKEMI OLUWA JUNCTION, IMALA ELEGA, Polling Unit, ABEOKUTA NORTH, Ogun State, Nigeria</t>
  </si>
  <si>
    <t>27-01-06-012</t>
  </si>
  <si>
    <t>AUD PRIMARY SCHOOL 1, ONA-GBOORO</t>
  </si>
  <si>
    <t>https://docs.inecelectionresults.net/elections_prod/1292/state/1/lga/3666/ward/23955/pu/164770/164770-1677470850.pdf</t>
  </si>
  <si>
    <t>AUD PRIMARY SCHOOL 1, ONA-GBOORO, Polling Unit, ABEOKUTA NORTH, Ogun State, Nigeria</t>
  </si>
  <si>
    <t>27-01-06-013</t>
  </si>
  <si>
    <t>OPEN SPACE AT IKEREKU IWERE, GBAGURA</t>
  </si>
  <si>
    <t>https://docs.inecelectionresults.net/elections_prod/1292/state/1/lga/3666/ward/23955/pu/164771/164771-1677471038.pdf</t>
  </si>
  <si>
    <t>OPEN SPACE AT IKEREKU IWERE, GBAGURA, Polling Unit, ABEOKUTA NORTH, Ogun State, Nigeria</t>
  </si>
  <si>
    <t>27-01-16-017</t>
  </si>
  <si>
    <t>ST. JOSEPH RCM NUR/PRIMARY SCHOOL OLUWO VILLAGE</t>
  </si>
  <si>
    <t>https://docs.inecelectionresults.net/elections_prod/1292/state/01/lga/01/ward/16/pu/017/017-1677413704.pdf</t>
  </si>
  <si>
    <t>ST. JOSEPH RCM NUR/PRIMARY SCHOOL OLUWO VILLAGE, Polling Unit, ABEOKUTA NORTH, Ogun State, Nigeria</t>
  </si>
  <si>
    <t>27-01-16-018</t>
  </si>
  <si>
    <t>OPEN SPACE IN FRONT OF PROPOSED HEALTH CENTER ILE-ISE AWO</t>
  </si>
  <si>
    <t>https://docs.inecelectionresults.net/elections_prod/1292/state/01/lga/01/ward/16/pu/018/018-1677413931.pdf</t>
  </si>
  <si>
    <t>OPEN SPACE IN FRONT OF PROPOSED HEALTH CENTER ILE-ISE AWO, Polling Unit, ABEOKUTA NORTH, Ogun State, Nigeria</t>
  </si>
  <si>
    <t>27-01-16-019</t>
  </si>
  <si>
    <t>OPEN SPACE AT OLORUNSOGO ADIO , SOYOYE</t>
  </si>
  <si>
    <t>https://docs.inecelectionresults.net/elections_prod/1292/state/01/lga/01/ward/16/pu/019/019-1677413434.pdf</t>
  </si>
  <si>
    <t>OPEN SPACE AT OLORUNSOGO ADIO , SOYOYE, Polling Unit, ABEOKUTA NORTH, Ogun State, Nigeria</t>
  </si>
  <si>
    <t>27-01-16-020</t>
  </si>
  <si>
    <t>OPEN SPACE AT ILUPEJU IDIYA JUNCTION, IDIYA</t>
  </si>
  <si>
    <t>https://docs.inecelectionresults.net/elections_prod/1292/state/01/lga/01/ward/16/pu/020/020-1677416151.pdf</t>
  </si>
  <si>
    <t>OPEN SPACE AT ILUPEJU IDIYA JUNCTION, IDIYA, Polling Unit, ABEOKUTA NORTH, Ogun State, Nigeria</t>
  </si>
  <si>
    <t>27-01-16-021</t>
  </si>
  <si>
    <t>.A.N.L.G NURSERY AND PRIMARY SCHOOL, ADIO AJEGUNLE SOYOYE.</t>
  </si>
  <si>
    <t>https://docs.inecelectionresults.net/elections_prod/1292/state/01/lga/01/ward/16/pu/021/021-1677417224.pdf</t>
  </si>
  <si>
    <t>.A.N.L.G NURSERY AND PRIMARY SCHOOL, ADIO AJEGUNLE SOYOYE., Polling Unit, ABEOKUTA NORTH, Ogun State, Nigeria</t>
  </si>
  <si>
    <t>27-01-16-022</t>
  </si>
  <si>
    <t>OPEN SPACE AT TRANSFORMER JUNCTION, TUNDE OLADIPO HOUSING ESTATE, GREENFIELD ROUNDER</t>
  </si>
  <si>
    <t>https://docs.inecelectionresults.net/elections_prod/1292/state/01/lga/01/ward/16/pu/022/022-1677416184.pdf</t>
  </si>
  <si>
    <t>OPEN SPACE AT TRANSFORMER JUNCTION, TUNDE OLADIPO HOUSING ESTATE, GREENFIELD ROUNDER, Polling Unit, ABEOKUTA NORTH, Ogun State, Nigeria</t>
  </si>
  <si>
    <t>27-01-16-023</t>
  </si>
  <si>
    <t>NEAR ISALE OLA COMMINITY HALL, SOYOYE</t>
  </si>
  <si>
    <t>https://docs.inecelectionresults.net/elections_prod/1292/state/01/lga/01/ward/16/pu/023/023-1677416331.pdf</t>
  </si>
  <si>
    <t>NEAR ISALE OLA COMMINITY HALL, SOYOYE, Polling Unit, ABEOKUTA NORTH, Ogun State, Nigeria</t>
  </si>
  <si>
    <t>27-01-16-024</t>
  </si>
  <si>
    <t>OPEN SPACE IN FRONT OF ORIOLA COMMINITY HALL, SOYOYE</t>
  </si>
  <si>
    <t>https://docs.inecelectionresults.net/elections_prod/1292/state/01/lga/01/ward/16/pu/024/024-1677416770.pdf</t>
  </si>
  <si>
    <t>OPEN SPACE IN FRONT OF ORIOLA COMMINITY HALL, SOYOYE, Polling Unit, ABEOKUTA NORTH, Ogun State, Nigeria</t>
  </si>
  <si>
    <t>27-01-16-025</t>
  </si>
  <si>
    <t>OPEN SPACE IN FRONT OF COMMUNITY HALL, IDI-ORI</t>
  </si>
  <si>
    <t>https://docs.inecelectionresults.net/elections_prod/1292/state/01/lga/01/ward/16/pu/025/025-1677416699.pdf</t>
  </si>
  <si>
    <t>OPEN SPACE IN FRONT OF COMMUNITY HALL, IDI-ORI, Polling Unit, ABEOKUTA NORTH, Ogun State, Nigeria</t>
  </si>
  <si>
    <t>27-01-16-026</t>
  </si>
  <si>
    <t>OPEN SPACE IN FRONT OF COMMUNITY HEALTH CENTRE, ADEUN</t>
  </si>
  <si>
    <t>https://docs.inecelectionresults.net/elections_prod/1292/state/01/lga/01/ward/16/pu/026/026-1677418378.pdf</t>
  </si>
  <si>
    <t>OPEN SPACE IN FRONT OF COMMUNITY HEALTH CENTRE, ADEUN, Polling Unit, ABEOKUTA NORTH, Ogun State, Nigeria</t>
  </si>
  <si>
    <t>27-01-16-027</t>
  </si>
  <si>
    <t>OPEN SPACE AT MERCY LAND ESTATE, ADEUN</t>
  </si>
  <si>
    <t>https://docs.inecelectionresults.net/elections_prod/1292/state/01/lga/01/ward/16/pu/027/027-1677418361.pdf</t>
  </si>
  <si>
    <t>OPEN SPACE AT MERCY LAND ESTATE, ADEUN, Polling Unit, ABEOKUTA NORTH, Ogun State, Nigeria</t>
  </si>
  <si>
    <t>27-01-07-013</t>
  </si>
  <si>
    <t>NEAR OLOHUN-SUNMIBARE MOSQUE, IJAYE-OBIRITIN</t>
  </si>
  <si>
    <t>https://docs.inecelectionresults.net/elections_prod/1292/state/01/lga/01/ward/07/pu/013/013-1677420184.pdf</t>
  </si>
  <si>
    <t>NEAR OLOHUN-SUNMIBARE MOSQUE, IJAYE-OBIRITIN, Polling Unit, ABEOKUTA NORTH, Ogun State, Nigeria</t>
  </si>
  <si>
    <t>27-01-07-016</t>
  </si>
  <si>
    <t>NEAR AIGORO COMPOUND,IDI OPARUN, AGO-IKA,</t>
  </si>
  <si>
    <t>https://docs.inecelectionresults.net/elections_prod/1292/state/01/lga/01/ward/07/pu/016/016-1677425733.pdf</t>
  </si>
  <si>
    <t>NEAR AIGORO COMPOUND,IDI OPARUN, AGO-IKA,, Polling Unit, ABEOKUTA NORTH, Ogun State, Nigeria</t>
  </si>
  <si>
    <t>27-01-07-017</t>
  </si>
  <si>
    <t>NEAR ADENEKAN HALL, AGO-IKA</t>
  </si>
  <si>
    <t>https://docs.inecelectionresults.net/elections_prod/1292/state/01/lga/01/ward/07/pu/017/017-1677420155.pdf</t>
  </si>
  <si>
    <t>NEAR ADENEKAN HALL, AGO-IKA, Polling Unit, ABEOKUTA NORTH, Ogun State, Nigeria</t>
  </si>
  <si>
    <t>27-01-07-018</t>
  </si>
  <si>
    <t>OPEN SPACE AT IDI-AGBON AGO IKA</t>
  </si>
  <si>
    <t>https://docs.inecelectionresults.net/elections_prod/1292/state/01/lga/01/ward/07/pu/018/018-1677425742.pdf</t>
  </si>
  <si>
    <t>OPEN SPACE AT IDI-AGBON AGO IKA, Polling Unit, ABEOKUTA NORTH, Ogun State, Nigeria</t>
  </si>
  <si>
    <t>27-01-07-019</t>
  </si>
  <si>
    <t>ALASALATU PRIMARY SCHOOL II, OJOKODO.</t>
  </si>
  <si>
    <t>https://docs.inecelectionresults.net/elections_prod/1292/state/01/lga/01/ward/07/pu/019/019-1677417562.pdf</t>
  </si>
  <si>
    <t>ALASALATU PRIMARY SCHOOL II, OJOKODO., Polling Unit, ABEOKUTA NORTH, Ogun State, Nigeria</t>
  </si>
  <si>
    <t>27-01-07-020</t>
  </si>
  <si>
    <t>OPEN SPACE AT ENUGADA, AGO-IKA</t>
  </si>
  <si>
    <t>https://docs.inecelectionresults.net/elections_prod/1292/state/01/lga/01/ward/07/pu/020/020-1677424220.pdf</t>
  </si>
  <si>
    <t>OPEN SPACE AT ENUGADA, AGO-IKA, Polling Unit, ABEOKUTA NORTH, Ogun State, Nigeria</t>
  </si>
  <si>
    <t>27-01-01-013</t>
  </si>
  <si>
    <t>OPEN SPACE NEAR ITA OGBONI, IKEREKU</t>
  </si>
  <si>
    <t>https://docs.inecelectionresults.net/elections_prod/1292/state/1/lga/3666/ward/23950/pu/164733/164733-1677482679.pdf</t>
  </si>
  <si>
    <t>OPEN SPACE NEAR ITA OGBONI, IKEREKU, Polling Unit, ABEOKUTA NORTH, Ogun State, Nigeria</t>
  </si>
  <si>
    <t>27-01-01-014</t>
  </si>
  <si>
    <t>OPEN SPACE NEAR ALARAN MOSQUE, IKEREKU</t>
  </si>
  <si>
    <t>https://docs.inecelectionresults.net/elections_prod/1292/state/1/lga/3666/ward/23950/pu/164734/164734-1677482936.pdf</t>
  </si>
  <si>
    <t>OPEN SPACE NEAR ALARAN MOSQUE, IKEREKU, Polling Unit, ABEOKUTA NORTH, Ogun State, Nigeria</t>
  </si>
  <si>
    <t>27-01-01-015</t>
  </si>
  <si>
    <t>27-01-02-007</t>
  </si>
  <si>
    <t>NEAR CENTRAL MOSQUE, IKIJA</t>
  </si>
  <si>
    <t>https://docs.inecelectionresults.net/elections_prod/1292/state/01/lga/01/ward/02/pu/007/007-1677415762.pdf</t>
  </si>
  <si>
    <t>NEAR CENTRAL MOSQUE, IKIJA, Polling Unit, ABEOKUTA NORTH, Ogun State, Nigeria</t>
  </si>
  <si>
    <t>27-01-02-008</t>
  </si>
  <si>
    <t>NEAR ADEDOTUN CENTRAL MOSQUE, OJUDE AGBURIN</t>
  </si>
  <si>
    <t>https://docs.inecelectionresults.net/elections_prod/1292/state/01/lga/01/ward/02/pu/008/008-1677417722.pdf</t>
  </si>
  <si>
    <t>NEAR ADEDOTUN CENTRAL MOSQUE, OJUDE AGBURIN, Polling Unit, ABEOKUTA NORTH, Ogun State, Nigeria</t>
  </si>
  <si>
    <t>27-01-02-009</t>
  </si>
  <si>
    <t>OPEN SPACE AT ABIYE JUNCTION, ADEDOTUN</t>
  </si>
  <si>
    <t>https://docs.inecelectionresults.net/elections_prod/1292/state/01/lga/01/ward/02/pu/009/009-1677412462.pdf</t>
  </si>
  <si>
    <t>OPEN SPACE AT ABIYE JUNCTION, ADEDOTUN, Polling Unit, ABEOKUTA NORTH, Ogun State, Nigeria</t>
  </si>
  <si>
    <t>27-01-02-010</t>
  </si>
  <si>
    <t>OPEN SPACE AT OSUNRINDE'S HOUSE II</t>
  </si>
  <si>
    <t>https://docs.inecelectionresults.net/elections_prod/1292/state/01/lga/01/ward/02/pu/010/010-1677411516.pdf</t>
  </si>
  <si>
    <t>OPEN SPACE AT OSUNRINDE'S HOUSE II, Polling Unit, ABEOKUTA NORTH, Ogun State, Nigeria</t>
  </si>
  <si>
    <t>27-01-05-020</t>
  </si>
  <si>
    <t>OPEN SPACE AT IREPODUN STREET, ILE OGBONI,ILUGUN ASALU</t>
  </si>
  <si>
    <t>https://docs.inecelectionresults.net/elections_prod/1292/state/01/lga/01/ward/05/pu/020/020-1677421251.pdf</t>
  </si>
  <si>
    <t>OPEN SPACE AT IREPODUN STREET, ILE OGBONI,ILUGUN ASALU, Polling Unit, ABEOKUTA NORTH, Ogun State, Nigeria</t>
  </si>
  <si>
    <t>27-01-05-021</t>
  </si>
  <si>
    <t>OPEN SPACE AT LASODE JUNCTION, ILUGUN</t>
  </si>
  <si>
    <t>https://docs.inecelectionresults.net/elections_prod/1292/state/01/lga/01/ward/05/pu/021/021-1677417955.pdf</t>
  </si>
  <si>
    <t>OPEN SPACE AT LASODE JUNCTION, ILUGUN, Polling Unit, ABEOKUTA NORTH, Ogun State, Nigeria</t>
  </si>
  <si>
    <t>27-01-05-022</t>
  </si>
  <si>
    <t>OPEN SPACE AT KOKUMO JUNCTION, ILUGUN</t>
  </si>
  <si>
    <t>https://docs.inecelectionresults.net/elections_prod/1292/state/01/lga/01/ward/05/pu/022/022-1677418358.pdf</t>
  </si>
  <si>
    <t>OPEN SPACE AT KOKUMO JUNCTION, ILUGUN, Polling Unit, ABEOKUTA NORTH, Ogun State, Nigeria</t>
  </si>
  <si>
    <t>27-01-05-023</t>
  </si>
  <si>
    <t>FRONT OF CENTRAL MOSQUE, IBEREKODO</t>
  </si>
  <si>
    <t>https://docs.inecelectionresults.net/elections_prod/1292/state/01/lga/01/ward/05/pu/023/023-1677409705.pdf</t>
  </si>
  <si>
    <t>FRONT OF CENTRAL MOSQUE, IBEREKODO, Polling Unit, ABEOKUTA NORTH, Ogun State, Nigeria</t>
  </si>
  <si>
    <t>27-01-05-024</t>
  </si>
  <si>
    <t>OPEN SPACE OPP. MIKENID PETROL STATION, IBEREKODO</t>
  </si>
  <si>
    <t>https://docs.inecelectionresults.net/elections_prod/1292/state/01/lga/01/ward/05/pu/024/024-1677414346.pdf</t>
  </si>
  <si>
    <t>OPEN SPACE OPP. MIKENID PETROL STATION, IBEREKODO, Polling Unit, ABEOKUTA NORTH, Ogun State, Nigeria</t>
  </si>
  <si>
    <t>27-01-05-025</t>
  </si>
  <si>
    <t>OPEN SPACE AT AROGUNDADE JUNCTION, NEAR MOKOLA BRIDGE</t>
  </si>
  <si>
    <t>https://docs.inecelectionresults.net/elections_prod/1292/state/01/lga/01/ward/05/pu/025/025-1677413335.pdf</t>
  </si>
  <si>
    <t>OPEN SPACE AT AROGUNDADE JUNCTION, NEAR MOKOLA BRIDGE, Polling Unit, ABEOKUTA NORTH, Ogun State, Nigeria</t>
  </si>
  <si>
    <t>27-01-05-026</t>
  </si>
  <si>
    <t>OPEN SPACE AT ELEWA FAAJI DE, MOKOLA</t>
  </si>
  <si>
    <t>https://docs.inecelectionresults.net/elections_prod/1292/state/01/lga/01/ward/05/pu/026/026-1677411911.pdf</t>
  </si>
  <si>
    <t>OPEN SPACE AT ELEWA FAAJI DE, MOKOLA, Polling Unit, ABEOKUTA NORTH, Ogun State, Nigeria</t>
  </si>
  <si>
    <t>27-01-05-027</t>
  </si>
  <si>
    <t>OPEN SPACE IN FRONT OF OGUN STATE WATER CORPORATION, ARAKANGA.</t>
  </si>
  <si>
    <t>https://docs.inecelectionresults.net/elections_prod/1292/state/01/lga/01/ward/05/pu/027/027-1677407699.pdf</t>
  </si>
  <si>
    <t>OPEN SPACE IN FRONT OF OGUN STATE WATER CORPORATION, ARAKANGA., Polling Unit, ABEOKUTA NORTH, Ogun State, Nigeria</t>
  </si>
  <si>
    <t>27-01-05-028</t>
  </si>
  <si>
    <t>OPEN SPACE AT TEMIDIRE AREA, OKE ARAKANGA</t>
  </si>
  <si>
    <t>https://docs.inecelectionresults.net/elections_prod/1292/state/01/lga/01/ward/05/pu/028/028-1677419155.pdf</t>
  </si>
  <si>
    <t>OPEN SPACE AT TEMIDIRE AREA, OKE ARAKANGA, Polling Unit, ABEOKUTA NORTH, Ogun State, Nigeria</t>
  </si>
  <si>
    <t>27-01-05-029</t>
  </si>
  <si>
    <t>OPEN SPACE BEHIND TOTAL PETROL STATION, IBEREKODO</t>
  </si>
  <si>
    <t>https://docs.inecelectionresults.net/elections_prod/1292/state/01/lga/01/ward/05/pu/029/029-1677419704.pdf</t>
  </si>
  <si>
    <t>OPEN SPACE BEHIND TOTAL PETROL STATION, IBEREKODO, Polling Unit, ABEOKUTA NORTH, Ogun State, Nigeria</t>
  </si>
  <si>
    <t>27-01-05-030</t>
  </si>
  <si>
    <t>FRONT OF OGUNBONA HOUSE, AKOMOJE</t>
  </si>
  <si>
    <t>https://docs.inecelectionresults.net/elections_prod/1292/state/01/lga/01/ward/05/pu/030/030-1677411389.pdf</t>
  </si>
  <si>
    <t>FRONT OF OGUNBONA HOUSE, AKOMOJE, Polling Unit, ABEOKUTA NORTH, Ogun State, Nigeria</t>
  </si>
  <si>
    <t>27-01-05-031</t>
  </si>
  <si>
    <t>OPEN SPACE AT ALAGBODE JUNCTION,  AKOMOJE</t>
  </si>
  <si>
    <t>https://docs.inecelectionresults.net/elections_prod/1292/state/01/lga/01/ward/05/pu/031/031-1677416506.pdf</t>
  </si>
  <si>
    <t>OPEN SPACE AT ALAGBODE JUNCTION,  AKOMOJE, Polling Unit, ABEOKUTA NORTH, Ogun State, Nigeria</t>
  </si>
  <si>
    <t>27-01-05-032</t>
  </si>
  <si>
    <t>OPEN SPACE AT IDOFIN JUNCTION, IYAN RESERVOIRE</t>
  </si>
  <si>
    <t>https://docs.inecelectionresults.net/elections_prod/1292/state/01/lga/01/ward/05/pu/032/032-1677420372.pdf</t>
  </si>
  <si>
    <t>OPEN SPACE AT IDOFIN JUNCTION, IYAN RESERVOIRE, Polling Unit, ABEOKUTA NORTH, Ogun State, Nigeria</t>
  </si>
  <si>
    <t>27-01-05-033</t>
  </si>
  <si>
    <t>FRONT OF ATAMBALA'S HOUSE II</t>
  </si>
  <si>
    <t>https://docs.inecelectionresults.net/elections_prod/1292/state/01/lga/01/ward/05/pu/033/033-1677415592.pdf</t>
  </si>
  <si>
    <t>FRONT OF ATAMBALA'S HOUSE II, Polling Unit, ABEOKUTA NORTH, Ogun State, Nigeria</t>
  </si>
  <si>
    <t>27-01-05-034</t>
  </si>
  <si>
    <t>FRONT OF OKE OMO HOUSE, IBEREKODO</t>
  </si>
  <si>
    <t>https://docs.inecelectionresults.net/elections_prod/1292/state/01/lga/01/ward/05/pu/034/034-1677421636.pdf</t>
  </si>
  <si>
    <t>FRONT OF OKE OMO HOUSE, IBEREKODO, Polling Unit, ABEOKUTA NORTH, Ogun State, Nigeria</t>
  </si>
  <si>
    <t>27-01-14-024</t>
  </si>
  <si>
    <t>OPEN SPACE AT AGO IBARA, IDIEMI</t>
  </si>
  <si>
    <t>https://docs.inecelectionresults.net/elections_prod/1292/state/01/lga/01/ward/14/pu/024/024-1677428771.pdf</t>
  </si>
  <si>
    <t>OPEN SPACE AT AGO IBARA, IDIEMI, Polling Unit, ABEOKUTA NORTH, Ogun State, Nigeria</t>
  </si>
  <si>
    <t>27-01-15-017</t>
  </si>
  <si>
    <t>OPEN SPACE IN FRONT OF COMMUNITY TOWN HALL, ISAGA ORILE</t>
  </si>
  <si>
    <t>https://docs.inecelectionresults.net/elections_prod/1292/state/1/lga/3666/ward/23964/pu/164829/164829-1677490744.pdf</t>
  </si>
  <si>
    <t>OPEN SPACE IN FRONT OF COMMUNITY TOWN HALL, ISAGA ORILE, Polling Unit, ABEOKUTA NORTH, Ogun State, Nigeria</t>
  </si>
  <si>
    <t>27-01-12-013</t>
  </si>
  <si>
    <t>OPEN SPACE AT BABA OIL JUNCTION, OLOMORE</t>
  </si>
  <si>
    <t>https://docs.inecelectionresults.net/elections_prod/1292/state/01/lga/01/ward/12/pu/013/013-1677428290.pdf</t>
  </si>
  <si>
    <t>OPEN SPACE AT BABA OIL JUNCTION, OLOMORE, Polling Unit, ABEOKUTA NORTH, Ogun State, Nigeria</t>
  </si>
  <si>
    <t>27-01-12-014</t>
  </si>
  <si>
    <t>OPEN SPACE ALONG SPEAKER ROAD, OLD FOURSQUARE, OLOMORE</t>
  </si>
  <si>
    <t>https://docs.inecelectionresults.net/elections_prod/1292/state/01/lga/01/ward/12/pu/014/014-1677421593.pdf</t>
  </si>
  <si>
    <t>OPEN SPACE ALONG SPEAKER ROAD, OLD FOURSQUARE, OLOMORE, Polling Unit, ABEOKUTA NORTH, Ogun State, Nigeria</t>
  </si>
  <si>
    <t>27-01-12-015</t>
  </si>
  <si>
    <t>OPEN SPACE AT IRE-AKARI JUNCTION, OLOMORE</t>
  </si>
  <si>
    <t>https://docs.inecelectionresults.net/elections_prod/1292/state/1/lga/3666/ward/23961/pu/164821/164821-1677479587.pdf</t>
  </si>
  <si>
    <t>OPEN SPACE AT IRE-AKARI JUNCTION, OLOMORE, Polling Unit, ABEOKUTA NORTH, Ogun State, Nigeria</t>
  </si>
  <si>
    <t>27-01-12-016</t>
  </si>
  <si>
    <t>OPEN SPACE AT OLORUNJOBI OSUOLALE JUNCTION, OLOMORE</t>
  </si>
  <si>
    <t>https://docs.inecelectionresults.net/elections_prod/1292/state/01/lga/01/ward/12/pu/016/016-1677423200.pdf</t>
  </si>
  <si>
    <t>OPEN SPACE AT OLORUNJOBI OSUOLALE JUNCTION, OLOMORE, Polling Unit, ABEOKUTA NORTH, Ogun State, Nigeria</t>
  </si>
  <si>
    <t>27-01-12-017</t>
  </si>
  <si>
    <t>OPEN SPACE AT OPEOLUWA COMMUNITY JUCTION, ITA-OSHIN</t>
  </si>
  <si>
    <t>https://docs.inecelectionresults.net/elections_prod/1292/state/01/lga/01/ward/12/pu/017/017-1677417625.pdf</t>
  </si>
  <si>
    <t>OPEN SPACE AT OPEOLUWA COMMUNITY JUCTION, ITA-OSHIN, Polling Unit, ABEOKUTA NORTH, Ogun State, Nigeria</t>
  </si>
  <si>
    <t>27-01-12-018</t>
  </si>
  <si>
    <t>OPEN SPACE IN FRONT WATER CORPORATION, ITA-OSHIN</t>
  </si>
  <si>
    <t>https://docs.inecelectionresults.net/elections_prod/1292/state/01/lga/01/ward/12/pu/018/018-1677418691.pdf</t>
  </si>
  <si>
    <t>OPEN SPACE IN FRONT WATER CORPORATION, ITA-OSHIN, Polling Unit, ABEOKUTA NORTH, Ogun State, Nigeria</t>
  </si>
  <si>
    <t>27-01-12-019</t>
  </si>
  <si>
    <t>OPEN SPACE AT TAORID AKIODE JUNCTION, ITA-OSHIN</t>
  </si>
  <si>
    <t>https://docs.inecelectionresults.net/elections_prod/1292/state/01/lga/01/ward/12/pu/019/019-1677417054.pdf</t>
  </si>
  <si>
    <t>OPEN SPACE AT TAORID AKIODE JUNCTION, ITA-OSHIN, Polling Unit, ABEOKUTA NORTH, Ogun State, Nigeria</t>
  </si>
  <si>
    <t>27-01-12-020</t>
  </si>
  <si>
    <t>OPEN SPACE IN FRONT OF PROPOSED TOWN HALL, HARMONY ESTATE ,ITA-OSHIN</t>
  </si>
  <si>
    <t>https://docs.inecelectionresults.net/elections_prod/1292/state/1/lga/3666/ward/23961/pu/164826/164826-1677478144.pdf</t>
  </si>
  <si>
    <t>OPEN SPACE IN FRONT OF PROPOSED TOWN HALL, HARMONY ESTATE ,ITA-OSHIN, Polling Unit, ABEOKUTA NORTH, Ogun State, Nigeria</t>
  </si>
  <si>
    <t>27-01-12-021</t>
  </si>
  <si>
    <t>OPEN SPACE BISIDE SURULERE MOSQUE, SURULERE OLOMORE</t>
  </si>
  <si>
    <t>https://docs.inecelectionresults.net/elections_prod/1292/state/01/lga/01/ward/12/pu/021/021-1677425820.pdf</t>
  </si>
  <si>
    <t>OPEN SPACE BISIDE SURULERE MOSQUE, SURULERE OLOMORE, Polling Unit, ABEOKUTA NORTH, Ogun State, Nigeria</t>
  </si>
  <si>
    <t>27-01-08-010</t>
  </si>
  <si>
    <t>NEAR BIOBAKU HOUSE, LAFENWA</t>
  </si>
  <si>
    <t>https://docs.inecelectionresults.net/elections_prod/1292/state/01/lga/01/ward/08/pu/010/010-1677389062.pdf</t>
  </si>
  <si>
    <t>NEAR BIOBAKU HOUSE, LAFENWA, Polling Unit, ABEOKUTA NORTH, Ogun State, Nigeria</t>
  </si>
  <si>
    <t>27-01-08-011</t>
  </si>
  <si>
    <t>OPEN SPACE AT RAILWAY QUARTERS, LAFENWA</t>
  </si>
  <si>
    <t>https://docs.inecelectionresults.net/elections_prod/1292/state/01/lga/01/ward/08/pu/011/011-1677389425.pdf</t>
  </si>
  <si>
    <t>OPEN SPACE AT RAILWAY QUARTERS, LAFENWA, Polling Unit, ABEOKUTA NORTH, Ogun State, Nigeria</t>
  </si>
  <si>
    <t>27-01-08-012</t>
  </si>
  <si>
    <t>OPEN SPACE IN FRONT OF TITILOPE MOSQUE, ABULE-OTUN</t>
  </si>
  <si>
    <t>https://docs.inecelectionresults.net/elections_prod/1292/state/01/lga/01/ward/08/pu/012/012-1677389927.pdf</t>
  </si>
  <si>
    <t>OPEN SPACE IN FRONT OF TITILOPE MOSQUE, ABULE-OTUN, Polling Unit, ABEOKUTA NORTH, Ogun State, Nigeria</t>
  </si>
  <si>
    <t>27-01-08-013</t>
  </si>
  <si>
    <t>OPEN SPACE IN FRONT OF TRANSFORMER, GAA SABO</t>
  </si>
  <si>
    <t>https://docs.inecelectionresults.net/elections_prod/1292/state/01/lga/01/ward/08/pu/013/013-1677390356.pdf</t>
  </si>
  <si>
    <t>OPEN SPACE IN FRONT OF TRANSFORMER, GAA SABO, Polling Unit, ABEOKUTA NORTH, Ogun State, Nigeria</t>
  </si>
  <si>
    <t>27-01-08-014</t>
  </si>
  <si>
    <t>OPEN SPACE AT AKINDELE JUNCTION, GAA SABO</t>
  </si>
  <si>
    <t>https://docs.inecelectionresults.net/elections_prod/1292/state/01/lga/01/ward/08/pu/014/014-1677394291.pdf</t>
  </si>
  <si>
    <t>OPEN SPACE AT AKINDELE JUNCTION, GAA SABO, Polling Unit, ABEOKUTA NORTH, Ogun State, Nigeria</t>
  </si>
  <si>
    <t>27-01-10-016</t>
  </si>
  <si>
    <t>OPEN SPACE BESIDE AKINSIDE HOUSE , AMUKANKAN</t>
  </si>
  <si>
    <t>https://docs.inecelectionresults.net/elections_prod/1292/state/01/lga/01/ward/10/pu/016/016-1677422265.pdf</t>
  </si>
  <si>
    <t>OPEN SPACE BESIDE AKINSIDE HOUSE , AMUKANKAN, Polling Unit, ABEOKUTA NORTH, Ogun State, Nigeria</t>
  </si>
  <si>
    <t>27-01-10-017</t>
  </si>
  <si>
    <t>OPEN SPACE OPPOSITE OBALASAKO COMPOUND, AMUKANKAN</t>
  </si>
  <si>
    <t>https://docs.inecelectionresults.net/elections_prod/1292/state/01/lga/01/ward/10/pu/017/017-1677423205.pdf</t>
  </si>
  <si>
    <t>OPEN SPACE OPPOSITE OBALASAKO COMPOUND, AMUKANKAN, Polling Unit, ABEOKUTA NORTH, Ogun State, Nigeria</t>
  </si>
  <si>
    <t>27-01-09-015</t>
  </si>
  <si>
    <t>OPEN SPACE IN FRONT OF PROPOSED COMM. HEALTH CENTRE OLATEJU OLOSUN</t>
  </si>
  <si>
    <t>https://docs.inecelectionresults.net/elections_prod/1292/state/1/lga/3666/ward/23958/pu/164787/164787-1677492398.pdf</t>
  </si>
  <si>
    <t>OPEN SPACE IN FRONT OF PROPOSED COMM. HEALTH CENTRE OLATEJU OLOSUN, Polling Unit, ABEOKUTA NORTH, Ogun State, Nigeria</t>
  </si>
  <si>
    <t>27-01-09-016</t>
  </si>
  <si>
    <t>OPEN SPACE AT AJIBANDE JUNCTION, AIYETORO  GARAGE</t>
  </si>
  <si>
    <t>https://docs.inecelectionresults.net/elections_prod/1292/state/1/lga/3666/ward/23958/pu/164788/164788-1677498618.pdf</t>
  </si>
  <si>
    <t>OPEN SPACE AT AJIBANDE JUNCTION, AIYETORO  GARAGE, Polling Unit, ABEOKUTA NORTH, Ogun State, Nigeria</t>
  </si>
  <si>
    <t>27-01-09-017</t>
  </si>
  <si>
    <t>OPEN SPACE AT METIER GUEST HOUSE, OGUN RADIO</t>
  </si>
  <si>
    <t>https://docs.inecelectionresults.net/elections_prod/1292/state/1/lga/3666/ward/23958/pu/164789/164789-1677484744.pdf</t>
  </si>
  <si>
    <t>OPEN SPACE AT METIER GUEST HOUSE, OGUN RADIO, Polling Unit, ABEOKUTA NORTH, Ogun State, Nigeria</t>
  </si>
  <si>
    <t>27-01-09-018</t>
  </si>
  <si>
    <t>SCHOOL PREMISES PREMIER GRAMMAR SCHOOL, LAFENWA.</t>
  </si>
  <si>
    <t>https://docs.inecelectionresults.net/elections_prod/1292/state/1/lga/3666/ward/23958/pu/164790/164790-1677478763.pdf</t>
  </si>
  <si>
    <t>SCHOOL PREMISES PREMIER GRAMMAR SCHOOL, LAFENWA., Polling Unit, ABEOKUTA NORTH, Ogun State, Nigeria</t>
  </si>
  <si>
    <t>27-01-09-019</t>
  </si>
  <si>
    <t>SCHOOL PREMISES COMMUNITY PRIMARY SCHOOL, SODEKE TITUN</t>
  </si>
  <si>
    <t>https://docs.inecelectionresults.net/elections_prod/1292/state/1/lga/3666/ward/23958/pu/164791/164791-1677480431.pdf</t>
  </si>
  <si>
    <t>SCHOOL PREMISES COMMUNITY PRIMARY SCHOOL, SODEKE TITUN, Polling Unit, ABEOKUTA NORTH, Ogun State, Nigeria</t>
  </si>
  <si>
    <t>27-01-09-020</t>
  </si>
  <si>
    <t>OPEN SPACE AT LURO ESTATE GATE, LURO</t>
  </si>
  <si>
    <t>https://docs.inecelectionresults.net/elections_prod/1292/state/1/lga/3666/ward/23958/pu/164792/164792-1677481079.pdf</t>
  </si>
  <si>
    <t>OPEN SPACE AT LURO ESTATE GATE, LURO, Polling Unit, ABEOKUTA NORTH, Ogun State, Nigeria</t>
  </si>
  <si>
    <t>27-01-09-022</t>
  </si>
  <si>
    <t>OPEN SPACE AT BOLUDAYO JUNCTION SABO.</t>
  </si>
  <si>
    <t>https://docs.inecelectionresults.net/elections_prod/1292/state/1/lga/3666/ward/23958/pu/164794/164794-1677483147.pdf</t>
  </si>
  <si>
    <t>OPEN SPACE AT BOLUDAYO JUNCTION SABO., Polling Unit, ABEOKUTA NORTH, Ogun State, Nigeria</t>
  </si>
  <si>
    <t>27-01-09-024</t>
  </si>
  <si>
    <t>OPEN SPACE AT KINITO ALAFIA JUNCTION SABO</t>
  </si>
  <si>
    <t>https://docs.inecelectionresults.net/elections_prod/1292/state/1/lga/3666/ward/23958/pu/164796/164796-1677482737.pdf</t>
  </si>
  <si>
    <t>OPEN SPACE AT KINITO ALAFIA JUNCTION SABO, Polling Unit, ABEOKUTA NORTH, Ogun State, Nigeria</t>
  </si>
  <si>
    <t>27-01-09-026</t>
  </si>
  <si>
    <t>OPEN SPACE NEAR TEMIDIRE CENTRAL MOSQUE, SABO</t>
  </si>
  <si>
    <t>https://docs.inecelectionresults.net/elections_prod/1292/state/1/lga/3666/ward/23958/pu/164798/164798-1677499405.pdf</t>
  </si>
  <si>
    <t>OPEN SPACE NEAR TEMIDIRE CENTRAL MOSQUE, SABO, Polling Unit, ABEOKUTA NORTH, Ogun State, Nigeria</t>
  </si>
  <si>
    <t>27-01-09-027</t>
  </si>
  <si>
    <t>COMMUNITY PRIMARY SCHOOL, OBASA</t>
  </si>
  <si>
    <t>https://docs.inecelectionresults.net/elections_prod/1292/state/1/lga/3666/ward/23958/pu/164799/164799-1677481434.pdf</t>
  </si>
  <si>
    <t>COMMUNITY PRIMARY SCHOOL, OBASA, Polling Unit, ABEOKUTA NORTH, Ogun State, Nigeria</t>
  </si>
  <si>
    <t>27-01-09-028</t>
  </si>
  <si>
    <t>OLUMO PRIMARY SCHOOL II SABO</t>
  </si>
  <si>
    <t>https://docs.inecelectionresults.net/elections_prod/1292/state/1/lga/3666/ward/23958/pu/164800/164800-1677500060.pdf</t>
  </si>
  <si>
    <t>OLUMO PRIMARY SCHOOL II SABO, Polling Unit, ABEOKUTA NORTH, Ogun State, Nigeria</t>
  </si>
  <si>
    <t>27-01-09-029</t>
  </si>
  <si>
    <t>OPEBIYI JUNCTION, AGBO ERAN</t>
  </si>
  <si>
    <t>https://docs.inecelectionresults.net/elections_prod/1292/state/1/lga/3666/ward/23958/pu/164801/164801-1677483460.pdf</t>
  </si>
  <si>
    <t>OPEBIYI JUNCTION, AGBO ERAN, Polling Unit, ABEOKUTA NORTH, Ogun State, Nigeria</t>
  </si>
  <si>
    <t>27-01-09-030</t>
  </si>
  <si>
    <t>COMMUNITY HALL IFEOLUWA ODUNJO ARAROMI</t>
  </si>
  <si>
    <t>https://docs.inecelectionresults.net/elections_prod/1292/state/1/lga/3666/ward/23958/pu/164802/164802-1677484442.pdf</t>
  </si>
  <si>
    <t>COMMUNITY HALL IFEOLUWA ODUNJO ARAROMI, Polling Unit, ABEOKUTA NORTH, Ogun State, Nigeria</t>
  </si>
  <si>
    <t>27-01-09-031</t>
  </si>
  <si>
    <t>OPEN SPACE AT MABINU ORI AVENUE, SABO</t>
  </si>
  <si>
    <t>https://docs.inecelectionresults.net/elections_prod/1292/state/1/lga/3666/ward/23958/pu/164803/164803-1677484008.pdf</t>
  </si>
  <si>
    <t>OPEN SPACE AT MABINU ORI AVENUE, SABO, Polling Unit, ABEOKUTA NORTH, Ogun State, Nigeria</t>
  </si>
  <si>
    <t>27-01-09-032</t>
  </si>
  <si>
    <t>OPEN SPACE AT BAJOMO STREET, AYETORO GARAGE</t>
  </si>
  <si>
    <t>https://docs.inecelectionresults.net/elections_prod/1292/state/1/lga/3666/ward/23958/pu/164804/164804-1677482285.pdf</t>
  </si>
  <si>
    <t>OPEN SPACE AT BAJOMO STREET, AYETORO GARAGE, Polling Unit, ABEOKUTA NORTH, Ogun State, Nigeria</t>
  </si>
  <si>
    <t>27-01-11-028</t>
  </si>
  <si>
    <t>OPEN SPACE BESIDE ADISA ONIFUNERAN HOUSE, SOKORI</t>
  </si>
  <si>
    <t>https://docs.inecelectionresults.net/elections_prod/1292/state/01/lga/01/ward/11/pu/028/028-1677420581.pdf</t>
  </si>
  <si>
    <t>OPEN SPACE BESIDE ADISA ONIFUNERAN HOUSE, SOKORI, Polling Unit, ABEOKUTA NORTH, Ogun State, Nigeria</t>
  </si>
  <si>
    <t>27-01-11-029</t>
  </si>
  <si>
    <t>OPEN SPACE AT ADEWALE ABOABA JUNCTION, SOKORI</t>
  </si>
  <si>
    <t>https://docs.inecelectionresults.net/elections_prod/1292/state/01/lga/01/ward/11/pu/029/029-1677426843.pdf</t>
  </si>
  <si>
    <t>OPEN SPACE AT ADEWALE ABOABA JUNCTION, SOKORI, Polling Unit, ABEOKUTA NORTH, Ogun State, Nigeria</t>
  </si>
  <si>
    <t>27-01-11-030</t>
  </si>
  <si>
    <t>AFRICAN CHURCHCENTRAL PRIMARY SCHOOL II, ITA IYALODE</t>
  </si>
  <si>
    <t>https://docs.inecelectionresults.net/elections_prod/1292/state/01/lga/01/ward/11/pu/030/030-1677428279.pdf</t>
  </si>
  <si>
    <t>AFRICAN CHURCHCENTRAL PRIMARY SCHOOL II, ITA IYALODE, Polling Unit, ABEOKUTA NORTH, Ogun State, Nigeria</t>
  </si>
  <si>
    <t>27-01-11-031</t>
  </si>
  <si>
    <t>METHODIST PRIMARY SCHOOL, SOKORI  II</t>
  </si>
  <si>
    <t>https://docs.inecelectionresults.net/elections_prod/1292/state/01/lga/01/ward/11/pu/031/031-1677416664.pdf</t>
  </si>
  <si>
    <t>METHODIST PRIMARY SCHOOL, SOKORI  II, Polling Unit, ABEOKUTA NORTH, Ogun State, Nigeria</t>
  </si>
  <si>
    <t>27-01-11-032</t>
  </si>
  <si>
    <t>OPEN SPACE BESIDE OLORUNTOBI MOSQUE OJE ILE SOKORI</t>
  </si>
  <si>
    <t>https://docs.inecelectionresults.net/elections_prod/1292/state/01/lga/01/ward/11/pu/032/032-1677420959.pdf</t>
  </si>
  <si>
    <t>OPEN SPACE BESIDE OLORUNTOBI MOSQUE OJE ILE SOKORI, Polling Unit, ABEOKUTA NORTH, Ogun State, Nigeria</t>
  </si>
  <si>
    <t>27-01-11-033</t>
  </si>
  <si>
    <t>ONIJAYE JUNCTION, SOKORI</t>
  </si>
  <si>
    <t>https://docs.inecelectionresults.net/elections_prod/1292/state/01/lga/01/ward/11/pu/033/033-1677361281.pdf</t>
  </si>
  <si>
    <t>ONIJAYE JUNCTION, SOKORI, Polling Unit, ABEOKUTA NORTH, Ogun State, Nigeria</t>
  </si>
  <si>
    <t>27-01-11-034</t>
  </si>
  <si>
    <t>SPACE IN FRONT OF OGUN STATE VETINARY COMPLEX, OBASANJO WAY</t>
  </si>
  <si>
    <t>https://docs.inecelectionresults.net/elections_prod/1292/state/1/lga/3666/ward/23960/pu/164813/164813-1677478196.pdf</t>
  </si>
  <si>
    <t>SPACE IN FRONT OF OGUN STATE VETINARY COMPLEX, OBASANJO WAY, Polling Unit, ABEOKUTA NORTH, Ogun State, Nigeria</t>
  </si>
  <si>
    <t>27-01-11-035</t>
  </si>
  <si>
    <t>OPEN SPACE BESIDE PENCE FOUNDATION INT'L COLLEGE</t>
  </si>
  <si>
    <t>https://docs.inecelectionresults.net/elections_prod/1292/state/1/lga/3666/ward/23960/pu/164814/164814-1677478829.pdf</t>
  </si>
  <si>
    <t>OPEN SPACE BESIDE PENCE FOUNDATION INT'L COLLEGE, Polling Unit, ABEOKUTA NORTH, Ogun State, Nigeria</t>
  </si>
  <si>
    <t>27-01-11-036</t>
  </si>
  <si>
    <t>OPEN SPACE BESIDE FEMI SHORINOLA JUNCTION, ORIYANRIN</t>
  </si>
  <si>
    <t>https://docs.inecelectionresults.net/elections_prod/1292/state/1/lga/3666/ward/23960/pu/164815/164815-1677478575.pdf</t>
  </si>
  <si>
    <t>OPEN SPACE BESIDE FEMI SHORINOLA JUNCTION, ORIYANRIN, Polling Unit, ABEOKUTA NORTH, Ogun State, Nigeria</t>
  </si>
  <si>
    <t>27-01-11-037</t>
  </si>
  <si>
    <t>OPEN SPACE AT OLORUNSOGO COMMUNITY APO JUNCTION, PEPSI</t>
  </si>
  <si>
    <t>https://docs.inecelectionresults.net/elections_prod/1292/state/1/lga/3666/ward/23960/pu/164816/164816-1677478721.pdf</t>
  </si>
  <si>
    <t>OPEN SPACE AT OLORUNSOGO COMMUNITY APO JUNCTION, PEPSI, Polling Unit, ABEOKUTA NORTH, Ogun State, Nigeria</t>
  </si>
  <si>
    <t>27-01-11-038</t>
  </si>
  <si>
    <t>OPEN SPACE AT OGUN STATE SCOUT COUNCIL HQ,ITA-IYALODE</t>
  </si>
  <si>
    <t>https://docs.inecelectionresults.net/elections_prod/1292/state/01/lga/01/ward/11/pu/038/038-1677424732.pdf</t>
  </si>
  <si>
    <t>OPEN SPACE AT OGUN STATE SCOUT COUNCIL HQ,ITA-IYALODE, Polling Unit, ABEOKUTA NORTH, Ogun State, Nigeria</t>
  </si>
  <si>
    <t>27-02-09-022</t>
  </si>
  <si>
    <t>OPEN SPACE OPP. ABEOKUTA SOUTH HEALTH CENTER LADERIN</t>
  </si>
  <si>
    <t>https://docs.inecelectionresults.net/elections_prod/1292/state/01/lga/02/ward/09/pu/022/022-1677423545.pdf</t>
  </si>
  <si>
    <t>OPEN SPACE OPP. ABEOKUTA SOUTH HEALTH CENTER LADERIN, Polling Unit, ABEOKUTA SOUTH, Ogun State, Nigeria</t>
  </si>
  <si>
    <t>27-02-09-023</t>
  </si>
  <si>
    <t>OPEN SPACE OBASANJO HILL TOP GATE OKE- MOSAN</t>
  </si>
  <si>
    <t>https://docs.inecelectionresults.net/elections_prod/1292/state/01/lga/02/ward/09/pu/023/023-1677426483.pdf</t>
  </si>
  <si>
    <t>OPEN SPACE OBASANJO HILL TOP GATE OKE- MOSAN, Polling Unit, ABEOKUTA SOUTH, Ogun State, Nigeria</t>
  </si>
  <si>
    <t>27-02-09-024</t>
  </si>
  <si>
    <t>OPEN SPACE OPP. GOD OF ISREAL SCH. LUKOSI</t>
  </si>
  <si>
    <t>https://docs.inecelectionresults.net/elections_prod/1292/state/1/lga/3667/ward/23974/pu/164924/164924-1677490285.pdf</t>
  </si>
  <si>
    <t>OPEN SPACE OPP. GOD OF ISREAL SCH. LUKOSI, Polling Unit, ABEOKUTA SOUTH, Ogun State, Nigeria</t>
  </si>
  <si>
    <t>27-02-09-025</t>
  </si>
  <si>
    <t>OPEN SPACE FOLARIN JUNCTION BESIDE TRANSFORMER IJEUN LUKOSI</t>
  </si>
  <si>
    <t>https://docs.inecelectionresults.net/elections_prod/1292/state/01/lga/02/ward/09/pu/025/025-1677427133.pdf</t>
  </si>
  <si>
    <t>OPEN SPACE FOLARIN JUNCTION BESIDE TRANSFORMER IJEUN LUKOSI, Polling Unit, ABEOKUTA SOUTH, Ogun State, Nigeria</t>
  </si>
  <si>
    <t>27-02-09-026</t>
  </si>
  <si>
    <t>SOCIAL CENTER LUD SITE V HOUSING ESTATE EWANG</t>
  </si>
  <si>
    <t>https://docs.inecelectionresults.net/elections_prod/1292/state/01/lga/02/ward/09/pu/026/026-1677406421.pdf</t>
  </si>
  <si>
    <t>SOCIAL CENTER LUD SITE V HOUSING ESTATE EWANG, Polling Unit, ABEOKUTA SOUTH, Ogun State, Nigeria</t>
  </si>
  <si>
    <t>27-02-09-027</t>
  </si>
  <si>
    <t>OPEN SPACE NEAR KHALIFA ADENEKAN HOUSE IJEUN TITUN</t>
  </si>
  <si>
    <t>https://docs.inecelectionresults.net/elections_prod/1292/state/01/lga/02/ward/09/pu/027/027-1677409871.pdf</t>
  </si>
  <si>
    <t>OPEN SPACE NEAR KHALIFA ADENEKAN HOUSE IJEUN TITUN, Polling Unit, ABEOKUTA SOUTH, Ogun State, Nigeria</t>
  </si>
  <si>
    <t>27-02-09-028</t>
  </si>
  <si>
    <t>OPEN SPACE BESIDE BURIAL GROUND AGO-EGUN</t>
  </si>
  <si>
    <t>https://docs.inecelectionresults.net/elections_prod/1292/state/01/lga/02/ward/09/pu/028/028-1677411479.pdf</t>
  </si>
  <si>
    <t>OPEN SPACE BESIDE BURIAL GROUND AGO-EGUN, Polling Unit, ABEOKUTA SOUTH, Ogun State, Nigeria</t>
  </si>
  <si>
    <t>27-02-09-029</t>
  </si>
  <si>
    <t>OPEN SPACE OPP. MAGNUS SMITH NUR/PRIMARY SCH. IJEUN TITUN</t>
  </si>
  <si>
    <t>https://docs.inecelectionresults.net/elections_prod/1292/state/01/lga/02/ward/09/pu/029/029-1677426937.pdf</t>
  </si>
  <si>
    <t>OPEN SPACE OPP. MAGNUS SMITH NUR/PRIMARY SCH. IJEUN TITUN, Polling Unit, ABEOKUTA SOUTH, Ogun State, Nigeria</t>
  </si>
  <si>
    <t>27-02-09-030</t>
  </si>
  <si>
    <t>OPEN SPACE OREMEJI STREET NEAR EGBEYEMI HOUSE IJEUN TUNTUN</t>
  </si>
  <si>
    <t>https://docs.inecelectionresults.net/elections_prod/1292/state/01/lga/02/ward/09/pu/030/030-1677419467.pdf</t>
  </si>
  <si>
    <t>OPEN SPACE OREMEJI STREET NEAR EGBEYEMI HOUSE IJEUN TUNTUN, Polling Unit, ABEOKUTA SOUTH, Ogun State, Nigeria</t>
  </si>
  <si>
    <t>27-02-09-031</t>
  </si>
  <si>
    <t>OPEN SPACE BEHIND BAALE'S HOUSE OLOROMBO</t>
  </si>
  <si>
    <t>https://docs.inecelectionresults.net/elections_prod/1292/state/01/lga/02/ward/09/pu/031/031-1677405810.pdf</t>
  </si>
  <si>
    <t>OPEN SPACE BEHIND BAALE'S HOUSE OLOROMBO, Polling Unit, ABEOKUTA SOUTH, Ogun State, Nigeria</t>
  </si>
  <si>
    <t>27-02-09-032</t>
  </si>
  <si>
    <t>OPEN SPACE JAGUN STREET IJEUN TUNTUN</t>
  </si>
  <si>
    <t>https://docs.inecelectionresults.net/elections_prod/1292/state/01/lga/02/ward/09/pu/032/032-1677425760.pdf</t>
  </si>
  <si>
    <t>OPEN SPACE JAGUN STREET IJEUN TUNTUN, Polling Unit, ABEOKUTA SOUTH, Ogun State, Nigeria</t>
  </si>
  <si>
    <t>27-02-09-033</t>
  </si>
  <si>
    <t>UBE PRIMARY SCHOOL SURULERE LEME</t>
  </si>
  <si>
    <t>https://docs.inecelectionresults.net/elections_prod/1292/state/01/lga/02/ward/09/pu/033/033-1677424789.pdf</t>
  </si>
  <si>
    <t>UBE PRIMARY SCHOOL SURULERE LEME, Polling Unit, ABEOKUTA SOUTH, Ogun State, Nigeria</t>
  </si>
  <si>
    <t>27-02-09-034</t>
  </si>
  <si>
    <t>OPEN SPACE BESIDE INEC IJEUN TITUN</t>
  </si>
  <si>
    <t>https://docs.inecelectionresults.net/elections_prod/1292/state/01/lga/02/ward/09/pu/034/034-1677424367.pdf</t>
  </si>
  <si>
    <t>OPEN SPACE BESIDE INEC IJEUN TITUN, Polling Unit, ABEOKUTA SOUTH, Ogun State, Nigeria</t>
  </si>
  <si>
    <t>27-02-09-036</t>
  </si>
  <si>
    <t>OPEN SPACE LABULO STREET AGO IJESHA</t>
  </si>
  <si>
    <t>https://docs.inecelectionresults.net/elections_prod/1292/state/01/lga/02/ward/09/pu/036/036-1677405253.pdf</t>
  </si>
  <si>
    <t>OPEN SPACE LABULO STREET AGO IJESHA, Polling Unit, ABEOKUTA SOUTH, Ogun State, Nigeria</t>
  </si>
  <si>
    <t>27-02-09-037</t>
  </si>
  <si>
    <t>OPEN SPACE SONOLA STREET, IJEUN TITUN</t>
  </si>
  <si>
    <t>https://docs.inecelectionresults.net/elections_prod/1292/state/1/lga/3667/ward/23974/pu/164937/164937-1677496956.pdf</t>
  </si>
  <si>
    <t>OPEN SPACE SONOLA STREET, IJEUN TITUN, Polling Unit, ABEOKUTA SOUTH, Ogun State, Nigeria</t>
  </si>
  <si>
    <t>27-02-09-038</t>
  </si>
  <si>
    <t>T-JUNCTION OYEROGBA STREET EWANG JUNCTION LEME</t>
  </si>
  <si>
    <t>https://docs.inecelectionresults.net/elections_prod/1292/state/01/lga/02/ward/09/pu/038/038-1677427200.pdf</t>
  </si>
  <si>
    <t>T-JUNCTION OYEROGBA STREET EWANG JUNCTION LEME, Polling Unit, ABEOKUTA SOUTH, Ogun State, Nigeria</t>
  </si>
  <si>
    <t>27-02-01-017</t>
  </si>
  <si>
    <t>OPEN SPACE BESIDE AUGUSTINE CLINIC, AKE</t>
  </si>
  <si>
    <t>https://docs.inecelectionresults.net/elections_prod/1292/state/01/lga/02/ward/01/pu/017/017-1677417585.pdf</t>
  </si>
  <si>
    <t>OPEN SPACE BESIDE AUGUSTINE CLINIC, AKE, Polling Unit, ABEOKUTA SOUTH, Ogun State, Nigeria</t>
  </si>
  <si>
    <t>27-02-02-019</t>
  </si>
  <si>
    <t>OPEN SPACE NEAR EBENEZER CHURCH BEHIND CROWN ROYAL</t>
  </si>
  <si>
    <t>https://docs.inecelectionresults.net/elections_prod/1292/state/01/lga/02/ward/02/pu/019/019-1677413750.pdf</t>
  </si>
  <si>
    <t>OPEN SPACE NEAR EBENEZER CHURCH BEHIND CROWN ROYAL, Polling Unit, ABEOKUTA SOUTH, Ogun State, Nigeria</t>
  </si>
  <si>
    <t>27-02-02-022</t>
  </si>
  <si>
    <t>OPEN SPACE BESIDE TRANSFORMER, KOTOGBO, ASERO</t>
  </si>
  <si>
    <t>https://docs.inecelectionresults.net/elections_prod/1292/state/01/lga/02/ward/02/pu/022/022-1677423847.pdf</t>
  </si>
  <si>
    <t>OPEN SPACE BESIDE TRANSFORMER, KOTOGBO, ASERO, Polling Unit, ABEOKUTA SOUTH, Ogun State, Nigeria</t>
  </si>
  <si>
    <t>27-02-02-023</t>
  </si>
  <si>
    <t>ILUPEJU LABAIWA COMMUNITY TOWN HALL</t>
  </si>
  <si>
    <t>https://docs.inecelectionresults.net/elections_prod/1292/state/01/lga/02/ward/02/pu/023/023-1677426047.pdf</t>
  </si>
  <si>
    <t>ILUPEJU LABAIWA COMMUNITY TOWN HALL, Polling Unit, ABEOKUTA SOUTH, Ogun State, Nigeria</t>
  </si>
  <si>
    <t>27-02-02-025</t>
  </si>
  <si>
    <t>ILE PAKO JUNCTION, OKE AREGBA</t>
  </si>
  <si>
    <t>https://docs.inecelectionresults.net/elections_prod/1292/state/01/lga/02/ward/02/pu/025/025-1677426128.pdf</t>
  </si>
  <si>
    <t>ILE PAKO JUNCTION, OKE AREGBA, Polling Unit, ABEOKUTA SOUTH, Ogun State, Nigeria</t>
  </si>
  <si>
    <t>27-02-02-032</t>
  </si>
  <si>
    <t>ORI OKE JUDAH JUNCTION, AROKOJE</t>
  </si>
  <si>
    <t>https://docs.inecelectionresults.net/elections_prod/1292/state/01/lga/02/ward/02/pu/032/032-1677421067.pdf</t>
  </si>
  <si>
    <t>ORI OKE JUDAH JUNCTION, AROKOJE, Polling Unit, ABEOKUTA SOUTH, Ogun State, Nigeria</t>
  </si>
  <si>
    <t>27-02-02-033</t>
  </si>
  <si>
    <t>OPEN SPACE NEAR DAWAH HOUSE MOSQ. AJEGUNLE TITUN, FAJOL</t>
  </si>
  <si>
    <t>https://docs.inecelectionresults.net/elections_prod/1292/state/01/lga/02/ward/02/pu/033/033-1677416190.pdf</t>
  </si>
  <si>
    <t>OPEN SPACE NEAR DAWAH HOUSE MOSQ. AJEGUNLE TITUN, FAJOL, Polling Unit, ABEOKUTA SOUTH, Ogun State, Nigeria</t>
  </si>
  <si>
    <t>27-02-02-034</t>
  </si>
  <si>
    <t>IRE AKARI COMM., BEHIND KAMPALA MARKET, ASERO</t>
  </si>
  <si>
    <t>https://docs.inecelectionresults.net/elections_prod/1292/state/01/lga/02/ward/02/pu/034/034-1677427700.pdf</t>
  </si>
  <si>
    <t>IRE AKARI COMM., BEHIND KAMPALA MARKET, ASERO, Polling Unit, ABEOKUTA SOUTH, Ogun State, Nigeria</t>
  </si>
  <si>
    <t>27-02-02-035</t>
  </si>
  <si>
    <t>OKE TEMIDIRE JUNCTION, BESIDE MOSQUE, OPP. CROWN ROYAL</t>
  </si>
  <si>
    <t>https://docs.inecelectionresults.net/elections_prod/1292/state/01/lga/02/ward/02/pu/035/035-1677423986.pdf</t>
  </si>
  <si>
    <t>OKE TEMIDIRE JUNCTION, BESIDE MOSQUE, OPP. CROWN ROYAL, Polling Unit, ABEOKUTA SOUTH, Ogun State, Nigeria</t>
  </si>
  <si>
    <t>27-02-03-028</t>
  </si>
  <si>
    <t>ISALE ABETU JUNCTION BESIDE ONTEC HALL</t>
  </si>
  <si>
    <t>https://docs.inecelectionresults.net/elections_prod/1292/state/01/lga/02/ward/03/pu/028/028-1677418663.pdf</t>
  </si>
  <si>
    <t>ISALE ABETU JUNCTION BESIDE ONTEC HALL, Polling Unit, ABEOKUTA SOUTH, Ogun State, Nigeria</t>
  </si>
  <si>
    <t>27-02-08-023</t>
  </si>
  <si>
    <t>OPP. METHODIST, PRIMARY SCH. ILOGBO</t>
  </si>
  <si>
    <t>https://docs.inecelectionresults.net/elections_prod/1292/state/01/lga/02/ward/08/pu/023/023-1677417261.pdf</t>
  </si>
  <si>
    <t>OPP. METHODIST, PRIMARY SCH. ILOGBO, Polling Unit, ABEOKUTA SOUTH, Ogun State, Nigeria</t>
  </si>
  <si>
    <t>27-02-08-024</t>
  </si>
  <si>
    <t>OPEN SPACE NEAR WHITE HOUSE, OKE IJEUN</t>
  </si>
  <si>
    <t>https://docs.inecelectionresults.net/elections_prod/1292/state/01/lga/02/ward/08/pu/024/024-1677427573.pdf</t>
  </si>
  <si>
    <t>OPEN SPACE NEAR WHITE HOUSE, OKE IJEUN, Polling Unit, ABEOKUTA SOUTH, Ogun State, Nigeria</t>
  </si>
  <si>
    <t>27-02-08-025</t>
  </si>
  <si>
    <t>OPEN SPACE ARAWA COMPOUND, SAPON</t>
  </si>
  <si>
    <t>https://docs.inecelectionresults.net/elections_prod/1292/state/01/lga/02/ward/08/pu/025/025-1677424683.pdf</t>
  </si>
  <si>
    <t>OPEN SPACE ARAWA COMPOUND, SAPON, Polling Unit, ABEOKUTA SOUTH, Ogun State, Nigeria</t>
  </si>
  <si>
    <t>27-02-08-026</t>
  </si>
  <si>
    <t>OPEN SPACE NEAR  ROSIJI JUNCTION, OKEJIGBO</t>
  </si>
  <si>
    <t>https://docs.inecelectionresults.net/elections_prod/1292/state/01/lga/02/ward/08/pu/026/026-1677419941.pdf</t>
  </si>
  <si>
    <t>OPEN SPACE NEAR  ROSIJI JUNCTION, OKEJIGBO, Polling Unit, ABEOKUTA SOUTH, Ogun State, Nigeria</t>
  </si>
  <si>
    <t>27-02-14-018</t>
  </si>
  <si>
    <t>OPEN SPACE NEAR BAALE'S HOUSE OLOKEMEJI</t>
  </si>
  <si>
    <t>https://docs.inecelectionresults.net/elections_prod/1292/state/01/lga/02/ward/14/pu/018/018-1677369956.pdf</t>
  </si>
  <si>
    <t>OPEN SPACE NEAR BAALE'S HOUSE OLOKEMEJI, Polling Unit, ABEOKUTA SOUTH, Ogun State, Nigeria</t>
  </si>
  <si>
    <t>27-02-14-019</t>
  </si>
  <si>
    <t>OPEN SPACE OPP. OF KAT STAR GUEST IYANA OLOKE</t>
  </si>
  <si>
    <t>https://docs.inecelectionresults.net/elections_prod/1292/state/01/lga/02/ward/14/pu/019/019-1677388926.pdf</t>
  </si>
  <si>
    <t>OPEN SPACE OPP. OF KAT STAR GUEST IYANA OLOKE, Polling Unit, ABEOKUTA SOUTH, Ogun State, Nigeria</t>
  </si>
  <si>
    <t>27-02-14-020</t>
  </si>
  <si>
    <t>OPEN SPACE ADJCENT WAEC OFFICE ONIKOLOBO</t>
  </si>
  <si>
    <t>https://docs.inecelectionresults.net/elections_prod/1292/state/01/lga/02/ward/14/pu/020/020-1677416173.pdf</t>
  </si>
  <si>
    <t>OPEN SPACE ADJCENT WAEC OFFICE ONIKOLOBO, Polling Unit, ABEOKUTA SOUTH, Ogun State, Nigeria</t>
  </si>
  <si>
    <t>27-02-14-021</t>
  </si>
  <si>
    <t>OPEN SPACE, ENIOLA JUNCTION, MERCY HOSP. ROAD</t>
  </si>
  <si>
    <t>https://docs.inecelectionresults.net/elections_prod/1292/state/01/lga/02/ward/14/pu/021/021-1677364787.pdf</t>
  </si>
  <si>
    <t>OPEN SPACE, ENIOLA JUNCTION, MERCY HOSP. ROAD, Polling Unit, ABEOKUTA SOUTH, Ogun State, Nigeria</t>
  </si>
  <si>
    <t>27-02-14-022</t>
  </si>
  <si>
    <t>T. JUNCTION LEMOMU AYENI CLOSE OLUWO</t>
  </si>
  <si>
    <t>https://docs.inecelectionresults.net/elections_prod/1292/state/01/lga/02/ward/14/pu/022/022-1677369333.pdf</t>
  </si>
  <si>
    <t>T. JUNCTION LEMOMU AYENI CLOSE OLUWO, Polling Unit, ABEOKUTA SOUTH, Ogun State, Nigeria</t>
  </si>
  <si>
    <t>27-02-14-023</t>
  </si>
  <si>
    <t>PARAMOUNT VILLA JUNCTION IREPODUN C.D.A OLUWO</t>
  </si>
  <si>
    <t>https://docs.inecelectionresults.net/elections_prod/1292/state/01/lga/02/ward/14/pu/023/023-1677389451.pdf</t>
  </si>
  <si>
    <t>PARAMOUNT VILLA JUNCTION IREPODUN C.D.A OLUWO, Polling Unit, ABEOKUTA SOUTH, Ogun State, Nigeria</t>
  </si>
  <si>
    <t>27-02-14-024</t>
  </si>
  <si>
    <t>T-JUNCTION BESIDE TRANSFORMER ATOBATELE ONIKOKO</t>
  </si>
  <si>
    <t>https://docs.inecelectionresults.net/elections_prod/1292/state/01/lga/02/ward/14/pu/024/024-1677394289.pdf</t>
  </si>
  <si>
    <t>T-JUNCTION BESIDE TRANSFORMER ATOBATELE ONIKOKO, Polling Unit, ABEOKUTA SOUTH, Ogun State, Nigeria</t>
  </si>
  <si>
    <t>27-02-14-025</t>
  </si>
  <si>
    <t>ODEMO JUNCTION NEAR C.A.C CHURCH SARAKI</t>
  </si>
  <si>
    <t>https://docs.inecelectionresults.net/elections_prod/1292/state/01/lga/02/ward/14/pu/025/025-1677401800.pdf</t>
  </si>
  <si>
    <t>ODEMO JUNCTION NEAR C.A.C CHURCH SARAKI, Polling Unit, ABEOKUTA SOUTH, Ogun State, Nigeria</t>
  </si>
  <si>
    <t>27-02-14-026</t>
  </si>
  <si>
    <t>OPEN SPACE OMOWE PHASE II SARAKI</t>
  </si>
  <si>
    <t>https://docs.inecelectionresults.net/elections_prod/1292/state/01/lga/02/ward/14/pu/026/026-1677400378.pdf</t>
  </si>
  <si>
    <t>OPEN SPACE OMOWE PHASE II SARAKI, Polling Unit, ABEOKUTA SOUTH, Ogun State, Nigeria</t>
  </si>
  <si>
    <t>27-02-14-027</t>
  </si>
  <si>
    <t>OPEN SPACE NEAR CELE IRAPADA SURULERE SARAKI</t>
  </si>
  <si>
    <t>https://docs.inecelectionresults.net/elections_prod/1292/state/01/lga/02/ward/14/pu/027/027-1677365945.pdf</t>
  </si>
  <si>
    <t>OPEN SPACE NEAR CELE IRAPADA SURULERE SARAKI, Polling Unit, ABEOKUTA SOUTH, Ogun State, Nigeria</t>
  </si>
  <si>
    <t>27-02-14-028</t>
  </si>
  <si>
    <t>OPEN SPACE BEIND CHRIST LEGACY SCHOOL, ALAWAYE SARAKI</t>
  </si>
  <si>
    <t>https://docs.inecelectionresults.net/elections_prod/1292/state/01/lga/02/ward/14/pu/028/028-1677413625.pdf</t>
  </si>
  <si>
    <t>OPEN SPACE BEIND CHRIST LEGACY SCHOOL, ALAWAYE SARAKI, Polling Unit, ABEOKUTA SOUTH, Ogun State, Nigeria</t>
  </si>
  <si>
    <t>27-02-14-029</t>
  </si>
  <si>
    <t>TOTAL CHILD ONIKOLOBO</t>
  </si>
  <si>
    <t>https://docs.inecelectionresults.net/elections_prod/1292/state/01/lga/02/ward/14/pu/029/029-1677399333.pdf</t>
  </si>
  <si>
    <t>TOTAL CHILD ONIKOLOBO, Polling Unit, ABEOKUTA SOUTH, Ogun State, Nigeria</t>
  </si>
  <si>
    <t>27-02-14-030</t>
  </si>
  <si>
    <t>OPEN SPACE AT FAN MILK PANSEKE, ONIKOKO</t>
  </si>
  <si>
    <t>https://docs.inecelectionresults.net/elections_prod/1292/state/01/lga/02/ward/14/pu/030/030-1677398382.pdf</t>
  </si>
  <si>
    <t>OPEN SPACE AT FAN MILK PANSEKE, ONIKOKO, Polling Unit, ABEOKUTA SOUTH, Ogun State, Nigeria</t>
  </si>
  <si>
    <t>27-02-14-031</t>
  </si>
  <si>
    <t>OPEN SPACE, FIRST GATE LIPEDE ESTATE, ONIKOKO</t>
  </si>
  <si>
    <t>https://docs.inecelectionresults.net/elections_prod/1292/state/01/lga/02/ward/14/pu/031/031-1677395341.pdf</t>
  </si>
  <si>
    <t>OPEN SPACE, FIRST GATE LIPEDE ESTATE, ONIKOKO, Polling Unit, ABEOKUTA SOUTH, Ogun State, Nigeria</t>
  </si>
  <si>
    <t>27-02-14-032</t>
  </si>
  <si>
    <t>OPEN SPACE BEHIND NEW SPRING ROSE SCHOOL, QUARRY</t>
  </si>
  <si>
    <t>https://docs.inecelectionresults.net/elections_prod/1292/state/01/lga/02/ward/14/pu/032/032-1677388245.pdf</t>
  </si>
  <si>
    <t>OPEN SPACE BEHIND NEW SPRING ROSE SCHOOL, QUARRY, Polling Unit, ABEOKUTA SOUTH, Ogun State, Nigeria</t>
  </si>
  <si>
    <t>27-02-14-033</t>
  </si>
  <si>
    <t>OPEN SPACE, OLD SAVANNAH BANK QUARRY</t>
  </si>
  <si>
    <t>https://docs.inecelectionresults.net/elections_prod/1292/state/01/lga/02/ward/14/pu/033/033-1677387343.pdf</t>
  </si>
  <si>
    <t>OPEN SPACE, OLD SAVANNAH BANK QUARRY, Polling Unit, ABEOKUTA SOUTH, Ogun State, Nigeria</t>
  </si>
  <si>
    <t>27-02-14-034</t>
  </si>
  <si>
    <t>OPP. ABDUL-AZEEZ MOSQUE KUFORIJI JUNCTION, ADIGBE</t>
  </si>
  <si>
    <t>https://docs.inecelectionresults.net/elections_prod/1292/state/01/lga/02/ward/14/pu/034/034-1677387678.pdf</t>
  </si>
  <si>
    <t>OPP. ABDUL-AZEEZ MOSQUE KUFORIJI JUNCTION, ADIGBE, Polling Unit, ABEOKUTA SOUTH, Ogun State, Nigeria</t>
  </si>
  <si>
    <t>27-02-14-035</t>
  </si>
  <si>
    <t>IYANA VULCANIZER NEAR AJEGUNLE CENTRAL MOSQUE ADIGBE</t>
  </si>
  <si>
    <t>https://docs.inecelectionresults.net/elections_prod/1292/state/01/lga/02/ward/14/pu/035/035-1677391479.pdf</t>
  </si>
  <si>
    <t>IYANA VULCANIZER NEAR AJEGUNLE CENTRAL MOSQUE ADIGBE, Polling Unit, ABEOKUTA SOUTH, Ogun State, Nigeria</t>
  </si>
  <si>
    <t>27-02-14-036</t>
  </si>
  <si>
    <t>ARAROMI JUNCTION BESIDE NAVY SCH.</t>
  </si>
  <si>
    <t>https://docs.inecelectionresults.net/elections_prod/1292/state/01/lga/02/ward/14/pu/036/036-1677415502.pdf</t>
  </si>
  <si>
    <t>ARAROMI JUNCTION BESIDE NAVY SCH., Polling Unit, ABEOKUTA SOUTH, Ogun State, Nigeria</t>
  </si>
  <si>
    <t>27-02-14-037</t>
  </si>
  <si>
    <t>OPEN SPACE IFAMODUPE STREET SARAKI</t>
  </si>
  <si>
    <t>https://docs.inecelectionresults.net/elections_prod/1292/state/01/lga/02/ward/14/pu/037/037-1677392696.pdf</t>
  </si>
  <si>
    <t>OPEN SPACE IFAMODUPE STREET SARAKI, Polling Unit, ABEOKUTA SOUTH, Ogun State, Nigeria</t>
  </si>
  <si>
    <t>27-02-14-038</t>
  </si>
  <si>
    <t>OPEN SPACE NEAR BABA ASIKO STREET SARAKI</t>
  </si>
  <si>
    <t>https://docs.inecelectionresults.net/elections_prod/1292/state/01/lga/02/ward/14/pu/038/038-1677390180.pdf</t>
  </si>
  <si>
    <t>OPEN SPACE NEAR BABA ASIKO STREET SARAKI, Polling Unit, ABEOKUTA SOUTH, Ogun State, Nigeria</t>
  </si>
  <si>
    <t>27-02-14-039</t>
  </si>
  <si>
    <t>OPEN SPACE GREEN LAND'S ACADEMY SCHOOL</t>
  </si>
  <si>
    <t>https://docs.inecelectionresults.net/elections_prod/1292/state/01/lga/02/ward/14/pu/039/039-1677401378.pdf</t>
  </si>
  <si>
    <t>OPEN SPACE GREEN LAND'S ACADEMY SCHOOL, Polling Unit, ABEOKUTA SOUTH, Ogun State, Nigeria</t>
  </si>
  <si>
    <t>27-02-15-019</t>
  </si>
  <si>
    <t>OKE JOGA HALL BEHIND AIRTEL OFFICE OKE-ILEWO</t>
  </si>
  <si>
    <t>https://docs.inecelectionresults.net/elections_prod/1292/state/01/lga/02/ward/15/pu/019/019-1677417055.pdf</t>
  </si>
  <si>
    <t>OKE JOGA HALL BEHIND AIRTEL OFFICE OKE-ILEWO, Polling Unit, ABEOKUTA SOUTH, Ogun State, Nigeria</t>
  </si>
  <si>
    <t>27-02-15-021</t>
  </si>
  <si>
    <t>OPEN SPACE P&amp;P BAKERY, ITA-EKO</t>
  </si>
  <si>
    <t>https://docs.inecelectionresults.net/elections_prod/1292/state/01/lga/02/ward/15/pu/021/021-1677419642.pdf</t>
  </si>
  <si>
    <t>OPEN SPACE P&amp;P BAKERY, ITA-EKO, Polling Unit, ABEOKUTA SOUTH, Ogun State, Nigeria</t>
  </si>
  <si>
    <t>27-02-15-022</t>
  </si>
  <si>
    <t>OPEN SPACE OPP. OLUWO SQUARE ITA-EKO</t>
  </si>
  <si>
    <t>https://docs.inecelectionresults.net/elections_prod/1292/state/01/lga/02/ward/15/pu/022/022-1677419212.pdf</t>
  </si>
  <si>
    <t>OPEN SPACE OPP. OLUWO SQUARE ITA-EKO, Polling Unit, ABEOKUTA SOUTH, Ogun State, Nigeria</t>
  </si>
  <si>
    <t>27-02-15-024</t>
  </si>
  <si>
    <t>OPEN SPACE BESIDE BOREHOLE ITA-OGBONI, IJEJA</t>
  </si>
  <si>
    <t>https://docs.inecelectionresults.net/elections_prod/1292/state/01/lga/02/ward/15/pu/024/024-1677420110.pdf</t>
  </si>
  <si>
    <t>OPEN SPACE BESIDE BOREHOLE ITA-OGBONI, IJEJA, Polling Unit, ABEOKUTA SOUTH, Ogun State, Nigeria</t>
  </si>
  <si>
    <t>27-02-15-025</t>
  </si>
  <si>
    <t>OPEN SPACE BEHIND POLARIS BANK OKE-ILEWO</t>
  </si>
  <si>
    <t>https://docs.inecelectionresults.net/elections_prod/1292/state/01/lga/02/ward/15/pu/025/025-1677420152.pdf</t>
  </si>
  <si>
    <t>OPEN SPACE BEHIND POLARIS BANK OKE-ILEWO, Polling Unit, ABEOKUTA SOUTH, Ogun State, Nigeria</t>
  </si>
  <si>
    <t>27-02-15-026</t>
  </si>
  <si>
    <t>OPEN SPACE OPP. MAO FILLING STATION IJEJA</t>
  </si>
  <si>
    <t>https://docs.inecelectionresults.net/elections_prod/1292/state/01/lga/02/ward/15/pu/026/026-1677420938.pdf</t>
  </si>
  <si>
    <t>OPEN SPACE OPP. MAO FILLING STATION IJEJA, Polling Unit, ABEOKUTA SOUTH, Ogun State, Nigeria</t>
  </si>
  <si>
    <t>27-02-15-027</t>
  </si>
  <si>
    <t>OKE-OLA MOSQUE BESIDE BRIDGE, IDI ISHIN</t>
  </si>
  <si>
    <t>https://docs.inecelectionresults.net/elections_prod/1292/state/01/lga/02/ward/15/pu/027/027-1677421240.pdf</t>
  </si>
  <si>
    <t>OKE-OLA MOSQUE BESIDE BRIDGE, IDI ISHIN, Polling Unit, ABEOKUTA SOUTH, Ogun State, Nigeria</t>
  </si>
  <si>
    <t>27-02-15-028</t>
  </si>
  <si>
    <t>OPEN SPACE AT OKE MASHO OKE-ILEWO</t>
  </si>
  <si>
    <t>https://docs.inecelectionresults.net/elections_prod/1292/state/01/lga/02/ward/15/pu/028/028-1677421571.pdf</t>
  </si>
  <si>
    <t>OPEN SPACE AT OKE MASHO OKE-ILEWO, Polling Unit, ABEOKUTA SOUTH, Ogun State, Nigeria</t>
  </si>
  <si>
    <t>27-02-15-029</t>
  </si>
  <si>
    <t>OPEN SPACE BEHIND CONTINENTAL SUITE, OKE-ILEWO</t>
  </si>
  <si>
    <t>https://docs.inecelectionresults.net/elections_prod/1292/state/01/lga/02/ward/15/pu/029/029-1677422307.pdf</t>
  </si>
  <si>
    <t>OPEN SPACE BEHIND CONTINENTAL SUITE, OKE-ILEWO, Polling Unit, ABEOKUTA SOUTH, Ogun State, Nigeria</t>
  </si>
  <si>
    <t>27-02-15-030</t>
  </si>
  <si>
    <t>OPEN SPACE ABOBAJIO STREET ITA-EKO</t>
  </si>
  <si>
    <t>https://docs.inecelectionresults.net/elections_prod/1292/state/01/lga/02/ward/15/pu/030/030-1677423004.pdf</t>
  </si>
  <si>
    <t>OPEN SPACE ABOBAJIO STREET ITA-EKO, Polling Unit, ABEOKUTA SOUTH, Ogun State, Nigeria</t>
  </si>
  <si>
    <t>27-02-15-031</t>
  </si>
  <si>
    <t>OPEN SPACE BEHIND TRANSFORMER,SURULERE ITA EKO</t>
  </si>
  <si>
    <t>https://docs.inecelectionresults.net/elections_prod/1292/state/01/lga/02/ward/15/pu/031/031-1677423738.pdf</t>
  </si>
  <si>
    <t>OPEN SPACE BEHIND TRANSFORMER,SURULERE ITA EKO, Polling Unit, ABEOKUTA SOUTH, Ogun State, Nigeria</t>
  </si>
  <si>
    <t>27-02-13-024</t>
  </si>
  <si>
    <t>OPEN SPACE IKANNA COMMUNITY</t>
  </si>
  <si>
    <t>https://docs.inecelectionresults.net/elections_prod/1292/state/01/lga/02/ward/13/pu/024/024-1677398167.pdf</t>
  </si>
  <si>
    <t>OPEN SPACE IKANNA COMMUNITY, Polling Unit, ABEOKUTA SOUTH, Ogun State, Nigeria</t>
  </si>
  <si>
    <t>27-02-13-026</t>
  </si>
  <si>
    <t>OPEN SPACE MILIKI STR AGO OBA</t>
  </si>
  <si>
    <t>https://docs.inecelectionresults.net/elections_prod/1292/state/01/lga/02/ward/13/pu/026/026-1677392758.pdf</t>
  </si>
  <si>
    <t>OPEN SPACE MILIKI STR AGO OBA, Polling Unit, ABEOKUTA SOUTH, Ogun State, Nigeria</t>
  </si>
  <si>
    <t>27-02-13-027</t>
  </si>
  <si>
    <t>OPEN SPACE OLUWO OSOBA COMPOUND AGO OBA</t>
  </si>
  <si>
    <t>https://docs.inecelectionresults.net/elections_prod/1292/state/01/lga/02/ward/13/pu/027/027-1677396525.pdf</t>
  </si>
  <si>
    <t>OPEN SPACE OLUWO OSOBA COMPOUND AGO OBA, Polling Unit, ABEOKUTA SOUTH, Ogun State, Nigeria</t>
  </si>
  <si>
    <t>27-02-07-029</t>
  </si>
  <si>
    <t>OPEN SPACE AT OGO OLUWA BUS STOP ELITE ROAD</t>
  </si>
  <si>
    <t>https://docs.inecelectionresults.net/elections_prod/1292/state/1/lga/3667/ward/23972/pu/164901/164901-1677507125.pdf</t>
  </si>
  <si>
    <t>OPEN SPACE AT OGO OLUWA BUS STOP ELITE ROAD, Polling Unit, ABEOKUTA SOUTH, Ogun State, Nigeria</t>
  </si>
  <si>
    <t>27-02-07-031</t>
  </si>
  <si>
    <t>OPEN SPACE RATQUB MOSQ. OLORUNSOGO (ARAMIS)</t>
  </si>
  <si>
    <t>https://docs.inecelectionresults.net/elections_prod/1292/state/1/lga/3667/ward/23972/pu/164903/164903-1677501443.pdf</t>
  </si>
  <si>
    <t>OPEN SPACE RATQUB MOSQ. OLORUNSOGO (ARAMIS), Polling Unit, ABEOKUTA SOUTH, Ogun State, Nigeria</t>
  </si>
  <si>
    <t>27-02-07-032</t>
  </si>
  <si>
    <t>LISABI GRAMMAR SCHOOL IDI-ABA</t>
  </si>
  <si>
    <t>https://docs.inecelectionresults.net/elections_prod/1292/state/1/lga/3667/ward/23972/pu/164904/164904-1677502795.pdf</t>
  </si>
  <si>
    <t>LISABI GRAMMAR SCHOOL IDI-ABA, Polling Unit, ABEOKUTA SOUTH, Ogun State, Nigeria</t>
  </si>
  <si>
    <t>27-02-07-033</t>
  </si>
  <si>
    <t>OPEN SPACE AT BAYO ALI STREET TEKOBO IDI-ABA</t>
  </si>
  <si>
    <t>https://docs.inecelectionresults.net/elections_prod/1292/state/1/lga/3667/ward/23972/pu/164905/164905-1677495189.pdf</t>
  </si>
  <si>
    <t>OPEN SPACE AT BAYO ALI STREET TEKOBO IDI-ABA, Polling Unit, ABEOKUTA SOUTH, Ogun State, Nigeria</t>
  </si>
  <si>
    <t>27-02-07-035</t>
  </si>
  <si>
    <t>OPEN SPACE AT OLOKUTA HOUSING GATE</t>
  </si>
  <si>
    <t>https://docs.inecelectionresults.net/elections_prod/1292/state/1/lga/3667/ward/23972/pu/164907/164907-1677492519.pdf</t>
  </si>
  <si>
    <t>OPEN SPACE AT OLOKUTA HOUSING GATE, Polling Unit, ABEOKUTA SOUTH, Ogun State, Nigeria</t>
  </si>
  <si>
    <t>27-02-07-037</t>
  </si>
  <si>
    <t>OPEN SPACE AT OKE ODO BESIDE POWER LINE, KEMTA</t>
  </si>
  <si>
    <t>https://docs.inecelectionresults.net/elections_prod/1292/state/1/lga/3667/ward/23972/pu/164909/164909-1677496380.pdf</t>
  </si>
  <si>
    <t>OPEN SPACE AT OKE ODO BESIDE POWER LINE, KEMTA, Polling Unit, ABEOKUTA SOUTH, Ogun State, Nigeria</t>
  </si>
  <si>
    <t>27-02-07-039</t>
  </si>
  <si>
    <t>OPEN SPACE NEAR BAALE'S HOUSE ABULE  AKE</t>
  </si>
  <si>
    <t>https://docs.inecelectionresults.net/elections_prod/1292/state/1/lga/3667/ward/23972/pu/164911/164911-1677493473.pdf</t>
  </si>
  <si>
    <t>OPEN SPACE NEAR BAALE'S HOUSE ABULE  AKE, Polling Unit, ABEOKUTA SOUTH, Ogun State, Nigeria</t>
  </si>
  <si>
    <t>27-02-07-041</t>
  </si>
  <si>
    <t>OPEN FIELD AT OLOKUTA ESTATE</t>
  </si>
  <si>
    <t>https://docs.inecelectionresults.net/elections_prod/1292/state/1/lga/3667/ward/23972/pu/164913/164913-1677490639.pdf</t>
  </si>
  <si>
    <t>OPEN FIELD AT OLOKUTA ESTATE, Polling Unit, ABEOKUTA SOUTH, Ogun State, Nigeria</t>
  </si>
  <si>
    <t>27-02-07-043</t>
  </si>
  <si>
    <t>POWER LINE  ABULE NLA, IDI-ABA</t>
  </si>
  <si>
    <t>https://docs.inecelectionresults.net/elections_prod/1292/state/1/lga/3667/ward/23972/pu/164915/164915-1677496833.pdf</t>
  </si>
  <si>
    <t>POWER LINE  ABULE NLA, IDI-ABA, Polling Unit, ABEOKUTA SOUTH, Ogun State, Nigeria</t>
  </si>
  <si>
    <t>27-02-07-044</t>
  </si>
  <si>
    <t>OPEN SPACE AT ELITE JUNCTION IDI-ABA</t>
  </si>
  <si>
    <t>https://docs.inecelectionresults.net/elections_prod/1292/state/01/lga/02/ward/07/pu/044/044-1677388135.pdf</t>
  </si>
  <si>
    <t>OPEN SPACE AT ELITE JUNCTION IDI-ABA, Polling Unit, ABEOKUTA SOUTH, Ogun State, Nigeria</t>
  </si>
  <si>
    <t>27-02-07-045</t>
  </si>
  <si>
    <t>OPEN SPACE BESIDE OSOBA BRIDGE OKE JIGBO</t>
  </si>
  <si>
    <t>https://docs.inecelectionresults.net/elections_prod/1292/state/1/lga/3667/ward/23972/pu/164917/164917-1677503264.pdf</t>
  </si>
  <si>
    <t>OPEN SPACE BESIDE OSOBA BRIDGE OKE JIGBO, Polling Unit, ABEOKUTA SOUTH, Ogun State, Nigeria</t>
  </si>
  <si>
    <t>27-02-05-018</t>
  </si>
  <si>
    <t>OPEN SPACE, ILOGBO JUNCTION, IJEMO AGBADU</t>
  </si>
  <si>
    <t>https://docs.inecelectionresults.net/elections_prod/1292/state/01/lga/02/ward/05/pu/018/018-1677424100.pdf</t>
  </si>
  <si>
    <t>OPEN SPACE, ILOGBO JUNCTION, IJEMO AGBADU, Polling Unit, ABEOKUTA SOUTH, Ogun State, Nigeria</t>
  </si>
  <si>
    <t>27-02-05-019</t>
  </si>
  <si>
    <t>OPEN SPACE NEAR ARANSE OLUWA MOSQUE IJEMO SODEKE</t>
  </si>
  <si>
    <t>https://docs.inecelectionresults.net/elections_prod/1292/state/01/lga/02/ward/05/pu/019/019-1677416428.pdf</t>
  </si>
  <si>
    <t>OPEN SPACE NEAR ARANSE OLUWA MOSQUE IJEMO SODEKE, Polling Unit, ABEOKUTA SOUTH, Ogun State, Nigeria</t>
  </si>
  <si>
    <t>27-02-05-020</t>
  </si>
  <si>
    <t>OPEN SPACE IDI ERO, IJAKO</t>
  </si>
  <si>
    <t>https://docs.inecelectionresults.net/elections_prod/1292/state/01/lga/02/ward/05/pu/020/020-1677416754.pdf</t>
  </si>
  <si>
    <t>OPEN SPACE IDI ERO, IJAKO, Polling Unit, ABEOKUTA SOUTH, Ogun State, Nigeria</t>
  </si>
  <si>
    <t>27-02-05-021</t>
  </si>
  <si>
    <t>OPEN SPACE OPP.IDI OSHE MOSQUE, IJEMO</t>
  </si>
  <si>
    <t>https://docs.inecelectionresults.net/elections_prod/1292/state/01/lga/02/ward/05/pu/021/021-1677417522.pdf</t>
  </si>
  <si>
    <t>OPEN SPACE OPP.IDI OSHE MOSQUE, IJEMO, Polling Unit, ABEOKUTA SOUTH, Ogun State, Nigeria</t>
  </si>
  <si>
    <t>27-02-05-022</t>
  </si>
  <si>
    <t>OPEN SPACE AT OJU AREMO, IJEMO</t>
  </si>
  <si>
    <t>https://docs.inecelectionresults.net/elections_prod/1292/state/01/lga/02/ward/05/pu/022/022-1677417847.pdf</t>
  </si>
  <si>
    <t>OPEN SPACE AT OJU AREMO, IJEMO, Polling Unit, ABEOKUTA SOUTH, Ogun State, Nigeria</t>
  </si>
  <si>
    <t>27-02-05-023</t>
  </si>
  <si>
    <t>OPEN SPACE NEAR ADENEKAN'S HOUSE,IBON</t>
  </si>
  <si>
    <t>https://docs.inecelectionresults.net/elections_prod/1292/state/01/lga/02/ward/05/pu/023/023-1677418119.pdf</t>
  </si>
  <si>
    <t>OPEN SPACE NEAR ADENEKAN'S HOUSE,IBON, Polling Unit, ABEOKUTA SOUTH, Ogun State, Nigeria</t>
  </si>
  <si>
    <t>27-02-12-026</t>
  </si>
  <si>
    <t>27-02-12-030</t>
  </si>
  <si>
    <t>OPEN SPACE AT OJUOLAPE STREET AMOLASO JUNCTION KUTO</t>
  </si>
  <si>
    <t>https://docs.inecelectionresults.net/elections_prod/1292/state/01/lga/02/ward/12/pu/030/030-1677403725.pdf</t>
  </si>
  <si>
    <t>OPEN SPACE AT OJUOLAPE STREET AMOLASO JUNCTION KUTO, Polling Unit, ABEOKUTA SOUTH, Ogun State, Nigeria</t>
  </si>
  <si>
    <t>27-02-12-031</t>
  </si>
  <si>
    <t>OPEN SPACE BEHIND  MAGISTRATE  COURT</t>
  </si>
  <si>
    <t>https://docs.inecelectionresults.net/elections_prod/1292/state/01/lga/02/ward/12/pu/031/031-1677402331.pdf</t>
  </si>
  <si>
    <t>OPEN SPACE BEHIND  MAGISTRATE  COURT, Polling Unit, ABEOKUTA SOUTH, Ogun State, Nigeria</t>
  </si>
  <si>
    <t>27-02-12-032</t>
  </si>
  <si>
    <t>OPEN SPACE BEHIND ST JOHN SCH. SURULERE ISALE OJA KUTO</t>
  </si>
  <si>
    <t>https://docs.inecelectionresults.net/elections_prod/1292/state/01/lga/02/ward/12/pu/032/032-1677400874.pdf</t>
  </si>
  <si>
    <t>OPEN SPACE BEHIND ST JOHN SCH. SURULERE ISALE OJA KUTO, Polling Unit, ABEOKUTA SOUTH, Ogun State, Nigeria</t>
  </si>
  <si>
    <t>27-02-12-033</t>
  </si>
  <si>
    <t>OPEN SPACE AT KUDORO JUNCTION, LAFARU</t>
  </si>
  <si>
    <t>https://docs.inecelectionresults.net/elections_prod/1292/state/01/lga/02/ward/12/pu/033/033-1677401284.pdf</t>
  </si>
  <si>
    <t>OPEN SPACE AT KUDORO JUNCTION, LAFARU, Polling Unit, ABEOKUTA SOUTH, Ogun State, Nigeria</t>
  </si>
  <si>
    <t>27-02-12-036</t>
  </si>
  <si>
    <t>OPEN SPACE BESIDE MINARET SCHOOL FAITO CLOSE AMOLASO</t>
  </si>
  <si>
    <t>https://docs.inecelectionresults.net/elections_prod/1292/state/01/lga/02/ward/12/pu/036/036-1677398178.pdf</t>
  </si>
  <si>
    <t>OPEN SPACE BESIDE MINARET SCHOOL FAITO CLOSE AMOLASO, Polling Unit, ABEOKUTA SOUTH, Ogun State, Nigeria</t>
  </si>
  <si>
    <t>27-02-12-037</t>
  </si>
  <si>
    <t>OPEN SPACE BESIDE MRS FILLING STATION ISALE IGBEIN</t>
  </si>
  <si>
    <t>https://docs.inecelectionresults.net/elections_prod/1292/state/01/lga/02/ward/12/pu/037/037-1677397654.pdf</t>
  </si>
  <si>
    <t>OPEN SPACE BESIDE MRS FILLING STATION ISALE IGBEIN, Polling Unit, ABEOKUTA SOUTH, Ogun State, Nigeria</t>
  </si>
  <si>
    <t>27-02-12-039</t>
  </si>
  <si>
    <t>OPPOSITE MARIA GUEST HOUSE, AMOLASO</t>
  </si>
  <si>
    <t>https://docs.inecelectionresults.net/elections_prod/1292/state/01/lga/02/ward/12/pu/039/039-1677399630.pdf</t>
  </si>
  <si>
    <t>OPPOSITE MARIA GUEST HOUSE, AMOLASO, Polling Unit, ABEOKUTA SOUTH, Ogun State, Nigeria</t>
  </si>
  <si>
    <t>27-02-12-040</t>
  </si>
  <si>
    <t>INFRONT OF ALH ALADIYE'S MOSQUE ARAROMI ISABO</t>
  </si>
  <si>
    <t>https://docs.inecelectionresults.net/elections_prod/1292/state/01/lga/02/ward/12/pu/040/040-1677399955.pdf</t>
  </si>
  <si>
    <t>INFRONT OF ALH ALADIYE'S MOSQUE ARAROMI ISABO, Polling Unit, ABEOKUTA SOUTH, Ogun State, Nigeria</t>
  </si>
  <si>
    <t>27-02-06-013</t>
  </si>
  <si>
    <t>OPEN SPACE OPP. AGO IBADAN MOSQUE</t>
  </si>
  <si>
    <t>https://docs.inecelectionresults.net/elections_prod/1292/state/1/lga/3667/ward/23971/pu/164895/164895-1677488735.pdf</t>
  </si>
  <si>
    <t>OPEN SPACE OPP. AGO IBADAN MOSQUE, Polling Unit, ABEOKUTA SOUTH, Ogun State, Nigeria</t>
  </si>
  <si>
    <t>27-02-06-015</t>
  </si>
  <si>
    <t>OPEN SPACE BY COMMUNITY DEV. AGENCY BOREHOLE,ITOKO</t>
  </si>
  <si>
    <t>https://docs.inecelectionresults.net/elections_prod/1292/state/01/lga/02/ward/06/pu/015/015-1677428449.pdf</t>
  </si>
  <si>
    <t>OPEN SPACE BY COMMUNITY DEV. AGENCY BOREHOLE,ITOKO, Polling Unit, ABEOKUTA SOUTH, Ogun State, Nigeria</t>
  </si>
  <si>
    <t>27-02-06-016</t>
  </si>
  <si>
    <t>OPEN SPACE NEAR APOSTOLIC CHURCH, AGBEGILERE, ITOKO</t>
  </si>
  <si>
    <t>https://docs.inecelectionresults.net/elections_prod/1292/state/01/lga/02/ward/06/pu/016/016-1677421286.pdf</t>
  </si>
  <si>
    <t>OPEN SPACE NEAR APOSTOLIC CHURCH, AGBEGILERE, ITOKO, Polling Unit, ABEOKUTA SOUTH, Ogun State, Nigeria</t>
  </si>
  <si>
    <t>27-02-04-027</t>
  </si>
  <si>
    <t>OPEN SPACE NEAR MECHANICS VILLAGE, OLOBI</t>
  </si>
  <si>
    <t>https://docs.inecelectionresults.net/elections_prod/1292/state/01/lga/02/ward/04/pu/027/027-1677395447.pdf</t>
  </si>
  <si>
    <t>OPEN SPACE NEAR MECHANICS VILLAGE, OLOBI, Polling Unit, ABEOKUTA SOUTH, Ogun State, Nigeria</t>
  </si>
  <si>
    <t>27-02-04-028</t>
  </si>
  <si>
    <t>OPEN SPACE NEAR HADJI TANKO PETROL STATION</t>
  </si>
  <si>
    <t>https://docs.inecelectionresults.net/elections_prod/1292/state/01/lga/02/ward/04/pu/028/028-1677406245.pdf</t>
  </si>
  <si>
    <t>OPEN SPACE NEAR HADJI TANKO PETROL STATION, Polling Unit, ABEOKUTA SOUTH, Ogun State, Nigeria</t>
  </si>
  <si>
    <t>27-02-04-029</t>
  </si>
  <si>
    <t>OPEN SPACE NEAR SHOFOLUKE'S HOUSE, ITOKO TITUN, OKE EFON</t>
  </si>
  <si>
    <t>https://docs.inecelectionresults.net/elections_prod/1292/state/01/lga/02/ward/04/pu/029/029-1677399706.pdf</t>
  </si>
  <si>
    <t>OPEN SPACE NEAR SHOFOLUKE'S HOUSE, ITOKO TITUN, OKE EFON, Polling Unit, ABEOKUTA SOUTH, Ogun State, Nigeria</t>
  </si>
  <si>
    <t>27-02-04-030</t>
  </si>
  <si>
    <t>ARINLESE JUNCTION</t>
  </si>
  <si>
    <t>https://docs.inecelectionresults.net/elections_prod/1292/state/01/lga/02/ward/04/pu/030/030-1677414264.pdf</t>
  </si>
  <si>
    <t>ARINLESE JUNCTION, Polling Unit, ABEOKUTA SOUTH, Ogun State, Nigeria</t>
  </si>
  <si>
    <t>27-02-04-031</t>
  </si>
  <si>
    <t>OPEN SPACE NEAR ILUPEJU COMM. CENTRAL MOSQ.</t>
  </si>
  <si>
    <t>https://docs.inecelectionresults.net/elections_prod/1292/state/01/lga/02/ward/04/pu/031/031-1677391941.pdf</t>
  </si>
  <si>
    <t>OPEN SPACE NEAR ILUPEJU COMM. CENTRAL MOSQ., Polling Unit, ABEOKUTA SOUTH, Ogun State, Nigeria</t>
  </si>
  <si>
    <t>27-02-11-026</t>
  </si>
  <si>
    <t>OLD ILE EJA, OKEBODE</t>
  </si>
  <si>
    <t>https://docs.inecelectionresults.net/elections_prod/1292/state/01/lga/02/ward/11/pu/026/026-1677418163.pdf</t>
  </si>
  <si>
    <t>OLD ILE EJA, OKEBODE, Polling Unit, ABEOKUTA SOUTH, Ogun State, Nigeria</t>
  </si>
  <si>
    <t>27-03-11-025</t>
  </si>
  <si>
    <t>OPEN SPACE AT AGO BABALAWO JUNCTION, IDOLEHIN</t>
  </si>
  <si>
    <t>https://docs.inecelectionresults.net/elections_prod/1292/state/1/lga/3668/ward/23991/pu/165310/165310-1677465212.pdf</t>
  </si>
  <si>
    <t>OPEN SPACE AT AGO BABALAWO JUNCTION, IDOLEHIN, Polling Unit, ADO ODO-OTA, Ogun State, Nigeria</t>
  </si>
  <si>
    <t>27-03-11-026</t>
  </si>
  <si>
    <t>OPEN SPACE AT SEKENDE JUNCTION SEKENDE, ERE</t>
  </si>
  <si>
    <t>https://docs.inecelectionresults.net/elections_prod/1292/state/1/lga/3668/ward/23991/pu/165311/165311-1677458392.pdf</t>
  </si>
  <si>
    <t>OPEN SPACE AT SEKENDE JUNCTION SEKENDE, ERE, Polling Unit, ADO ODO-OTA, Ogun State, Nigeria</t>
  </si>
  <si>
    <t>27-03-11-028</t>
  </si>
  <si>
    <t>OPEN SPACE AT AGBOKU JUNCTION AGBOKU ERE</t>
  </si>
  <si>
    <t>https://docs.inecelectionresults.net/elections_prod/1292/state/1/lga/3668/ward/23991/pu/165313/165313-1677457846.pdf</t>
  </si>
  <si>
    <t>OPEN SPACE AT AGBOKU JUNCTION AGBOKU ERE, Polling Unit, ADO ODO-OTA, Ogun State, Nigeria</t>
  </si>
  <si>
    <t>27-03-09-021</t>
  </si>
  <si>
    <t>OPEN SPACE AT OKE IGUFIN ILOMU TUNTUN</t>
  </si>
  <si>
    <t>https://docs.inecelectionresults.net/elections_prod/1292/state/01/lga/03/ward/09/pu/021/021-1677408979.pdf</t>
  </si>
  <si>
    <t>OPEN SPACE AT OKE IGUFIN ILOMU TUNTUN, Polling Unit, ADO ODO-OTA, Ogun State, Nigeria</t>
  </si>
  <si>
    <t>27-03-10-016</t>
  </si>
  <si>
    <t>OPEN SPACE AT IGA AFAPE, ADO ODO</t>
  </si>
  <si>
    <t>https://docs.inecelectionresults.net/elections_prod/1292/state/01/lga/03/ward/10/pu/016/016-1677358746.pdf</t>
  </si>
  <si>
    <t>OPEN SPACE AT IGA AFAPE, ADO ODO, Polling Unit, ADO ODO-OTA, Ogun State, Nigeria</t>
  </si>
  <si>
    <t>27-03-10-018</t>
  </si>
  <si>
    <t>OPEN SPACE AT OKULUKU 2 ADJACENT JAMAT MOSQ. OKULUKU</t>
  </si>
  <si>
    <t>https://docs.inecelectionresults.net/elections_prod/1292/state/01/lga/03/ward/10/pu/018/018-1677366294.pdf</t>
  </si>
  <si>
    <t>OPEN SPACE AT OKULUKU 2 ADJACENT JAMAT MOSQ. OKULUKU, Polling Unit, ADO ODO-OTA, Ogun State, Nigeria</t>
  </si>
  <si>
    <t>27-03-10-019</t>
  </si>
  <si>
    <t>OPEN SPACE AT WESLEY GUILD HOSPITAL, YIDI</t>
  </si>
  <si>
    <t>https://docs.inecelectionresults.net/elections_prod/1292/state/01/lga/03/ward/10/pu/019/019-1677378039.pdf</t>
  </si>
  <si>
    <t>OPEN SPACE AT WESLEY GUILD HOSPITAL, YIDI, Polling Unit, ADO ODO-OTA, Ogun State, Nigeria</t>
  </si>
  <si>
    <t>27-03-10-020</t>
  </si>
  <si>
    <t>OPEN SPACE AT AFIJAGBOYE, IYANA ISALU</t>
  </si>
  <si>
    <t>https://docs.inecelectionresults.net/elections_prod/1292/state/01/lga/03/ward/10/pu/020/020-1677365083.pdf</t>
  </si>
  <si>
    <t>OPEN SPACE AT AFIJAGBOYE, IYANA ISALU, Polling Unit, ADO ODO-OTA, Ogun State, Nigeria</t>
  </si>
  <si>
    <t>27-03-15-015</t>
  </si>
  <si>
    <t>RING ROAD JAMAICA OPP DEEPER LIFE ISALE ODAN</t>
  </si>
  <si>
    <t>https://docs.inecelectionresults.net/elections_prod/1292/state/01/lga/03/ward/15/pu/015/015-1677401224.pdf</t>
  </si>
  <si>
    <t>RING ROAD JAMAICA OPP DEEPER LIFE ISALE ODAN, Polling Unit, ADO ODO-OTA, Ogun State, Nigeria</t>
  </si>
  <si>
    <t>27-03-15-017</t>
  </si>
  <si>
    <t>CORPERS LODGE AGO EYO</t>
  </si>
  <si>
    <t>https://docs.inecelectionresults.net/elections_prod/1292/state/01/lga/03/ward/15/pu/017/017-1677421220.pdf</t>
  </si>
  <si>
    <t>CORPERS LODGE AGO EYO, Polling Unit, ADO ODO-OTA, Ogun State, Nigeria</t>
  </si>
  <si>
    <t>27-03-15-018</t>
  </si>
  <si>
    <t>OPEN SPACE AT 13 FIRST AVENUE ILUPEJU</t>
  </si>
  <si>
    <t>https://docs.inecelectionresults.net/elections_prod/1292/state/01/lga/03/ward/15/pu/018/018-1677395578.pdf</t>
  </si>
  <si>
    <t>OPEN SPACE AT 13 FIRST AVENUE ILUPEJU, Polling Unit, ADO ODO-OTA, Ogun State, Nigeria</t>
  </si>
  <si>
    <t>27-03-15-019</t>
  </si>
  <si>
    <t>OPEN SPACE AT WHITE SQUARE JUNCTION PETEDO</t>
  </si>
  <si>
    <t>https://docs.inecelectionresults.net/elections_prod/1292/state/01/lga/03/ward/15/pu/019/019-1677411926.pdf</t>
  </si>
  <si>
    <t>OPEN SPACE AT WHITE SQUARE JUNCTION PETEDO, Polling Unit, ADO ODO-OTA, Ogun State, Nigeria</t>
  </si>
  <si>
    <t>27-03-15-020</t>
  </si>
  <si>
    <t>LGA SCHOOL IGERE/ IHUNSA AGBARA</t>
  </si>
  <si>
    <t>https://docs.inecelectionresults.net/elections_prod/1292/state/01/lga/03/ward/15/pu/020/020-1677390915.pdf</t>
  </si>
  <si>
    <t>LGA SCHOOL IGERE/ IHUNSA AGBARA, Polling Unit, ADO ODO-OTA, Ogun State, Nigeria</t>
  </si>
  <si>
    <t>27-03-15-023</t>
  </si>
  <si>
    <t>OPEN SPACE BESIDE AMOSCO BLOCK OPP MAVICH SCHOOL</t>
  </si>
  <si>
    <t>https://docs.inecelectionresults.net/elections_prod/1292/state/01/lga/03/ward/15/pu/023/023-1677396773.pdf</t>
  </si>
  <si>
    <t>OPEN SPACE BESIDE AMOSCO BLOCK OPP MAVICH SCHOOL, Polling Unit, ADO ODO-OTA, Ogun State, Nigeria</t>
  </si>
  <si>
    <t>27-03-15-025</t>
  </si>
  <si>
    <t>OPEN SPACE OPP AGBARA PRAYER GROUND</t>
  </si>
  <si>
    <t>https://docs.inecelectionresults.net/elections_prod/1292/state/01/lga/03/ward/15/pu/025/025-1677392066.pdf</t>
  </si>
  <si>
    <t>OPEN SPACE OPP AGBARA PRAYER GROUND, Polling Unit, ADO ODO-OTA, Ogun State, Nigeria</t>
  </si>
  <si>
    <t>27-03-15-026</t>
  </si>
  <si>
    <t>MARRIAGE REGISTRY ALAMOGUN HALL AGBARA</t>
  </si>
  <si>
    <t>https://docs.inecelectionresults.net/elections_prod/1292/state/01/lga/03/ward/15/pu/026/026-1677397554.pdf</t>
  </si>
  <si>
    <t>MARRIAGE REGISTRY ALAMOGUN HALL AGBARA, Polling Unit, ADO ODO-OTA, Ogun State, Nigeria</t>
  </si>
  <si>
    <t>27-03-16-012</t>
  </si>
  <si>
    <t>IMUTA VILLAGE SQUARE</t>
  </si>
  <si>
    <t>https://docs.inecelectionresults.net/elections_prod/1292/state/01/lga/03/ward/16/pu/012/012-1677411456.pdf</t>
  </si>
  <si>
    <t>IMUTA VILLAGE SQUARE, Polling Unit, ADO ODO-OTA, Ogun State, Nigeria</t>
  </si>
  <si>
    <t>27-03-16-013</t>
  </si>
  <si>
    <t>HIGH SCHOOL ODAN ABUJA SULE EJILA AWORI</t>
  </si>
  <si>
    <t>https://docs.inecelectionresults.net/elections_prod/1292/state/01/lga/03/ward/16/pu/013/013-1677397474.pdf</t>
  </si>
  <si>
    <t>HIGH SCHOOL ODAN ABUJA SULE EJILA AWORI, Polling Unit, ADO ODO-OTA, Ogun State, Nigeria</t>
  </si>
  <si>
    <t>27-03-16-014</t>
  </si>
  <si>
    <t>ST JUDE'S PRIMARY SCHOOL, ITEKUN</t>
  </si>
  <si>
    <t>https://docs.inecelectionresults.net/elections_prod/1292/state/01/lga/03/ward/16/pu/014/014-1677392069.pdf</t>
  </si>
  <si>
    <t>ST JUDE'S PRIMARY SCHOOL, ITEKUN, Polling Unit, ADO ODO-OTA, Ogun State, Nigeria</t>
  </si>
  <si>
    <t>27-03-16-015</t>
  </si>
  <si>
    <t>ORIOKUTA VILLAGE SQUARE</t>
  </si>
  <si>
    <t>https://docs.inecelectionresults.net/elections_prod/1292/state/01/lga/03/ward/16/pu/015/015-1677403203.pdf</t>
  </si>
  <si>
    <t>ORIOKUTA VILLAGE SQUARE, Polling Unit, ADO ODO-OTA, Ogun State, Nigeria</t>
  </si>
  <si>
    <t>27-03-16-016</t>
  </si>
  <si>
    <t>COMMUNITY HIGH SCHOOL ITEKUN</t>
  </si>
  <si>
    <t>https://docs.inecelectionresults.net/elections_prod/1292/state/01/lga/03/ward/16/pu/016/016-1677393973.pdf</t>
  </si>
  <si>
    <t>COMMUNITY HIGH SCHOOL ITEKUN, Polling Unit, ADO ODO-OTA, Ogun State, Nigeria</t>
  </si>
  <si>
    <t>27-03-16-017</t>
  </si>
  <si>
    <t>https://docs.inecelectionresults.net/elections_prod/1292/state/01/lga/03/ward/16/pu/017/017-1677400411.pdf</t>
  </si>
  <si>
    <t>27-03-16-018</t>
  </si>
  <si>
    <t>ALONG ITEKUN ROAD, BESIDE POULTRY JUNCTION</t>
  </si>
  <si>
    <t>https://docs.inecelectionresults.net/elections_prod/1292/state/01/lga/03/ward/16/pu/018/018-1677405243.pdf</t>
  </si>
  <si>
    <t>ALONG ITEKUN ROAD, BESIDE POULTRY JUNCTION, Polling Unit, ADO ODO-OTA, Ogun State, Nigeria</t>
  </si>
  <si>
    <t>27-03-16-019</t>
  </si>
  <si>
    <t>OPEN SPACE BESIDE PALACE, ILOYI VILLAGE AKINLAJA</t>
  </si>
  <si>
    <t>https://docs.inecelectionresults.net/elections_prod/1292/state/01/lga/03/ward/16/pu/019/019-1677413908.pdf</t>
  </si>
  <si>
    <t>OPEN SPACE BESIDE PALACE, ILOYI VILLAGE AKINLAJA, Polling Unit, ADO ODO-OTA, Ogun State, Nigeria</t>
  </si>
  <si>
    <t>27-03-16-020</t>
  </si>
  <si>
    <t>BESIDE IFELODUN PLANK MARKET, EJILA AWORI</t>
  </si>
  <si>
    <t>https://docs.inecelectionresults.net/elections_prod/1292/state/01/lga/03/ward/16/pu/020/020-1677402597.pdf</t>
  </si>
  <si>
    <t>BESIDE IFELODUN PLANK MARKET, EJILA AWORI, Polling Unit, ADO ODO-OTA, Ogun State, Nigeria</t>
  </si>
  <si>
    <t>27-03-16-021</t>
  </si>
  <si>
    <t>OPEN SPACE ILOBE/ IMOTA TOWN HALL, EJILA AWORI</t>
  </si>
  <si>
    <t>https://docs.inecelectionresults.net/elections_prod/1292/state/01/lga/03/ward/16/pu/021/021-1677386463.pdf</t>
  </si>
  <si>
    <t>OPEN SPACE ILOBE/ IMOTA TOWN HALL, EJILA AWORI, Polling Unit, ADO ODO-OTA, Ogun State, Nigeria</t>
  </si>
  <si>
    <t>27-03-16-022</t>
  </si>
  <si>
    <t>IN FRONT OF TRANSFORMER, AT CATERPILLAR 4 JUNCTION</t>
  </si>
  <si>
    <t>https://docs.inecelectionresults.net/elections_prod/1292/state/01/lga/03/ward/16/pu/022/022-1677394766.pdf</t>
  </si>
  <si>
    <t>IN FRONT OF TRANSFORMER, AT CATERPILLAR 4 JUNCTION, Polling Unit, ADO ODO-OTA, Ogun State, Nigeria</t>
  </si>
  <si>
    <t>27-03-16-023</t>
  </si>
  <si>
    <t>OPEN SPACE AT IGBO/OTA NEW SITE</t>
  </si>
  <si>
    <t>https://docs.inecelectionresults.net/elections_prod/1292/state/01/lga/03/ward/16/pu/023/023-1677380310.pdf</t>
  </si>
  <si>
    <t>OPEN SPACE AT IGBO/OTA NEW SITE, Polling Unit, ADO ODO-OTA, Ogun State, Nigeria</t>
  </si>
  <si>
    <t>27-03-16-024</t>
  </si>
  <si>
    <t>L.G. PRIMARY SCHOOL II, TOTOWU</t>
  </si>
  <si>
    <t>https://docs.inecelectionresults.net/elections_prod/1292/state/01/lga/03/ward/16/pu/024/024-1677381269.pdf</t>
  </si>
  <si>
    <t>L.G. PRIMARY SCHOOL II, TOTOWU, Polling Unit, ADO ODO-OTA, Ogun State, Nigeria</t>
  </si>
  <si>
    <t>27-03-16-025</t>
  </si>
  <si>
    <t>OPEN SPACE BESIDE PRAYING GROUND, IGBERIN IGBODO, EJILA AWORI</t>
  </si>
  <si>
    <t>https://docs.inecelectionresults.net/elections_prod/1292/state/01/lga/03/ward/16/pu/025/025-1677395541.pdf</t>
  </si>
  <si>
    <t>OPEN SPACE BESIDE PRAYING GROUND, IGBERIN IGBODO, EJILA AWORI, Polling Unit, ADO ODO-OTA, Ogun State, Nigeria</t>
  </si>
  <si>
    <t>27-03-12-018</t>
  </si>
  <si>
    <t>OPEN SPACE AT SUNLIGHT CDA JUNCTION, OLORUNLEKE ALAPOTI</t>
  </si>
  <si>
    <t>https://docs.inecelectionresults.net/elections_prod/1292/state/01/lga/03/ward/12/pu/018/018-1677365678.pdf</t>
  </si>
  <si>
    <t>OPEN SPACE AT SUNLIGHT CDA JUNCTION, OLORUNLEKE ALAPOTI, Polling Unit, ADO ODO-OTA, Ogun State, Nigeria</t>
  </si>
  <si>
    <t>27-03-12-019</t>
  </si>
  <si>
    <t>OPEN SPACE AT OLORUNSOGO BUS-STOP IDIOTA, ALAPOTI</t>
  </si>
  <si>
    <t>https://docs.inecelectionresults.net/elections_prod/1292/state/01/lga/03/ward/12/pu/019/019-1677358566.pdf</t>
  </si>
  <si>
    <t>OPEN SPACE AT OLORUNSOGO BUS-STOP IDIOTA, ALAPOTI, Polling Unit, ADO ODO-OTA, Ogun State, Nigeria</t>
  </si>
  <si>
    <t>27-03-12-020</t>
  </si>
  <si>
    <t>OPEN SPACE AT IDOFE COMMUNITY ALONG ALAPOTI ADO-ODO ROAD, ALAPOTI</t>
  </si>
  <si>
    <t>https://docs.inecelectionresults.net/elections_prod/1292/state/01/lga/03/ward/12/pu/020/020-1677361253.pdf</t>
  </si>
  <si>
    <t>OPEN SPACE AT IDOFE COMMUNITY ALONG ALAPOTI ADO-ODO ROAD, ALAPOTI, Polling Unit, ADO ODO-OTA, Ogun State, Nigeria</t>
  </si>
  <si>
    <t>27-03-12-022</t>
  </si>
  <si>
    <t>BESIDE TRANSFORMER, ALAAGBA ALAPOTI</t>
  </si>
  <si>
    <t>https://docs.inecelectionresults.net/elections_prod/1292/state/01/lga/03/ward/12/pu/022/022-1677359968.pdf</t>
  </si>
  <si>
    <t>BESIDE TRANSFORMER, ALAAGBA ALAPOTI, Polling Unit, ADO ODO-OTA, Ogun State, Nigeria</t>
  </si>
  <si>
    <t>27-03-12-024</t>
  </si>
  <si>
    <t>COMMUNITY HIGH SCHOOL ALAPOTI</t>
  </si>
  <si>
    <t>https://docs.inecelectionresults.net/elections_prod/1292/state/01/lga/03/ward/12/pu/024/024-1677369100.pdf</t>
  </si>
  <si>
    <t>COMMUNITY HIGH SCHOOL ALAPOTI, Polling Unit, ADO ODO-OTA, Ogun State, Nigeria</t>
  </si>
  <si>
    <t>27-03-12-025</t>
  </si>
  <si>
    <t>BESIDE TRANSFORMER AIT ROAD, NEW SATELLITE OLORUNLEKE</t>
  </si>
  <si>
    <t>https://docs.inecelectionresults.net/elections_prod/1292/state/01/lga/03/ward/12/pu/025/025-1677359610.pdf</t>
  </si>
  <si>
    <t>BESIDE TRANSFORMER AIT ROAD, NEW SATELLITE OLORUNLEKE, Polling Unit, ADO ODO-OTA, Ogun State, Nigeria</t>
  </si>
  <si>
    <t>27-03-06-021</t>
  </si>
  <si>
    <t>IN FRONT OF SAWMILL AT MOLASIN ROAD OPPOSITE  WEATHER WORK SHOP</t>
  </si>
  <si>
    <t>https://docs.inecelectionresults.net/elections_prod/1292/state/01/lga/03/ward/06/pu/021/021-1677406601.pdf</t>
  </si>
  <si>
    <t>IN FRONT OF SAWMILL AT MOLASIN ROAD OPPOSITE  WEATHER WORK SHOP, Polling Unit, ADO ODO-OTA, Ogun State, Nigeria</t>
  </si>
  <si>
    <t>27-03-06-022</t>
  </si>
  <si>
    <t>IN FRONT OF TRANSFORMER AT AYORINDE STREET, AJIBAWO ATAN</t>
  </si>
  <si>
    <t>https://docs.inecelectionresults.net/elections_prod/1292/state/01/lga/03/ward/06/pu/022/022-1677421708.pdf</t>
  </si>
  <si>
    <t>IN FRONT OF TRANSFORMER AT AYORINDE STREET, AJIBAWO ATAN, Polling Unit, ADO ODO-OTA, Ogun State, Nigeria</t>
  </si>
  <si>
    <t>27-03-06-023</t>
  </si>
  <si>
    <t>OPEN SPACE AT OLUKADE ROAD OKE ORE ATAN</t>
  </si>
  <si>
    <t>https://docs.inecelectionresults.net/elections_prod/1292/state/01/lga/03/ward/06/pu/023/023-1677400696.pdf</t>
  </si>
  <si>
    <t>OPEN SPACE AT OLUKADE ROAD OKE ORE ATAN, Polling Unit, ADO ODO-OTA, Ogun State, Nigeria</t>
  </si>
  <si>
    <t>27-03-06-025</t>
  </si>
  <si>
    <t>OPEN SPACE AT IDAN JESU JUNCTION OLORUNDA MAKU ATAN</t>
  </si>
  <si>
    <t>https://docs.inecelectionresults.net/elections_prod/1292/state/1/lga/3668/ward/23986/pu/165192/165192-1677467211.pdf</t>
  </si>
  <si>
    <t>OPEN SPACE AT IDAN JESU JUNCTION OLORUNDA MAKU ATAN, Polling Unit, ADO ODO-OTA, Ogun State, Nigeria</t>
  </si>
  <si>
    <t>27-03-06-026</t>
  </si>
  <si>
    <t>IN FRONT OF TRANSFORMER AT ANUOLUWAPO  STREET, OFF AJEGUNLE ROAD AJIBAWO, ATAN</t>
  </si>
  <si>
    <t>https://docs.inecelectionresults.net/elections_prod/1292/state/1/lga/3668/ward/23986/pu/165193/165193-1677469656.pdf</t>
  </si>
  <si>
    <t>IN FRONT OF TRANSFORMER AT ANUOLUWAPO  STREET, OFF AJEGUNLE ROAD AJIBAWO, ATAN, Polling Unit, ADO ODO-OTA, Ogun State, Nigeria</t>
  </si>
  <si>
    <t>27-03-06-027</t>
  </si>
  <si>
    <t>IN FRONT OF TRANSFORMER OPP PROGRESSIVE STREET PEACELAND AJEGUNLE ATAN</t>
  </si>
  <si>
    <t>https://docs.inecelectionresults.net/elections_prod/1292/state/1/lga/3668/ward/23986/pu/165194/165194-1677471952.pdf</t>
  </si>
  <si>
    <t>IN FRONT OF TRANSFORMER OPP PROGRESSIVE STREET PEACELAND AJEGUNLE ATAN, Polling Unit, ADO ODO-OTA, Ogun State, Nigeria</t>
  </si>
  <si>
    <t>27-03-06-028</t>
  </si>
  <si>
    <t>OPEN SPACE OPP KLM1 AJEGUNLE ROAD ATAN</t>
  </si>
  <si>
    <t>https://docs.inecelectionresults.net/elections_prod/1292/state/1/lga/3668/ward/23986/pu/165195/165195-1677472322.pdf</t>
  </si>
  <si>
    <t>OPEN SPACE OPP KLM1 AJEGUNLE ROAD ATAN, Polling Unit, ADO ODO-OTA, Ogun State, Nigeria</t>
  </si>
  <si>
    <t>27-03-06-029</t>
  </si>
  <si>
    <t>OPEN SPACE AT C4 JUNCTION KAJOLA ROAD ATAN</t>
  </si>
  <si>
    <t>https://docs.inecelectionresults.net/elections_prod/1292/state/1/lga/3668/ward/23986/pu/165196/165196-1677464174.pdf</t>
  </si>
  <si>
    <t>OPEN SPACE AT C4 JUNCTION KAJOLA ROAD ATAN, Polling Unit, ADO ODO-OTA, Ogun State, Nigeria</t>
  </si>
  <si>
    <t>27-03-06-030</t>
  </si>
  <si>
    <t>BESIDE TRANSFORMER AT KAJOLA JUNCTION, ATAN</t>
  </si>
  <si>
    <t>https://docs.inecelectionresults.net/elections_prod/1292/state/1/lga/3668/ward/23986/pu/165197/165197-1677463535.pdf</t>
  </si>
  <si>
    <t>BESIDE TRANSFORMER AT KAJOLA JUNCTION, ATAN, Polling Unit, ADO ODO-OTA, Ogun State, Nigeria</t>
  </si>
  <si>
    <t>27-03-06-032</t>
  </si>
  <si>
    <t>OPEN SPACE KETU ORIYOMI ROAD, BY IRE OLUWA STREET, JUNCTION ATAN</t>
  </si>
  <si>
    <t>https://docs.inecelectionresults.net/elections_prod/1292/state/1/lga/3668/ward/23986/pu/165199/165199-1677465417.pdf</t>
  </si>
  <si>
    <t>OPEN SPACE KETU ORIYOMI ROAD, BY IRE OLUWA STREET, JUNCTION ATAN, Polling Unit, ADO ODO-OTA, Ogun State, Nigeria</t>
  </si>
  <si>
    <t>27-03-06-033</t>
  </si>
  <si>
    <t>BESIDE TRANSFORMER, AT JUMMY JUNCTION OLOKOPUPO ROAD</t>
  </si>
  <si>
    <t>https://docs.inecelectionresults.net/elections_prod/1292/state/1/lga/3668/ward/23986/pu/165200/165200-1677466714.pdf</t>
  </si>
  <si>
    <t>BESIDE TRANSFORMER, AT JUMMY JUNCTION OLOKOPUPO ROAD, Polling Unit, ADO ODO-OTA, Ogun State, Nigeria</t>
  </si>
  <si>
    <t>27-03-06-035</t>
  </si>
  <si>
    <t>COMMUNITY HALL AGORO ONIGBONGBO</t>
  </si>
  <si>
    <t>https://docs.inecelectionresults.net/elections_prod/1292/state/1/lga/3668/ward/23986/pu/165202/165202-1677464859.pdf</t>
  </si>
  <si>
    <t>COMMUNITY HALL AGORO ONIGBONGBO, Polling Unit, ADO ODO-OTA, Ogun State, Nigeria</t>
  </si>
  <si>
    <t>27-03-06-036</t>
  </si>
  <si>
    <t>VILLAGE SQUARE ILEWO ALAGA</t>
  </si>
  <si>
    <t>https://docs.inecelectionresults.net/elections_prod/1292/state/1/lga/3668/ward/23986/pu/165203/165203-1677473677.pdf</t>
  </si>
  <si>
    <t>VILLAGE SQUARE ILEWO ALAGA, Polling Unit, ADO ODO-OTA, Ogun State, Nigeria</t>
  </si>
  <si>
    <t>27-03-06-038</t>
  </si>
  <si>
    <t>OPEN SPACE TOBALASE BUSTOP, AJIBAWO</t>
  </si>
  <si>
    <t>https://docs.inecelectionresults.net/elections_prod/1292/state/1/lga/3668/ward/23986/pu/165205/165205-1677470732.pdf</t>
  </si>
  <si>
    <t>OPEN SPACE TOBALASE BUSTOP, AJIBAWO, Polling Unit, ADO ODO-OTA, Ogun State, Nigeria</t>
  </si>
  <si>
    <t>27-03-06-039</t>
  </si>
  <si>
    <t>OPEN SPACE AT AKINLOLU CAR WASH BUS STOP OLORUNSOGO OKE ORE.</t>
  </si>
  <si>
    <t>https://docs.inecelectionresults.net/elections_prod/1292/state/01/lga/03/ward/06/pu/039/039-1677412757.pdf</t>
  </si>
  <si>
    <t>OPEN SPACE AT AKINLOLU CAR WASH BUS STOP OLORUNSOGO OKE ORE., Polling Unit, ADO ODO-OTA, Ogun State, Nigeria</t>
  </si>
  <si>
    <t>27-03-06-040</t>
  </si>
  <si>
    <t>OPEN SPACE AT IGBO OPE JUNCTION, AGBEDI ROAD,  ONSHE OLOSE</t>
  </si>
  <si>
    <t>https://docs.inecelectionresults.net/elections_prod/1292/state/01/lga/03/ward/06/pu/040/040-1677416778.pdf</t>
  </si>
  <si>
    <t>OPEN SPACE AT IGBO OPE JUNCTION, AGBEDI ROAD,  ONSHE OLOSE, Polling Unit, ADO ODO-OTA, Ogun State, Nigeria</t>
  </si>
  <si>
    <t>27-03-06-041</t>
  </si>
  <si>
    <t>OPEN SPACE AT KATA ROAD, AJEGUNLE</t>
  </si>
  <si>
    <t>https://docs.inecelectionresults.net/elections_prod/1292/state/1/lga/3668/ward/23986/pu/165208/165208-1677469083.pdf</t>
  </si>
  <si>
    <t>OPEN SPACE AT KATA ROAD, AJEGUNLE, Polling Unit, ADO ODO-OTA, Ogun State, Nigeria</t>
  </si>
  <si>
    <t>27-03-14-013</t>
  </si>
  <si>
    <t>CHINA NIGERIA FRIENDSHIP MODEL SCHOOL, IGBESA</t>
  </si>
  <si>
    <t>https://docs.inecelectionresults.net/elections_prod/1292/state/01/lga/03/ward/14/pu/013/013-1677389659.pdf</t>
  </si>
  <si>
    <t>CHINA NIGERIA FRIENDSHIP MODEL SCHOOL, IGBESA, Polling Unit, ADO ODO-OTA, Ogun State, Nigeria</t>
  </si>
  <si>
    <t>27-03-14-014</t>
  </si>
  <si>
    <t>OPEN SPACE AT BOLAGBE STREET, OSI IGBESA</t>
  </si>
  <si>
    <t>https://docs.inecelectionresults.net/elections_prod/1292/state/01/lga/03/ward/14/pu/014/014-1677387976.pdf</t>
  </si>
  <si>
    <t>OPEN SPACE AT BOLAGBE STREET, OSI IGBESA, Polling Unit, ADO ODO-OTA, Ogun State, Nigeria</t>
  </si>
  <si>
    <t>27-03-14-015</t>
  </si>
  <si>
    <t>OPEN SPACE IKESE ROAD, IGBESA</t>
  </si>
  <si>
    <t>https://docs.inecelectionresults.net/elections_prod/1292/state/01/lga/03/ward/14/pu/015/015-1677388197.pdf</t>
  </si>
  <si>
    <t>OPEN SPACE IKESE ROAD, IGBESA, Polling Unit, ADO ODO-OTA, Ogun State, Nigeria</t>
  </si>
  <si>
    <t>27-03-14-017</t>
  </si>
  <si>
    <t>OPPOSITE OGUN GUANGDONG FREE TRADE ZONE GATE, ILALI</t>
  </si>
  <si>
    <t>https://docs.inecelectionresults.net/elections_prod/1292/state/01/lga/03/ward/14/pu/017/017-1677389493.pdf</t>
  </si>
  <si>
    <t>OPPOSITE OGUN GUANGDONG FREE TRADE ZONE GATE, ILALI, Polling Unit, ADO ODO-OTA, Ogun State, Nigeria</t>
  </si>
  <si>
    <t>27-03-14-018</t>
  </si>
  <si>
    <t>OPEN SPACE AT OJU ROAD BY SUNMIBARE STREET, IGBESA</t>
  </si>
  <si>
    <t>https://docs.inecelectionresults.net/elections_prod/1292/state/01/lga/03/ward/14/pu/018/018-1677384612.pdf</t>
  </si>
  <si>
    <t>OPEN SPACE AT OJU ROAD BY SUNMIBARE STREET, IGBESA, Polling Unit, ADO ODO-OTA, Ogun State, Nigeria</t>
  </si>
  <si>
    <t>27-03-14-019</t>
  </si>
  <si>
    <t>OPEN SPACE AT IJAGBA ILAMIRO, IGBESA</t>
  </si>
  <si>
    <t>https://docs.inecelectionresults.net/elections_prod/1292/state/01/lga/03/ward/14/pu/019/019-1677387826.pdf</t>
  </si>
  <si>
    <t>OPEN SPACE AT IJAGBA ILAMIRO, IGBESA, Polling Unit, ADO ODO-OTA, Ogun State, Nigeria</t>
  </si>
  <si>
    <t>27-03-14-020</t>
  </si>
  <si>
    <t>OPEN SPACE BESIDE PUBLIC WATER, PANADA, JUNCTION, IGBESA</t>
  </si>
  <si>
    <t>https://docs.inecelectionresults.net/elections_prod/1292/state/01/lga/03/ward/14/pu/020/020-1677393393.pdf</t>
  </si>
  <si>
    <t>OPEN SPACE BESIDE PUBLIC WATER, PANADA, JUNCTION, IGBESA, Polling Unit, ADO ODO-OTA, Ogun State, Nigeria</t>
  </si>
  <si>
    <t>27-03-14-021</t>
  </si>
  <si>
    <t>OPEN SPACE OPP. OGUN GUANGDONG FREE TRADE ZONE II IGBESA</t>
  </si>
  <si>
    <t>https://docs.inecelectionresults.net/elections_prod/1292/state/01/lga/03/ward/14/pu/021/021-1677386391.pdf</t>
  </si>
  <si>
    <t>OPEN SPACE OPP. OGUN GUANGDONG FREE TRADE ZONE II IGBESA, Polling Unit, ADO ODO-OTA, Ogun State, Nigeria</t>
  </si>
  <si>
    <t>27-03-14-022</t>
  </si>
  <si>
    <t>OPEN SPACE AT IYANA OSHUN BESIDES RONAUT FILLING STATION LUSADA IGBESA</t>
  </si>
  <si>
    <t>https://docs.inecelectionresults.net/elections_prod/1292/state/01/lga/03/ward/14/pu/022/022-1677391601.pdf</t>
  </si>
  <si>
    <t>OPEN SPACE AT IYANA OSHUN BESIDES RONAUT FILLING STATION LUSADA IGBESA, Polling Unit, ADO ODO-OTA, Ogun State, Nigeria</t>
  </si>
  <si>
    <t>27-03-14-023</t>
  </si>
  <si>
    <t>MAALE COMPREHENSIVE HIGH SCHOOL. IGBESA</t>
  </si>
  <si>
    <t>https://docs.inecelectionresults.net/elections_prod/1292/state/01/lga/03/ward/14/pu/023/023-1677392926.pdf</t>
  </si>
  <si>
    <t>MAALE COMPREHENSIVE HIGH SCHOOL. IGBESA, Polling Unit, ADO ODO-OTA, Ogun State, Nigeria</t>
  </si>
  <si>
    <t>27-03-05-017</t>
  </si>
  <si>
    <t>OPEN SPACE AT OGUNMOKUN ROAD BY 3 TEE JUNCTION, ABULE IROKO</t>
  </si>
  <si>
    <t>https://docs.inecelectionresults.net/elections_prod/1292/state/1/lga/3668/ward/23985/pu/165145/165145-1677478008.pdf</t>
  </si>
  <si>
    <t>OPEN SPACE AT OGUNMOKUN ROAD BY 3 TEE JUNCTION, ABULE IROKO, Polling Unit, ADO ODO-OTA, Ogun State, Nigeria</t>
  </si>
  <si>
    <t>27-03-05-018</t>
  </si>
  <si>
    <t>OPEN SPACE AT FPF BY MOSES ORIMOLADE JUNCTION, ABULE IROKO</t>
  </si>
  <si>
    <t>https://docs.inecelectionresults.net/elections_prod/1292/state/1/lga/3668/ward/23985/pu/165146/165146-1677485465.pdf</t>
  </si>
  <si>
    <t>OPEN SPACE AT FPF BY MOSES ORIMOLADE JUNCTION, ABULE IROKO, Polling Unit, ADO ODO-OTA, Ogun State, Nigeria</t>
  </si>
  <si>
    <t>27-03-05-019</t>
  </si>
  <si>
    <t>OPEN SPACE AT ISHO JUNCTION, ARAROMI PHASE 1, ABULE IROKO</t>
  </si>
  <si>
    <t>https://docs.inecelectionresults.net/elections_prod/1292/state/01/lga/03/ward/05/pu/019/019-1677405433.pdf</t>
  </si>
  <si>
    <t>OPEN SPACE AT ISHO JUNCTION, ARAROMI PHASE 1, ABULE IROKO, Polling Unit, ADO ODO-OTA, Ogun State, Nigeria</t>
  </si>
  <si>
    <t>27-03-05-020</t>
  </si>
  <si>
    <t>IFE HEALTH CENTRE, IFELAGBA, ABULE IROKO</t>
  </si>
  <si>
    <t>https://docs.inecelectionresults.net/elections_prod/1292/state/01/lga/03/ward/05/pu/020/020-1677406427.pdf</t>
  </si>
  <si>
    <t>IFE HEALTH CENTRE, IFELAGBA, ABULE IROKO, Polling Unit, ADO ODO-OTA, Ogun State, Nigeria</t>
  </si>
  <si>
    <t>27-03-05-021</t>
  </si>
  <si>
    <t>OPEN SPACE AT GASLINE JUNCTION, IJOKO, BUS STOP</t>
  </si>
  <si>
    <t>https://docs.inecelectionresults.net/elections_prod/1292/state/1/lga/3668/ward/23985/pu/165149/165149-1677478996.pdf</t>
  </si>
  <si>
    <t>OPEN SPACE AT GASLINE JUNCTION, IJOKO, BUS STOP, Polling Unit, ADO ODO-OTA, Ogun State, Nigeria</t>
  </si>
  <si>
    <t>27-03-05-022</t>
  </si>
  <si>
    <t>BESIDE TRANSFORMER, IFELODUN ABULE IROKO</t>
  </si>
  <si>
    <t>https://docs.inecelectionresults.net/elections_prod/1292/state/1/lga/3668/ward/23985/pu/165150/165150-1677482183.pdf</t>
  </si>
  <si>
    <t>BESIDE TRANSFORMER, IFELODUN ABULE IROKO, Polling Unit, ADO ODO-OTA, Ogun State, Nigeria</t>
  </si>
  <si>
    <t>27-03-05-023</t>
  </si>
  <si>
    <t>IN FRONT OF MAST, GOD TRUST ESTATE, IJOKO</t>
  </si>
  <si>
    <t>https://docs.inecelectionresults.net/elections_prod/1292/state/1/lga/3668/ward/23985/pu/165151/165151-1677481761.pdf</t>
  </si>
  <si>
    <t>IN FRONT OF MAST, GOD TRUST ESTATE, IJOKO, Polling Unit, ADO ODO-OTA, Ogun State, Nigeria</t>
  </si>
  <si>
    <t>27-03-05-024</t>
  </si>
  <si>
    <t>OPEN SPACE OPPOSITE BAALE'S HOUSE, ARIJE</t>
  </si>
  <si>
    <t>https://docs.inecelectionresults.net/elections_prod/1292/state/1/lga/3668/ward/23985/pu/165152/165152-1677485194.pdf</t>
  </si>
  <si>
    <t>OPEN SPACE OPPOSITE BAALE'S HOUSE, ARIJE, Polling Unit, ADO ODO-OTA, Ogun State, Nigeria</t>
  </si>
  <si>
    <t>27-03-05-025</t>
  </si>
  <si>
    <t>BESIDE TRANSFORMER OLAOTAN JUNCTION, IJOKO</t>
  </si>
  <si>
    <t>https://docs.inecelectionresults.net/elections_prod/1292/state/1/lga/3668/ward/23985/pu/165153/165153-1677482349.pdf</t>
  </si>
  <si>
    <t>BESIDE TRANSFORMER OLAOTAN JUNCTION, IJOKO, Polling Unit, ADO ODO-OTA, Ogun State, Nigeria</t>
  </si>
  <si>
    <t>27-03-05-026</t>
  </si>
  <si>
    <t>ST SAVIOUR'S ANGLICAN NURSERY PRIMARY SCHOOL, IJOKO</t>
  </si>
  <si>
    <t>https://docs.inecelectionresults.net/elections_prod/1292/state/1/lga/3668/ward/23985/pu/165154/165154-1677481391.pdf</t>
  </si>
  <si>
    <t>ST SAVIOUR'S ANGLICAN NURSERY PRIMARY SCHOOL, IJOKO, Polling Unit, ADO ODO-OTA, Ogun State, Nigeria</t>
  </si>
  <si>
    <t>27-03-05-029</t>
  </si>
  <si>
    <t>OPEN SPACE AT AIYEJIMI/SOLANKE JUNCTION, IJOKO</t>
  </si>
  <si>
    <t>https://docs.inecelectionresults.net/elections_prod/1292/state/1/lga/3668/ward/23985/pu/165157/165157-1677479413.pdf</t>
  </si>
  <si>
    <t>OPEN SPACE AT AIYEJIMI/SOLANKE JUNCTION, IJOKO, Polling Unit, ADO ODO-OTA, Ogun State, Nigeria</t>
  </si>
  <si>
    <t>27-03-05-030</t>
  </si>
  <si>
    <t>OWODE/AGORO JUNCTION, IJOKO</t>
  </si>
  <si>
    <t>https://docs.inecelectionresults.net/elections_prod/1292/state/01/lga/03/ward/05/pu/030/030-1677399386.pdf</t>
  </si>
  <si>
    <t>OWODE/AGORO JUNCTION, IJOKO, Polling Unit, ADO ODO-OTA, Ogun State, Nigeria</t>
  </si>
  <si>
    <t>27-03-05-031</t>
  </si>
  <si>
    <t>SAKA POWERLINE/ABULE IROKO ROAD, ABULE IROKO</t>
  </si>
  <si>
    <t>https://docs.inecelectionresults.net/elections_prod/1292/state/01/lga/03/ward/05/pu/031/031-1677395269.pdf</t>
  </si>
  <si>
    <t>SAKA POWERLINE/ABULE IROKO ROAD, ABULE IROKO, Polling Unit, ADO ODO-OTA, Ogun State, Nigeria</t>
  </si>
  <si>
    <t>27-03-05-032</t>
  </si>
  <si>
    <t>OPEN�� SPACE OPPOSITE HALIAQU MOSQUE, ABULE IROKO</t>
  </si>
  <si>
    <t>https://docs.inecelectionresults.net/elections_prod/1292/state/01/lga/03/ward/05/pu/032/032-1677405873.pdf</t>
  </si>
  <si>
    <t>OPEN�� SPACE OPPOSITE HALIAQU MOSQUE, ABULE IROKO, Polling Unit, ADO ODO-OTA, Ogun State, Nigeria</t>
  </si>
  <si>
    <t>27-03-05-033</t>
  </si>
  <si>
    <t>OPEN SPACE AT SALAMI OPE/SEGUN FALODE JUNCTION, ABULE IROKO</t>
  </si>
  <si>
    <t>https://docs.inecelectionresults.net/elections_prod/1292/state/01/lga/03/ward/05/pu/033/033-1677375282.pdf</t>
  </si>
  <si>
    <t>OPEN SPACE AT SALAMI OPE/SEGUN FALODE JUNCTION, ABULE IROKO, Polling Unit, ADO ODO-OTA, Ogun State, Nigeria</t>
  </si>
  <si>
    <t>27-03-05-034</t>
  </si>
  <si>
    <t>BESIDE TRANSFORMER,  SURULERE ROAD, NTABO, IJOKO</t>
  </si>
  <si>
    <t>https://docs.inecelectionresults.net/elections_prod/1292/state/1/lga/3668/ward/23985/pu/165162/165162-1677479777.pdf</t>
  </si>
  <si>
    <t>BESIDE TRANSFORMER,  SURULERE ROAD, NTABO, IJOKO, Polling Unit, ADO ODO-OTA, Ogun State, Nigeria</t>
  </si>
  <si>
    <t>27-03-05-035</t>
  </si>
  <si>
    <t>OPEN SPACE AT COUNSELLOR BLOCK, NTABO, IJOKO</t>
  </si>
  <si>
    <t>https://docs.inecelectionresults.net/elections_prod/1292/state/01/lga/03/ward/05/pu/035/035-1677400520.pdf</t>
  </si>
  <si>
    <t>OPEN SPACE AT COUNSELLOR BLOCK, NTABO, IJOKO, Polling Unit, ADO ODO-OTA, Ogun State, Nigeria</t>
  </si>
  <si>
    <t>27-03-05-036</t>
  </si>
  <si>
    <t>BESIDE TRANSFORMER  ODO-ALADE, NTABO, IJOKO</t>
  </si>
  <si>
    <t>https://docs.inecelectionresults.net/elections_prod/1292/state/1/lga/3668/ward/23985/pu/165164/165164-1677480985.pdf</t>
  </si>
  <si>
    <t>BESIDE TRANSFORMER  ODO-ALADE, NTABO, IJOKO, Polling Unit, ADO ODO-OTA, Ogun State, Nigeria</t>
  </si>
  <si>
    <t>27-03-05-037</t>
  </si>
  <si>
    <t>NIGHT MARKET, OKESUNA, IJOKO</t>
  </si>
  <si>
    <t>https://docs.inecelectionresults.net/elections_prod/1292/state/1/lga/3668/ward/23985/pu/165165/165165-1677483737.pdf</t>
  </si>
  <si>
    <t>NIGHT MARKET, OKESUNA, IJOKO, Polling Unit, ADO ODO-OTA, Ogun State, Nigeria</t>
  </si>
  <si>
    <t>27-03-05-038</t>
  </si>
  <si>
    <t>BESIDE TRANSFORMER WATERGATE, AGBOLUAJE JUNCTION , IJOKO</t>
  </si>
  <si>
    <t>https://docs.inecelectionresults.net/elections_prod/1292/state/01/lga/03/ward/05/pu/038/038-1677398630.pdf</t>
  </si>
  <si>
    <t>BESIDE TRANSFORMER WATERGATE, AGBOLUAJE JUNCTION , IJOKO, Polling Unit, ADO ODO-OTA, Ogun State, Nigeria</t>
  </si>
  <si>
    <t>27-03-05-039</t>
  </si>
  <si>
    <t>IFEGUNWA COMMUNITY HALL, IJOKO</t>
  </si>
  <si>
    <t>https://docs.inecelectionresults.net/elections_prod/1292/state/01/lga/03/ward/05/pu/039/039-1677407201.pdf</t>
  </si>
  <si>
    <t>IFEGUNWA COMMUNITY HALL, IJOKO, Polling Unit, ADO ODO-OTA, Ogun State, Nigeria</t>
  </si>
  <si>
    <t>27-03-05-040</t>
  </si>
  <si>
    <t>COMMUNITY HEALTH CENTRE, ARIJE</t>
  </si>
  <si>
    <t>https://docs.inecelectionresults.net/elections_prod/1292/state/01/lga/03/ward/05/pu/040/040-1677398356.pdf</t>
  </si>
  <si>
    <t>COMMUNITY HEALTH CENTRE, ARIJE, Polling Unit, ADO ODO-OTA, Ogun State, Nigeria</t>
  </si>
  <si>
    <t>27-03-05-041</t>
  </si>
  <si>
    <t>BESIDE TRANSFORMER BY MOSHOOD HAMZAT CRESCENT, ABULE IROKO</t>
  </si>
  <si>
    <t>https://docs.inecelectionresults.net/elections_prod/1292/state/1/lga/3668/ward/23985/pu/165169/165169-1677494752.pdf</t>
  </si>
  <si>
    <t>BESIDE TRANSFORMER BY MOSHOOD HAMZAT CRESCENT, ABULE IROKO, Polling Unit, ADO ODO-OTA, Ogun State, Nigeria</t>
  </si>
  <si>
    <t>27-03-05-042</t>
  </si>
  <si>
    <t>OPEN SPACE AT MOSES AJULO JUNCTION,  ARIJELORO</t>
  </si>
  <si>
    <t>https://docs.inecelectionresults.net/elections_prod/1292/state/1/lga/3668/ward/23985/pu/165170/165170-1677481968.pdf</t>
  </si>
  <si>
    <t>OPEN SPACE AT MOSES AJULO JUNCTION,  ARIJELORO, Polling Unit, ADO ODO-OTA, Ogun State, Nigeria</t>
  </si>
  <si>
    <t>27-03-05-044</t>
  </si>
  <si>
    <t>BESIDE TRANSFORMER BY WASIU OLAYINKA/AKIN MARTINS STREET, OFF GASLINE, IJOKO</t>
  </si>
  <si>
    <t>https://docs.inecelectionresults.net/elections_prod/1292/state/1/lga/3668/ward/23985/pu/165172/165172-1677483453.pdf</t>
  </si>
  <si>
    <t>BESIDE TRANSFORMER BY WASIU OLAYINKA/AKIN MARTINS STREET, OFF GASLINE, IJOKO, Polling Unit, ADO ODO-OTA, Ogun State, Nigeria</t>
  </si>
  <si>
    <t>27-03-05-045</t>
  </si>
  <si>
    <t>BESIDE TRANSFORMER ATOBAJAIYE JUNCTION, IJOKO</t>
  </si>
  <si>
    <t>https://docs.inecelectionresults.net/elections_prod/1292/state/01/lga/03/ward/05/pu/045/045-1677406575.pdf</t>
  </si>
  <si>
    <t>BESIDE TRANSFORMER ATOBAJAIYE JUNCTION, IJOKO, Polling Unit, ADO ODO-OTA, Ogun State, Nigeria</t>
  </si>
  <si>
    <t>27-03-05-046</t>
  </si>
  <si>
    <t>OPEN SPACE AT BARNABAS CRESCENT BY GASLINE GORGE,</t>
  </si>
  <si>
    <t>https://docs.inecelectionresults.net/elections_prod/1292/state/01/lga/03/ward/05/pu/046/046-1677397452.pdf</t>
  </si>
  <si>
    <t>OPEN SPACE AT BARNABAS CRESCENT BY GASLINE GORGE,, Polling Unit, ADO ODO-OTA, Ogun State, Nigeria</t>
  </si>
  <si>
    <t>27-03-05-047</t>
  </si>
  <si>
    <t>OLORUNDA COMMUNITY TOWN HALL,NTABO</t>
  </si>
  <si>
    <t>https://docs.inecelectionresults.net/elections_prod/1292/state/1/lga/3668/ward/23985/pu/165175/165175-1677488759.pdf</t>
  </si>
  <si>
    <t>OLORUNDA COMMUNITY TOWN HALL,NTABO, Polling Unit, ADO ODO-OTA, Ogun State, Nigeria</t>
  </si>
  <si>
    <t>27-03-05-048</t>
  </si>
  <si>
    <t>OPEN SPACE AT OPENIYI JUNCTION/ OGUNDELE STREET,</t>
  </si>
  <si>
    <t>https://docs.inecelectionresults.net/elections_prod/1292/state/01/lga/03/ward/05/pu/048/048-1677401861.pdf</t>
  </si>
  <si>
    <t>OPEN SPACE AT OPENIYI JUNCTION/ OGUNDELE STREET,, Polling Unit, ADO ODO-OTA, Ogun State, Nigeria</t>
  </si>
  <si>
    <t>27-03-05-049</t>
  </si>
  <si>
    <t>OPEN SPACE AT YEMISI AKERELE/ADENIJI ALABI JUNCTION</t>
  </si>
  <si>
    <t>https://docs.inecelectionresults.net/elections_prod/1292/state/01/lga/03/ward/05/pu/049/049-1677400289.pdf</t>
  </si>
  <si>
    <t>OPEN SPACE AT YEMISI AKERELE/ADENIJI ALABI JUNCTION, Polling Unit, ADO ODO-OTA, Ogun State, Nigeria</t>
  </si>
  <si>
    <t>27-03-05-050</t>
  </si>
  <si>
    <t>OPEN SPACE AT ORISUNBARE/GASLINE JUNCTION</t>
  </si>
  <si>
    <t>https://docs.inecelectionresults.net/elections_prod/1292/state/1/lga/3668/ward/23985/pu/165178/165178-1677480024.pdf</t>
  </si>
  <si>
    <t>OPEN SPACE AT ORISUNBARE/GASLINE JUNCTION, Polling Unit, ADO ODO-OTA, Ogun State, Nigeria</t>
  </si>
  <si>
    <t>27-03-05-051</t>
  </si>
  <si>
    <t>AWANIREKAN COMMUNITY ESTATE GATE, GASLINE</t>
  </si>
  <si>
    <t>https://docs.inecelectionresults.net/elections_prod/1292/state/01/lga/03/ward/05/pu/051/051-1677408627.pdf</t>
  </si>
  <si>
    <t>AWANIREKAN COMMUNITY ESTATE GATE, GASLINE, Polling Unit, ADO ODO-OTA, Ogun State, Nigeria</t>
  </si>
  <si>
    <t>27-03-05-052</t>
  </si>
  <si>
    <t>MECHANIC VILLAGE, OLAOTAN STREET, IJOKO</t>
  </si>
  <si>
    <t>https://docs.inecelectionresults.net/elections_prod/1292/state/01/lga/03/ward/05/pu/052/052-1677407702.pdf</t>
  </si>
  <si>
    <t>MECHANIC VILLAGE, OLAOTAN STREET, IJOKO, Polling Unit, ADO ODO-OTA, Ogun State, Nigeria</t>
  </si>
  <si>
    <t>27-03-05-053</t>
  </si>
  <si>
    <t>OPEN SPACE�� AT ARAROMI JUNCTION, ARIJE</t>
  </si>
  <si>
    <t>https://docs.inecelectionresults.net/elections_prod/1292/state/01/lga/03/ward/05/pu/053/053-1677412343.pdf</t>
  </si>
  <si>
    <t>OPEN SPACE�� AT ARAROMI JUNCTION, ARIJE, Polling Unit, ADO ODO-OTA, Ogun State, Nigeria</t>
  </si>
  <si>
    <t>27-03-05-054</t>
  </si>
  <si>
    <t>PONRAELE JUNCTION,�� BEHIND MOSHLAD HOTEL ARIJE.</t>
  </si>
  <si>
    <t>https://docs.inecelectionresults.net/elections_prod/1292/state/1/lga/3668/ward/23985/pu/165182/165182-1677482666.pdf</t>
  </si>
  <si>
    <t>PONRAELE JUNCTION,�� BEHIND MOSHLAD HOTEL ARIJE., Polling Unit, ADO ODO-OTA, Ogun State, Nigeria</t>
  </si>
  <si>
    <t>27-03-05-056</t>
  </si>
  <si>
    <t>OPEN�� SPACE AT OREMEJI STREET, AKINDE JUNCTION ARIJELORO.</t>
  </si>
  <si>
    <t>https://docs.inecelectionresults.net/elections_prod/1292/state/01/lga/03/ward/05/pu/056/056-1677404113.pdf</t>
  </si>
  <si>
    <t>OPEN�� SPACE AT OREMEJI STREET, AKINDE JUNCTION ARIJELORO., Polling Unit, ADO ODO-OTA, Ogun State, Nigeria</t>
  </si>
  <si>
    <t>27-03-05-057</t>
  </si>
  <si>
    <t>OPEN SPACE AT VERDEC JUNCTION, IJOKO</t>
  </si>
  <si>
    <t>https://docs.inecelectionresults.net/elections_prod/1292/state/01/lga/03/ward/05/pu/057/057-1677404901.pdf</t>
  </si>
  <si>
    <t>OPEN SPACE AT VERDEC JUNCTION, IJOKO, Polling Unit, ADO ODO-OTA, Ogun State, Nigeria</t>
  </si>
  <si>
    <t>27-03-05-058</t>
  </si>
  <si>
    <t>BESIDE TRANSFORMER ABANIKOLE JUNCTION, IJOKO</t>
  </si>
  <si>
    <t>https://docs.inecelectionresults.net/elections_prod/1292/state/01/lga/03/ward/05/pu/058/058-1677407127.pdf</t>
  </si>
  <si>
    <t>BESIDE TRANSFORMER ABANIKOLE JUNCTION, IJOKO, Polling Unit, ADO ODO-OTA, Ogun State, Nigeria</t>
  </si>
  <si>
    <t>27-03-05-059</t>
  </si>
  <si>
    <t>OPEN SPACE AT KSTAR JUNCTION, ABANIKOLE, IJOKO</t>
  </si>
  <si>
    <t>https://docs.inecelectionresults.net/elections_prod/1292/state/01/lga/03/ward/05/pu/059/059-1677411347.pdf</t>
  </si>
  <si>
    <t>OPEN SPACE AT KSTAR JUNCTION, ABANIKOLE, IJOKO, Polling Unit, ADO ODO-OTA, Ogun State, Nigeria</t>
  </si>
  <si>
    <t>27-03-07-018</t>
  </si>
  <si>
    <t>OPEN SPACE AT DANGOTE JUNCTION, BABA ODE</t>
  </si>
  <si>
    <t>https://docs.inecelectionresults.net/elections_prod/1292/state/01/lga/03/ward/07/pu/018/018-1677383002.pdf</t>
  </si>
  <si>
    <t>OPEN SPACE AT DANGOTE JUNCTION, BABA ODE, Polling Unit, ADO ODO-OTA, Ogun State, Nigeria</t>
  </si>
  <si>
    <t>27-03-07-019</t>
  </si>
  <si>
    <t>BESIDE TRANSFORMER PHASE II AJAYI EGAN</t>
  </si>
  <si>
    <t>https://docs.inecelectionresults.net/elections_prod/1292/state/01/lga/03/ward/07/pu/019/019-1677412220.pdf</t>
  </si>
  <si>
    <t>BESIDE TRANSFORMER PHASE II AJAYI EGAN, Polling Unit, ADO ODO-OTA, Ogun State, Nigeria</t>
  </si>
  <si>
    <t>27-03-07-020</t>
  </si>
  <si>
    <t>BESIDE TRANSFORMER NEAR PRESIDENT PAINT, IDEDO</t>
  </si>
  <si>
    <t>https://docs.inecelectionresults.net/elections_prod/1292/state/01/lga/03/ward/07/pu/020/020-1677408506.pdf</t>
  </si>
  <si>
    <t>BESIDE TRANSFORMER NEAR PRESIDENT PAINT, IDEDO, Polling Unit, ADO ODO-OTA, Ogun State, Nigeria</t>
  </si>
  <si>
    <t>27-03-07-021</t>
  </si>
  <si>
    <t>A.U.D PRIMARY SCHOOL, IJU</t>
  </si>
  <si>
    <t>https://docs.inecelectionresults.net/elections_prod/1292/state/01/lga/03/ward/07/pu/021/021-1677381710.pdf</t>
  </si>
  <si>
    <t>A.U.D PRIMARY SCHOOL, IJU, Polling Unit, ADO ODO-OTA, Ogun State, Nigeria</t>
  </si>
  <si>
    <t>27-03-07-022</t>
  </si>
  <si>
    <t>BESIDE TRANSFORMER  ADEALU, ISALE IJU</t>
  </si>
  <si>
    <t>https://docs.inecelectionresults.net/elections_prod/1292/state/01/lga/03/ward/07/pu/022/022-1677404993.pdf</t>
  </si>
  <si>
    <t>BESIDE TRANSFORMER  ADEALU, ISALE IJU, Polling Unit, ADO ODO-OTA, Ogun State, Nigeria</t>
  </si>
  <si>
    <t>27-03-07-023</t>
  </si>
  <si>
    <t>SALVATION ARMY PRIMARY SCHOOL, IJABA OTA</t>
  </si>
  <si>
    <t>https://docs.inecelectionresults.net/elections_prod/1292/state/01/lga/03/ward/07/pu/023/023-1677424482.pdf</t>
  </si>
  <si>
    <t>SALVATION ARMY PRIMARY SCHOOL, IJABA OTA, Polling Unit, ADO ODO-OTA, Ogun State, Nigeria</t>
  </si>
  <si>
    <t>27-03-07-024</t>
  </si>
  <si>
    <t>OPPOSITE TRANSFORMER,  ORIKOWONJO, IYESI</t>
  </si>
  <si>
    <t>https://docs.inecelectionresults.net/elections_prod/1292/state/01/lga/03/ward/07/pu/024/024-1677399369.pdf</t>
  </si>
  <si>
    <t>OPPOSITE TRANSFORMER,  ORIKOWONJO, IYESI, Polling Unit, ADO ODO-OTA, Ogun State, Nigeria</t>
  </si>
  <si>
    <t>27-03-07-025</t>
  </si>
  <si>
    <t>BESIDE TRANSFORMER BY 5TH AVENUE JUNCTION,  FERU, IYESI</t>
  </si>
  <si>
    <t>https://docs.inecelectionresults.net/elections_prod/1292/state/1/lga/3668/ward/23987/pu/165216/165216-1677458433.pdf</t>
  </si>
  <si>
    <t>BESIDE TRANSFORMER BY 5TH AVENUE JUNCTION,  FERU, IYESI, Polling Unit, ADO ODO-OTA, Ogun State, Nigeria</t>
  </si>
  <si>
    <t>27-03-07-026</t>
  </si>
  <si>
    <t>BESIDE TRANSFORMER ILASA TOWN, IYESI</t>
  </si>
  <si>
    <t>https://docs.inecelectionresults.net/elections_prod/1292/state/01/lga/03/ward/07/pu/026/026-1677409542.pdf</t>
  </si>
  <si>
    <t>BESIDE TRANSFORMER ILASA TOWN, IYESI, Polling Unit, ADO ODO-OTA, Ogun State, Nigeria</t>
  </si>
  <si>
    <t>27-03-07-027</t>
  </si>
  <si>
    <t>SURULERE ESTATE TOWN HALL, ILASA, IYESI</t>
  </si>
  <si>
    <t>https://docs.inecelectionresults.net/elections_prod/1292/state/01/lga/03/ward/07/pu/027/027-1677413522.pdf</t>
  </si>
  <si>
    <t>SURULERE ESTATE TOWN HALL, ILASA, IYESI, Polling Unit, ADO ODO-OTA, Ogun State, Nigeria</t>
  </si>
  <si>
    <t>27-03-07-028</t>
  </si>
  <si>
    <t>OPEN SPACE AT ALOWONLE JUNCTION, IJU PHASE II</t>
  </si>
  <si>
    <t>https://docs.inecelectionresults.net/elections_prod/1292/state/01/lga/03/ward/07/pu/028/028-1677415440.pdf</t>
  </si>
  <si>
    <t>OPEN SPACE AT ALOWONLE JUNCTION, IJU PHASE II, Polling Unit, ADO ODO-OTA, Ogun State, Nigeria</t>
  </si>
  <si>
    <t>27-03-07-031</t>
  </si>
  <si>
    <t>OPEN SPACE OPPOSITE WONDERLAND, IDI IROKO ROAD</t>
  </si>
  <si>
    <t>https://docs.inecelectionresults.net/elections_prod/1292/state/01/lga/03/ward/07/pu/031/031-1677379112.pdf</t>
  </si>
  <si>
    <t>OPEN SPACE OPPOSITE WONDERLAND, IDI IROKO ROAD, Polling Unit, ADO ODO-OTA, Ogun State, Nigeria</t>
  </si>
  <si>
    <t>27-03-07-032</t>
  </si>
  <si>
    <t>OPEN SPACE OPPOSITE CANAANLAND, OTA</t>
  </si>
  <si>
    <t>https://docs.inecelectionresults.net/elections_prod/1292/state/01/lga/03/ward/07/pu/032/032-1677385661.pdf</t>
  </si>
  <si>
    <t>OPEN SPACE OPPOSITE CANAANLAND, OTA, Polling Unit, ADO ODO-OTA, Ogun State, Nigeria</t>
  </si>
  <si>
    <t>27-03-07-033</t>
  </si>
  <si>
    <t>TRANSFORMER BASE OJU OTUKU JUNCTION EGUSI OTA</t>
  </si>
  <si>
    <t>https://docs.inecelectionresults.net/elections_prod/1292/state/01/lga/03/ward/07/pu/033/033-1677385415.pdf</t>
  </si>
  <si>
    <t>TRANSFORMER BASE OJU OTUKU JUNCTION EGUSI OTA, Polling Unit, ADO ODO-OTA, Ogun State, Nigeria</t>
  </si>
  <si>
    <t>27-03-07-034</t>
  </si>
  <si>
    <t>EGUSI ACDC HEALTH CENTRE, EGUSI OTA</t>
  </si>
  <si>
    <t>https://docs.inecelectionresults.net/elections_prod/1292/state/01/lga/03/ward/07/pu/034/034-1677388187.pdf</t>
  </si>
  <si>
    <t>EGUSI ACDC HEALTH CENTRE, EGUSI OTA, Polling Unit, ADO ODO-OTA, Ogun State, Nigeria</t>
  </si>
  <si>
    <t>27-03-07-035</t>
  </si>
  <si>
    <t>OPEN SPACE AT CELE NLA JUNCTION,  IGBEREN</t>
  </si>
  <si>
    <t>https://docs.inecelectionresults.net/elections_prod/1292/state/01/lga/03/ward/07/pu/035/035-1677385709.pdf</t>
  </si>
  <si>
    <t>OPEN SPACE AT CELE NLA JUNCTION,  IGBEREN, Polling Unit, ADO ODO-OTA, Ogun State, Nigeria</t>
  </si>
  <si>
    <t>27-03-07-036</t>
  </si>
  <si>
    <t>OBA MOSHOOD OYEDE COMMUNITY PRIMARY SCHOOL, ONIPANU</t>
  </si>
  <si>
    <t>https://docs.inecelectionresults.net/elections_prod/1292/state/01/lga/03/ward/07/pu/036/036-1677414216.pdf</t>
  </si>
  <si>
    <t>OBA MOSHOOD OYEDE COMMUNITY PRIMARY SCHOOL, ONIPANU, Polling Unit, ADO ODO-OTA, Ogun State, Nigeria</t>
  </si>
  <si>
    <t>27-03-07-038</t>
  </si>
  <si>
    <t>BESIDE TRANSFORMER  IJEGEMO ORUKU</t>
  </si>
  <si>
    <t>https://docs.inecelectionresults.net/elections_prod/1292/state/01/lga/03/ward/07/pu/038/038-1677410633.pdf</t>
  </si>
  <si>
    <t>BESIDE TRANSFORMER  IJEGEMO ORUKU, Polling Unit, ADO ODO-OTA, Ogun State, Nigeria</t>
  </si>
  <si>
    <t>27-03-07-039</t>
  </si>
  <si>
    <t>OPEN SPACE AT ONIGBIN ROUNDABOUT, ONIGBIN</t>
  </si>
  <si>
    <t>https://docs.inecelectionresults.net/elections_prod/1292/state/01/lga/03/ward/07/pu/039/039-1677411162.pdf</t>
  </si>
  <si>
    <t>OPEN SPACE AT ONIGBIN ROUNDABOUT, ONIGBIN, Polling Unit, ADO ODO-OTA, Ogun State, Nigeria</t>
  </si>
  <si>
    <t>27-03-07-040</t>
  </si>
  <si>
    <t>ANSAR-UD-DEEN COMPREHENSIVE HIGH SCHOOL LAFENWA ITELE</t>
  </si>
  <si>
    <t>https://docs.inecelectionresults.net/elections_prod/1292/state/01/lga/03/ward/07/pu/040/040-1677390757.pdf</t>
  </si>
  <si>
    <t>ANSAR-UD-DEEN COMPREHENSIVE HIGH SCHOOL LAFENWA ITELE, Polling Unit, ADO ODO-OTA, Ogun State, Nigeria</t>
  </si>
  <si>
    <t>27-03-07-041</t>
  </si>
  <si>
    <t>OPEN SPACE AT ONE ACCORD JUNCTION, ILEGBEDE ALAFIA ITELE</t>
  </si>
  <si>
    <t>https://docs.inecelectionresults.net/elections_prod/1292/state/01/lga/03/ward/07/pu/041/041-1677400152.pdf</t>
  </si>
  <si>
    <t>OPEN SPACE AT ONE ACCORD JUNCTION, ILEGBEDE ALAFIA ITELE, Polling Unit, ADO ODO-OTA, Ogun State, Nigeria</t>
  </si>
  <si>
    <t>27-03-07-042</t>
  </si>
  <si>
    <t>OPEN SPACE AT AIYEGBAJEJE JUNCTION OLUGBODE ROAD ITELE</t>
  </si>
  <si>
    <t>https://docs.inecelectionresults.net/elections_prod/1292/state/01/lga/03/ward/07/pu/042/042-1677379951.pdf</t>
  </si>
  <si>
    <t>OPEN SPACE AT AIYEGBAJEJE JUNCTION OLUGBODE ROAD ITELE, Polling Unit, ADO ODO-OTA, Ogun State, Nigeria</t>
  </si>
  <si>
    <t>27-03-07-043</t>
  </si>
  <si>
    <t>ANSAR-UD-DEEN PRIMARY  SCHOOL, ADELEYE ALAAGBA ITELE</t>
  </si>
  <si>
    <t>https://docs.inecelectionresults.net/elections_prod/1292/state/01/lga/03/ward/07/pu/043/043-1677406819.pdf</t>
  </si>
  <si>
    <t>ANSAR-UD-DEEN PRIMARY  SCHOOL, ADELEYE ALAAGBA ITELE, Polling Unit, ADO ODO-OTA, Ogun State, Nigeria</t>
  </si>
  <si>
    <t>27-03-07-044</t>
  </si>
  <si>
    <t>EJIGUN AGBEDE COMMUNITY TOWN HALL, EJIGUN ITELE</t>
  </si>
  <si>
    <t>https://docs.inecelectionresults.net/elections_prod/1292/state/01/lga/03/ward/07/pu/044/044-1677388861.pdf</t>
  </si>
  <si>
    <t>EJIGUN AGBEDE COMMUNITY TOWN HALL, EJIGUN ITELE, Polling Unit, ADO ODO-OTA, Ogun State, Nigeria</t>
  </si>
  <si>
    <t>27-03-07-045</t>
  </si>
  <si>
    <t>OPEN SPACE AT IFELODUN JUNCTION KOGI TOWN ITELE</t>
  </si>
  <si>
    <t>https://docs.inecelectionresults.net/elections_prod/1292/state/01/lga/03/ward/07/pu/045/045-1677391985.pdf</t>
  </si>
  <si>
    <t>OPEN SPACE AT IFELODUN JUNCTION KOGI TOWN ITELE, Polling Unit, ADO ODO-OTA, Ogun State, Nigeria</t>
  </si>
  <si>
    <t>27-03-07-046</t>
  </si>
  <si>
    <t>IN FRONT OF TRANSFORMER AT ALHAJA OKETENTE JUNCTION, CASHIER AREA, ITELE</t>
  </si>
  <si>
    <t>https://docs.inecelectionresults.net/elections_prod/1292/state/01/lga/03/ward/07/pu/046/046-1677391172.pdf</t>
  </si>
  <si>
    <t>IN FRONT OF TRANSFORMER AT ALHAJA OKETENTE JUNCTION, CASHIER AREA, ITELE, Polling Unit, ADO ODO-OTA, Ogun State, Nigeria</t>
  </si>
  <si>
    <t>27-03-07-047</t>
  </si>
  <si>
    <t>OPEN SPACE AT MORKAS JUNCTION APARADIJA ITELE</t>
  </si>
  <si>
    <t>https://docs.inecelectionresults.net/elections_prod/1292/state/01/lga/03/ward/07/pu/047/047-1677376539.pdf</t>
  </si>
  <si>
    <t>OPEN SPACE AT MORKAS JUNCTION APARADIJA ITELE, Polling Unit, ADO ODO-OTA, Ogun State, Nigeria</t>
  </si>
  <si>
    <t>27-03-07-048</t>
  </si>
  <si>
    <t>ST PETERS PRIMARY SCHOOL ODAN OTUN ITELE</t>
  </si>
  <si>
    <t>https://docs.inecelectionresults.net/elections_prod/1292/state/01/lga/03/ward/07/pu/048/048-1677407197.pdf</t>
  </si>
  <si>
    <t>ST PETERS PRIMARY SCHOOL ODAN OTUN ITELE, Polling Unit, ADO ODO-OTA, Ogun State, Nigeria</t>
  </si>
  <si>
    <t>27-03-07-049</t>
  </si>
  <si>
    <t>COMMUNITY HEALTH CENTRE, AIYETORO</t>
  </si>
  <si>
    <t>https://docs.inecelectionresults.net/elections_prod/1292/state/01/lga/03/ward/07/pu/049/049-1677407658.pdf</t>
  </si>
  <si>
    <t>COMMUNITY HEALTH CENTRE, AIYETORO, Polling Unit, ADO ODO-OTA, Ogun State, Nigeria</t>
  </si>
  <si>
    <t>27-03-07-051</t>
  </si>
  <si>
    <t>OPEN SPACE AT AJANA ORO JUNCTION, AIYETORO</t>
  </si>
  <si>
    <t>https://docs.inecelectionresults.net/elections_prod/1292/state/01/lga/03/ward/07/pu/051/051-1677395351.pdf</t>
  </si>
  <si>
    <t>OPEN SPACE AT AJANA ORO JUNCTION, AIYETORO, Polling Unit, ADO ODO-OTA, Ogun State, Nigeria</t>
  </si>
  <si>
    <t>27-03-07-052</t>
  </si>
  <si>
    <t>OPEN SPACE AT GBAGOBIAJELE JUNCTION AIYETORO</t>
  </si>
  <si>
    <t>https://docs.inecelectionresults.net/elections_prod/1292/state/01/lga/03/ward/07/pu/052/052-1677386684.pdf</t>
  </si>
  <si>
    <t>OPEN SPACE AT GBAGOBIAJELE JUNCTION AIYETORO, Polling Unit, ADO ODO-OTA, Ogun State, Nigeria</t>
  </si>
  <si>
    <t>27-03-07-053</t>
  </si>
  <si>
    <t>TOWN HALL AJAYI-EGAN</t>
  </si>
  <si>
    <t>https://docs.inecelectionresults.net/elections_prod/1292/state/01/lga/03/ward/07/pu/053/053-1677400016.pdf</t>
  </si>
  <si>
    <t>TOWN HALL AJAYI-EGAN, Polling Unit, ADO ODO-OTA, Ogun State, Nigeria</t>
  </si>
  <si>
    <t>27-03-07-054</t>
  </si>
  <si>
    <t>COMMUNITY DEVELOPMENT MARKET, SOKENU</t>
  </si>
  <si>
    <t>https://docs.inecelectionresults.net/elections_prod/1292/state/01/lga/03/ward/07/pu/054/054-1677411996.pdf</t>
  </si>
  <si>
    <t>COMMUNITY DEVELOPMENT MARKET, SOKENU, Polling Unit, ADO ODO-OTA, Ogun State, Nigeria</t>
  </si>
  <si>
    <t>27-03-07-055</t>
  </si>
  <si>
    <t>COMMUNITY MATERNITY CENTRE, IPETU BABA ODE</t>
  </si>
  <si>
    <t>https://docs.inecelectionresults.net/elections_prod/1292/state/01/lga/03/ward/07/pu/055/055-1677392120.pdf</t>
  </si>
  <si>
    <t>COMMUNITY MATERNITY CENTRE, IPETU BABA ODE, Polling Unit, ADO ODO-OTA, Ogun State, Nigeria</t>
  </si>
  <si>
    <t>27-03-07-056</t>
  </si>
  <si>
    <t>BESIDE TRANSFORMER BY AGBENIGA/MESAN ROAD , AGBENIGA</t>
  </si>
  <si>
    <t>https://docs.inecelectionresults.net/elections_prod/1292/state/01/lga/03/ward/07/pu/056/056-1677379158.pdf</t>
  </si>
  <si>
    <t>BESIDE TRANSFORMER BY AGBENIGA/MESAN ROAD , AGBENIGA, Polling Unit, ADO ODO-OTA, Ogun State, Nigeria</t>
  </si>
  <si>
    <t>27-03-07-057</t>
  </si>
  <si>
    <t>VILLAGE SQUARE, ISALE IJU</t>
  </si>
  <si>
    <t>https://docs.inecelectionresults.net/elections_prod/1292/state/01/lga/03/ward/07/pu/057/057-1677412546.pdf</t>
  </si>
  <si>
    <t>VILLAGE SQUARE, ISALE IJU, Polling Unit, ADO ODO-OTA, Ogun State, Nigeria</t>
  </si>
  <si>
    <t>27-03-07-061</t>
  </si>
  <si>
    <t>COMMUNITY GRAMMAR, ISOKAN, AJENIFUJA</t>
  </si>
  <si>
    <t>https://docs.inecelectionresults.net/elections_prod/1292/state/01/lga/03/ward/07/pu/061/061-1677403480.pdf</t>
  </si>
  <si>
    <t>COMMUNITY GRAMMAR, ISOKAN, AJENIFUJA, Polling Unit, ADO ODO-OTA, Ogun State, Nigeria</t>
  </si>
  <si>
    <t>27-03-07-063</t>
  </si>
  <si>
    <t>OPEN SPACE AT SARAKI, OLOKO POWERLINE</t>
  </si>
  <si>
    <t>https://docs.inecelectionresults.net/elections_prod/1292/state/01/lga/03/ward/07/pu/063/063-1677403489.pdf</t>
  </si>
  <si>
    <t>OPEN SPACE AT SARAKI, OLOKO POWERLINE, Polling Unit, ADO ODO-OTA, Ogun State, Nigeria</t>
  </si>
  <si>
    <t>27-03-07-064</t>
  </si>
  <si>
    <t>OPEN SPACE AT SURVEYOR JUNCTION, ELEJIGBO PHASE 1</t>
  </si>
  <si>
    <t>https://docs.inecelectionresults.net/elections_prod/1292/state/1/lga/3668/ward/23987/pu/165255/165255-1677457375.pdf</t>
  </si>
  <si>
    <t>OPEN SPACE AT SURVEYOR JUNCTION, ELEJIGBO PHASE 1, Polling Unit, ADO ODO-OTA, Ogun State, Nigeria</t>
  </si>
  <si>
    <t>27-03-07-066</t>
  </si>
  <si>
    <t>BESIDE TRANSFORMER,  POWERLINE,  ONIFADE</t>
  </si>
  <si>
    <t>https://docs.inecelectionresults.net/elections_prod/1292/state/01/lga/03/ward/07/pu/066/066-1677398748.pdf</t>
  </si>
  <si>
    <t>BESIDE TRANSFORMER,  POWERLINE,  ONIFADE, Polling Unit, ADO ODO-OTA, Ogun State, Nigeria</t>
  </si>
  <si>
    <t>27-03-07-068</t>
  </si>
  <si>
    <t>OPEN SPACE AT  HENRY AKANDE/ OLATEJU ADESINA JUNCTION,  SENUKORO, ITELE</t>
  </si>
  <si>
    <t>https://docs.inecelectionresults.net/elections_prod/1292/state/01/lga/03/ward/07/pu/068/068-1677387878.pdf</t>
  </si>
  <si>
    <t>OPEN SPACE AT  HENRY AKANDE/ OLATEJU ADESINA JUNCTION,  SENUKORO, ITELE, Polling Unit, ADO ODO-OTA, Ogun State, Nigeria</t>
  </si>
  <si>
    <t>27-03-07-070</t>
  </si>
  <si>
    <t>QUEENS AVENUE/ BENJA JUNCTION, BENJA EGUSI</t>
  </si>
  <si>
    <t>https://docs.inecelectionresults.net/elections_prod/1292/state/01/lga/03/ward/07/pu/070/070-1677413072.pdf</t>
  </si>
  <si>
    <t>QUEENS AVENUE/ BENJA JUNCTION, BENJA EGUSI, Polling Unit, ADO ODO-OTA, Ogun State, Nigeria</t>
  </si>
  <si>
    <t>27-03-07-071</t>
  </si>
  <si>
    <t>COMMUNITY HALL, PROMISE ESTATE, ITORI</t>
  </si>
  <si>
    <t>https://docs.inecelectionresults.net/elections_prod/1292/state/01/lga/03/ward/07/pu/071/071-1677417227.pdf</t>
  </si>
  <si>
    <t>COMMUNITY HALL, PROMISE ESTATE, ITORI, Polling Unit, ADO ODO-OTA, Ogun State, Nigeria</t>
  </si>
  <si>
    <t>27-03-07-072</t>
  </si>
  <si>
    <t>POLICE CHILDRENS SCHOOL, OSUKE</t>
  </si>
  <si>
    <t>https://docs.inecelectionresults.net/elections_prod/1292/state/01/lga/03/ward/07/pu/072/072-1677411462.pdf</t>
  </si>
  <si>
    <t>POLICE CHILDRENS SCHOOL, OSUKE, Polling Unit, ADO ODO-OTA, Ogun State, Nigeria</t>
  </si>
  <si>
    <t>27-03-07-073</t>
  </si>
  <si>
    <t>OPEN SPACE AT HOLY MICHAEL BUSSTOP, TETEDE OSUKE</t>
  </si>
  <si>
    <t>https://docs.inecelectionresults.net/elections_prod/1292/state/01/lga/03/ward/07/pu/073/073-1677406908.pdf</t>
  </si>
  <si>
    <t>OPEN SPACE AT HOLY MICHAEL BUSSTOP, TETEDE OSUKE, Polling Unit, ADO ODO-OTA, Ogun State, Nigeria</t>
  </si>
  <si>
    <t>27-03-07-074</t>
  </si>
  <si>
    <t>OPEN SPACE AT AWORO BUSSTOP, OSUKE</t>
  </si>
  <si>
    <t>https://docs.inecelectionresults.net/elections_prod/1292/state/01/lga/03/ward/07/pu/074/074-1677408552.pdf</t>
  </si>
  <si>
    <t>OPEN SPACE AT AWORO BUSSTOP, OSUKE, Polling Unit, ADO ODO-OTA, Ogun State, Nigeria</t>
  </si>
  <si>
    <t>27-03-07-075</t>
  </si>
  <si>
    <t>BESIDE TRANSFORMER, ORIADE/ETIM UDO JUNCTION, IYESI</t>
  </si>
  <si>
    <t>https://docs.inecelectionresults.net/elections_prod/1292/state/01/lga/03/ward/07/pu/075/075-1677404164.pdf</t>
  </si>
  <si>
    <t>BESIDE TRANSFORMER, ORIADE/ETIM UDO JUNCTION, IYESI, Polling Unit, ADO ODO-OTA, Ogun State, Nigeria</t>
  </si>
  <si>
    <t>27-03-07-076</t>
  </si>
  <si>
    <t>OPEN SPACE AT LOVE ESTATE GATE 1, OSUKE ROAD, OSUKE</t>
  </si>
  <si>
    <t>https://docs.inecelectionresults.net/elections_prod/1292/state/01/lga/03/ward/07/pu/076/076-1677407728.pdf</t>
  </si>
  <si>
    <t>OPEN SPACE AT LOVE ESTATE GATE 1, OSUKE ROAD, OSUKE, Polling Unit, ADO ODO-OTA, Ogun State, Nigeria</t>
  </si>
  <si>
    <t>27-03-08-021</t>
  </si>
  <si>
    <t>COMMUNITY PRIMARY SCHOOL, IWOYE</t>
  </si>
  <si>
    <t>https://docs.inecelectionresults.net/elections_prod/1292/state/01/lga/03/ward/08/pu/021/021-1677419035.pdf</t>
  </si>
  <si>
    <t>COMMUNITY PRIMARY SCHOOL, IWOYE, Polling Unit, ADO ODO-OTA, Ogun State, Nigeria</t>
  </si>
  <si>
    <t>27-03-08-022</t>
  </si>
  <si>
    <t>OPEN SPACE AT JOHN AGBOKEYE JUNCTION, ILOGBO ROAD</t>
  </si>
  <si>
    <t>https://docs.inecelectionresults.net/elections_prod/1292/state/01/lga/03/ward/08/pu/022/022-1677409851.pdf</t>
  </si>
  <si>
    <t>OPEN SPACE AT JOHN AGBOKEYE JUNCTION, ILOGBO ROAD, Polling Unit, ADO ODO-OTA, Ogun State, Nigeria</t>
  </si>
  <si>
    <t>27-03-08-023</t>
  </si>
  <si>
    <t>OBA TALABI MARKET,  ILOGBO</t>
  </si>
  <si>
    <t>https://docs.inecelectionresults.net/elections_prod/1292/state/01/lga/03/ward/08/pu/023/023-1677423303.pdf</t>
  </si>
  <si>
    <t>OBA TALABI MARKET,  ILOGBO, Polling Unit, ADO ODO-OTA, Ogun State, Nigeria</t>
  </si>
  <si>
    <t>27-03-08-026</t>
  </si>
  <si>
    <t>BAALE JUNCTION, BESIDE TRANSFORMER, ISOGUN</t>
  </si>
  <si>
    <t>https://docs.inecelectionresults.net/elections_prod/1292/state/01/lga/03/ward/08/pu/026/026-1677424681.pdf</t>
  </si>
  <si>
    <t>BAALE JUNCTION, BESIDE TRANSFORMER, ISOGUN, Polling Unit, ADO ODO-OTA, Ogun State, Nigeria</t>
  </si>
  <si>
    <t>27-03-08-028</t>
  </si>
  <si>
    <t>ARAROMI SPORT FIELD, ILEMIJAN</t>
  </si>
  <si>
    <t>https://docs.inecelectionresults.net/elections_prod/1292/state/01/lga/03/ward/08/pu/028/028-1677415375.pdf</t>
  </si>
  <si>
    <t>ARAROMI SPORT FIELD, ILEMIJAN, Polling Unit, ADO ODO-OTA, Ogun State, Nigeria</t>
  </si>
  <si>
    <t>27-03-08-029</t>
  </si>
  <si>
    <t>LUTH CO-OPERATIVE ESTATE GATE, TIGBO ILU</t>
  </si>
  <si>
    <t>https://docs.inecelectionresults.net/elections_prod/1292/state/1/lga/3668/ward/23988/pu/165276/165276-1677467152.pdf</t>
  </si>
  <si>
    <t>LUTH CO-OPERATIVE ESTATE GATE, TIGBO ILU, Polling Unit, ADO ODO-OTA, Ogun State, Nigeria</t>
  </si>
  <si>
    <t>27-03-08-030</t>
  </si>
  <si>
    <t>MATERNITY HEALTH CENTRE, OKE OSA</t>
  </si>
  <si>
    <t>https://docs.inecelectionresults.net/elections_prod/1292/state/1/lga/3668/ward/23988/pu/165277/165277-1677457473.pdf</t>
  </si>
  <si>
    <t>MATERNITY HEALTH CENTRE, OKE OSA, Polling Unit, ADO ODO-OTA, Ogun State, Nigeria</t>
  </si>
  <si>
    <t>27-03-08-031</t>
  </si>
  <si>
    <t>OPEN SPACE BY SAWMILL, OKITIKAN</t>
  </si>
  <si>
    <t>https://docs.inecelectionresults.net/elections_prod/1292/state/01/lga/03/ward/08/pu/031/031-1677426230.pdf</t>
  </si>
  <si>
    <t>OPEN SPACE BY SAWMILL, OKITIKAN, Polling Unit, ADO ODO-OTA, Ogun State, Nigeria</t>
  </si>
  <si>
    <t>27-03-08-032</t>
  </si>
  <si>
    <t>OPPOSITE TRANSFORMER, CROWN ESTATE AJIBODE</t>
  </si>
  <si>
    <t>https://docs.inecelectionresults.net/elections_prod/1292/state/01/lga/03/ward/08/pu/032/032-1677412668.pdf</t>
  </si>
  <si>
    <t>OPPOSITE TRANSFORMER, CROWN ESTATE AJIBODE, Polling Unit, ADO ODO-OTA, Ogun State, Nigeria</t>
  </si>
  <si>
    <t>27-03-08-033</t>
  </si>
  <si>
    <t>OPEN SPACE BY ADE ADE BLOCKS, EWUPE ROAD</t>
  </si>
  <si>
    <t>https://docs.inecelectionresults.net/elections_prod/1292/state/01/lga/03/ward/08/pu/033/033-1677425620.pdf</t>
  </si>
  <si>
    <t>OPEN SPACE BY ADE ADE BLOCKS, EWUPE ROAD, Polling Unit, ADO ODO-OTA, Ogun State, Nigeria</t>
  </si>
  <si>
    <t>27-03-08-034</t>
  </si>
  <si>
    <t>OPEN SPACE AT AGBARA OLUWA STREET JUNCTION,DESTINY ESTATE,EWUPE</t>
  </si>
  <si>
    <t>https://docs.inecelectionresults.net/elections_prod/1292/state/01/lga/03/ward/08/pu/034/034-1677414868.pdf</t>
  </si>
  <si>
    <t>OPEN SPACE AT AGBARA OLUWA STREET JUNCTION,DESTINY ESTATE,EWUPE, Polling Unit, ADO ODO-OTA, Ogun State, Nigeria</t>
  </si>
  <si>
    <t>27-03-08-036</t>
  </si>
  <si>
    <t>OPEN SPACE PROMISELAND JUNCTION EWUPE</t>
  </si>
  <si>
    <t>https://docs.inecelectionresults.net/elections_prod/1292/state/1/lga/3668/ward/23988/pu/165283/165283-1677466646.pdf</t>
  </si>
  <si>
    <t>OPEN SPACE PROMISELAND JUNCTION EWUPE, Polling Unit, ADO ODO-OTA, Ogun State, Nigeria</t>
  </si>
  <si>
    <t>27-03-08-037</t>
  </si>
  <si>
    <t>VILLAGE SQUARE, ISUNBA, IJIRI</t>
  </si>
  <si>
    <t>https://docs.inecelectionresults.net/elections_prod/1292/state/01/lga/03/ward/08/pu/037/037-1677417354.pdf</t>
  </si>
  <si>
    <t>VILLAGE SQUARE, ISUNBA, IJIRI, Polling Unit, ADO ODO-OTA, Ogun State, Nigeria</t>
  </si>
  <si>
    <t>27-03-08-038</t>
  </si>
  <si>
    <t>MARKET SQUARE, ISUNBA</t>
  </si>
  <si>
    <t>https://docs.inecelectionresults.net/elections_prod/1292/state/01/lga/03/ward/08/pu/038/038-1677418242.pdf</t>
  </si>
  <si>
    <t>MARKET SQUARE, ISUNBA, Polling Unit, ADO ODO-OTA, Ogun State, Nigeria</t>
  </si>
  <si>
    <t>27-03-08-039</t>
  </si>
  <si>
    <t>TIPPER GARAGE, OKE ODO, MERO</t>
  </si>
  <si>
    <t>https://docs.inecelectionresults.net/elections_prod/1292/state/1/lga/3668/ward/23988/pu/165286/165286-1677465593.pdf</t>
  </si>
  <si>
    <t>TIPPER GARAGE, OKE ODO, MERO, Polling Unit, ADO ODO-OTA, Ogun State, Nigeria</t>
  </si>
  <si>
    <t>27-03-08-040</t>
  </si>
  <si>
    <t>BESIDE TRANSFORMER, BY DOKITA VILLAGE JUNCTION.</t>
  </si>
  <si>
    <t>https://docs.inecelectionresults.net/elections_prod/1292/state/01/lga/03/ward/08/pu/040/040-1677418289.pdf</t>
  </si>
  <si>
    <t>BESIDE TRANSFORMER, BY DOKITA VILLAGE JUNCTION., Polling Unit, ADO ODO-OTA, Ogun State, Nigeria</t>
  </si>
  <si>
    <t>27-03-08-042</t>
  </si>
  <si>
    <t>BESIDE PUBLIC WATER, TEMIDIRE, IJUMO</t>
  </si>
  <si>
    <t>https://docs.inecelectionresults.net/elections_prod/1292/state/01/lga/03/ward/08/pu/042/042-1677413608.pdf</t>
  </si>
  <si>
    <t>BESIDE PUBLIC WATER, TEMIDIRE, IJUMO, Polling Unit, ADO ODO-OTA, Ogun State, Nigeria</t>
  </si>
  <si>
    <t>27-03-08-043</t>
  </si>
  <si>
    <t>OPEN SPACE AT ADEROJU AVENUE,BY FIRST ODO EJA JUNCTION.</t>
  </si>
  <si>
    <t>https://docs.inecelectionresults.net/elections_prod/1292/state/1/lga/3668/ward/23988/pu/165290/165290-1677466208.pdf</t>
  </si>
  <si>
    <t>OPEN SPACE AT ADEROJU AVENUE,BY FIRST ODO EJA JUNCTION., Polling Unit, ADO ODO-OTA, Ogun State, Nigeria</t>
  </si>
  <si>
    <t>27-03-08-045</t>
  </si>
  <si>
    <t>OPEN SPACE AT ABAYOMI AKINGBEYIN JUNCTION, IDI OROGBO</t>
  </si>
  <si>
    <t>https://docs.inecelectionresults.net/elections_prod/1292/state/01/lga/03/ward/08/pu/045/045-1677426804.pdf</t>
  </si>
  <si>
    <t>OPEN SPACE AT ABAYOMI AKINGBEYIN JUNCTION, IDI OROGBO, Polling Unit, ADO ODO-OTA, Ogun State, Nigeria</t>
  </si>
  <si>
    <t>27-03-08-046</t>
  </si>
  <si>
    <t>BESIDE TRANSFORMER AT IYANA ABULE JUNCTION,ILUDUN, ILEMIJAN</t>
  </si>
  <si>
    <t>https://docs.inecelectionresults.net/elections_prod/1292/state/01/lga/03/ward/08/pu/046/046-1677421069.pdf</t>
  </si>
  <si>
    <t>BESIDE TRANSFORMER AT IYANA ABULE JUNCTION,ILUDUN, ILEMIJAN, Polling Unit, ADO ODO-OTA, Ogun State, Nigeria</t>
  </si>
  <si>
    <t>27-03-08-047</t>
  </si>
  <si>
    <t>BESIDE TRANSFORMER AT SHAMSIDEEN LAWAL AVENUE</t>
  </si>
  <si>
    <t>https://docs.inecelectionresults.net/elections_prod/1292/state/01/lga/03/ward/08/pu/047/047-1677426048.pdf</t>
  </si>
  <si>
    <t>BESIDE TRANSFORMER AT SHAMSIDEEN LAWAL AVENUE, Polling Unit, ADO ODO-OTA, Ogun State, Nigeria</t>
  </si>
  <si>
    <t>27-03-08-048</t>
  </si>
  <si>
    <t>BESIDE TRANSFORMER AT OJORA/ODERINDE JUNCTION, OWODE</t>
  </si>
  <si>
    <t>https://docs.inecelectionresults.net/elections_prod/1292/state/01/lga/03/ward/08/pu/048/048-1677365715.pdf</t>
  </si>
  <si>
    <t>BESIDE TRANSFORMER AT OJORA/ODERINDE JUNCTION, OWODE, Polling Unit, ADO ODO-OTA, Ogun State, Nigeria</t>
  </si>
  <si>
    <t>27-03-08-049</t>
  </si>
  <si>
    <t>OPEN SPACE AT OLUKOYI/ ALAFIA STREET JUNCTION</t>
  </si>
  <si>
    <t>https://docs.inecelectionresults.net/elections_prod/1292/state/01/lga/03/ward/08/pu/049/049-1677414993.pdf</t>
  </si>
  <si>
    <t>OPEN SPACE AT OLUKOYI/ ALAFIA STREET JUNCTION, Polling Unit, ADO ODO-OTA, Ogun State, Nigeria</t>
  </si>
  <si>
    <t>27-03-08-050</t>
  </si>
  <si>
    <t>MARKET SQUARE, IMISE, OWODE OTA</t>
  </si>
  <si>
    <t>https://docs.inecelectionresults.net/elections_prod/1292/state/1/lga/3668/ward/23988/pu/165297/165297-1677457836.pdf</t>
  </si>
  <si>
    <t>MARKET SQUARE, IMISE, OWODE OTA, Polling Unit, ADO ODO-OTA, Ogun State, Nigeria</t>
  </si>
  <si>
    <t>27-03-08-051</t>
  </si>
  <si>
    <t>PREMISES OF OWODE OTA COMMUNITY GRAMMAR SCHOOL OWODE</t>
  </si>
  <si>
    <t>https://docs.inecelectionresults.net/elections_prod/1292/state/1/lga/3668/ward/23988/pu/165298/165298-1677463320.pdf</t>
  </si>
  <si>
    <t>PREMISES OF OWODE OTA COMMUNITY GRAMMAR SCHOOL OWODE, Polling Unit, ADO ODO-OTA, Ogun State, Nigeria</t>
  </si>
  <si>
    <t>27-03-08-052</t>
  </si>
  <si>
    <t>OPEN SPACE AT ELEKUNMEFA JUNCTION, OWODE OTA</t>
  </si>
  <si>
    <t>https://docs.inecelectionresults.net/elections_prod/1292/state/01/lga/03/ward/08/pu/052/052-1677422097.pdf</t>
  </si>
  <si>
    <t>OPEN SPACE AT ELEKUNMEFA JUNCTION, OWODE OTA, Polling Unit, ADO ODO-OTA, Ogun State, Nigeria</t>
  </si>
  <si>
    <t>27-03-08-053</t>
  </si>
  <si>
    <t>OPEN SPACE AT  TUNDE ADELEYE/ PRINCE ADEWALE ADEYANJU ABEWALE STREET, ISHAKA</t>
  </si>
  <si>
    <t>https://docs.inecelectionresults.net/elections_prod/1292/state/01/lga/03/ward/08/pu/053/053-1677420229.pdf</t>
  </si>
  <si>
    <t>OPEN SPACE AT  TUNDE ADELEYE/ PRINCE ADEWALE ADEYANJU ABEWALE STREET, ISHAKA, Polling Unit, ADO ODO-OTA, Ogun State, Nigeria</t>
  </si>
  <si>
    <t>27-03-08-054</t>
  </si>
  <si>
    <t>INFRONT OF TRANSFORMER AT PETER ADEGBITE STREET, ISHAKA</t>
  </si>
  <si>
    <t>https://docs.inecelectionresults.net/elections_prod/1292/state/1/lga/3668/ward/23988/pu/165301/165301-1677456603.pdf</t>
  </si>
  <si>
    <t>INFRONT OF TRANSFORMER AT PETER ADEGBITE STREET, ISHAKA, Polling Unit, ADO ODO-OTA, Ogun State, Nigeria</t>
  </si>
  <si>
    <t>27-03-08-055</t>
  </si>
  <si>
    <t>INFRONT OF TRANSFORMER AT AKEEM OLADIMEJI JUNCTION STREET IJAKO</t>
  </si>
  <si>
    <t>https://docs.inecelectionresults.net/elections_prod/1292/state/01/lga/03/ward/08/pu/055/055-1677421628.pdf</t>
  </si>
  <si>
    <t>INFRONT OF TRANSFORMER AT AKEEM OLADIMEJI JUNCTION STREET IJAKO, Polling Unit, ADO ODO-OTA, Ogun State, Nigeria</t>
  </si>
  <si>
    <t>27-03-08-056</t>
  </si>
  <si>
    <t>INFRONT OF TRANSFORMER AT DR J.J AYODEJI STREET BADA COMPLEX IJAKO ISHAKA</t>
  </si>
  <si>
    <t>https://docs.inecelectionresults.net/elections_prod/1292/state/01/lga/03/ward/08/pu/056/056-1677422390.pdf</t>
  </si>
  <si>
    <t>INFRONT OF TRANSFORMER AT DR J.J AYODEJI STREET BADA COMPLEX IJAKO ISHAKA, Polling Unit, ADO ODO-OTA, Ogun State, Nigeria</t>
  </si>
  <si>
    <t>27-03-13-016</t>
  </si>
  <si>
    <t>OPEN SPACE AT EGUDU ROAD, ESUPOFO, IDANYIN</t>
  </si>
  <si>
    <t>https://docs.inecelectionresults.net/elections_prod/1292/state/1/lga/3668/ward/23993/pu/165323/165323-1677472758.pdf</t>
  </si>
  <si>
    <t>OPEN SPACE AT EGUDU ROAD, ESUPOFO, IDANYIN, Polling Unit, ADO ODO-OTA, Ogun State, Nigeria</t>
  </si>
  <si>
    <t>27-03-13-017</t>
  </si>
  <si>
    <t>BESIDE TRANSFORMER AT GBEGOTHO ALADURA, IDANYIN</t>
  </si>
  <si>
    <t>https://docs.inecelectionresults.net/elections_prod/1292/state/01/lga/03/ward/13/pu/017/017-1677424359.pdf</t>
  </si>
  <si>
    <t>BESIDE TRANSFORMER AT GBEGOTHO ALADURA, IDANYIN, Polling Unit, ADO ODO-OTA, Ogun State, Nigeria</t>
  </si>
  <si>
    <t>27-03-13-018</t>
  </si>
  <si>
    <t>OPEN SPACE AT HUNTON ROAD,ALADAGON, IDANYIN</t>
  </si>
  <si>
    <t>https://docs.inecelectionresults.net/elections_prod/1292/state/01/lga/03/ward/13/pu/018/018-1677418812.pdf</t>
  </si>
  <si>
    <t>OPEN SPACE AT HUNTON ROAD,ALADAGON, IDANYIN, Polling Unit, ADO ODO-OTA, Ogun State, Nigeria</t>
  </si>
  <si>
    <t>27-03-13-019</t>
  </si>
  <si>
    <t>BESIDE TRANSFORMER AT GBASUKANJI IDANYIN</t>
  </si>
  <si>
    <t>https://docs.inecelectionresults.net/elections_prod/1292/state/01/lga/03/ward/13/pu/019/019-1677400092.pdf</t>
  </si>
  <si>
    <t>BESIDE TRANSFORMER AT GBASUKANJI IDANYIN, Polling Unit, ADO ODO-OTA, Ogun State, Nigeria</t>
  </si>
  <si>
    <t>27-03-13-020</t>
  </si>
  <si>
    <t>OPEN SPACE AT ORILOWO  GASLINE IDANYIN</t>
  </si>
  <si>
    <t>https://docs.inecelectionresults.net/elections_prod/1292/state/01/lga/03/ward/13/pu/020/020-1677418309.pdf</t>
  </si>
  <si>
    <t>OPEN SPACE AT ORILOWO  GASLINE IDANYIN, Polling Unit, ADO ODO-OTA, Ogun State, Nigeria</t>
  </si>
  <si>
    <t>27-03-13-021</t>
  </si>
  <si>
    <t>INFONT OF NETWORK MAST AT AKINWUNMI ROAD KETU</t>
  </si>
  <si>
    <t>https://docs.inecelectionresults.net/elections_prod/1292/state/01/lga/03/ward/13/pu/021/021-1677424587.pdf</t>
  </si>
  <si>
    <t>INFONT OF NETWORK MAST AT AKINWUNMI ROAD KETU, Polling Unit, ADO ODO-OTA, Ogun State, Nigeria</t>
  </si>
  <si>
    <t>27-03-13-023</t>
  </si>
  <si>
    <t>OPEN SPACE BY VILLAGE SQUARE  IDANYIN ISAGA</t>
  </si>
  <si>
    <t>https://docs.inecelectionresults.net/elections_prod/1292/state/01/lga/03/ward/13/pu/023/023-1677422157.pdf</t>
  </si>
  <si>
    <t>OPEN SPACE BY VILLAGE SQUARE  IDANYIN ISAGA, Polling Unit, ADO ODO-OTA, Ogun State, Nigeria</t>
  </si>
  <si>
    <t>27-03-13-024</t>
  </si>
  <si>
    <t>ADIE OWE COMMUNITY HIGH SCHOOL PARAMOLE, KETU</t>
  </si>
  <si>
    <t>https://docs.inecelectionresults.net/elections_prod/1292/state/01/lga/03/ward/13/pu/024/024-1677404750.pdf</t>
  </si>
  <si>
    <t>ADIE OWE COMMUNITY HIGH SCHOOL PARAMOLE, KETU, Polling Unit, ADO ODO-OTA, Ogun State, Nigeria</t>
  </si>
  <si>
    <t>27-03-13-025</t>
  </si>
  <si>
    <t>OPENSPACE BY TOWNHALL KUMAPAYI</t>
  </si>
  <si>
    <t>https://docs.inecelectionresults.net/elections_prod/1292/state/01/lga/03/ward/13/pu/025/025-1677395094.pdf</t>
  </si>
  <si>
    <t>OPENSPACE BY TOWNHALL KUMAPAYI, Polling Unit, ADO ODO-OTA, Ogun State, Nigeria</t>
  </si>
  <si>
    <t>27-03-13-027</t>
  </si>
  <si>
    <t>OPEN SPACE NEAR TRANSFORMER AGBOGUN</t>
  </si>
  <si>
    <t>https://docs.inecelectionresults.net/elections_prod/1292/state/01/lga/03/ward/13/pu/027/027-1677396562.pdf</t>
  </si>
  <si>
    <t>OPEN SPACE NEAR TRANSFORMER AGBOGUN, Polling Unit, ADO ODO-OTA, Ogun State, Nigeria</t>
  </si>
  <si>
    <t>27-03-13-028</t>
  </si>
  <si>
    <t>EDU/AGBARA COMMUNITY SENIOR HIGH SCHOOL,EDU</t>
  </si>
  <si>
    <t>https://docs.inecelectionresults.net/elections_prod/1292/state/01/lga/03/ward/13/pu/028/028-1677425325.pdf</t>
  </si>
  <si>
    <t>EDU/AGBARA COMMUNITY SENIOR HIGH SCHOOL,EDU, Polling Unit, ADO ODO-OTA, Ogun State, Nigeria</t>
  </si>
  <si>
    <t>27-03-13-029</t>
  </si>
  <si>
    <t>OPENSPACE BY IJURI/MUTUN ON AGBARA ROAD OPPOSITE ADEOLU PETROL</t>
  </si>
  <si>
    <t>https://docs.inecelectionresults.net/elections_prod/1292/state/01/lga/03/ward/13/pu/029/029-1677393990.pdf</t>
  </si>
  <si>
    <t>OPENSPACE BY IJURI/MUTUN ON AGBARA ROAD OPPOSITE ADEOLU PETROL, Polling Unit, ADO ODO-OTA, Ogun State, Nigeria</t>
  </si>
  <si>
    <t>27-03-13-030</t>
  </si>
  <si>
    <t>OPENSPACE JUST AFTER LUSADA/IGBESA TOLL GATE IYANA OSUN</t>
  </si>
  <si>
    <t>https://docs.inecelectionresults.net/elections_prod/1292/state/01/lga/03/ward/13/pu/030/030-1677383447.pdf</t>
  </si>
  <si>
    <t>OPENSPACE JUST AFTER LUSADA/IGBESA TOLL GATE IYANA OSUN, Polling Unit, ADO ODO-OTA, Ogun State, Nigeria</t>
  </si>
  <si>
    <t>27-03-01-019</t>
  </si>
  <si>
    <t>OPEN SPACE AT WAO JUNCTION, OLOSUN</t>
  </si>
  <si>
    <t>https://docs.inecelectionresults.net/elections_prod/1292/state/01/lga/03/ward/01/pu/019/019-1677397021.pdf</t>
  </si>
  <si>
    <t>OPEN SPACE AT WAO JUNCTION, OLOSUN, Polling Unit, ADO ODO-OTA, Ogun State, Nigeria</t>
  </si>
  <si>
    <t>27-03-01-020</t>
  </si>
  <si>
    <t>OPEN SPACE AT OLORUNSOGO, OLOSUN</t>
  </si>
  <si>
    <t>https://docs.inecelectionresults.net/elections_prod/1292/state/01/lga/03/ward/01/pu/020/020-1677376865.pdf</t>
  </si>
  <si>
    <t>OPEN SPACE AT OLORUNSOGO, OLOSUN, Polling Unit, ADO ODO-OTA, Ogun State, Nigeria</t>
  </si>
  <si>
    <t>27-03-01-021</t>
  </si>
  <si>
    <t>ILUPEJU OLOSUN TOWN HALL IDOTA, OTA</t>
  </si>
  <si>
    <t>https://docs.inecelectionresults.net/elections_prod/1292/state/1/lga/3668/ward/23981/pu/164999/164999-1677470620.pdf</t>
  </si>
  <si>
    <t>ILUPEJU OLOSUN TOWN HALL IDOTA, OTA, Polling Unit, ADO ODO-OTA, Ogun State, Nigeria</t>
  </si>
  <si>
    <t>27-03-01-022</t>
  </si>
  <si>
    <t>BESIDE TRANSFORMER, AYETUNTUN IDOTA TUNTUN, OTA</t>
  </si>
  <si>
    <t>https://docs.inecelectionresults.net/elections_prod/1292/state/01/lga/03/ward/01/pu/022/022-1677405381.pdf</t>
  </si>
  <si>
    <t>BESIDE TRANSFORMER, AYETUNTUN IDOTA TUNTUN, OTA, Polling Unit, ADO ODO-OTA, Ogun State, Nigeria</t>
  </si>
  <si>
    <t>27-03-01-024</t>
  </si>
  <si>
    <t>BESIDE TRANSFORMER AKEJA ROAD, OLADITAN STREET</t>
  </si>
  <si>
    <t>https://docs.inecelectionresults.net/elections_prod/1292/state/01/lga/03/ward/01/pu/024/024-1677386787.pdf</t>
  </si>
  <si>
    <t>BESIDE TRANSFORMER AKEJA ROAD, OLADITAN STREET, Polling Unit, ADO ODO-OTA, Ogun State, Nigeria</t>
  </si>
  <si>
    <t>27-03-01-025</t>
  </si>
  <si>
    <t>OPEN SPACE AT IBI ORI DANISI JUNCTION IYEDI TUNTUN</t>
  </si>
  <si>
    <t>https://docs.inecelectionresults.net/elections_prod/1292/state/01/lga/03/ward/01/pu/025/025-1677377152.pdf</t>
  </si>
  <si>
    <t>OPEN SPACE AT IBI ORI DANISI JUNCTION IYEDI TUNTUN, Polling Unit, ADO ODO-OTA, Ogun State, Nigeria</t>
  </si>
  <si>
    <t>27-03-01-027</t>
  </si>
  <si>
    <t>BESIDE TRANSFORMER AT HARMONY ESTATE ILUPEWO</t>
  </si>
  <si>
    <t>https://docs.inecelectionresults.net/elections_prod/1292/state/01/lga/03/ward/01/pu/027/027-1677374682.pdf</t>
  </si>
  <si>
    <t>BESIDE TRANSFORMER AT HARMONY ESTATE ILUPEWO, Polling Unit, ADO ODO-OTA, Ogun State, Nigeria</t>
  </si>
  <si>
    <t>27-03-01-028</t>
  </si>
  <si>
    <t>OPEN SPACE OPPOSITE CEMETARY, AKOGUN BUS STOP. ITELE ROAD</t>
  </si>
  <si>
    <t>https://docs.inecelectionresults.net/elections_prod/1292/state/01/lga/03/ward/01/pu/028/028-1677400525.pdf</t>
  </si>
  <si>
    <t>OPEN SPACE OPPOSITE CEMETARY, AKOGUN BUS STOP. ITELE ROAD, Polling Unit, ADO ODO-OTA, Ogun State, Nigeria</t>
  </si>
  <si>
    <t>27-03-01-030</t>
  </si>
  <si>
    <t>OPEN SPACE AT BAALE BUS-STOP IJAGBA</t>
  </si>
  <si>
    <t>https://docs.inecelectionresults.net/elections_prod/1292/state/01/lga/03/ward/01/pu/030/030-1677406777.pdf</t>
  </si>
  <si>
    <t>OPEN SPACE AT BAALE BUS-STOP IJAGBA, Polling Unit, ADO ODO-OTA, Ogun State, Nigeria</t>
  </si>
  <si>
    <t>27-03-01-031</t>
  </si>
  <si>
    <t>OPEN SPACE AT OLD AGBADO RD, BY ILERIOLUWA JUNCTION ELEDI ATALA</t>
  </si>
  <si>
    <t>https://docs.inecelectionresults.net/elections_prod/1292/state/01/lga/03/ward/01/pu/031/031-1677400304.pdf</t>
  </si>
  <si>
    <t>OPEN SPACE AT OLD AGBADO RD, BY ILERIOLUWA JUNCTION ELEDI ATALA, Polling Unit, ADO ODO-OTA, Ogun State, Nigeria</t>
  </si>
  <si>
    <t>27-03-01-032</t>
  </si>
  <si>
    <t>OPEN SPACE BESIDE TRANSFORMER AT OYEWUMI STR. DOCTOR BUS STOP IDOTA</t>
  </si>
  <si>
    <t>https://docs.inecelectionresults.net/elections_prod/1292/state/01/lga/03/ward/01/pu/032/032-1677404071.pdf</t>
  </si>
  <si>
    <t>OPEN SPACE BESIDE TRANSFORMER AT OYEWUMI STR. DOCTOR BUS STOP IDOTA, Polling Unit, ADO ODO-OTA, Ogun State, Nigeria</t>
  </si>
  <si>
    <t>27-03-01-033</t>
  </si>
  <si>
    <t>OPEN SPACE BESIDE TRANSFORMER, NEAR CCC IREWOLEDE OLOSUN</t>
  </si>
  <si>
    <t>https://docs.inecelectionresults.net/elections_prod/1292/state/01/lga/03/ward/01/pu/033/033-1677396301.pdf</t>
  </si>
  <si>
    <t>OPEN SPACE BESIDE TRANSFORMER, NEAR CCC IREWOLEDE OLOSUN, Polling Unit, ADO ODO-OTA, Ogun State, Nigeria</t>
  </si>
  <si>
    <t>27-03-01-034</t>
  </si>
  <si>
    <t>OPEN SPACE BESIDE TRANSFORMER AT UPRIGHT FOUNDATION STREET,OLOSUN</t>
  </si>
  <si>
    <t>https://docs.inecelectionresults.net/elections_prod/1292/state/01/lga/03/ward/01/pu/034/034-1677392214.pdf</t>
  </si>
  <si>
    <t>OPEN SPACE BESIDE TRANSFORMER AT UPRIGHT FOUNDATION STREET,OLOSUN, Polling Unit, ADO ODO-OTA, Ogun State, Nigeria</t>
  </si>
  <si>
    <t>27-03-01-035</t>
  </si>
  <si>
    <t>HARMONY STREET, LOVE ESTATE,IDOTA TITUN, OTA</t>
  </si>
  <si>
    <t>https://docs.inecelectionresults.net/elections_prod/1292/state/01/lga/03/ward/01/pu/035/035-1677391249.pdf</t>
  </si>
  <si>
    <t>HARMONY STREET, LOVE ESTATE,IDOTA TITUN, OTA, Polling Unit, ADO ODO-OTA, Ogun State, Nigeria</t>
  </si>
  <si>
    <t>27-03-01-036</t>
  </si>
  <si>
    <t>OPEN SPACE AT IJAGBA ROUNDABOUT, IJAGBA</t>
  </si>
  <si>
    <t>https://docs.inecelectionresults.net/elections_prod/1292/state/01/lga/03/ward/01/pu/036/036-1677396493.pdf</t>
  </si>
  <si>
    <t>OPEN SPACE AT IJAGBA ROUNDABOUT, IJAGBA, Polling Unit, ADO ODO-OTA, Ogun State, Nigeria</t>
  </si>
  <si>
    <t>27-03-01-037</t>
  </si>
  <si>
    <t>OPEN SPACE BESIDE TRANSFORMER, KAFIDUPE JUNCTION,IJAGBA</t>
  </si>
  <si>
    <t>https://docs.inecelectionresults.net/elections_prod/1292/state/1/lga/3668/ward/23981/pu/165015/165015-1677470844.pdf</t>
  </si>
  <si>
    <t>OPEN SPACE BESIDE TRANSFORMER, KAFIDUPE JUNCTION,IJAGBA, Polling Unit, ADO ODO-OTA, Ogun State, Nigeria</t>
  </si>
  <si>
    <t>27-03-01-039</t>
  </si>
  <si>
    <t>OPEN SPACE AT AJEGUNLE JUNCTION,HARIMA JUNCTION,IKOLA ROAD, OTA</t>
  </si>
  <si>
    <t>https://docs.inecelectionresults.net/elections_prod/1292/state/01/lga/03/ward/01/pu/039/039-1677403139.pdf</t>
  </si>
  <si>
    <t>OPEN SPACE AT AJEGUNLE JUNCTION,HARIMA JUNCTION,IKOLA ROAD, OTA, Polling Unit, ADO ODO-OTA, Ogun State, Nigeria</t>
  </si>
  <si>
    <t>27-03-01-040</t>
  </si>
  <si>
    <t>IN FRONT OF TRANSFORMER AT COLLEGE ROAD,ELEDI ATALA TOWN</t>
  </si>
  <si>
    <t>https://docs.inecelectionresults.net/elections_prod/1292/state/01/lga/03/ward/01/pu/040/040-1677408913.pdf</t>
  </si>
  <si>
    <t>IN FRONT OF TRANSFORMER AT COLLEGE ROAD,ELEDI ATALA TOWN, Polling Unit, ADO ODO-OTA, Ogun State, Nigeria</t>
  </si>
  <si>
    <t>27-03-01-042</t>
  </si>
  <si>
    <t>OPEN SPACE AT MAYOWA STREET, SECOND AVENUE JUNCTION	, ELEDI ATALA</t>
  </si>
  <si>
    <t>https://docs.inecelectionresults.net/elections_prod/1292/state/1/lga/3668/ward/23981/pu/165020/165020-1677469686.pdf</t>
  </si>
  <si>
    <t>OPEN SPACE AT MAYOWA STREET, SECOND AVENUE JUNCTION	, ELEDI ATALA, Polling Unit, ADO ODO-OTA, Ogun State, Nigeria</t>
  </si>
  <si>
    <t>27-03-01-043</t>
  </si>
  <si>
    <t>COMMUNITY HALL, IFELODUN ONIGBODO, ELEDI ATALA</t>
  </si>
  <si>
    <t>https://docs.inecelectionresults.net/elections_prod/1292/state/01/lga/03/ward/01/pu/043/043-1677391773.pdf</t>
  </si>
  <si>
    <t>COMMUNITY HALL, IFELODUN ONIGBODO, ELEDI ATALA, Polling Unit, ADO ODO-OTA, Ogun State, Nigeria</t>
  </si>
  <si>
    <t>27-03-01-046</t>
  </si>
  <si>
    <t>OPEN SPACE BESIDE SECOND TRANSFORMER,IJAGBA</t>
  </si>
  <si>
    <t>https://docs.inecelectionresults.net/elections_prod/1292/state/01/lga/03/ward/01/pu/046/046-1677395272.pdf</t>
  </si>
  <si>
    <t>OPEN SPACE BESIDE SECOND TRANSFORMER,IJAGBA, Polling Unit, ADO ODO-OTA, Ogun State, Nigeria</t>
  </si>
  <si>
    <t>27-03-01-047</t>
  </si>
  <si>
    <t>OPEN SPACE BESIDE TRANSFORMER AT GOD'S TOWN AVENUE, ALUBARIKA JUNCTION, ELEDI ATALA</t>
  </si>
  <si>
    <t>https://docs.inecelectionresults.net/elections_prod/1292/state/01/lga/03/ward/01/pu/047/047-1677405864.pdf</t>
  </si>
  <si>
    <t>OPEN SPACE BESIDE TRANSFORMER AT GOD'S TOWN AVENUE, ALUBARIKA JUNCTION, ELEDI ATALA, Polling Unit, ADO ODO-OTA, Ogun State, Nigeria</t>
  </si>
  <si>
    <t>27-03-01-048</t>
  </si>
  <si>
    <t>OPEN SPACE BESIDE MARIA SUBULADE JUNCTION, SESAN DOSUNMU, ELEDI ATALA</t>
  </si>
  <si>
    <t>https://docs.inecelectionresults.net/elections_prod/1292/state/01/lga/03/ward/01/pu/048/048-1677403551.pdf</t>
  </si>
  <si>
    <t>OPEN SPACE BESIDE MARIA SUBULADE JUNCTION, SESAN DOSUNMU, ELEDI ATALA, Polling Unit, ADO ODO-OTA, Ogun State, Nigeria</t>
  </si>
  <si>
    <t>27-03-01-049</t>
  </si>
  <si>
    <t>OPEN SPACE AT ALAFIA STREET, NEAR MORIKAZ SEBIL NAJAT , IDOTA</t>
  </si>
  <si>
    <t>https://docs.inecelectionresults.net/elections_prod/1292/state/01/lga/03/ward/01/pu/049/049-1677394002.pdf</t>
  </si>
  <si>
    <t>OPEN SPACE AT ALAFIA STREET, NEAR MORIKAZ SEBIL NAJAT , IDOTA, Polling Unit, ADO ODO-OTA, Ogun State, Nigeria</t>
  </si>
  <si>
    <t>27-03-01-050</t>
  </si>
  <si>
    <t>OPEN SPACE AT THREE CROWN BUSSTOP, ITELE ROAD.</t>
  </si>
  <si>
    <t>https://docs.inecelectionresults.net/elections_prod/1292/state/01/lga/03/ward/01/pu/050/050-1677393385.pdf</t>
  </si>
  <si>
    <t>OPEN SPACE AT THREE CROWN BUSSTOP, ITELE ROAD., Polling Unit, ADO ODO-OTA, Ogun State, Nigeria</t>
  </si>
  <si>
    <t>27-03-01-051</t>
  </si>
  <si>
    <t>OPENSPACE AT NEW IFESOWAPO STREET/ OWOLABI STREET JUNCTION, IDOTA TITUN</t>
  </si>
  <si>
    <t>https://docs.inecelectionresults.net/elections_prod/1292/state/1/lga/3668/ward/23981/pu/165029/165029-1677471206.pdf</t>
  </si>
  <si>
    <t>OPENSPACE AT NEW IFESOWAPO STREET/ OWOLABI STREET JUNCTION, IDOTA TITUN, Polling Unit, ADO ODO-OTA, Ogun State, Nigeria</t>
  </si>
  <si>
    <t>27-03-01-052</t>
  </si>
  <si>
    <t>OPEN SPACE AT ADUN AYE/KAYODE BABATUNDE STREET, IDOTA</t>
  </si>
  <si>
    <t>https://docs.inecelectionresults.net/elections_prod/1292/state/01/lga/03/ward/01/pu/052/052-1677394405.pdf</t>
  </si>
  <si>
    <t>OPEN SPACE AT ADUN AYE/KAYODE BABATUNDE STREET, IDOTA, Polling Unit, ADO ODO-OTA, Ogun State, Nigeria</t>
  </si>
  <si>
    <t>27-03-02-014</t>
  </si>
  <si>
    <t>OPEN SPACE AT OBASANJO BUS-STOP, OTA</t>
  </si>
  <si>
    <t>https://docs.inecelectionresults.net/elections_prod/1292/state/01/lga/03/ward/02/pu/014/014-1677415696.pdf</t>
  </si>
  <si>
    <t>OPEN SPACE AT OBASANJO BUS-STOP, OTA, Polling Unit, ADO ODO-OTA, Ogun State, Nigeria</t>
  </si>
  <si>
    <t>27-03-02-015</t>
  </si>
  <si>
    <t>OPEN SPACE  AT AMBASSADOR STREET, BY MOBIL FILLING STATION, OTA</t>
  </si>
  <si>
    <t>https://docs.inecelectionresults.net/elections_prod/1292/state/01/lga/03/ward/02/pu/015/015-1677421025.pdf</t>
  </si>
  <si>
    <t>OPEN SPACE  AT AMBASSADOR STREET, BY MOBIL FILLING STATION, OTA, Polling Unit, ADO ODO-OTA, Ogun State, Nigeria</t>
  </si>
  <si>
    <t>27-03-02-016</t>
  </si>
  <si>
    <t>OPEN SPACE OPP OLIVIA FILLING STATION OBASANJO  ROAD, ONIPANU</t>
  </si>
  <si>
    <t>https://docs.inecelectionresults.net/elections_prod/1292/state/01/lga/03/ward/02/pu/016/016-1677419491.pdf</t>
  </si>
  <si>
    <t>OPEN SPACE OPP OLIVIA FILLING STATION OBASANJO  ROAD, ONIPANU, Polling Unit, ADO ODO-OTA, Ogun State, Nigeria</t>
  </si>
  <si>
    <t>27-03-02-017</t>
  </si>
  <si>
    <t>OPEN SPACE AT CELE 1 AFOBAJE OTA</t>
  </si>
  <si>
    <t>https://docs.inecelectionresults.net/elections_prod/1292/state/1/lga/3668/ward/23982/pu/165034/165034-1677452662.pdf</t>
  </si>
  <si>
    <t>OPEN SPACE AT CELE 1 AFOBAJE OTA, Polling Unit, ADO ODO-OTA, Ogun State, Nigeria</t>
  </si>
  <si>
    <t>27-03-02-018</t>
  </si>
  <si>
    <t>IN FRONT OF TRANSFORMER OPP OPEOLA STORE PROGRESS ESTATE AFOBAJE</t>
  </si>
  <si>
    <t>https://docs.inecelectionresults.net/elections_prod/1292/state/01/lga/03/ward/02/pu/018/018-1677403480.pdf</t>
  </si>
  <si>
    <t>IN FRONT OF TRANSFORMER OPP OPEOLA STORE PROGRESS ESTATE AFOBAJE, Polling Unit, ADO ODO-OTA, Ogun State, Nigeria</t>
  </si>
  <si>
    <t>27-03-02-019</t>
  </si>
  <si>
    <t>OPEN SPACE AT FOWOBI JUNCTION BESIDE ENYO FILLING STATION</t>
  </si>
  <si>
    <t>https://docs.inecelectionresults.net/elections_prod/1292/state/01/lga/03/ward/02/pu/019/019-1677423398.pdf</t>
  </si>
  <si>
    <t>OPEN SPACE AT FOWOBI JUNCTION BESIDE ENYO FILLING STATION, Polling Unit, ADO ODO-OTA, Ogun State, Nigeria</t>
  </si>
  <si>
    <t>27-03-02-020</t>
  </si>
  <si>
    <t>OPEN SPACE AT ADIMULA STREET OGOTEDO ESTATE</t>
  </si>
  <si>
    <t>https://docs.inecelectionresults.net/elections_prod/1292/state/01/lga/03/ward/02/pu/020/020-1677412096.pdf</t>
  </si>
  <si>
    <t>OPEN SPACE AT ADIMULA STREET OGOTEDO ESTATE, Polling Unit, ADO ODO-OTA, Ogun State, Nigeria</t>
  </si>
  <si>
    <t>27-03-02-021</t>
  </si>
  <si>
    <t>OPEN SPACE AT ADAKO ESTATE JUNCTION OPP UNIQUE ESTATE</t>
  </si>
  <si>
    <t>https://docs.inecelectionresults.net/elections_prod/1292/state/1/lga/3668/ward/23982/pu/165038/165038-1677453530.pdf</t>
  </si>
  <si>
    <t>OPEN SPACE AT ADAKO ESTATE JUNCTION OPP UNIQUE ESTATE, Polling Unit, ADO ODO-OTA, Ogun State, Nigeria</t>
  </si>
  <si>
    <t>27-03-02-023</t>
  </si>
  <si>
    <t>OPEN SPACE AT FAKILE JUNCTION OPP OLOKO OTA</t>
  </si>
  <si>
    <t>https://docs.inecelectionresults.net/elections_prod/1292/state/01/lga/03/ward/02/pu/023/023-1677424980.pdf</t>
  </si>
  <si>
    <t>OPEN SPACE AT FAKILE JUNCTION OPP OLOKO OTA, Polling Unit, ADO ODO-OTA, Ogun State, Nigeria</t>
  </si>
  <si>
    <t>27-03-02-024</t>
  </si>
  <si>
    <t>OPEN SPACE AT AJISAFE CLOSE JUNCTION, OPP SHAMS-UD-DEEN OLORUN WA MOSQUE WAHIDAN</t>
  </si>
  <si>
    <t>https://docs.inecelectionresults.net/elections_prod/1292/state/01/lga/03/ward/02/pu/024/024-1677402241.pdf</t>
  </si>
  <si>
    <t>OPEN SPACE AT AJISAFE CLOSE JUNCTION, OPP SHAMS-UD-DEEN OLORUN WA MOSQUE WAHIDAN, Polling Unit, ADO ODO-OTA, Ogun State, Nigeria</t>
  </si>
  <si>
    <t>27-03-02-025</t>
  </si>
  <si>
    <t>OPEN SPACE AT OKO BAALE JUNCTION, OPP NEW GOSHEN CDA, OTA</t>
  </si>
  <si>
    <t>https://docs.inecelectionresults.net/elections_prod/1292/state/01/lga/03/ward/02/pu/025/025-1677404936.pdf</t>
  </si>
  <si>
    <t>OPEN SPACE AT OKO BAALE JUNCTION, OPP NEW GOSHEN CDA, OTA, Polling Unit, ADO ODO-OTA, Ogun State, Nigeria</t>
  </si>
  <si>
    <t>27-03-02-026</t>
  </si>
  <si>
    <t>OPEN SPACE AT IRE AKARI JUNCTION ROYAL DIAMOND PHARMACY</t>
  </si>
  <si>
    <t>https://docs.inecelectionresults.net/elections_prod/1292/state/1/lga/3668/ward/23982/pu/165043/165043-1677453417.pdf</t>
  </si>
  <si>
    <t>OPEN SPACE AT IRE AKARI JUNCTION ROYAL DIAMOND PHARMACY, Polling Unit, ADO ODO-OTA, Ogun State, Nigeria</t>
  </si>
  <si>
    <t>27-03-02-027</t>
  </si>
  <si>
    <t>OPEN SPACE AT ALASIA JUNCTION ALASIA COCA COLA ROAD OTA</t>
  </si>
  <si>
    <t>https://docs.inecelectionresults.net/elections_prod/1292/state/01/lga/03/ward/02/pu/027/027-1677406208.pdf</t>
  </si>
  <si>
    <t>OPEN SPACE AT ALASIA JUNCTION ALASIA COCA COLA ROAD OTA, Polling Unit, ADO ODO-OTA, Ogun State, Nigeria</t>
  </si>
  <si>
    <t>27-03-02-028</t>
  </si>
  <si>
    <t>OPEN SPACE AT FAJUYI JUNCTION BY BAYO BLOCK OTA</t>
  </si>
  <si>
    <t>https://docs.inecelectionresults.net/elections_prod/1292/state/1/lga/3668/ward/23982/pu/165045/165045-1677452969.pdf</t>
  </si>
  <si>
    <t>OPEN SPACE AT FAJUYI JUNCTION BY BAYO BLOCK OTA, Polling Unit, ADO ODO-OTA, Ogun State, Nigeria</t>
  </si>
  <si>
    <t>27-03-02-029</t>
  </si>
  <si>
    <t>OPEN SPACE AT OLURIN JUNCTION OFF COCA COLA OTA</t>
  </si>
  <si>
    <t>https://docs.inecelectionresults.net/elections_prod/1292/state/01/lga/03/ward/02/pu/029/029-1677402519.pdf</t>
  </si>
  <si>
    <t>OPEN SPACE AT OLURIN JUNCTION OFF COCA COLA OTA, Polling Unit, ADO ODO-OTA, Ogun State, Nigeria</t>
  </si>
  <si>
    <t>27-03-02-030</t>
  </si>
  <si>
    <t>OPEN SPACE AT ORIADE JUNCTION BEHIND SO FILLING STATION, OJU ORE</t>
  </si>
  <si>
    <t>https://docs.inecelectionresults.net/elections_prod/1292/state/01/lga/03/ward/02/pu/030/030-1677421921.pdf</t>
  </si>
  <si>
    <t>OPEN SPACE AT ORIADE JUNCTION BEHIND SO FILLING STATION, OJU ORE, Polling Unit, ADO ODO-OTA, Ogun State, Nigeria</t>
  </si>
  <si>
    <t>27-03-02-031</t>
  </si>
  <si>
    <t>IFESOWAPO JUNCTION PAPA ARO ROAD OTA</t>
  </si>
  <si>
    <t>https://docs.inecelectionresults.net/elections_prod/1292/state/01/lga/03/ward/02/pu/031/031-1677410731.pdf</t>
  </si>
  <si>
    <t>IFESOWAPO JUNCTION PAPA ARO ROAD OTA, Polling Unit, ADO ODO-OTA, Ogun State, Nigeria</t>
  </si>
  <si>
    <t>27-03-02-032</t>
  </si>
  <si>
    <t>OPEN SPACE AT SUNSHINE CDA JUNCTION WAHIDAN OTA</t>
  </si>
  <si>
    <t>https://docs.inecelectionresults.net/elections_prod/1292/state/1/lga/3668/ward/23982/pu/165049/165049-1677452060.pdf</t>
  </si>
  <si>
    <t>OPEN SPACE AT SUNSHINE CDA JUNCTION WAHIDAN OTA, Polling Unit, ADO ODO-OTA, Ogun State, Nigeria</t>
  </si>
  <si>
    <t>27-03-02-033</t>
  </si>
  <si>
    <t>OPEN SPACE AT ABDUL JABAR STREET JUNCTION OTITOLERE OTA</t>
  </si>
  <si>
    <t>https://docs.inecelectionresults.net/elections_prod/1292/state/01/lga/03/ward/02/pu/033/033-1677418978.pdf</t>
  </si>
  <si>
    <t>OPEN SPACE AT ABDUL JABAR STREET JUNCTION OTITOLERE OTA, Polling Unit, ADO ODO-OTA, Ogun State, Nigeria</t>
  </si>
  <si>
    <t>27-03-02-034</t>
  </si>
  <si>
    <t>AFOBAJE COMMUNITY PRIMARY SCHOOL, AFOBAJE</t>
  </si>
  <si>
    <t>https://docs.inecelectionresults.net/elections_prod/1292/state/1/lga/3668/ward/23982/pu/165051/165051-1677453228.pdf</t>
  </si>
  <si>
    <t>AFOBAJE COMMUNITY PRIMARY SCHOOL, AFOBAJE, Polling Unit, ADO ODO-OTA, Ogun State, Nigeria</t>
  </si>
  <si>
    <t>27-03-02-035</t>
  </si>
  <si>
    <t>BABA JUNCTION, BESIDE TRANSFORMER, MARKET STREET, AFOBAJE.</t>
  </si>
  <si>
    <t>https://docs.inecelectionresults.net/elections_prod/1292/state/01/lga/03/ward/02/pu/035/035-1677410028.pdf</t>
  </si>
  <si>
    <t>BABA JUNCTION, BESIDE TRANSFORMER, MARKET STREET, AFOBAJE., Polling Unit, ADO ODO-OTA, Ogun State, Nigeria</t>
  </si>
  <si>
    <t>27-03-02-036</t>
  </si>
  <si>
    <t>BESIDE TRANSFORMER, NICE ESTATE, ARIYO JUNCTION.</t>
  </si>
  <si>
    <t>https://docs.inecelectionresults.net/elections_prod/1292/state/01/lga/03/ward/02/pu/036/036-1677418354.pdf</t>
  </si>
  <si>
    <t>BESIDE TRANSFORMER, NICE ESTATE, ARIYO JUNCTION., Polling Unit, ADO ODO-OTA, Ogun State, Nigeria</t>
  </si>
  <si>
    <t>27-03-02-037</t>
  </si>
  <si>
    <t>OLOKO JUNCTION, POWERLINE</t>
  </si>
  <si>
    <t>https://docs.inecelectionresults.net/elections_prod/1292/state/01/lga/03/ward/02/pu/037/037-1677417215.pdf</t>
  </si>
  <si>
    <t>OLOKO JUNCTION, POWERLINE, Polling Unit, ADO ODO-OTA, Ogun State, Nigeria</t>
  </si>
  <si>
    <t>27-03-02-038</t>
  </si>
  <si>
    <t>COMMUNITY HIGH SCHOOL, OKO-BAALE</t>
  </si>
  <si>
    <t>https://docs.inecelectionresults.net/elections_prod/1292/state/01/lga/03/ward/02/pu/038/038-1677428210.pdf</t>
  </si>
  <si>
    <t>COMMUNITY HIGH SCHOOL, OKO-BAALE, Polling Unit, ADO ODO-OTA, Ogun State, Nigeria</t>
  </si>
  <si>
    <t>27-03-02-039</t>
  </si>
  <si>
    <t>PRIMARY HEALTHCARE CENTER, ILOGBO ROAD. (OPEN SPACE)</t>
  </si>
  <si>
    <t>https://docs.inecelectionresults.net/elections_prod/1292/state/01/lga/03/ward/02/pu/039/039-1677406822.pdf</t>
  </si>
  <si>
    <t>PRIMARY HEALTHCARE CENTER, ILOGBO ROAD. (OPEN SPACE), Polling Unit, ADO ODO-OTA, Ogun State, Nigeria</t>
  </si>
  <si>
    <t>27-03-02-040</t>
  </si>
  <si>
    <t>BAYO BLOCKS JUNCTION, OJU-ORE OTA</t>
  </si>
  <si>
    <t>https://docs.inecelectionresults.net/elections_prod/1292/state/01/lga/03/ward/02/pu/040/040-1677420243.pdf</t>
  </si>
  <si>
    <t>BAYO BLOCKS JUNCTION, OJU-ORE OTA, Polling Unit, ADO ODO-OTA, Ogun State, Nigeria</t>
  </si>
  <si>
    <t>27-03-02-041</t>
  </si>
  <si>
    <t>ABE IGI EWUPE JUNCTION, GOOD SHEPHERD (OPEN SPACE)</t>
  </si>
  <si>
    <t>https://docs.inecelectionresults.net/elections_prod/1292/state/01/lga/03/ward/02/pu/041/041-1677406803.pdf</t>
  </si>
  <si>
    <t>ABE IGI EWUPE JUNCTION, GOOD SHEPHERD (OPEN SPACE), Polling Unit, ADO ODO-OTA, Ogun State, Nigeria</t>
  </si>
  <si>
    <t>27-03-02-042</t>
  </si>
  <si>
    <t>BABY O JUNCTION, BY TRANSFORMER, OJU-ORE</t>
  </si>
  <si>
    <t>https://docs.inecelectionresults.net/elections_prod/1292/state/01/lga/03/ward/02/pu/042/042-1677427763.pdf</t>
  </si>
  <si>
    <t>BABY O JUNCTION, BY TRANSFORMER, OJU-ORE, Polling Unit, ADO ODO-OTA, Ogun State, Nigeria</t>
  </si>
  <si>
    <t>27-03-02-043</t>
  </si>
  <si>
    <t>OJUGBELE JUNCTION, OFF MEFUN, OJU-ORE, OTA</t>
  </si>
  <si>
    <t>https://docs.inecelectionresults.net/elections_prod/1292/state/01/lga/03/ward/02/pu/043/043-1677426466.pdf</t>
  </si>
  <si>
    <t>OJUGBELE JUNCTION, OFF MEFUN, OJU-ORE, OTA, Polling Unit, ADO ODO-OTA, Ogun State, Nigeria</t>
  </si>
  <si>
    <t>27-03-02-044</t>
  </si>
  <si>
    <t>OPEN SPACE ITA MEFUN, OJU-ORE, OTA</t>
  </si>
  <si>
    <t>https://docs.inecelectionresults.net/elections_prod/1292/state/01/lga/03/ward/02/pu/044/044-1677404341.pdf</t>
  </si>
  <si>
    <t>OPEN SPACE ITA MEFUN, OJU-ORE, OTA, Polling Unit, ADO ODO-OTA, Ogun State, Nigeria</t>
  </si>
  <si>
    <t>27-03-02-045</t>
  </si>
  <si>
    <t>PUBLIC BOREHOLE (OPEN SPACE), ITA ORUBA, OJU ORE  OTA</t>
  </si>
  <si>
    <t>https://docs.inecelectionresults.net/elections_prod/1292/state/01/lga/03/ward/02/pu/045/045-1677407882.pdf</t>
  </si>
  <si>
    <t>PUBLIC BOREHOLE (OPEN SPACE), ITA ORUBA, OJU ORE  OTA, Polling Unit, ADO ODO-OTA, Ogun State, Nigeria</t>
  </si>
  <si>
    <t>27-03-02-046</t>
  </si>
  <si>
    <t>OPEN SPACE, AGO  IGBIRA JUNCTION, OJU-ORE, OTA</t>
  </si>
  <si>
    <t>https://docs.inecelectionresults.net/elections_prod/1292/state/01/lga/03/ward/02/pu/046/046-1677416397.pdf</t>
  </si>
  <si>
    <t>OPEN SPACE, AGO  IGBIRA JUNCTION, OJU-ORE, OTA, Polling Unit, ADO ODO-OTA, Ogun State, Nigeria</t>
  </si>
  <si>
    <t>27-03-02-047</t>
  </si>
  <si>
    <t>OPEN SPACE, ILUSATA, ADIGARAWA, OJU-ORE, OTA.</t>
  </si>
  <si>
    <t>https://docs.inecelectionresults.net/elections_prod/1292/state/01/lga/03/ward/02/pu/047/047-1677428660.pdf</t>
  </si>
  <si>
    <t>OPEN SPACE, ILUSATA, ADIGARAWA, OJU-ORE, OTA., Polling Unit, ADO ODO-OTA, Ogun State, Nigeria</t>
  </si>
  <si>
    <t>27-03-02-048</t>
  </si>
  <si>
    <t>OPEN SPACE AT IGANMODE GRAMMAR SCHOOL, OTA II</t>
  </si>
  <si>
    <t>https://docs.inecelectionresults.net/elections_prod/1292/state/01/lga/03/ward/02/pu/048/048-1677424911.pdf</t>
  </si>
  <si>
    <t>OPEN SPACE AT IGANMODE GRAMMAR SCHOOL, OTA II, Polling Unit, ADO ODO-OTA, Ogun State, Nigeria</t>
  </si>
  <si>
    <t>27-03-02-049</t>
  </si>
  <si>
    <t>OPEN SPACE BESIDE TRANSFORMER,BABA ALAYO JUNCTION,KURI, AWURELA ROAD OTA</t>
  </si>
  <si>
    <t>https://docs.inecelectionresults.net/elections_prod/1292/state/01/lga/03/ward/02/pu/049/049-1677425257.pdf</t>
  </si>
  <si>
    <t>OPEN SPACE BESIDE TRANSFORMER,BABA ALAYO JUNCTION,KURI, AWURELA ROAD OTA, Polling Unit, ADO ODO-OTA, Ogun State, Nigeria</t>
  </si>
  <si>
    <t>27-03-02-050</t>
  </si>
  <si>
    <t>OPEN SPACE BESIDE TANITO JUNCTION, LOVE ALL AFOBAJE OTA</t>
  </si>
  <si>
    <t>https://docs.inecelectionresults.net/elections_prod/1292/state/01/lga/03/ward/02/pu/050/050-1677417844.pdf</t>
  </si>
  <si>
    <t>OPEN SPACE BESIDE TANITO JUNCTION, LOVE ALL AFOBAJE OTA, Polling Unit, ADO ODO-OTA, Ogun State, Nigeria</t>
  </si>
  <si>
    <t>27-03-02-051</t>
  </si>
  <si>
    <t>OPEN SPACE BESIDE TRANSFORMER WAHIDAN JUNCTION OTA</t>
  </si>
  <si>
    <t>https://docs.inecelectionresults.net/elections_prod/1292/state/01/lga/03/ward/02/pu/051/051-1677425516.pdf</t>
  </si>
  <si>
    <t>OPEN SPACE BESIDE TRANSFORMER WAHIDAN JUNCTION OTA, Polling Unit, ADO ODO-OTA, Ogun State, Nigeria</t>
  </si>
  <si>
    <t>27-03-02-052</t>
  </si>
  <si>
    <t>OPEN SPACE BESIDE TRANSFORMER, ISALE WAHIDAN, OTA.</t>
  </si>
  <si>
    <t>https://docs.inecelectionresults.net/elections_prod/1292/state/01/lga/03/ward/02/pu/052/052-1677405444.pdf</t>
  </si>
  <si>
    <t>OPEN SPACE BESIDE TRANSFORMER, ISALE WAHIDAN, OTA., Polling Unit, ADO ODO-OTA, Ogun State, Nigeria</t>
  </si>
  <si>
    <t>27-03-03-036</t>
  </si>
  <si>
    <t>OPEN SPACE AT ANU OLUWAPO STREET, OPPOSITE OLUWATOSIN MOSQUE, AMODU GIWA ESTATE, OTA.</t>
  </si>
  <si>
    <t>https://docs.inecelectionresults.net/elections_prod/1292/state/01/lga/03/ward/03/pu/036/036-1677394920.pdf</t>
  </si>
  <si>
    <t>OPEN SPACE AT ANU OLUWAPO STREET, OPPOSITE OLUWATOSIN MOSQUE, AMODU GIWA ESTATE, OTA., Polling Unit, ADO ODO-OTA, Ogun State, Nigeria</t>
  </si>
  <si>
    <t>27-03-03-037</t>
  </si>
  <si>
    <t>OPEN SPACE AT AKINOLA IROKO/BUSARI JUNCTION.</t>
  </si>
  <si>
    <t>https://docs.inecelectionresults.net/elections_prod/1292/state/01/lga/03/ward/03/pu/037/037-1677398578.pdf</t>
  </si>
  <si>
    <t>OPEN SPACE AT AKINOLA IROKO/BUSARI JUNCTION., Polling Unit, ADO ODO-OTA, Ogun State, Nigeria</t>
  </si>
  <si>
    <t>27-03-03-038</t>
  </si>
  <si>
    <t>INFRONT OF TRANSFORMER APARAOGUN/ THE LIVING STREET</t>
  </si>
  <si>
    <t>https://docs.inecelectionresults.net/elections_prod/1292/state/01/lga/03/ward/03/pu/038/038-1677392497.pdf</t>
  </si>
  <si>
    <t>INFRONT OF TRANSFORMER APARAOGUN/ THE LIVING STREET, Polling Unit, ADO ODO-OTA, Ogun State, Nigeria</t>
  </si>
  <si>
    <t>27-03-03-039</t>
  </si>
  <si>
    <t>OPEN SPACE AT IMOLE EWA/ OLUSEYE JUNCTION, ILO AWELA.</t>
  </si>
  <si>
    <t>https://docs.inecelectionresults.net/elections_prod/1292/state/01/lga/03/ward/03/pu/039/039-1677394449.pdf</t>
  </si>
  <si>
    <t>OPEN SPACE AT IMOLE EWA/ OLUSEYE JUNCTION, ILO AWELA., Polling Unit, ADO ODO-OTA, Ogun State, Nigeria</t>
  </si>
  <si>
    <t>27-03-03-040</t>
  </si>
  <si>
    <t>INFRONT OF TRANSFORMER ALAFIA STREET OPPOSITE BEULAH SCHOOL ABEBI</t>
  </si>
  <si>
    <t>https://docs.inecelectionresults.net/elections_prod/1292/state/01/lga/03/ward/03/pu/040/040-1677380527.pdf</t>
  </si>
  <si>
    <t>INFRONT OF TRANSFORMER ALAFIA STREET OPPOSITE BEULAH SCHOOL ABEBI, Polling Unit, ADO ODO-OTA, Ogun State, Nigeria</t>
  </si>
  <si>
    <t>27-03-03-041</t>
  </si>
  <si>
    <t>OPEN SPACE AT JIBUAKA STREET VIA ADEWUNMI ADEBIYI STREET ILO AWELA</t>
  </si>
  <si>
    <t>https://docs.inecelectionresults.net/elections_prod/1292/state/01/lga/03/ward/03/pu/041/041-1677379145.pdf</t>
  </si>
  <si>
    <t>OPEN SPACE AT JIBUAKA STREET VIA ADEWUNMI ADEBIYI STREET ILO AWELA, Polling Unit, ADO ODO-OTA, Ogun State, Nigeria</t>
  </si>
  <si>
    <t>27-03-03-042</t>
  </si>
  <si>
    <t>OPEN SPACE JELILI ALAGBE JUNCTION /ANGLICAN RD,ABE DEKING, ABEBI NEWSITE</t>
  </si>
  <si>
    <t>https://docs.inecelectionresults.net/elections_prod/1292/state/01/lga/03/ward/03/pu/042/042-1677381353.pdf</t>
  </si>
  <si>
    <t>OPEN SPACE JELILI ALAGBE JUNCTION /ANGLICAN RD,ABE DEKING, ABEBI NEWSITE, Polling Unit, ADO ODO-OTA, Ogun State, Nigeria</t>
  </si>
  <si>
    <t>27-03-03-043</t>
  </si>
  <si>
    <t>OPEN SPACE JUNCTION FABOLU STREET VIA UNITY CLOSE BACK OF ODO PAKO</t>
  </si>
  <si>
    <t>https://docs.inecelectionresults.net/elections_prod/1292/state/01/lga/03/ward/03/pu/043/043-1677392165.pdf</t>
  </si>
  <si>
    <t>OPEN SPACE JUNCTION FABOLU STREET VIA UNITY CLOSE BACK OF ODO PAKO, Polling Unit, ADO ODO-OTA, Ogun State, Nigeria</t>
  </si>
  <si>
    <t>27-03-03-044</t>
  </si>
  <si>
    <t>OPEN SPACE  AT OGBONNU STREET JUNCTION OF HARMONY ESTATE ILUPEWO</t>
  </si>
  <si>
    <t>https://docs.inecelectionresults.net/elections_prod/1292/state/01/lga/03/ward/03/pu/044/044-1677383710.pdf</t>
  </si>
  <si>
    <t>OPEN SPACE  AT OGBONNU STREET JUNCTION OF HARMONY ESTATE ILUPEWO, Polling Unit, ADO ODO-OTA, Ogun State, Nigeria</t>
  </si>
  <si>
    <t>27-03-03-045</t>
  </si>
  <si>
    <t>OPEN SPACE AT ANGLICAN ROAD /.PRESTIGE CIRCLE CLOSE VIA HAPPINESS HOTEL</t>
  </si>
  <si>
    <t>https://docs.inecelectionresults.net/elections_prod/1292/state/01/lga/03/ward/03/pu/045/045-1677391362.pdf</t>
  </si>
  <si>
    <t>OPEN SPACE AT ANGLICAN ROAD /.PRESTIGE CIRCLE CLOSE VIA HAPPINESS HOTEL, Polling Unit, ADO ODO-OTA, Ogun State, Nigeria</t>
  </si>
  <si>
    <t>27-03-03-046</t>
  </si>
  <si>
    <t>NOEL SALEM STREET JUNCTION/ JELILI TEJUOSHO VIA WELCOME HOTEL.</t>
  </si>
  <si>
    <t>https://docs.inecelectionresults.net/elections_prod/1292/state/01/lga/03/ward/03/pu/046/046-1677395470.pdf</t>
  </si>
  <si>
    <t>NOEL SALEM STREET JUNCTION/ JELILI TEJUOSHO VIA WELCOME HOTEL., Polling Unit, ADO ODO-OTA, Ogun State, Nigeria</t>
  </si>
  <si>
    <t>27-03-03-047</t>
  </si>
  <si>
    <t>STARLIGHT STREET JUNCTION/ OKE OLUDANDE ILO AWELA.</t>
  </si>
  <si>
    <t>https://docs.inecelectionresults.net/elections_prod/1292/state/01/lga/03/ward/03/pu/047/047-1677380082.pdf</t>
  </si>
  <si>
    <t>STARLIGHT STREET JUNCTION/ OKE OLUDANDE ILO AWELA., Polling Unit, ADO ODO-OTA, Ogun State, Nigeria</t>
  </si>
  <si>
    <t>27-03-03-048</t>
  </si>
  <si>
    <t>BACK OF LOCAL GOVERNMENT, OLUSEYE STREET</t>
  </si>
  <si>
    <t>https://docs.inecelectionresults.net/elections_prod/1292/state/01/lga/03/ward/03/pu/048/048-1677405984.pdf</t>
  </si>
  <si>
    <t>BACK OF LOCAL GOVERNMENT, OLUSEYE STREET, Polling Unit, ADO ODO-OTA, Ogun State, Nigeria</t>
  </si>
  <si>
    <t>27-03-03-049</t>
  </si>
  <si>
    <t>INFRONT OF TRANSFORMER ENGR BANKOLE STR/ NIGHT MARKET I.L.O.</t>
  </si>
  <si>
    <t>https://docs.inecelectionresults.net/elections_prod/1292/state/01/lga/03/ward/03/pu/049/049-1677384305.pdf</t>
  </si>
  <si>
    <t>INFRONT OF TRANSFORMER ENGR BANKOLE STR/ NIGHT MARKET I.L.O., Polling Unit, ADO ODO-OTA, Ogun State, Nigeria</t>
  </si>
  <si>
    <t>27-03-03-050</t>
  </si>
  <si>
    <t>OPEN SPACE AT BAMISHEBI/ OSHINLOWO STREET BESIDE OXFORD SCHOOL I.L.O</t>
  </si>
  <si>
    <t>https://docs.inecelectionresults.net/elections_prod/1292/state/01/lga/03/ward/03/pu/050/050-1677395196.pdf</t>
  </si>
  <si>
    <t>OPEN SPACE AT BAMISHEBI/ OSHINLOWO STREET BESIDE OXFORD SCHOOL I.L.O, Polling Unit, ADO ODO-OTA, Ogun State, Nigeria</t>
  </si>
  <si>
    <t>27-03-03-051</t>
  </si>
  <si>
    <t>OPEN SPACE JUNCTION AT NURENI AKA STREET BEHIND ANSARUDEEN CENTRAL MOSQUE I.L.O.</t>
  </si>
  <si>
    <t>https://docs.inecelectionresults.net/elections_prod/1292/state/01/lga/03/ward/03/pu/051/051-1677393512.pdf</t>
  </si>
  <si>
    <t>OPEN SPACE JUNCTION AT NURENI AKA STREET BEHIND ANSARUDEEN CENTRAL MOSQUE I.L.O., Polling Unit, ADO ODO-OTA, Ogun State, Nigeria</t>
  </si>
  <si>
    <t>27-03-03-052</t>
  </si>
  <si>
    <t>ST PETERS RCM SCHOOL, OTA</t>
  </si>
  <si>
    <t>https://docs.inecelectionresults.net/elections_prod/1292/state/01/lga/03/ward/03/pu/052/052-1677377184.pdf</t>
  </si>
  <si>
    <t>ST PETERS RCM SCHOOL, OTA, Polling Unit, ADO ODO-OTA, Ogun State, Nigeria</t>
  </si>
  <si>
    <t>27-03-03-053</t>
  </si>
  <si>
    <t>OPEN SPACE AT ONIJANA JUNCTION</t>
  </si>
  <si>
    <t>https://docs.inecelectionresults.net/elections_prod/1292/state/01/lga/03/ward/03/pu/053/053-1677390520.pdf</t>
  </si>
  <si>
    <t>OPEN SPACE AT ONIJANA JUNCTION, Polling Unit, ADO ODO-OTA, Ogun State, Nigeria</t>
  </si>
  <si>
    <t>27-03-03-054</t>
  </si>
  <si>
    <t>OPEN SPACE AT IBRAHEEM OLORUNGBEBE</t>
  </si>
  <si>
    <t>https://docs.inecelectionresults.net/elections_prod/1292/state/01/lga/03/ward/03/pu/054/054-1677380741.pdf</t>
  </si>
  <si>
    <t>OPEN SPACE AT IBRAHEEM OLORUNGBEBE, Polling Unit, ADO ODO-OTA, Ogun State, Nigeria</t>
  </si>
  <si>
    <t>27-03-03-055</t>
  </si>
  <si>
    <t>OPEN SPACE AT AGO ISAGA WATER PROJECT</t>
  </si>
  <si>
    <t>https://docs.inecelectionresults.net/elections_prod/1292/state/01/lga/03/ward/03/pu/055/055-1677380040.pdf</t>
  </si>
  <si>
    <t>OPEN SPACE AT AGO ISAGA WATER PROJECT, Polling Unit, ADO ODO-OTA, Ogun State, Nigeria</t>
  </si>
  <si>
    <t>27-03-03-056</t>
  </si>
  <si>
    <t>OPEN SPACE AT ABOLEJA-AKINJIBI JUNCTION</t>
  </si>
  <si>
    <t>https://docs.inecelectionresults.net/elections_prod/1292/state/01/lga/03/ward/03/pu/056/056-1677394243.pdf</t>
  </si>
  <si>
    <t>OPEN SPACE AT ABOLEJA-AKINJIBI JUNCTION, Polling Unit, ADO ODO-OTA, Ogun State, Nigeria</t>
  </si>
  <si>
    <t>27-03-03-057</t>
  </si>
  <si>
    <t>OPEN SPACE AT ALELOJU BESIDE TRANSFORMER</t>
  </si>
  <si>
    <t>https://docs.inecelectionresults.net/elections_prod/1292/state/01/lga/03/ward/03/pu/057/057-1677381696.pdf</t>
  </si>
  <si>
    <t>OPEN SPACE AT ALELOJU BESIDE TRANSFORMER, Polling Unit, ADO ODO-OTA, Ogun State, Nigeria</t>
  </si>
  <si>
    <t>27-03-03-058</t>
  </si>
  <si>
    <t>OPEN SPACE AT GANGAN, BUS STOP, OTA</t>
  </si>
  <si>
    <t>https://docs.inecelectionresults.net/elections_prod/1292/state/01/lga/03/ward/03/pu/058/058-1677381125.pdf</t>
  </si>
  <si>
    <t>OPEN SPACE AT GANGAN, BUS STOP, OTA, Polling Unit, ADO ODO-OTA, Ogun State, Nigeria</t>
  </si>
  <si>
    <t>27-03-03-059</t>
  </si>
  <si>
    <t>OPEN SPACE BESIDE PRAYING GROUND BUSARI, ABEBI NEW SITE</t>
  </si>
  <si>
    <t>https://docs.inecelectionresults.net/elections_prod/1292/state/01/lga/03/ward/03/pu/059/059-1677380290.pdf</t>
  </si>
  <si>
    <t>OPEN SPACE BESIDE PRAYING GROUND BUSARI, ABEBI NEW SITE, Polling Unit, ADO ODO-OTA, Ogun State, Nigeria</t>
  </si>
  <si>
    <t>27-03-03-060</t>
  </si>
  <si>
    <t>OPEN SPACE AT FASOLA OLUJIMI STREET, ILO AWELA, OTA</t>
  </si>
  <si>
    <t>https://docs.inecelectionresults.net/elections_prod/1292/state/01/lga/03/ward/03/pu/060/060-1677393899.pdf</t>
  </si>
  <si>
    <t>OPEN SPACE AT FASOLA OLUJIMI STREET, ILO AWELA, OTA, Polling Unit, ADO ODO-OTA, Ogun State, Nigeria</t>
  </si>
  <si>
    <t>27-03-03-061</t>
  </si>
  <si>
    <t>OPEN SPACE ILO AWELA PRIMARY HEALTH CARE CENTRE ILO AWELA, OTA</t>
  </si>
  <si>
    <t>https://docs.inecelectionresults.net/elections_prod/1292/state/01/lga/03/ward/03/pu/061/061-1677392086.pdf</t>
  </si>
  <si>
    <t>OPEN SPACE ILO AWELA PRIMARY HEALTH CARE CENTRE ILO AWELA, OTA, Polling Unit, ADO ODO-OTA, Ogun State, Nigeria</t>
  </si>
  <si>
    <t>27-03-03-062</t>
  </si>
  <si>
    <t>OPEN SPACE BESIDE TRANSFORMER AT SABAINAH TAIWO CRESCENT, ILO AWELA</t>
  </si>
  <si>
    <t>https://docs.inecelectionresults.net/elections_prod/1292/state/01/lga/03/ward/03/pu/062/062-1677378267.pdf</t>
  </si>
  <si>
    <t>OPEN SPACE BESIDE TRANSFORMER AT SABAINAH TAIWO CRESCENT, ILO AWELA, Polling Unit, ADO ODO-OTA, Ogun State, Nigeria</t>
  </si>
  <si>
    <t>27-03-03-063</t>
  </si>
  <si>
    <t>ST MICHAEL AFRICAN SCHOOL, OTA.</t>
  </si>
  <si>
    <t>https://docs.inecelectionresults.net/elections_prod/1292/state/01/lga/03/ward/03/pu/063/063-1677380269.pdf</t>
  </si>
  <si>
    <t>ST MICHAEL AFRICAN SCHOOL, OTA., Polling Unit, ADO ODO-OTA, Ogun State, Nigeria</t>
  </si>
  <si>
    <t>27-03-03-064</t>
  </si>
  <si>
    <t>OPEN SPACE AT KOKUMO JUNCTION BESIDE LIFECARE OTA</t>
  </si>
  <si>
    <t>https://docs.inecelectionresults.net/elections_prod/1292/state/01/lga/03/ward/03/pu/064/064-1677383158.pdf</t>
  </si>
  <si>
    <t>OPEN SPACE AT KOKUMO JUNCTION BESIDE LIFECARE OTA, Polling Unit, ADO ODO-OTA, Ogun State, Nigeria</t>
  </si>
  <si>
    <t>27-03-03-065</t>
  </si>
  <si>
    <t>OPEN SPACE BESIDE NAZARETH SCHOOL OTA</t>
  </si>
  <si>
    <t>https://docs.inecelectionresults.net/elections_prod/1292/state/01/lga/03/ward/03/pu/065/065-1677379829.pdf</t>
  </si>
  <si>
    <t>OPEN SPACE BESIDE NAZARETH SCHOOL OTA, Polling Unit, ADO ODO-OTA, Ogun State, Nigeria</t>
  </si>
  <si>
    <t>27-03-03-066</t>
  </si>
  <si>
    <t>C&amp;S IGBALA 2 AT REVD SHODIYA STREET, OTA</t>
  </si>
  <si>
    <t>https://docs.inecelectionresults.net/elections_prod/1292/state/01/lga/03/ward/03/pu/066/066-1677393366.pdf</t>
  </si>
  <si>
    <t>C&amp;S IGBALA 2 AT REVD SHODIYA STREET, OTA, Polling Unit, ADO ODO-OTA, Ogun State, Nigeria</t>
  </si>
  <si>
    <t>27-03-03-067</t>
  </si>
  <si>
    <t>INFRONT OF FARAMED HOSPITAL, OTA</t>
  </si>
  <si>
    <t>https://docs.inecelectionresults.net/elections_prod/1292/state/01/lga/03/ward/03/pu/067/067-1677379611.pdf</t>
  </si>
  <si>
    <t>INFRONT OF FARAMED HOSPITAL, OTA, Polling Unit, ADO ODO-OTA, Ogun State, Nigeria</t>
  </si>
  <si>
    <t>27-03-03-069</t>
  </si>
  <si>
    <t>COMMUNITY HIGH SCHOOL, OTA</t>
  </si>
  <si>
    <t>https://docs.inecelectionresults.net/elections_prod/1292/state/01/lga/03/ward/03/pu/069/069-1677384818.pdf</t>
  </si>
  <si>
    <t>COMMUNITY HIGH SCHOOL, OTA, Polling Unit, ADO ODO-OTA, Ogun State, Nigeria</t>
  </si>
  <si>
    <t>27-03-03-070</t>
  </si>
  <si>
    <t>OPEN SPACE AT ONIKANKERE, OTA</t>
  </si>
  <si>
    <t>https://docs.inecelectionresults.net/elections_prod/1292/state/01/lga/03/ward/03/pu/070/070-1677380298.pdf</t>
  </si>
  <si>
    <t>OPEN SPACE AT ONIKANKERE, OTA, Polling Unit, ADO ODO-OTA, Ogun State, Nigeria</t>
  </si>
  <si>
    <t>27-03-03-071</t>
  </si>
  <si>
    <t>OPEN SPACE AT AREWA STREET, SANGO</t>
  </si>
  <si>
    <t>https://docs.inecelectionresults.net/elections_prod/1292/state/01/lga/03/ward/03/pu/071/071-1677394174.pdf</t>
  </si>
  <si>
    <t>OPEN SPACE AT AREWA STREET, SANGO, Polling Unit, ADO ODO-OTA, Ogun State, Nigeria</t>
  </si>
  <si>
    <t>27-03-03-072</t>
  </si>
  <si>
    <t>OPEN SPACE AT ANUOLUWAPO STREET, BACK OF GARAGE, SANGO</t>
  </si>
  <si>
    <t>https://docs.inecelectionresults.net/elections_prod/1292/state/01/lga/03/ward/03/pu/072/072-1677390807.pdf</t>
  </si>
  <si>
    <t>OPEN SPACE AT ANUOLUWAPO STREET, BACK OF GARAGE, SANGO, Polling Unit, ADO ODO-OTA, Ogun State, Nigeria</t>
  </si>
  <si>
    <t>27-03-03-073</t>
  </si>
  <si>
    <t>OPEN SPACE AT CHICKEN JOE ROAD, ARIGBABU, OTA</t>
  </si>
  <si>
    <t>https://docs.inecelectionresults.net/elections_prod/1292/state/01/lga/03/ward/03/pu/073/073-1677394985.pdf</t>
  </si>
  <si>
    <t>OPEN SPACE AT CHICKEN JOE ROAD, ARIGBABU, OTA, Polling Unit, ADO ODO-OTA, Ogun State, Nigeria</t>
  </si>
  <si>
    <t>27-03-03-074</t>
  </si>
  <si>
    <t>OPEN SPACE AT ARAROMI STREET, OTA</t>
  </si>
  <si>
    <t>https://docs.inecelectionresults.net/elections_prod/1292/state/01/lga/03/ward/03/pu/074/074-1677380750.pdf</t>
  </si>
  <si>
    <t>OPEN SPACE AT ARAROMI STREET, OTA, Polling Unit, ADO ODO-OTA, Ogun State, Nigeria</t>
  </si>
  <si>
    <t>27-03-03-076</t>
  </si>
  <si>
    <t>OPEN SPACE AT SALAKO/ OSIFESO JUNCTION, OTA, GRA</t>
  </si>
  <si>
    <t>https://docs.inecelectionresults.net/elections_prod/1292/state/01/lga/03/ward/03/pu/076/076-1677380695.pdf</t>
  </si>
  <si>
    <t>OPEN SPACE AT SALAKO/ OSIFESO JUNCTION, OTA, GRA, Polling Unit, ADO ODO-OTA, Ogun State, Nigeria</t>
  </si>
  <si>
    <t>27-03-04-013</t>
  </si>
  <si>
    <t>OPEN SPACE AT BASIRU ALAMU JUNCTION, SANGO</t>
  </si>
  <si>
    <t>https://docs.inecelectionresults.net/elections_prod/1292/state/01/lga/03/ward/04/pu/013/013-1677359479.pdf</t>
  </si>
  <si>
    <t>OPEN SPACE AT BASIRU ALAMU JUNCTION, SANGO, Polling Unit, ADO ODO-OTA, Ogun State, Nigeria</t>
  </si>
  <si>
    <t>27-03-04-014</t>
  </si>
  <si>
    <t>BESIDE TRANSFORMER AT FIVE JUNCTION, TARBAJIN</t>
  </si>
  <si>
    <t>https://docs.inecelectionresults.net/elections_prod/1292/state/01/lga/03/ward/04/pu/014/014-1677365620.pdf</t>
  </si>
  <si>
    <t>BESIDE TRANSFORMER AT FIVE JUNCTION, TARBAJIN, Polling Unit, ADO ODO-OTA, Ogun State, Nigeria</t>
  </si>
  <si>
    <t>27-03-04-015</t>
  </si>
  <si>
    <t>BESIDE TRANSFORMER AT BADA JUNCTION, ISAKA</t>
  </si>
  <si>
    <t>https://docs.inecelectionresults.net/elections_prod/1292/state/01/lga/03/ward/04/pu/015/015-1677377591.pdf</t>
  </si>
  <si>
    <t>BESIDE TRANSFORMER AT BADA JUNCTION, ISAKA, Polling Unit, ADO ODO-OTA, Ogun State, Nigeria</t>
  </si>
  <si>
    <t>27-03-04-016</t>
  </si>
  <si>
    <t>BESIDE  TRANSFORMER, ANISERE JUNCTION, IPAMESAN</t>
  </si>
  <si>
    <t>https://docs.inecelectionresults.net/elections_prod/1292/state/01/lga/03/ward/04/pu/016/016-1677359565.pdf</t>
  </si>
  <si>
    <t>BESIDE  TRANSFORMER, ANISERE JUNCTION, IPAMESAN, Polling Unit, ADO ODO-OTA, Ogun State, Nigeria</t>
  </si>
  <si>
    <t>27-03-04-017</t>
  </si>
  <si>
    <t>IN FRONT OF TRANSFORMER, AGO ADURA, BY FOFA STREET JUNCTION, AGO-ADURA</t>
  </si>
  <si>
    <t>https://docs.inecelectionresults.net/elections_prod/1292/state/01/lga/03/ward/04/pu/017/017-1677369208.pdf</t>
  </si>
  <si>
    <t>IN FRONT OF TRANSFORMER, AGO ADURA, BY FOFA STREET JUNCTION, AGO-ADURA, Polling Unit, ADO ODO-OTA, Ogun State, Nigeria</t>
  </si>
  <si>
    <t>27-03-04-018</t>
  </si>
  <si>
    <t>IN FRONT OF TRANSFORMER AT AYO NI AVENUE JUNCTION, OJUELEGBA</t>
  </si>
  <si>
    <t>https://docs.inecelectionresults.net/elections_prod/1292/state/01/lga/03/ward/04/pu/018/018-1677365734.pdf</t>
  </si>
  <si>
    <t>IN FRONT OF TRANSFORMER AT AYO NI AVENUE JUNCTION, OJUELEGBA, Polling Unit, ADO ODO-OTA, Ogun State, Nigeria</t>
  </si>
  <si>
    <t>27-03-04-019</t>
  </si>
  <si>
    <t>OPEN SPACE AT AMEN CHURCH JUNCTION, ELERINKO</t>
  </si>
  <si>
    <t>https://docs.inecelectionresults.net/elections_prod/1292/state/01/lga/03/ward/04/pu/019/019-1677409643.pdf</t>
  </si>
  <si>
    <t>OPEN SPACE AT AMEN CHURCH JUNCTION, ELERINKO, Polling Unit, ADO ODO-OTA, Ogun State, Nigeria</t>
  </si>
  <si>
    <t>27-03-04-020</t>
  </si>
  <si>
    <t>OPEN SPACE AT ADENIJI STREET OPPOSITE OGUN'S GAS, SANGO</t>
  </si>
  <si>
    <t>https://docs.inecelectionresults.net/elections_prod/1292/state/01/lga/03/ward/04/pu/020/020-1677359698.pdf</t>
  </si>
  <si>
    <t>OPEN SPACE AT ADENIJI STREET OPPOSITE OGUN'S GAS, SANGO, Polling Unit, ADO ODO-OTA, Ogun State, Nigeria</t>
  </si>
  <si>
    <t>27-03-04-021</t>
  </si>
  <si>
    <t>PREMISES OF SANGO OTA HIGH SCHOOL, SANGO</t>
  </si>
  <si>
    <t>https://docs.inecelectionresults.net/elections_prod/1292/state/01/lga/03/ward/04/pu/021/021-1677358892.pdf</t>
  </si>
  <si>
    <t>PREMISES OF SANGO OTA HIGH SCHOOL, SANGO, Polling Unit, ADO ODO-OTA, Ogun State, Nigeria</t>
  </si>
  <si>
    <t>27-03-04-023</t>
  </si>
  <si>
    <t>OPEN SPACE AT ADETOKUNBO/ OMOKARO BABA KWARA, ILOYE</t>
  </si>
  <si>
    <t>https://docs.inecelectionresults.net/elections_prod/1292/state/01/lga/03/ward/04/pu/023/023-1677359232.pdf</t>
  </si>
  <si>
    <t>OPEN SPACE AT ADETOKUNBO/ OMOKARO BABA KWARA, ILOYE, Polling Unit, ADO ODO-OTA, Ogun State, Nigeria</t>
  </si>
  <si>
    <t>27-03-04-024</t>
  </si>
  <si>
    <t>BESIDE TRANSFORMER, ILUPEJU IWOYE, ABEOKUTA STREET, ADALEMO</t>
  </si>
  <si>
    <t>https://docs.inecelectionresults.net/elections_prod/1292/state/01/lga/03/ward/04/pu/024/024-1677406448.pdf</t>
  </si>
  <si>
    <t>BESIDE TRANSFORMER, ILUPEJU IWOYE, ABEOKUTA STREET, ADALEMO, Polling Unit, ADO ODO-OTA, Ogun State, Nigeria</t>
  </si>
  <si>
    <t>27-03-04-025</t>
  </si>
  <si>
    <t>OPEN SPACE AT OLUMO JUNCTION, ADALEMO</t>
  </si>
  <si>
    <t>https://docs.inecelectionresults.net/elections_prod/1292/state/01/lga/03/ward/04/pu/025/025-1677367896.pdf</t>
  </si>
  <si>
    <t>OPEN SPACE AT OLUMO JUNCTION, ADALEMO, Polling Unit, ADO ODO-OTA, Ogun State, Nigeria</t>
  </si>
  <si>
    <t>27-03-04-026</t>
  </si>
  <si>
    <t>OPEN SPACE AT OLA BABA/ALEX UDU STREET BABA MUSHIN ILOYE</t>
  </si>
  <si>
    <t>https://docs.inecelectionresults.net/elections_prod/1292/state/01/lga/03/ward/04/pu/026/026-1677374428.pdf</t>
  </si>
  <si>
    <t>OPEN SPACE AT OLA BABA/ALEX UDU STREET BABA MUSHIN ILOYE, Polling Unit, ADO ODO-OTA, Ogun State, Nigeria</t>
  </si>
  <si>
    <t>27-03-04-027</t>
  </si>
  <si>
    <t>BESIDE TRANSFORMER AT TAIWO STREET, SEKONA, ANISERE</t>
  </si>
  <si>
    <t>https://docs.inecelectionresults.net/elections_prod/1292/state/01/lga/03/ward/04/pu/027/027-1677363170.pdf</t>
  </si>
  <si>
    <t>BESIDE TRANSFORMER AT TAIWO STREET, SEKONA, ANISERE, Polling Unit, ADO ODO-OTA, Ogun State, Nigeria</t>
  </si>
  <si>
    <t>27-03-04-030</t>
  </si>
  <si>
    <t>PREMISES OF COMMUNITY PRIMARY SCHOOL, ILOYE</t>
  </si>
  <si>
    <t>https://docs.inecelectionresults.net/elections_prod/1292/state/01/lga/03/ward/04/pu/030/030-1677366623.pdf</t>
  </si>
  <si>
    <t>PREMISES OF COMMUNITY PRIMARY SCHOOL, ILOYE, Polling Unit, ADO ODO-OTA, Ogun State, Nigeria</t>
  </si>
  <si>
    <t>27-03-04-031</t>
  </si>
  <si>
    <t>OPEN SPACE AT OLAJIDE JUNCTION, ORELOPE ESTATE, ESUYAGO</t>
  </si>
  <si>
    <t>https://docs.inecelectionresults.net/elections_prod/1292/state/01/lga/03/ward/04/pu/031/031-1677359892.pdf</t>
  </si>
  <si>
    <t>OPEN SPACE AT OLAJIDE JUNCTION, ORELOPE ESTATE, ESUYAGO, Polling Unit, ADO ODO-OTA, Ogun State, Nigeria</t>
  </si>
  <si>
    <t>27-03-04-032</t>
  </si>
  <si>
    <t>BESIDE TRANSFORMER AT BEULAH JUNCTION, AROMOBI, ESUYAGO</t>
  </si>
  <si>
    <t>https://docs.inecelectionresults.net/elections_prod/1292/state/01/lga/03/ward/04/pu/032/032-1677360257.pdf</t>
  </si>
  <si>
    <t>BESIDE TRANSFORMER AT BEULAH JUNCTION, AROMOBI, ESUYAGO, Polling Unit, ADO ODO-OTA, Ogun State, Nigeria</t>
  </si>
  <si>
    <t>27-03-04-033</t>
  </si>
  <si>
    <t>BESIDE TRANSFORMER AT OLASEGE STREET, SANGO</t>
  </si>
  <si>
    <t>https://docs.inecelectionresults.net/elections_prod/1292/state/01/lga/03/ward/04/pu/033/033-1677359301.pdf</t>
  </si>
  <si>
    <t>BESIDE TRANSFORMER AT OLASEGE STREET, SANGO, Polling Unit, ADO ODO-OTA, Ogun State, Nigeria</t>
  </si>
  <si>
    <t>27-03-04-034</t>
  </si>
  <si>
    <t>OPEN SPACE AT LEKAN ADEYEMI STREET,  BEHIND YEBADE HOTEL, SANGO</t>
  </si>
  <si>
    <t>https://docs.inecelectionresults.net/elections_prod/1292/state/01/lga/03/ward/04/pu/034/034-1677371778.pdf</t>
  </si>
  <si>
    <t>OPEN SPACE AT LEKAN ADEYEMI STREET,  BEHIND YEBADE HOTEL, SANGO, Polling Unit, ADO ODO-OTA, Ogun State, Nigeria</t>
  </si>
  <si>
    <t>27-03-04-035</t>
  </si>
  <si>
    <t>OPEN SPACE BESIDE LADO FILLING STATION, IJOKO ROAD, SANGO</t>
  </si>
  <si>
    <t>https://docs.inecelectionresults.net/elections_prod/1292/state/01/lga/03/ward/04/pu/035/035-1677359810.pdf</t>
  </si>
  <si>
    <t>OPEN SPACE BESIDE LADO FILLING STATION, IJOKO ROAD, SANGO, Polling Unit, ADO ODO-OTA, Ogun State, Nigeria</t>
  </si>
  <si>
    <t>27-03-04-036</t>
  </si>
  <si>
    <t>ENTRANCE OF OWOYEMI STREET, ABEOKUTA EXPRESS ROAD, JOJU</t>
  </si>
  <si>
    <t>https://docs.inecelectionresults.net/elections_prod/1292/state/01/lga/03/ward/04/pu/036/036-1677360425.pdf</t>
  </si>
  <si>
    <t>ENTRANCE OF OWOYEMI STREET, ABEOKUTA EXPRESS ROAD, JOJU, Polling Unit, ADO ODO-OTA, Ogun State, Nigeria</t>
  </si>
  <si>
    <t>27-03-04-037</t>
  </si>
  <si>
    <t>OPEN SPACE NEAR POWERLINE, OPPOSITE AL WAJUD HOUSE, ISHAKA</t>
  </si>
  <si>
    <t>https://docs.inecelectionresults.net/elections_prod/1292/state/01/lga/03/ward/04/pu/037/037-1677367671.pdf</t>
  </si>
  <si>
    <t>OPEN SPACE NEAR POWERLINE, OPPOSITE AL WAJUD HOUSE, ISHAKA, Polling Unit, ADO ODO-OTA, Ogun State, Nigeria</t>
  </si>
  <si>
    <t>27-03-04-038</t>
  </si>
  <si>
    <t>BESIDE TRANSFORMER BY OZIEGBE STREET, AGBALA ITURA ROAD</t>
  </si>
  <si>
    <t>https://docs.inecelectionresults.net/elections_prod/1292/state/01/lga/03/ward/04/pu/038/038-1677358670.pdf</t>
  </si>
  <si>
    <t>BESIDE TRANSFORMER BY OZIEGBE STREET, AGBALA ITURA ROAD, Polling Unit, ADO ODO-OTA, Ogun State, Nigeria</t>
  </si>
  <si>
    <t>27-03-04-039</t>
  </si>
  <si>
    <t>BESIDE TRANSFORMER AT KOLEOSO/ AKIRISORE JUNCTION, IDOLE</t>
  </si>
  <si>
    <t>https://docs.inecelectionresults.net/elections_prod/1292/state/01/lga/03/ward/04/pu/039/039-1677361451.pdf</t>
  </si>
  <si>
    <t>BESIDE TRANSFORMER AT KOLEOSO/ AKIRISORE JUNCTION, IDOLE, Polling Unit, ADO ODO-OTA, Ogun State, Nigeria</t>
  </si>
  <si>
    <t>27-03-04-041</t>
  </si>
  <si>
    <t>OPEN SPACE NEAR POWERLINE AKINTOYE DOLE STREET, ISALE ARIYA, ILOYE</t>
  </si>
  <si>
    <t>https://docs.inecelectionresults.net/elections_prod/1292/state/01/lga/03/ward/04/pu/041/041-1677360484.pdf</t>
  </si>
  <si>
    <t>OPEN SPACE NEAR POWERLINE AKINTOYE DOLE STREET, ISALE ARIYA, ILOYE, Polling Unit, ADO ODO-OTA, Ogun State, Nigeria</t>
  </si>
  <si>
    <t>27-03-04-042</t>
  </si>
  <si>
    <t>BESIDE TRANSFORMER AT AJIBOLA STREET, ILOYE</t>
  </si>
  <si>
    <t>https://docs.inecelectionresults.net/elections_prod/1292/state/01/lga/03/ward/04/pu/042/042-1677360185.pdf</t>
  </si>
  <si>
    <t>BESIDE TRANSFORMER AT AJIBOLA STREET, ILOYE, Polling Unit, ADO ODO-OTA, Ogun State, Nigeria</t>
  </si>
  <si>
    <t>27-03-04-044</t>
  </si>
  <si>
    <t>OPEN SPACE AT ANUOLUWAPO JUNCTION, IPAMESAN</t>
  </si>
  <si>
    <t>https://docs.inecelectionresults.net/elections_prod/1292/state/01/lga/03/ward/04/pu/044/044-1677385052.pdf</t>
  </si>
  <si>
    <t>OPEN SPACE AT ANUOLUWAPO JUNCTION, IPAMESAN, Polling Unit, ADO ODO-OTA, Ogun State, Nigeria</t>
  </si>
  <si>
    <t>27-03-04-045</t>
  </si>
  <si>
    <t>BESIDE TRANSFORMER NEAR SAMFOL HOTEL, IPAMESAN</t>
  </si>
  <si>
    <t>https://docs.inecelectionresults.net/elections_prod/1292/state/01/lga/03/ward/04/pu/045/045-1677363989.pdf</t>
  </si>
  <si>
    <t>BESIDE TRANSFORMER NEAR SAMFOL HOTEL, IPAMESAN, Polling Unit, ADO ODO-OTA, Ogun State, Nigeria</t>
  </si>
  <si>
    <t>27-04-10-023</t>
  </si>
  <si>
    <t>MARKET AREA, AKALAGBA</t>
  </si>
  <si>
    <t>https://docs.inecelectionresults.net/elections_prod/1292/state/01/lga/04/ward/10/pu/023/023-1677384406.pdf</t>
  </si>
  <si>
    <t>MARKET AREA, AKALAGBA, Polling Unit, EGBADO NORTH, Ogun State, Nigeria</t>
  </si>
  <si>
    <t>27-04-10-024</t>
  </si>
  <si>
    <t>SOPA SQUARE, IJOUN</t>
  </si>
  <si>
    <t>https://docs.inecelectionresults.net/elections_prod/1292/state/01/lga/04/ward/10/pu/024/024-1677382317.pdf</t>
  </si>
  <si>
    <t>SOPA SQUARE, IJOUN, Polling Unit, EGBADO NORTH, Ogun State, Nigeria</t>
  </si>
  <si>
    <t>27-04-10-025</t>
  </si>
  <si>
    <t>PRIMARY HEALTH CENTRE, OKE IBATAMU</t>
  </si>
  <si>
    <t>https://docs.inecelectionresults.net/elections_prod/1292/state/01/lga/04/ward/10/pu/025/025-1677384421.pdf</t>
  </si>
  <si>
    <t>PRIMARY HEALTH CENTRE, OKE IBATAMU, Polling Unit, EGBADO NORTH, Ogun State, Nigeria</t>
  </si>
  <si>
    <t>27-04-10-026</t>
  </si>
  <si>
    <t>COMMUNITY PRIMARY SCHOOL, OKUTA GOGORO</t>
  </si>
  <si>
    <t>https://docs.inecelectionresults.net/elections_prod/1292/state/01/lga/04/ward/10/pu/026/026-1677383655.pdf</t>
  </si>
  <si>
    <t>COMMUNITY PRIMARY SCHOOL, OKUTA GOGORO, Polling Unit, EGBADO NORTH, Ogun State, Nigeria</t>
  </si>
  <si>
    <t>27-04-10-027</t>
  </si>
  <si>
    <t>NEAR PALACE IJALE KETU</t>
  </si>
  <si>
    <t>https://docs.inecelectionresults.net/elections_prod/1292/state/01/lga/04/ward/10/pu/027/027-1677385326.pdf</t>
  </si>
  <si>
    <t>NEAR PALACE IJALE KETU, Polling Unit, EGBADO NORTH, Ogun State, Nigeria</t>
  </si>
  <si>
    <t>27-04-10-028</t>
  </si>
  <si>
    <t>COMMUNITY PRIMARY SCHHOL, IYANA AGBEDE</t>
  </si>
  <si>
    <t>https://docs.inecelectionresults.net/elections_prod/1292/state/01/lga/04/ward/10/pu/028/028-1677373887.pdf</t>
  </si>
  <si>
    <t>COMMUNITY PRIMARY SCHHOL, IYANA AGBEDE, Polling Unit, EGBADO NORTH, Ogun State, Nigeria</t>
  </si>
  <si>
    <t>27-04-10-029</t>
  </si>
  <si>
    <t>NEAR ITA OTUN TOBOLO</t>
  </si>
  <si>
    <t>https://docs.inecelectionresults.net/elections_prod/1292/state/01/lga/04/ward/10/pu/029/029-1677380290.pdf</t>
  </si>
  <si>
    <t>NEAR ITA OTUN TOBOLO, Polling Unit, EGBADO NORTH, Ogun State, Nigeria</t>
  </si>
  <si>
    <t>27-04-10-030</t>
  </si>
  <si>
    <t>A.U.D PRIMARY SCHOOL, IJOUN</t>
  </si>
  <si>
    <t>https://docs.inecelectionresults.net/elections_prod/1292/state/01/lga/04/ward/10/pu/030/030-1677372682.pdf</t>
  </si>
  <si>
    <t>A.U.D PRIMARY SCHOOL, IJOUN, Polling Unit, EGBADO NORTH, Ogun State, Nigeria</t>
  </si>
  <si>
    <t>27-04-10-031</t>
  </si>
  <si>
    <t>NEAR ITA ISA PAPA IJOUN</t>
  </si>
  <si>
    <t>https://docs.inecelectionresults.net/elections_prod/1292/state/01/lga/04/ward/10/pu/031/031-1677396895.pdf</t>
  </si>
  <si>
    <t>NEAR ITA ISA PAPA IJOUN, Polling Unit, EGBADO NORTH, Ogun State, Nigeria</t>
  </si>
  <si>
    <t>27-04-02-020</t>
  </si>
  <si>
    <t>NEAR BAPTIST CHURCH,ILUPEJU, AYETORO</t>
  </si>
  <si>
    <t>https://docs.inecelectionresults.net/elections_prod/1292/state/01/lga/04/ward/02/pu/020/020-1677380589.pdf</t>
  </si>
  <si>
    <t>NEAR BAPTIST CHURCH,ILUPEJU, AYETORO, Polling Unit, EGBADO NORTH, Ogun State, Nigeria</t>
  </si>
  <si>
    <t>27-04-02-021</t>
  </si>
  <si>
    <t>COMMUNITY PRIMARY SCHOOL,IGBOLE-AIBO, AYETORO</t>
  </si>
  <si>
    <t>https://docs.inecelectionresults.net/elections_prod/1292/state/01/lga/04/ward/02/pu/021/021-1677380110.pdf</t>
  </si>
  <si>
    <t>COMMUNITY PRIMARY SCHOOL,IGBOLE-AIBO, AYETORO, Polling Unit, EGBADO NORTH, Ogun State, Nigeria</t>
  </si>
  <si>
    <t>27-04-02-022</t>
  </si>
  <si>
    <t>AJODA HIGH SCHOOL, JOGA, AYETORO</t>
  </si>
  <si>
    <t>https://docs.inecelectionresults.net/elections_prod/1292/state/01/lga/04/ward/02/pu/022/022-1677376977.pdf</t>
  </si>
  <si>
    <t>AJODA HIGH SCHOOL, JOGA, AYETORO, Polling Unit, EGBADO NORTH, Ogun State, Nigeria</t>
  </si>
  <si>
    <t>27-04-02-023</t>
  </si>
  <si>
    <t>HOUSING  ESTATE GATE, AYETORO</t>
  </si>
  <si>
    <t>https://docs.inecelectionresults.net/elections_prod/1292/state/01/lga/04/ward/02/pu/023/023-1677375470.pdf</t>
  </si>
  <si>
    <t>HOUSING  ESTATE GATE, AYETORO, Polling Unit, EGBADO NORTH, Ogun State, Nigeria</t>
  </si>
  <si>
    <t>27-04-03-015</t>
  </si>
  <si>
    <t>NEAR ITA EGUNJOBI  II</t>
  </si>
  <si>
    <t>https://docs.inecelectionresults.net/elections_prod/1292/state/01/lga/04/ward/03/pu/015/015-1677368799.pdf</t>
  </si>
  <si>
    <t>NEAR ITA EGUNJOBI  II, Polling Unit, EGBADO NORTH, Ogun State, Nigeria</t>
  </si>
  <si>
    <t>27-04-03-016</t>
  </si>
  <si>
    <t>AIBO TOWN HALL, AIBO</t>
  </si>
  <si>
    <t>https://docs.inecelectionresults.net/elections_prod/1292/state/01/lga/04/ward/03/pu/016/016-1677376291.pdf</t>
  </si>
  <si>
    <t>AIBO TOWN HALL, AIBO, Polling Unit, EGBADO NORTH, Ogun State, Nigeria</t>
  </si>
  <si>
    <t>27-04-03-017</t>
  </si>
  <si>
    <t>OPEN  SPACE AT GENERAL HOSPITAL</t>
  </si>
  <si>
    <t>https://docs.inecelectionresults.net/elections_prod/1292/state/01/lga/04/ward/03/pu/017/017-1677372498.pdf</t>
  </si>
  <si>
    <t>OPEN  SPACE AT GENERAL HOSPITAL, Polling Unit, EGBADO NORTH, Ogun State, Nigeria</t>
  </si>
  <si>
    <t>27-04-03-018</t>
  </si>
  <si>
    <t>ALAYE HIGH SCHOOL, AYETORO</t>
  </si>
  <si>
    <t>https://docs.inecelectionresults.net/elections_prod/1292/state/01/lga/04/ward/03/pu/018/018-1677372262.pdf</t>
  </si>
  <si>
    <t>ALAYE HIGH SCHOOL, AYETORO, Polling Unit, EGBADO NORTH, Ogun State, Nigeria</t>
  </si>
  <si>
    <t>27-04-03-019</t>
  </si>
  <si>
    <t>A.U.D PRIMARY SCHOOL II, OKE ROORI</t>
  </si>
  <si>
    <t>https://docs.inecelectionresults.net/elections_prod/1292/state/01/lga/04/ward/03/pu/019/019-1677390237.pdf</t>
  </si>
  <si>
    <t>A.U.D PRIMARY SCHOOL II, OKE ROORI, Polling Unit, EGBADO NORTH, Ogun State, Nigeria</t>
  </si>
  <si>
    <t>27-04-03-020</t>
  </si>
  <si>
    <t>OPEN SPACE AT YNLG MATERNITY CENTRE, AIBO</t>
  </si>
  <si>
    <t>https://docs.inecelectionresults.net/elections_prod/1292/state/01/lga/04/ward/03/pu/020/020-1677370432.pdf</t>
  </si>
  <si>
    <t>OPEN SPACE AT YNLG MATERNITY CENTRE, AIBO, Polling Unit, EGBADO NORTH, Ogun State, Nigeria</t>
  </si>
  <si>
    <t>27-04-07-019</t>
  </si>
  <si>
    <t>ST JOHN ANG. PRIMARY  SCHOOL, EBUTE IGBOORO</t>
  </si>
  <si>
    <t>https://docs.inecelectionresults.net/elections_prod/1292/state/01/lga/04/ward/07/pu/019/019-1677383751.pdf</t>
  </si>
  <si>
    <t>ST JOHN ANG. PRIMARY  SCHOOL, EBUTE IGBOORO, Polling Unit, EGBADO NORTH, Ogun State, Nigeria</t>
  </si>
  <si>
    <t>27-04-07-020</t>
  </si>
  <si>
    <t>OPEN SPACE NEAR ITA ALASE OJA ODAN</t>
  </si>
  <si>
    <t>https://docs.inecelectionresults.net/elections_prod/1292/state/01/lga/04/ward/07/pu/020/020-1677383206.pdf</t>
  </si>
  <si>
    <t>OPEN SPACE NEAR ITA ALASE OJA ODAN, Polling Unit, EGBADO NORTH, Ogun State, Nigeria</t>
  </si>
  <si>
    <t>27-04-07-021</t>
  </si>
  <si>
    <t>OPEN SPACE KIKIOGO  JUNCTION, IGBO OGBE</t>
  </si>
  <si>
    <t>https://docs.inecelectionresults.net/elections_prod/1292/state/01/lga/04/ward/07/pu/021/021-1677392996.pdf</t>
  </si>
  <si>
    <t>OPEN SPACE KIKIOGO  JUNCTION, IGBO OGBE, Polling Unit, EGBADO NORTH, Ogun State, Nigeria</t>
  </si>
  <si>
    <t>27-04-07-022</t>
  </si>
  <si>
    <t>NEAR CHRIST GOSPEL CHURCH, EBUTE IGBOORO</t>
  </si>
  <si>
    <t>https://docs.inecelectionresults.net/elections_prod/1292/state/01/lga/04/ward/07/pu/022/022-1677382684.pdf</t>
  </si>
  <si>
    <t>NEAR CHRIST GOSPEL CHURCH, EBUTE IGBOORO, Polling Unit, EGBADO NORTH, Ogun State, Nigeria</t>
  </si>
  <si>
    <t>27-04-07-023</t>
  </si>
  <si>
    <t>A.U.D PRIMARY SCHOOL, OJA ODAN</t>
  </si>
  <si>
    <t>https://docs.inecelectionresults.net/elections_prod/1292/state/01/lga/04/ward/07/pu/023/023-1677378489.pdf</t>
  </si>
  <si>
    <t>A.U.D PRIMARY SCHOOL, OJA ODAN, Polling Unit, EGBADO NORTH, Ogun State, Nigeria</t>
  </si>
  <si>
    <t>27-04-07-024</t>
  </si>
  <si>
    <t>NEAR LADIPO BLOCK, OJA ODAN</t>
  </si>
  <si>
    <t>https://docs.inecelectionresults.net/elections_prod/1292/state/01/lga/04/ward/07/pu/024/024-1677392002.pdf</t>
  </si>
  <si>
    <t>NEAR LADIPO BLOCK, OJA ODAN, Polling Unit, EGBADO NORTH, Ogun State, Nigeria</t>
  </si>
  <si>
    <t>27-04-07-025</t>
  </si>
  <si>
    <t>COMMUNITY HIGH SCHOOL, EBUTE IGBOORO</t>
  </si>
  <si>
    <t>https://docs.inecelectionresults.net/elections_prod/1292/state/01/lga/04/ward/07/pu/025/025-1677381511.pdf</t>
  </si>
  <si>
    <t>COMMUNITY HIGH SCHOOL, EBUTE IGBOORO, Polling Unit, EGBADO NORTH, Ogun State, Nigeria</t>
  </si>
  <si>
    <t>27-04-07-026</t>
  </si>
  <si>
    <t>NEAR ALEBIOSU MOSQUE, ITA ADIFALA</t>
  </si>
  <si>
    <t>https://docs.inecelectionresults.net/elections_prod/1292/state/01/lga/04/ward/07/pu/026/026-1677382463.pdf</t>
  </si>
  <si>
    <t>NEAR ALEBIOSU MOSQUE, ITA ADIFALA, Polling Unit, EGBADO NORTH, Ogun State, Nigeria</t>
  </si>
  <si>
    <t>27-04-07-027</t>
  </si>
  <si>
    <t>NEAR ITA ALE PAPA OLOSUN OJA ODAN</t>
  </si>
  <si>
    <t>https://docs.inecelectionresults.net/elections_prod/1292/state/01/lga/04/ward/07/pu/027/027-1677381909.pdf</t>
  </si>
  <si>
    <t>NEAR ITA ALE PAPA OLOSUN OJA ODAN, Polling Unit, EGBADO NORTH, Ogun State, Nigeria</t>
  </si>
  <si>
    <t>27-04-07-028</t>
  </si>
  <si>
    <t>COMMUNITY PRIMARY SCHOOL, ARANFE, OJA ODAN</t>
  </si>
  <si>
    <t>https://docs.inecelectionresults.net/elections_prod/1292/state/01/lga/04/ward/07/pu/028/028-1677385277.pdf</t>
  </si>
  <si>
    <t>COMMUNITY PRIMARY SCHOOL, ARANFE, OJA ODAN, Polling Unit, EGBADO NORTH, Ogun State, Nigeria</t>
  </si>
  <si>
    <t>27-04-11-021</t>
  </si>
  <si>
    <t>OPEN SPACE ISALE IJU JUNCTION, LAFENWA</t>
  </si>
  <si>
    <t>https://docs.inecelectionresults.net/elections_prod/1292/state/01/lga/04/ward/11/pu/021/021-1677380644.pdf</t>
  </si>
  <si>
    <t>OPEN SPACE ISALE IJU JUNCTION, LAFENWA, Polling Unit, EGBADO NORTH, Ogun State, Nigeria</t>
  </si>
  <si>
    <t>27-04-11-023</t>
  </si>
  <si>
    <t>F.A.M.C, OKE ODO, IGBOGILA</t>
  </si>
  <si>
    <t>https://docs.inecelectionresults.net/elections_prod/1292/state/01/lga/04/ward/11/pu/023/023-1677378894.pdf</t>
  </si>
  <si>
    <t>F.A.M.C, OKE ODO, IGBOGILA, Polling Unit, EGBADO NORTH, Ogun State, Nigeria</t>
  </si>
  <si>
    <t>27-04-11-024</t>
  </si>
  <si>
    <t>NEAR JEHOVAH WITNESS, ORITA ROAD, IGBOGILA</t>
  </si>
  <si>
    <t>https://docs.inecelectionresults.net/elections_prod/1292/state/01/lga/04/ward/11/pu/024/024-1677378446.pdf</t>
  </si>
  <si>
    <t>NEAR JEHOVAH WITNESS, ORITA ROAD, IGBOGILA, Polling Unit, EGBADO NORTH, Ogun State, Nigeria</t>
  </si>
  <si>
    <t>27-04-11-025</t>
  </si>
  <si>
    <t>IBESE MATERNITY CENTER, IBESE</t>
  </si>
  <si>
    <t>https://docs.inecelectionresults.net/elections_prod/1292/state/01/lga/04/ward/11/pu/025/025-1677380810.pdf</t>
  </si>
  <si>
    <t>IBESE MATERNITY CENTER, IBESE, Polling Unit, EGBADO NORTH, Ogun State, Nigeria</t>
  </si>
  <si>
    <t>27-04-11-026</t>
  </si>
  <si>
    <t>NEAR ANOMO WATER, OKE OKO IYA</t>
  </si>
  <si>
    <t>https://docs.inecelectionresults.net/elections_prod/1292/state/01/lga/04/ward/11/pu/026/026-1677379614.pdf</t>
  </si>
  <si>
    <t>NEAR ANOMO WATER, OKE OKO IYA, Polling Unit, EGBADO NORTH, Ogun State, Nigeria</t>
  </si>
  <si>
    <t>27-04-05-010</t>
  </si>
  <si>
    <t>ILUJODA/ IBOORO HEALTH CENTRE</t>
  </si>
  <si>
    <t>https://docs.inecelectionresults.net/elections_prod/1292/state/01/lga/04/ward/05/pu/010/010-1677372440.pdf</t>
  </si>
  <si>
    <t>ILUJODA/ IBOORO HEALTH CENTRE, Polling Unit, EGBADO NORTH, Ogun State, Nigeria</t>
  </si>
  <si>
    <t>27-04-05-011</t>
  </si>
  <si>
    <t>ABEPA MARKET JOGA ORILE</t>
  </si>
  <si>
    <t>https://docs.inecelectionresults.net/elections_prod/1292/state/01/lga/04/ward/05/pu/011/011-1677373631.pdf</t>
  </si>
  <si>
    <t>ABEPA MARKET JOGA ORILE, Polling Unit, EGBADO NORTH, Ogun State, Nigeria</t>
  </si>
  <si>
    <t>27-04-01-028</t>
  </si>
  <si>
    <t>OPEN SPACE  YAKOYO, IDOFOI</t>
  </si>
  <si>
    <t>https://docs.inecelectionresults.net/elections_prod/1292/state/01/lga/04/ward/01/pu/028/028-1677373707.pdf</t>
  </si>
  <si>
    <t>OPEN SPACE  YAKOYO, IDOFOI, Polling Unit, EGBADO NORTH, Ogun State, Nigeria</t>
  </si>
  <si>
    <t>27-04-01-029</t>
  </si>
  <si>
    <t>MATERNITY CENTRE, ATOKUN</t>
  </si>
  <si>
    <t>https://docs.inecelectionresults.net/elections_prod/1292/state/01/lga/04/ward/01/pu/029/029-1677377060.pdf</t>
  </si>
  <si>
    <t>MATERNITY CENTRE, ATOKUN, Polling Unit, EGBADO NORTH, Ogun State, Nigeria</t>
  </si>
  <si>
    <t>27-04-01-030</t>
  </si>
  <si>
    <t>WELDER ASSOCIATION SECRETARIAT, AJEGUNLE, IDAGBA</t>
  </si>
  <si>
    <t>https://docs.inecelectionresults.net/elections_prod/1292/state/01/lga/04/ward/01/pu/030/030-1677393994.pdf</t>
  </si>
  <si>
    <t>WELDER ASSOCIATION SECRETARIAT, AJEGUNLE, IDAGBA, Polling Unit, EGBADO NORTH, Ogun State, Nigeria</t>
  </si>
  <si>
    <t>27-04-06-008</t>
  </si>
  <si>
    <t>OPEN SPACE AT ALAGBADA JUNCTION, IMASAI</t>
  </si>
  <si>
    <t>https://docs.inecelectionresults.net/elections_prod/1292/state/01/lga/04/ward/06/pu/008/008-1677374988.pdf</t>
  </si>
  <si>
    <t>OPEN SPACE AT ALAGBADA JUNCTION, IMASAI, Polling Unit, EGBADO NORTH, Ogun State, Nigeria</t>
  </si>
  <si>
    <t>27-04-06-009</t>
  </si>
  <si>
    <t>NEAR ITA ALAGO, IMASAI</t>
  </si>
  <si>
    <t>https://docs.inecelectionresults.net/elections_prod/1292/state/01/lga/04/ward/06/pu/009/009-1677382756.pdf</t>
  </si>
  <si>
    <t>NEAR ITA ALAGO, IMASAI, Polling Unit, EGBADO NORTH, Ogun State, Nigeria</t>
  </si>
  <si>
    <t>27-04-06-010</t>
  </si>
  <si>
    <t>NEAR ITA AGBOPA, IMASAI</t>
  </si>
  <si>
    <t>https://docs.inecelectionresults.net/elections_prod/1292/state/01/lga/04/ward/06/pu/010/010-1677377465.pdf</t>
  </si>
  <si>
    <t>NEAR ITA AGBOPA, IMASAI, Polling Unit, EGBADO NORTH, Ogun State, Nigeria</t>
  </si>
  <si>
    <t>27-04-04-018</t>
  </si>
  <si>
    <t>AGBAIGBA  COMMUNITY HIGH SCHOOL</t>
  </si>
  <si>
    <t>https://docs.inecelectionresults.net/elections_prod/1292/state/01/lga/04/ward/04/pu/018/018-1677394811.pdf</t>
  </si>
  <si>
    <t>AGBAIGBA  COMMUNITY HIGH SCHOOL, Polling Unit, EGBADO NORTH, Ogun State, Nigeria</t>
  </si>
  <si>
    <t>27-04-04-019</t>
  </si>
  <si>
    <t>COMMUNITY PRIMARY SCHOOL,OLOROGBO</t>
  </si>
  <si>
    <t>https://docs.inecelectionresults.net/elections_prod/1292/state/01/lga/04/ward/04/pu/019/019-1677394954.pdf</t>
  </si>
  <si>
    <t>COMMUNITY PRIMARY SCHOOL,OLOROGBO, Polling Unit, EGBADO NORTH, Ogun State, Nigeria</t>
  </si>
  <si>
    <t>27-04-04-020</t>
  </si>
  <si>
    <t>NEAR ITA BAALE, ARAROMI AJANA</t>
  </si>
  <si>
    <t>https://docs.inecelectionresults.net/elections_prod/1292/state/01/lga/04/ward/04/pu/020/020-1677398377.pdf</t>
  </si>
  <si>
    <t>NEAR ITA BAALE, ARAROMI AJANA, Polling Unit, EGBADO NORTH, Ogun State, Nigeria</t>
  </si>
  <si>
    <t>27-04-04-021</t>
  </si>
  <si>
    <t>METHODIST PRIMARY SCHOOL, SAWONJO</t>
  </si>
  <si>
    <t>https://docs.inecelectionresults.net/elections_prod/1292/state/01/lga/04/ward/04/pu/021/021-1677395441.pdf</t>
  </si>
  <si>
    <t>METHODIST PRIMARY SCHOOL, SAWONJO, Polling Unit, EGBADO NORTH, Ogun State, Nigeria</t>
  </si>
  <si>
    <t>27-05-10-019</t>
  </si>
  <si>
    <t>ARAROMI MARKET</t>
  </si>
  <si>
    <t>https://docs.inecelectionresults.net/elections_prod/1292/state/01/lga/05/ward/10/pu/019/019-1677371634.pdf</t>
  </si>
  <si>
    <t>ARAROMI MARKET, Polling Unit, EGBADO SOUTH, Ogun State, Nigeria</t>
  </si>
  <si>
    <t>27-05-10-020</t>
  </si>
  <si>
    <t>OPEN SPACE AT AJEGUNLE SQUARE AJILETE</t>
  </si>
  <si>
    <t>https://docs.inecelectionresults.net/elections_prod/1292/state/01/lga/05/ward/10/pu/020/020-1677372631.pdf</t>
  </si>
  <si>
    <t>OPEN SPACE AT AJEGUNLE SQUARE AJILETE, Polling Unit, EGBADO SOUTH, Ogun State, Nigeria</t>
  </si>
  <si>
    <t>27-05-10-021</t>
  </si>
  <si>
    <t>OPEN SPACE AT AKOREDE COMMUNITY BESIDE TRANSFORMER</t>
  </si>
  <si>
    <t>https://docs.inecelectionresults.net/elections_prod/1292/state/01/lga/05/ward/10/pu/021/021-1677370723.pdf</t>
  </si>
  <si>
    <t>OPEN SPACE AT AKOREDE COMMUNITY BESIDE TRANSFORMER, Polling Unit, EGBADO SOUTH, Ogun State, Nigeria</t>
  </si>
  <si>
    <t>27-05-10-022</t>
  </si>
  <si>
    <t>IDO OLUBO VILLAGE SQUARE</t>
  </si>
  <si>
    <t>https://inec-cvr-cache.s3.eu-west-1.amazonaws.com/cached/results/660730/result_77923_1677512920_thumb.jpg</t>
  </si>
  <si>
    <t>IDO OLUBO VILLAGE SQUARE, Polling Unit, EGBADO SOUTH, Ogun State, Nigeria</t>
  </si>
  <si>
    <t>27-05-05-017</t>
  </si>
  <si>
    <t>OPEN SPACE AT ODAN/BOLA JUNCTION</t>
  </si>
  <si>
    <t>https://docs.inecelectionresults.net/elections_prod/1292/state/01/lga/05/ward/05/pu/017/017-1677364522.pdf</t>
  </si>
  <si>
    <t>OPEN SPACE AT ODAN/BOLA JUNCTION, Polling Unit, EGBADO SOUTH, Ogun State, Nigeria</t>
  </si>
  <si>
    <t>27-05-05-018</t>
  </si>
  <si>
    <t>OPEN SPACE AT ARAROMI OLOKUTA SQUARE</t>
  </si>
  <si>
    <t>https://docs.inecelectionresults.net/elections_prod/1292/state/01/lga/05/ward/05/pu/018/018-1677359468.pdf</t>
  </si>
  <si>
    <t>OPEN SPACE AT ARAROMI OLOKUTA SQUARE, Polling Unit, EGBADO SOUTH, Ogun State, Nigeria</t>
  </si>
  <si>
    <t>27-05-01-020</t>
  </si>
  <si>
    <t>OPEN SPACE AT MECHANIC WORKSHOP OPP AXIAL PROJECT</t>
  </si>
  <si>
    <t>https://docs.inecelectionresults.net/elections_prod/1292/state/1/lga/3670/ward/24008/pu/165432/165432-1677521537.pdf</t>
  </si>
  <si>
    <t>OPEN SPACE AT MECHANIC WORKSHOP OPP AXIAL PROJECT, Polling Unit, EGBADO SOUTH, Ogun State, Nigeria</t>
  </si>
  <si>
    <t>27-05-01-021</t>
  </si>
  <si>
    <t>OPEN SPACE AT OTEGBEYE'S STREET IPARI-ODA</t>
  </si>
  <si>
    <t>https://inec-cvr-cache.s3.eu-west-1.amazonaws.com/cached/results/660737/result_77688_1677524988_thumb.jpg</t>
  </si>
  <si>
    <t>OPEN SPACE AT OTEGBEYE'S STREET IPARI-ODA, Polling Unit, EGBADO SOUTH, Ogun State, Nigeria</t>
  </si>
  <si>
    <t>27-05-01-023</t>
  </si>
  <si>
    <t>OPEN SPACE AT IYANA IJADO STREET</t>
  </si>
  <si>
    <t>https://docs.inecelectionresults.net/elections_prod/1292/state/1/lga/3670/ward/24008/pu/165435/165435-1677519984.pdf</t>
  </si>
  <si>
    <t>OPEN SPACE AT IYANA IJADO STREET, Polling Unit, EGBADO SOUTH, Ogun State, Nigeria</t>
  </si>
  <si>
    <t>27-05-01-024</t>
  </si>
  <si>
    <t>OPEN SPACE AT ADELEYE JUNCTION PAHAYI</t>
  </si>
  <si>
    <t>https://inec-cvr-cache.s3.eu-west-1.amazonaws.com/cached/results/660740/result_77691_1677521261_thumb.jpg</t>
  </si>
  <si>
    <t>OPEN SPACE AT ADELEYE JUNCTION PAHAYI, Polling Unit, EGBADO SOUTH, Ogun State, Nigeria</t>
  </si>
  <si>
    <t>27-05-01-026</t>
  </si>
  <si>
    <t>OPEN SPACE AT SALAMI STREET</t>
  </si>
  <si>
    <t>https://docs.inecelectionresults.net/elections_prod/1292/state/1/lga/3670/ward/24008/pu/165438/165438-1677523270.pdf</t>
  </si>
  <si>
    <t>OPEN SPACE AT SALAMI STREET, Polling Unit, EGBADO SOUTH, Ogun State, Nigeria</t>
  </si>
  <si>
    <t>27-05-01-028</t>
  </si>
  <si>
    <t>OPEN SPACE AT RURAL PROJECT DOSUMU IPARI-ODA.</t>
  </si>
  <si>
    <t>https://docs.inecelectionresults.net/elections_prod/1292/state/01/lga/05/ward/01/pu/028/028-1677366557.pdf</t>
  </si>
  <si>
    <t>OPEN SPACE AT RURAL PROJECT DOSUMU IPARI-ODA., Polling Unit, EGBADO SOUTH, Ogun State, Nigeria</t>
  </si>
  <si>
    <t>27-05-01-029</t>
  </si>
  <si>
    <t>YSLG SCHOOL ELEJA</t>
  </si>
  <si>
    <t>https://docs.inecelectionresults.net/elections_prod/1292/state/01/lga/05/ward/01/pu/029/029-1677365294.pdf</t>
  </si>
  <si>
    <t>YSLG SCHOOL ELEJA, Polling Unit, EGBADO SOUTH, Ogun State, Nigeria</t>
  </si>
  <si>
    <t>27-05-01-030</t>
  </si>
  <si>
    <t>OPEN SPACE AT FAYEGBAMI ATOYO ROAD</t>
  </si>
  <si>
    <t>https://docs.inecelectionresults.net/elections_prod/1292/state/01/lga/05/ward/01/pu/030/030-1677372998.pdf</t>
  </si>
  <si>
    <t>OPEN SPACE AT FAYEGBAMI ATOYO ROAD, Polling Unit, EGBADO SOUTH, Ogun State, Nigeria</t>
  </si>
  <si>
    <t>27-05-01-031</t>
  </si>
  <si>
    <t>OPEN SPACE AT ODUWOBI ST. BESIDE IKOSI TRANSFORMER</t>
  </si>
  <si>
    <t>https://inec-cvr-cache.s3.eu-west-1.amazonaws.com/cached/results/660747/result_77698_1677525486_thumb.jpg</t>
  </si>
  <si>
    <t>OPEN SPACE AT ODUWOBI ST. BESIDE IKOSI TRANSFORMER, Polling Unit, EGBADO SOUTH, Ogun State, Nigeria</t>
  </si>
  <si>
    <t>27-05-01-034</t>
  </si>
  <si>
    <t>POLY 2ND GATE</t>
  </si>
  <si>
    <t>https://docs.inecelectionresults.net/elections_prod/1292/state/01/lga/05/ward/01/pu/034/034-1677369372.pdf</t>
  </si>
  <si>
    <t>POLY 2ND GATE, Polling Unit, EGBADO SOUTH, Ogun State, Nigeria</t>
  </si>
  <si>
    <t>27-05-01-036</t>
  </si>
  <si>
    <t>OPEN SPACE AT IJADO RD ALONG EXPRESS RD.</t>
  </si>
  <si>
    <t>https://docs.inecelectionresults.net/elections_prod/1292/state/01/lga/05/ward/01/pu/036/036-1677373268.pdf</t>
  </si>
  <si>
    <t>OPEN SPACE AT IJADO RD ALONG EXPRESS RD., Polling Unit, EGBADO SOUTH, Ogun State, Nigeria</t>
  </si>
  <si>
    <t>27-05-02-016</t>
  </si>
  <si>
    <t>SAYEDERO GARAGE</t>
  </si>
  <si>
    <t>https://docs.inecelectionresults.net/elections_prod/1292/state/01/lga/05/ward/02/pu/016/016-1677391020.pdf</t>
  </si>
  <si>
    <t>SAYEDERO GARAGE, Polling Unit, EGBADO SOUTH, Ogun State, Nigeria</t>
  </si>
  <si>
    <t>27-05-02-018</t>
  </si>
  <si>
    <t>OPEN SPACE AT ELITE ESTATE JUNCTION CORNER AFOLABI OKE-ELA</t>
  </si>
  <si>
    <t>https://docs.inecelectionresults.net/elections_prod/1292/state/01/lga/05/ward/02/pu/018/018-1677393896.pdf</t>
  </si>
  <si>
    <t>OPEN SPACE AT ELITE ESTATE JUNCTION CORNER AFOLABI OKE-ELA, Polling Unit, EGBADO SOUTH, Ogun State, Nigeria</t>
  </si>
  <si>
    <t>27-05-02-019</t>
  </si>
  <si>
    <t>OPEN SPACE AT IPARI ODO BESIDE TRANSFORMER</t>
  </si>
  <si>
    <t>https://docs.inecelectionresults.net/elections_prod/1292/state/01/lga/05/ward/02/pu/019/019-1677404798.pdf</t>
  </si>
  <si>
    <t>OPEN SPACE AT IPARI ODO BESIDE TRANSFORMER, Polling Unit, EGBADO SOUTH, Ogun State, Nigeria</t>
  </si>
  <si>
    <t>27-05-02-020</t>
  </si>
  <si>
    <t>CAC PRIMARY SCHOOL OKE-ELA</t>
  </si>
  <si>
    <t>https://inec-cvr-cache.s3.eu-west-1.amazonaws.com/cached/results/660757/result_77723_1677532552_thumb.jpg</t>
  </si>
  <si>
    <t>CAC PRIMARY SCHOOL OKE-ELA, Polling Unit, EGBADO SOUTH, Ogun State, Nigeria</t>
  </si>
  <si>
    <t>27-05-02-021</t>
  </si>
  <si>
    <t>OPEN SPACE, VALLEY VIEW CDA</t>
  </si>
  <si>
    <t>https://docs.inecelectionresults.net/elections_prod/1292/state/01/lga/05/ward/02/pu/021/021-1677392443.pdf</t>
  </si>
  <si>
    <t>OPEN SPACE, VALLEY VIEW CDA, Polling Unit, EGBADO SOUTH, Ogun State, Nigeria</t>
  </si>
  <si>
    <t>27-05-02-022</t>
  </si>
  <si>
    <t>OPEN SPACE AT IREDE COMMUNITY JUNCTION BLUE ROOF OKE-ELA</t>
  </si>
  <si>
    <t>https://docs.inecelectionresults.net/elections_prod/1292/state/01/lga/05/ward/02/pu/022/022-1677367608.pdf</t>
  </si>
  <si>
    <t>OPEN SPACE AT IREDE COMMUNITY JUNCTION BLUE ROOF OKE-ELA, Polling Unit, EGBADO SOUTH, Ogun State, Nigeria</t>
  </si>
  <si>
    <t>27-05-02-023</t>
  </si>
  <si>
    <t>OPEN SPACE AT IBESE QUARTERS BACK OF JUBILEE</t>
  </si>
  <si>
    <t>https://docs.inecelectionresults.net/elections_prod/1292/state/01/lga/05/ward/02/pu/023/023-1677387385.pdf</t>
  </si>
  <si>
    <t>OPEN SPACE AT IBESE QUARTERS BACK OF JUBILEE, Polling Unit, EGBADO SOUTH, Ogun State, Nigeria</t>
  </si>
  <si>
    <t>27-05-03-026</t>
  </si>
  <si>
    <t>OPEN SPACE AT TELECOMMUNICATION MAST</t>
  </si>
  <si>
    <t>https://docs.inecelectionresults.net/elections_prod/1292/state/01/lga/05/ward/03/pu/026/026-1677368236.pdf</t>
  </si>
  <si>
    <t>OPEN SPACE AT TELECOMMUNICATION MAST, Polling Unit, EGBADO SOUTH, Ogun State, Nigeria</t>
  </si>
  <si>
    <t>27-05-03-027</t>
  </si>
  <si>
    <t>OPEN SPACE AT ALARABA JUNCTION</t>
  </si>
  <si>
    <t>https://docs.inecelectionresults.net/elections_prod/1292/state/01/lga/05/ward/03/pu/027/027-1677365089.pdf</t>
  </si>
  <si>
    <t>OPEN SPACE AT ALARABA JUNCTION, Polling Unit, EGBADO SOUTH, Ogun State, Nigeria</t>
  </si>
  <si>
    <t>27-05-03-028</t>
  </si>
  <si>
    <t>ITOLU HIGH SCHOOL ILARO</t>
  </si>
  <si>
    <t>https://docs.inecelectionresults.net/elections_prod/1292/state/01/lga/05/ward/03/pu/028/028-1677367587.pdf</t>
  </si>
  <si>
    <t>ITOLU HIGH SCHOOL ILARO, Polling Unit, EGBADO SOUTH, Ogun State, Nigeria</t>
  </si>
  <si>
    <t>27-05-03-029</t>
  </si>
  <si>
    <t>COMM. PRIMARY SCHOOL ILEBA</t>
  </si>
  <si>
    <t>https://docs.inecelectionresults.net/elections_prod/1292/state/01/lga/05/ward/03/pu/029/029-1677361698.pdf</t>
  </si>
  <si>
    <t>COMM. PRIMARY SCHOOL ILEBA, Polling Unit, EGBADO SOUTH, Ogun State, Nigeria</t>
  </si>
  <si>
    <t>27-05-03-030</t>
  </si>
  <si>
    <t>EMMANUEL COMMERCIAL HIGH SCHOOL</t>
  </si>
  <si>
    <t>https://docs.inecelectionresults.net/elections_prod/1292/state/01/lga/05/ward/03/pu/030/030-1677361152.pdf</t>
  </si>
  <si>
    <t>EMMANUEL COMMERCIAL HIGH SCHOOL, Polling Unit, EGBADO SOUTH, Ogun State, Nigeria</t>
  </si>
  <si>
    <t>27-05-09-011</t>
  </si>
  <si>
    <t>YSLG OKE-ERINJA</t>
  </si>
  <si>
    <t>https://docs.inecelectionresults.net/elections_prod/1292/state/01/lga/05/ward/09/pu/011/011-1677405317.pdf</t>
  </si>
  <si>
    <t>YSLG OKE-ERINJA, Polling Unit, EGBADO SOUTH, Ogun State, Nigeria</t>
  </si>
  <si>
    <t>27-05-09-012</t>
  </si>
  <si>
    <t>OPEN SPACE AT SURULERE STREET, OKE-ERINJA</t>
  </si>
  <si>
    <t>https://docs.inecelectionresults.net/elections_prod/1292/state/01/lga/05/ward/09/pu/012/012-1677405901.pdf</t>
  </si>
  <si>
    <t>OPEN SPACE AT SURULERE STREET, OKE-ERINJA, Polling Unit, EGBADO SOUTH, Ogun State, Nigeria</t>
  </si>
  <si>
    <t>27-05-09-013</t>
  </si>
  <si>
    <t>OPEN SPACE AT ORUWA ERINJA COMMUNITY WATER PROJECT</t>
  </si>
  <si>
    <t>https://docs.inecelectionresults.net/elections_prod/1292/state/01/lga/05/ward/09/pu/013/013-1677403956.pdf</t>
  </si>
  <si>
    <t>OPEN SPACE AT ORUWA ERINJA COMMUNITY WATER PROJECT, Polling Unit, EGBADO SOUTH, Ogun State, Nigeria</t>
  </si>
  <si>
    <t>27-05-09-014</t>
  </si>
  <si>
    <t>EBUROGUN VILLAGE</t>
  </si>
  <si>
    <t>https://docs.inecelectionresults.net/elections_prod/1292/state/01/lga/05/ward/09/pu/014/014-1677402758.pdf</t>
  </si>
  <si>
    <t>EBUROGUN VILLAGE, Polling Unit, EGBADO SOUTH, Ogun State, Nigeria</t>
  </si>
  <si>
    <t>27-05-09-016</t>
  </si>
  <si>
    <t>OPEN SPACE AT AGO PANU BESIDE TRANSFORMER ALAGBON</t>
  </si>
  <si>
    <t>https://docs.inecelectionresults.net/elections_prod/1292/state/01/lga/05/ward/09/pu/016/016-1677398851.pdf</t>
  </si>
  <si>
    <t>OPEN SPACE AT AGO PANU BESIDE TRANSFORMER ALAGBON, Polling Unit, EGBADO SOUTH, Ogun State, Nigeria</t>
  </si>
  <si>
    <t>27-05-09-017</t>
  </si>
  <si>
    <t>OPEN SPACE BESIDE TRANSFORMER OPP BIBLE COLLEGE</t>
  </si>
  <si>
    <t>https://docs.inecelectionresults.net/elections_prod/1292/state/01/lga/05/ward/09/pu/017/017-1677405705.pdf</t>
  </si>
  <si>
    <t>OPEN SPACE BESIDE TRANSFORMER OPP BIBLE COLLEGE, Polling Unit, EGBADO SOUTH, Ogun State, Nigeria</t>
  </si>
  <si>
    <t>27-05-09-018</t>
  </si>
  <si>
    <t>OPEN SPACE BESIDE TRANSFORMER OPP. ALASEYORI CENTRAL MOSQUE</t>
  </si>
  <si>
    <t>https://docs.inecelectionresults.net/elections_prod/1292/state/01/lga/05/ward/09/pu/018/018-1677403467.pdf</t>
  </si>
  <si>
    <t>OPEN SPACE BESIDE TRANSFORMER OPP. ALASEYORI CENTRAL MOSQUE, Polling Unit, EGBADO SOUTH, Ogun State, Nigeria</t>
  </si>
  <si>
    <t>27-05-09-019</t>
  </si>
  <si>
    <t>OPEN SPACE BESIDE TRANSFORMER OPP YSLG ALAGBON</t>
  </si>
  <si>
    <t>https://docs.inecelectionresults.net/elections_prod/1292/state/01/lga/05/ward/09/pu/019/019-1677399770.pdf</t>
  </si>
  <si>
    <t>OPEN SPACE BESIDE TRANSFORMER OPP YSLG ALAGBON, Polling Unit, EGBADO SOUTH, Ogun State, Nigeria</t>
  </si>
  <si>
    <t>27-05-09-020</t>
  </si>
  <si>
    <t>OPEN SPACE UNDER KOLANUT TREE INFRONT OF BAALE HOUSE</t>
  </si>
  <si>
    <t>https://docs.inecelectionresults.net/elections_prod/1292/state/01/lga/05/ward/09/pu/020/020-1677404447.pdf</t>
  </si>
  <si>
    <t>OPEN SPACE UNDER KOLANUT TREE INFRONT OF BAALE HOUSE, Polling Unit, EGBADO SOUTH, Ogun State, Nigeria</t>
  </si>
  <si>
    <t>27-05-09-021</t>
  </si>
  <si>
    <t>ILOBI TOWN HALL</t>
  </si>
  <si>
    <t>https://docs.inecelectionresults.net/elections_prod/1292/state/01/lga/05/ward/09/pu/021/021-1677406154.pdf</t>
  </si>
  <si>
    <t>ILOBI TOWN HALL, Polling Unit, EGBADO SOUTH, Ogun State, Nigeria</t>
  </si>
  <si>
    <t>27-05-04-017</t>
  </si>
  <si>
    <t>GREAT LIGHT COMMUNITY SCHOOL IWOGIA IWOYE</t>
  </si>
  <si>
    <t>https://docs.inecelectionresults.net/elections_prod/1292/state/01/lga/05/ward/04/pu/017/017-1677361248.pdf</t>
  </si>
  <si>
    <t>GREAT LIGHT COMMUNITY SCHOOL IWOGIA IWOYE, Polling Unit, EGBADO SOUTH, Ogun State, Nigeria</t>
  </si>
  <si>
    <t>27-05-04-018</t>
  </si>
  <si>
    <t>OPEN SPACE AT OLORULEKAN WATER PROJECT ILARO</t>
  </si>
  <si>
    <t>https://docs.inecelectionresults.net/elections_prod/1292/state/01/lga/05/ward/04/pu/018/018-1677361846.pdf</t>
  </si>
  <si>
    <t>OPEN SPACE AT OLORULEKAN WATER PROJECT ILARO, Polling Unit, EGBADO SOUTH, Ogun State, Nigeria</t>
  </si>
  <si>
    <t>27-05-04-019</t>
  </si>
  <si>
    <t>OPEN SPACE BESIDE TRANSFORMER SUPPORT ALAGBEDE VILLAGE ALONG OJA-ODA ROAD</t>
  </si>
  <si>
    <t>https://docs.inecelectionresults.net/elections_prod/1292/state/01/lga/05/ward/04/pu/019/019-1677361407.pdf</t>
  </si>
  <si>
    <t>OPEN SPACE BESIDE TRANSFORMER SUPPORT ALAGBEDE VILLAGE ALONG OJA-ODA ROAD, Polling Unit, EGBADO SOUTH, Ogun State, Nigeria</t>
  </si>
  <si>
    <t>27-05-06-026</t>
  </si>
  <si>
    <t>C&amp;S AGO ILARO OKE-ODAN</t>
  </si>
  <si>
    <t>https://docs.inecelectionresults.net/elections_prod/1292/state/01/lga/05/ward/06/pu/026/026-1677386418.pdf</t>
  </si>
  <si>
    <t>C&amp;S AGO ILARO OKE-ODAN, Polling Unit, EGBADO SOUTH, Ogun State, Nigeria</t>
  </si>
  <si>
    <t>27-05-06-027</t>
  </si>
  <si>
    <t>IFESOWAPO CDA WATER PROJECT OKE-ODAN</t>
  </si>
  <si>
    <t>https://docs.inecelectionresults.net/elections_prod/1292/state/01/lga/05/ward/06/pu/027/027-1677380278.pdf</t>
  </si>
  <si>
    <t>IFESOWAPO CDA WATER PROJECT OKE-ODAN, Polling Unit, EGBADO SOUTH, Ogun State, Nigeria</t>
  </si>
  <si>
    <t>27-05-07-021</t>
  </si>
  <si>
    <t>OPEN SPACE UNDER THE COCONUT TREE BESIDE TRANSFORMER AT FOLASADE OKE-OGBON STR. OWODE</t>
  </si>
  <si>
    <t>https://docs.inecelectionresults.net/elections_prod/1292/state/01/lga/05/ward/07/pu/021/021-1677400533.pdf</t>
  </si>
  <si>
    <t>OPEN SPACE UNDER THE COCONUT TREE BESIDE TRANSFORMER AT FOLASADE OKE-OGBON STR. OWODE, Polling Unit, EGBADO SOUTH, Ogun State, Nigeria</t>
  </si>
  <si>
    <t>27-05-07-023</t>
  </si>
  <si>
    <t>UNDER PEAR TREE ALAO LATEEF HOUSE ALAPARA OWODE</t>
  </si>
  <si>
    <t>https://docs.inecelectionresults.net/elections_prod/1292/state/01/lga/05/ward/07/pu/023/023-1677385150.pdf</t>
  </si>
  <si>
    <t>UNDER PEAR TREE ALAO LATEEF HOUSE ALAPARA OWODE, Polling Unit, EGBADO SOUTH, Ogun State, Nigeria</t>
  </si>
  <si>
    <t>27-05-07-024</t>
  </si>
  <si>
    <t>ALMAJIR ISLAMIC CHILDREN SCHOOL ISAGA</t>
  </si>
  <si>
    <t>https://docs.inecelectionresults.net/elections_prod/1292/state/01/lga/05/ward/07/pu/024/024-1677400368.pdf</t>
  </si>
  <si>
    <t>ALMAJIR ISLAMIC CHILDREN SCHOOL ISAGA, Polling Unit, EGBADO SOUTH, Ogun State, Nigeria</t>
  </si>
  <si>
    <t>27-05-07-025</t>
  </si>
  <si>
    <t>ISAGA BUSTOP ALONG ILARO RD</t>
  </si>
  <si>
    <t>https://docs.inecelectionresults.net/elections_prod/1292/state/01/lga/05/ward/07/pu/025/025-1677400947.pdf</t>
  </si>
  <si>
    <t>ISAGA BUSTOP ALONG ILARO RD, Polling Unit, EGBADO SOUTH, Ogun State, Nigeria</t>
  </si>
  <si>
    <t>27-05-07-026</t>
  </si>
  <si>
    <t>ODUBIYI FOLASADE JUNCTION</t>
  </si>
  <si>
    <t>https://docs.inecelectionresults.net/elections_prod/1292/state/01/lga/05/ward/07/pu/026/026-1677402233.pdf</t>
  </si>
  <si>
    <t>ODUBIYI FOLASADE JUNCTION, Polling Unit, EGBADO SOUTH, Ogun State, Nigeria</t>
  </si>
  <si>
    <t>27-05-07-027</t>
  </si>
  <si>
    <t>ISALE ORO JUNCTION ALONG SUNDAY IDIROKO ROAD</t>
  </si>
  <si>
    <t>https://docs.inecelectionresults.net/elections_prod/1292/state/01/lga/05/ward/07/pu/027/027-1677388571.pdf</t>
  </si>
  <si>
    <t>ISALE ORO JUNCTION ALONG SUNDAY IDIROKO ROAD, Polling Unit, EGBADO SOUTH, Ogun State, Nigeria</t>
  </si>
  <si>
    <t>27-05-07-030</t>
  </si>
  <si>
    <t>JUNCTION IGBOWO COMMUNITY BESIDE AKEWU KANWO CENRAL MOSQUE</t>
  </si>
  <si>
    <t>https://docs.inecelectionresults.net/elections_prod/1292/state/01/lga/05/ward/07/pu/030/030-1677399998.pdf</t>
  </si>
  <si>
    <t>JUNCTION IGBOWO COMMUNITY BESIDE AKEWU KANWO CENRAL MOSQUE, Polling Unit, EGBADO SOUTH, Ogun State, Nigeria</t>
  </si>
  <si>
    <t>27-05-07-031</t>
  </si>
  <si>
    <t>OPEN SPACE AT FEDERAL  STEP DOWN</t>
  </si>
  <si>
    <t>https://docs.inecelectionresults.net/elections_prod/1292/state/01/lga/05/ward/07/pu/031/031-1677401041.pdf</t>
  </si>
  <si>
    <t>OPEN SPACE AT FEDERAL  STEP DOWN, Polling Unit, EGBADO SOUTH, Ogun State, Nigeria</t>
  </si>
  <si>
    <t>27-05-07-032</t>
  </si>
  <si>
    <t>OPEN SPACE AT IREPODUN IREWOLEDE ARAROMI</t>
  </si>
  <si>
    <t>https://inec-cvr-cache.s3.eu-west-1.amazonaws.com/cached/results/660796/result_77854_1677534946_thumb.jpg</t>
  </si>
  <si>
    <t>OPEN SPACE AT IREPODUN IREWOLEDE ARAROMI, Polling Unit, EGBADO SOUTH, Ogun State, Nigeria</t>
  </si>
  <si>
    <t>27-05-07-033</t>
  </si>
  <si>
    <t>OPEN SPACE AT MORICAS II OWODE</t>
  </si>
  <si>
    <t>https://docs.inecelectionresults.net/elections_prod/1292/state/01/lga/05/ward/07/pu/033/033-1677401514.pdf</t>
  </si>
  <si>
    <t>OPEN SPACE AT MORICAS II OWODE, Polling Unit, EGBADO SOUTH, Ogun State, Nigeria</t>
  </si>
  <si>
    <t>27-05-08-018</t>
  </si>
  <si>
    <t>PRIMARY HEALTH CLINIC ISAGA OWODE</t>
  </si>
  <si>
    <t>https://docs.inecelectionresults.net/elections_prod/1292/state/01/lga/05/ward/08/pu/018/018-1677372684.pdf</t>
  </si>
  <si>
    <t>PRIMARY HEALTH CLINIC ISAGA OWODE, Polling Unit, EGBADO SOUTH, Ogun State, Nigeria</t>
  </si>
  <si>
    <t>27-05-08-019</t>
  </si>
  <si>
    <t>ST. PAUL ANG. SCH. OWODE</t>
  </si>
  <si>
    <t>https://docs.inecelectionresults.net/elections_prod/1292/state/01/lga/05/ward/08/pu/019/019-1677379930.pdf</t>
  </si>
  <si>
    <t>ST. PAUL ANG. SCH. OWODE, Polling Unit, EGBADO SOUTH, Ogun State, Nigeria</t>
  </si>
  <si>
    <t>27-05-08-020</t>
  </si>
  <si>
    <t>SANGO GARAGE ALONG SANGO IDIROKO RD.</t>
  </si>
  <si>
    <t>https://docs.inecelectionresults.net/elections_prod/1292/state/01/lga/05/ward/08/pu/020/020-1677379556.pdf</t>
  </si>
  <si>
    <t>SANGO GARAGE ALONG SANGO IDIROKO RD., Polling Unit, EGBADO SOUTH, Ogun State, Nigeria</t>
  </si>
  <si>
    <t>27-05-08-021</t>
  </si>
  <si>
    <t>ESLG SCHOOL OKE-OLA, OWODE</t>
  </si>
  <si>
    <t>https://docs.inecelectionresults.net/elections_prod/1292/state/01/lga/05/ward/08/pu/021/021-1677378288.pdf</t>
  </si>
  <si>
    <t>ESLG SCHOOL OKE-OLA, OWODE, Polling Unit, EGBADO SOUTH, Ogun State, Nigeria</t>
  </si>
  <si>
    <t>27-05-08-022</t>
  </si>
  <si>
    <t>OPEN SPACE AT TEWURE PEPE OWODE</t>
  </si>
  <si>
    <t>https://docs.inecelectionresults.net/elections_prod/1292/state/01/lga/05/ward/08/pu/022/022-1677379714.pdf</t>
  </si>
  <si>
    <t>OPEN SPACE AT TEWURE PEPE OWODE, Polling Unit, EGBADO SOUTH, Ogun State, Nigeria</t>
  </si>
  <si>
    <t>27-05-08-023</t>
  </si>
  <si>
    <t>OPEN SPACE BESIDE TRANSFORMER AT OGBOYE AKANBI JUNCTION SABO, OWODE</t>
  </si>
  <si>
    <t>https://docs.inecelectionresults.net/elections_prod/1292/state/01/lga/05/ward/08/pu/023/023-1677375309.pdf</t>
  </si>
  <si>
    <t>OPEN SPACE BESIDE TRANSFORMER AT OGBOYE AKANBI JUNCTION SABO, OWODE, Polling Unit, EGBADO SOUTH, Ogun State, Nigeria</t>
  </si>
  <si>
    <t>27-05-08-024</t>
  </si>
  <si>
    <t>OPEN SPACE AT OLUWAKOREDE COMM. SQUARE ISAGA</t>
  </si>
  <si>
    <t>https://docs.inecelectionresults.net/elections_prod/1292/state/01/lga/05/ward/08/pu/024/024-1677380256.pdf</t>
  </si>
  <si>
    <t>OPEN SPACE AT OLUWAKOREDE COMM. SQUARE ISAGA, Polling Unit, EGBADO SOUTH, Ogun State, Nigeria</t>
  </si>
  <si>
    <t>27-05-08-025</t>
  </si>
  <si>
    <t>OPEN SPACE AT IGANDIMU JUNCTION OWODE</t>
  </si>
  <si>
    <t>https://docs.inecelectionresults.net/elections_prod/1292/state/01/lga/05/ward/08/pu/025/025-1677371695.pdf</t>
  </si>
  <si>
    <t>OPEN SPACE AT IGANDIMU JUNCTION OWODE, Polling Unit, EGBADO SOUTH, Ogun State, Nigeria</t>
  </si>
  <si>
    <t>27-06-01-020</t>
  </si>
  <si>
    <t>ABALABI VILLAGE SQUARE</t>
  </si>
  <si>
    <t>https://docs.inecelectionresults.net/elections_prod/1292/state/01/lga/06/ward/01/pu/020/020-1677398989.pdf</t>
  </si>
  <si>
    <t>ABALABI VILLAGE SQUARE, Polling Unit, EWEKORO, Ogun State, Nigeria</t>
  </si>
  <si>
    <t>27-06-01-021</t>
  </si>
  <si>
    <t>ARAROMI TOWN HALL</t>
  </si>
  <si>
    <t>https://docs.inecelectionresults.net/elections_prod/1292/state/01/lga/06/ward/01/pu/021/021-1677392539.pdf</t>
  </si>
  <si>
    <t>ARAROMI TOWN HALL, Polling Unit, EWEKORO, Ogun State, Nigeria</t>
  </si>
  <si>
    <t>27-06-01-022</t>
  </si>
  <si>
    <t>OPEN SPACE FRONT OF HEALTH CENTRE AJEGUNLE</t>
  </si>
  <si>
    <t>https://docs.inecelectionresults.net/elections_prod/1292/state/01/lga/06/ward/01/pu/022/022-1677398213.pdf</t>
  </si>
  <si>
    <t>OPEN SPACE FRONT OF HEALTH CENTRE AJEGUNLE, Polling Unit, EWEKORO, Ogun State, Nigeria</t>
  </si>
  <si>
    <t>27-06-03-010</t>
  </si>
  <si>
    <t>OPEN SPACE  BESIDE TRANSFORMER,EGUNNLA</t>
  </si>
  <si>
    <t>https://docs.inecelectionresults.net/elections_prod/1292/state/01/lga/06/ward/03/pu/010/010-1677396171.pdf</t>
  </si>
  <si>
    <t>OPEN SPACE  BESIDE TRANSFORMER,EGUNNLA, Polling Unit, EWEKORO, Ogun State, Nigeria</t>
  </si>
  <si>
    <t>27-06-03-012</t>
  </si>
  <si>
    <t>EGUNNLA ANNEX</t>
  </si>
  <si>
    <t>https://docs.inecelectionresults.net/elections_prod/1292/state/01/lga/06/ward/03/pu/012/012-1677395004.pdf</t>
  </si>
  <si>
    <t>EGUNNLA ANNEX, Polling Unit, EWEKORO, Ogun State, Nigeria</t>
  </si>
  <si>
    <t>27-06-03-013</t>
  </si>
  <si>
    <t>OPEN SPACE BESIDES TRANSFORMER IMODE</t>
  </si>
  <si>
    <t>https://docs.inecelectionresults.net/elections_prod/1292/state/01/lga/06/ward/03/pu/013/013-1677393034.pdf</t>
  </si>
  <si>
    <t>OPEN SPACE BESIDES TRANSFORMER IMODE, Polling Unit, EWEKORO, Ogun State, Nigeria</t>
  </si>
  <si>
    <t>27-06-03-014</t>
  </si>
  <si>
    <t>OPEN SPACE BESIDE BERGER TRANSFORMER EJIO</t>
  </si>
  <si>
    <t>https://docs.inecelectionresults.net/elections_prod/1292/state/01/lga/06/ward/03/pu/014/014-1677395989.pdf</t>
  </si>
  <si>
    <t>OPEN SPACE BESIDE BERGER TRANSFORMER EJIO, Polling Unit, EWEKORO, Ogun State, Nigeria</t>
  </si>
  <si>
    <t>27-06-03-015</t>
  </si>
  <si>
    <t>OLD MATERNITY CENTRE, EJIO</t>
  </si>
  <si>
    <t>https://docs.inecelectionresults.net/elections_prod/1292/state/01/lga/06/ward/03/pu/015/015-1677398200.pdf</t>
  </si>
  <si>
    <t>OLD MATERNITY CENTRE, EJIO, Polling Unit, EWEKORO, Ogun State, Nigeria</t>
  </si>
  <si>
    <t>27-06-03-016</t>
  </si>
  <si>
    <t>BESIDE TRANSFORMER DEBORAH'S COURT JUNCTION</t>
  </si>
  <si>
    <t>https://docs.inecelectionresults.net/elections_prod/1292/state/01/lga/06/ward/03/pu/016/016-1677397585.pdf</t>
  </si>
  <si>
    <t>BESIDE TRANSFORMER DEBORAH'S COURT JUNCTION, Polling Unit, EWEKORO, Ogun State, Nigeria</t>
  </si>
  <si>
    <t>27-06-03-017</t>
  </si>
  <si>
    <t>OPEN SPACE BESIDE PUBLIC WATER TANK, AROGUNJO</t>
  </si>
  <si>
    <t>https://docs.inecelectionresults.net/elections_prod/1292/state/01/lga/06/ward/03/pu/017/017-1677394399.pdf</t>
  </si>
  <si>
    <t>OPEN SPACE BESIDE PUBLIC WATER TANK, AROGUNJO, Polling Unit, EWEKORO, Ogun State, Nigeria</t>
  </si>
  <si>
    <t>27-06-02-012</t>
  </si>
  <si>
    <t>OPEN SPACE  FRONT OF YOBO HEALTH CENTRE</t>
  </si>
  <si>
    <t>https://docs.inecelectionresults.net/elections_prod/1292/state/01/lga/06/ward/02/pu/012/012-1677392175.pdf</t>
  </si>
  <si>
    <t>OPEN SPACE  FRONT OF YOBO HEALTH CENTRE, Polling Unit, EWEKORO, Ogun State, Nigeria</t>
  </si>
  <si>
    <t>27-06-05-013</t>
  </si>
  <si>
    <t>OPEN SPACE BESIDE EWEKORO LG HEALTH CENTRE,ONIGBEDU</t>
  </si>
  <si>
    <t>https://docs.inecelectionresults.net/elections_prod/1292/state/01/lga/06/ward/05/pu/013/013-1677393267.pdf</t>
  </si>
  <si>
    <t>OPEN SPACE BESIDE EWEKORO LG HEALTH CENTRE,ONIGBEDU, Polling Unit, EWEKORO, Ogun State, Nigeria</t>
  </si>
  <si>
    <t>27-06-05-014</t>
  </si>
  <si>
    <t>OPEN SPACE AT ONIJOKUN JUNCTION</t>
  </si>
  <si>
    <t>https://docs.inecelectionresults.net/elections_prod/1292/state/01/lga/06/ward/05/pu/014/014-1677390648.pdf</t>
  </si>
  <si>
    <t>OPEN SPACE AT ONIJOKUN JUNCTION, Polling Unit, EWEKORO, Ogun State, Nigeria</t>
  </si>
  <si>
    <t>27-06-05-015</t>
  </si>
  <si>
    <t>OPEN SPACE  BESIDE OGUN RURAL WATER PROJECT, MOREKETE</t>
  </si>
  <si>
    <t>https://docs.inecelectionresults.net/elections_prod/1292/state/01/lga/06/ward/05/pu/015/015-1677389405.pdf</t>
  </si>
  <si>
    <t>OPEN SPACE  BESIDE OGUN RURAL WATER PROJECT, MOREKETE, Polling Unit, EWEKORO, Ogun State, Nigeria</t>
  </si>
  <si>
    <t>27-06-04-027</t>
  </si>
  <si>
    <t>ALL SAINT PRIMARY SCHOOL ITORI</t>
  </si>
  <si>
    <t>https://docs.inecelectionresults.net/elections_prod/1292/state/01/lga/06/ward/04/pu/027/027-1677397461.pdf</t>
  </si>
  <si>
    <t>ALL SAINT PRIMARY SCHOOL ITORI, Polling Unit, EWEKORO, Ogun State, Nigeria</t>
  </si>
  <si>
    <t>27-06-04-028</t>
  </si>
  <si>
    <t>AGO OWU JUNCTION ITORI</t>
  </si>
  <si>
    <t>https://docs.inecelectionresults.net/elections_prod/1292/state/01/lga/06/ward/04/pu/028/028-1677403897.pdf</t>
  </si>
  <si>
    <t>AGO OWU JUNCTION ITORI, Polling Unit, EWEKORO, Ogun State, Nigeria</t>
  </si>
  <si>
    <t>27-06-04-029</t>
  </si>
  <si>
    <t>OPEN SPACE AT LAND OF PEACE AFOWOWA SOGADE</t>
  </si>
  <si>
    <t>https://docs.inecelectionresults.net/elections_prod/1292/state/01/lga/06/ward/04/pu/029/029-1677404438.pdf</t>
  </si>
  <si>
    <t>OPEN SPACE AT LAND OF PEACE AFOWOWA SOGADE, Polling Unit, EWEKORO, Ogun State, Nigeria</t>
  </si>
  <si>
    <t>27-06-04-030</t>
  </si>
  <si>
    <t>OPEN SPACE FRONT OF MAGISTRATE COURT, ITORI</t>
  </si>
  <si>
    <t>https://docs.inecelectionresults.net/elections_prod/1292/state/01/lga/06/ward/04/pu/030/030-1677400151.pdf</t>
  </si>
  <si>
    <t>OPEN SPACE FRONT OF MAGISTRATE COURT, ITORI, Polling Unit, EWEKORO, Ogun State, Nigeria</t>
  </si>
  <si>
    <t>27-06-04-031</t>
  </si>
  <si>
    <t>OPEN SPACE AT OMOSEBI  JUNCTION ITORI</t>
  </si>
  <si>
    <t>https://docs.inecelectionresults.net/elections_prod/1292/state/01/lga/06/ward/04/pu/031/031-1677396252.pdf</t>
  </si>
  <si>
    <t>OPEN SPACE AT OMOSEBI  JUNCTION ITORI, Polling Unit, EWEKORO, Ogun State, Nigeria</t>
  </si>
  <si>
    <t>27-06-04-032</t>
  </si>
  <si>
    <t>OPEN SPACE BESIDE RAILWAY LINE IFATEDO ITORI</t>
  </si>
  <si>
    <t>https://docs.inecelectionresults.net/elections_prod/1292/state/01/lga/06/ward/04/pu/032/032-1677400625.pdf</t>
  </si>
  <si>
    <t>OPEN SPACE BESIDE RAILWAY LINE IFATEDO ITORI, Polling Unit, EWEKORO, Ogun State, Nigeria</t>
  </si>
  <si>
    <t>27-06-04-033</t>
  </si>
  <si>
    <t>OPEN SPACE IN FRONT OF PUBLI WATER TANK OREMEJI JUNCTION ITORI</t>
  </si>
  <si>
    <t>https://docs.inecelectionresults.net/elections_prod/1292/state/01/lga/06/ward/04/pu/033/033-1677402821.pdf</t>
  </si>
  <si>
    <t>OPEN SPACE IN FRONT OF PUBLI WATER TANK OREMEJI JUNCTION ITORI, Polling Unit, EWEKORO, Ogun State, Nigeria</t>
  </si>
  <si>
    <t>27-06-04-034</t>
  </si>
  <si>
    <t>OPEN SPACE BSIDE TOP MOST BLOCK INDUSTRY ONIKOKO</t>
  </si>
  <si>
    <t>https://docs.inecelectionresults.net/elections_prod/1292/state/01/lga/06/ward/04/pu/034/034-1677402425.pdf</t>
  </si>
  <si>
    <t>OPEN SPACE BSIDE TOP MOST BLOCK INDUSTRY ONIKOKO, Polling Unit, EWEKORO, Ogun State, Nigeria</t>
  </si>
  <si>
    <t>27-06-04-035</t>
  </si>
  <si>
    <t>OPEN SPACE BESIDE CHURCH, ALATIKA ITORI</t>
  </si>
  <si>
    <t>https://docs.inecelectionresults.net/elections_prod/1292/state/01/lga/06/ward/04/pu/035/035-1677396434.pdf</t>
  </si>
  <si>
    <t>OPEN SPACE BESIDE CHURCH, ALATIKA ITORI, Polling Unit, EWEKORO, Ogun State, Nigeria</t>
  </si>
  <si>
    <t>27-06-04-036</t>
  </si>
  <si>
    <t>OPEN SPACE TOWN HALL, ERUKU ITORI</t>
  </si>
  <si>
    <t>https://docs.inecelectionresults.net/elections_prod/1292/state/01/lga/06/ward/04/pu/036/036-1677402172.pdf</t>
  </si>
  <si>
    <t>OPEN SPACE TOWN HALL, ERUKU ITORI, Polling Unit, EWEKORO, Ogun State, Nigeria</t>
  </si>
  <si>
    <t>27-06-04-037</t>
  </si>
  <si>
    <t>OPN SPACE LUFODO PLAYING GROUND ITORI</t>
  </si>
  <si>
    <t>https://docs.inecelectionresults.net/elections_prod/1292/state/01/lga/06/ward/04/pu/037/037-1677398612.pdf</t>
  </si>
  <si>
    <t>OPN SPACE LUFODO PLAYING GROUND ITORI, Polling Unit, EWEKORO, Ogun State, Nigeria</t>
  </si>
  <si>
    <t>27-06-04-038</t>
  </si>
  <si>
    <t>COMMUNITY PRIMARY SCHOOL, AFOWOWA, SOGADE</t>
  </si>
  <si>
    <t>https://docs.inecelectionresults.net/elections_prod/1292/state/01/lga/06/ward/04/pu/038/038-1677394898.pdf</t>
  </si>
  <si>
    <t>COMMUNITY PRIMARY SCHOOL, AFOWOWA, SOGADE, Polling Unit, EWEKORO, Ogun State, Nigeria</t>
  </si>
  <si>
    <t>27-06-04-039</t>
  </si>
  <si>
    <t>OPEN SPACE OPP.MTN MAST , SURULERE ITORI</t>
  </si>
  <si>
    <t>https://docs.inecelectionresults.net/elections_prod/1292/state/01/lga/06/ward/04/pu/039/039-1677404483.pdf</t>
  </si>
  <si>
    <t>OPEN SPACE OPP.MTN MAST , SURULERE ITORI, Polling Unit, EWEKORO, Ogun State, Nigeria</t>
  </si>
  <si>
    <t>27-06-04-040</t>
  </si>
  <si>
    <t>OPEN SPACE  BESIDE POLICE STATION , ITORI</t>
  </si>
  <si>
    <t>https://docs.inecelectionresults.net/elections_prod/1292/state/01/lga/06/ward/04/pu/040/040-1677393121.pdf</t>
  </si>
  <si>
    <t>OPEN SPACE  BESIDE POLICE STATION , ITORI, Polling Unit, EWEKORO, Ogun State, Nigeria</t>
  </si>
  <si>
    <t>27-06-04-041</t>
  </si>
  <si>
    <t>BODMAS JUNCTION OPP. TRANSFORMER ITORI</t>
  </si>
  <si>
    <t>https://docs.inecelectionresults.net/elections_prod/1292/state/01/lga/06/ward/04/pu/041/041-1677403388.pdf</t>
  </si>
  <si>
    <t>BODMAS JUNCTION OPP. TRANSFORMER ITORI, Polling Unit, EWEKORO, Ogun State, Nigeria</t>
  </si>
  <si>
    <t>27-06-04-042</t>
  </si>
  <si>
    <t>OPEN SPACE NUT COOPERATIVE COMPLEX , JAGUNA, ITORI</t>
  </si>
  <si>
    <t>https://docs.inecelectionresults.net/elections_prod/1292/state/01/lga/06/ward/04/pu/042/042-1677399012.pdf</t>
  </si>
  <si>
    <t>OPEN SPACE NUT COOPERATIVE COMPLEX , JAGUNA, ITORI, Polling Unit, EWEKORO, Ogun State, Nigeria</t>
  </si>
  <si>
    <t>27-06-04-043</t>
  </si>
  <si>
    <t>PLAYING GROUND BEHIND S/A FILLING  STATION,JAGUNA,ITORI</t>
  </si>
  <si>
    <t>https://docs.inecelectionresults.net/elections_prod/1292/state/01/lga/06/ward/04/pu/043/043-1677399638.pdf</t>
  </si>
  <si>
    <t>PLAYING GROUND BEHIND S/A FILLING  STATION,JAGUNA,ITORI, Polling Unit, EWEKORO, Ogun State, Nigeria</t>
  </si>
  <si>
    <t>27-06-04-044</t>
  </si>
  <si>
    <t>L.G NURSERY/PRIMARY SCHOOL, GASLINE,ITORI</t>
  </si>
  <si>
    <t>https://docs.inecelectionresults.net/elections_prod/1292/state/01/lga/06/ward/04/pu/044/044-1677398117.pdf</t>
  </si>
  <si>
    <t>L.G NURSERY/PRIMARY SCHOOL, GASLINE,ITORI, Polling Unit, EWEKORO, Ogun State, Nigeria</t>
  </si>
  <si>
    <t>27-06-04-045</t>
  </si>
  <si>
    <t>ST PAUL NURSERY/ PRIMARY  SCHOOL, LAPELEKE</t>
  </si>
  <si>
    <t>https://docs.inecelectionresults.net/elections_prod/1292/state/01/lga/06/ward/04/pu/045/045-1677394127.pdf</t>
  </si>
  <si>
    <t>ST PAUL NURSERY/ PRIMARY  SCHOOL, LAPELEKE, Polling Unit, EWEKORO, Ogun State, Nigeria</t>
  </si>
  <si>
    <t>27-06-04-046</t>
  </si>
  <si>
    <t>OPEN SPACE LAPELEKE JUNCTION, ITORI</t>
  </si>
  <si>
    <t>https://docs.inecelectionresults.net/elections_prod/1292/state/01/lga/06/ward/04/pu/046/046-1677399772.pdf</t>
  </si>
  <si>
    <t>OPEN SPACE LAPELEKE JUNCTION, ITORI, Polling Unit, EWEKORO, Ogun State, Nigeria</t>
  </si>
  <si>
    <t>27-06-10-010</t>
  </si>
  <si>
    <t>COMMUNITY NURSERY / PRIMARY SCHOOL, IGBORE,OBADA OKO</t>
  </si>
  <si>
    <t>https://docs.inecelectionresults.net/elections_prod/1292/state/01/lga/06/ward/10/pu/010/010-1677390392.pdf</t>
  </si>
  <si>
    <t>COMMUNITY NURSERY / PRIMARY SCHOOL, IGBORE,OBADA OKO, Polling Unit, EWEKORO, Ogun State, Nigeria</t>
  </si>
  <si>
    <t>27-06-10-013</t>
  </si>
  <si>
    <t>OLUMO NURSERY/ PRIMARY SCHOOL, AYELOJA</t>
  </si>
  <si>
    <t>https://docs.inecelectionresults.net/elections_prod/1292/state/01/lga/06/ward/10/pu/013/013-1677396919.pdf</t>
  </si>
  <si>
    <t>OLUMO NURSERY/ PRIMARY SCHOOL, AYELOJA, Polling Unit, EWEKORO, Ogun State, Nigeria</t>
  </si>
  <si>
    <t>27-06-10-015</t>
  </si>
  <si>
    <t>OPEN SPACE ADJACENT O-SQUARE HOTEL OBADA OKO</t>
  </si>
  <si>
    <t>https://inec-cvr-cache.s3.eu-west-1.amazonaws.com/cached/results/660847/result_78110_1677517065_thumb.jpg</t>
  </si>
  <si>
    <t>OPEN SPACE ADJACENT O-SQUARE HOTEL OBADA OKO, Polling Unit, EWEKORO, Ogun State, Nigeria</t>
  </si>
  <si>
    <t>27-06-10-016</t>
  </si>
  <si>
    <t>L.G PRIMARY HEALTH CENTRE, OBADA OKO</t>
  </si>
  <si>
    <t>https://docs.inecelectionresults.net/elections_prod/1292/state/01/lga/06/ward/10/pu/016/016-1677395197.pdf</t>
  </si>
  <si>
    <t>L.G PRIMARY HEALTH CENTRE, OBADA OKO, Polling Unit, EWEKORO, Ogun State, Nigeria</t>
  </si>
  <si>
    <t>27-06-10-017</t>
  </si>
  <si>
    <t>L.G HEALTH CENTRE, BANJOKO</t>
  </si>
  <si>
    <t>https://docs.inecelectionresults.net/elections_prod/1292/state/01/lga/06/ward/10/pu/017/017-1677394627.pdf</t>
  </si>
  <si>
    <t>L.G HEALTH CENTRE, BANJOKO, Polling Unit, EWEKORO, Ogun State, Nigeria</t>
  </si>
  <si>
    <t>27-06-09-008</t>
  </si>
  <si>
    <t>HEALTH CENTRE, OWOWO</t>
  </si>
  <si>
    <t>https://docs.inecelectionresults.net/elections_prod/1292/state/01/lga/06/ward/09/pu/008/008-1677388246.pdf</t>
  </si>
  <si>
    <t>HEALTH CENTRE, OWOWO, Polling Unit, EWEKORO, Ogun State, Nigeria</t>
  </si>
  <si>
    <t>27-06-06-016</t>
  </si>
  <si>
    <t>COMMUNITY HALL, ISHOFIN</t>
  </si>
  <si>
    <t>https://docs.inecelectionresults.net/elections_prod/1292/state/01/lga/06/ward/06/pu/016/016-1677387840.pdf</t>
  </si>
  <si>
    <t>COMMUNITY HALL, ISHOFIN, Polling Unit, EWEKORO, Ogun State, Nigeria</t>
  </si>
  <si>
    <t>27-06-06-017</t>
  </si>
  <si>
    <t>CDA TOWN HALL, AYEPE</t>
  </si>
  <si>
    <t>https://docs.inecelectionresults.net/elections_prod/1292/state/01/lga/06/ward/06/pu/017/017-1677387130.pdf</t>
  </si>
  <si>
    <t>CDA TOWN HALL, AYEPE, Polling Unit, EWEKORO, Ogun State, Nigeria</t>
  </si>
  <si>
    <t>27-06-06-018</t>
  </si>
  <si>
    <t>COMMUNITY HALL, SURULERE ESTATE, GUDUGBA</t>
  </si>
  <si>
    <t>https://docs.inecelectionresults.net/elections_prod/1292/state/01/lga/06/ward/06/pu/018/018-1677386432.pdf</t>
  </si>
  <si>
    <t>COMMUNITY HALL, SURULERE ESTATE, GUDUGBA, Polling Unit, EWEKORO, Ogun State, Nigeria</t>
  </si>
  <si>
    <t>27-06-06-019</t>
  </si>
  <si>
    <t>COMMUNITY HALL, ORIOGBO</t>
  </si>
  <si>
    <t>https://docs.inecelectionresults.net/elections_prod/1292/state/01/lga/06/ward/06/pu/019/019-1677386197.pdf</t>
  </si>
  <si>
    <t>COMMUNITY HALL, ORIOGBO, Polling Unit, EWEKORO, Ogun State, Nigeria</t>
  </si>
  <si>
    <t>27-06-06-020</t>
  </si>
  <si>
    <t>OPEN SPACE BESIDE NEPA SWITCH ROOM,ELEBUTE,ARAROMI</t>
  </si>
  <si>
    <t>https://docs.inecelectionresults.net/elections_prod/1292/state/01/lga/06/ward/06/pu/020/020-1677385647.pdf</t>
  </si>
  <si>
    <t>OPEN SPACE BESIDE NEPA SWITCH ROOM,ELEBUTE,ARAROMI, Polling Unit, EWEKORO, Ogun State, Nigeria</t>
  </si>
  <si>
    <t>27-06-06-021</t>
  </si>
  <si>
    <t>OPEN SPACE BESIDE POLICE POST, EWEKORO</t>
  </si>
  <si>
    <t>https://docs.inecelectionresults.net/elections_prod/1292/state/01/lga/06/ward/06/pu/021/021-1677395780.pdf</t>
  </si>
  <si>
    <t>OPEN SPACE BESIDE POLICE POST, EWEKORO, Polling Unit, EWEKORO, Ogun State, Nigeria</t>
  </si>
  <si>
    <t>27-06-06-022</t>
  </si>
  <si>
    <t>COMMUNITY HEALTH CENTRE,AJEGUNLE,EGBADO</t>
  </si>
  <si>
    <t>https://docs.inecelectionresults.net/elections_prod/1292/state/01/lga/06/ward/06/pu/022/022-1677384875.pdf</t>
  </si>
  <si>
    <t>COMMUNITY HEALTH CENTRE,AJEGUNLE,EGBADO, Polling Unit, EWEKORO, Ogun State, Nigeria</t>
  </si>
  <si>
    <t>27-06-06-025</t>
  </si>
  <si>
    <t>OPEN SPACE BESIDE PUBLIC WATER TANK,ARAROMI QUARTERS</t>
  </si>
  <si>
    <t>https://docs.inecelectionresults.net/elections_prod/1292/state/01/lga/06/ward/06/pu/025/025-1677382988.pdf</t>
  </si>
  <si>
    <t>OPEN SPACE BESIDE PUBLIC WATER TANK,ARAROMI QUARTERS, Polling Unit, EWEKORO, Ogun State, Nigeria</t>
  </si>
  <si>
    <t>27-06-06-027</t>
  </si>
  <si>
    <t>OPEN SPACE ADJACENT AKINBO TRANSFORMER AKINBO</t>
  </si>
  <si>
    <t>https://docs.inecelectionresults.net/elections_prod/1292/state/01/lga/06/ward/06/pu/027/027-1677387309.pdf</t>
  </si>
  <si>
    <t>OPEN SPACE ADJACENT AKINBO TRANSFORMER AKINBO, Polling Unit, EWEKORO, Ogun State, Nigeria</t>
  </si>
  <si>
    <t>27-06-06-028</t>
  </si>
  <si>
    <t>OPEN SPACE BESIDE RAILWAY STATION AJEGUNLE EGBADO</t>
  </si>
  <si>
    <t>https://docs.inecelectionresults.net/elections_prod/1292/state/01/lga/06/ward/06/pu/028/028-1677382280.pdf</t>
  </si>
  <si>
    <t>OPEN SPACE BESIDE RAILWAY STATION AJEGUNLE EGBADO, Polling Unit, EWEKORO, Ogun State, Nigeria</t>
  </si>
  <si>
    <t>27-06-07-010</t>
  </si>
  <si>
    <t>OPEN SPACE IN FRONT OF OLD DISPENSARY, WASIMI</t>
  </si>
  <si>
    <t>https://docs.inecelectionresults.net/elections_prod/1292/state/01/lga/06/ward/07/pu/010/010-1677393668.pdf</t>
  </si>
  <si>
    <t>OPEN SPACE IN FRONT OF OLD DISPENSARY, WASIMI, Polling Unit, EWEKORO, Ogun State, Nigeria</t>
  </si>
  <si>
    <t>27-06-07-011</t>
  </si>
  <si>
    <t>BAPTIST CENTRAL NURSERY/ PRIMARY SCHOOL, WASIMI</t>
  </si>
  <si>
    <t>https://docs.inecelectionresults.net/elections_prod/1292/state/01/lga/06/ward/07/pu/011/011-1677393326.pdf</t>
  </si>
  <si>
    <t>BAPTIST CENTRAL NURSERY/ PRIMARY SCHOOL, WASIMI, Polling Unit, EWEKORO, Ogun State, Nigeria</t>
  </si>
  <si>
    <t>27-06-07-012</t>
  </si>
  <si>
    <t>OPEN SPACE BESIDE PUBLIC WATER TANK, BOLUFERIN/ELEKURO</t>
  </si>
  <si>
    <t>https://docs.inecelectionresults.net/elections_prod/1292/state/01/lga/06/ward/07/pu/012/012-1677394265.pdf</t>
  </si>
  <si>
    <t>OPEN SPACE BESIDE PUBLIC WATER TANK, BOLUFERIN/ELEKURO, Polling Unit, EWEKORO, Ogun State, Nigeria</t>
  </si>
  <si>
    <t>27-07-04-034</t>
  </si>
  <si>
    <t>OPEN SPACE ODO OBA STR. AGBADO</t>
  </si>
  <si>
    <t>https://docs.inecelectionresults.net/elections_prod/1292/state/1/lga/3672/ward/24031/pu/165613/165613-1677542667.pdf</t>
  </si>
  <si>
    <t>OPEN SPACE ODO OBA STR. AGBADO, Polling Unit, IFO, Ogun State, Nigeria</t>
  </si>
  <si>
    <t>27-07-04-035</t>
  </si>
  <si>
    <t>OPEN SPACE UNITY AVENUE AGBADO</t>
  </si>
  <si>
    <t>https://docs.inecelectionresults.net/elections_prod/1292/state/1/lga/3672/ward/24031/pu/165614/165614-1677533746.pdf</t>
  </si>
  <si>
    <t>OPEN SPACE UNITY AVENUE AGBADO, Polling Unit, IFO, Ogun State, Nigeria</t>
  </si>
  <si>
    <t>27-07-04-036</t>
  </si>
  <si>
    <t>OPEN SPACE ELEFONDE JUNCTION, AGBADO</t>
  </si>
  <si>
    <t>https://docs.inecelectionresults.net/elections_prod/1292/state/1/lga/3672/ward/24031/pu/165615/165615-1677541640.pdf</t>
  </si>
  <si>
    <t>OPEN SPACE ELEFONDE JUNCTION, AGBADO, Polling Unit, IFO, Ogun State, Nigeria</t>
  </si>
  <si>
    <t>27-07-04-037</t>
  </si>
  <si>
    <t>OPEN SPACE ALFA NLA JUNCTION OWONIKOKO AGBADO</t>
  </si>
  <si>
    <t>https://docs.inecelectionresults.net/elections_prod/1292/state/1/lga/3672/ward/24031/pu/165616/165616-1677538966.pdf</t>
  </si>
  <si>
    <t>OPEN SPACE ALFA NLA JUNCTION OWONIKOKO AGBADO, Polling Unit, IFO, Ogun State, Nigeria</t>
  </si>
  <si>
    <t>27-07-04-043</t>
  </si>
  <si>
    <t>OPEN SPACE IDOWU JUNCTION AKERA i</t>
  </si>
  <si>
    <t>https://docs.inecelectionresults.net/elections_prod/1292/state/01/lga/07/ward/04/pu/043/043-1677367998.pdf</t>
  </si>
  <si>
    <t>OPEN SPACE IDOWU JUNCTION AKERA i, Polling Unit, IFO, Ogun State, Nigeria</t>
  </si>
  <si>
    <t>27-07-04-048</t>
  </si>
  <si>
    <t>OPEN SPACE ILE ISE JUNCTION AGBADO</t>
  </si>
  <si>
    <t>https://docs.inecelectionresults.net/elections_prod/1292/state/1/lga/3672/ward/24031/pu/165627/165627-1677543575.pdf</t>
  </si>
  <si>
    <t>OPEN SPACE ILE ISE JUNCTION AGBADO, Polling Unit, IFO, Ogun State, Nigeria</t>
  </si>
  <si>
    <t>27-07-04-050</t>
  </si>
  <si>
    <t>OPEN SPACE ASUNJE JUNCTION AGBADO</t>
  </si>
  <si>
    <t>https://docs.inecelectionresults.net/elections_prod/1292/state/1/lga/3672/ward/24031/pu/165629/165629-1677542649.pdf</t>
  </si>
  <si>
    <t>OPEN SPACE ASUNJE JUNCTION AGBADO, Polling Unit, IFO, Ogun State, Nigeria</t>
  </si>
  <si>
    <t>27-07-04-061</t>
  </si>
  <si>
    <t>OPEN SPACE AINA JUNCTION ADUBULEJA</t>
  </si>
  <si>
    <t>https://docs.inecelectionresults.net/elections_prod/1292/state/01/lga/07/ward/04/pu/061/061-1677379974.pdf</t>
  </si>
  <si>
    <t>OPEN SPACE AINA JUNCTION ADUBULEJA, Polling Unit, IFO, Ogun State, Nigeria</t>
  </si>
  <si>
    <t>27-07-06-039</t>
  </si>
  <si>
    <t>OPEN SPACE  OYEYEMI JUNCTION AJUWON</t>
  </si>
  <si>
    <t>https://docs.inecelectionresults.net/elections_prod/1292/state/1/lga/3672/ward/24033/pu/165678/165678-1677543092.pdf</t>
  </si>
  <si>
    <t>OPEN SPACE  OYEYEMI JUNCTION AJUWON, Polling Unit, IFO, Ogun State, Nigeria</t>
  </si>
  <si>
    <t>27-07-06-040</t>
  </si>
  <si>
    <t>OPEN SPACE OGUNSEYE STR OYEYEMI AKUTE</t>
  </si>
  <si>
    <t>https://docs.inecelectionresults.net/elections_prod/1292/state/1/lga/3672/ward/24033/pu/165679/165679-1677507202.pdf</t>
  </si>
  <si>
    <t>OPEN SPACE OGUNSEYE STR OYEYEMI AKUTE, Polling Unit, IFO, Ogun State, Nigeria</t>
  </si>
  <si>
    <t>27-07-06-041</t>
  </si>
  <si>
    <t>OPEN SPACE TOWN HALL ALAGBOLE AKUTE</t>
  </si>
  <si>
    <t>https://docs.inecelectionresults.net/elections_prod/1292/state/1/lga/3672/ward/24033/pu/165680/165680-1677532596.pdf</t>
  </si>
  <si>
    <t>OPEN SPACE TOWN HALL ALAGBOLE AKUTE, Polling Unit, IFO, Ogun State, Nigeria</t>
  </si>
  <si>
    <t>27-07-06-042</t>
  </si>
  <si>
    <t>OPEN SPACE MARTIN'S JUNCTION ALAGBOLE AKUTE</t>
  </si>
  <si>
    <t>https://docs.inecelectionresults.net/elections_prod/1292/state/1/lga/3672/ward/24033/pu/165681/165681-1677531361.pdf</t>
  </si>
  <si>
    <t>OPEN SPACE MARTIN'S JUNCTION ALAGBOLE AKUTE, Polling Unit, IFO, Ogun State, Nigeria</t>
  </si>
  <si>
    <t>27-07-06-043</t>
  </si>
  <si>
    <t>VILLAGE SQUARE ESORUN AKUTE</t>
  </si>
  <si>
    <t>https://docs.inecelectionresults.net/elections_prod/1292/state/1/lga/3672/ward/24033/pu/165682/165682-1677540864.pdf</t>
  </si>
  <si>
    <t>VILLAGE SQUARE ESORUN AKUTE, Polling Unit, IFO, Ogun State, Nigeria</t>
  </si>
  <si>
    <t>27-07-06-045</t>
  </si>
  <si>
    <t>OPEN SPACE KOLAQ JUNCTION Y-AJAYI ISHASI</t>
  </si>
  <si>
    <t>https://docs.inecelectionresults.net/elections_prod/1292/state/1/lga/3672/ward/24033/pu/165684/165684-1677541686.pdf</t>
  </si>
  <si>
    <t>OPEN SPACE KOLAQ JUNCTION Y-AJAYI ISHASI, Polling Unit, IFO, Ogun State, Nigeria</t>
  </si>
  <si>
    <t>27-07-06-047</t>
  </si>
  <si>
    <t>TOWN HALL AKUTE ODO AKUTE</t>
  </si>
  <si>
    <t>https://docs.inecelectionresults.net/elections_prod/1292/state/1/lga/3672/ward/24033/pu/165686/165686-1677534541.pdf</t>
  </si>
  <si>
    <t>TOWN HALL AKUTE ODO AKUTE, Polling Unit, IFO, Ogun State, Nigeria</t>
  </si>
  <si>
    <t>27-07-06-049</t>
  </si>
  <si>
    <t>HEALTH CENTRE  ARIFANLA AKUTE</t>
  </si>
  <si>
    <t>https://docs.inecelectionresults.net/elections_prod/1292/state/1/lga/3672/ward/24033/pu/165688/165688-1677542981.pdf</t>
  </si>
  <si>
    <t>HEALTH CENTRE  ARIFANLA AKUTE, Polling Unit, IFO, Ogun State, Nigeria</t>
  </si>
  <si>
    <t>27-07-06-050</t>
  </si>
  <si>
    <t>OPEN SPACE KAJOLA MARKET ONIBUDO AKUTE</t>
  </si>
  <si>
    <t>https://docs.inecelectionresults.net/elections_prod/1292/state/1/lga/3672/ward/24033/pu/165689/165689-1677537347.pdf</t>
  </si>
  <si>
    <t>OPEN SPACE KAJOLA MARKET ONIBUDO AKUTE, Polling Unit, IFO, Ogun State, Nigeria</t>
  </si>
  <si>
    <t>27-07-06-051</t>
  </si>
  <si>
    <t>OPEN SPACE KUYARO JUNCTION  PHASE 2 ONIBUDO AKUTE</t>
  </si>
  <si>
    <t>https://docs.inecelectionresults.net/elections_prod/1292/state/1/lga/3672/ward/24033/pu/165690/165690-1677541177.pdf</t>
  </si>
  <si>
    <t>OPEN SPACE KUYARO JUNCTION  PHASE 2 ONIBUDO AKUTE, Polling Unit, IFO, Ogun State, Nigeria</t>
  </si>
  <si>
    <t>27-07-06-053</t>
  </si>
  <si>
    <t>OPEN SPACE ATS JUNCTION AKINBO</t>
  </si>
  <si>
    <t>https://docs.inecelectionresults.net/elections_prod/1292/state/1/lga/3672/ward/24033/pu/165692/165692-1677547921.pdf</t>
  </si>
  <si>
    <t>OPEN SPACE ATS JUNCTION AKINBO, Polling Unit, IFO, Ogun State, Nigeria</t>
  </si>
  <si>
    <t>27-07-06-055</t>
  </si>
  <si>
    <t>COMMUNITY HALL OSOLO</t>
  </si>
  <si>
    <t>https://docs.inecelectionresults.net/elections_prod/1292/state/1/lga/3672/ward/24033/pu/165694/165694-1677540596.pdf</t>
  </si>
  <si>
    <t>COMMUNITY HALL OSOLO, Polling Unit, IFO, Ogun State, Nigeria</t>
  </si>
  <si>
    <t>27-07-06-056</t>
  </si>
  <si>
    <t>ZION AFRICAN CHURCH  PRIMARY SCH OTUN</t>
  </si>
  <si>
    <t>https://docs.inecelectionresults.net/elections_prod/1292/state/1/lga/3672/ward/24033/pu/165695/165695-1677544680.pdf</t>
  </si>
  <si>
    <t>ZION AFRICAN CHURCH  PRIMARY SCH OTUN, Polling Unit, IFO, Ogun State, Nigeria</t>
  </si>
  <si>
    <t>27-07-06-058</t>
  </si>
  <si>
    <t>VILLAGE SQUARE AKINLABI AKUTE</t>
  </si>
  <si>
    <t>https://docs.inecelectionresults.net/elections_prod/1292/state/1/lga/3672/ward/24033/pu/165697/165697-1677541747.pdf</t>
  </si>
  <si>
    <t>VILLAGE SQUARE AKINLABI AKUTE, Polling Unit, IFO, Ogun State, Nigeria</t>
  </si>
  <si>
    <t>27-07-06-059</t>
  </si>
  <si>
    <t>OPEN SPACE ASORE JUNCTION AKUTE</t>
  </si>
  <si>
    <t>https://docs.inecelectionresults.net/elections_prod/1292/state/1/lga/3672/ward/24033/pu/165698/165698-1677500376.pdf</t>
  </si>
  <si>
    <t>OPEN SPACE ASORE JUNCTION AKUTE, Polling Unit, IFO, Ogun State, Nigeria</t>
  </si>
  <si>
    <t>27-07-06-060</t>
  </si>
  <si>
    <t>OPEN SPACE AT ANWO, ASORE AKUTE</t>
  </si>
  <si>
    <t>https://docs.inecelectionresults.net/elections_prod/1292/state/01/lga/07/ward/06/pu/060/060-1677424070.pdf</t>
  </si>
  <si>
    <t>OPEN SPACE AT ANWO, ASORE AKUTE, Polling Unit, IFO, Ogun State, Nigeria</t>
  </si>
  <si>
    <t>27-07-10-014</t>
  </si>
  <si>
    <t>FIRE CAMP. JUNCTION ILEPA</t>
  </si>
  <si>
    <t>https://docs.inecelectionresults.net/elections_prod/1292/state/01/lga/07/ward/10/pu/014/014-1677410926.pdf</t>
  </si>
  <si>
    <t>FIRE CAMP. JUNCTION ILEPA, Polling Unit, IFO, Ogun State, Nigeria</t>
  </si>
  <si>
    <t>27-07-10-017</t>
  </si>
  <si>
    <t>OPEN SPACE HUMAN RIGHT ONIHALE IFO</t>
  </si>
  <si>
    <t>https://docs.inecelectionresults.net/elections_prod/1292/state/1/lga/3672/ward/24037/pu/165766/165766-1677490358.pdf</t>
  </si>
  <si>
    <t>OPEN SPACE HUMAN RIGHT ONIHALE IFO, Polling Unit, IFO, Ogun State, Nigeria</t>
  </si>
  <si>
    <t>27-07-10-018</t>
  </si>
  <si>
    <t>OPEN SPACE SAWMIL ILEPA 2</t>
  </si>
  <si>
    <t>https://docs.inecelectionresults.net/elections_prod/1292/state/01/lga/07/ward/10/pu/018/018-1677417888.pdf</t>
  </si>
  <si>
    <t>OPEN SPACE SAWMIL ILEPA 2, Polling Unit, IFO, Ogun State, Nigeria</t>
  </si>
  <si>
    <t>27-07-10-019</t>
  </si>
  <si>
    <t>COMMUNITY PRIMARY SCHOOL AYEDE IFO</t>
  </si>
  <si>
    <t>https://docs.inecelectionresults.net/elections_prod/1292/state/1/lga/3672/ward/24037/pu/165768/165768-1677473863.pdf</t>
  </si>
  <si>
    <t>COMMUNITY PRIMARY SCHOOL AYEDE IFO, Polling Unit, IFO, Ogun State, Nigeria</t>
  </si>
  <si>
    <t>27-07-10-020</t>
  </si>
  <si>
    <t>PAKOTO PRIMARY SCHOOL PAKOTA IFO</t>
  </si>
  <si>
    <t>https://docs.inecelectionresults.net/elections_prod/1292/state/1/lga/3672/ward/24037/pu/165769/165769-1677517095.pdf</t>
  </si>
  <si>
    <t>PAKOTO PRIMARY SCHOOL PAKOTA IFO, Polling Unit, IFO, Ogun State, Nigeria</t>
  </si>
  <si>
    <t>27-07-10-022</t>
  </si>
  <si>
    <t>ILEPA COMMUNITY TOWN HALL ILEPA</t>
  </si>
  <si>
    <t>https://docs.inecelectionresults.net/elections_prod/1292/state/1/lga/3672/ward/24037/pu/165771/165771-1677481960.pdf</t>
  </si>
  <si>
    <t>ILEPA COMMUNITY TOWN HALL ILEPA, Polling Unit, IFO, Ogun State, Nigeria</t>
  </si>
  <si>
    <t>27-07-10-025</t>
  </si>
  <si>
    <t>OPEN SPACE JAMBU JUNCTION. COKER</t>
  </si>
  <si>
    <t>https://docs.inecelectionresults.net/elections_prod/1292/state/1/lga/3672/ward/24037/pu/165774/165774-1677479639.pdf</t>
  </si>
  <si>
    <t>OPEN SPACE JAMBU JUNCTION. COKER, Polling Unit, IFO, Ogun State, Nigeria</t>
  </si>
  <si>
    <t>27-07-10-027</t>
  </si>
  <si>
    <t>UNITED ANGLICAN PRIMARYSCHOOL OGAN COKER</t>
  </si>
  <si>
    <t>https://docs.inecelectionresults.net/elections_prod/1292/state/1/lga/3672/ward/24037/pu/165776/165776-1677474502.pdf</t>
  </si>
  <si>
    <t>UNITED ANGLICAN PRIMARYSCHOOL OGAN COKER, Polling Unit, IFO, Ogun State, Nigeria</t>
  </si>
  <si>
    <t>27-07-10-028</t>
  </si>
  <si>
    <t>OPEN SPACE SEVEN DAYS ADVENTIST JUNCTION, PAKOTO</t>
  </si>
  <si>
    <t>https://docs.inecelectionresults.net/elections_prod/1292/state/1/lga/3672/ward/24037/pu/165777/165777-1677519799.pdf</t>
  </si>
  <si>
    <t>OPEN SPACE SEVEN DAYS ADVENTIST JUNCTION, PAKOTO, Polling Unit, IFO, Ogun State, Nigeria</t>
  </si>
  <si>
    <t>27-07-10-029</t>
  </si>
  <si>
    <t>OPEN SPACE IDI KANGA JUNCTION PAKOTO</t>
  </si>
  <si>
    <t>https://docs.inecelectionresults.net/elections_prod/1292/state/01/lga/07/ward/10/pu/029/029-1677408942.pdf</t>
  </si>
  <si>
    <t>OPEN SPACE IDI KANGA JUNCTION PAKOTO, Polling Unit, IFO, Ogun State, Nigeria</t>
  </si>
  <si>
    <t>27-07-10-030</t>
  </si>
  <si>
    <t>OPEN SPACE ORISUNBARE JUNCTION IYANA CELE</t>
  </si>
  <si>
    <t>https://docs.inecelectionresults.net/elections_prod/1292/state/01/lga/07/ward/10/pu/030/030-1677424253.pdf</t>
  </si>
  <si>
    <t>OPEN SPACE ORISUNBARE JUNCTION IYANA CELE, Polling Unit, IFO, Ogun State, Nigeria</t>
  </si>
  <si>
    <t>27-07-10-033</t>
  </si>
  <si>
    <t>OPEN SPACE LUKMON AYENA JUNCTION OPP. RIDWANULLAI MOSQUE AYENA</t>
  </si>
  <si>
    <t>https://docs.inecelectionresults.net/elections_prod/1292/state/1/lga/3672/ward/24037/pu/165782/165782-1677478065.pdf</t>
  </si>
  <si>
    <t>OPEN SPACE LUKMON AYENA JUNCTION OPP. RIDWANULLAI MOSQUE AYENA, Polling Unit, IFO, Ogun State, Nigeria</t>
  </si>
  <si>
    <t>27-07-10-034</t>
  </si>
  <si>
    <t>OPEN SPACE IGBUSI ELESHIN JUNCTION IGBUSI</t>
  </si>
  <si>
    <t>https://docs.inecelectionresults.net/elections_prod/1292/state/1/lga/3672/ward/24037/pu/165783/165783-1677475715.pdf</t>
  </si>
  <si>
    <t>OPEN SPACE IGBUSI ELESHIN JUNCTION IGBUSI, Polling Unit, IFO, Ogun State, Nigeria</t>
  </si>
  <si>
    <t>27-07-10-035</t>
  </si>
  <si>
    <t>OPEN SPACE IGBUSI ABULE JUNCTION IGBUSI</t>
  </si>
  <si>
    <t>https://docs.inecelectionresults.net/elections_prod/1292/state/1/lga/3672/ward/24037/pu/165784/165784-1677476550.pdf</t>
  </si>
  <si>
    <t>OPEN SPACE IGBUSI ABULE JUNCTION IGBUSI, Polling Unit, IFO, Ogun State, Nigeria</t>
  </si>
  <si>
    <t>27-07-10-036</t>
  </si>
  <si>
    <t>OPEN SPACE ABULE IGBUSI ROAD ALONG ILOGBO</t>
  </si>
  <si>
    <t>https://docs.inecelectionresults.net/elections_prod/1292/state/1/lga/3672/ward/24037/pu/165785/165785-1677479230.pdf</t>
  </si>
  <si>
    <t>OPEN SPACE ABULE IGBUSI ROAD ALONG ILOGBO, Polling Unit, IFO, Ogun State, Nigeria</t>
  </si>
  <si>
    <t>27-07-10-038</t>
  </si>
  <si>
    <t>OPEN SPACE BOSUN JUNCTION BOSUN</t>
  </si>
  <si>
    <t>https://docs.inecelectionresults.net/elections_prod/1292/state/1/lga/3672/ward/24037/pu/165787/165787-1677491609.pdf</t>
  </si>
  <si>
    <t>OPEN SPACE BOSUN JUNCTION BOSUN, Polling Unit, IFO, Ogun State, Nigeria</t>
  </si>
  <si>
    <t>27-07-10-039</t>
  </si>
  <si>
    <t>OPEN SPACE IMRAN OLAINUKAN JUNCTION OGAN TUNTUN</t>
  </si>
  <si>
    <t>https://docs.inecelectionresults.net/elections_prod/1292/state/01/lga/07/ward/10/pu/039/039-1677423328.pdf</t>
  </si>
  <si>
    <t>OPEN SPACE IMRAN OLAINUKAN JUNCTION OGAN TUNTUN, Polling Unit, IFO, Ogun State, Nigeria</t>
  </si>
  <si>
    <t>27-07-10-040</t>
  </si>
  <si>
    <t>OPEN SPACE IFEOLUWA/ANSARUL-HAQ JUNCTION OGAN TUNTUN</t>
  </si>
  <si>
    <t>https://docs.inecelectionresults.net/elections_prod/1292/state/01/lga/07/ward/10/pu/040/040-1677426208.pdf</t>
  </si>
  <si>
    <t>OPEN SPACE IFEOLUWA/ANSARUL-HAQ JUNCTION OGAN TUNTUN, Polling Unit, IFO, Ogun State, Nigeria</t>
  </si>
  <si>
    <t>27-07-11-018</t>
  </si>
  <si>
    <t>OPEN SPACE OPO JUNCTION IBOGUN</t>
  </si>
  <si>
    <t>https://docs.inecelectionresults.net/elections_prod/1292/state/1/lga/3672/ward/24038/pu/165793/165793-1677507331.pdf</t>
  </si>
  <si>
    <t>OPEN SPACE OPO JUNCTION IBOGUN, Polling Unit, IFO, Ogun State, Nigeria</t>
  </si>
  <si>
    <t>27-07-11-019</t>
  </si>
  <si>
    <t>OPEN SPACE OMITORO IBOGUN</t>
  </si>
  <si>
    <t>https://docs.inecelectionresults.net/elections_prod/1292/state/1/lga/3672/ward/24038/pu/165794/165794-1677512257.pdf</t>
  </si>
  <si>
    <t>OPEN SPACE OMITORO IBOGUN, Polling Unit, IFO, Ogun State, Nigeria</t>
  </si>
  <si>
    <t>27-07-11-020</t>
  </si>
  <si>
    <t>OPEN SPACE AKIODE CASSAVA PROCESSOR IBOGUN</t>
  </si>
  <si>
    <t>https://docs.inecelectionresults.net/elections_prod/1292/state/1/lga/3672/ward/24038/pu/165795/165795-1677509993.pdf</t>
  </si>
  <si>
    <t>OPEN SPACE AKIODE CASSAVA PROCESSOR IBOGUN, Polling Unit, IFO, Ogun State, Nigeria</t>
  </si>
  <si>
    <t>27-07-01-013</t>
  </si>
  <si>
    <t>OPEN SPACE IFELODUN COMMUNITY ISOPAKO</t>
  </si>
  <si>
    <t>https://docs.inecelectionresults.net/elections_prod/1292/state/01/lga/07/ward/01/pu/013/013-1677400306.pdf</t>
  </si>
  <si>
    <t>OPEN SPACE IFELODUN COMMUNITY ISOPAKO, Polling Unit, IFO, Ogun State, Nigeria</t>
  </si>
  <si>
    <t>27-07-01-015</t>
  </si>
  <si>
    <t>AGBELOBA/AKOREDE JUNCTION VESPA, IFO</t>
  </si>
  <si>
    <t>https://docs.inecelectionresults.net/elections_prod/1292/state/01/lga/07/ward/01/pu/015/015-1677373200.pdf</t>
  </si>
  <si>
    <t>AGBELOBA/AKOREDE JUNCTION VESPA, IFO, Polling Unit, IFO, Ogun State, Nigeria</t>
  </si>
  <si>
    <t>27-07-01-016</t>
  </si>
  <si>
    <t>OPEN SPACE BACK OF ACCESS,IKE ANOBI JUNCTION ISO PAKO</t>
  </si>
  <si>
    <t>https://docs.inecelectionresults.net/elections_prod/1292/state/01/lga/07/ward/01/pu/016/016-1677381833.pdf</t>
  </si>
  <si>
    <t>OPEN SPACE BACK OF ACCESS,IKE ANOBI JUNCTION ISO PAKO, Polling Unit, IFO, Ogun State, Nigeria</t>
  </si>
  <si>
    <t>27-07-01-019</t>
  </si>
  <si>
    <t>OPEN SPACE IFELODUN JUNCTION ISO FUFU, IFO</t>
  </si>
  <si>
    <t>https://docs.inecelectionresults.net/elections_prod/1292/state/01/lga/07/ward/01/pu/019/019-1677392910.pdf</t>
  </si>
  <si>
    <t>OPEN SPACE IFELODUN JUNCTION ISO FUFU, IFO, Polling Unit, IFO, Ogun State, Nigeria</t>
  </si>
  <si>
    <t>27-07-01-020</t>
  </si>
  <si>
    <t>OPEN SPACE NEAR TRANSFORMER, ABATA TUNTUN, EYIN OPE, IFO</t>
  </si>
  <si>
    <t>https://docs.inecelectionresults.net/elections_prod/1292/state/01/lga/07/ward/01/pu/020/020-1677397904.pdf</t>
  </si>
  <si>
    <t>OPEN SPACE NEAR TRANSFORMER, ABATA TUNTUN, EYIN OPE, IFO, Polling Unit, IFO, Ogun State, Nigeria</t>
  </si>
  <si>
    <t>27-07-01-021</t>
  </si>
  <si>
    <t>OPEN SPACE UNDER WATER TANK OKE-OLA, IFO</t>
  </si>
  <si>
    <t>https://docs.inecelectionresults.net/elections_prod/1292/state/01/lga/07/ward/01/pu/021/021-1677388201.pdf</t>
  </si>
  <si>
    <t>OPEN SPACE UNDER WATER TANK OKE-OLA, IFO, Polling Unit, IFO, Ogun State, Nigeria</t>
  </si>
  <si>
    <t>27-07-01-022</t>
  </si>
  <si>
    <t>OPEN SPACE REX-AGE ADENRELE IFO</t>
  </si>
  <si>
    <t>https://docs.inecelectionresults.net/elections_prod/1292/state/01/lga/07/ward/01/pu/022/022-1677380342.pdf</t>
  </si>
  <si>
    <t>OPEN SPACE REX-AGE ADENRELE IFO, Polling Unit, IFO, Ogun State, Nigeria</t>
  </si>
  <si>
    <t>27-07-01-026</t>
  </si>
  <si>
    <t>T.JUNCTION OPEYEMI ISOPAKO, IFO</t>
  </si>
  <si>
    <t>https://docs.inecelectionresults.net/elections_prod/1292/state/01/lga/07/ward/01/pu/026/026-1677397485.pdf</t>
  </si>
  <si>
    <t>T.JUNCTION OPEYEMI ISOPAKO, IFO, Polling Unit, IFO, Ogun State, Nigeria</t>
  </si>
  <si>
    <t>27-07-02-014</t>
  </si>
  <si>
    <t>IKORITA MEJE JUNCTION, IFO</t>
  </si>
  <si>
    <t>https://docs.inecelectionresults.net/elections_prod/1292/state/1/lga/3672/ward/24029/pu/165583/165583-1677520288.pdf</t>
  </si>
  <si>
    <t>IKORITA MEJE JUNCTION, IFO, Polling Unit, IFO, Ogun State, Nigeria</t>
  </si>
  <si>
    <t>27-07-02-015</t>
  </si>
  <si>
    <t>OKENLA PRIMARY SCHOOL OKENLA, IFO</t>
  </si>
  <si>
    <t>https://docs.inecelectionresults.net/elections_prod/1292/state/01/lga/07/ward/02/pu/015/015-1677393900.pdf</t>
  </si>
  <si>
    <t>OKENLA PRIMARY SCHOOL OKENLA, IFO, Polling Unit, IFO, Ogun State, Nigeria</t>
  </si>
  <si>
    <t>27-07-02-016</t>
  </si>
  <si>
    <t>ANGLICAN GRAMMAR SCHOOL, IFO</t>
  </si>
  <si>
    <t>https://docs.inecelectionresults.net/elections_prod/1292/state/01/lga/07/ward/02/pu/016/016-1677394021.pdf</t>
  </si>
  <si>
    <t>ANGLICAN GRAMMAR SCHOOL, IFO, Polling Unit, IFO, Ogun State, Nigeria</t>
  </si>
  <si>
    <t>27-07-02-017</t>
  </si>
  <si>
    <t>OPEN SPACE, TEMIDIRE JUNCTION OKE NLA, IFO</t>
  </si>
  <si>
    <t>https://docs.inecelectionresults.net/elections_prod/1292/state/01/lga/07/ward/02/pu/017/017-1677408432.pdf</t>
  </si>
  <si>
    <t>OPEN SPACE, TEMIDIRE JUNCTION OKE NLA, IFO, Polling Unit, IFO, Ogun State, Nigeria</t>
  </si>
  <si>
    <t>27-07-02-018</t>
  </si>
  <si>
    <t>JUNCTION OKO IREKE COMMUNITY AYEDAADE, IFO</t>
  </si>
  <si>
    <t>https://docs.inecelectionresults.net/elections_prod/1292/state/1/lga/3672/ward/24029/pu/165587/165587-1677509311.pdf</t>
  </si>
  <si>
    <t>JUNCTION OKO IREKE COMMUNITY AYEDAADE, IFO, Polling Unit, IFO, Ogun State, Nigeria</t>
  </si>
  <si>
    <t>27-07-02-019</t>
  </si>
  <si>
    <t>GLOBAL JUNCTION GALILEE OKE NLA, IFO</t>
  </si>
  <si>
    <t>https://docs.inecelectionresults.net/elections_prod/1292/state/1/lga/3672/ward/24029/pu/165588/165588-1677507487.pdf</t>
  </si>
  <si>
    <t>GLOBAL JUNCTION GALILEE OKE NLA, IFO, Polling Unit, IFO, Ogun State, Nigeria</t>
  </si>
  <si>
    <t>27-07-02-020</t>
  </si>
  <si>
    <t>OPPOSITE POST OFFICE NITEL ROAD, IFO</t>
  </si>
  <si>
    <t>https://docs.inecelectionresults.net/elections_prod/1292/state/1/lga/3672/ward/24029/pu/165589/165589-1677521181.pdf</t>
  </si>
  <si>
    <t>OPPOSITE POST OFFICE NITEL ROAD, IFO, Polling Unit, IFO, Ogun State, Nigeria</t>
  </si>
  <si>
    <t>27-07-02-021</t>
  </si>
  <si>
    <t>IFO HIGH SCHOOL, IFO</t>
  </si>
  <si>
    <t>https://docs.inecelectionresults.net/elections_prod/1292/state/01/lga/07/ward/02/pu/021/021-1677393918.pdf</t>
  </si>
  <si>
    <t>IFO HIGH SCHOOL, IFO, Polling Unit, IFO, Ogun State, Nigeria</t>
  </si>
  <si>
    <t>27-07-02-022</t>
  </si>
  <si>
    <t>OPEN SPACE, AKINHANMI JUNCTION I. MARKET AREA, IFO</t>
  </si>
  <si>
    <t>https://docs.inecelectionresults.net/elections_prod/1292/state/01/lga/07/ward/02/pu/022/022-1677403023.pdf</t>
  </si>
  <si>
    <t>OPEN SPACE, AKINHANMI JUNCTION I. MARKET AREA, IFO, Polling Unit, IFO, Ogun State, Nigeria</t>
  </si>
  <si>
    <t>27-07-02-023</t>
  </si>
  <si>
    <t>OPEN SPACE, AKINHANMI JUNCTION. II MARKET AREA, IFO</t>
  </si>
  <si>
    <t>https://docs.inecelectionresults.net/elections_prod/1292/state/01/lga/07/ward/02/pu/023/023-1677381566.pdf</t>
  </si>
  <si>
    <t>OPEN SPACE, AKINHANMI JUNCTION. II MARKET AREA, IFO, Polling Unit, IFO, Ogun State, Nigeria</t>
  </si>
  <si>
    <t>27-07-02-024</t>
  </si>
  <si>
    <t>ORISUNMIBARE BY ALAFIA JUNCTION, ORISUNMIBARE, IFO</t>
  </si>
  <si>
    <t>https://docs.inecelectionresults.net/elections_prod/1292/state/1/lga/3672/ward/24029/pu/165593/165593-1677506069.pdf</t>
  </si>
  <si>
    <t>ORISUNMIBARE BY ALAFIA JUNCTION, ORISUNMIBARE, IFO, Polling Unit, IFO, Ogun State, Nigeria</t>
  </si>
  <si>
    <t>27-07-02-025</t>
  </si>
  <si>
    <t>OLUWALOSEYI, ABC ROAD, OKENLA EXTENSION, IFO</t>
  </si>
  <si>
    <t>https://docs.inecelectionresults.net/elections_prod/1292/state/1/lga/3672/ward/24029/pu/165594/165594-1677511990.pdf</t>
  </si>
  <si>
    <t>OLUWALOSEYI, ABC ROAD, OKENLA EXTENSION, IFO, Polling Unit, IFO, Ogun State, Nigeria</t>
  </si>
  <si>
    <t>27-07-03-025</t>
  </si>
  <si>
    <t>OPEN SPACE IFELODUN ARAROMI QUARTERS, IFO</t>
  </si>
  <si>
    <t>https://docs.inecelectionresults.net/elections_prod/1292/state/01/lga/07/ward/03/pu/025/025-1677386865.pdf</t>
  </si>
  <si>
    <t>OPEN SPACE IFELODUN ARAROMI QUARTERS, IFO, Polling Unit, IFO, Ogun State, Nigeria</t>
  </si>
  <si>
    <t>27-07-03-026</t>
  </si>
  <si>
    <t>COMMUNITY NUR.PRIMARYSCH. ORILE IFO</t>
  </si>
  <si>
    <t>https://docs.inecelectionresults.net/elections_prod/1292/state/1/lga/3672/ward/24030/pu/165597/165597-1677491322.pdf</t>
  </si>
  <si>
    <t>COMMUNITY NUR.PRIMARYSCH. ORILE IFO, Polling Unit, IFO, Ogun State, Nigeria</t>
  </si>
  <si>
    <t>27-07-03-027</t>
  </si>
  <si>
    <t>OPEN SPACE ALAMUKU SOJUOLU , IFO(LATECO JUNCTION)</t>
  </si>
  <si>
    <t>https://docs.inecelectionresults.net/elections_prod/1292/state/1/lga/3672/ward/24030/pu/165598/165598-1677491506.pdf</t>
  </si>
  <si>
    <t>OPEN SPACE ALAMUKU SOJUOLU , IFO(LATECO JUNCTION), Polling Unit, IFO, Ogun State, Nigeria</t>
  </si>
  <si>
    <t>27-07-03-028</t>
  </si>
  <si>
    <t>OPEN SPACE SO-SAFE CORP GROUND SOJUOLU ROAD IFO</t>
  </si>
  <si>
    <t>https://docs.inecelectionresults.net/elections_prod/1292/state/01/lga/07/ward/03/pu/028/028-1677390470.pdf</t>
  </si>
  <si>
    <t>OPEN SPACE SO-SAFE CORP GROUND SOJUOLU ROAD IFO, Polling Unit, IFO, Ogun State, Nigeria</t>
  </si>
  <si>
    <t>27-07-03-029</t>
  </si>
  <si>
    <t>OPEN SPACE OMOTAYO JUNCTION, IFO</t>
  </si>
  <si>
    <t>https://docs.inecelectionresults.net/elections_prod/1292/state/1/lga/3672/ward/24030/pu/165600/165600-1677491898.pdf</t>
  </si>
  <si>
    <t>OPEN SPACE OMOTAYO JUNCTION, IFO, Polling Unit, IFO, Ogun State, Nigeria</t>
  </si>
  <si>
    <t>27-07-03-030</t>
  </si>
  <si>
    <t>OPEN SPACE BACK OF RAILLINE SERIKI, IFO</t>
  </si>
  <si>
    <t>https://docs.inecelectionresults.net/elections_prod/1292/state/1/lga/3672/ward/24030/pu/165601/165601-1677492046.pdf</t>
  </si>
  <si>
    <t>OPEN SPACE BACK OF RAILLINE SERIKI, IFO, Polling Unit, IFO, Ogun State, Nigeria</t>
  </si>
  <si>
    <t>27-07-03-031</t>
  </si>
  <si>
    <t>OPEN SPACE OJERINDE JUNCTION OLD BANK, IFO</t>
  </si>
  <si>
    <t>https://docs.inecelectionresults.net/elections_prod/1292/state/1/lga/3672/ward/24030/pu/165602/165602-1677492346.pdf</t>
  </si>
  <si>
    <t>OPEN SPACE OJERINDE JUNCTION OLD BANK, IFO, Polling Unit, IFO, Ogun State, Nigeria</t>
  </si>
  <si>
    <t>27-07-03-032</t>
  </si>
  <si>
    <t>OPEN SPACE AT AGOSI PRIMARY HEALTH CENTER, IFO</t>
  </si>
  <si>
    <t>https://docs.inecelectionresults.net/elections_prod/1292/state/01/lga/07/ward/03/pu/032/032-1677388938.pdf</t>
  </si>
  <si>
    <t>OPEN SPACE AT AGOSI PRIMARY HEALTH CENTER, IFO, Polling Unit, IFO, Ogun State, Nigeria</t>
  </si>
  <si>
    <t>27-07-03-033</t>
  </si>
  <si>
    <t>COMMUNITY PRIMARY SCHOOL OLOMU AGOSI, IFO</t>
  </si>
  <si>
    <t>https://docs.inecelectionresults.net/elections_prod/1292/state/1/lga/3672/ward/24030/pu/165604/165604-1677492561.pdf</t>
  </si>
  <si>
    <t>COMMUNITY PRIMARY SCHOOL OLOMU AGOSI, IFO, Polling Unit, IFO, Ogun State, Nigeria</t>
  </si>
  <si>
    <t>27-07-03-034</t>
  </si>
  <si>
    <t>OPEN SPACE AT POWER LINE AGOSI, IFO</t>
  </si>
  <si>
    <t>https://docs.inecelectionresults.net/elections_prod/1292/state/1/lga/3672/ward/24030/pu/165605/165605-1677492704.pdf</t>
  </si>
  <si>
    <t>OPEN SPACE AT POWER LINE AGOSI, IFO, Polling Unit, IFO, Ogun State, Nigeria</t>
  </si>
  <si>
    <t>27-07-03-035</t>
  </si>
  <si>
    <t>OPEN SPACE,OREOFE JUNCTION AJOWA, IFO</t>
  </si>
  <si>
    <t>https://docs.inecelectionresults.net/elections_prod/1292/state/01/lga/07/ward/03/pu/035/035-1677391404.pdf</t>
  </si>
  <si>
    <t>OPEN SPACE,OREOFE JUNCTION AJOWA, IFO, Polling Unit, IFO, Ogun State, Nigeria</t>
  </si>
  <si>
    <t>27-07-03-036</t>
  </si>
  <si>
    <t>EMILY COMMUNITY PRIMARY SCHOOL EMILY AJOWA, IFO</t>
  </si>
  <si>
    <t>https://docs.inecelectionresults.net/elections_prod/1292/state/01/lga/07/ward/03/pu/036/036-1677391871.pdf</t>
  </si>
  <si>
    <t>EMILY COMMUNITY PRIMARY SCHOOL EMILY AJOWA, IFO, Polling Unit, IFO, Ogun State, Nigeria</t>
  </si>
  <si>
    <t>27-07-03-037</t>
  </si>
  <si>
    <t>OPEN SPACE, ADEBOTE STREET AJOWA ABEKOKO, IFO</t>
  </si>
  <si>
    <t>https://docs.inecelectionresults.net/elections_prod/1292/state/01/lga/07/ward/03/pu/037/037-1677391303.pdf</t>
  </si>
  <si>
    <t>OPEN SPACE, ADEBOTE STREET AJOWA ABEKOKO, IFO, Polling Unit, IFO, Ogun State, Nigeria</t>
  </si>
  <si>
    <t>27-07-03-038</t>
  </si>
  <si>
    <t>ADEBOWALE JUNCTION BOKURU TEMIDIRE TOWN, IFO</t>
  </si>
  <si>
    <t>https://docs.inecelectionresults.net/elections_prod/1292/state/01/lga/07/ward/03/pu/038/038-1677390603.pdf</t>
  </si>
  <si>
    <t>ADEBOWALE JUNCTION BOKURU TEMIDIRE TOWN, IFO, Polling Unit, IFO, Ogun State, Nigeria</t>
  </si>
  <si>
    <t>27-07-03-039</t>
  </si>
  <si>
    <t>OPEN SPACE AT MERCY LAND JUNCTION VITAL LINK, IFO</t>
  </si>
  <si>
    <t>https://docs.inecelectionresults.net/elections_prod/1292/state/01/lga/07/ward/03/pu/039/039-1677391446.pdf</t>
  </si>
  <si>
    <t>OPEN SPACE AT MERCY LAND JUNCTION VITAL LINK, IFO, Polling Unit, IFO, Ogun State, Nigeria</t>
  </si>
  <si>
    <t>27-07-03-040</t>
  </si>
  <si>
    <t>OPEN SPACE DARUL-MUMEEN AVENUE JUNCTION ALAMUKU, IFO</t>
  </si>
  <si>
    <t>https://docs.inecelectionresults.net/elections_prod/1292/state/01/lga/07/ward/03/pu/040/040-1677390370.pdf</t>
  </si>
  <si>
    <t>OPEN SPACE DARUL-MUMEEN AVENUE JUNCTION ALAMUKU, IFO, Polling Unit, IFO, Ogun State, Nigeria</t>
  </si>
  <si>
    <t>27-07-05-020</t>
  </si>
  <si>
    <t>OPEN SPACE MADONNA ESTATE</t>
  </si>
  <si>
    <t>https://docs.inecelectionresults.net/elections_prod/1292/state/1/lga/3672/ward/24032/pu/165651/165651-1677536341.pdf</t>
  </si>
  <si>
    <t>OPEN SPACE MADONNA ESTATE, Polling Unit, IFO, Ogun State, Nigeria</t>
  </si>
  <si>
    <t>27-07-05-021</t>
  </si>
  <si>
    <t>BABA SULE JUNCTION OJODU</t>
  </si>
  <si>
    <t>https://docs.inecelectionresults.net/elections_prod/1292/state/1/lga/3672/ward/24032/pu/165652/165652-1677541234.pdf</t>
  </si>
  <si>
    <t>BABA SULE JUNCTION OJODU, Polling Unit, IFO, Ogun State, Nigeria</t>
  </si>
  <si>
    <t>27-07-05-022</t>
  </si>
  <si>
    <t>OPEN SPACE KINGS AVENUE OJODU</t>
  </si>
  <si>
    <t>https://docs.inecelectionresults.net/elections_prod/1292/state/1/lga/3672/ward/24032/pu/165653/165653-1677536632.pdf</t>
  </si>
  <si>
    <t>OPEN SPACE KINGS AVENUE OJODU, Polling Unit, IFO, Ogun State, Nigeria</t>
  </si>
  <si>
    <t>27-07-05-023</t>
  </si>
  <si>
    <t>OPEN SPACE FOOD UNION KAJOLA</t>
  </si>
  <si>
    <t>https://docs.inecelectionresults.net/elections_prod/1292/state/1/lga/3672/ward/24032/pu/165654/165654-1677536777.pdf</t>
  </si>
  <si>
    <t>OPEN SPACE FOOD UNION KAJOLA, Polling Unit, IFO, Ogun State, Nigeria</t>
  </si>
  <si>
    <t>27-07-05-024</t>
  </si>
  <si>
    <t>OPEN SPACE EMAKIRUN JUNCTION KAJOLA</t>
  </si>
  <si>
    <t>https://docs.inecelectionresults.net/elections_prod/1292/state/1/lga/3672/ward/24032/pu/165655/165655-1677536912.pdf</t>
  </si>
  <si>
    <t>OPEN SPACE EMAKIRUN JUNCTION KAJOLA, Polling Unit, IFO, Ogun State, Nigeria</t>
  </si>
  <si>
    <t>27-07-05-025</t>
  </si>
  <si>
    <t>OPEN SPACE ADIGBOLUJA STREET IWO JUNCTION</t>
  </si>
  <si>
    <t>https://docs.inecelectionresults.net/elections_prod/1292/state/1/lga/3672/ward/24032/pu/165656/165656-1677540538.pdf</t>
  </si>
  <si>
    <t>OPEN SPACE ADIGBOLUJA STREET IWO JUNCTION, Polling Unit, IFO, Ogun State, Nigeria</t>
  </si>
  <si>
    <t>27-07-05-027</t>
  </si>
  <si>
    <t>OPEN SPACE OLADEJO JUNCTION IGBEYINADUN</t>
  </si>
  <si>
    <t>https://docs.inecelectionresults.net/elections_prod/1292/state/1/lga/3672/ward/24032/pu/165658/165658-1677537234.pdf</t>
  </si>
  <si>
    <t>OPEN SPACE OLADEJO JUNCTION IGBEYINADUN, Polling Unit, IFO, Ogun State, Nigeria</t>
  </si>
  <si>
    <t>27-07-05-028</t>
  </si>
  <si>
    <t>OPEN SPACE AGBEDINA JUNCTION YAKOYO</t>
  </si>
  <si>
    <t>https://docs.inecelectionresults.net/elections_prod/1292/state/1/lga/3672/ward/24032/pu/165659/165659-1677537356.pdf</t>
  </si>
  <si>
    <t>OPEN SPACE AGBEDINA JUNCTION YAKOYO, Polling Unit, IFO, Ogun State, Nigeria</t>
  </si>
  <si>
    <t>27-07-05-030</t>
  </si>
  <si>
    <t>OPEN SPACE OPP. JUST RITE OJODU</t>
  </si>
  <si>
    <t>https://docs.inecelectionresults.net/elections_prod/1292/state/1/lga/3672/ward/24032/pu/165661/165661-1677517301.pdf</t>
  </si>
  <si>
    <t>OPEN SPACE OPP. JUST RITE OJODU, Polling Unit, IFO, Ogun State, Nigeria</t>
  </si>
  <si>
    <t>27-07-05-032</t>
  </si>
  <si>
    <t>KARA UNDER BRIDGE, ISHERI-OLOFIN</t>
  </si>
  <si>
    <t>https://docs.inecelectionresults.net/elections_prod/1292/state/1/lga/3672/ward/24032/pu/165663/165663-1677537695.pdf</t>
  </si>
  <si>
    <t>KARA UNDER BRIDGE, ISHERI-OLOFIN, Polling Unit, IFO, Ogun State, Nigeria</t>
  </si>
  <si>
    <t>27-07-05-034</t>
  </si>
  <si>
    <t>OPEN SPACE RIVER VIEW ESTATE GATE, ISHERI</t>
  </si>
  <si>
    <t>https://docs.inecelectionresults.net/elections_prod/1292/state/1/lga/3672/ward/24032/pu/165665/165665-1677537858.pdf</t>
  </si>
  <si>
    <t>OPEN SPACE RIVER VIEW ESTATE GATE, ISHERI, Polling Unit, IFO, Ogun State, Nigeria</t>
  </si>
  <si>
    <t>27-07-05-035</t>
  </si>
  <si>
    <t>MODEL PRIMARY HEALTH CENTER WAREWA</t>
  </si>
  <si>
    <t>https://docs.inecelectionresults.net/elections_prod/1292/state/1/lga/3672/ward/24032/pu/165666/165666-1677537956.pdf</t>
  </si>
  <si>
    <t>MODEL PRIMARY HEALTH CENTER WAREWA, Polling Unit, IFO, Ogun State, Nigeria</t>
  </si>
  <si>
    <t>27-07-05-036</t>
  </si>
  <si>
    <t>OPEN SPACE MOKORE JUNCTION MAWERE</t>
  </si>
  <si>
    <t>https://docs.inecelectionresults.net/elections_prod/1292/state/1/lga/3672/ward/24032/pu/165667/165667-1677537750.pdf</t>
  </si>
  <si>
    <t>OPEN SPACE MOKORE JUNCTION MAWERE, Polling Unit, IFO, Ogun State, Nigeria</t>
  </si>
  <si>
    <t>27-07-05-037</t>
  </si>
  <si>
    <t>OPEN SPACE OGUNNAIKE/IWOROKO</t>
  </si>
  <si>
    <t>https://docs.inecelectionresults.net/elections_prod/1292/state/1/lga/3672/ward/24032/pu/165668/165668-1677538104.pdf</t>
  </si>
  <si>
    <t>OPEN SPACE OGUNNAIKE/IWOROKO, Polling Unit, IFO, Ogun State, Nigeria</t>
  </si>
  <si>
    <t>27-07-05-038</t>
  </si>
  <si>
    <t>OLUWAKEMI JUNCTION OJODU</t>
  </si>
  <si>
    <t>https://docs.inecelectionresults.net/elections_prod/1292/state/1/lga/3672/ward/24032/pu/165669/165669-1677538235.pdf</t>
  </si>
  <si>
    <t>OLUWAKEMI JUNCTION OJODU, Polling Unit, IFO, Ogun State, Nigeria</t>
  </si>
  <si>
    <t>27-07-05-039</t>
  </si>
  <si>
    <t>PENIEFIELD JUNCTION OJODU</t>
  </si>
  <si>
    <t>https://docs.inecelectionresults.net/elections_prod/1292/state/1/lga/3672/ward/24032/pu/165670/165670-1677539596.pdf</t>
  </si>
  <si>
    <t>PENIEFIELD JUNCTION OJODU, Polling Unit, IFO, Ogun State, Nigeria</t>
  </si>
  <si>
    <t>27-07-05-040</t>
  </si>
  <si>
    <t>OKE-ALAFIA JUNCTION OJODU</t>
  </si>
  <si>
    <t>https://docs.inecelectionresults.net/elections_prod/1292/state/1/lga/3672/ward/24032/pu/165671/165671-1677537246.pdf</t>
  </si>
  <si>
    <t>OKE-ALAFIA JUNCTION OJODU, Polling Unit, IFO, Ogun State, Nigeria</t>
  </si>
  <si>
    <t>27-07-05-041</t>
  </si>
  <si>
    <t>COMMUNITY HALL, EBO FIELD, ISHERI</t>
  </si>
  <si>
    <t>https://docs.inecelectionresults.net/elections_prod/1292/state/1/lga/3672/ward/24032/pu/165672/165672-1677538457.pdf</t>
  </si>
  <si>
    <t>COMMUNITY HALL, EBO FIELD, ISHERI, Polling Unit, IFO, Ogun State, Nigeria</t>
  </si>
  <si>
    <t>27-07-05-042</t>
  </si>
  <si>
    <t>LAKARO GATE BY ODOZIE, ISHERI</t>
  </si>
  <si>
    <t>https://docs.inecelectionresults.net/elections_prod/1292/state/1/lga/3672/ward/24032/pu/165673/165673-1677538556.pdf</t>
  </si>
  <si>
    <t>LAKARO GATE BY ODOZIE, ISHERI, Polling Unit, IFO, Ogun State, Nigeria</t>
  </si>
  <si>
    <t>27-07-05-043</t>
  </si>
  <si>
    <t>OPEN SPACE BY CCC WILMER ISHERI</t>
  </si>
  <si>
    <t>https://docs.inecelectionresults.net/elections_prod/1292/state/1/lga/3672/ward/24032/pu/165674/165674-1677538162.pdf</t>
  </si>
  <si>
    <t>OPEN SPACE BY CCC WILMER ISHERI, Polling Unit, IFO, Ogun State, Nigeria</t>
  </si>
  <si>
    <t>27-07-05-045</t>
  </si>
  <si>
    <t>OPEN SPACE BY SPARKLIGHT ESTATE ISHERI</t>
  </si>
  <si>
    <t>https://docs.inecelectionresults.net/elections_prod/1292/state/1/lga/3672/ward/24032/pu/165676/165676-1677538823.pdf</t>
  </si>
  <si>
    <t>OPEN SPACE BY SPARKLIGHT ESTATE ISHERI, Polling Unit, IFO, Ogun State, Nigeria</t>
  </si>
  <si>
    <t>27-07-07-033</t>
  </si>
  <si>
    <t>ST JOHN'S COMMUNITY PRIMARY SCH LEMODE</t>
  </si>
  <si>
    <t>https://docs.inecelectionresults.net/elections_prod/1292/state/01/lga/07/ward/07/pu/033/033-1677374551.pdf</t>
  </si>
  <si>
    <t>ST JOHN'S COMMUNITY PRIMARY SCH LEMODE, Polling Unit, IFO, Ogun State, Nigeria</t>
  </si>
  <si>
    <t>27-07-07-035</t>
  </si>
  <si>
    <t>LGA PRIMARY SCH. ORUDU</t>
  </si>
  <si>
    <t>https://docs.inecelectionresults.net/elections_prod/1292/state/01/lga/07/ward/07/pu/035/035-1677381167.pdf</t>
  </si>
  <si>
    <t>LGA PRIMARY SCH. ORUDU, Polling Unit, IFO, Ogun State, Nigeria</t>
  </si>
  <si>
    <t>27-07-07-036</t>
  </si>
  <si>
    <t>OTEMUYI COMMUNITY PRIMARY SCH. MATOGUN</t>
  </si>
  <si>
    <t>https://docs.inecelectionresults.net/elections_prod/1292/state/01/lga/07/ward/07/pu/036/036-1677377867.pdf</t>
  </si>
  <si>
    <t>OTEMUYI COMMUNITY PRIMARY SCH. MATOGUN, Polling Unit, IFO, Ogun State, Nigeria</t>
  </si>
  <si>
    <t>27-07-07-038</t>
  </si>
  <si>
    <t>OPEN SPACE OLORUNSOGO ROAD MATOGUN</t>
  </si>
  <si>
    <t>https://docs.inecelectionresults.net/elections_prod/1292/state/01/lga/07/ward/07/pu/038/038-1677385298.pdf</t>
  </si>
  <si>
    <t>OPEN SPACE OLORUNSOGO ROAD MATOGUN, Polling Unit, IFO, Ogun State, Nigeria</t>
  </si>
  <si>
    <t>27-07-07-039</t>
  </si>
  <si>
    <t>MOSAFEJO VILLAGE JUNCTION IBARAGUN</t>
  </si>
  <si>
    <t>https://docs.inecelectionresults.net/elections_prod/1292/state/01/lga/07/ward/07/pu/039/039-1677395233.pdf</t>
  </si>
  <si>
    <t>MOSAFEJO VILLAGE JUNCTION IBARAGUN, Polling Unit, IFO, Ogun State, Nigeria</t>
  </si>
  <si>
    <t>27-07-07-040</t>
  </si>
  <si>
    <t>ANUOLUWAPO COMMUNITY HIGH SCH, OKE-ARO</t>
  </si>
  <si>
    <t>https://docs.inecelectionresults.net/elections_prod/1292/state/01/lga/07/ward/07/pu/040/040-1677381597.pdf</t>
  </si>
  <si>
    <t>ANUOLUWAPO COMMUNITY HIGH SCH, OKE-ARO, Polling Unit, IFO, Ogun State, Nigeria</t>
  </si>
  <si>
    <t>27-07-07-041</t>
  </si>
  <si>
    <t>COMMUNITY PRIMARY SCH. IJAOLA LEMODE</t>
  </si>
  <si>
    <t>https://docs.inecelectionresults.net/elections_prod/1292/state/01/lga/07/ward/07/pu/041/041-1677379295.pdf</t>
  </si>
  <si>
    <t>COMMUNITY PRIMARY SCH. IJAOLA LEMODE, Polling Unit, IFO, Ogun State, Nigeria</t>
  </si>
  <si>
    <t>27-07-07-043</t>
  </si>
  <si>
    <t>TEMIDIRE JUNCTION ADIYAN OLOMOWEWE</t>
  </si>
  <si>
    <t>https://docs.inecelectionresults.net/elections_prod/1292/state/01/lga/07/ward/07/pu/043/043-1677378630.pdf</t>
  </si>
  <si>
    <t>TEMIDIRE JUNCTION ADIYAN OLOMOWEWE, Polling Unit, IFO, Ogun State, Nigeria</t>
  </si>
  <si>
    <t>27-07-07-044</t>
  </si>
  <si>
    <t>ODUGBILE JUNCTION ISHAGA IDI OSAN</t>
  </si>
  <si>
    <t>https://docs.inecelectionresults.net/elections_prod/1292/state/01/lga/07/ward/07/pu/044/044-1677387925.pdf</t>
  </si>
  <si>
    <t>ODUGBILE JUNCTION ISHAGA IDI OSAN, Polling Unit, IFO, Ogun State, Nigeria</t>
  </si>
  <si>
    <t>27-07-07-045</t>
  </si>
  <si>
    <t>HEALTH CENTRE MAIDAN</t>
  </si>
  <si>
    <t>https://docs.inecelectionresults.net/elections_prod/1292/state/01/lga/07/ward/07/pu/045/045-1677373365.pdf</t>
  </si>
  <si>
    <t>HEALTH CENTRE MAIDAN, Polling Unit, IFO, Ogun State, Nigeria</t>
  </si>
  <si>
    <t>27-07-07-047</t>
  </si>
  <si>
    <t>KAMPALA JUNCTION OLAMBE</t>
  </si>
  <si>
    <t>https://docs.inecelectionresults.net/elections_prod/1292/state/01/lga/07/ward/07/pu/047/047-1677382977.pdf</t>
  </si>
  <si>
    <t>KAMPALA JUNCTION OLAMBE, Polling Unit, IFO, Ogun State, Nigeria</t>
  </si>
  <si>
    <t>27-07-07-048</t>
  </si>
  <si>
    <t>COMMUNITY PRIMARY SCHOOL OLAMBE</t>
  </si>
  <si>
    <t>https://docs.inecelectionresults.net/elections_prod/1292/state/01/lga/07/ward/07/pu/048/048-1677376918.pdf</t>
  </si>
  <si>
    <t>COMMUNITY PRIMARY SCHOOL OLAMBE, Polling Unit, IFO, Ogun State, Nigeria</t>
  </si>
  <si>
    <t>27-07-07-049</t>
  </si>
  <si>
    <t>COMMUNITY PRIMARY SCHOOL, TEMIDIRE</t>
  </si>
  <si>
    <t>https://docs.inecelectionresults.net/elections_prod/1292/state/01/lga/07/ward/07/pu/049/049-1677378723.pdf</t>
  </si>
  <si>
    <t>COMMUNITY PRIMARY SCHOOL, TEMIDIRE, Polling Unit, IFO, Ogun State, Nigeria</t>
  </si>
  <si>
    <t>27-07-07-050</t>
  </si>
  <si>
    <t>OBANLA JUNCTION ENILOLOBO</t>
  </si>
  <si>
    <t>https://docs.inecelectionresults.net/elections_prod/1292/state/01/lga/07/ward/07/pu/050/050-1677378776.pdf</t>
  </si>
  <si>
    <t>OBANLA JUNCTION ENILOLOBO, Polling Unit, IFO, Ogun State, Nigeria</t>
  </si>
  <si>
    <t>27-07-07-051</t>
  </si>
  <si>
    <t>OLOWOOKERE/OLATUNBOSUN JUNCTION OKE -ARO</t>
  </si>
  <si>
    <t>https://docs.inecelectionresults.net/elections_prod/1292/state/01/lga/07/ward/07/pu/051/051-1677390638.pdf</t>
  </si>
  <si>
    <t>OLOWOOKERE/OLATUNBOSUN JUNCTION OKE -ARO, Polling Unit, IFO, Ogun State, Nigeria</t>
  </si>
  <si>
    <t>27-07-07-052</t>
  </si>
  <si>
    <t>AKINYALE/OMO-OWO JUNCTION AMUBIOYA OKE-ARO</t>
  </si>
  <si>
    <t>https://docs.inecelectionresults.net/elections_prod/1292/state/01/lga/07/ward/07/pu/052/052-1677382969.pdf</t>
  </si>
  <si>
    <t>AKINYALE/OMO-OWO JUNCTION AMUBIOYA OKE-ARO, Polling Unit, IFO, Ogun State, Nigeria</t>
  </si>
  <si>
    <t>27-07-07-053</t>
  </si>
  <si>
    <t>TINA JUNCTION OKUNGBOLU</t>
  </si>
  <si>
    <t>https://docs.inecelectionresults.net/elections_prod/1292/state/1/lga/3672/ward/24034/pu/165720/165720-1677505182.pdf</t>
  </si>
  <si>
    <t>TINA JUNCTION OKUNGBOLU, Polling Unit, IFO, Ogun State, Nigeria</t>
  </si>
  <si>
    <t>27-07-07-054</t>
  </si>
  <si>
    <t>N.U.D PRIMARY SCHOOL, ODULAGUN NTABO JUNCTION</t>
  </si>
  <si>
    <t>https://docs.inecelectionresults.net/elections_prod/1292/state/01/lga/07/ward/07/pu/054/054-1677383766.pdf</t>
  </si>
  <si>
    <t>N.U.D PRIMARY SCHOOL, ODULAGUN NTABO JUNCTION, Polling Unit, IFO, Ogun State, Nigeria</t>
  </si>
  <si>
    <t>27-07-07-055</t>
  </si>
  <si>
    <t>OPEN SPACE ORUDU AGIRA PLAYING GROUND OKE ARO</t>
  </si>
  <si>
    <t>https://docs.inecelectionresults.net/elections_prod/1292/state/01/lga/07/ward/07/pu/055/055-1677376583.pdf</t>
  </si>
  <si>
    <t>OPEN SPACE ORUDU AGIRA PLAYING GROUND OKE ARO, Polling Unit, IFO, Ogun State, Nigeria</t>
  </si>
  <si>
    <t>27-07-07-056</t>
  </si>
  <si>
    <t>COMMUNITY HEALTH CENTRE OSERE</t>
  </si>
  <si>
    <t>https://docs.inecelectionresults.net/elections_prod/1292/state/01/lga/07/ward/07/pu/056/056-1677376657.pdf</t>
  </si>
  <si>
    <t>COMMUNITY HEALTH CENTRE OSERE, Polling Unit, IFO, Ogun State, Nigeria</t>
  </si>
  <si>
    <t>27-07-07-057</t>
  </si>
  <si>
    <t>OPEN SPACE DAVID CAMP. IJOKO ABULE ROAD</t>
  </si>
  <si>
    <t>https://docs.inecelectionresults.net/elections_prod/1292/state/01/lga/07/ward/07/pu/057/057-1677378537.pdf</t>
  </si>
  <si>
    <t>OPEN SPACE DAVID CAMP. IJOKO ABULE ROAD, Polling Unit, IFO, Ogun State, Nigeria</t>
  </si>
  <si>
    <t>27-07-07-058</t>
  </si>
  <si>
    <t>API COMMUNITY PRIMARYSCH.AJAWO</t>
  </si>
  <si>
    <t>https://docs.inecelectionresults.net/elections_prod/1292/state/01/lga/07/ward/07/pu/058/058-1677377950.pdf</t>
  </si>
  <si>
    <t>API COMMUNITY PRIMARYSCH.AJAWO, Polling Unit, IFO, Ogun State, Nigeria</t>
  </si>
  <si>
    <t>27-07-08-018</t>
  </si>
  <si>
    <t>OPEN SPACE ITESIWAJU JUNCTION, AJAYI OYERO</t>
  </si>
  <si>
    <t>https://docs.inecelectionresults.net/elections_prod/1292/state/1/lga/3672/ward/24035/pu/165726/165726-1677520400.pdf</t>
  </si>
  <si>
    <t>OPEN SPACE ITESIWAJU JUNCTION, AJAYI OYERO, Polling Unit, IFO, Ogun State, Nigeria</t>
  </si>
  <si>
    <t>27-07-08-020</t>
  </si>
  <si>
    <t>FRONT OF LISA HEALTH CENTRE, LISA TOWN</t>
  </si>
  <si>
    <t>https://docs.inecelectionresults.net/elections_prod/1292/state/01/lga/07/ward/08/pu/020/020-1677378480.pdf</t>
  </si>
  <si>
    <t>FRONT OF LISA HEALTH CENTRE, LISA TOWN, Polling Unit, IFO, Ogun State, Nigeria</t>
  </si>
  <si>
    <t>27-07-08-021</t>
  </si>
  <si>
    <t>OPEN SPACE OLUWALOGBON JUNCTION, ONIPETESI IJOKO</t>
  </si>
  <si>
    <t>https://docs.inecelectionresults.net/elections_prod/1292/state/1/lga/3672/ward/24035/pu/165729/165729-1677536492.pdf</t>
  </si>
  <si>
    <t>OPEN SPACE OLUWALOGBON JUNCTION, ONIPETESI IJOKO, Polling Unit, IFO, Ogun State, Nigeria</t>
  </si>
  <si>
    <t>27-07-08-022</t>
  </si>
  <si>
    <t>OPEN SPACE AGBAGI, OFF GAS-LINE, OSOSUN</t>
  </si>
  <si>
    <t>https://docs.inecelectionresults.net/elections_prod/1292/state/1/lga/3672/ward/24035/pu/165730/165730-1677521449.pdf</t>
  </si>
  <si>
    <t>OPEN SPACE AGBAGI, OFF GAS-LINE, OSOSUN, Polling Unit, IFO, Ogun State, Nigeria</t>
  </si>
  <si>
    <t>27-07-08-023</t>
  </si>
  <si>
    <t>BALOGUN TUNTUN MARKET, GAS-LINE</t>
  </si>
  <si>
    <t>https://docs.inecelectionresults.net/elections_prod/1292/state/01/lga/07/ward/08/pu/023/023-1677365129.pdf</t>
  </si>
  <si>
    <t>BALOGUN TUNTUN MARKET, GAS-LINE, Polling Unit, IFO, Ogun State, Nigeria</t>
  </si>
  <si>
    <t>27-07-08-024</t>
  </si>
  <si>
    <t>OPEN SPACE GAS LINE JUNCTION, YEMCO BLOCKS</t>
  </si>
  <si>
    <t>https://docs.inecelectionresults.net/elections_prod/1292/state/1/lga/3672/ward/24035/pu/165732/165732-1677517663.pdf</t>
  </si>
  <si>
    <t>OPEN SPACE GAS LINE JUNCTION, YEMCO BLOCKS, Polling Unit, IFO, Ogun State, Nigeria</t>
  </si>
  <si>
    <t>27-07-08-025</t>
  </si>
  <si>
    <t>COMMUNITY PRIMARY SCH KAJOLA ORILE</t>
  </si>
  <si>
    <t>https://docs.inecelectionresults.net/elections_prod/1292/state/1/lga/3672/ward/24035/pu/165733/165733-1677512403.pdf</t>
  </si>
  <si>
    <t>COMMUNITY PRIMARY SCH KAJOLA ORILE, Polling Unit, IFO, Ogun State, Nigeria</t>
  </si>
  <si>
    <t>27-07-08-028</t>
  </si>
  <si>
    <t>OPEN SPACE OLOKO JUNCTION, FADUNSI IJOKO</t>
  </si>
  <si>
    <t>https://docs.inecelectionresults.net/elections_prod/1292/state/1/lga/3672/ward/24035/pu/165736/165736-1677530592.pdf</t>
  </si>
  <si>
    <t>OPEN SPACE OLOKO JUNCTION, FADUNSI IJOKO, Polling Unit, IFO, Ogun State, Nigeria</t>
  </si>
  <si>
    <t>27-07-08-029</t>
  </si>
  <si>
    <t>PAPA OKO JUNCTION, OKUNGBOLU</t>
  </si>
  <si>
    <t>https://docs.inecelectionresults.net/elections_prod/1292/state/1/lga/3672/ward/24035/pu/165737/165737-1677517865.pdf</t>
  </si>
  <si>
    <t>PAPA OKO JUNCTION, OKUNGBOLU, Polling Unit, IFO, Ogun State, Nigeria</t>
  </si>
  <si>
    <t>27-07-08-030</t>
  </si>
  <si>
    <t>OPEN SPACE MARKET SQUARE LISA</t>
  </si>
  <si>
    <t>https://docs.inecelectionresults.net/elections_prod/1292/state/1/lga/3672/ward/24035/pu/165738/165738-1677518800.pdf</t>
  </si>
  <si>
    <t>OPEN SPACE MARKET SQUARE LISA, Polling Unit, IFO, Ogun State, Nigeria</t>
  </si>
  <si>
    <t>27-07-08-031</t>
  </si>
  <si>
    <t>TOWN HALL AYEGBE, VIA LISA</t>
  </si>
  <si>
    <t>https://docs.inecelectionresults.net/elections_prod/1292/state/01/lga/07/ward/08/pu/031/031-1677382638.pdf</t>
  </si>
  <si>
    <t>TOWN HALL AYEGBE, VIA LISA, Polling Unit, IFO, Ogun State, Nigeria</t>
  </si>
  <si>
    <t>27-07-08-032</t>
  </si>
  <si>
    <t>ARUGUDU COMMUNITY TOWN HALL, ARUGUDU TOWN</t>
  </si>
  <si>
    <t>https://docs.inecelectionresults.net/elections_prod/1292/state/1/lga/3672/ward/24035/pu/165740/165740-1677523730.pdf</t>
  </si>
  <si>
    <t>ARUGUDU COMMUNITY TOWN HALL, ARUGUDU TOWN, Polling Unit, IFO, Ogun State, Nigeria</t>
  </si>
  <si>
    <t>27-07-08-033</t>
  </si>
  <si>
    <t>OPEN SPACE ONIREKE HEALTH CENTER, ONIREKE</t>
  </si>
  <si>
    <t>https://docs.inecelectionresults.net/elections_prod/1292/state/1/lga/3672/ward/24035/pu/165741/165741-1677527716.pdf</t>
  </si>
  <si>
    <t>OPEN SPACE ONIREKE HEALTH CENTER, ONIREKE, Polling Unit, IFO, Ogun State, Nigeria</t>
  </si>
  <si>
    <t>27-07-08-034</t>
  </si>
  <si>
    <t>AREPO COMMUNITY PRIMARY SCHOOL, AREPO TOWN</t>
  </si>
  <si>
    <t>https://docs.inecelectionresults.net/elections_prod/1292/state/1/lga/3672/ward/24035/pu/165742/165742-1677528156.pdf</t>
  </si>
  <si>
    <t>AREPO COMMUNITY PRIMARY SCHOOL, AREPO TOWN, Polling Unit, IFO, Ogun State, Nigeria</t>
  </si>
  <si>
    <t>27-07-08-035</t>
  </si>
  <si>
    <t>OPEN SPACE BABA MONDAY JUNCTION, AREPO ROAD</t>
  </si>
  <si>
    <t>https://docs.inecelectionresults.net/elections_prod/1292/state/1/lga/3672/ward/24035/pu/165743/165743-1677519695.pdf</t>
  </si>
  <si>
    <t>OPEN SPACE BABA MONDAY JUNCTION, AREPO ROAD, Polling Unit, IFO, Ogun State, Nigeria</t>
  </si>
  <si>
    <t>27-07-08-036</t>
  </si>
  <si>
    <t>OLORUNDA MODEL MARKET OYERO</t>
  </si>
  <si>
    <t>https://docs.inecelectionresults.net/elections_prod/1292/state/01/lga/07/ward/08/pu/036/036-1677372124.pdf</t>
  </si>
  <si>
    <t>OLORUNDA MODEL MARKET OYERO, Polling Unit, IFO, Ogun State, Nigeria</t>
  </si>
  <si>
    <t>27-07-08-038</t>
  </si>
  <si>
    <t>TOFUNMI JUNCTION DANIEL ESTATE, IJOKO ROAD</t>
  </si>
  <si>
    <t>https://docs.inecelectionresults.net/elections_prod/1292/state/1/lga/3672/ward/24035/pu/165746/165746-1677521350.pdf</t>
  </si>
  <si>
    <t>TOFUNMI JUNCTION DANIEL ESTATE, IJOKO ROAD, Polling Unit, IFO, Ogun State, Nigeria</t>
  </si>
  <si>
    <t>27-07-08-039</t>
  </si>
  <si>
    <t>OPEN SPACE OJUALALE ROAD NEAR YIDI PLAYING GROUND, OJUALALE</t>
  </si>
  <si>
    <t>https://docs.inecelectionresults.net/elections_prod/1292/state/01/lga/07/ward/08/pu/039/039-1677389463.pdf</t>
  </si>
  <si>
    <t>OPEN SPACE OJUALALE ROAD NEAR YIDI PLAYING GROUND, OJUALALE, Polling Unit, IFO, Ogun State, Nigeria</t>
  </si>
  <si>
    <t>27-07-08-041</t>
  </si>
  <si>
    <t>OPEN SPACE LAJEGUN/SERIKI OLORUNDA JUNCTION</t>
  </si>
  <si>
    <t>https://docs.inecelectionresults.net/elections_prod/1292/state/1/lga/3672/ward/24035/pu/165749/165749-1677516318.pdf</t>
  </si>
  <si>
    <t>OPEN SPACE LAJEGUN/SERIKI OLORUNDA JUNCTION, Polling Unit, IFO, Ogun State, Nigeria</t>
  </si>
  <si>
    <t>27-07-08-042</t>
  </si>
  <si>
    <t>OPEN SPACE AKINTOYE JUNCTION OLOPARUN</t>
  </si>
  <si>
    <t>https://docs.inecelectionresults.net/elections_prod/1292/state/01/lga/07/ward/08/pu/042/042-1677375761.pdf</t>
  </si>
  <si>
    <t>OPEN SPACE AKINTOYE JUNCTION OLOPARUN, Polling Unit, IFO, Ogun State, Nigeria</t>
  </si>
  <si>
    <t>27-07-08-043</t>
  </si>
  <si>
    <t>LOCAL GOVERNMENT PRIMARYSCH, IFOTE</t>
  </si>
  <si>
    <t>https://docs.inecelectionresults.net/elections_prod/1292/state/1/lga/3672/ward/24035/pu/165751/165751-1677523693.pdf</t>
  </si>
  <si>
    <t>LOCAL GOVERNMENT PRIMARYSCH, IFOTE, Polling Unit, IFO, Ogun State, Nigeria</t>
  </si>
  <si>
    <t>27-07-08-044</t>
  </si>
  <si>
    <t>OPEN SPACE NEAR TRANSFORMER IGBO ELERIN TOWN</t>
  </si>
  <si>
    <t>https://docs.inecelectionresults.net/elections_prod/1292/state/1/lga/3672/ward/24035/pu/165752/165752-1677513859.pdf</t>
  </si>
  <si>
    <t>OPEN SPACE NEAR TRANSFORMER IGBO ELERIN TOWN, Polling Unit, IFO, Ogun State, Nigeria</t>
  </si>
  <si>
    <t>27-07-08-045</t>
  </si>
  <si>
    <t>OPEN SPACE ANTENNA JUNCTION NEAR TRANSFORMER, OYERO TOWN</t>
  </si>
  <si>
    <t>https://docs.inecelectionresults.net/elections_prod/1292/state/01/lga/07/ward/08/pu/045/045-1677361461.pdf</t>
  </si>
  <si>
    <t>OPEN SPACE ANTENNA JUNCTION NEAR TRANSFORMER, OYERO TOWN, Polling Unit, IFO, Ogun State, Nigeria</t>
  </si>
  <si>
    <t>27-07-08-046</t>
  </si>
  <si>
    <t>OPEN SPACE SHOTANDE JUNCTION, EBITI FAROWA OKE EBITI</t>
  </si>
  <si>
    <t>https://docs.inecelectionresults.net/elections_prod/1292/state/1/lga/3672/ward/24035/pu/165754/165754-1677519716.pdf</t>
  </si>
  <si>
    <t>OPEN SPACE SHOTANDE JUNCTION, EBITI FAROWA OKE EBITI, Polling Unit, IFO, Ogun State, Nigeria</t>
  </si>
  <si>
    <t>27-07-08-048</t>
  </si>
  <si>
    <t>OPEN SPACE POWERLINE JUNCTION, OSOSUN</t>
  </si>
  <si>
    <t>https://docs.inecelectionresults.net/elections_prod/1292/state/01/lga/07/ward/08/pu/048/048-1677371134.pdf</t>
  </si>
  <si>
    <t>OPEN SPACE POWERLINE JUNCTION, OSOSUN, Polling Unit, IFO, Ogun State, Nigeria</t>
  </si>
  <si>
    <t>27-07-08-049</t>
  </si>
  <si>
    <t>OPEN SPACE ODO BABAKUDI ARIFA JUNCTION, FADUNSIN</t>
  </si>
  <si>
    <t>https://docs.inecelectionresults.net/elections_prod/1292/state/1/lga/3672/ward/24035/pu/165757/165757-1677523122.pdf</t>
  </si>
  <si>
    <t>OPEN SPACE ODO BABAKUDI ARIFA JUNCTION, FADUNSIN, Polling Unit, IFO, Ogun State, Nigeria</t>
  </si>
  <si>
    <t>27-07-09-009</t>
  </si>
  <si>
    <t>COMMUNITY PRIMARY SCH OLORUNSOGO</t>
  </si>
  <si>
    <t>https://docs.inecelectionresults.net/elections_prod/1292/state/01/lga/07/ward/09/pu/009/009-1677394826.pdf</t>
  </si>
  <si>
    <t>COMMUNITY PRIMARY SCH OLORUNSOGO, Polling Unit, IFO, Ogun State, Nigeria</t>
  </si>
  <si>
    <t>27-07-09-010</t>
  </si>
  <si>
    <t>OPEN SPACE LERIN JUNCTION IKEREKU LERIN</t>
  </si>
  <si>
    <t>https://docs.inecelectionresults.net/elections_prod/1292/state/01/lga/07/ward/09/pu/010/010-1677392021.pdf</t>
  </si>
  <si>
    <t>OPEN SPACE LERIN JUNCTION IKEREKU LERIN, Polling Unit, IFO, Ogun State, Nigeria</t>
  </si>
  <si>
    <t>27-08-11-011</t>
  </si>
  <si>
    <t>MOYAFOKO TOWN HALL</t>
  </si>
  <si>
    <t>https://docs.inecelectionresults.net/elections_prod/1292/state/01/lga/08/ward/11/pu/011/011-1677419553.pdf</t>
  </si>
  <si>
    <t>MOYAFOKO TOWN HALL, Polling Unit, IJEBU EAST, Ogun State, Nigeria</t>
  </si>
  <si>
    <t>27-08-11-012</t>
  </si>
  <si>
    <t>AGO/SULE TOWN HALL</t>
  </si>
  <si>
    <t>https://docs.inecelectionresults.net/elections_prod/1292/state/01/lga/08/ward/11/pu/012/012-1677419956.pdf</t>
  </si>
  <si>
    <t>AGO/SULE TOWN HALL, Polling Unit, IJEBU EAST, Ogun State, Nigeria</t>
  </si>
  <si>
    <t>27-08-11-013</t>
  </si>
  <si>
    <t>BASHIRU TOWN HALL</t>
  </si>
  <si>
    <t>https://docs.inecelectionresults.net/elections_prod/1292/state/01/lga/08/ward/11/pu/013/013-1677419923.pdf</t>
  </si>
  <si>
    <t>BASHIRU TOWN HALL, Polling Unit, IJEBU EAST, Ogun State, Nigeria</t>
  </si>
  <si>
    <t>27-08-11-014</t>
  </si>
  <si>
    <t>OLOKE ALI TOWN HALL</t>
  </si>
  <si>
    <t>https://docs.inecelectionresults.net/elections_prod/1292/state/01/lga/08/ward/11/pu/014/014-1677420781.pdf</t>
  </si>
  <si>
    <t>OLOKE ALI TOWN HALL, Polling Unit, IJEBU EAST, Ogun State, Nigeria</t>
  </si>
  <si>
    <t>27-08-11-015</t>
  </si>
  <si>
    <t>OWODE COMMUNITY PRIMARY SCH</t>
  </si>
  <si>
    <t>https://inec-cvr-cache.s3.eu-west-1.amazonaws.com/cached/results/661098/result_78704_1677504117_thumb.jpg</t>
  </si>
  <si>
    <t>OWODE COMMUNITY PRIMARY SCH, Polling Unit, IJEBU EAST, Ogun State, Nigeria</t>
  </si>
  <si>
    <t>27-08-11-016</t>
  </si>
  <si>
    <t>TEMIDIRE TOWN HALL</t>
  </si>
  <si>
    <t>https://docs.inecelectionresults.net/elections_prod/1292/state/01/lga/08/ward/11/pu/016/016-1677420403.pdf</t>
  </si>
  <si>
    <t>TEMIDIRE TOWN HALL, Polling Unit, IJEBU EAST, Ogun State, Nigeria</t>
  </si>
  <si>
    <t>27-08-11-017</t>
  </si>
  <si>
    <t>AJEBO TOWN HALL</t>
  </si>
  <si>
    <t>https://docs.inecelectionresults.net/elections_prod/1292/state/01/lga/08/ward/11/pu/017/017-1677420453.pdf</t>
  </si>
  <si>
    <t>AJEBO TOWN HALL, Polling Unit, IJEBU EAST, Ogun State, Nigeria</t>
  </si>
  <si>
    <t>27-08-11-018</t>
  </si>
  <si>
    <t>LUKOSI COMMUNITY PRIMARY SCHOOL</t>
  </si>
  <si>
    <t>https://docs.inecelectionresults.net/elections_prod/1292/state/01/lga/08/ward/11/pu/018/018-1677418045.pdf</t>
  </si>
  <si>
    <t>LUKOSI COMMUNITY PRIMARY SCHOOL, Polling Unit, IJEBU EAST, Ogun State, Nigeria</t>
  </si>
  <si>
    <t>27-08-11-019</t>
  </si>
  <si>
    <t>LAAGAN TOWN HALL</t>
  </si>
  <si>
    <t>https://inec-cvr-cache.s3.eu-west-1.amazonaws.com/cached/results/661102/result_78708_1677505917_thumb.jpg</t>
  </si>
  <si>
    <t>LAAGAN TOWN HALL, Polling Unit, IJEBU EAST, Ogun State, Nigeria</t>
  </si>
  <si>
    <t>27-08-11-020</t>
  </si>
  <si>
    <t>COMMUNITY PRIMARY SCHOOL, IDI EGUN SITE</t>
  </si>
  <si>
    <t>https://inec-cvr-cache.s3.eu-west-1.amazonaws.com/cached/results/661103/result_78709_1677505811_thumb.jpg</t>
  </si>
  <si>
    <t>COMMUNITY PRIMARY SCHOOL, IDI EGUN SITE, Polling Unit, IJEBU EAST, Ogun State, Nigeria</t>
  </si>
  <si>
    <t>27-08-11-021</t>
  </si>
  <si>
    <t>COMMUNITY PRIMARY SCHOOL, ADEMOLA IDI EGUN</t>
  </si>
  <si>
    <t>https://inec-cvr-cache.s3.eu-west-1.amazonaws.com/cached/results/661104/result_78710_1677506040_thumb.jpg</t>
  </si>
  <si>
    <t>COMMUNITY PRIMARY SCHOOL, ADEMOLA IDI EGUN, Polling Unit, IJEBU EAST, Ogun State, Nigeria</t>
  </si>
  <si>
    <t>27-08-11-022</t>
  </si>
  <si>
    <t>AJELANWA MARKET SQUARE</t>
  </si>
  <si>
    <t>https://docs.inecelectionresults.net/elections_prod/1292/state/01/lga/08/ward/11/pu/022/022-1677417711.pdf</t>
  </si>
  <si>
    <t>AJELANWA MARKET SQUARE, Polling Unit, IJEBU EAST, Ogun State, Nigeria</t>
  </si>
  <si>
    <t>27-08-11-023</t>
  </si>
  <si>
    <t>ABA SADIKU TOWN HALL</t>
  </si>
  <si>
    <t>https://docs.inecelectionresults.net/elections_prod/1292/state/01/lga/08/ward/11/pu/023/023-1677421134.pdf</t>
  </si>
  <si>
    <t>ABA SADIKU TOWN HALL, Polling Unit, IJEBU EAST, Ogun State, Nigeria</t>
  </si>
  <si>
    <t>27-08-11-024</t>
  </si>
  <si>
    <t>AFUYE/OGBARA TOWN HALL</t>
  </si>
  <si>
    <t>https://docs.inecelectionresults.net/elections_prod/1292/state/01/lga/08/ward/11/pu/024/024-1677421193.pdf</t>
  </si>
  <si>
    <t>AFUYE/OGBARA TOWN HALL, Polling Unit, IJEBU EAST, Ogun State, Nigeria</t>
  </si>
  <si>
    <t>27-08-11-025</t>
  </si>
  <si>
    <t>OLORUNPODO COMMUNITY PRIMARY SCH.</t>
  </si>
  <si>
    <t>https://docs.inecelectionresults.net/elections_prod/1292/state/01/lga/08/ward/11/pu/025/025-1677421392.pdf</t>
  </si>
  <si>
    <t>OLORUNPODO COMMUNITY PRIMARY SCH., Polling Unit, IJEBU EAST, Ogun State, Nigeria</t>
  </si>
  <si>
    <t>27-08-03-012</t>
  </si>
  <si>
    <t>ITAKO OLUWERI SQUARE</t>
  </si>
  <si>
    <t>https://docs.inecelectionresults.net/elections_prod/1292/state/01/lga/08/ward/03/pu/012/012-1677413223.pdf</t>
  </si>
  <si>
    <t>ITAKO OLUWERI SQUARE, Polling Unit, IJEBU EAST, Ogun State, Nigeria</t>
  </si>
  <si>
    <t>27-08-03-013</t>
  </si>
  <si>
    <t>BAPTIST SCHOOL II EXTENSION</t>
  </si>
  <si>
    <t>https://docs.inecelectionresults.net/elections_prod/1292/state/01/lga/08/ward/03/pu/013/013-1677413568.pdf</t>
  </si>
  <si>
    <t>BAPTIST SCHOOL II EXTENSION, Polling Unit, IJEBU EAST, Ogun State, Nigeria</t>
  </si>
  <si>
    <t>27-08-03-014</t>
  </si>
  <si>
    <t>MOBORODE SQUARE</t>
  </si>
  <si>
    <t>https://docs.inecelectionresults.net/elections_prod/1292/state/1/lga/3673/ward/24041/pu/165802/165802-1677497489.pdf</t>
  </si>
  <si>
    <t>MOBORODE SQUARE, Polling Unit, IJEBU EAST, Ogun State, Nigeria</t>
  </si>
  <si>
    <t>27-08-01-011</t>
  </si>
  <si>
    <t>OPEN SPACE AT S.T. ROAD SQUARE</t>
  </si>
  <si>
    <t>https://docs.inecelectionresults.net/elections_prod/1292/state/01/lga/08/ward/01/pu/011/011-1677407807.pdf</t>
  </si>
  <si>
    <t>OPEN SPACE AT S.T. ROAD SQUARE, Polling Unit, IJEBU EAST, Ogun State, Nigeria</t>
  </si>
  <si>
    <t>27-08-01-012</t>
  </si>
  <si>
    <t>MOSLEM PRIMARY SCH, ESURE</t>
  </si>
  <si>
    <t>https://docs.inecelectionresults.net/elections_prod/1292/state/01/lga/08/ward/01/pu/012/012-1677408046.pdf</t>
  </si>
  <si>
    <t>MOSLEM PRIMARY SCH, ESURE, Polling Unit, IJEBU EAST, Ogun State, Nigeria</t>
  </si>
  <si>
    <t>27-08-02-012</t>
  </si>
  <si>
    <t>IMUSHIN HEALTH CENTER</t>
  </si>
  <si>
    <t>https://docs.inecelectionresults.net/elections_prod/1292/state/01/lga/08/ward/02/pu/012/012-1677409993.pdf</t>
  </si>
  <si>
    <t>IMUSHIN HEALTH CENTER, Polling Unit, IJEBU EAST, Ogun State, Nigeria</t>
  </si>
  <si>
    <t>27-08-02-013</t>
  </si>
  <si>
    <t>IDOKUNUSI TOWN HALL</t>
  </si>
  <si>
    <t>https://docs.inecelectionresults.net/elections_prod/1292/state/01/lga/08/ward/02/pu/013/013-1677410239.pdf</t>
  </si>
  <si>
    <t>IDOKUNUSI TOWN HALL, Polling Unit, IJEBU EAST, Ogun State, Nigeria</t>
  </si>
  <si>
    <t>27-08-06-007</t>
  </si>
  <si>
    <t>OLOKO VILLAGE SQUARE</t>
  </si>
  <si>
    <t>https://docs.inecelectionresults.net/elections_prod/1292/state/1/lga/3673/ward/24044/pu/165808/165808-1677528427.pdf</t>
  </si>
  <si>
    <t>OLOKO VILLAGE SQUARE, Polling Unit, IJEBU EAST, Ogun State, Nigeria</t>
  </si>
  <si>
    <t>27-08-06-008</t>
  </si>
  <si>
    <t>IMARERE SQUARE</t>
  </si>
  <si>
    <t>https://docs.inecelectionresults.net/elections_prod/1292/state/1/lga/3673/ward/24044/pu/165809/165809-1677531516.pdf</t>
  </si>
  <si>
    <t>IMARERE SQUARE, Polling Unit, IJEBU EAST, Ogun State, Nigeria</t>
  </si>
  <si>
    <t>27-08-07-012</t>
  </si>
  <si>
    <t>ODOMORE ROUND ABOUT</t>
  </si>
  <si>
    <t>https://docs.inecelectionresults.net/elections_prod/1292/state/01/lga/08/ward/07/pu/012/012-1677406597.pdf</t>
  </si>
  <si>
    <t>ODOMORE ROUND ABOUT, Polling Unit, IJEBU EAST, Ogun State, Nigeria</t>
  </si>
  <si>
    <t>27-08-07-014</t>
  </si>
  <si>
    <t>ITELE TOWN HALL</t>
  </si>
  <si>
    <t>https://docs.inecelectionresults.net/elections_prod/1292/state/01/lga/08/ward/07/pu/014/014-1677402376.pdf</t>
  </si>
  <si>
    <t>ITELE TOWN HALL, Polling Unit, IJEBU EAST, Ogun State, Nigeria</t>
  </si>
  <si>
    <t>27-08-07-015</t>
  </si>
  <si>
    <t>ITELE HEALTH CENTER</t>
  </si>
  <si>
    <t>https://docs.inecelectionresults.net/elections_prod/1292/state/01/lga/08/ward/07/pu/015/015-1677409291.pdf</t>
  </si>
  <si>
    <t>ITELE HEALTH CENTER, Polling Unit, IJEBU EAST, Ogun State, Nigeria</t>
  </si>
  <si>
    <t>27-08-07-016</t>
  </si>
  <si>
    <t>ATOYO MATERNITY CENTER</t>
  </si>
  <si>
    <t>https://docs.inecelectionresults.net/elections_prod/1292/state/01/lga/08/ward/07/pu/016/016-1677404569.pdf</t>
  </si>
  <si>
    <t>ATOYO MATERNITY CENTER, Polling Unit, IJEBU EAST, Ogun State, Nigeria</t>
  </si>
  <si>
    <t>27-08-07-017</t>
  </si>
  <si>
    <t>MOTOR PARK, OGBERE JUNCTION EXPRESS ROAD.</t>
  </si>
  <si>
    <t>https://docs.inecelectionresults.net/elections_prod/1292/state/01/lga/08/ward/07/pu/017/017-1677408935.pdf</t>
  </si>
  <si>
    <t>MOTOR PARK, OGBERE JUNCTION EXPRESS ROAD., Polling Unit, IJEBU EAST, Ogun State, Nigeria</t>
  </si>
  <si>
    <t>27-08-08-014</t>
  </si>
  <si>
    <t>OPEN SPACE BESIDE ANGLICAN CHURCH</t>
  </si>
  <si>
    <t>https://docs.inecelectionresults.net/elections_prod/1292/state/01/lga/08/ward/08/pu/014/014-1677415959.pdf</t>
  </si>
  <si>
    <t>OPEN SPACE BESIDE ANGLICAN CHURCH, Polling Unit, IJEBU EAST, Ogun State, Nigeria</t>
  </si>
  <si>
    <t>27-08-08-016</t>
  </si>
  <si>
    <t>OGBERE SHOPPING COMPLEX</t>
  </si>
  <si>
    <t>https://docs.inecelectionresults.net/elections_prod/1292/state/01/lga/08/ward/08/pu/016/016-1677416197.pdf</t>
  </si>
  <si>
    <t>OGBERE SHOPPING COMPLEX, Polling Unit, IJEBU EAST, Ogun State, Nigeria</t>
  </si>
  <si>
    <t>27-08-08-017</t>
  </si>
  <si>
    <t>ST. BRENDANS GRAMMAR SCH., OGBERE</t>
  </si>
  <si>
    <t>https://docs.inecelectionresults.net/elections_prod/1292/state/01/lga/08/ward/08/pu/017/017-1677415858.pdf</t>
  </si>
  <si>
    <t>ST. BRENDANS GRAMMAR SCH., OGBERE, Polling Unit, IJEBU EAST, Ogun State, Nigeria</t>
  </si>
  <si>
    <t>27-08-08-018</t>
  </si>
  <si>
    <t>COMMUNITY PRIMARY SCH., OKEMISHA</t>
  </si>
  <si>
    <t>https://docs.inecelectionresults.net/elections_prod/1292/state/01/lga/08/ward/08/pu/018/018-1677416186.pdf</t>
  </si>
  <si>
    <t>COMMUNITY PRIMARY SCH., OKEMISHA, Polling Unit, IJEBU EAST, Ogun State, Nigeria</t>
  </si>
  <si>
    <t>27-08-08-019</t>
  </si>
  <si>
    <t>OPEN SPACE AT EREGUN VILLAGE</t>
  </si>
  <si>
    <t>https://docs.inecelectionresults.net/elections_prod/1292/state/01/lga/08/ward/08/pu/019/019-1677415090.pdf</t>
  </si>
  <si>
    <t>OPEN SPACE AT EREGUN VILLAGE, Polling Unit, IJEBU EAST, Ogun State, Nigeria</t>
  </si>
  <si>
    <t>27-08-08-020</t>
  </si>
  <si>
    <t>COMMUNITY PRIMARY SCH. OGUNGBO</t>
  </si>
  <si>
    <t>https://docs.inecelectionresults.net/elections_prod/1292/state/1/lga/3673/ward/24046/pu/165822/165822-1677502755.pdf</t>
  </si>
  <si>
    <t>COMMUNITY PRIMARY SCH. OGUNGBO, Polling Unit, IJEBU EAST, Ogun State, Nigeria</t>
  </si>
  <si>
    <t>27-08-08-021</t>
  </si>
  <si>
    <t>COMMUNITY PRIMARY SCH., AJEDE</t>
  </si>
  <si>
    <t>https://docs.inecelectionresults.net/elections_prod/1292/state/01/lga/08/ward/08/pu/021/021-1677416983.pdf</t>
  </si>
  <si>
    <t>COMMUNITY PRIMARY SCH., AJEDE, Polling Unit, IJEBU EAST, Ogun State, Nigeria</t>
  </si>
  <si>
    <t>27-08-05-012</t>
  </si>
  <si>
    <t>AGBORO SQUARE</t>
  </si>
  <si>
    <t>https://docs.inecelectionresults.net/elections_prod/1292/state/01/lga/08/ward/05/pu/012/012-1677409688.pdf</t>
  </si>
  <si>
    <t>AGBORO SQUARE, Polling Unit, IJEBU EAST, Ogun State, Nigeria</t>
  </si>
  <si>
    <t>27-08-05-013</t>
  </si>
  <si>
    <t>ABA-EYO MARKET SQUARE</t>
  </si>
  <si>
    <t>https://docs.inecelectionresults.net/elections_prod/1292/state/01/lga/08/ward/05/pu/013/013-1677410366.pdf</t>
  </si>
  <si>
    <t>ABA-EYO MARKET SQUARE, Polling Unit, IJEBU EAST, Ogun State, Nigeria</t>
  </si>
  <si>
    <t>27-08-05-014</t>
  </si>
  <si>
    <t>ISIBA SQUARE</t>
  </si>
  <si>
    <t>https://docs.inecelectionresults.net/elections_prod/1292/state/01/lga/08/ward/05/pu/014/014-1677403827.pdf</t>
  </si>
  <si>
    <t>ISIBA SQUARE, Polling Unit, IJEBU EAST, Ogun State, Nigeria</t>
  </si>
  <si>
    <t>27-08-05-015</t>
  </si>
  <si>
    <t>ERINWONRAN MARKET SQUARE</t>
  </si>
  <si>
    <t>https://docs.inecelectionresults.net/elections_prod/1292/state/01/lga/08/ward/05/pu/015/015-1677411118.pdf</t>
  </si>
  <si>
    <t>ERINWONRAN MARKET SQUARE, Polling Unit, IJEBU EAST, Ogun State, Nigeria</t>
  </si>
  <si>
    <t>27-08-05-016</t>
  </si>
  <si>
    <t>OLOMIKOKO SQUARE</t>
  </si>
  <si>
    <t>https://docs.inecelectionresults.net/elections_prod/1292/state/01/lga/08/ward/05/pu/016/016-1677411625.pdf</t>
  </si>
  <si>
    <t>OLOMIKOKO SQUARE, Polling Unit, IJEBU EAST, Ogun State, Nigeria</t>
  </si>
  <si>
    <t>27-09-08-022</t>
  </si>
  <si>
    <t>ABOBI COMPREHENSIVE HIGH SCHOOL</t>
  </si>
  <si>
    <t>https://docs.inecelectionresults.net/elections_prod/1292/state/01/lga/09/ward/08/pu/022/022-1677389148.pdf</t>
  </si>
  <si>
    <t>ABOBI COMPREHENSIVE HIGH SCHOOL, Polling Unit, IJEBU NORTH, Ogun State, Nigeria</t>
  </si>
  <si>
    <t>27-09-08-023</t>
  </si>
  <si>
    <t>OPEN SPACE AT FAKUNFAKUN MOTOR PARK, ITAMERIN, AGO IWOYE</t>
  </si>
  <si>
    <t>https://docs.inecelectionresults.net/elections_prod/1292/state/01/lga/09/ward/08/pu/023/023-1677389592.pdf</t>
  </si>
  <si>
    <t>OPEN SPACE AT FAKUNFAKUN MOTOR PARK, ITAMERIN, AGO IWOYE, Polling Unit, IJEBU NORTH, Ogun State, Nigeria</t>
  </si>
  <si>
    <t>27-09-08-024</t>
  </si>
  <si>
    <t>OKE ODO PRIMARY HEALTH CENTRE</t>
  </si>
  <si>
    <t>https://docs.inecelectionresults.net/elections_prod/1292/state/01/lga/09/ward/08/pu/024/024-1677389990.pdf</t>
  </si>
  <si>
    <t>OKE ODO PRIMARY HEALTH CENTRE, Polling Unit, IJEBU NORTH, Ogun State, Nigeria</t>
  </si>
  <si>
    <t>27-09-08-025</t>
  </si>
  <si>
    <t>OPEN AT SPACE KOROKO AREA, IGO IWOYE</t>
  </si>
  <si>
    <t>https://docs.inecelectionresults.net/elections_prod/1292/state/01/lga/09/ward/08/pu/025/025-1677390240.pdf</t>
  </si>
  <si>
    <t>OPEN AT SPACE KOROKO AREA, IGO IWOYE, Polling Unit, IJEBU NORTH, Ogun State, Nigeria</t>
  </si>
  <si>
    <t>27-09-08-026</t>
  </si>
  <si>
    <t>OPEN SPACE AT KONIGBA JUNCTION AGO IWOYE</t>
  </si>
  <si>
    <t>https://docs.inecelectionresults.net/elections_prod/1292/state/01/lga/09/ward/08/pu/026/026-1677390538.pdf</t>
  </si>
  <si>
    <t>OPEN SPACE AT KONIGBA JUNCTION AGO IWOYE, Polling Unit, IJEBU NORTH, Ogun State, Nigeria</t>
  </si>
  <si>
    <t>27-09-08-021</t>
  </si>
  <si>
    <t>OPEN SPACE F.G COMMUNITY WATER PROJECT, ABOBI</t>
  </si>
  <si>
    <t>https://docs.inecelectionresults.net/elections_prod/1292/state/01/lga/09/ward/08/pu/021/021-1677389009.pdf</t>
  </si>
  <si>
    <t>OPEN SPACE F.G COMMUNITY WATER PROJECT, ABOBI, Polling Unit, IJEBU NORTH, Ogun State, Nigeria</t>
  </si>
  <si>
    <t>27-09-09-019</t>
  </si>
  <si>
    <t>FOWOSEJE COMPREHENSIVE HIGH SCHOOL, AGO IWOYE</t>
  </si>
  <si>
    <t>https://docs.inecelectionresults.net/elections_prod/1292/state/01/lga/09/ward/09/pu/019/019-1677376169.pdf</t>
  </si>
  <si>
    <t>FOWOSEJE COMPREHENSIVE HIGH SCHOOL, AGO IWOYE, Polling Unit, IJEBU NORTH, Ogun State, Nigeria</t>
  </si>
  <si>
    <t>27-09-09-020</t>
  </si>
  <si>
    <t>OPEN SPACE OPP. CHIPS FILLLING STATION</t>
  </si>
  <si>
    <t>https://docs.inecelectionresults.net/elections_prod/1292/state/01/lga/09/ward/09/pu/020/020-1677362315.pdf</t>
  </si>
  <si>
    <t>OPEN SPACE OPP. CHIPS FILLLING STATION, Polling Unit, IJEBU NORTH, Ogun State, Nigeria</t>
  </si>
  <si>
    <t>27-09-10-018</t>
  </si>
  <si>
    <t>AHMADIYYA HIGH SCH. . AGO IWOYE</t>
  </si>
  <si>
    <t>https://docs.inecelectionresults.net/elections_prod/1292/state/01/lga/09/ward/10/pu/018/018-1677403748.pdf</t>
  </si>
  <si>
    <t>AHMADIYYA HIGH SCH. . AGO IWOYE, Polling Unit, IJEBU NORTH, Ogun State, Nigeria</t>
  </si>
  <si>
    <t>27-09-10-019</t>
  </si>
  <si>
    <t>OPEN SPACE  FRONRT OF AKO -ORILE COMMUNITY HALL (GELETE)</t>
  </si>
  <si>
    <t>https://docs.inecelectionresults.net/elections_prod/1292/state/01/lga/09/ward/10/pu/019/019-1677402902.pdf</t>
  </si>
  <si>
    <t>OPEN SPACE  FRONRT OF AKO -ORILE COMMUNITY HALL (GELETE), Polling Unit, IJEBU NORTH, Ogun State, Nigeria</t>
  </si>
  <si>
    <t>27-09-01-018</t>
  </si>
  <si>
    <t>OSUN MOTOR PARK</t>
  </si>
  <si>
    <t>https://docs.inecelectionresults.net/elections_prod/1292/state/01/lga/09/ward/01/pu/018/018-1677405887.pdf</t>
  </si>
  <si>
    <t>OSUN MOTOR PARK, Polling Unit, IJEBU NORTH, Ogun State, Nigeria</t>
  </si>
  <si>
    <t>27-09-01-020</t>
  </si>
  <si>
    <t>OPEN SPACE BESIDE VULCANISER HOUSE OLD ROTIMI JOBO JUNCTION</t>
  </si>
  <si>
    <t>https://docs.inecelectionresults.net/elections_prod/1292/state/01/lga/09/ward/01/pu/020/020-1677403946.pdf</t>
  </si>
  <si>
    <t>OPEN SPACE BESIDE VULCANISER HOUSE OLD ROTIMI JOBO JUNCTION, Polling Unit, IJEBU NORTH, Ogun State, Nigeria</t>
  </si>
  <si>
    <t>27-09-01-021</t>
  </si>
  <si>
    <t>OPEN SPACE IN FRONT OF MAGISTRATE COURT</t>
  </si>
  <si>
    <t>https://docs.inecelectionresults.net/elections_prod/1292/state/01/lga/09/ward/01/pu/021/021-1677388256.pdf</t>
  </si>
  <si>
    <t>OPEN SPACE IN FRONT OF MAGISTRATE COURT, Polling Unit, IJEBU NORTH, Ogun State, Nigeria</t>
  </si>
  <si>
    <t>27-09-01-022</t>
  </si>
  <si>
    <t>KEGBO COMPREHENSIVE HIGH SCHOOL</t>
  </si>
  <si>
    <t>https://docs.inecelectionresults.net/elections_prod/1292/state/01/lga/09/ward/01/pu/022/022-1677398736.pdf</t>
  </si>
  <si>
    <t>KEGBO COMPREHENSIVE HIGH SCHOOL, Polling Unit, IJEBU NORTH, Ogun State, Nigeria</t>
  </si>
  <si>
    <t>27-09-02-018</t>
  </si>
  <si>
    <t>OPEN SPACE AT ARO ADEBISI JUNCTION</t>
  </si>
  <si>
    <t>https://docs.inecelectionresults.net/elections_prod/1292/state/01/lga/09/ward/02/pu/018/018-1677401497.pdf</t>
  </si>
  <si>
    <t>OPEN SPACE AT ARO ADEBISI JUNCTION, Polling Unit, IJEBU NORTH, Ogun State, Nigeria</t>
  </si>
  <si>
    <t>27-09-02-019</t>
  </si>
  <si>
    <t>IJEBU IGBO GIRL GRAMMAR SCH, OJOWO</t>
  </si>
  <si>
    <t>https://docs.inecelectionresults.net/elections_prod/1292/state/01/lga/09/ward/02/pu/019/019-1677402531.pdf</t>
  </si>
  <si>
    <t>IJEBU IGBO GIRL GRAMMAR SCH, OJOWO, Polling Unit, IJEBU NORTH, Ogun State, Nigeria</t>
  </si>
  <si>
    <t>27-09-02-020</t>
  </si>
  <si>
    <t>JAPARA HIGH SCHOOL, JAPARA, IJEBU NORTH</t>
  </si>
  <si>
    <t>https://docs.inecelectionresults.net/elections_prod/1292/state/01/lga/09/ward/02/pu/020/020-1677402942.pdf</t>
  </si>
  <si>
    <t>JAPARA HIGH SCHOOL, JAPARA, IJEBU NORTH, Polling Unit, IJEBU NORTH, Ogun State, Nigeria</t>
  </si>
  <si>
    <t>27-09-05-025</t>
  </si>
  <si>
    <t>ITAALE MOTOR PARK , OKE AGBO</t>
  </si>
  <si>
    <t>https://docs.inecelectionresults.net/elections_prod/1292/state/01/lga/09/ward/05/pu/025/025-1677395515.pdf</t>
  </si>
  <si>
    <t>ITAALE MOTOR PARK , OKE AGBO, Polling Unit, IJEBU NORTH, Ogun State, Nigeria</t>
  </si>
  <si>
    <t>27-09-06-033</t>
  </si>
  <si>
    <t>ST JOSEPH RCM PRIMARY SCH  OKE SOPIN</t>
  </si>
  <si>
    <t>https://inec-cvr-cache.s3.eu-west-1.amazonaws.com/cached/results/661158/result_78866_1677537631_thumb.jpg</t>
  </si>
  <si>
    <t>ST JOSEPH RCM PRIMARY SCH  OKE SOPIN, Polling Unit, IJEBU NORTH, Ogun State, Nigeria</t>
  </si>
  <si>
    <t>27-09-06-034</t>
  </si>
  <si>
    <t>OPEN SPACE AT SHONUBI JUNCTION</t>
  </si>
  <si>
    <t>https://inec-cvr-cache.s3.eu-west-1.amazonaws.com/cached/results/661159/result_78867_1677537817_thumb.jpg</t>
  </si>
  <si>
    <t>OPEN SPACE AT SHONUBI JUNCTION, Polling Unit, IJEBU NORTH, Ogun State, Nigeria</t>
  </si>
  <si>
    <t>27-09-06-036</t>
  </si>
  <si>
    <t>MOLUSI COLLEGE</t>
  </si>
  <si>
    <t>https://inec-cvr-cache.s3.eu-west-1.amazonaws.com/cached/results/661161/result_78869_1677537490_thumb.jpg</t>
  </si>
  <si>
    <t>MOLUSI COLLEGE, Polling Unit, IJEBU NORTH, Ogun State, Nigeria</t>
  </si>
  <si>
    <t>27-09-06-037</t>
  </si>
  <si>
    <t>OPEN SPACE AT HOPE IMMACULATE  SCH, SHOKAS</t>
  </si>
  <si>
    <t>https://docs.inecelectionresults.net/elections_prod/1292/state/01/lga/09/ward/06/pu/037/037-1677379303.pdf</t>
  </si>
  <si>
    <t>OPEN SPACE AT HOPE IMMACULATE  SCH, SHOKAS, Polling Unit, IJEBU NORTH, Ogun State, Nigeria</t>
  </si>
  <si>
    <t>27-09-06-038</t>
  </si>
  <si>
    <t>FRONT  OF ABUSI EDUMARE ACADEMY SCHOOL, IJEBU IGBO</t>
  </si>
  <si>
    <t>https://docs.inecelectionresults.net/elections_prod/1292/state/01/lga/09/ward/06/pu/038/038-1677396380.pdf</t>
  </si>
  <si>
    <t>FRONT  OF ABUSI EDUMARE ACADEMY SCHOOL, IJEBU IGBO, Polling Unit, IJEBU NORTH, Ogun State, Nigeria</t>
  </si>
  <si>
    <t>27-09-06-039</t>
  </si>
  <si>
    <t>INFRONT OF EGBE HEALTH CENTRE, OKE SOPIN</t>
  </si>
  <si>
    <t>https://inec-cvr-cache.s3.eu-west-1.amazonaws.com/cached/results/661164/result_78872_1677537971_thumb.jpg</t>
  </si>
  <si>
    <t>INFRONT OF EGBE HEALTH CENTRE, OKE SOPIN, Polling Unit, IJEBU NORTH, Ogun State, Nigeria</t>
  </si>
  <si>
    <t>27-09-07-019</t>
  </si>
  <si>
    <t>OPEN SPACE IMOTA QUARTERS, ORU</t>
  </si>
  <si>
    <t>https://docs.inecelectionresults.net/elections_prod/1292/state/01/lga/09/ward/07/pu/019/019-1677417926.pdf</t>
  </si>
  <si>
    <t>OPEN SPACE IMOTA QUARTERS, ORU, Polling Unit, IJEBU NORTH, Ogun State, Nigeria</t>
  </si>
  <si>
    <t>27-09-07-020</t>
  </si>
  <si>
    <t>OPEN SPACE  AT ODOGBE STREET, ORU</t>
  </si>
  <si>
    <t>https://docs.inecelectionresults.net/elections_prod/1292/state/01/lga/09/ward/07/pu/020/020-1677401776.pdf</t>
  </si>
  <si>
    <t>OPEN SPACE  AT ODOGBE STREET, ORU, Polling Unit, IJEBU NORTH, Ogun State, Nigeria</t>
  </si>
  <si>
    <t>27-09-07-021</t>
  </si>
  <si>
    <t>OPEN SPACE AT AYEGBAMI STREET, AWA</t>
  </si>
  <si>
    <t>https://docs.inecelectionresults.net/elections_prod/1292/state/01/lga/09/ward/07/pu/021/021-1677400139.pdf</t>
  </si>
  <si>
    <t>OPEN SPACE AT AYEGBAMI STREET, AWA, Polling Unit, IJEBU NORTH, Ogun State, Nigeria</t>
  </si>
  <si>
    <t>27-09-07-022</t>
  </si>
  <si>
    <t>ORU TOWN HALL</t>
  </si>
  <si>
    <t>https://docs.inecelectionresults.net/elections_prod/1292/state/01/lga/09/ward/07/pu/022/022-1677419592.pdf</t>
  </si>
  <si>
    <t>ORU TOWN HALL, Polling Unit, IJEBU NORTH, Ogun State, Nigeria</t>
  </si>
  <si>
    <t>27-09-07-023</t>
  </si>
  <si>
    <t>OPEN SPACE BESIDE NSCDC OFFICE, AWA</t>
  </si>
  <si>
    <t>https://docs.inecelectionresults.net/elections_prod/1292/state/01/lga/09/ward/07/pu/023/023-1677421600.pdf</t>
  </si>
  <si>
    <t>OPEN SPACE BESIDE NSCDC OFFICE, AWA, Polling Unit, IJEBU NORTH, Ogun State, Nigeria</t>
  </si>
  <si>
    <t>27-09-07-024</t>
  </si>
  <si>
    <t>REFUGE PRIMARY SCHOOL , ORU</t>
  </si>
  <si>
    <t>https://docs.inecelectionresults.net/elections_prod/1292/state/01/lga/09/ward/07/pu/024/024-1677421441.pdf</t>
  </si>
  <si>
    <t>REFUGE PRIMARY SCHOOL , ORU, Polling Unit, IJEBU NORTH, Ogun State, Nigeria</t>
  </si>
  <si>
    <t>27-09-04-027</t>
  </si>
  <si>
    <t>BAOKU  VILLAGE SQUARE</t>
  </si>
  <si>
    <t>https://inec-cvr-cache.s3.eu-west-1.amazonaws.com/cached/results/661171/result_78805_1677535544_thumb.jpg</t>
  </si>
  <si>
    <t>BAOKU  VILLAGE SQUARE, Polling Unit, IJEBU NORTH, Ogun State, Nigeria</t>
  </si>
  <si>
    <t>27-09-04-028</t>
  </si>
  <si>
    <t>OPEN SPACE AT TEMIDIRE ABA TUNTUN</t>
  </si>
  <si>
    <t>https://inec-cvr-cache.s3.eu-west-1.amazonaws.com/cached/results/661172/result_78806_1677536011_thumb.jpg</t>
  </si>
  <si>
    <t>OPEN SPACE AT TEMIDIRE ABA TUNTUN, Polling Unit, IJEBU NORTH, Ogun State, Nigeria</t>
  </si>
  <si>
    <t>27-09-04-029</t>
  </si>
  <si>
    <t>OSHOKO COMMUNITY PRIMARY  SCHOOL , OSHOKO</t>
  </si>
  <si>
    <t>https://docs.inecelectionresults.net/elections_prod/1292/state/01/lga/09/ward/04/pu/029/029-1677390207.pdf</t>
  </si>
  <si>
    <t>OSHOKO COMMUNITY PRIMARY  SCHOOL , OSHOKO, Polling Unit, IJEBU NORTH, Ogun State, Nigeria</t>
  </si>
  <si>
    <t>27-10-10-009</t>
  </si>
  <si>
    <t>OPEN SPACE ISAKI</t>
  </si>
  <si>
    <t>https://docs.inecelectionresults.net/elections_prod/1292/state/01/lga/10/ward/10/pu/009/009-1677397653.pdf</t>
  </si>
  <si>
    <t>OPEN SPACE ISAKI, Polling Unit, IJEBU NORTH EAST, Ogun State, Nigeria</t>
  </si>
  <si>
    <t>27-10-10-010</t>
  </si>
  <si>
    <t>IYANIWURA OPEN SPACE, OPP BATO CENTRE</t>
  </si>
  <si>
    <t>https://docs.inecelectionresults.net/elections_prod/1292/state/01/lga/10/ward/10/pu/010/010-1677398267.pdf</t>
  </si>
  <si>
    <t>IYANIWURA OPEN SPACE, OPP BATO CENTRE, Polling Unit, IJEBU NORTH EAST, Ogun State, Nigeria</t>
  </si>
  <si>
    <t>27-10-08-012</t>
  </si>
  <si>
    <t>HEALTH TECH ILESE</t>
  </si>
  <si>
    <t>https://docs.inecelectionresults.net/elections_prod/1292/state/1/lga/3675/ward/24068/pu/165876/165876-1677510837.pdf</t>
  </si>
  <si>
    <t>HEALTH TECH ILESE, Polling Unit, IJEBU NORTH EAST, Ogun State, Nigeria</t>
  </si>
  <si>
    <t>27-10-08-014</t>
  </si>
  <si>
    <t>IKEN TOWN HALL</t>
  </si>
  <si>
    <t>https://docs.inecelectionresults.net/elections_prod/1292/state/01/lga/10/ward/08/pu/014/014-1677395777.pdf</t>
  </si>
  <si>
    <t>IKEN TOWN HALL, Polling Unit, IJEBU NORTH EAST, Ogun State, Nigeria</t>
  </si>
  <si>
    <t>27-10-08-015</t>
  </si>
  <si>
    <t>OPEN SPACE ISADE</t>
  </si>
  <si>
    <t>https://docs.inecelectionresults.net/elections_prod/1292/state/01/lga/10/ward/08/pu/015/015-1677372787.pdf</t>
  </si>
  <si>
    <t>OPEN SPACE ISADE, Polling Unit, IJEBU NORTH EAST, Ogun State, Nigeria</t>
  </si>
  <si>
    <t>27-10-08-016</t>
  </si>
  <si>
    <t>OPEN SPACE ESURU</t>
  </si>
  <si>
    <t>https://docs.inecelectionresults.net/elections_prod/1292/state/01/lga/10/ward/08/pu/016/016-1677379941.pdf</t>
  </si>
  <si>
    <t>OPEN SPACE ESURU, Polling Unit, IJEBU NORTH EAST, Ogun State, Nigeria</t>
  </si>
  <si>
    <t>27-10-08-017</t>
  </si>
  <si>
    <t>OPEN SPACE RASONWA</t>
  </si>
  <si>
    <t>https://docs.inecelectionresults.net/elections_prod/1292/state/01/lga/10/ward/08/pu/017/017-1677398591.pdf</t>
  </si>
  <si>
    <t>OPEN SPACE RASONWA, Polling Unit, IJEBU NORTH EAST, Ogun State, Nigeria</t>
  </si>
  <si>
    <t>27-10-09-010</t>
  </si>
  <si>
    <t>OPEN SPACE ALONG MOLIPA IREWON</t>
  </si>
  <si>
    <t>https://docs.inecelectionresults.net/elections_prod/1292/state/01/lga/10/ward/09/pu/010/010-1677372908.pdf</t>
  </si>
  <si>
    <t>OPEN SPACE ALONG MOLIPA IREWON, Polling Unit, IJEBU NORTH EAST, Ogun State, Nigeria</t>
  </si>
  <si>
    <t>27-10-09-011</t>
  </si>
  <si>
    <t>OGBOGBO BAPTIST PRIMARY SCHOOL</t>
  </si>
  <si>
    <t>https://docs.inecelectionresults.net/elections_prod/1292/state/01/lga/10/ward/09/pu/011/011-1677370661.pdf</t>
  </si>
  <si>
    <t>OGBOGBO BAPTIST PRIMARY SCHOOL, Polling Unit, IJEBU NORTH EAST, Ogun State, Nigeria</t>
  </si>
  <si>
    <t>27-10-09-013</t>
  </si>
  <si>
    <t>ONIRUGBA  OPEN SPACE</t>
  </si>
  <si>
    <t>https://docs.inecelectionresults.net/elections_prod/1292/state/01/lga/10/ward/09/pu/013/013-1677389886.pdf</t>
  </si>
  <si>
    <t>ONIRUGBA  OPEN SPACE, Polling Unit, IJEBU NORTH EAST, Ogun State, Nigeria</t>
  </si>
  <si>
    <t>27-11-02-007</t>
  </si>
  <si>
    <t>BY ODO ESA PREMIER MOSQUE NEAR IDIROKO, OLISA</t>
  </si>
  <si>
    <t>https://docs.inecelectionresults.net/elections_prod/1292/state/01/lga/11/ward/02/pu/007/007-1677376267.pdf</t>
  </si>
  <si>
    <t>BY ODO ESA PREMIER MOSQUE NEAR IDIROKO, OLISA, Polling Unit, IJEBU ODE, Ogun State, Nigeria</t>
  </si>
  <si>
    <t>27-11-02-008</t>
  </si>
  <si>
    <t>SAKA ASHIRU JUNCTION    VIA MAYOMAYO</t>
  </si>
  <si>
    <t>https://docs.inecelectionresults.net/elections_prod/1292/state/01/lga/11/ward/02/pu/008/008-1677375771.pdf</t>
  </si>
  <si>
    <t>SAKA ASHIRU JUNCTION    VIA MAYOMAYO, Polling Unit, IJEBU ODE, Ogun State, Nigeria</t>
  </si>
  <si>
    <t>27-11-02-009</t>
  </si>
  <si>
    <t>OPEN SPACE BY OLORUNGBEBE MOSQUE MAKALEWO</t>
  </si>
  <si>
    <t>https://docs.inecelectionresults.net/elections_prod/1292/state/01/lga/11/ward/02/pu/009/009-1677375487.pdf</t>
  </si>
  <si>
    <t>OPEN SPACE BY OLORUNGBEBE MOSQUE MAKALEWO, Polling Unit, IJEBU ODE, Ogun State, Nigeria</t>
  </si>
  <si>
    <t>27-11-02-010</t>
  </si>
  <si>
    <t>JIMILEYIN JUNCTION, ADJACENT IREPODUN MOSQUE</t>
  </si>
  <si>
    <t>https://docs.inecelectionresults.net/elections_prod/1292/state/01/lga/11/ward/02/pu/010/010-1677374988.pdf</t>
  </si>
  <si>
    <t>JIMILEYIN JUNCTION, ADJACENT IREPODUN MOSQUE, Polling Unit, IJEBU ODE, Ogun State, Nigeria</t>
  </si>
  <si>
    <t>27-11-02-011</t>
  </si>
  <si>
    <t>OPEN SPACE AT OGUNTUGA FOUR JUNCTION</t>
  </si>
  <si>
    <t>https://docs.inecelectionresults.net/elections_prod/1292/state/01/lga/11/ward/02/pu/011/011-1677374538.pdf</t>
  </si>
  <si>
    <t>OPEN SPACE AT OGUNTUGA FOUR JUNCTION, Polling Unit, IJEBU ODE, Ogun State, Nigeria</t>
  </si>
  <si>
    <t>27-11-04-007</t>
  </si>
  <si>
    <t>OPEN SPACE AT MOBORODE / GBELEGBUWA JUNCTION</t>
  </si>
  <si>
    <t>https://docs.inecelectionresults.net/elections_prod/1292/state/01/lga/11/ward/04/pu/007/007-1677422125.pdf</t>
  </si>
  <si>
    <t>OPEN SPACE AT MOBORODE / GBELEGBUWA JUNCTION, Polling Unit, IJEBU ODE, Ogun State, Nigeria</t>
  </si>
  <si>
    <t>27-11-04-008</t>
  </si>
  <si>
    <t>OPEN SPACE AT ITAPAKURA / OLODE JUNCTION</t>
  </si>
  <si>
    <t>https://docs.inecelectionresults.net/elections_prod/1292/state/01/lga/11/ward/04/pu/008/008-1677423338.pdf</t>
  </si>
  <si>
    <t>OPEN SPACE AT ITAPAKURA / OLODE JUNCTION, Polling Unit, IJEBU ODE, Ogun State, Nigeria</t>
  </si>
  <si>
    <t>27-11-05-013</t>
  </si>
  <si>
    <t>OPEN SPACE AT OYA JUNCTION BY ADELAJA STR.</t>
  </si>
  <si>
    <t>https://docs.inecelectionresults.net/elections_prod/1292/state/01/lga/11/ward/05/pu/013/013-1677376051.pdf</t>
  </si>
  <si>
    <t>OPEN SPACE AT OYA JUNCTION BY ADELAJA STR., Polling Unit, IJEBU ODE, Ogun State, Nigeria</t>
  </si>
  <si>
    <t>27-11-05-016</t>
  </si>
  <si>
    <t>OPEN SPACE BY OLORUNOSUN / SATINA JUNCTION, ONDO ROAD</t>
  </si>
  <si>
    <t>https://docs.inecelectionresults.net/elections_prod/1292/state/01/lga/11/ward/05/pu/016/016-1677377127.pdf</t>
  </si>
  <si>
    <t>OPEN SPACE BY OLORUNOSUN / SATINA JUNCTION, ONDO ROAD, Polling Unit, IJEBU ODE, Ogun State, Nigeria</t>
  </si>
  <si>
    <t>27-11-05-017</t>
  </si>
  <si>
    <t>OPEN SPACE AT ORUNFE - JAGINRIN JUNCTION IMEPE</t>
  </si>
  <si>
    <t>https://docs.inecelectionresults.net/elections_prod/1292/state/01/lga/11/ward/05/pu/017/017-1677377801.pdf</t>
  </si>
  <si>
    <t>OPEN SPACE AT ORUNFE - JAGINRIN JUNCTION IMEPE, Polling Unit, IJEBU ODE, Ogun State, Nigeria</t>
  </si>
  <si>
    <t>27-11-05-019</t>
  </si>
  <si>
    <t>CELE T-JUNCTION BY KOWA HOSPITAL OFF EJINRIN ROAD</t>
  </si>
  <si>
    <t>https://docs.inecelectionresults.net/elections_prod/1292/state/01/lga/11/ward/05/pu/019/019-1677381388.pdf</t>
  </si>
  <si>
    <t>CELE T-JUNCTION BY KOWA HOSPITAL OFF EJINRIN ROAD, Polling Unit, IJEBU ODE, Ogun State, Nigeria</t>
  </si>
  <si>
    <t>27-11-05-020</t>
  </si>
  <si>
    <t>27-11-05-021</t>
  </si>
  <si>
    <t>CARTERPILLAR JUNCTION ADEFISAN ROAD, OFF EJINRIN ROAD</t>
  </si>
  <si>
    <t>https://docs.inecelectionresults.net/elections_prod/1292/state/01/lga/11/ward/05/pu/021/021-1677382095.pdf</t>
  </si>
  <si>
    <t>CARTERPILLAR JUNCTION ADEFISAN ROAD, OFF EJINRIN ROAD, Polling Unit, IJEBU ODE, Ogun State, Nigeria</t>
  </si>
  <si>
    <t>27-11-05-022</t>
  </si>
  <si>
    <t>AKINTONDE PLAZA BY OYINGBO JUNCTION</t>
  </si>
  <si>
    <t>https://docs.inecelectionresults.net/elections_prod/1292/state/01/lga/11/ward/05/pu/022/022-1677382384.pdf</t>
  </si>
  <si>
    <t>AKINTONDE PLAZA BY OYINGBO JUNCTION, Polling Unit, IJEBU ODE, Ogun State, Nigeria</t>
  </si>
  <si>
    <t>27-11-05-023</t>
  </si>
  <si>
    <t>FRONT OF HALIDU MOSQUE, IDELE JUNCTION</t>
  </si>
  <si>
    <t>https://docs.inecelectionresults.net/elections_prod/1292/state/01/lga/11/ward/05/pu/023/023-1677382730.pdf</t>
  </si>
  <si>
    <t>FRONT OF HALIDU MOSQUE, IDELE JUNCTION, Polling Unit, IJEBU ODE, Ogun State, Nigeria</t>
  </si>
  <si>
    <t>27-11-08-012</t>
  </si>
  <si>
    <t>OPEN SPACE BY KENNY BLOCK INDUSTRY, ILAMO AREA</t>
  </si>
  <si>
    <t>https://docs.inecelectionresults.net/elections_prod/1292/state/01/lga/11/ward/08/pu/012/012-1677381628.pdf</t>
  </si>
  <si>
    <t>OPEN SPACE BY KENNY BLOCK INDUSTRY, ILAMO AREA, Polling Unit, IJEBU ODE, Ogun State, Nigeria</t>
  </si>
  <si>
    <t>27-11-08-013</t>
  </si>
  <si>
    <t>OPEN SPACE BY AJIROBA HOUSE</t>
  </si>
  <si>
    <t>https://docs.inecelectionresults.net/elections_prod/1292/state/01/lga/11/ward/08/pu/013/013-1677380762.pdf</t>
  </si>
  <si>
    <t>OPEN SPACE BY AJIROBA HOUSE, Polling Unit, IJEBU ODE, Ogun State, Nigeria</t>
  </si>
  <si>
    <t>27-11-08-014</t>
  </si>
  <si>
    <t>OPEN SPACE AT AWOYEMI JUNCTION</t>
  </si>
  <si>
    <t>https://docs.inecelectionresults.net/elections_prod/1292/state/01/lga/11/ward/08/pu/014/014-1677378996.pdf</t>
  </si>
  <si>
    <t>OPEN SPACE AT AWOYEMI JUNCTION, Polling Unit, IJEBU ODE, Ogun State, Nigeria</t>
  </si>
  <si>
    <t>27-11-08-015</t>
  </si>
  <si>
    <t>OPEN SPACE AT ALAIYEPE OLUGBILE JUNCTION MOLIPA</t>
  </si>
  <si>
    <t>https://docs.inecelectionresults.net/elections_prod/1292/state/01/lga/11/ward/08/pu/015/015-1677379334.pdf</t>
  </si>
  <si>
    <t>OPEN SPACE AT ALAIYEPE OLUGBILE JUNCTION MOLIPA, Polling Unit, IJEBU ODE, Ogun State, Nigeria</t>
  </si>
  <si>
    <t>27-11-08-016</t>
  </si>
  <si>
    <t>OLD EPIC SCHOOL / CELE CHURCH JUNCTION BEHIND PRIME HOTEL</t>
  </si>
  <si>
    <t>https://docs.inecelectionresults.net/elections_prod/1292/state/01/lga/11/ward/08/pu/016/016-1677378850.pdf</t>
  </si>
  <si>
    <t>OLD EPIC SCHOOL / CELE CHURCH JUNCTION BEHIND PRIME HOTEL, Polling Unit, IJEBU ODE, Ogun State, Nigeria</t>
  </si>
  <si>
    <t>27-11-08-017</t>
  </si>
  <si>
    <t>OPEN SPACE BY FOUR NUMBER JUNCTION MOLIPA ROAD</t>
  </si>
  <si>
    <t>https://docs.inecelectionresults.net/elections_prod/1292/state/01/lga/11/ward/08/pu/017/017-1677383606.pdf</t>
  </si>
  <si>
    <t>OPEN SPACE BY FOUR NUMBER JUNCTION MOLIPA ROAD, Polling Unit, IJEBU ODE, Ogun State, Nigeria</t>
  </si>
  <si>
    <t>27-11-08-018</t>
  </si>
  <si>
    <t>OPEN SPACE AT DEGUN JUNCTION BY ONALAJA STREET OFF FOLAGBADE ROAD</t>
  </si>
  <si>
    <t>https://docs.inecelectionresults.net/elections_prod/1292/state/01/lga/11/ward/08/pu/018/018-1677385530.pdf</t>
  </si>
  <si>
    <t>OPEN SPACE AT DEGUN JUNCTION BY ONALAJA STREET OFF FOLAGBADE ROAD, Polling Unit, IJEBU ODE, Ogun State, Nigeria</t>
  </si>
  <si>
    <t>27-11-08-019</t>
  </si>
  <si>
    <t>OPEN SPACE BY OGUNBA-OLASUNBO JUNCTION, OFF FOLAGBADE ROAD</t>
  </si>
  <si>
    <t>https://docs.inecelectionresults.net/elections_prod/1292/state/01/lga/11/ward/08/pu/019/019-1677381077.pdf</t>
  </si>
  <si>
    <t>OPEN SPACE BY OGUNBA-OLASUNBO JUNCTION, OFF FOLAGBADE ROAD, Polling Unit, IJEBU ODE, Ogun State, Nigeria</t>
  </si>
  <si>
    <t>27-11-08-020</t>
  </si>
  <si>
    <t>OPEN SPACE BY ZIPEST FILLING STATION , OPPOSITE  SOYE, MOSQUE.</t>
  </si>
  <si>
    <t>https://docs.inecelectionresults.net/elections_prod/1292/state/01/lga/11/ward/08/pu/020/020-1677380486.pdf</t>
  </si>
  <si>
    <t>OPEN SPACE BY ZIPEST FILLING STATION , OPPOSITE  SOYE, MOSQUE., Polling Unit, IJEBU ODE, Ogun State, Nigeria</t>
  </si>
  <si>
    <t>27-11-08-021</t>
  </si>
  <si>
    <t>AYESAN MARKET GATE, AYESAN AREA</t>
  </si>
  <si>
    <t>https://docs.inecelectionresults.net/elections_prod/1292/state/01/lga/11/ward/08/pu/021/021-1677379802.pdf</t>
  </si>
  <si>
    <t>AYESAN MARKET GATE, AYESAN AREA, Polling Unit, IJEBU ODE, Ogun State, Nigeria</t>
  </si>
  <si>
    <t>27-11-08-022</t>
  </si>
  <si>
    <t>AWOYELU-JOGBO HEALTH CENTRE</t>
  </si>
  <si>
    <t>https://docs.inecelectionresults.net/elections_prod/1292/state/01/lga/11/ward/08/pu/022/022-1677382229.pdf</t>
  </si>
  <si>
    <t>AWOYELU-JOGBO HEALTH CENTRE, Polling Unit, IJEBU ODE, Ogun State, Nigeria</t>
  </si>
  <si>
    <t>27-11-08-023</t>
  </si>
  <si>
    <t>OPEN SPACE AT LEKUTI OKE JUNCTION</t>
  </si>
  <si>
    <t>https://docs.inecelectionresults.net/elections_prod/1292/state/01/lga/11/ward/08/pu/023/023-1677417889.pdf</t>
  </si>
  <si>
    <t>OPEN SPACE AT LEKUTI OKE JUNCTION, Polling Unit, IJEBU ODE, Ogun State, Nigeria</t>
  </si>
  <si>
    <t>27-11-08-025</t>
  </si>
  <si>
    <t>OPEN SPACE FRONT OF OGUN STATE TELEVISION, IJEBU ODE</t>
  </si>
  <si>
    <t>https://docs.inecelectionresults.net/elections_prod/1292/state/01/lga/11/ward/08/pu/025/025-1677379938.pdf</t>
  </si>
  <si>
    <t>OPEN SPACE FRONT OF OGUN STATE TELEVISION, IJEBU ODE, Polling Unit, IJEBU ODE, Ogun State, Nigeria</t>
  </si>
  <si>
    <t>27-11-08-026</t>
  </si>
  <si>
    <t>OPEN SPACE AT OSIFESO/ODUTOLA STREET, IJEBU ODE</t>
  </si>
  <si>
    <t>https://docs.inecelectionresults.net/elections_prod/1292/state/01/lga/11/ward/08/pu/026/026-1677380364.pdf</t>
  </si>
  <si>
    <t>OPEN SPACE AT OSIFESO/ODUTOLA STREET, IJEBU ODE, Polling Unit, IJEBU ODE, Ogun State, Nigeria</t>
  </si>
  <si>
    <t>27-11-08-027</t>
  </si>
  <si>
    <t>C. A. C. SCHOOL, DEGUN (2)</t>
  </si>
  <si>
    <t>https://docs.inecelectionresults.net/elections_prod/1292/state/01/lga/11/ward/08/pu/027/027-1677416668.pdf</t>
  </si>
  <si>
    <t>C. A. C. SCHOOL, DEGUN (2), Polling Unit, IJEBU ODE, Ogun State, Nigeria</t>
  </si>
  <si>
    <t>27-11-08-028</t>
  </si>
  <si>
    <t>C.A.C CHURCH BY POST OFFICE / C.M.S BOOKSHOP FOLAGBADE</t>
  </si>
  <si>
    <t>https://docs.inecelectionresults.net/elections_prod/1292/state/01/lga/11/ward/08/pu/028/028-1677383309.pdf</t>
  </si>
  <si>
    <t>C.A.C CHURCH BY POST OFFICE / C.M.S BOOKSHOP FOLAGBADE, Polling Unit, IJEBU ODE, Ogun State, Nigeria</t>
  </si>
  <si>
    <t>27-11-01-009</t>
  </si>
  <si>
    <t>ADJACENT A. B SUNMOLA HOUSE, IJAGUN ROAD</t>
  </si>
  <si>
    <t>https://docs.inecelectionresults.net/elections_prod/1292/state/01/lga/11/ward/01/pu/009/009-1677381475.pdf</t>
  </si>
  <si>
    <t>ADJACENT A. B SUNMOLA HOUSE, IJAGUN ROAD, Polling Unit, IJEBU ODE, Ogun State, Nigeria</t>
  </si>
  <si>
    <t>27-11-01-010</t>
  </si>
  <si>
    <t>BESIDE 3A'S HOTEL,      IMORU ROAD</t>
  </si>
  <si>
    <t>https://docs.inecelectionresults.net/elections_prod/1292/state/01/lga/11/ward/01/pu/010/010-1677382156.pdf</t>
  </si>
  <si>
    <t>BESIDE 3A'S HOTEL,      IMORU ROAD, Polling Unit, IJEBU ODE, Ogun State, Nigeria</t>
  </si>
  <si>
    <t>27-11-03-007</t>
  </si>
  <si>
    <t>AHMMADIAH MOVEMENT B/S, ARAROMI</t>
  </si>
  <si>
    <t>https://docs.inecelectionresults.net/elections_prod/1292/state/01/lga/11/ward/03/pu/007/007-1677375990.pdf</t>
  </si>
  <si>
    <t>AHMMADIAH MOVEMENT B/S, ARAROMI, Polling Unit, IJEBU ODE, Ogun State, Nigeria</t>
  </si>
  <si>
    <t>27-11-09-014</t>
  </si>
  <si>
    <t>END OF BONOJO ELERUKU</t>
  </si>
  <si>
    <t>https://docs.inecelectionresults.net/elections_prod/1292/state/01/lga/11/ward/09/pu/014/014-1677385317.pdf</t>
  </si>
  <si>
    <t>END OF BONOJO ELERUKU, Polling Unit, IJEBU ODE, Ogun State, Nigeria</t>
  </si>
  <si>
    <t>27-11-09-015</t>
  </si>
  <si>
    <t>OLUFOWOBI BY BONOJO FOUR JUNCTION</t>
  </si>
  <si>
    <t>https://docs.inecelectionresults.net/elections_prod/1292/state/01/lga/11/ward/09/pu/015/015-1677386622.pdf</t>
  </si>
  <si>
    <t>OLUFOWOBI BY BONOJO FOUR JUNCTION, Polling Unit, IJEBU ODE, Ogun State, Nigeria</t>
  </si>
  <si>
    <t>27-11-09-016</t>
  </si>
  <si>
    <t>MAHDIYAT PRIMARY SCHOOL</t>
  </si>
  <si>
    <t>https://docs.inecelectionresults.net/elections_prod/1292/state/01/lga/11/ward/09/pu/016/016-1677387177.pdf</t>
  </si>
  <si>
    <t>MAHDIYAT PRIMARY SCHOOL, Polling Unit, IJEBU ODE, Ogun State, Nigeria</t>
  </si>
  <si>
    <t>27-11-09-017</t>
  </si>
  <si>
    <t>ADEBEN PLACE HOTEL JUNCTION, IGBEBA</t>
  </si>
  <si>
    <t>https://docs.inecelectionresults.net/elections_prod/1292/state/01/lga/11/ward/09/pu/017/017-1677387616.pdf</t>
  </si>
  <si>
    <t>ADEBEN PLACE HOTEL JUNCTION, IGBEBA, Polling Unit, IJEBU ODE, Ogun State, Nigeria</t>
  </si>
  <si>
    <t>27-11-09-019</t>
  </si>
  <si>
    <t>LUBA COMPREHENSIVE SCHOOL OFF ERUNWON ROAD</t>
  </si>
  <si>
    <t>https://docs.inecelectionresults.net/elections_prod/1292/state/01/lga/11/ward/09/pu/019/019-1677388591.pdf</t>
  </si>
  <si>
    <t>LUBA COMPREHENSIVE SCHOOL OFF ERUNWON ROAD, Polling Unit, IJEBU ODE, Ogun State, Nigeria</t>
  </si>
  <si>
    <t>27-11-09-020</t>
  </si>
  <si>
    <t>OPEN SPACE INFRONT OF  EID PRAYING GROUND, IDOBI</t>
  </si>
  <si>
    <t>https://docs.inecelectionresults.net/elections_prod/1292/state/01/lga/11/ward/09/pu/020/020-1677389412.pdf</t>
  </si>
  <si>
    <t>OPEN SPACE INFRONT OF  EID PRAYING GROUND, IDOBI, Polling Unit, IJEBU ODE, Ogun State, Nigeria</t>
  </si>
  <si>
    <t>27-11-06-011</t>
  </si>
  <si>
    <t>FIDIPOTE ADEOLA JUNCTION</t>
  </si>
  <si>
    <t>https://docs.inecelectionresults.net/elections_prod/1292/state/1/lga/3676/ward/24076/pu/165911/165911-1677500379.pdf</t>
  </si>
  <si>
    <t>FIDIPOTE ADEOLA JUNCTION, Polling Unit, IJEBU ODE, Ogun State, Nigeria</t>
  </si>
  <si>
    <t>27-11-06-013</t>
  </si>
  <si>
    <t>OPEN SPACE AT MUKEKE JUNCTION BY MOSLEM COLLEGE ROAD</t>
  </si>
  <si>
    <t>https://docs.inecelectionresults.net/elections_prod/1292/state/1/lga/3676/ward/24076/pu/165913/165913-1677502986.pdf</t>
  </si>
  <si>
    <t>OPEN SPACE AT MUKEKE JUNCTION BY MOSLEM COLLEGE ROAD, Polling Unit, IJEBU ODE, Ogun State, Nigeria</t>
  </si>
  <si>
    <t>27-11-06-014</t>
  </si>
  <si>
    <t>OPEN SPACE AT MIDDLE OF KAKA STREET, TANIMOLA JUNCTION</t>
  </si>
  <si>
    <t>https://docs.inecelectionresults.net/elections_prod/1292/state/1/lga/3676/ward/24076/pu/165914/165914-1677511913.pdf</t>
  </si>
  <si>
    <t>OPEN SPACE AT MIDDLE OF KAKA STREET, TANIMOLA JUNCTION, Polling Unit, IJEBU ODE, Ogun State, Nigeria</t>
  </si>
  <si>
    <t>27-11-06-015</t>
  </si>
  <si>
    <t>MOSLEM PRIMARY SCHOOL, MOLODE</t>
  </si>
  <si>
    <t>https://docs.inecelectionresults.net/elections_prod/1292/state/1/lga/3676/ward/24076/pu/165915/165915-1677512443.pdf</t>
  </si>
  <si>
    <t>MOSLEM PRIMARY SCHOOL, MOLODE, Polling Unit, IJEBU ODE, Ogun State, Nigeria</t>
  </si>
  <si>
    <t>27-11-06-016</t>
  </si>
  <si>
    <t>OPEN SPACE AGBAJE JUNCTION, BY TRANSFORMER</t>
  </si>
  <si>
    <t>https://docs.inecelectionresults.net/elections_prod/1292/state/1/lga/3676/ward/24076/pu/165916/165916-1677580237.pdf</t>
  </si>
  <si>
    <t>OPEN SPACE AGBAJE JUNCTION, BY TRANSFORMER, Polling Unit, IJEBU ODE, Ogun State, Nigeria</t>
  </si>
  <si>
    <t>27-11-06-017</t>
  </si>
  <si>
    <t>OPEN SPACE AT ALEBIOSU STREET, DUPMOS JUNCTION</t>
  </si>
  <si>
    <t>https://docs.inecelectionresults.net/elections_prod/1292/state/1/lga/3676/ward/24076/pu/165917/165917-1677580420.pdf</t>
  </si>
  <si>
    <t>OPEN SPACE AT ALEBIOSU STREET, DUPMOS JUNCTION, Polling Unit, IJEBU ODE, Ogun State, Nigeria</t>
  </si>
  <si>
    <t>27-11-07-010</t>
  </si>
  <si>
    <t>FISIGBOYE - EHINDIN JUNCTION BY IJEBU-ODE LOCAL GOVERNMENT SECRETARIAT</t>
  </si>
  <si>
    <t>https://docs.inecelectionresults.net/elections_prod/1292/state/01/lga/11/ward/07/pu/010/010-1677386528.pdf</t>
  </si>
  <si>
    <t>FISIGBOYE - EHINDIN JUNCTION BY IJEBU-ODE LOCAL GOVERNMENT SECRETARIAT, Polling Unit, IJEBU ODE, Ogun State, Nigeria</t>
  </si>
  <si>
    <t>27-11-07-011</t>
  </si>
  <si>
    <t>OPEN SPACE AT ALATISHE MOSQUE BY TOTAL FILLING STATION</t>
  </si>
  <si>
    <t>https://docs.inecelectionresults.net/elections_prod/1292/state/01/lga/11/ward/07/pu/011/011-1677386811.pdf</t>
  </si>
  <si>
    <t>OPEN SPACE AT ALATISHE MOSQUE BY TOTAL FILLING STATION, Polling Unit, IJEBU ODE, Ogun State, Nigeria</t>
  </si>
  <si>
    <t>27-11-07-012</t>
  </si>
  <si>
    <t>DEGUN JUNCTION, OBALENDE</t>
  </si>
  <si>
    <t>https://docs.inecelectionresults.net/elections_prod/1292/state/01/lga/11/ward/07/pu/012/012-1677387306.pdf</t>
  </si>
  <si>
    <t>DEGUN JUNCTION, OBALENDE, Polling Unit, IJEBU ODE, Ogun State, Nigeria</t>
  </si>
  <si>
    <t>27-11-07-013</t>
  </si>
  <si>
    <t>OPEN SPACE BESIDE OBALENDE POLICE STATION</t>
  </si>
  <si>
    <t>https://docs.inecelectionresults.net/elections_prod/1292/state/01/lga/11/ward/07/pu/013/013-1677376574.pdf</t>
  </si>
  <si>
    <t>OPEN SPACE BESIDE OBALENDE POLICE STATION, Polling Unit, IJEBU ODE, Ogun State, Nigeria</t>
  </si>
  <si>
    <t>27-11-07-015</t>
  </si>
  <si>
    <t>OPEN SPACE LEWU JUNCTION BESIDE SEICO HOUSE</t>
  </si>
  <si>
    <t>https://docs.inecelectionresults.net/elections_prod/1292/state/01/lga/11/ward/07/pu/015/015-1677389010.pdf</t>
  </si>
  <si>
    <t>OPEN SPACE LEWU JUNCTION BESIDE SEICO HOUSE, Polling Unit, IJEBU ODE, Ogun State, Nigeria</t>
  </si>
  <si>
    <t>27-11-07-017</t>
  </si>
  <si>
    <t>FIDIPOTE JUNCTION, OFF FUSIGBOYE ROAD</t>
  </si>
  <si>
    <t>https://docs.inecelectionresults.net/elections_prod/1292/state/1/lga/3676/ward/24077/pu/165925/165925-1677515861.pdf</t>
  </si>
  <si>
    <t>FIDIPOTE JUNCTION, OFF FUSIGBOYE ROAD, Polling Unit, IJEBU ODE, Ogun State, Nigeria</t>
  </si>
  <si>
    <t>27-11-07-018</t>
  </si>
  <si>
    <t>OPEN SPACE AT ALAFIA / JAURA CHURCH JUNCTION</t>
  </si>
  <si>
    <t>https://docs.inecelectionresults.net/elections_prod/1292/state/1/lga/3676/ward/24077/pu/165926/165926-1677496921.pdf</t>
  </si>
  <si>
    <t>OPEN SPACE AT ALAFIA / JAURA CHURCH JUNCTION, Polling Unit, IJEBU ODE, Ogun State, Nigeria</t>
  </si>
  <si>
    <t>27-12-01-012</t>
  </si>
  <si>
    <t>OPEN SPACE AT MUSLIM MODERN COLLEGE, IKENNE</t>
  </si>
  <si>
    <t>https://docs.inecelectionresults.net/elections_prod/1292/state/01/lga/12/ward/01/pu/012/012-1677402457.pdf</t>
  </si>
  <si>
    <t>OPEN SPACE AT MUSLIM MODERN COLLEGE, IKENNE, Polling Unit, IKENNE, Ogun State, Nigeria</t>
  </si>
  <si>
    <t>27-12-01-013</t>
  </si>
  <si>
    <t>OPEN SPACE KEHINDE SOFOLA STR,IKENNE</t>
  </si>
  <si>
    <t>https://docs.inecelectionresults.net/elections_prod/1292/state/01/lga/12/ward/01/pu/013/013-1677388833.pdf</t>
  </si>
  <si>
    <t>OPEN SPACE KEHINDE SOFOLA STR,IKENNE, Polling Unit, IKENNE, Ogun State, Nigeria</t>
  </si>
  <si>
    <t>27-12-01-016</t>
  </si>
  <si>
    <t>OPEN SPACE BESIDE THE TRANSFORMER, MORO STREET, IKENNE</t>
  </si>
  <si>
    <t>https://docs.inecelectionresults.net/elections_prod/1292/state/01/lga/12/ward/01/pu/016/016-1677405135.pdf</t>
  </si>
  <si>
    <t>OPEN SPACE BESIDE THE TRANSFORMER, MORO STREET, IKENNE, Polling Unit, IKENNE, Ogun State, Nigeria</t>
  </si>
  <si>
    <t>27-12-01-017</t>
  </si>
  <si>
    <t>OPEN SPACE AT AKINDOYIN JUNCTION,OPPOSITE IKENNE MARKET.</t>
  </si>
  <si>
    <t>https://docs.inecelectionresults.net/elections_prod/1292/state/01/lga/12/ward/01/pu/017/017-1677402948.pdf</t>
  </si>
  <si>
    <t>OPEN SPACE AT AKINDOYIN JUNCTION,OPPOSITE IKENNE MARKET., Polling Unit, IKENNE, Ogun State, Nigeria</t>
  </si>
  <si>
    <t>27-12-01-019</t>
  </si>
  <si>
    <t>OPEN SPACE AT THE JUNCTION OF DOWN TOWN OF OLAJIDE SODIPE/BEST WAY STREET, IKENNE</t>
  </si>
  <si>
    <t>https://docs.inecelectionresults.net/elections_prod/1292/state/1/lga/3677/ward/24082/pu/165959/165959-1677486358.pdf</t>
  </si>
  <si>
    <t>OPEN SPACE AT THE JUNCTION OF DOWN TOWN OF OLAJIDE SODIPE/BEST WAY STREET, IKENNE, Polling Unit, IKENNE, Ogun State, Nigeria</t>
  </si>
  <si>
    <t>27-12-02-013</t>
  </si>
  <si>
    <t>OPEN SPACE AT AWOKOYA MEDUBULE STREET OFF FAJEBE STREET, IKENNE</t>
  </si>
  <si>
    <t>https://docs.inecelectionresults.net/elections_prod/1292/state/01/lga/12/ward/02/pu/013/013-1677399253.pdf</t>
  </si>
  <si>
    <t>OPEN SPACE AT AWOKOYA MEDUBULE STREET OFF FAJEBE STREET, IKENNE, Polling Unit, IKENNE, Ogun State, Nigeria</t>
  </si>
  <si>
    <t>27-12-02-014</t>
  </si>
  <si>
    <t>INFRONT OF O AND A ACADEMY SCH, IKENNE</t>
  </si>
  <si>
    <t>https://docs.inecelectionresults.net/elections_prod/1292/state/01/lga/12/ward/02/pu/014/014-1677399784.pdf</t>
  </si>
  <si>
    <t>INFRONT OF O AND A ACADEMY SCH, IKENNE, Polling Unit, IKENNE, Ogun State, Nigeria</t>
  </si>
  <si>
    <t>27-12-02-015</t>
  </si>
  <si>
    <t>OPEN SPACE AT EGAN TOWN JUNCTION ALONG ODOGBOLU/IKENNE ROAD</t>
  </si>
  <si>
    <t>https://docs.inecelectionresults.net/elections_prod/1292/state/01/lga/12/ward/02/pu/015/015-1677400063.pdf</t>
  </si>
  <si>
    <t>OPEN SPACE AT EGAN TOWN JUNCTION ALONG ODOGBOLU/IKENNE ROAD, Polling Unit, IKENNE, Ogun State, Nigeria</t>
  </si>
  <si>
    <t>27-12-02-016</t>
  </si>
  <si>
    <t>OPEN SPACE AT AWOLESI JUNCTION, IKENNE</t>
  </si>
  <si>
    <t>https://docs.inecelectionresults.net/elections_prod/1292/state/01/lga/12/ward/02/pu/016/016-1677400379.pdf</t>
  </si>
  <si>
    <t>OPEN SPACE AT AWOLESI JUNCTION, IKENNE, Polling Unit, IKENNE, Ogun State, Nigeria</t>
  </si>
  <si>
    <t>27-12-02-017</t>
  </si>
  <si>
    <t>UNITED HIGH SCHOOL,IKENNE</t>
  </si>
  <si>
    <t>https://docs.inecelectionresults.net/elections_prod/1292/state/01/lga/12/ward/02/pu/017/017-1677400556.pdf</t>
  </si>
  <si>
    <t>UNITED HIGH SCHOOL,IKENNE, Polling Unit, IKENNE, Ogun State, Nigeria</t>
  </si>
  <si>
    <t>27-12-08-008</t>
  </si>
  <si>
    <t>OPEN SPACE AT IMOSAN JUNCTION BY KAJOLA STREET, ILISAN</t>
  </si>
  <si>
    <t>https://docs.inecelectionresults.net/elections_prod/1292/state/01/lga/12/ward/08/pu/008/008-1677396178.pdf</t>
  </si>
  <si>
    <t>OPEN SPACE AT IMOSAN JUNCTION BY KAJOLA STREET, ILISAN, Polling Unit, IKENNE, Ogun State, Nigeria</t>
  </si>
  <si>
    <t>27-12-08-009</t>
  </si>
  <si>
    <t>OPEN SPACE AT AJEGUNLE JUNCTION, ILISAN</t>
  </si>
  <si>
    <t>https://docs.inecelectionresults.net/elections_prod/1292/state/01/lga/12/ward/08/pu/009/009-1677396807.pdf</t>
  </si>
  <si>
    <t>OPEN SPACE AT AJEGUNLE JUNCTION, ILISAN, Polling Unit, IKENNE, Ogun State, Nigeria</t>
  </si>
  <si>
    <t>27-12-08-011</t>
  </si>
  <si>
    <t>ILISAN HIGH SCHOOL,ILISAN</t>
  </si>
  <si>
    <t>https://docs.inecelectionresults.net/elections_prod/1292/state/01/lga/12/ward/08/pu/011/011-1677397685.pdf</t>
  </si>
  <si>
    <t>ILISAN HIGH SCHOOL,ILISAN, Polling Unit, IKENNE, Ogun State, Nigeria</t>
  </si>
  <si>
    <t>27-12-08-013</t>
  </si>
  <si>
    <t>OPPOSIE ILISAN TOWN HALL UNDER THE TREE, ALONG OLOFIN ROAD, ILISAN</t>
  </si>
  <si>
    <t>https://docs.inecelectionresults.net/elections_prod/1292/state/1/lga/3677/ward/24089/pu/165991/165991-1677473162.pdf</t>
  </si>
  <si>
    <t>OPPOSIE ILISAN TOWN HALL UNDER THE TREE, ALONG OLOFIN ROAD, ILISAN, Polling Unit, IKENNE, Ogun State, Nigeria</t>
  </si>
  <si>
    <t>27-12-08-014</t>
  </si>
  <si>
    <t>OPEN SPACE AT IFELODUN STREET,ILISAN</t>
  </si>
  <si>
    <t>https://docs.inecelectionresults.net/elections_prod/1292/state/01/lga/12/ward/08/pu/014/014-1677398616.pdf</t>
  </si>
  <si>
    <t>OPEN SPACE AT IFELODUN STREET,ILISAN, Polling Unit, IKENNE, Ogun State, Nigeria</t>
  </si>
  <si>
    <t>27-12-08-015</t>
  </si>
  <si>
    <t>OPEN SPACE AT THE JUNCTION OF AWOLARU MUKAILA STREET OFF ISANBI HIGH SCH, ILISAN</t>
  </si>
  <si>
    <t>https://docs.inecelectionresults.net/elections_prod/1292/state/01/lga/12/ward/08/pu/015/015-1677398938.pdf</t>
  </si>
  <si>
    <t>OPEN SPACE AT THE JUNCTION OF AWOLARU MUKAILA STREET OFF ISANBI HIGH SCH, ILISAN, Polling Unit, IKENNE, Ogun State, Nigeria</t>
  </si>
  <si>
    <t>27-12-09-010</t>
  </si>
  <si>
    <t>OPEN SPACE ITUN ALASE, ILISAN</t>
  </si>
  <si>
    <t>https://docs.inecelectionresults.net/elections_prod/1292/state/01/lga/12/ward/09/pu/010/010-1677396435.pdf</t>
  </si>
  <si>
    <t>OPEN SPACE ITUN ALASE, ILISAN, Polling Unit, IKENNE, Ogun State, Nigeria</t>
  </si>
  <si>
    <t>27-12-09-011</t>
  </si>
  <si>
    <t>OPEN SPACE AT OREFAGBABI STREET OFF ILISAN-IROLU ROAD, ILISAN</t>
  </si>
  <si>
    <t>https://docs.inecelectionresults.net/elections_prod/1292/state/01/lga/12/ward/09/pu/011/011-1677389742.pdf</t>
  </si>
  <si>
    <t>OPEN SPACE AT OREFAGBABI STREET OFF ILISAN-IROLU ROAD, ILISAN, Polling Unit, IKENNE, Ogun State, Nigeria</t>
  </si>
  <si>
    <t>27-12-10-006</t>
  </si>
  <si>
    <t>OPEN SPACE AT JUNCTION OF ODEMO/ODULEYE STREET, IROLU</t>
  </si>
  <si>
    <t>https://docs.inecelectionresults.net/elections_prod/1292/state/01/lga/12/ward/10/pu/006/006-1677393144.pdf</t>
  </si>
  <si>
    <t>OPEN SPACE AT JUNCTION OF ODEMO/ODULEYE STREET, IROLU, Polling Unit, IKENNE, Ogun State, Nigeria</t>
  </si>
  <si>
    <t>27-12-03-007</t>
  </si>
  <si>
    <t>OPEN SPACE AT ITA-AGAN STREET,IPERU</t>
  </si>
  <si>
    <t>https://docs.inecelectionresults.net/elections_prod/1292/state/01/lga/12/ward/03/pu/007/007-1677397827.pdf</t>
  </si>
  <si>
    <t>OPEN SPACE AT ITA-AGAN STREET,IPERU, Polling Unit, IKENNE, Ogun State, Nigeria</t>
  </si>
  <si>
    <t>27-12-03-008</t>
  </si>
  <si>
    <t>OPEN SPACE AT OLURE STREET, IPERU</t>
  </si>
  <si>
    <t>https://docs.inecelectionresults.net/elections_prod/1292/state/01/lga/12/ward/03/pu/008/008-1677400011.pdf</t>
  </si>
  <si>
    <t>OPEN SPACE AT OLURE STREET, IPERU, Polling Unit, IKENNE, Ogun State, Nigeria</t>
  </si>
  <si>
    <t>27-12-03-009</t>
  </si>
  <si>
    <t>OPEN SPACE AT JUNTION OF ORIGBEMIDELE/ARAROMI STREET, IPERU</t>
  </si>
  <si>
    <t>https://docs.inecelectionresults.net/elections_prod/1292/state/01/lga/12/ward/03/pu/009/009-1677399738.pdf</t>
  </si>
  <si>
    <t>OPEN SPACE AT JUNTION OF ORIGBEMIDELE/ARAROMI STREET, IPERU, Polling Unit, IKENNE, Ogun State, Nigeria</t>
  </si>
  <si>
    <t>27-12-04-009</t>
  </si>
  <si>
    <t>OPEN SPACE OPP POLICE STATION, IPERU</t>
  </si>
  <si>
    <t>https://docs.inecelectionresults.net/elections_prod/1292/state/01/lga/12/ward/04/pu/009/009-1677399671.pdf</t>
  </si>
  <si>
    <t>OPEN SPACE OPP POLICE STATION, IPERU, Polling Unit, IKENNE, Ogun State, Nigeria</t>
  </si>
  <si>
    <t>27-12-04-010</t>
  </si>
  <si>
    <t>OPEN SPACE AT BACK OF AKESAN MARKET, IPERU</t>
  </si>
  <si>
    <t>https://docs.inecelectionresults.net/elections_prod/1292/state/01/lga/12/ward/04/pu/010/010-1677400189.pdf</t>
  </si>
  <si>
    <t>OPEN SPACE AT BACK OF AKESAN MARKET, IPERU, Polling Unit, IKENNE, Ogun State, Nigeria</t>
  </si>
  <si>
    <t>27-12-04-011</t>
  </si>
  <si>
    <t>OPEN SPACE AT MASEJURA JUNCTION JALUGBA, IPERU</t>
  </si>
  <si>
    <t>https://docs.inecelectionresults.net/elections_prod/1292/state/01/lga/12/ward/04/pu/011/011-1677401080.pdf</t>
  </si>
  <si>
    <t>OPEN SPACE AT MASEJURA JUNCTION JALUGBA, IPERU, Polling Unit, IKENNE, Ogun State, Nigeria</t>
  </si>
  <si>
    <t>27-12-04-012</t>
  </si>
  <si>
    <t>OPEN SPACE AT THE JUNCTION OF OBA OGUNFOWORA/ODORU ROAD, IPERU</t>
  </si>
  <si>
    <t>https://docs.inecelectionresults.net/elections_prod/1292/state/01/lga/12/ward/04/pu/012/012-1677401254.pdf</t>
  </si>
  <si>
    <t>OPEN SPACE AT THE JUNCTION OF OBA OGUNFOWORA/ODORU ROAD, IPERU, Polling Unit, IKENNE, Ogun State, Nigeria</t>
  </si>
  <si>
    <t>27-12-05-011</t>
  </si>
  <si>
    <t>THE SCHOOL FIELD, WESLEY PRIMARY SCH, IPERU</t>
  </si>
  <si>
    <t>https://docs.inecelectionresults.net/elections_prod/1292/state/01/lga/12/ward/05/pu/011/011-1677397935.pdf</t>
  </si>
  <si>
    <t>THE SCHOOL FIELD, WESLEY PRIMARY SCH, IPERU, Polling Unit, IKENNE, Ogun State, Nigeria</t>
  </si>
  <si>
    <t>27-12-05-012</t>
  </si>
  <si>
    <t>OPEN SPACE AT IDARIKA SQUARE,IPERU</t>
  </si>
  <si>
    <t>https://docs.inecelectionresults.net/elections_prod/1292/state/01/lga/12/ward/05/pu/012/012-1677398473.pdf</t>
  </si>
  <si>
    <t>OPEN SPACE AT IDARIKA SQUARE,IPERU, Polling Unit, IKENNE, Ogun State, Nigeria</t>
  </si>
  <si>
    <t>27-12-05-013</t>
  </si>
  <si>
    <t>OPEN SPACE AT IMOSIMI STREET,IPERU</t>
  </si>
  <si>
    <t>https://docs.inecelectionresults.net/elections_prod/1292/state/01/lga/12/ward/05/pu/013/013-1677399094.pdf</t>
  </si>
  <si>
    <t>OPEN SPACE AT IMOSIMI STREET,IPERU, Polling Unit, IKENNE, Ogun State, Nigeria</t>
  </si>
  <si>
    <t>27-12-05-014</t>
  </si>
  <si>
    <t>OPEN SPACE AT ERELU OLAYIWOLA STR IPERU</t>
  </si>
  <si>
    <t>https://docs.inecelectionresults.net/elections_prod/1292/state/01/lga/12/ward/05/pu/014/014-1677400205.pdf</t>
  </si>
  <si>
    <t>OPEN SPACE AT ERELU OLAYIWOLA STR IPERU, Polling Unit, IKENNE, Ogun State, Nigeria</t>
  </si>
  <si>
    <t>27-12-05-015</t>
  </si>
  <si>
    <t>OPEN SPACE AT TIWA NEW TOWN ALONG LAGOS IBADAN EXPRESS WAY</t>
  </si>
  <si>
    <t>https://docs.inecelectionresults.net/elections_prod/1292/state/01/lga/12/ward/05/pu/015/015-1677400674.pdf</t>
  </si>
  <si>
    <t>OPEN SPACE AT TIWA NEW TOWN ALONG LAGOS IBADAN EXPRESS WAY, Polling Unit, IKENNE, Ogun State, Nigeria</t>
  </si>
  <si>
    <t>27-12-05-016</t>
  </si>
  <si>
    <t>OPEN SPACE AT AGBELE STREET,IPERU</t>
  </si>
  <si>
    <t>https://docs.inecelectionresults.net/elections_prod/1292/state/01/lga/12/ward/05/pu/016/016-1677400290.pdf</t>
  </si>
  <si>
    <t>OPEN SPACE AT AGBELE STREET,IPERU, Polling Unit, IKENNE, Ogun State, Nigeria</t>
  </si>
  <si>
    <t>27-12-05-017</t>
  </si>
  <si>
    <t>AKESAN COMMUNITY GRAMMAR SCH, IPERU</t>
  </si>
  <si>
    <t>https://docs.inecelectionresults.net/elections_prod/1292/state/01/lga/12/ward/05/pu/017/017-1677400797.pdf</t>
  </si>
  <si>
    <t>AKESAN COMMUNITY GRAMMAR SCH, IPERU, Polling Unit, IKENNE, Ogun State, Nigeria</t>
  </si>
  <si>
    <t>27-12-05-018</t>
  </si>
  <si>
    <t>OPEN SPACE AT JUNCTION OF CHALLENGE STREET, AGBALA PHASE II, IPERU</t>
  </si>
  <si>
    <t>https://docs.inecelectionresults.net/elections_prod/1292/state/1/lga/3677/ward/24086/pu/165979/165979-1677501574.pdf</t>
  </si>
  <si>
    <t>OPEN SPACE AT JUNCTION OF CHALLENGE STREET, AGBALA PHASE II, IPERU, Polling Unit, IKENNE, Ogun State, Nigeria</t>
  </si>
  <si>
    <t>27-12-06-007</t>
  </si>
  <si>
    <t>OPEN SPACE AT ODUGESAN/AKURO ESTATE ROAD, OGERE</t>
  </si>
  <si>
    <t>https://docs.inecelectionresults.net/elections_prod/1292/state/01/lga/12/ward/06/pu/007/007-1677395954.pdf</t>
  </si>
  <si>
    <t>OPEN SPACE AT ODUGESAN/AKURO ESTATE ROAD, OGERE, Polling Unit, IKENNE, Ogun State, Nigeria</t>
  </si>
  <si>
    <t>27-12-06-008</t>
  </si>
  <si>
    <t>OPEN SPACE AT ITUN-IRAGBON/ANG STREET, OGERE</t>
  </si>
  <si>
    <t>https://docs.inecelectionresults.net/elections_prod/1292/state/01/lga/12/ward/06/pu/008/008-1677397912.pdf</t>
  </si>
  <si>
    <t>OPEN SPACE AT ITUN-IRAGBON/ANG STREET, OGERE, Polling Unit, IKENNE, Ogun State, Nigeria</t>
  </si>
  <si>
    <t>27-12-07-008</t>
  </si>
  <si>
    <t>OPEN SPACE AT SEGUN ADENIYI STREET OFF TABORAH ROAD, OGERE</t>
  </si>
  <si>
    <t>https://docs.inecelectionresults.net/elections_prod/1292/state/01/lga/12/ward/07/pu/008/008-1677392267.pdf</t>
  </si>
  <si>
    <t>OPEN SPACE AT SEGUN ADENIYI STREET OFF TABORAH ROAD, OGERE, Polling Unit, IKENNE, Ogun State, Nigeria</t>
  </si>
  <si>
    <t>27-12-07-009</t>
  </si>
  <si>
    <t>OPEN SPACE ARAROMI PHASE II OGERE</t>
  </si>
  <si>
    <t>https://docs.inecelectionresults.net/elections_prod/1292/state/01/lga/12/ward/07/pu/009/009-1677387819.pdf</t>
  </si>
  <si>
    <t>OPEN SPACE ARAROMI PHASE II OGERE, Polling Unit, IKENNE, Ogun State, Nigeria</t>
  </si>
  <si>
    <t>27-12-07-010</t>
  </si>
  <si>
    <t>OPEN SPACE ODUESO STREET, OGERE</t>
  </si>
  <si>
    <t>https://docs.inecelectionresults.net/elections_prod/1292/state/01/lga/12/ward/07/pu/010/010-1677386675.pdf</t>
  </si>
  <si>
    <t>OPEN SPACE ODUESO STREET, OGERE, Polling Unit, IKENNE, Ogun State, Nigeria</t>
  </si>
  <si>
    <t>27-12-07-011</t>
  </si>
  <si>
    <t>OPEN SPACE AT JUNCTION OSILARU STREET, OGERE</t>
  </si>
  <si>
    <t>https://docs.inecelectionresults.net/elections_prod/1292/state/1/lga/3677/ward/24088/pu/165985/165985-1677488333.pdf</t>
  </si>
  <si>
    <t>OPEN SPACE AT JUNCTION OSILARU STREET, OGERE, Polling Unit, IKENNE, Ogun State, Nigeria</t>
  </si>
  <si>
    <t>27-13-06-008</t>
  </si>
  <si>
    <t>OPEN SPACE AT VILLAGE SQUARE ITA BAALE ARAROMI</t>
  </si>
  <si>
    <t>https://docs.inecelectionresults.net/elections_prod/1292/state/1/lga/3678/ward/24097/pu/166032/166032-1677500809.pdf</t>
  </si>
  <si>
    <t>OPEN SPACE AT VILLAGE SQUARE ITA BAALE ARAROMI, Polling Unit, IMEKO/AFON, Ogun State, Nigeria</t>
  </si>
  <si>
    <t>27-13-07-006</t>
  </si>
  <si>
    <t>OPEN SPACE INFRONT OF CMS CHURCH, IBARA</t>
  </si>
  <si>
    <t>https://docs.inecelectionresults.net/elections_prod/1292/state/01/lga/13/ward/07/pu/006/006-1677407186.pdf</t>
  </si>
  <si>
    <t>OPEN SPACE INFRONT OF CMS CHURCH, IBARA, Polling Unit, IMEKO/AFON, Ogun State, Nigeria</t>
  </si>
  <si>
    <t>27-13-03-007</t>
  </si>
  <si>
    <t>OPP SPACE AT MARKET SQUARE , IDOFA</t>
  </si>
  <si>
    <t>https://docs.inecelectionresults.net/elections_prod/1292/state/01/lga/13/ward/03/pu/007/007-1677414137.pdf</t>
  </si>
  <si>
    <t>OPP SPACE AT MARKET SQUARE , IDOFA, Polling Unit, IMEKO/AFON, Ogun State, Nigeria</t>
  </si>
  <si>
    <t>27-13-05-012</t>
  </si>
  <si>
    <t>OPEN SPACE AT TOWN HALL, ILARA</t>
  </si>
  <si>
    <t>https://docs.inecelectionresults.net/elections_prod/1292/state/01/lga/13/ward/05/pu/012/012-1677418302.pdf</t>
  </si>
  <si>
    <t>OPEN SPACE AT TOWN HALL, ILARA, Polling Unit, IMEKO/AFON, Ogun State, Nigeria</t>
  </si>
  <si>
    <t>27-13-05-013</t>
  </si>
  <si>
    <t>PRIMARYSCHOOL JESU TEDO</t>
  </si>
  <si>
    <t>https://docs.inecelectionresults.net/elections_prod/1292/state/01/lga/13/ward/05/pu/013/013-1677420001.pdf</t>
  </si>
  <si>
    <t>PRIMARYSCHOOL JESU TEDO, Polling Unit, IMEKO/AFON, Ogun State, Nigeria</t>
  </si>
  <si>
    <t>27-13-05-014</t>
  </si>
  <si>
    <t>PRIMARY HEALTH CENTRE, ILARA</t>
  </si>
  <si>
    <t>https://docs.inecelectionresults.net/elections_prod/1292/state/01/lga/13/ward/05/pu/014/014-1677419611.pdf</t>
  </si>
  <si>
    <t>PRIMARY HEALTH CENTRE, ILARA, Polling Unit, IMEKO/AFON, Ogun State, Nigeria</t>
  </si>
  <si>
    <t>27-13-05-015</t>
  </si>
  <si>
    <t>COMMUNITY HIGH SCHOOL, ILARA</t>
  </si>
  <si>
    <t>https://docs.inecelectionresults.net/elections_prod/1292/state/01/lga/13/ward/05/pu/015/015-1677420890.pdf</t>
  </si>
  <si>
    <t>COMMUNITY HIGH SCHOOL, ILARA, Polling Unit, IMEKO/AFON, Ogun State, Nigeria</t>
  </si>
  <si>
    <t>27-13-05-016</t>
  </si>
  <si>
    <t>COMMUNITY PRIMARY SCHOOL, OKE ISOKIA</t>
  </si>
  <si>
    <t>https://docs.inecelectionresults.net/elections_prod/1292/state/01/lga/13/ward/05/pu/016/016-1677417647.pdf</t>
  </si>
  <si>
    <t>COMMUNITY PRIMARY SCHOOL, OKE ISOKIA, Polling Unit, IMEKO/AFON, Ogun State, Nigeria</t>
  </si>
  <si>
    <t>27-13-01-022</t>
  </si>
  <si>
    <t>R.C.M SCHOOL IMEKO</t>
  </si>
  <si>
    <t>https://docs.inecelectionresults.net/elections_prod/1292/state/01/lga/13/ward/01/pu/022/022-1677396900.pdf</t>
  </si>
  <si>
    <t>R.C.M SCHOOL IMEKO, Polling Unit, IMEKO/AFON, Ogun State, Nigeria</t>
  </si>
  <si>
    <t>27-13-01-024</t>
  </si>
  <si>
    <t>OPEN SPACE FRONT OF OGADEP</t>
  </si>
  <si>
    <t>https://docs.inecelectionresults.net/elections_prod/1292/state/01/lga/13/ward/01/pu/024/024-1677404383.pdf</t>
  </si>
  <si>
    <t>OPEN SPACE FRONT OF OGADEP, Polling Unit, IMEKO/AFON, Ogun State, Nigeria</t>
  </si>
  <si>
    <t>27-13-01-025</t>
  </si>
  <si>
    <t>OPEN SPACE AT ILUPEJU JUNCTION</t>
  </si>
  <si>
    <t>https://docs.inecelectionresults.net/elections_prod/1292/state/01/lga/13/ward/01/pu/025/025-1677395993.pdf</t>
  </si>
  <si>
    <t>OPEN SPACE AT ILUPEJU JUNCTION, Polling Unit, IMEKO/AFON, Ogun State, Nigeria</t>
  </si>
  <si>
    <t>27-13-01-027</t>
  </si>
  <si>
    <t>L.G CATTLE SHED ,OKE ELEFUN</t>
  </si>
  <si>
    <t>https://docs.inecelectionresults.net/elections_prod/1292/state/01/lga/13/ward/01/pu/027/027-1677395224.pdf</t>
  </si>
  <si>
    <t>L.G CATTLE SHED ,OKE ELEFUN, Polling Unit, IMEKO/AFON, Ogun State, Nigeria</t>
  </si>
  <si>
    <t>27-13-01-028</t>
  </si>
  <si>
    <t>BEBE/ WASIMI OJO AWO</t>
  </si>
  <si>
    <t>https://docs.inecelectionresults.net/elections_prod/1292/state/01/lga/13/ward/01/pu/028/028-1677396480.pdf</t>
  </si>
  <si>
    <t>BEBE/ WASIMI OJO AWO, Polling Unit, IMEKO/AFON, Ogun State, Nigeria</t>
  </si>
  <si>
    <t>27-13-01-029</t>
  </si>
  <si>
    <t>OPEN SPACE AT ISIN TREE JERICHO</t>
  </si>
  <si>
    <t>https://docs.inecelectionresults.net/elections_prod/1292/state/01/lga/13/ward/01/pu/029/029-1677396628.pdf</t>
  </si>
  <si>
    <t>OPEN SPACE AT ISIN TREE JERICHO, Polling Unit, IMEKO/AFON, Ogun State, Nigeria</t>
  </si>
  <si>
    <t>27-13-01-031</t>
  </si>
  <si>
    <t>MUSLIM GRAMMER SCHOOL,  EMILANDU</t>
  </si>
  <si>
    <t>https://docs.inecelectionresults.net/elections_prod/1292/state/01/lga/13/ward/01/pu/031/031-1677400115.pdf</t>
  </si>
  <si>
    <t>MUSLIM GRAMMER SCHOOL,  EMILANDU, Polling Unit, IMEKO/AFON, Ogun State, Nigeria</t>
  </si>
  <si>
    <t>27-13-01-032</t>
  </si>
  <si>
    <t>L.G EDUCATON AUTHORITY, IMEKO</t>
  </si>
  <si>
    <t>https://docs.inecelectionresults.net/elections_prod/1292/state/01/lga/13/ward/01/pu/032/032-1677399264.pdf</t>
  </si>
  <si>
    <t>L.G EDUCATON AUTHORITY, IMEKO, Polling Unit, IMEKO/AFON, Ogun State, Nigeria</t>
  </si>
  <si>
    <t>27-13-01-033</t>
  </si>
  <si>
    <t>OPEN SPACE AT ORITA AJE JUNCTION, ORITA AJE</t>
  </si>
  <si>
    <t>https://docs.inecelectionresults.net/elections_prod/1292/state/01/lga/13/ward/01/pu/033/033-1677402481.pdf</t>
  </si>
  <si>
    <t>OPEN SPACE AT ORITA AJE JUNCTION, ORITA AJE, Polling Unit, IMEKO/AFON, Ogun State, Nigeria</t>
  </si>
  <si>
    <t>27-13-01-034</t>
  </si>
  <si>
    <t>OPEN SPACE  AT MAGISTRATE COURT, KOGO</t>
  </si>
  <si>
    <t>https://docs.inecelectionresults.net/elections_prod/1292/state/01/lga/13/ward/01/pu/034/034-1677403455.pdf</t>
  </si>
  <si>
    <t>OPEN SPACE  AT MAGISTRATE COURT, KOGO, Polling Unit, IMEKO/AFON, Ogun State, Nigeria</t>
  </si>
  <si>
    <t>27-13-01-035</t>
  </si>
  <si>
    <t>EEBEFUN , ARAROMI</t>
  </si>
  <si>
    <t>https://docs.inecelectionresults.net/elections_prod/1292/state/01/lga/13/ward/01/pu/035/035-1677398310.pdf</t>
  </si>
  <si>
    <t>EEBEFUN , ARAROMI, Polling Unit, IMEKO/AFON, Ogun State, Nigeria</t>
  </si>
  <si>
    <t>27-13-01-036</t>
  </si>
  <si>
    <t>IGBOGBO, OSIRI</t>
  </si>
  <si>
    <t>https://docs.inecelectionresults.net/elections_prod/1292/state/01/lga/13/ward/01/pu/036/036-1677403567.pdf</t>
  </si>
  <si>
    <t>IGBOGBO, OSIRI, Polling Unit, IMEKO/AFON, Ogun State, Nigeria</t>
  </si>
  <si>
    <t>27-13-04-007</t>
  </si>
  <si>
    <t>COMMUNITY HIGH SCHOOL.</t>
  </si>
  <si>
    <t>https://docs.inecelectionresults.net/elections_prod/1292/state/01/lga/13/ward/04/pu/007/007-1677416749.pdf</t>
  </si>
  <si>
    <t>COMMUNITY HIGH SCHOOL., Polling Unit, IMEKO/AFON, Ogun State, Nigeria</t>
  </si>
  <si>
    <t>27-13-04-008</t>
  </si>
  <si>
    <t>COMMUNITY PRIMARY SCHOOL,  IWOYE</t>
  </si>
  <si>
    <t>https://docs.inecelectionresults.net/elections_prod/1292/state/01/lga/13/ward/04/pu/008/008-1677415386.pdf</t>
  </si>
  <si>
    <t>COMMUNITY PRIMARY SCHOOL,  IWOYE, Polling Unit, IMEKO/AFON, Ogun State, Nigeria</t>
  </si>
  <si>
    <t>27-13-04-009</t>
  </si>
  <si>
    <t>COMMUNITY PRIMARY SCHOOL GBAYIN</t>
  </si>
  <si>
    <t>https://docs.inecelectionresults.net/elections_prod/1292/state/01/lga/13/ward/04/pu/009/009-1677416692.pdf</t>
  </si>
  <si>
    <t>COMMUNITY PRIMARY SCHOOL GBAYIN, Polling Unit, IMEKO/AFON, Ogun State, Nigeria</t>
  </si>
  <si>
    <t>27-13-04-011</t>
  </si>
  <si>
    <t>OPEN SPACE OPP CATHOLIC CHURCH EKANJARE</t>
  </si>
  <si>
    <t>https://docs.inecelectionresults.net/elections_prod/1292/state/01/lga/13/ward/04/pu/011/011-1677415780.pdf</t>
  </si>
  <si>
    <t>OPEN SPACE OPP CATHOLIC CHURCH EKANJARE, Polling Unit, IMEKO/AFON, Ogun State, Nigeria</t>
  </si>
  <si>
    <t>27-13-04-012</t>
  </si>
  <si>
    <t>OPEN SPACE INFRONT OF INTERNATIONAL MARKET, SABO</t>
  </si>
  <si>
    <t>https://docs.inecelectionresults.net/elections_prod/1292/state/01/lga/13/ward/04/pu/012/012-1677416409.pdf</t>
  </si>
  <si>
    <t>OPEN SPACE INFRONT OF INTERNATIONAL MARKET, SABO, Polling Unit, IMEKO/AFON, Ogun State, Nigeria</t>
  </si>
  <si>
    <t>27-13-04-014</t>
  </si>
  <si>
    <t>OPEN SPACE AT ANOINNOIN</t>
  </si>
  <si>
    <t>https://docs.inecelectionresults.net/elections_prod/1292/state/01/lga/13/ward/04/pu/014/014-1677415821.pdf</t>
  </si>
  <si>
    <t>OPEN SPACE AT ANOINNOIN, Polling Unit, IMEKO/AFON, Ogun State, Nigeria</t>
  </si>
  <si>
    <t>27-13-08-011</t>
  </si>
  <si>
    <t>OPEN SPACE AT ONSA VILLAGE KAJOLA</t>
  </si>
  <si>
    <t>https://docs.inecelectionresults.net/elections_prod/1292/state/01/lga/13/ward/08/pu/011/011-1677410851.pdf</t>
  </si>
  <si>
    <t>OPEN SPACE AT ONSA VILLAGE KAJOLA, Polling Unit, IMEKO/AFON, Ogun State, Nigeria</t>
  </si>
  <si>
    <t>27-13-02-012</t>
  </si>
  <si>
    <t>OPEN SPACE AT BOOGI</t>
  </si>
  <si>
    <t>https://docs.inecelectionresults.net/elections_prod/1292/state/01/lga/13/ward/02/pu/012/012-1677412212.pdf</t>
  </si>
  <si>
    <t>OPEN SPACE AT BOOGI, Polling Unit, IMEKO/AFON, Ogun State, Nigeria</t>
  </si>
  <si>
    <t>27-13-02-013</t>
  </si>
  <si>
    <t>OPEN SPACE AT EROBEDA MARKET OKEOHA</t>
  </si>
  <si>
    <t>https://docs.inecelectionresults.net/elections_prod/1292/state/01/lga/13/ward/02/pu/013/013-1677417571.pdf</t>
  </si>
  <si>
    <t>OPEN SPACE AT EROBEDA MARKET OKEOHA, Polling Unit, IMEKO/AFON, Ogun State, Nigeria</t>
  </si>
  <si>
    <t>27-13-02-014</t>
  </si>
  <si>
    <t>OPEN SPACE AT AJELANWA VILLAGE</t>
  </si>
  <si>
    <t>https://docs.inecelectionresults.net/elections_prod/1292/state/01/lga/13/ward/02/pu/014/014-1677419430.pdf</t>
  </si>
  <si>
    <t>OPEN SPACE AT AJELANWA VILLAGE, Polling Unit, IMEKO/AFON, Ogun State, Nigeria</t>
  </si>
  <si>
    <t>27-13-02-015</t>
  </si>
  <si>
    <t>TOWN HALL AT BAKARE VILLAGE</t>
  </si>
  <si>
    <t>https://docs.inecelectionresults.net/elections_prod/1292/state/01/lga/13/ward/02/pu/015/015-1677415252.pdf</t>
  </si>
  <si>
    <t>TOWN HALL AT BAKARE VILLAGE, Polling Unit, IMEKO/AFON, Ogun State, Nigeria</t>
  </si>
  <si>
    <t>27-13-10-009</t>
  </si>
  <si>
    <t>OPEN SPACE AT OKE OYA ADJACENT K&amp;S</t>
  </si>
  <si>
    <t>https://docs.inecelectionresults.net/elections_prod/1292/state/01/lga/13/ward/10/pu/009/009-1677411179.pdf</t>
  </si>
  <si>
    <t>OPEN SPACE AT OKE OYA ADJACENT K&amp;S, Polling Unit, IMEKO/AFON, Ogun State, Nigeria</t>
  </si>
  <si>
    <t>27-13-10-010</t>
  </si>
  <si>
    <t>OPEN SPACE INFRONT OF ANIFOWOSE MATERNITY CENTRE ,SABO</t>
  </si>
  <si>
    <t>https://docs.inecelectionresults.net/elections_prod/1292/state/01/lga/13/ward/10/pu/010/010-1677412582.pdf</t>
  </si>
  <si>
    <t>OPEN SPACE INFRONT OF ANIFOWOSE MATERNITY CENTRE ,SABO, Polling Unit, IMEKO/AFON, Ogun State, Nigeria</t>
  </si>
  <si>
    <t>27-13-10-011</t>
  </si>
  <si>
    <t>OPEN SPACE AT FIRST BAPTIST CHURCH , ISALE AFON</t>
  </si>
  <si>
    <t>https://docs.inecelectionresults.net/elections_prod/1292/state/01/lga/13/ward/10/pu/011/011-1677413724.pdf</t>
  </si>
  <si>
    <t>OPEN SPACE AT FIRST BAPTIST CHURCH , ISALE AFON, Polling Unit, IMEKO/AFON, Ogun State, Nigeria</t>
  </si>
  <si>
    <t>27-14-03-025</t>
  </si>
  <si>
    <t>OPEN SPACE AT ALBARKA ESTATE, AGOSASA</t>
  </si>
  <si>
    <t>https://docs.inecelectionresults.net/elections_prod/1292/state/01/lga/14/ward/03/pu/025/025-1677407346.pdf</t>
  </si>
  <si>
    <t>OPEN SPACE AT ALBARKA ESTATE, AGOSASA, Polling Unit, IPOKIA, Ogun State, Nigeria</t>
  </si>
  <si>
    <t>27-14-03-026</t>
  </si>
  <si>
    <t>OPEN SPACE AT OLORUNDA COMMUNITY</t>
  </si>
  <si>
    <t>https://docs.inecelectionresults.net/elections_prod/1292/state/01/lga/14/ward/03/pu/026/026-1677401127.pdf</t>
  </si>
  <si>
    <t>OPEN SPACE AT OLORUNDA COMMUNITY, Polling Unit, IPOKIA, Ogun State, Nigeria</t>
  </si>
  <si>
    <t>27-14-03-027</t>
  </si>
  <si>
    <t>TOWN HALL AYEDUN</t>
  </si>
  <si>
    <t>https://docs.inecelectionresults.net/elections_prod/1292/state/01/lga/14/ward/03/pu/027/027-1677409121.pdf</t>
  </si>
  <si>
    <t>TOWN HALL AYEDUN, Polling Unit, IPOKIA, Ogun State, Nigeria</t>
  </si>
  <si>
    <t>27-14-03-028</t>
  </si>
  <si>
    <t>OPEN SPACE NEAR NAWARUDEEN MOSQUE</t>
  </si>
  <si>
    <t>https://docs.inecelectionresults.net/elections_prod/1292/state/01/lga/14/ward/03/pu/028/028-1677412688.pdf</t>
  </si>
  <si>
    <t>OPEN SPACE NEAR NAWARUDEEN MOSQUE, Polling Unit, IPOKIA, Ogun State, Nigeria</t>
  </si>
  <si>
    <t>27-14-03-029</t>
  </si>
  <si>
    <t>OPEN SPACE AT OGUNTEDO COMMUNITY</t>
  </si>
  <si>
    <t>https://docs.inecelectionresults.net/elections_prod/1292/state/01/lga/14/ward/03/pu/029/029-1677411023.pdf</t>
  </si>
  <si>
    <t>OPEN SPACE AT OGUNTEDO COMMUNITY, Polling Unit, IPOKIA, Ogun State, Nigeria</t>
  </si>
  <si>
    <t>27-14-03-030</t>
  </si>
  <si>
    <t>COMMUNITY PRIMARY SCHOOL,IDOJORI TOWN, AGOSASA</t>
  </si>
  <si>
    <t>https://docs.inecelectionresults.net/elections_prod/1292/state/01/lga/14/ward/03/pu/030/030-1677399151.pdf</t>
  </si>
  <si>
    <t>COMMUNITY PRIMARY SCHOOL,IDOJORI TOWN, AGOSASA, Polling Unit, IPOKIA, Ogun State, Nigeria</t>
  </si>
  <si>
    <t>27-14-03-031</t>
  </si>
  <si>
    <t>OPEN SPACE AT AYETORO ILE JUNCTION, IBATEFIN</t>
  </si>
  <si>
    <t>https://docs.inecelectionresults.net/elections_prod/1292/state/01/lga/14/ward/03/pu/031/031-1677404153.pdf</t>
  </si>
  <si>
    <t>OPEN SPACE AT AYETORO ILE JUNCTION, IBATEFIN, Polling Unit, IPOKIA, Ogun State, Nigeria</t>
  </si>
  <si>
    <t>27-14-03-034</t>
  </si>
  <si>
    <t>TOWN SQUARE OLORUNSOGO</t>
  </si>
  <si>
    <t>https://docs.inecelectionresults.net/elections_prod/1292/state/01/lga/14/ward/03/pu/034/034-1677407125.pdf</t>
  </si>
  <si>
    <t>TOWN SQUARE OLORUNSOGO, Polling Unit, IPOKIA, Ogun State, Nigeria</t>
  </si>
  <si>
    <t>27-14-03-035</t>
  </si>
  <si>
    <t>OPEN SPACE AT IGBOGBOLODI, AGOSASA</t>
  </si>
  <si>
    <t>https://docs.inecelectionresults.net/elections_prod/1292/state/01/lga/14/ward/03/pu/035/035-1677402587.pdf</t>
  </si>
  <si>
    <t>OPEN SPACE AT IGBOGBOLODI, AGOSASA, Polling Unit, IPOKIA, Ogun State, Nigeria</t>
  </si>
  <si>
    <t>27-14-03-036</t>
  </si>
  <si>
    <t>TOWN HALL IDOGUN ORILE, AGOSASA</t>
  </si>
  <si>
    <t>https://docs.inecelectionresults.net/elections_prod/1292/state/01/lga/14/ward/03/pu/036/036-1677410145.pdf</t>
  </si>
  <si>
    <t>TOWN HALL IDOGUN ORILE, AGOSASA, Polling Unit, IPOKIA, Ogun State, Nigeria</t>
  </si>
  <si>
    <t>27-14-03-038</t>
  </si>
  <si>
    <t>OPEN SPACE NEAR MOSQUE IDOBAMO</t>
  </si>
  <si>
    <t>https://docs.inecelectionresults.net/elections_prod/1292/state/01/lga/14/ward/03/pu/038/038-1677405663.pdf</t>
  </si>
  <si>
    <t>OPEN SPACE NEAR MOSQUE IDOBAMO, Polling Unit, IPOKIA, Ogun State, Nigeria</t>
  </si>
  <si>
    <t>27-14-03-039</t>
  </si>
  <si>
    <t>OPEN SPACE AT IFESOWAPO COMMUNITY, BESIDE MECHANIC WORKSHOP</t>
  </si>
  <si>
    <t>https://docs.inecelectionresults.net/elections_prod/1292/state/01/lga/14/ward/03/pu/039/039-1677415686.pdf</t>
  </si>
  <si>
    <t>OPEN SPACE AT IFESOWAPO COMMUNITY, BESIDE MECHANIC WORKSHOP, Polling Unit, IPOKIA, Ogun State, Nigeria</t>
  </si>
  <si>
    <t>27-14-03-041</t>
  </si>
  <si>
    <t>OPEN SPACE AT BRIGHTER JUNCTION, AGOSASA</t>
  </si>
  <si>
    <t>https://docs.inecelectionresults.net/elections_prod/1292/state/01/lga/14/ward/03/pu/041/041-1677406492.pdf</t>
  </si>
  <si>
    <t>OPEN SPACE AT BRIGHTER JUNCTION, AGOSASA, Polling Unit, IPOKIA, Ogun State, Nigeria</t>
  </si>
  <si>
    <t>27-14-09-012</t>
  </si>
  <si>
    <t>AGO EGUN TOWN HALL, AJEGUNLE</t>
  </si>
  <si>
    <t>https://docs.inecelectionresults.net/elections_prod/1292/state/01/lga/14/ward/09/pu/012/012-1677405070.pdf</t>
  </si>
  <si>
    <t>AGO EGUN TOWN HALL, AJEGUNLE, Polling Unit, IPOKIA, Ogun State, Nigeria</t>
  </si>
  <si>
    <t>27-14-09-013</t>
  </si>
  <si>
    <t>OPEN SPACE AT BABAJIDE AJIBOLA QUARTERS</t>
  </si>
  <si>
    <t>https://docs.inecelectionresults.net/elections_prod/1292/state/01/lga/14/ward/09/pu/013/013-1677378129.pdf</t>
  </si>
  <si>
    <t>OPEN SPACE AT BABAJIDE AJIBOLA QUARTERS, Polling Unit, IPOKIA, Ogun State, Nigeria</t>
  </si>
  <si>
    <t>27-14-09-014</t>
  </si>
  <si>
    <t>OPEN SPACE AT TAIWO STREET NEAR EDUCARE SCHOOL.</t>
  </si>
  <si>
    <t>https://docs.inecelectionresults.net/elections_prod/1292/state/01/lga/14/ward/09/pu/014/014-1677400371.pdf</t>
  </si>
  <si>
    <t>OPEN SPACE AT TAIWO STREET NEAR EDUCARE SCHOOL., Polling Unit, IPOKIA, Ogun State, Nigeria</t>
  </si>
  <si>
    <t>27-14-09-015</t>
  </si>
  <si>
    <t>OPEN SPACE AT ILE EJA JUNCTION</t>
  </si>
  <si>
    <t>https://docs.inecelectionresults.net/elections_prod/1292/state/01/lga/14/ward/09/pu/015/015-1677404659.pdf</t>
  </si>
  <si>
    <t>OPEN SPACE AT ILE EJA JUNCTION, Polling Unit, IPOKIA, Ogun State, Nigeria</t>
  </si>
  <si>
    <t>27-14-09-016</t>
  </si>
  <si>
    <t>OPEN SPACE AT OLALOWO ESTATE</t>
  </si>
  <si>
    <t>https://docs.inecelectionresults.net/elections_prod/1292/state/01/lga/14/ward/09/pu/016/016-1677376589.pdf</t>
  </si>
  <si>
    <t>OPEN SPACE AT OLALOWO ESTATE, Polling Unit, IPOKIA, Ogun State, Nigeria</t>
  </si>
  <si>
    <t>27-14-09-017</t>
  </si>
  <si>
    <t>OPEN SPACE NEAR BAALE'S HOUSE OGOSA</t>
  </si>
  <si>
    <t>https://docs.inecelectionresults.net/elections_prod/1292/state/01/lga/14/ward/09/pu/017/017-1677402744.pdf</t>
  </si>
  <si>
    <t>OPEN SPACE NEAR BAALE'S HOUSE OGOSA, Polling Unit, IPOKIA, Ogun State, Nigeria</t>
  </si>
  <si>
    <t>27-14-09-018</t>
  </si>
  <si>
    <t>OPEN SPACE AT OLORUNDA JUNCTION</t>
  </si>
  <si>
    <t>https://docs.inecelectionresults.net/elections_prod/1292/state/01/lga/14/ward/09/pu/018/018-1677377312.pdf</t>
  </si>
  <si>
    <t>OPEN SPACE AT OLORUNDA JUNCTION, Polling Unit, IPOKIA, Ogun State, Nigeria</t>
  </si>
  <si>
    <t>27-14-09-020</t>
  </si>
  <si>
    <t>OPEN SPACE IN FRONT OF MECHANIC VILLAGE</t>
  </si>
  <si>
    <t>https://docs.inecelectionresults.net/elections_prod/1292/state/01/lga/14/ward/09/pu/020/020-1677374742.pdf</t>
  </si>
  <si>
    <t>OPEN SPACE IN FRONT OF MECHANIC VILLAGE, Polling Unit, IPOKIA, Ogun State, Nigeria</t>
  </si>
  <si>
    <t>27-14-09-021</t>
  </si>
  <si>
    <t>OPEN SPACE AT FOUR CORNER</t>
  </si>
  <si>
    <t>https://docs.inecelectionresults.net/elections_prod/1292/state/01/lga/14/ward/09/pu/021/021-1677399417.pdf</t>
  </si>
  <si>
    <t>OPEN SPACE AT FOUR CORNER, Polling Unit, IPOKIA, Ogun State, Nigeria</t>
  </si>
  <si>
    <t>27-14-11-015</t>
  </si>
  <si>
    <t>OPEN SPACE AT IGBO OSA ARAROMI</t>
  </si>
  <si>
    <t>https://docs.inecelectionresults.net/elections_prod/1292/state/01/lga/14/ward/11/pu/015/015-1677410038.pdf</t>
  </si>
  <si>
    <t>OPEN SPACE AT IGBO OSA ARAROMI, Polling Unit, IPOKIA, Ogun State, Nigeria</t>
  </si>
  <si>
    <t>27-14-11-017</t>
  </si>
  <si>
    <t>OLORUNSOGO HEALTH CENTER</t>
  </si>
  <si>
    <t>https://docs.inecelectionresults.net/elections_prod/1292/state/01/lga/14/ward/11/pu/017/017-1677402363.pdf</t>
  </si>
  <si>
    <t>OLORUNSOGO HEALTH CENTER, Polling Unit, IPOKIA, Ogun State, Nigeria</t>
  </si>
  <si>
    <t>27-14-11-019</t>
  </si>
  <si>
    <t>OPEN SPACE NEAR ANSARUDEEN PRAYER GROUND</t>
  </si>
  <si>
    <t>https://docs.inecelectionresults.net/elections_prod/1292/state/01/lga/14/ward/11/pu/019/019-1677406818.pdf</t>
  </si>
  <si>
    <t>OPEN SPACE NEAR ANSARUDEEN PRAYER GROUND, Polling Unit, IPOKIA, Ogun State, Nigeria</t>
  </si>
  <si>
    <t>27-14-11-020</t>
  </si>
  <si>
    <t>OPEN SPACE AT OLORUNGBEBE</t>
  </si>
  <si>
    <t>https://docs.inecelectionresults.net/elections_prod/1292/state/01/lga/14/ward/11/pu/020/020-1677407593.pdf</t>
  </si>
  <si>
    <t>OPEN SPACE AT OLORUNGBEBE, Polling Unit, IPOKIA, Ogun State, Nigeria</t>
  </si>
  <si>
    <t>27-14-11-021</t>
  </si>
  <si>
    <t>ODAN AJE COMMUNITY PRIMARY SCHOOL</t>
  </si>
  <si>
    <t>https://docs.inecelectionresults.net/elections_prod/1292/state/01/lga/14/ward/11/pu/021/021-1677408148.pdf</t>
  </si>
  <si>
    <t>ODAN AJE COMMUNITY PRIMARY SCHOOL, Polling Unit, IPOKIA, Ogun State, Nigeria</t>
  </si>
  <si>
    <t>27-14-11-022</t>
  </si>
  <si>
    <t>OPEN SPACE BESIDE FRSC OFFICE</t>
  </si>
  <si>
    <t>https://docs.inecelectionresults.net/elections_prod/1292/state/01/lga/14/ward/11/pu/022/022-1677408669.pdf</t>
  </si>
  <si>
    <t>OPEN SPACE BESIDE FRSC OFFICE, Polling Unit, IPOKIA, Ogun State, Nigeria</t>
  </si>
  <si>
    <t>27-14-11-023</t>
  </si>
  <si>
    <t>OPEN SPACE AT ONIKO MARKET</t>
  </si>
  <si>
    <t>https://docs.inecelectionresults.net/elections_prod/1292/state/01/lga/14/ward/11/pu/023/023-1677408993.pdf</t>
  </si>
  <si>
    <t>OPEN SPACE AT ONIKO MARKET, Polling Unit, IPOKIA, Ogun State, Nigeria</t>
  </si>
  <si>
    <t>27-14-11-025</t>
  </si>
  <si>
    <t>OJUROKO PRIMARY SCHOOL II</t>
  </si>
  <si>
    <t>https://docs.inecelectionresults.net/elections_prod/1292/state/01/lga/14/ward/11/pu/025/025-1677409562.pdf</t>
  </si>
  <si>
    <t>OJUROKO PRIMARY SCHOOL II, Polling Unit, IPOKIA, Ogun State, Nigeria</t>
  </si>
  <si>
    <t>27-14-11-026</t>
  </si>
  <si>
    <t>OPEN SPACE AT ASILOYE QUARTERS</t>
  </si>
  <si>
    <t>https://docs.inecelectionresults.net/elections_prod/1292/state/01/lga/14/ward/11/pu/026/026-1677409977.pdf</t>
  </si>
  <si>
    <t>OPEN SPACE AT ASILOYE QUARTERS, Polling Unit, IPOKIA, Ogun State, Nigeria</t>
  </si>
  <si>
    <t>27-14-11-027</t>
  </si>
  <si>
    <t>IKO GATEWAY GRAMMAR SCHOOL</t>
  </si>
  <si>
    <t>https://docs.inecelectionresults.net/elections_prod/1292/state/01/lga/14/ward/11/pu/027/027-1677410494.pdf</t>
  </si>
  <si>
    <t>IKO GATEWAY GRAMMAR SCHOOL, Polling Unit, IPOKIA, Ogun State, Nigeria</t>
  </si>
  <si>
    <t>27-14-11-028</t>
  </si>
  <si>
    <t>AYEDUN VILLAGE SQUARE</t>
  </si>
  <si>
    <t>https://docs.inecelectionresults.net/elections_prod/1292/state/01/lga/14/ward/11/pu/028/028-1677411303.pdf</t>
  </si>
  <si>
    <t>AYEDUN VILLAGE SQUARE, Polling Unit, IPOKIA, Ogun State, Nigeria</t>
  </si>
  <si>
    <t>27-14-11-029</t>
  </si>
  <si>
    <t>OPEN SPACE AT OSEHUNOLU</t>
  </si>
  <si>
    <t>https://docs.inecelectionresults.net/elections_prod/1292/state/01/lga/14/ward/11/pu/029/029-1677406442.pdf</t>
  </si>
  <si>
    <t>OPEN SPACE AT OSEHUNOLU, Polling Unit, IPOKIA, Ogun State, Nigeria</t>
  </si>
  <si>
    <t>27-14-11-030</t>
  </si>
  <si>
    <t>OPEN SPACE AT AFERIKU JUNCTION</t>
  </si>
  <si>
    <t>https://docs.inecelectionresults.net/elections_prod/1292/state/01/lga/14/ward/11/pu/030/030-1677412049.pdf</t>
  </si>
  <si>
    <t>OPEN SPACE AT AFERIKU JUNCTION, Polling Unit, IPOKIA, Ogun State, Nigeria</t>
  </si>
  <si>
    <t>27-14-11-031</t>
  </si>
  <si>
    <t>TOWN HALL AYEDOLA QUARTERS</t>
  </si>
  <si>
    <t>https://docs.inecelectionresults.net/elections_prod/1292/state/01/lga/14/ward/11/pu/031/031-1677412545.pdf</t>
  </si>
  <si>
    <t>TOWN HALL AYEDOLA QUARTERS, Polling Unit, IPOKIA, Ogun State, Nigeria</t>
  </si>
  <si>
    <t>27-14-11-032</t>
  </si>
  <si>
    <t>TOWN HALL,OLORUNKUSE</t>
  </si>
  <si>
    <t>https://docs.inecelectionresults.net/elections_prod/1292/state/01/lga/14/ward/11/pu/032/032-1677412995.pdf</t>
  </si>
  <si>
    <t>TOWN HALL,OLORUNKUSE, Polling Unit, IPOKIA, Ogun State, Nigeria</t>
  </si>
  <si>
    <t>27-14-11-033</t>
  </si>
  <si>
    <t>TOWN HALL ODAN</t>
  </si>
  <si>
    <t>https://docs.inecelectionresults.net/elections_prod/1292/state/01/lga/14/ward/11/pu/033/033-1677413358.pdf</t>
  </si>
  <si>
    <t>TOWN HALL ODAN, Polling Unit, IPOKIA, Ogun State, Nigeria</t>
  </si>
  <si>
    <t>27-14-11-034</t>
  </si>
  <si>
    <t>TOWN HALL ,ODO ERAN</t>
  </si>
  <si>
    <t>https://docs.inecelectionresults.net/elections_prod/1292/state/01/lga/14/ward/11/pu/034/034-1677414092.pdf</t>
  </si>
  <si>
    <t>TOWN HALL ,ODO ERAN, Polling Unit, IPOKIA, Ogun State, Nigeria</t>
  </si>
  <si>
    <t>27-14-11-035</t>
  </si>
  <si>
    <t>TOWN HALL, OLUWAGBEMI</t>
  </si>
  <si>
    <t>https://docs.inecelectionresults.net/elections_prod/1292/state/01/lga/14/ward/11/pu/035/035-1677414698.pdf</t>
  </si>
  <si>
    <t>TOWN HALL, OLUWAGBEMI, Polling Unit, IPOKIA, Ogun State, Nigeria</t>
  </si>
  <si>
    <t>27-14-11-036</t>
  </si>
  <si>
    <t>TOWN HALL AGO EGUN</t>
  </si>
  <si>
    <t>https://docs.inecelectionresults.net/elections_prod/1292/state/01/lga/14/ward/11/pu/036/036-1677415293.pdf</t>
  </si>
  <si>
    <t>TOWN HALL AGO EGUN, Polling Unit, IPOKIA, Ogun State, Nigeria</t>
  </si>
  <si>
    <t>27-14-10-030</t>
  </si>
  <si>
    <t>OPEN SPACE AT ISALE MEDU-MADOGA</t>
  </si>
  <si>
    <t>https://docs.inecelectionresults.net/elections_prod/1292/state/01/lga/14/ward/10/pu/030/030-1677409459.pdf</t>
  </si>
  <si>
    <t>OPEN SPACE AT ISALE MEDU-MADOGA, Polling Unit, IPOKIA, Ogun State, Nigeria</t>
  </si>
  <si>
    <t>27-14-12-018</t>
  </si>
  <si>
    <t>FRONT OF HEALTH CENTER , ILASE</t>
  </si>
  <si>
    <t>https://docs.inecelectionresults.net/elections_prod/1292/state/01/lga/14/ward/12/pu/018/018-1677397698.pdf</t>
  </si>
  <si>
    <t>FRONT OF HEALTH CENTER , ILASE, Polling Unit, IPOKIA, Ogun State, Nigeria</t>
  </si>
  <si>
    <t>27-14-12-019</t>
  </si>
  <si>
    <t>OPEN SPACE AT TAFAPEC ISALE ABOGUNRIN</t>
  </si>
  <si>
    <t>https://docs.inecelectionresults.net/elections_prod/1292/state/01/lga/14/ward/12/pu/019/019-1677400601.pdf</t>
  </si>
  <si>
    <t>OPEN SPACE AT TAFAPEC ISALE ABOGUNRIN, Polling Unit, IPOKIA, Ogun State, Nigeria</t>
  </si>
  <si>
    <t>27-14-12-020</t>
  </si>
  <si>
    <t>OPEN SPACE AT OKE OLA JUNCTION, IHUNBO</t>
  </si>
  <si>
    <t>https://docs.inecelectionresults.net/elections_prod/1292/state/01/lga/14/ward/12/pu/020/020-1677417171.pdf</t>
  </si>
  <si>
    <t>OPEN SPACE AT OKE OLA JUNCTION, IHUNBO, Polling Unit, IPOKIA, Ogun State, Nigeria</t>
  </si>
  <si>
    <t>27-14-12-021</t>
  </si>
  <si>
    <t>OPEN SPACE INFRONT OF IMMIGRATION OFFICE, ILASE</t>
  </si>
  <si>
    <t>https://docs.inecelectionresults.net/elections_prod/1292/state/01/lga/14/ward/12/pu/021/021-1677399522.pdf</t>
  </si>
  <si>
    <t>OPEN SPACE INFRONT OF IMMIGRATION OFFICE, ILASE, Polling Unit, IPOKIA, Ogun State, Nigeria</t>
  </si>
  <si>
    <t>27-14-12-022</t>
  </si>
  <si>
    <t>OPEN SPACE AT AGBEDE NEAR OLD WATER TANK, ILASE</t>
  </si>
  <si>
    <t>https://docs.inecelectionresults.net/elections_prod/1292/state/01/lga/14/ward/12/pu/022/022-1677379628.pdf</t>
  </si>
  <si>
    <t>OPEN SPACE AT AGBEDE NEAR OLD WATER TANK, ILASE, Polling Unit, IPOKIA, Ogun State, Nigeria</t>
  </si>
  <si>
    <t>27-14-04-022</t>
  </si>
  <si>
    <t>BASE AT ITA WHANSE SQUARE</t>
  </si>
  <si>
    <t>https://inec-cvr-cache.s3.eu-west-1.amazonaws.com/cached/results/661395/result_79605_1677577930_thumb.jpg</t>
  </si>
  <si>
    <t>BASE AT ITA WHANSE SQUARE, Polling Unit, IPOKIA, Ogun State, Nigeria</t>
  </si>
  <si>
    <t>27-14-04-023</t>
  </si>
  <si>
    <t>TOWN HALL SENKAME/SETOKO</t>
  </si>
  <si>
    <t>https://inec-cvr-cache.s3.eu-west-1.amazonaws.com/cached/results/661396/result_79606_1677533004_thumb.jpg</t>
  </si>
  <si>
    <t>TOWN HALL SENKAME/SETOKO, Polling Unit, IPOKIA, Ogun State, Nigeria</t>
  </si>
  <si>
    <t>27-14-04-024</t>
  </si>
  <si>
    <t>OPEN SPACE AT TONGEJI WATER WORKS</t>
  </si>
  <si>
    <t>https://inec-cvr-cache.s3.eu-west-1.amazonaws.com/cached/results/661397/result_79607_1677533590_thumb.jpg</t>
  </si>
  <si>
    <t>OPEN SPACE AT TONGEJI WATER WORKS, Polling Unit, IPOKIA, Ogun State, Nigeria</t>
  </si>
  <si>
    <t>27-14-04-025</t>
  </si>
  <si>
    <t>ZEBE SQUARE VATIPA, IKEFIN</t>
  </si>
  <si>
    <t>https://inec-cvr-cache.s3.eu-west-1.amazonaws.com/cached/results/661398/result_79608_1677535304_thumb.jpg</t>
  </si>
  <si>
    <t>ZEBE SQUARE VATIPA, IKEFIN, Polling Unit, IPOKIA, Ogun State, Nigeria</t>
  </si>
  <si>
    <t>27-14-01-010</t>
  </si>
  <si>
    <t>INFRONT OF OLD POST OFFICE,IPOKIA</t>
  </si>
  <si>
    <t>https://docs.inecelectionresults.net/elections_prod/1292/state/01/lga/14/ward/01/pu/010/010-1677405502.pdf</t>
  </si>
  <si>
    <t>INFRONT OF OLD POST OFFICE,IPOKIA, Polling Unit, IPOKIA, Ogun State, Nigeria</t>
  </si>
  <si>
    <t>27-14-01-012</t>
  </si>
  <si>
    <t>INFRONT OF CUSTOMARY COURT, IPOKIA</t>
  </si>
  <si>
    <t>https://docs.inecelectionresults.net/elections_prod/1292/state/01/lga/14/ward/01/pu/012/012-1677393128.pdf</t>
  </si>
  <si>
    <t>INFRONT OF CUSTOMARY COURT, IPOKIA, Polling Unit, IPOKIA, Ogun State, Nigeria</t>
  </si>
  <si>
    <t>27-14-01-013</t>
  </si>
  <si>
    <t>BASE AT IREPODUN JUNCTION, IPOKIA</t>
  </si>
  <si>
    <t>https://docs.inecelectionresults.net/elections_prod/1292/state/01/lga/14/ward/01/pu/013/013-1677402597.pdf</t>
  </si>
  <si>
    <t>BASE AT IREPODUN JUNCTION, IPOKIA, Polling Unit, IPOKIA, Ogun State, Nigeria</t>
  </si>
  <si>
    <t>27-14-01-014</t>
  </si>
  <si>
    <t>OPEN SPACE INFRONT OF IPOKIA STAFF QUARTERS</t>
  </si>
  <si>
    <t>https://docs.inecelectionresults.net/elections_prod/1292/state/01/lga/14/ward/01/pu/014/014-1677402079.pdf</t>
  </si>
  <si>
    <t>OPEN SPACE INFRONT OF IPOKIA STAFF QUARTERS, Polling Unit, IPOKIA, Ogun State, Nigeria</t>
  </si>
  <si>
    <t>27-14-01-015</t>
  </si>
  <si>
    <t>OPEN SPACE AT IDOSUO STREET, IPOKIA</t>
  </si>
  <si>
    <t>https://docs.inecelectionresults.net/elections_prod/1292/state/01/lga/14/ward/01/pu/015/015-1677400524.pdf</t>
  </si>
  <si>
    <t>OPEN SPACE AT IDOSUO STREET, IPOKIA, Polling Unit, IPOKIA, Ogun State, Nigeria</t>
  </si>
  <si>
    <t>27-14-01-016</t>
  </si>
  <si>
    <t>OPEN SPACE AT OKE YARA, IPOKIA</t>
  </si>
  <si>
    <t>https://docs.inecelectionresults.net/elections_prod/1292/state/01/lga/14/ward/01/pu/016/016-1677401206.pdf</t>
  </si>
  <si>
    <t>OPEN SPACE AT OKE YARA, IPOKIA, Polling Unit, IPOKIA, Ogun State, Nigeria</t>
  </si>
  <si>
    <t>27-14-01-017</t>
  </si>
  <si>
    <t>SURULERE JUNCTION IPOKIA</t>
  </si>
  <si>
    <t>https://docs.inecelectionresults.net/elections_prod/1292/state/01/lga/14/ward/01/pu/017/017-1677400066.pdf</t>
  </si>
  <si>
    <t>SURULERE JUNCTION IPOKIA, Polling Unit, IPOKIA, Ogun State, Nigeria</t>
  </si>
  <si>
    <t>27-14-02-009</t>
  </si>
  <si>
    <t>TOWN HALL MOTOKE IPONRAN</t>
  </si>
  <si>
    <t>https://docs.inecelectionresults.net/elections_prod/1292/state/01/lga/14/ward/02/pu/009/009-1677404889.pdf</t>
  </si>
  <si>
    <t>TOWN HALL MOTOKE IPONRAN, Polling Unit, IPOKIA, Ogun State, Nigeria</t>
  </si>
  <si>
    <t>27-14-02-010</t>
  </si>
  <si>
    <t>OPEN SPACE AT PAKOJI JUNCTION</t>
  </si>
  <si>
    <t>https://docs.inecelectionresults.net/elections_prod/1292/state/01/lga/14/ward/02/pu/010/010-1677412571.pdf</t>
  </si>
  <si>
    <t>OPEN SPACE AT PAKOJI JUNCTION, Polling Unit, IPOKIA, Ogun State, Nigeria</t>
  </si>
  <si>
    <t>27-14-02-011</t>
  </si>
  <si>
    <t>SEJE ONIMOWO TOWN HALL</t>
  </si>
  <si>
    <t>https://docs.inecelectionresults.net/elections_prod/1292/state/01/lga/14/ward/02/pu/011/011-1677412004.pdf</t>
  </si>
  <si>
    <t>SEJE ONIMOWO TOWN HALL, Polling Unit, IPOKIA, Ogun State, Nigeria</t>
  </si>
  <si>
    <t>27-14-02-013</t>
  </si>
  <si>
    <t>ITADO BASE ODANPOPO</t>
  </si>
  <si>
    <t>https://docs.inecelectionresults.net/elections_prod/1292/state/01/lga/14/ward/02/pu/013/013-1677411948.pdf</t>
  </si>
  <si>
    <t>ITADO BASE ODANPOPO, Polling Unit, IPOKIA, Ogun State, Nigeria</t>
  </si>
  <si>
    <t>27-14-08-011</t>
  </si>
  <si>
    <t>NIGHT MARKET JUNCTION IPINLE OKE</t>
  </si>
  <si>
    <t>https://docs.inecelectionresults.net/elections_prod/1292/state/01/lga/14/ward/08/pu/011/011-1677402914.pdf</t>
  </si>
  <si>
    <t>NIGHT MARKET JUNCTION IPINLE OKE, Polling Unit, IPOKIA, Ogun State, Nigeria</t>
  </si>
  <si>
    <t>27-14-08-012</t>
  </si>
  <si>
    <t>BAPTIST DAY PRIMARY SCHOOL, VAWHE-TAFA</t>
  </si>
  <si>
    <t>https://docs.inecelectionresults.net/elections_prod/1292/state/01/lga/14/ward/08/pu/012/012-1677402825.pdf</t>
  </si>
  <si>
    <t>BAPTIST DAY PRIMARY SCHOOL, VAWHE-TAFA, Polling Unit, IPOKIA, Ogun State, Nigeria</t>
  </si>
  <si>
    <t>27-14-08-013</t>
  </si>
  <si>
    <t>TOWN HALL, AGBOGBE</t>
  </si>
  <si>
    <t>https://docs.inecelectionresults.net/elections_prod/1292/state/01/lga/14/ward/08/pu/013/013-1677405024.pdf</t>
  </si>
  <si>
    <t>TOWN HALL, AGBOGBE, Polling Unit, IPOKIA, Ogun State, Nigeria</t>
  </si>
  <si>
    <t>27-14-08-014</t>
  </si>
  <si>
    <t>OPEN SPACE AT VETHO VAWHE HUNDO</t>
  </si>
  <si>
    <t>https://docs.inecelectionresults.net/elections_prod/1292/state/01/lga/14/ward/08/pu/014/014-1677410190.pdf</t>
  </si>
  <si>
    <t>OPEN SPACE AT VETHO VAWHE HUNDO, Polling Unit, IPOKIA, Ogun State, Nigeria</t>
  </si>
  <si>
    <t>27-14-08-015</t>
  </si>
  <si>
    <t>OPEN SPACE AT SEJE OKE</t>
  </si>
  <si>
    <t>https://docs.inecelectionresults.net/elections_prod/1292/state/01/lga/14/ward/08/pu/015/015-1677407598.pdf</t>
  </si>
  <si>
    <t>OPEN SPACE AT SEJE OKE, Polling Unit, IPOKIA, Ogun State, Nigeria</t>
  </si>
  <si>
    <t>27-14-05-014</t>
  </si>
  <si>
    <t>COMMUNITY SECONDARY SCHOOL TUBE</t>
  </si>
  <si>
    <t>https://inec-cvr-cache.s3.eu-west-1.amazonaws.com/cached/results/661417/result_79622_1677577185_thumb.jpg</t>
  </si>
  <si>
    <t>COMMUNITY SECONDARY SCHOOL TUBE, Polling Unit, IPOKIA, Ogun State, Nigeria</t>
  </si>
  <si>
    <t>27-15-11-013</t>
  </si>
  <si>
    <t>OPEN SPACE AT AJEBO GARAGE</t>
  </si>
  <si>
    <t>https://docs.inecelectionresults.net/elections_prod/1292/state/01/lga/15/ward/11/pu/013/013-1677415163.pdf</t>
  </si>
  <si>
    <t>OPEN SPACE AT AJEBO GARAGE, Polling Unit, OBAFEMI/OWODE, Ogun State, Nigeria</t>
  </si>
  <si>
    <t>27-15-04-019</t>
  </si>
  <si>
    <t>MARKET SQUARE SIUN</t>
  </si>
  <si>
    <t>https://inec-cvr-cache.s3.eu-west-1.amazonaws.com/cached/results/661424/result_79969_1677547258_thumb.jpg</t>
  </si>
  <si>
    <t>MARKET SQUARE SIUN, Polling Unit, OBAFEMI/OWODE, Ogun State, Nigeria</t>
  </si>
  <si>
    <t>27-15-04-020</t>
  </si>
  <si>
    <t>OPEN SPACE AT BARA TOWN JUNCTION</t>
  </si>
  <si>
    <t>https://inec-cvr-cache.s3.eu-west-1.amazonaws.com/cached/results/661425/result_79970_1677548585_thumb.jpg</t>
  </si>
  <si>
    <t>OPEN SPACE AT BARA TOWN JUNCTION, Polling Unit, OBAFEMI/OWODE, Ogun State, Nigeria</t>
  </si>
  <si>
    <t>27-15-12-012</t>
  </si>
  <si>
    <t>OPEN SPACE AT IGA IKEREKU, ALAPAKO-ONI</t>
  </si>
  <si>
    <t>https://inec-cvr-cache.s3.eu-west-1.amazonaws.com/cached/results/661426/result_80103_1677507081_thumb.jpg</t>
  </si>
  <si>
    <t>OPEN SPACE AT IGA IKEREKU, ALAPAKO-ONI, Polling Unit, OBAFEMI/OWODE, Ogun State, Nigeria</t>
  </si>
  <si>
    <t>27-15-08-013</t>
  </si>
  <si>
    <t>OPEN SPACE AT OPP TRANSFORMER AT ABULE-OKO JUNCTION, LADERIN EXT.</t>
  </si>
  <si>
    <t>https://inec-cvr-cache.s3.eu-west-1.amazonaws.com/cached/results/661427/result_80050_1677496459_thumb.jpg</t>
  </si>
  <si>
    <t>OPEN SPACE AT OPP TRANSFORMER AT ABULE-OKO JUNCTION, LADERIN EXT., Polling Unit, OBAFEMI/OWODE, Ogun State, Nigeria</t>
  </si>
  <si>
    <t>27-15-08-014</t>
  </si>
  <si>
    <t>OPEN SPACE AT WATER CORPORATION LADERIN JUNCTION</t>
  </si>
  <si>
    <t>https://inec-cvr-cache.s3.eu-west-1.amazonaws.com/cached/results/661428/result_80051_1677496823_thumb.jpg</t>
  </si>
  <si>
    <t>OPEN SPACE AT WATER CORPORATION LADERIN JUNCTION, Polling Unit, OBAFEMI/OWODE, Ogun State, Nigeria</t>
  </si>
  <si>
    <t>27-15-08-015</t>
  </si>
  <si>
    <t>COMMUNITY TOWN HALL, WASIMI ARAROMI AJEBO ROAD</t>
  </si>
  <si>
    <t>https://inec-cvr-cache.s3.eu-west-1.amazonaws.com/cached/results/661429/result_80052_1677505789_thumb.jpg</t>
  </si>
  <si>
    <t>COMMUNITY TOWN HALL, WASIMI ARAROMI AJEBO ROAD, Polling Unit, OBAFEMI/OWODE, Ogun State, Nigeria</t>
  </si>
  <si>
    <t>27-15-09-012</t>
  </si>
  <si>
    <t>OPEN SPACE AT KAJOLA MARKET BESIDE TRANSFORMER</t>
  </si>
  <si>
    <t>https://inec-cvr-cache.s3.eu-west-1.amazonaws.com/cached/results/661430/result_80064_1677593402_thumb.jpg</t>
  </si>
  <si>
    <t>OPEN SPACE AT KAJOLA MARKET BESIDE TRANSFORMER, Polling Unit, OBAFEMI/OWODE, Ogun State, Nigeria</t>
  </si>
  <si>
    <t>27-15-01-009</t>
  </si>
  <si>
    <t>IREPODUN UNITED COMM. SCH MOKOLOKI</t>
  </si>
  <si>
    <t>https://docs.inecelectionresults.net/elections_prod/1292/state/01/lga/15/ward/01/pu/009/009-1677401685.pdf</t>
  </si>
  <si>
    <t>IREPODUN UNITED COMM. SCH MOKOLOKI, Polling Unit, OBAFEMI/OWODE, Ogun State, Nigeria</t>
  </si>
  <si>
    <t>27-15-01-010</t>
  </si>
  <si>
    <t>OPEN SPACE AT IDI-IROKO JUNCTION, ELEWERO</t>
  </si>
  <si>
    <t>https://docs.inecelectionresults.net/elections_prod/1292/state/01/lga/15/ward/01/pu/010/010-1677402557.pdf</t>
  </si>
  <si>
    <t>OPEN SPACE AT IDI-IROKO JUNCTION, ELEWERO, Polling Unit, OBAFEMI/OWODE, Ogun State, Nigeria</t>
  </si>
  <si>
    <t>27-15-01-011</t>
  </si>
  <si>
    <t>OPEN SPACE AT OJA, OBA IRO, MOKOLOKI</t>
  </si>
  <si>
    <t>https://docs.inecelectionresults.net/elections_prod/1292/state/01/lga/15/ward/01/pu/011/011-1677402479.pdf</t>
  </si>
  <si>
    <t>OPEN SPACE AT OJA, OBA IRO, MOKOLOKI, Polling Unit, OBAFEMI/OWODE, Ogun State, Nigeria</t>
  </si>
  <si>
    <t>27-15-05-015</t>
  </si>
  <si>
    <t>AFRICAN CHURCH PRIMARY SCH., KEREWU KOBAPE</t>
  </si>
  <si>
    <t>https://inec-cvr-cache.s3.eu-west-1.amazonaws.com/cached/results/661434/result_79985_1677572350_thumb.jpg</t>
  </si>
  <si>
    <t>AFRICAN CHURCH PRIMARY SCH., KEREWU KOBAPE, Polling Unit, OBAFEMI/OWODE, Ogun State, Nigeria</t>
  </si>
  <si>
    <t>27-15-05-016</t>
  </si>
  <si>
    <t>OPEN SPACE AT IGA-IJEMO VILLAGE MOLOKO-ASIPA</t>
  </si>
  <si>
    <t>https://inec-cvr-cache.s3.eu-west-1.amazonaws.com/cached/results/661435/result_79986_1677569079_thumb.jpg</t>
  </si>
  <si>
    <t>OPEN SPACE AT IGA-IJEMO VILLAGE MOLOKO-ASIPA, Polling Unit, OBAFEMI/OWODE, Ogun State, Nigeria</t>
  </si>
  <si>
    <t>27-15-07-025</t>
  </si>
  <si>
    <t>OOLG SCHOOL,MEGI ALAGADA, OBA</t>
  </si>
  <si>
    <t>https://docs.inecelectionresults.net/elections_prod/1292/state/01/lga/15/ward/07/pu/025/025-1677423109.pdf</t>
  </si>
  <si>
    <t>OOLG SCHOOL,MEGI ALAGADA, OBA, Polling Unit, OBAFEMI/OWODE, Ogun State, Nigeria</t>
  </si>
  <si>
    <t>27-15-07-026</t>
  </si>
  <si>
    <t>OPEN SPACE AT ERIN MARKET OBA</t>
  </si>
  <si>
    <t>https://docs.inecelectionresults.net/elections_prod/1292/state/01/lga/15/ward/07/pu/026/026-1677415922.pdf</t>
  </si>
  <si>
    <t>OPEN SPACE AT ERIN MARKET OBA, Polling Unit, OBAFEMI/OWODE, Ogun State, Nigeria</t>
  </si>
  <si>
    <t>27-15-07-028</t>
  </si>
  <si>
    <t>OPEN SPACE AT PLATINUM HOTEL INUKONU STR, ADIGBE</t>
  </si>
  <si>
    <t>https://docs.inecelectionresults.net/elections_prod/1292/state/01/lga/15/ward/07/pu/028/028-1677416090.pdf</t>
  </si>
  <si>
    <t>OPEN SPACE AT PLATINUM HOTEL INUKONU STR, ADIGBE, Polling Unit, OBAFEMI/OWODE, Ogun State, Nigeria</t>
  </si>
  <si>
    <t>27-15-07-029</t>
  </si>
  <si>
    <t>OPEN SPACE AT ASIRIBO JUNCTION ADIGBE</t>
  </si>
  <si>
    <t>https://docs.inecelectionresults.net/elections_prod/1292/state/01/lga/15/ward/07/pu/029/029-1677409808.pdf</t>
  </si>
  <si>
    <t>OPEN SPACE AT ASIRIBO JUNCTION ADIGBE, Polling Unit, OBAFEMI/OWODE, Ogun State, Nigeria</t>
  </si>
  <si>
    <t>27-15-07-030</t>
  </si>
  <si>
    <t>OPEN SPACE AT KEHINDE MARTINS THOMAS ESTATE, OLOKE EXTENSION , OJERE</t>
  </si>
  <si>
    <t>https://docs.inecelectionresults.net/elections_prod/1292/state/01/lga/15/ward/07/pu/030/030-1677421052.pdf</t>
  </si>
  <si>
    <t>OPEN SPACE AT KEHINDE MARTINS THOMAS ESTATE, OLOKE EXTENSION , OJERE, Polling Unit, OBAFEMI/OWODE, Ogun State, Nigeria</t>
  </si>
  <si>
    <t>27-15-07-031</t>
  </si>
  <si>
    <t>OPEN SPACE AT BIG MASTER JUNCTION,JAPO, ADIGBE</t>
  </si>
  <si>
    <t>https://docs.inecelectionresults.net/elections_prod/1292/state/01/lga/15/ward/07/pu/031/031-1677424310.pdf</t>
  </si>
  <si>
    <t>OPEN SPACE AT BIG MASTER JUNCTION,JAPO, ADIGBE, Polling Unit, OBAFEMI/OWODE, Ogun State, Nigeria</t>
  </si>
  <si>
    <t>27-15-07-032</t>
  </si>
  <si>
    <t>OPEN SPACE BESIDE OLD RAILWAY JUNCTION, AGBAMAYA</t>
  </si>
  <si>
    <t>https://docs.inecelectionresults.net/elections_prod/1292/state/01/lga/15/ward/07/pu/032/032-1677425300.pdf</t>
  </si>
  <si>
    <t>OPEN SPACE BESIDE OLD RAILWAY JUNCTION, AGBAMAYA, Polling Unit, OBAFEMI/OWODE, Ogun State, Nigeria</t>
  </si>
  <si>
    <t>27-15-07-033</t>
  </si>
  <si>
    <t>OPEN SPACE AT TEMITOPE OPAKO</t>
  </si>
  <si>
    <t>https://docs.inecelectionresults.net/elections_prod/1292/state/01/lga/15/ward/07/pu/033/033-1677410801.pdf</t>
  </si>
  <si>
    <t>OPEN SPACE AT TEMITOPE OPAKO, Polling Unit, OBAFEMI/OWODE, Ogun State, Nigeria</t>
  </si>
  <si>
    <t>27-15-07-034</t>
  </si>
  <si>
    <t>OPEN SPACE OPP. BAALE AKINTIBUBO CRESCENT OKE-ODO JAPO, ADIGBE</t>
  </si>
  <si>
    <t>https://docs.inecelectionresults.net/elections_prod/1292/state/01/lga/15/ward/07/pu/034/034-1677425756.pdf</t>
  </si>
  <si>
    <t>OPEN SPACE OPP. BAALE AKINTIBUBO CRESCENT OKE-ODO JAPO, ADIGBE, Polling Unit, OBAFEMI/OWODE, Ogun State, Nigeria</t>
  </si>
  <si>
    <t>27-15-07-035</t>
  </si>
  <si>
    <t>OPEN SPACE AT ASIPA JUNCTION BESIDE TRANSFORMER SHOGBAMU ROAD</t>
  </si>
  <si>
    <t>https://docs.inecelectionresults.net/elections_prod/1292/state/01/lga/15/ward/07/pu/035/035-1677422005.pdf</t>
  </si>
  <si>
    <t>OPEN SPACE AT ASIPA JUNCTION BESIDE TRANSFORMER SHOGBAMU ROAD, Polling Unit, OBAFEMI/OWODE, Ogun State, Nigeria</t>
  </si>
  <si>
    <t>27-15-07-036</t>
  </si>
  <si>
    <t>OPEN SPACE AT T-JUNCTION,ODEMO (ASIRIBO)</t>
  </si>
  <si>
    <t>https://docs.inecelectionresults.net/elections_prod/1292/state/01/lga/15/ward/07/pu/036/036-1677412658.pdf</t>
  </si>
  <si>
    <t>OPEN SPACE AT T-JUNCTION,ODEMO (ASIRIBO), Polling Unit, OBAFEMI/OWODE, Ogun State, Nigeria</t>
  </si>
  <si>
    <t>27-15-07-037</t>
  </si>
  <si>
    <t>OPEN SPACE AT T-JUNCTION STREET ABULE OBA ADIGBE</t>
  </si>
  <si>
    <t>https://docs.inecelectionresults.net/elections_prod/1292/state/01/lga/15/ward/07/pu/037/037-1677410713.pdf</t>
  </si>
  <si>
    <t>OPEN SPACE AT T-JUNCTION STREET ABULE OBA ADIGBE, Polling Unit, OBAFEMI/OWODE, Ogun State, Nigeria</t>
  </si>
  <si>
    <t>27-15-07-038</t>
  </si>
  <si>
    <t>OPEN SPACE UNDER R-POWERLINE OLOPE ABULE OJERE</t>
  </si>
  <si>
    <t>https://docs.inecelectionresults.net/elections_prod/1292/state/01/lga/15/ward/07/pu/038/038-1677421369.pdf</t>
  </si>
  <si>
    <t>OPEN SPACE UNDER R-POWERLINE OLOPE ABULE OJERE, Polling Unit, OBAFEMI/OWODE, Ogun State, Nigeria</t>
  </si>
  <si>
    <t>27-15-10-013</t>
  </si>
  <si>
    <t>MARKET SQUARE OBAFEMI</t>
  </si>
  <si>
    <t>https://docs.inecelectionresults.net/elections_prod/1292/state/1/lga/3680/ward/24123/pu/166273/166273-1677621190.pdf</t>
  </si>
  <si>
    <t>MARKET SQUARE OBAFEMI, Polling Unit, OBAFEMI/OWODE, Ogun State, Nigeria</t>
  </si>
  <si>
    <t>27-15-10-014</t>
  </si>
  <si>
    <t>ST. STEPHEN ANG. PRIMARY SCH., OLOPARUN, OBAFEMI</t>
  </si>
  <si>
    <t>https://docs.inecelectionresults.net/elections_prod/1292/state/1/lga/3680/ward/24123/pu/166274/166274-1677599883.pdf</t>
  </si>
  <si>
    <t>ST. STEPHEN ANG. PRIMARY SCH., OLOPARUN, OBAFEMI, Polling Unit, OBAFEMI/OWODE, Ogun State, Nigeria</t>
  </si>
  <si>
    <t>27-15-02-022</t>
  </si>
  <si>
    <t>OPEN SPACE AT OKE-IRAN JUNCTION, ABAREN,OFADA</t>
  </si>
  <si>
    <t>https://docs.inecelectionresults.net/elections_prod/1292/state/1/lga/3680/ward/24115/pu/166129/166129-1677542043.pdf</t>
  </si>
  <si>
    <t>OPEN SPACE AT OKE-IRAN JUNCTION, ABAREN,OFADA, Polling Unit, OBAFEMI/OWODE, Ogun State, Nigeria</t>
  </si>
  <si>
    <t>27-15-02-023</t>
  </si>
  <si>
    <t>OFADA COMM. COMPREHENSIVE SCH., OFADA</t>
  </si>
  <si>
    <t>https://docs.inecelectionresults.net/elections_prod/1292/state/1/lga/3680/ward/24115/pu/166130/166130-1677542233.pdf</t>
  </si>
  <si>
    <t>OFADA COMM. COMPREHENSIVE SCH., OFADA, Polling Unit, OBAFEMI/OWODE, Ogun State, Nigeria</t>
  </si>
  <si>
    <t>27-15-02-024</t>
  </si>
  <si>
    <t>OPEN SPACE AT BETTER DAY B/STOP, OFADA</t>
  </si>
  <si>
    <t>https://docs.inecelectionresults.net/elections_prod/1292/state/1/lga/3680/ward/24115/pu/166131/166131-1677542356.pdf</t>
  </si>
  <si>
    <t>OPEN SPACE AT BETTER DAY B/STOP, OFADA, Polling Unit, OBAFEMI/OWODE, Ogun State, Nigeria</t>
  </si>
  <si>
    <t>27-15-02-025</t>
  </si>
  <si>
    <t>OPEN SPACE AT IYANA BISODUN OFADA</t>
  </si>
  <si>
    <t>https://docs.inecelectionresults.net/elections_prod/1292/state/1/lga/3680/ward/24115/pu/166132/166132-1677543560.pdf</t>
  </si>
  <si>
    <t>OPEN SPACE AT IYANA BISODUN OFADA, Polling Unit, OBAFEMI/OWODE, Ogun State, Nigeria</t>
  </si>
  <si>
    <t>27-15-02-026</t>
  </si>
  <si>
    <t>OPEN SPACE AT YOTOMI GATE, OFADA</t>
  </si>
  <si>
    <t>https://docs.inecelectionresults.net/elections_prod/1292/state/1/lga/3680/ward/24115/pu/166133/166133-1677543751.pdf</t>
  </si>
  <si>
    <t>OPEN SPACE AT YOTOMI GATE, OFADA, Polling Unit, OBAFEMI/OWODE, Ogun State, Nigeria</t>
  </si>
  <si>
    <t>27-15-02-027</t>
  </si>
  <si>
    <t>OPEN SPACE AT ADEBIMPE JUNCTION., TEMIDIRE ROAD, IBAFO</t>
  </si>
  <si>
    <t>https://docs.inecelectionresults.net/elections_prod/1292/state/1/lga/3680/ward/24115/pu/166134/166134-1677543954.pdf</t>
  </si>
  <si>
    <t>OPEN SPACE AT ADEBIMPE JUNCTION., TEMIDIRE ROAD, IBAFO, Polling Unit, OBAFEMI/OWODE, Ogun State, Nigeria</t>
  </si>
  <si>
    <t>27-15-02-028</t>
  </si>
  <si>
    <t>OPEN SPACE AT MR BIGGS JUNCTION, IBAFO</t>
  </si>
  <si>
    <t>https://docs.inecelectionresults.net/elections_prod/1292/state/1/lga/3680/ward/24115/pu/166135/166135-1677544215.pdf</t>
  </si>
  <si>
    <t>OPEN SPACE AT MR BIGGS JUNCTION, IBAFO, Polling Unit, OBAFEMI/OWODE, Ogun State, Nigeria</t>
  </si>
  <si>
    <t>27-15-02-029</t>
  </si>
  <si>
    <t>OPEN SPACE AT MAGADA ONIGBAGBO, IBAFO</t>
  </si>
  <si>
    <t>https://docs.inecelectionresults.net/elections_prod/1292/state/1/lga/3680/ward/24115/pu/166136/166136-1677559804.pdf</t>
  </si>
  <si>
    <t>OPEN SPACE AT MAGADA ONIGBAGBO, IBAFO, Polling Unit, OBAFEMI/OWODE, Ogun State, Nigeria</t>
  </si>
  <si>
    <t>27-15-02-030</t>
  </si>
  <si>
    <t>OPEN SPACE AT OLADUNJOYE STR., POWERLINE, MAGADA, IBAFO</t>
  </si>
  <si>
    <t>https://docs.inecelectionresults.net/elections_prod/1292/state/1/lga/3680/ward/24115/pu/166137/166137-1677540609.pdf</t>
  </si>
  <si>
    <t>OPEN SPACE AT OLADUNJOYE STR., POWERLINE, MAGADA, IBAFO, Polling Unit, OBAFEMI/OWODE, Ogun State, Nigeria</t>
  </si>
  <si>
    <t>27-15-02-031</t>
  </si>
  <si>
    <t>OPEN SPACE AT CELESTIAL STR IRETI OGO, MAGADA</t>
  </si>
  <si>
    <t>https://docs.inecelectionresults.net/elections_prod/1292/state/1/lga/3680/ward/24115/pu/166138/166138-1677560277.pdf</t>
  </si>
  <si>
    <t>OPEN SPACE AT CELESTIAL STR IRETI OGO, MAGADA, Polling Unit, OBAFEMI/OWODE, Ogun State, Nigeria</t>
  </si>
  <si>
    <t>27-15-02-032</t>
  </si>
  <si>
    <t>MARKET SQUARE, IBAFO B/STOP</t>
  </si>
  <si>
    <t>https://docs.inecelectionresults.net/elections_prod/1292/state/1/lga/3680/ward/24115/pu/166139/166139-1677560447.pdf</t>
  </si>
  <si>
    <t>MARKET SQUARE, IBAFO B/STOP, Polling Unit, OBAFEMI/OWODE, Ogun State, Nigeria</t>
  </si>
  <si>
    <t>27-15-02-033</t>
  </si>
  <si>
    <t>OPEN SPACE AT LIBERTY ESTATE GATE, IBAFO</t>
  </si>
  <si>
    <t>https://docs.inecelectionresults.net/elections_prod/1292/state/1/lga/3680/ward/24115/pu/166140/166140-1677543503.pdf</t>
  </si>
  <si>
    <t>OPEN SPACE AT LIBERTY ESTATE GATE, IBAFO, Polling Unit, OBAFEMI/OWODE, Ogun State, Nigeria</t>
  </si>
  <si>
    <t>27-15-02-034</t>
  </si>
  <si>
    <t>OPEN SPACE AT EXCELLENT LIBERTY ESTATE, ZONE 7, IBAFO</t>
  </si>
  <si>
    <t>https://docs.inecelectionresults.net/elections_prod/1292/state/1/lga/3680/ward/24115/pu/166141/166141-1677586444.pdf</t>
  </si>
  <si>
    <t>OPEN SPACE AT EXCELLENT LIBERTY ESTATE, ZONE 7, IBAFO, Polling Unit, OBAFEMI/OWODE, Ogun State, Nigeria</t>
  </si>
  <si>
    <t>27-15-02-035</t>
  </si>
  <si>
    <t>OPEN SPACE AT LAU JUNCTION,IBAFO</t>
  </si>
  <si>
    <t>https://docs.inecelectionresults.net/elections_prod/1292/state/1/lga/3680/ward/24115/pu/166142/166142-1677541011.pdf</t>
  </si>
  <si>
    <t>OPEN SPACE AT LAU JUNCTION,IBAFO, Polling Unit, OBAFEMI/OWODE, Ogun State, Nigeria</t>
  </si>
  <si>
    <t>27-15-02-036</t>
  </si>
  <si>
    <t>UNITY ESTATE UNITY HALL, GBARAGUNRIN, IBAFO</t>
  </si>
  <si>
    <t>https://docs.inecelectionresults.net/elections_prod/1292/state/1/lga/3680/ward/24115/pu/166143/166143-1677541753.pdf</t>
  </si>
  <si>
    <t>UNITY ESTATE UNITY HALL, GBARAGUNRIN, IBAFO, Polling Unit, OBAFEMI/OWODE, Ogun State, Nigeria</t>
  </si>
  <si>
    <t>27-15-02-037</t>
  </si>
  <si>
    <t>OPEN  SPACE AT SPARKLIGHT/AM WEMABOARD JUNCTION, MAGBORO</t>
  </si>
  <si>
    <t>https://docs.inecelectionresults.net/elections_prod/1292/state/1/lga/3680/ward/24115/pu/166144/166144-1677561434.pdf</t>
  </si>
  <si>
    <t>OPEN  SPACE AT SPARKLIGHT/AM WEMABOARD JUNCTION, MAGBORO, Polling Unit, OBAFEMI/OWODE, Ogun State, Nigeria</t>
  </si>
  <si>
    <t>27-15-02-038</t>
  </si>
  <si>
    <t>FRONT OF HEALTH CENTRE SANNI, OMOTEDO, MAGBORO</t>
  </si>
  <si>
    <t>https://docs.inecelectionresults.net/elections_prod/1292/state/1/lga/3680/ward/24115/pu/166145/166145-1677561874.pdf</t>
  </si>
  <si>
    <t>FRONT OF HEALTH CENTRE SANNI, OMOTEDO, MAGBORO, Polling Unit, OBAFEMI/OWODE, Ogun State, Nigeria</t>
  </si>
  <si>
    <t>27-15-02-039</t>
  </si>
  <si>
    <t>OPEN SPACE AT BRENTFEED JUNCTION, OKE AFA, MAGBORO</t>
  </si>
  <si>
    <t>https://docs.inecelectionresults.net/elections_prod/1292/state/1/lga/3680/ward/24115/pu/166146/166146-1677562154.pdf</t>
  </si>
  <si>
    <t>OPEN SPACE AT BRENTFEED JUNCTION, OKE AFA, MAGBORO, Polling Unit, OBAFEMI/OWODE, Ogun State, Nigeria</t>
  </si>
  <si>
    <t>27-15-02-040</t>
  </si>
  <si>
    <t>OPEN SPACE AT DHL JUNCTION,OKE AFA, MAGBORO</t>
  </si>
  <si>
    <t>https://docs.inecelectionresults.net/elections_prod/1292/state/01/lga/15/ward/02/pu/040/040-1677405970.pdf</t>
  </si>
  <si>
    <t>OPEN SPACE AT DHL JUNCTION,OKE AFA, MAGBORO, Polling Unit, OBAFEMI/OWODE, Ogun State, Nigeria</t>
  </si>
  <si>
    <t>27-15-02-042</t>
  </si>
  <si>
    <t>OOLG SCH., MAKOGI</t>
  </si>
  <si>
    <t>https://docs.inecelectionresults.net/elections_prod/1292/state/1/lga/3680/ward/24115/pu/166149/166149-1677542284.pdf</t>
  </si>
  <si>
    <t>OOLG SCH., MAKOGI, Polling Unit, OBAFEMI/OWODE, Ogun State, Nigeria</t>
  </si>
  <si>
    <t>27-15-02-043</t>
  </si>
  <si>
    <t>OPEN SPACE AT OLOWOJOBA JUNCTION, IGODO,MAGBORO</t>
  </si>
  <si>
    <t>https://docs.inecelectionresults.net/elections_prod/1292/state/1/lga/3680/ward/24115/pu/166150/166150-1677562740.pdf</t>
  </si>
  <si>
    <t>OPEN SPACE AT OLOWOJOBA JUNCTION, IGODO,MAGBORO, Polling Unit, OBAFEMI/OWODE, Ogun State, Nigeria</t>
  </si>
  <si>
    <t>27-15-02-044</t>
  </si>
  <si>
    <t>OPEN SPACE AT VOERA JUNCTION, AREPO</t>
  </si>
  <si>
    <t>https://docs.inecelectionresults.net/elections_prod/1292/state/1/lga/3680/ward/24115/pu/166151/166151-1677563093.pdf</t>
  </si>
  <si>
    <t>OPEN SPACE AT VOERA JUNCTION, AREPO, Polling Unit, OBAFEMI/OWODE, Ogun State, Nigeria</t>
  </si>
  <si>
    <t>27-15-02-045</t>
  </si>
  <si>
    <t>JOURNALIST ESTATE MAIN GATE AREPO</t>
  </si>
  <si>
    <t>https://docs.inecelectionresults.net/elections_prod/1292/state/1/lga/3680/ward/24115/pu/166152/166152-1677542455.pdf</t>
  </si>
  <si>
    <t>JOURNALIST ESTATE MAIN GATE AREPO, Polling Unit, OBAFEMI/OWODE, Ogun State, Nigeria</t>
  </si>
  <si>
    <t>27-15-02-047</t>
  </si>
  <si>
    <t>OPEN SPACE BESIDE TRANSFORMER AT AKINFOLARIN JUNCTION, ORIMERUNMU</t>
  </si>
  <si>
    <t>https://docs.inecelectionresults.net/elections_prod/1292/state/1/lga/3680/ward/24115/pu/166154/166154-1677563428.pdf</t>
  </si>
  <si>
    <t>OPEN SPACE BESIDE TRANSFORMER AT AKINFOLARIN JUNCTION, ORIMERUNMU, Polling Unit, OBAFEMI/OWODE, Ogun State, Nigeria</t>
  </si>
  <si>
    <t>27-15-02-048</t>
  </si>
  <si>
    <t>OPEN SPACE AT ALIMI OJO JUNCTION, ORIMERUNMU</t>
  </si>
  <si>
    <t>https://docs.inecelectionresults.net/elections_prod/1292/state/1/lga/3680/ward/24115/pu/166155/166155-1677563695.pdf</t>
  </si>
  <si>
    <t>OPEN SPACE AT ALIMI OJO JUNCTION, ORIMERUNMU, Polling Unit, OBAFEMI/OWODE, Ogun State, Nigeria</t>
  </si>
  <si>
    <t>27-15-02-049</t>
  </si>
  <si>
    <t>COMMUNITY HIGH SCH, ABULE ADESAN, MOWE</t>
  </si>
  <si>
    <t>https://docs.inecelectionresults.net/elections_prod/1292/state/1/lga/3680/ward/24115/pu/166156/166156-1677563976.pdf</t>
  </si>
  <si>
    <t>COMMUNITY HIGH SCH, ABULE ADESAN, MOWE, Polling Unit, OBAFEMI/OWODE, Ogun State, Nigeria</t>
  </si>
  <si>
    <t>27-15-02-051</t>
  </si>
  <si>
    <t>HEALTH CENTRE DALEKO OGUNRUN</t>
  </si>
  <si>
    <t>https://docs.inecelectionresults.net/elections_prod/1292/state/1/lga/3680/ward/24115/pu/166158/166158-1677564143.pdf</t>
  </si>
  <si>
    <t>HEALTH CENTRE DALEKO OGUNRUN, Polling Unit, OBAFEMI/OWODE, Ogun State, Nigeria</t>
  </si>
  <si>
    <t>27-15-02-052</t>
  </si>
  <si>
    <t>OPEN SPACE AT ABULE OGUNRUN</t>
  </si>
  <si>
    <t>https://docs.inecelectionresults.net/elections_prod/1292/state/1/lga/3680/ward/24115/pu/166159/166159-1677567531.pdf</t>
  </si>
  <si>
    <t>OPEN SPACE AT ABULE OGUNRUN, Polling Unit, OBAFEMI/OWODE, Ogun State, Nigeria</t>
  </si>
  <si>
    <t>27-15-02-054</t>
  </si>
  <si>
    <t>OPEN SPACE BEHIND TRANSFORMER JUNCTION, LOTTO, MOWE</t>
  </si>
  <si>
    <t>https://docs.inecelectionresults.net/elections_prod/1292/state/1/lga/3680/ward/24115/pu/166161/166161-1677543000.pdf</t>
  </si>
  <si>
    <t>OPEN SPACE BEHIND TRANSFORMER JUNCTION, LOTTO, MOWE, Polling Unit, OBAFEMI/OWODE, Ogun State, Nigeria</t>
  </si>
  <si>
    <t>27-15-02-059</t>
  </si>
  <si>
    <t>IJERE ELELEDE WORUGUDU TOWNHALL PAKURO</t>
  </si>
  <si>
    <t>https://docs.inecelectionresults.net/elections_prod/1292/state/1/lga/3680/ward/24115/pu/166166/166166-1677568487.pdf</t>
  </si>
  <si>
    <t>IJERE ELELEDE WORUGUDU TOWNHALL PAKURO, Polling Unit, OBAFEMI/OWODE, Ogun State, Nigeria</t>
  </si>
  <si>
    <t>27-15-02-060</t>
  </si>
  <si>
    <t>OPEN SPACE AT MECHANIC VILLAGE, BESIDE REDEMPTION CAMP MAIN GATE</t>
  </si>
  <si>
    <t>https://docs.inecelectionresults.net/elections_prod/1292/state/01/lga/15/ward/02/pu/060/060-1677401382.pdf</t>
  </si>
  <si>
    <t>OPEN SPACE AT MECHANIC VILLAGE, BESIDE REDEMPTION CAMP MAIN GATE, Polling Unit, OBAFEMI/OWODE, Ogun State, Nigeria</t>
  </si>
  <si>
    <t>27-15-02-061</t>
  </si>
  <si>
    <t>OPEN SPACE AT ABDULLAHI JUNCTION BESIDE NNPC CAR PARK C, MOWE</t>
  </si>
  <si>
    <t>https://docs.inecelectionresults.net/elections_prod/1292/state/01/lga/15/ward/02/pu/061/061-1677405604.pdf</t>
  </si>
  <si>
    <t>OPEN SPACE AT ABDULLAHI JUNCTION BESIDE NNPC CAR PARK C, MOWE, Polling Unit, OBAFEMI/OWODE, Ogun State, Nigeria</t>
  </si>
  <si>
    <t>27-15-02-062</t>
  </si>
  <si>
    <t>OPEN SPACE AT HAOLA JUNCTION, ABULE EGUN MOWE</t>
  </si>
  <si>
    <t>https://docs.inecelectionresults.net/elections_prod/1292/state/1/lga/3680/ward/24115/pu/166169/166169-1677568758.pdf</t>
  </si>
  <si>
    <t>OPEN SPACE AT HAOLA JUNCTION, ABULE EGUN MOWE, Polling Unit, OBAFEMI/OWODE, Ogun State, Nigeria</t>
  </si>
  <si>
    <t>27-15-02-063</t>
  </si>
  <si>
    <t>OPEN SPACE AT MIYER JUNCTION, LOBURO</t>
  </si>
  <si>
    <t>https://docs.inecelectionresults.net/elections_prod/1292/state/01/lga/15/ward/02/pu/063/063-1677395008.pdf</t>
  </si>
  <si>
    <t>OPEN SPACE AT MIYER JUNCTION, LOBURO, Polling Unit, OBAFEMI/OWODE, Ogun State, Nigeria</t>
  </si>
  <si>
    <t>27-15-02-064</t>
  </si>
  <si>
    <t>OPEN SPACE AT HOLINESS JUNCTION ORUNKOLE PHASE 1</t>
  </si>
  <si>
    <t>https://docs.inecelectionresults.net/elections_prod/1292/state/1/lga/3680/ward/24115/pu/166171/166171-1677568986.pdf</t>
  </si>
  <si>
    <t>OPEN SPACE AT HOLINESS JUNCTION ORUNKOLE PHASE 1, Polling Unit, OBAFEMI/OWODE, Ogun State, Nigeria</t>
  </si>
  <si>
    <t>27-15-02-066</t>
  </si>
  <si>
    <t>OPEN SPACE AT OLORORO JUNCTION, LOBURO</t>
  </si>
  <si>
    <t>https://docs.inecelectionresults.net/elections_prod/1292/state/1/lga/3680/ward/24115/pu/166173/166173-1677569183.pdf</t>
  </si>
  <si>
    <t>OPEN SPACE AT OLORORO JUNCTION, LOBURO, Polling Unit, OBAFEMI/OWODE, Ogun State, Nigeria</t>
  </si>
  <si>
    <t>27-15-02-068</t>
  </si>
  <si>
    <t>OPEN SPACE AT ASHIMOLOWO JUNCTION</t>
  </si>
  <si>
    <t>https://docs.inecelectionresults.net/elections_prod/1292/state/1/lga/3680/ward/24115/pu/166175/166175-1677569354.pdf</t>
  </si>
  <si>
    <t>OPEN SPACE AT ASHIMOLOWO JUNCTION, Polling Unit, OBAFEMI/OWODE, Ogun State, Nigeria</t>
  </si>
  <si>
    <t>27-15-02-069</t>
  </si>
  <si>
    <t>OPEN SPACE AT OMU ISOKUN BUS STOP ARIGBAWONWO</t>
  </si>
  <si>
    <t>https://docs.inecelectionresults.net/elections_prod/1292/state/1/lga/3680/ward/24115/pu/166176/166176-1677569636.pdf</t>
  </si>
  <si>
    <t>OPEN SPACE AT OMU ISOKUN BUS STOP ARIGBAWONWO, Polling Unit, OBAFEMI/OWODE, Ogun State, Nigeria</t>
  </si>
  <si>
    <t>27-15-02-070</t>
  </si>
  <si>
    <t>OPEN SPACE AT ALEKUN MARKET ARIGBAWONWO</t>
  </si>
  <si>
    <t>https://docs.inecelectionresults.net/elections_prod/1292/state/1/lga/3680/ward/24115/pu/166177/166177-1677569812.pdf</t>
  </si>
  <si>
    <t>OPEN SPACE AT ALEKUN MARKET ARIGBAWONWO, Polling Unit, OBAFEMI/OWODE, Ogun State, Nigeria</t>
  </si>
  <si>
    <t>27-15-02-071</t>
  </si>
  <si>
    <t>OPEN SPACE AT MASIYA JUNCTION,MABA ASESE</t>
  </si>
  <si>
    <t>https://docs.inecelectionresults.net/elections_prod/1292/state/1/lga/3680/ward/24115/pu/166178/166178-1677570051.pdf</t>
  </si>
  <si>
    <t>OPEN SPACE AT MASIYA JUNCTION,MABA ASESE, Polling Unit, OBAFEMI/OWODE, Ogun State, Nigeria</t>
  </si>
  <si>
    <t>27-15-02-073</t>
  </si>
  <si>
    <t>OPEN SPACE AT OGUNRUN ORI TRANSFORMER JUNCTION,PAKURO</t>
  </si>
  <si>
    <t>https://docs.inecelectionresults.net/elections_prod/1292/state/1/lga/3680/ward/24115/pu/166180/166180-1677570770.pdf</t>
  </si>
  <si>
    <t>OPEN SPACE AT OGUNRUN ORI TRANSFORMER JUNCTION,PAKURO, Polling Unit, OBAFEMI/OWODE, Ogun State, Nigeria</t>
  </si>
  <si>
    <t>27-15-02-074</t>
  </si>
  <si>
    <t>OPEN SPACE AT ILUPEJU MARKET SQUARE,OKE AFA</t>
  </si>
  <si>
    <t>https://docs.inecelectionresults.net/elections_prod/1292/state/1/lga/3680/ward/24115/pu/166181/166181-1677570516.pdf</t>
  </si>
  <si>
    <t>OPEN SPACE AT ILUPEJU MARKET SQUARE,OKE AFA, Polling Unit, OBAFEMI/OWODE, Ogun State, Nigeria</t>
  </si>
  <si>
    <t>27-15-02-075</t>
  </si>
  <si>
    <t>OPEN SPACE AT IYANA CELE JUNCTION, OGUNROMBI OFADA</t>
  </si>
  <si>
    <t>https://docs.inecelectionresults.net/elections_prod/1292/state/1/lga/3680/ward/24115/pu/166182/166182-1677570923.pdf</t>
  </si>
  <si>
    <t>OPEN SPACE AT IYANA CELE JUNCTION, OGUNROMBI OFADA, Polling Unit, OBAFEMI/OWODE, Ogun State, Nigeria</t>
  </si>
  <si>
    <t>27-15-02-076</t>
  </si>
  <si>
    <t>OPEN SPACE AT OMU-LISOGBE JUNCTION OFADA</t>
  </si>
  <si>
    <t>https://docs.inecelectionresults.net/elections_prod/1292/state/1/lga/3680/ward/24115/pu/166183/166183-1677571162.pdf</t>
  </si>
  <si>
    <t>OPEN SPACE AT OMU-LISOGBE JUNCTION OFADA, Polling Unit, OBAFEMI/OWODE, Ogun State, Nigeria</t>
  </si>
  <si>
    <t>27-15-02-077</t>
  </si>
  <si>
    <t>OPEN SPACE OPP. TRINITY FOUNDATION, OFADA ROAD</t>
  </si>
  <si>
    <t>https://docs.inecelectionresults.net/elections_prod/1292/state/1/lga/3680/ward/24115/pu/166184/166184-1677571348.pdf</t>
  </si>
  <si>
    <t>OPEN SPACE OPP. TRINITY FOUNDATION, OFADA ROAD, Polling Unit, OBAFEMI/OWODE, Ogun State, Nigeria</t>
  </si>
  <si>
    <t>27-15-02-078</t>
  </si>
  <si>
    <t>OPEN SPACE AT T-JUNCTION, BACK OF GOOD SHEPHERD STR.,OFADA</t>
  </si>
  <si>
    <t>https://docs.inecelectionresults.net/elections_prod/1292/state/1/lga/3680/ward/24115/pu/166185/166185-1677571729.pdf</t>
  </si>
  <si>
    <t>OPEN SPACE AT T-JUNCTION, BACK OF GOOD SHEPHERD STR.,OFADA, Polling Unit, OBAFEMI/OWODE, Ogun State, Nigeria</t>
  </si>
  <si>
    <t>27-15-02-079</t>
  </si>
  <si>
    <t>OPEN SPACE BEHIND ADB PETROL STATION, GREEN CANADA HOTEL JUNCTION, OFADA</t>
  </si>
  <si>
    <t>https://docs.inecelectionresults.net/elections_prod/1292/state/1/lga/3680/ward/24115/pu/166186/166186-1677543148.pdf</t>
  </si>
  <si>
    <t>OPEN SPACE BEHIND ADB PETROL STATION, GREEN CANADA HOTEL JUNCTION, OFADA, Polling Unit, OBAFEMI/OWODE, Ogun State, Nigeria</t>
  </si>
  <si>
    <t>27-15-02-080</t>
  </si>
  <si>
    <t>OPEN SPACE OPP. EST BANK ACADEMY ALAMUYO B/STOP, OFADA</t>
  </si>
  <si>
    <t>https://docs.inecelectionresults.net/elections_prod/1292/state/01/lga/15/ward/02/pu/080/080-1677393100.pdf</t>
  </si>
  <si>
    <t>OPEN SPACE OPP. EST BANK ACADEMY ALAMUYO B/STOP, OFADA, Polling Unit, OBAFEMI/OWODE, Ogun State, Nigeria</t>
  </si>
  <si>
    <t>27-15-02-081</t>
  </si>
  <si>
    <t>OPEN SPACE AT OMU AROGUN JUNCTION OFADA</t>
  </si>
  <si>
    <t>https://docs.inecelectionresults.net/elections_prod/1292/state/1/lga/3680/ward/24115/pu/166188/166188-1677572333.pdf</t>
  </si>
  <si>
    <t>OPEN SPACE AT OMU AROGUN JUNCTION OFADA, Polling Unit, OBAFEMI/OWODE, Ogun State, Nigeria</t>
  </si>
  <si>
    <t>27-15-02-082</t>
  </si>
  <si>
    <t>OPEN SPACE OPPOSITE EDEN ESTATE ARIGBAWONWO</t>
  </si>
  <si>
    <t>https://docs.inecelectionresults.net/elections_prod/1292/state/1/lga/3680/ward/24115/pu/166189/166189-1677572602.pdf</t>
  </si>
  <si>
    <t>OPEN SPACE OPPOSITE EDEN ESTATE ARIGBAWONWO, Polling Unit, OBAFEMI/OWODE, Ogun State, Nigeria</t>
  </si>
  <si>
    <t>27-15-02-083</t>
  </si>
  <si>
    <t>OPEN SPACE BESIDE TRANSFORMER AYANMO, LOBURO</t>
  </si>
  <si>
    <t>https://docs.inecelectionresults.net/elections_prod/1292/state/1/lga/3680/ward/24115/pu/166190/166190-1677572762.pdf</t>
  </si>
  <si>
    <t>OPEN SPACE BESIDE TRANSFORMER AYANMO, LOBURO, Polling Unit, OBAFEMI/OWODE, Ogun State, Nigeria</t>
  </si>
  <si>
    <t>27-15-02-085</t>
  </si>
  <si>
    <t>OPEN SPACE AT T-JUNCTION OPP. TRANSFORMER, ORUNKOLE PHASE II</t>
  </si>
  <si>
    <t>https://docs.inecelectionresults.net/elections_prod/1292/state/1/lga/3680/ward/24115/pu/166192/166192-1677573168.pdf</t>
  </si>
  <si>
    <t>OPEN SPACE AT T-JUNCTION OPP. TRANSFORMER, ORUNKOLE PHASE II, Polling Unit, OBAFEMI/OWODE, Ogun State, Nigeria</t>
  </si>
  <si>
    <t>27-15-02-087</t>
  </si>
  <si>
    <t>OPEN SPACE AT TURAYA JUNCTION, INSIDE LOBURO</t>
  </si>
  <si>
    <t>https://docs.inecelectionresults.net/elections_prod/1292/state/01/lga/15/ward/02/pu/087/087-1677406347.pdf</t>
  </si>
  <si>
    <t>OPEN SPACE AT TURAYA JUNCTION, INSIDE LOBURO, Polling Unit, OBAFEMI/OWODE, Ogun State, Nigeria</t>
  </si>
  <si>
    <t>27-15-02-088</t>
  </si>
  <si>
    <t>OPEN SPACE AT BARAKA JUNCTION, LOBURO PHASE II</t>
  </si>
  <si>
    <t>https://docs.inecelectionresults.net/elections_prod/1292/state/1/lga/3680/ward/24115/pu/166195/166195-1677573447.pdf</t>
  </si>
  <si>
    <t>OPEN SPACE AT BARAKA JUNCTION, LOBURO PHASE II, Polling Unit, OBAFEMI/OWODE, Ogun State, Nigeria</t>
  </si>
  <si>
    <t>27-15-02-089</t>
  </si>
  <si>
    <t>OPEN SPACE AT HIGHER GROUND LOBURO</t>
  </si>
  <si>
    <t>https://docs.inecelectionresults.net/elections_prod/1292/state/1/lga/3680/ward/24115/pu/166196/166196-1677573793.pdf</t>
  </si>
  <si>
    <t>OPEN SPACE AT HIGHER GROUND LOBURO, Polling Unit, OBAFEMI/OWODE, Ogun State, Nigeria</t>
  </si>
  <si>
    <t>27-15-02-090</t>
  </si>
  <si>
    <t>OPEN SPACE AT OBA BI OLORUN KOSI JUNCTION, ORIMERUNMU</t>
  </si>
  <si>
    <t>https://docs.inecelectionresults.net/elections_prod/1292/state/1/lga/3680/ward/24115/pu/166197/166197-1677574577.pdf</t>
  </si>
  <si>
    <t>OPEN SPACE AT OBA BI OLORUN KOSI JUNCTION, ORIMERUNMU, Polling Unit, OBAFEMI/OWODE, Ogun State, Nigeria</t>
  </si>
  <si>
    <t>27-15-02-091</t>
  </si>
  <si>
    <t>OPEN SPACE AT GOSHEN JUNCTION, ORITA FEDERAL, ORIMERUNMU</t>
  </si>
  <si>
    <t>https://docs.inecelectionresults.net/elections_prod/1292/state/1/lga/3680/ward/24115/pu/166198/166198-1677576060.pdf</t>
  </si>
  <si>
    <t>OPEN SPACE AT GOSHEN JUNCTION, ORITA FEDERAL, ORIMERUNMU, Polling Unit, OBAFEMI/OWODE, Ogun State, Nigeria</t>
  </si>
  <si>
    <t>27-15-02-092</t>
  </si>
  <si>
    <t>OPEN SPACE AT JABUTU JUNCTION, ORIMERUNMU</t>
  </si>
  <si>
    <t>https://docs.inecelectionresults.net/elections_prod/1292/state/1/lga/3680/ward/24115/pu/166199/166199-1677576241.pdf</t>
  </si>
  <si>
    <t>OPEN SPACE AT JABUTU JUNCTION, ORIMERUNMU, Polling Unit, OBAFEMI/OWODE, Ogun State, Nigeria</t>
  </si>
  <si>
    <t>27-15-02-093</t>
  </si>
  <si>
    <t>OPEN SPACE AT OLUNLOYO STR., IBAFO</t>
  </si>
  <si>
    <t>https://docs.inecelectionresults.net/elections_prod/1292/state/1/lga/3680/ward/24115/pu/166200/166200-1677576407.pdf</t>
  </si>
  <si>
    <t>OPEN SPACE AT OLUNLOYO STR., IBAFO, Polling Unit, OBAFEMI/OWODE, Ogun State, Nigeria</t>
  </si>
  <si>
    <t>27-15-02-094</t>
  </si>
  <si>
    <t>OPEN SPACE AT WISDOM ESTATE GATE, SEFU ROAD,IBAFO</t>
  </si>
  <si>
    <t>https://docs.inecelectionresults.net/elections_prod/1292/state/1/lga/3680/ward/24115/pu/166201/166201-1677576565.pdf</t>
  </si>
  <si>
    <t>OPEN SPACE AT WISDOM ESTATE GATE, SEFU ROAD,IBAFO, Polling Unit, OBAFEMI/OWODE, Ogun State, Nigeria</t>
  </si>
  <si>
    <t>27-15-02-095</t>
  </si>
  <si>
    <t>OPEN SPACE AT OKE SEFU, ELELEDE JUNCTION, IBAFO</t>
  </si>
  <si>
    <t>https://docs.inecelectionresults.net/elections_prod/1292/state/1/lga/3680/ward/24115/pu/166202/166202-1677576733.pdf</t>
  </si>
  <si>
    <t>OPEN SPACE AT OKE SEFU, ELELEDE JUNCTION, IBAFO, Polling Unit, OBAFEMI/OWODE, Ogun State, Nigeria</t>
  </si>
  <si>
    <t>27-15-02-096</t>
  </si>
  <si>
    <t>OPEN SPACE AT ORITA SEFU ELELEDE,TRANSFORMER JUNCTION,IBAFO</t>
  </si>
  <si>
    <t>https://docs.inecelectionresults.net/elections_prod/1292/state/1/lga/3680/ward/24115/pu/166203/166203-1677576928.pdf</t>
  </si>
  <si>
    <t>OPEN SPACE AT ORITA SEFU ELELEDE,TRANSFORMER JUNCTION,IBAFO, Polling Unit, OBAFEMI/OWODE, Ogun State, Nigeria</t>
  </si>
  <si>
    <t>27-15-02-097</t>
  </si>
  <si>
    <t>OPEN SPACE AT SANMONA AKINSANYA STR., IBAFO</t>
  </si>
  <si>
    <t>https://docs.inecelectionresults.net/elections_prod/1292/state/1/lga/3680/ward/24115/pu/166204/166204-1677577340.pdf</t>
  </si>
  <si>
    <t>OPEN SPACE AT SANMONA AKINSANYA STR., IBAFO, Polling Unit, OBAFEMI/OWODE, Ogun State, Nigeria</t>
  </si>
  <si>
    <t>27-15-02-098</t>
  </si>
  <si>
    <t>OPEN SPACE AT SOTE TOWN BEHIND TRANSFORMER, IBAFO</t>
  </si>
  <si>
    <t>https://docs.inecelectionresults.net/elections_prod/1292/state/1/lga/3680/ward/24115/pu/166205/166205-1677577601.pdf</t>
  </si>
  <si>
    <t>OPEN SPACE AT SOTE TOWN BEHIND TRANSFORMER, IBAFO, Polling Unit, OBAFEMI/OWODE, Ogun State, Nigeria</t>
  </si>
  <si>
    <t>27-15-02-099</t>
  </si>
  <si>
    <t>OPEN SPACE AT MAGADA GATE, IBAFO</t>
  </si>
  <si>
    <t>https://docs.inecelectionresults.net/elections_prod/1292/state/1/lga/3680/ward/24115/pu/166206/166206-1677577761.pdf</t>
  </si>
  <si>
    <t>OPEN SPACE AT MAGADA GATE, IBAFO, Polling Unit, OBAFEMI/OWODE, Ogun State, Nigeria</t>
  </si>
  <si>
    <t>27-15-02-100</t>
  </si>
  <si>
    <t>OPEN SPACE AT CATHOLIC JUNCTION, IBAFO</t>
  </si>
  <si>
    <t>https://docs.inecelectionresults.net/elections_prod/1292/state/1/lga/3680/ward/24115/pu/166207/166207-1677577925.pdf</t>
  </si>
  <si>
    <t>OPEN SPACE AT CATHOLIC JUNCTION, IBAFO, Polling Unit, OBAFEMI/OWODE, Ogun State, Nigeria</t>
  </si>
  <si>
    <t>27-15-02-101</t>
  </si>
  <si>
    <t>OPEN SPACE AT KWARA MOGEDE JUNCTION, TRANSFORMER, IBAFO</t>
  </si>
  <si>
    <t>https://docs.inecelectionresults.net/elections_prod/1292/state/1/lga/3680/ward/24115/pu/166208/166208-1677578092.pdf</t>
  </si>
  <si>
    <t>OPEN SPACE AT KWARA MOGEDE JUNCTION, TRANSFORMER, IBAFO, Polling Unit, OBAFEMI/OWODE, Ogun State, Nigeria</t>
  </si>
  <si>
    <t>27-15-02-102</t>
  </si>
  <si>
    <t>OPEN SPACE AT EREKO JUNCTION,IBAFO</t>
  </si>
  <si>
    <t>https://docs.inecelectionresults.net/elections_prod/1292/state/1/lga/3680/ward/24115/pu/166209/166209-1677578243.pdf</t>
  </si>
  <si>
    <t>OPEN SPACE AT EREKO JUNCTION,IBAFO, Polling Unit, OBAFEMI/OWODE, Ogun State, Nigeria</t>
  </si>
  <si>
    <t>27-15-02-104</t>
  </si>
  <si>
    <t>COMMUNITY HALL IMEDU,MOWE</t>
  </si>
  <si>
    <t>https://docs.inecelectionresults.net/elections_prod/1292/state/01/lga/15/ward/02/pu/104/104-1677405582.pdf</t>
  </si>
  <si>
    <t>COMMUNITY HALL IMEDU,MOWE, Polling Unit, OBAFEMI/OWODE, Ogun State, Nigeria</t>
  </si>
  <si>
    <t>27-15-02-105</t>
  </si>
  <si>
    <t>OPEN SPACE AT IRE AKARI STR., MOWE</t>
  </si>
  <si>
    <t>https://docs.inecelectionresults.net/elections_prod/1292/state/1/lga/3680/ward/24115/pu/166212/166212-1677579239.pdf</t>
  </si>
  <si>
    <t>OPEN SPACE AT IRE AKARI STR., MOWE, Polling Unit, OBAFEMI/OWODE, Ogun State, Nigeria</t>
  </si>
  <si>
    <t>27-15-02-106</t>
  </si>
  <si>
    <t>OPEN SPACE AT ALASCO AVENUE MOWE</t>
  </si>
  <si>
    <t>https://docs.inecelectionresults.net/elections_prod/1292/state/01/lga/15/ward/02/pu/106/106-1677392899.pdf</t>
  </si>
  <si>
    <t>OPEN SPACE AT ALASCO AVENUE MOWE, Polling Unit, OBAFEMI/OWODE, Ogun State, Nigeria</t>
  </si>
  <si>
    <t>27-15-02-107</t>
  </si>
  <si>
    <t>T-JUNCTION OTITO-LERE QTRS, OGUNRUN, ELETU, MOWE</t>
  </si>
  <si>
    <t>https://docs.inecelectionresults.net/elections_prod/1292/state/1/lga/3680/ward/24115/pu/166214/166214-1677579578.pdf</t>
  </si>
  <si>
    <t>T-JUNCTION OTITO-LERE QTRS, OGUNRUN, ELETU, MOWE, Polling Unit, OBAFEMI/OWODE, Ogun State, Nigeria</t>
  </si>
  <si>
    <t>27-15-02-108</t>
  </si>
  <si>
    <t>OPEN SPACE AT GREATER ZION ESTATE, OGUNRUN ROAD, MOWE</t>
  </si>
  <si>
    <t>https://docs.inecelectionresults.net/elections_prod/1292/state/1/lga/3680/ward/24115/pu/166215/166215-1677588679.pdf</t>
  </si>
  <si>
    <t>OPEN SPACE AT GREATER ZION ESTATE, OGUNRUN ROAD, MOWE, Polling Unit, OBAFEMI/OWODE, Ogun State, Nigeria</t>
  </si>
  <si>
    <t>27-15-02-109</t>
  </si>
  <si>
    <t>OPEN SPACE AT SOKEYE ESTATE, OGUNRUN, MOWE</t>
  </si>
  <si>
    <t>https://docs.inecelectionresults.net/elections_prod/1292/state/1/lga/3680/ward/24115/pu/166216/166216-1677580260.pdf</t>
  </si>
  <si>
    <t>OPEN SPACE AT SOKEYE ESTATE, OGUNRUN, MOWE, Polling Unit, OBAFEMI/OWODE, Ogun State, Nigeria</t>
  </si>
  <si>
    <t>27-15-02-110</t>
  </si>
  <si>
    <t>OPEN SPACE AT IYA IJEBU BUS STOP,ORIMERUNMU</t>
  </si>
  <si>
    <t>https://docs.inecelectionresults.net/elections_prod/1292/state/1/lga/3680/ward/24115/pu/166217/166217-1677580427.pdf</t>
  </si>
  <si>
    <t>OPEN SPACE AT IYA IJEBU BUS STOP,ORIMERUNMU, Polling Unit, OBAFEMI/OWODE, Ogun State, Nigeria</t>
  </si>
  <si>
    <t>27-15-02-111</t>
  </si>
  <si>
    <t>OPEN SPACE AT T-JUNCTION, SEINDE ALAKIJA, ORIMERUNMU</t>
  </si>
  <si>
    <t>https://docs.inecelectionresults.net/elections_prod/1292/state/1/lga/3680/ward/24115/pu/166218/166218-1677580535.pdf</t>
  </si>
  <si>
    <t>OPEN SPACE AT T-JUNCTION, SEINDE ALAKIJA, ORIMERUNMU, Polling Unit, OBAFEMI/OWODE, Ogun State, Nigeria</t>
  </si>
  <si>
    <t>27-15-02-112</t>
  </si>
  <si>
    <t>OPEN SPACE AT IDI-OBI PAKURO ROAD, ORIMERUNMU</t>
  </si>
  <si>
    <t>https://docs.inecelectionresults.net/elections_prod/1292/state/1/lga/3680/ward/24115/pu/166219/166219-1677580741.pdf</t>
  </si>
  <si>
    <t>OPEN SPACE AT IDI-OBI PAKURO ROAD, ORIMERUNMU, Polling Unit, OBAFEMI/OWODE, Ogun State, Nigeria</t>
  </si>
  <si>
    <t>27-15-02-114</t>
  </si>
  <si>
    <t>OPEN SPACE AT T-JUNCTION REDSTAR ESTATE JUNCTION, OLOWOFELA,OKE AFA</t>
  </si>
  <si>
    <t>https://docs.inecelectionresults.net/elections_prod/1292/state/1/lga/3680/ward/24115/pu/166221/166221-1677581033.pdf</t>
  </si>
  <si>
    <t>OPEN SPACE AT T-JUNCTION REDSTAR ESTATE JUNCTION, OLOWOFELA,OKE AFA, Polling Unit, OBAFEMI/OWODE, Ogun State, Nigeria</t>
  </si>
  <si>
    <t>27-15-02-115</t>
  </si>
  <si>
    <t>OPEN SPACE AT DIAMOND ESTATE, OLOWOFELA,OKE AFA MAGBORO</t>
  </si>
  <si>
    <t>https://docs.inecelectionresults.net/elections_prod/1292/state/01/lga/15/ward/02/pu/115/115-1677405057.pdf</t>
  </si>
  <si>
    <t>OPEN SPACE AT DIAMOND ESTATE, OLOWOFELA,OKE AFA MAGBORO, Polling Unit, OBAFEMI/OWODE, Ogun State, Nigeria</t>
  </si>
  <si>
    <t>27-15-02-118</t>
  </si>
  <si>
    <t>OPEN SPACE AT ABULE OKO POWERLINE OKE AYO GATE, MAGBORO</t>
  </si>
  <si>
    <t>https://docs.inecelectionresults.net/elections_prod/1292/state/1/lga/3680/ward/24115/pu/166225/166225-1677581999.pdf</t>
  </si>
  <si>
    <t>OPEN SPACE AT ABULE OKO POWERLINE OKE AYO GATE, MAGBORO, Polling Unit, OBAFEMI/OWODE, Ogun State, Nigeria</t>
  </si>
  <si>
    <t>27-15-02-119</t>
  </si>
  <si>
    <t>OPEN SPACE AT GASLINE ROAD, BACK OF AKINTADE GATE,MAGBORO</t>
  </si>
  <si>
    <t>https://docs.inecelectionresults.net/elections_prod/1292/state/1/lga/3680/ward/24115/pu/166226/166226-1677586140.pdf</t>
  </si>
  <si>
    <t>OPEN SPACE AT GASLINE ROAD, BACK OF AKINTADE GATE,MAGBORO, Polling Unit, OBAFEMI/OWODE, Ogun State, Nigeria</t>
  </si>
  <si>
    <t>27-15-02-120</t>
  </si>
  <si>
    <t>OPEN SPACE AT VICTORY ARENA ESTATE GATE, MAGBORO</t>
  </si>
  <si>
    <t>https://docs.inecelectionresults.net/elections_prod/1292/state/1/lga/3680/ward/24115/pu/166227/166227-1677582427.pdf</t>
  </si>
  <si>
    <t>OPEN SPACE AT VICTORY ARENA ESTATE GATE, MAGBORO, Polling Unit, OBAFEMI/OWODE, Ogun State, Nigeria</t>
  </si>
  <si>
    <t>27-15-02-121</t>
  </si>
  <si>
    <t>OPEN SPACE OPP. TRANSFORMER, TOSHO JUNCTION, MAPARA ,MAKOGI,MAGBORO</t>
  </si>
  <si>
    <t>https://docs.inecelectionresults.net/elections_prod/1292/state/1/lga/3680/ward/24115/pu/166228/166228-1677582614.pdf</t>
  </si>
  <si>
    <t>OPEN SPACE OPP. TRANSFORMER, TOSHO JUNCTION, MAPARA ,MAKOGI,MAGBORO, Polling Unit, OBAFEMI/OWODE, Ogun State, Nigeria</t>
  </si>
  <si>
    <t>27-15-02-122</t>
  </si>
  <si>
    <t>OPEN SPACE BEHIND PEACELAND ESTATE, AREPO</t>
  </si>
  <si>
    <t>https://docs.inecelectionresults.net/elections_prod/1292/state/1/lga/3680/ward/24115/pu/166229/166229-1677543274.pdf</t>
  </si>
  <si>
    <t>OPEN SPACE BEHIND PEACELAND ESTATE, AREPO, Polling Unit, OBAFEMI/OWODE, Ogun State, Nigeria</t>
  </si>
  <si>
    <t>27-15-02-123</t>
  </si>
  <si>
    <t>OPEN SPACE AT BEACHLAND ROUNDABOUT AREPO,</t>
  </si>
  <si>
    <t>https://docs.inecelectionresults.net/elections_prod/1292/state/1/lga/3680/ward/24115/pu/166230/166230-1677582965.pdf</t>
  </si>
  <si>
    <t>OPEN SPACE AT BEACHLAND ROUNDABOUT AREPO,, Polling Unit, OBAFEMI/OWODE, Ogun State, Nigeria</t>
  </si>
  <si>
    <t>27-15-02-124</t>
  </si>
  <si>
    <t>OPEN SPACE AT EMBASSY JUNCTION, AREPO</t>
  </si>
  <si>
    <t>https://docs.inecelectionresults.net/elections_prod/1292/state/1/lga/3680/ward/24115/pu/166231/166231-1677542094.pdf</t>
  </si>
  <si>
    <t>OPEN SPACE AT EMBASSY JUNCTION, AREPO, Polling Unit, OBAFEMI/OWODE, Ogun State, Nigeria</t>
  </si>
  <si>
    <t>27-15-02-125</t>
  </si>
  <si>
    <t>OPEN SPACE BEHIND TRANSFORMER PAPA ALFA,ASESE</t>
  </si>
  <si>
    <t>https://docs.inecelectionresults.net/elections_prod/1292/state/1/lga/3680/ward/24115/pu/166232/166232-1677583436.pdf</t>
  </si>
  <si>
    <t>OPEN SPACE BEHIND TRANSFORMER PAPA ALFA,ASESE, Polling Unit, OBAFEMI/OWODE, Ogun State, Nigeria</t>
  </si>
  <si>
    <t>27-15-02-126</t>
  </si>
  <si>
    <t>OPEN SPACE AT POWERLINE JUNCTION ASESE</t>
  </si>
  <si>
    <t>https://docs.inecelectionresults.net/elections_prod/1292/state/1/lga/3680/ward/24115/pu/166233/166233-1677541633.pdf</t>
  </si>
  <si>
    <t>OPEN SPACE AT POWERLINE JUNCTION ASESE, Polling Unit, OBAFEMI/OWODE, Ogun State, Nigeria</t>
  </si>
  <si>
    <t>27-15-03-023</t>
  </si>
  <si>
    <t>OPEN SPACE BESIDE GENERAL HOSIPTAL ARAROMI</t>
  </si>
  <si>
    <t>https://docs.inecelectionresults.net/elections_prod/1292/state/1/lga/3680/ward/24116/pu/166234/166234-1677602953.pdf</t>
  </si>
  <si>
    <t>OPEN SPACE BESIDE GENERAL HOSIPTAL ARAROMI, Polling Unit, OBAFEMI/OWODE, Ogun State, Nigeria</t>
  </si>
  <si>
    <t>27-15-03-024</t>
  </si>
  <si>
    <t>OPEN SPACE AT AGBAAKIN ROAD JUNCTION ILEKE</t>
  </si>
  <si>
    <t>https://docs.inecelectionresults.net/elections_prod/1292/state/1/lga/3680/ward/24116/pu/166235/166235-1677601382.pdf</t>
  </si>
  <si>
    <t>OPEN SPACE AT AGBAAKIN ROAD JUNCTION ILEKE, Polling Unit, OBAFEMI/OWODE, Ogun State, Nigeria</t>
  </si>
  <si>
    <t>27-15-03-025</t>
  </si>
  <si>
    <t>OPEN SPACE AT LOCAL GOVT CO-OPERATIVE ZONAL OFFICE OWODE</t>
  </si>
  <si>
    <t>https://docs.inecelectionresults.net/elections_prod/1292/state/1/lga/3680/ward/24116/pu/166236/166236-1677601637.pdf</t>
  </si>
  <si>
    <t>OPEN SPACE AT LOCAL GOVT CO-OPERATIVE ZONAL OFFICE OWODE, Polling Unit, OBAFEMI/OWODE, Ogun State, Nigeria</t>
  </si>
  <si>
    <t>27-15-03-026</t>
  </si>
  <si>
    <t>OPEN SPACE AT ALAHA OKE JUNCTION RING ROAD,OWODE</t>
  </si>
  <si>
    <t>https://docs.inecelectionresults.net/elections_prod/1292/state/1/lga/3680/ward/24116/pu/166237/166237-1677601222.pdf</t>
  </si>
  <si>
    <t>OPEN SPACE AT ALAHA OKE JUNCTION RING ROAD,OWODE, Polling Unit, OBAFEMI/OWODE, Ogun State, Nigeria</t>
  </si>
  <si>
    <t>27-15-03-027</t>
  </si>
  <si>
    <t>OPEN SPACE AT OLABITAN HOSPITAL JUNCTION OWODE SCHOOL ROAD</t>
  </si>
  <si>
    <t>https://docs.inecelectionresults.net/elections_prod/1292/state/1/lga/3680/ward/24116/pu/166238/166238-1677607395.pdf</t>
  </si>
  <si>
    <t>OPEN SPACE AT OLABITAN HOSPITAL JUNCTION OWODE SCHOOL ROAD, Polling Unit, OBAFEMI/OWODE, Ogun State, Nigeria</t>
  </si>
  <si>
    <t>27-15-03-028</t>
  </si>
  <si>
    <t>OPEN SPACE AT ORITA-AJE SCH ROAD JUNCTION OWODE</t>
  </si>
  <si>
    <t>https://docs.inecelectionresults.net/elections_prod/1292/state/1/lga/3680/ward/24116/pu/166239/166239-1677601354.pdf</t>
  </si>
  <si>
    <t>OPEN SPACE AT ORITA-AJE SCH ROAD JUNCTION OWODE, Polling Unit, OBAFEMI/OWODE, Ogun State, Nigeria</t>
  </si>
  <si>
    <t>27-15-03-029</t>
  </si>
  <si>
    <t>OPEN SPACE BESIDE WATER CO-OPERATION,WASIMI ATABA</t>
  </si>
  <si>
    <t>https://docs.inecelectionresults.net/elections_prod/1292/state/1/lga/3680/ward/24116/pu/166240/166240-1677607200.pdf</t>
  </si>
  <si>
    <t>OPEN SPACE BESIDE WATER CO-OPERATION,WASIMI ATABA, Polling Unit, OBAFEMI/OWODE, Ogun State, Nigeria</t>
  </si>
  <si>
    <t>27-15-03-032</t>
  </si>
  <si>
    <t>OPEN SPACE AT ARIWO JUNCTION OWODE</t>
  </si>
  <si>
    <t>https://inec-cvr-cache.s3.eu-west-1.amazonaws.com/cached/results/661568/result_79943_1677587860_thumb.jpg</t>
  </si>
  <si>
    <t>OPEN SPACE AT ARIWO JUNCTION OWODE, Polling Unit, OBAFEMI/OWODE, Ogun State, Nigeria</t>
  </si>
  <si>
    <t>27-15-03-033</t>
  </si>
  <si>
    <t>OPEN SPACE AT BALUFE T-JUNCTION,OGIDAN</t>
  </si>
  <si>
    <t>https://inec-cvr-cache.s3.eu-west-1.amazonaws.com/cached/results/661569/result_79944_1677588306_thumb.jpg</t>
  </si>
  <si>
    <t>OPEN SPACE AT BALUFE T-JUNCTION,OGIDAN, Polling Unit, OBAFEMI/OWODE, Ogun State, Nigeria</t>
  </si>
  <si>
    <t>27-15-03-034</t>
  </si>
  <si>
    <t>OPEN SPACE AT SOMIDE ESTATE, OWODE</t>
  </si>
  <si>
    <t>https://inec-cvr-cache.s3.eu-west-1.amazonaws.com/cached/results/661570/result_79945_1677589731_thumb.jpg</t>
  </si>
  <si>
    <t>OPEN SPACE AT SOMIDE ESTATE, OWODE, Polling Unit, OBAFEMI/OWODE, Ogun State, Nigeria</t>
  </si>
  <si>
    <t>27-15-03-036</t>
  </si>
  <si>
    <t>OPEN SPACE AT T-JUNCTION, LUGBOKO VILLAGE</t>
  </si>
  <si>
    <t>https://inec-cvr-cache.s3.eu-west-1.amazonaws.com/cached/results/661571/result_79947_1677589426_thumb.jpg</t>
  </si>
  <si>
    <t>OPEN SPACE AT T-JUNCTION, LUGBOKO VILLAGE, Polling Unit, OBAFEMI/OWODE, Ogun State, Nigeria</t>
  </si>
  <si>
    <t>27-15-03-037</t>
  </si>
  <si>
    <t>OPEN SPACE AT SOLID ROCK FOUNDATION JUNCTION, ELERE</t>
  </si>
  <si>
    <t>https://docs.inecelectionresults.net/elections_prod/1292/state/1/lga/3680/ward/24116/pu/166248/166248-1677607014.pdf</t>
  </si>
  <si>
    <t>OPEN SPACE AT SOLID ROCK FOUNDATION JUNCTION, ELERE, Polling Unit, OBAFEMI/OWODE, Ogun State, Nigeria</t>
  </si>
  <si>
    <t>27-15-03-038</t>
  </si>
  <si>
    <t>FRONT OF LOCAL GOVERNMENT STAFF QUARTERS,OWODE</t>
  </si>
  <si>
    <t>https://inec-cvr-cache.s3.eu-west-1.amazonaws.com/cached/results/661573/result_79949_1677588649_thumb.jpg</t>
  </si>
  <si>
    <t>FRONT OF LOCAL GOVERNMENT STAFF QUARTERS,OWODE, Polling Unit, OBAFEMI/OWODE, Ogun State, Nigeria</t>
  </si>
  <si>
    <t>27-15-03-039</t>
  </si>
  <si>
    <t>OPEN SPACE AT T-JUNCTION OKE ODO KOSELU, SOMEKE</t>
  </si>
  <si>
    <t>https://docs.inecelectionresults.net/elections_prod/1292/state/1/lga/3680/ward/24116/pu/166250/166250-1677603159.pdf</t>
  </si>
  <si>
    <t>OPEN SPACE AT T-JUNCTION OKE ODO KOSELU, SOMEKE, Polling Unit, OBAFEMI/OWODE, Ogun State, Nigeria</t>
  </si>
  <si>
    <t>27-16-08-008</t>
  </si>
  <si>
    <t>O.L.G. PRIMARY SCH ALABATA   II</t>
  </si>
  <si>
    <t>https://docs.inecelectionresults.net/elections_prod/1292/state/01/lga/16/ward/08/pu/008/008-1677363778.pdf</t>
  </si>
  <si>
    <t>O.L.G. PRIMARY SCH ALABATA   II, Polling Unit, ODEDA, Ogun State, Nigeria</t>
  </si>
  <si>
    <t>27-16-04-013</t>
  </si>
  <si>
    <t>AFRICAN  CHURCH  PRIMARY  SCHOOL , BABA PUPA II</t>
  </si>
  <si>
    <t>https://docs.inecelectionresults.net/elections_prod/1292/state/01/lga/16/ward/04/pu/013/013-1677358603.pdf</t>
  </si>
  <si>
    <t>AFRICAN  CHURCH  PRIMARY  SCHOOL , BABA PUPA II, Polling Unit, ODEDA, Ogun State, Nigeria</t>
  </si>
  <si>
    <t>27-16-05-017</t>
  </si>
  <si>
    <t>ILUGUN ILUWA BAKATARI, MODEL HEALTH CARE</t>
  </si>
  <si>
    <t>https://docs.inecelectionresults.net/elections_prod/1292/state/01/lga/16/ward/05/pu/017/017-1677418945.pdf</t>
  </si>
  <si>
    <t>ILUGUN ILUWA BAKATARI, MODEL HEALTH CARE, Polling Unit, ODEDA, Ogun State, Nigeria</t>
  </si>
  <si>
    <t>27-16-05-018</t>
  </si>
  <si>
    <t>IYANA  EFON , KILA</t>
  </si>
  <si>
    <t>https://docs.inecelectionresults.net/elections_prod/1292/state/01/lga/16/ward/05/pu/018/018-1677418496.pdf</t>
  </si>
  <si>
    <t>IYANA  EFON , KILA, Polling Unit, ODEDA, Ogun State, Nigeria</t>
  </si>
  <si>
    <t>27-16-05-020</t>
  </si>
  <si>
    <t>ST JAMES  PRIMARY SCH II  ILUGUN</t>
  </si>
  <si>
    <t>https://docs.inecelectionresults.net/elections_prod/1292/state/01/lga/16/ward/05/pu/020/020-1677417062.pdf</t>
  </si>
  <si>
    <t>ST JAMES  PRIMARY SCH II  ILUGUN, Polling Unit, ODEDA, Ogun State, Nigeria</t>
  </si>
  <si>
    <t>27-16-05-021</t>
  </si>
  <si>
    <t>KILA  MARKET I</t>
  </si>
  <si>
    <t>https://docs.inecelectionresults.net/elections_prod/1292/state/01/lga/16/ward/05/pu/021/021-1677416627.pdf</t>
  </si>
  <si>
    <t>KILA  MARKET I, Polling Unit, ODEDA, Ogun State, Nigeria</t>
  </si>
  <si>
    <t>27-16-05-022</t>
  </si>
  <si>
    <t>KILA MARKET II</t>
  </si>
  <si>
    <t>https://docs.inecelectionresults.net/elections_prod/1292/state/01/lga/16/ward/05/pu/022/022-1677362888.pdf</t>
  </si>
  <si>
    <t>KILA MARKET II, Polling Unit, ODEDA, Ogun State, Nigeria</t>
  </si>
  <si>
    <t>27-16-07-016</t>
  </si>
  <si>
    <t>OGO OLUWA AGBALA ITURA IYANBU</t>
  </si>
  <si>
    <t>https://docs.inecelectionresults.net/elections_prod/1292/state/01/lga/16/ward/07/pu/016/016-1677382375.pdf</t>
  </si>
  <si>
    <t>OGO OLUWA AGBALA ITURA IYANBU, Polling Unit, ODEDA, Ogun State, Nigeria</t>
  </si>
  <si>
    <t>27-16-07-021</t>
  </si>
  <si>
    <t>OPEN FIELD BESIDE NUT ESTATE IFELODUN COMMUNITY GBONAGUN</t>
  </si>
  <si>
    <t>https://docs.inecelectionresults.net/elections_prod/1292/state/01/lga/16/ward/07/pu/021/021-1677393937.pdf</t>
  </si>
  <si>
    <t>OPEN FIELD BESIDE NUT ESTATE IFELODUN COMMUNITY GBONAGUN, Polling Unit, ODEDA, Ogun State, Nigeria</t>
  </si>
  <si>
    <t>27-16-07-022</t>
  </si>
  <si>
    <t>ILERI AYO COMMUNITY TOWN HALL OSARA</t>
  </si>
  <si>
    <t>https://docs.inecelectionresults.net/elections_prod/1292/state/01/lga/16/ward/07/pu/022/022-1677366839.pdf</t>
  </si>
  <si>
    <t>ILERI AYO COMMUNITY TOWN HALL OSARA, Polling Unit, ODEDA, Ogun State, Nigeria</t>
  </si>
  <si>
    <t>27-16-07-023</t>
  </si>
  <si>
    <t>ST MICHEAL ANGLICAN SCH, KANGUDU</t>
  </si>
  <si>
    <t>https://docs.inecelectionresults.net/elections_prod/1292/state/01/lga/16/ward/07/pu/023/023-1677393308.pdf</t>
  </si>
  <si>
    <t>ST MICHEAL ANGLICAN SCH, KANGUDU, Polling Unit, ODEDA, Ogun State, Nigeria</t>
  </si>
  <si>
    <t>27-16-07-024</t>
  </si>
  <si>
    <t>OLORUNGBEMI COMMUNITY  HALL APETE OBANTOKO</t>
  </si>
  <si>
    <t>https://docs.inecelectionresults.net/elections_prod/1292/state/01/lga/16/ward/07/pu/024/024-1677383447.pdf</t>
  </si>
  <si>
    <t>OLORUNGBEMI COMMUNITY  HALL APETE OBANTOKO, Polling Unit, ODEDA, Ogun State, Nigeria</t>
  </si>
  <si>
    <t>27-16-07-026</t>
  </si>
  <si>
    <t>ST MICHEAL ANGLICAN SCH ANNEX ASALU OYETOLA</t>
  </si>
  <si>
    <t>https://docs.inecelectionresults.net/elections_prod/1292/state/01/lga/16/ward/07/pu/026/026-1677387996.pdf</t>
  </si>
  <si>
    <t>ST MICHEAL ANGLICAN SCH ANNEX ASALU OYETOLA, Polling Unit, ODEDA, Ogun State, Nigeria</t>
  </si>
  <si>
    <t>27-16-07-027</t>
  </si>
  <si>
    <t>COMMUNITY TOWN HALL TIRINMI</t>
  </si>
  <si>
    <t>https://docs.inecelectionresults.net/elections_prod/1292/state/01/lga/16/ward/07/pu/027/027-1677405441.pdf</t>
  </si>
  <si>
    <t>COMMUNITY TOWN HALL TIRINMI, Polling Unit, ODEDA, Ogun State, Nigeria</t>
  </si>
  <si>
    <t>27-16-07-028</t>
  </si>
  <si>
    <t>TOWN HALL AKEPE OLUWA ESTATE</t>
  </si>
  <si>
    <t>https://docs.inecelectionresults.net/elections_prod/1292/state/01/lga/16/ward/07/pu/028/028-1677392865.pdf</t>
  </si>
  <si>
    <t>TOWN HALL AKEPE OLUWA ESTATE, Polling Unit, ODEDA, Ogun State, Nigeria</t>
  </si>
  <si>
    <t>27-16-07-030</t>
  </si>
  <si>
    <t>OPEN SPACE AT LITTI ITOKO</t>
  </si>
  <si>
    <t>https://docs.inecelectionresults.net/elections_prod/1292/state/01/lga/16/ward/07/pu/030/030-1677403155.pdf</t>
  </si>
  <si>
    <t>OPEN SPACE AT LITTI ITOKO, Polling Unit, ODEDA, Ogun State, Nigeria</t>
  </si>
  <si>
    <t>27-16-07-032</t>
  </si>
  <si>
    <t>PRIMARY HEALTH CENTRE MILE 7 ALAKIRI</t>
  </si>
  <si>
    <t>https://docs.inecelectionresults.net/elections_prod/1292/state/01/lga/16/ward/07/pu/032/032-1677394971.pdf</t>
  </si>
  <si>
    <t>PRIMARY HEALTH CENTRE MILE 7 ALAKIRI, Polling Unit, ODEDA, Ogun State, Nigeria</t>
  </si>
  <si>
    <t>27-16-07-033</t>
  </si>
  <si>
    <t>AAYA PRIMARY SCHOOL  ANNEX OSARA</t>
  </si>
  <si>
    <t>https://docs.inecelectionresults.net/elections_prod/1292/state/01/lga/16/ward/07/pu/033/033-1677401884.pdf</t>
  </si>
  <si>
    <t>AAYA PRIMARY SCHOOL  ANNEX OSARA, Polling Unit, ODEDA, Ogun State, Nigeria</t>
  </si>
  <si>
    <t>27-16-07-036</t>
  </si>
  <si>
    <t>OPEN SPACE PAKURO OBANTOKO</t>
  </si>
  <si>
    <t>https://docs.inecelectionresults.net/elections_prod/1292/state/1/lga/3681/ward/24132/pu/166333/166333-1677510906.pdf</t>
  </si>
  <si>
    <t>OPEN SPACE PAKURO OBANTOKO, Polling Unit, ODEDA, Ogun State, Nigeria</t>
  </si>
  <si>
    <t>27-16-07-037</t>
  </si>
  <si>
    <t>AMERICAN JUNCTION VIA ALOGI</t>
  </si>
  <si>
    <t>https://docs.inecelectionresults.net/elections_prod/1292/state/1/lga/3681/ward/24132/pu/166334/166334-1677510790.pdf</t>
  </si>
  <si>
    <t>AMERICAN JUNCTION VIA ALOGI, Polling Unit, ODEDA, Ogun State, Nigeria</t>
  </si>
  <si>
    <t>27-16-07-038</t>
  </si>
  <si>
    <t>OPEN SPACE IN FRONT OF OBANTOKO POLICE STATION</t>
  </si>
  <si>
    <t>https://docs.inecelectionresults.net/elections_prod/1292/state/01/lga/16/ward/07/pu/038/038-1677400933.pdf</t>
  </si>
  <si>
    <t>OPEN SPACE IN FRONT OF OBANTOKO POLICE STATION, Polling Unit, ODEDA, Ogun State, Nigeria</t>
  </si>
  <si>
    <t>27-16-01-016</t>
  </si>
  <si>
    <t>OPEN SPACE BESIDE OLU ODEDA PALACE</t>
  </si>
  <si>
    <t>https://docs.inecelectionresults.net/elections_prod/1292/state/01/lga/16/ward/01/pu/016/016-1677361112.pdf</t>
  </si>
  <si>
    <t>OPEN SPACE BESIDE OLU ODEDA PALACE, Polling Unit, ODEDA, Ogun State, Nigeria</t>
  </si>
  <si>
    <t>27-16-01-017</t>
  </si>
  <si>
    <t>INFRONT OF MINISTRY OF YOUTH AND AGRO SERVICE</t>
  </si>
  <si>
    <t>https://docs.inecelectionresults.net/elections_prod/1292/state/1/lga/3681/ward/24126/pu/166278/166278-1677586503.pdf</t>
  </si>
  <si>
    <t>INFRONT OF MINISTRY OF YOUTH AND AGRO SERVICE, Polling Unit, ODEDA, Ogun State, Nigeria</t>
  </si>
  <si>
    <t>27-16-01-018</t>
  </si>
  <si>
    <t>ST PAUL ANG SCHOOL SOKAN, ODEDA</t>
  </si>
  <si>
    <t>https://docs.inecelectionresults.net/elections_prod/1292/state/01/lga/16/ward/01/pu/018/018-1677360871.pdf</t>
  </si>
  <si>
    <t>ST PAUL ANG SCHOOL SOKAN, ODEDA, Polling Unit, ODEDA, Ogun State, Nigeria</t>
  </si>
  <si>
    <t>27-16-01-019</t>
  </si>
  <si>
    <t>ST SAVIOURS ANGLICAN PRIMARY SCHOOL OLUGBO</t>
  </si>
  <si>
    <t>https://docs.inecelectionresults.net/elections_prod/1292/state/1/lga/3681/ward/24126/pu/166280/166280-1677582472.pdf</t>
  </si>
  <si>
    <t>ST SAVIOURS ANGLICAN PRIMARY SCHOOL OLUGBO, Polling Unit, ODEDA, Ogun State, Nigeria</t>
  </si>
  <si>
    <t>27-16-01-020</t>
  </si>
  <si>
    <t>OPEN SPACE AT APATA VILLAGE  VIA OLUGA</t>
  </si>
  <si>
    <t>https://docs.inecelectionresults.net/elections_prod/1292/state/01/lga/16/ward/01/pu/020/020-1677358986.pdf</t>
  </si>
  <si>
    <t>OPEN SPACE AT APATA VILLAGE  VIA OLUGA, Polling Unit, ODEDA, Ogun State, Nigeria</t>
  </si>
  <si>
    <t>27-16-01-021</t>
  </si>
  <si>
    <t>ST PETERS ANGLICAN  PRIMARY SCHOOL, ILE OLU</t>
  </si>
  <si>
    <t>https://docs.inecelectionresults.net/elections_prod/1292/state/01/lga/16/ward/01/pu/021/021-1677358683.pdf</t>
  </si>
  <si>
    <t>ST PETERS ANGLICAN  PRIMARY SCHOOL, ILE OLU, Polling Unit, ODEDA, Ogun State, Nigeria</t>
  </si>
  <si>
    <t>27-16-01-022</t>
  </si>
  <si>
    <t>OPEN SPACE AT OGELEJE VILAGE</t>
  </si>
  <si>
    <t>https://docs.inecelectionresults.net/elections_prod/1292/state/01/lga/16/ward/01/pu/022/022-1677362388.pdf</t>
  </si>
  <si>
    <t>OPEN SPACE AT OGELEJE VILAGE, Polling Unit, ODEDA, Ogun State, Nigeria</t>
  </si>
  <si>
    <t>27-16-01-023</t>
  </si>
  <si>
    <t>OPEN SPACE AT THE BACK OF POLICE  BARRACK  ODEDA</t>
  </si>
  <si>
    <t>https://docs.inecelectionresults.net/elections_prod/1292/state/1/lga/3681/ward/24126/pu/166284/166284-1677585665.pdf</t>
  </si>
  <si>
    <t>OPEN SPACE AT THE BACK OF POLICE  BARRACK  ODEDA, Polling Unit, ODEDA, Ogun State, Nigeria</t>
  </si>
  <si>
    <t>27-16-01-025</t>
  </si>
  <si>
    <t>OPEN SPACE OPPOSITE MINISTRY OF AGRIC EWEJE</t>
  </si>
  <si>
    <t>https://docs.inecelectionresults.net/elections_prod/1292/state/01/lga/16/ward/01/pu/025/025-1677363103.pdf</t>
  </si>
  <si>
    <t>OPEN SPACE OPPOSITE MINISTRY OF AGRIC EWEJE, Polling Unit, ODEDA, Ogun State, Nigeria</t>
  </si>
  <si>
    <t>27-16-03-013</t>
  </si>
  <si>
    <t>ORILE KEESI GRAMMAR SCH II</t>
  </si>
  <si>
    <t>https://docs.inecelectionresults.net/elections_prod/1292/state/01/lga/16/ward/03/pu/013/013-1677390877.pdf</t>
  </si>
  <si>
    <t>ORILE KEESI GRAMMAR SCH II, Polling Unit, ODEDA, Ogun State, Nigeria</t>
  </si>
  <si>
    <t>27-16-03-014</t>
  </si>
  <si>
    <t>OPEN FIELD AT ISO ISU OLODO</t>
  </si>
  <si>
    <t>https://docs.inecelectionresults.net/elections_prod/1292/state/01/lga/16/ward/03/pu/014/014-1677386769.pdf</t>
  </si>
  <si>
    <t>OPEN FIELD AT ISO ISU OLODO, Polling Unit, ODEDA, Ogun State, Nigeria</t>
  </si>
  <si>
    <t>27-16-10-013</t>
  </si>
  <si>
    <t>OPEN SPACE AT IFETEDO BUSSTOP OKUDUN VILLAGE</t>
  </si>
  <si>
    <t>https://docs.inecelectionresults.net/elections_prod/1292/state/01/lga/16/ward/10/pu/013/013-1677372687.pdf</t>
  </si>
  <si>
    <t>OPEN SPACE AT IFETEDO BUSSTOP OKUDUN VILLAGE, Polling Unit, ODEDA, Ogun State, Nigeria</t>
  </si>
  <si>
    <t>27-16-10-014</t>
  </si>
  <si>
    <t>OLG SCH ILUPEJU AGBAKIN ANNEX</t>
  </si>
  <si>
    <t>https://docs.inecelectionresults.net/elections_prod/1292/state/01/lga/16/ward/10/pu/014/014-1677370857.pdf</t>
  </si>
  <si>
    <t>OLG SCH ILUPEJU AGBAKIN ANNEX, Polling Unit, ODEDA, Ogun State, Nigeria</t>
  </si>
  <si>
    <t>27-16-10-015</t>
  </si>
  <si>
    <t>OPEN  SPACE AT OKE OLA COMMUNITY</t>
  </si>
  <si>
    <t>https://docs.inecelectionresults.net/elections_prod/1292/state/01/lga/16/ward/10/pu/015/015-1677375833.pdf</t>
  </si>
  <si>
    <t>OPEN  SPACE AT OKE OLA COMMUNITY, Polling Unit, ODEDA, Ogun State, Nigeria</t>
  </si>
  <si>
    <t>27-16-10-016</t>
  </si>
  <si>
    <t>O.L.G. PRIMARY SCHOOL AGBA AKIN EMERE BODE OLUDE</t>
  </si>
  <si>
    <t>https://docs.inecelectionresults.net/elections_prod/1292/state/01/lga/16/ward/10/pu/016/016-1677374530.pdf</t>
  </si>
  <si>
    <t>O.L.G. PRIMARY SCHOOL AGBA AKIN EMERE BODE OLUDE, Polling Unit, ODEDA, Ogun State, Nigeria</t>
  </si>
  <si>
    <t>27-16-10-017</t>
  </si>
  <si>
    <t>PRIMARY HEALTH CENTRE BALESHI TOWN</t>
  </si>
  <si>
    <t>https://docs.inecelectionresults.net/elections_prod/1292/state/01/lga/16/ward/10/pu/017/017-1677375734.pdf</t>
  </si>
  <si>
    <t>PRIMARY HEALTH CENTRE BALESHI TOWN, Polling Unit, ODEDA, Ogun State, Nigeria</t>
  </si>
  <si>
    <t>27-16-10-018</t>
  </si>
  <si>
    <t>METHODIST  PRIMARY SCH  FIJABI VIA BODEOLUDE</t>
  </si>
  <si>
    <t>https://docs.inecelectionresults.net/elections_prod/1292/state/01/lga/16/ward/10/pu/018/018-1677389456.pdf</t>
  </si>
  <si>
    <t>METHODIST  PRIMARY SCH  FIJABI VIA BODEOLUDE, Polling Unit, ODEDA, Ogun State, Nigeria</t>
  </si>
  <si>
    <t>27-16-10-019</t>
  </si>
  <si>
    <t>O.L.G SCH OPEJI II</t>
  </si>
  <si>
    <t>https://docs.inecelectionresults.net/elections_prod/1292/state/01/lga/16/ward/10/pu/019/019-1677374168.pdf</t>
  </si>
  <si>
    <t>O.L.G SCH OPEJI II, Polling Unit, ODEDA, Ogun State, Nigeria</t>
  </si>
  <si>
    <t>27-16-06-011</t>
  </si>
  <si>
    <t>OPEN SPACE FRONT OF OSIELE PRIMARY HEALTH CENTRE</t>
  </si>
  <si>
    <t>https://docs.inecelectionresults.net/elections_prod/1292/state/01/lga/16/ward/06/pu/011/011-1677405078.pdf</t>
  </si>
  <si>
    <t>OPEN SPACE FRONT OF OSIELE PRIMARY HEALTH CENTRE, Polling Unit, ODEDA, Ogun State, Nigeria</t>
  </si>
  <si>
    <t>27-16-06-012</t>
  </si>
  <si>
    <t>OPEN FIELD AT IFESOWAPO ABATA COMMUNITY</t>
  </si>
  <si>
    <t>https://docs.inecelectionresults.net/elections_prod/1292/state/01/lga/16/ward/06/pu/012/012-1677395837.pdf</t>
  </si>
  <si>
    <t>OPEN FIELD AT IFESOWAPO ABATA COMMUNITY, Polling Unit, ODEDA, Ogun State, Nigeria</t>
  </si>
  <si>
    <t>27-16-06-013</t>
  </si>
  <si>
    <t>OPEN FIELD AT AGBETU VILLAGE</t>
  </si>
  <si>
    <t>https://docs.inecelectionresults.net/elections_prod/1292/state/01/lga/16/ward/06/pu/013/013-1677400988.pdf</t>
  </si>
  <si>
    <t>OPEN FIELD AT AGBETU VILLAGE, Polling Unit, ODEDA, Ogun State, Nigeria</t>
  </si>
  <si>
    <t>27-16-06-014</t>
  </si>
  <si>
    <t>OPEN FIELD OPP SURULERE, SAWMILL</t>
  </si>
  <si>
    <t>https://docs.inecelectionresults.net/elections_prod/1292/state/01/lga/16/ward/06/pu/014/014-1677406335.pdf</t>
  </si>
  <si>
    <t>OPEN FIELD OPP SURULERE, SAWMILL, Polling Unit, ODEDA, Ogun State, Nigeria</t>
  </si>
  <si>
    <t>27-16-06-016</t>
  </si>
  <si>
    <t>SURULERE COMMUNITY TOWN HALL</t>
  </si>
  <si>
    <t>https://docs.inecelectionresults.net/elections_prod/1292/state/01/lga/16/ward/06/pu/016/016-1677402654.pdf</t>
  </si>
  <si>
    <t>SURULERE COMMUNITY TOWN HALL, Polling Unit, ODEDA, Ogun State, Nigeria</t>
  </si>
  <si>
    <t>27-16-06-017</t>
  </si>
  <si>
    <t>OLD NITEL BUILDING I</t>
  </si>
  <si>
    <t>https://docs.inecelectionresults.net/elections_prod/1292/state/01/lga/16/ward/06/pu/017/017-1677407032.pdf</t>
  </si>
  <si>
    <t>OLD NITEL BUILDING I, Polling Unit, ODEDA, Ogun State, Nigeria</t>
  </si>
  <si>
    <t>27-16-06-018</t>
  </si>
  <si>
    <t>OLD NITEL BUILDING II</t>
  </si>
  <si>
    <t>https://docs.inecelectionresults.net/elections_prod/1292/state/01/lga/16/ward/06/pu/018/018-1677413744.pdf</t>
  </si>
  <si>
    <t>OLD NITEL BUILDING II, Polling Unit, ODEDA, Ogun State, Nigeria</t>
  </si>
  <si>
    <t>27-16-06-019</t>
  </si>
  <si>
    <t>OPEN SPACE AT WONDERLAND ESTATE</t>
  </si>
  <si>
    <t>https://docs.inecelectionresults.net/elections_prod/1292/state/01/lga/16/ward/06/pu/019/019-1677406559.pdf</t>
  </si>
  <si>
    <t>OPEN SPACE AT WONDERLAND ESTATE, Polling Unit, ODEDA, Ogun State, Nigeria</t>
  </si>
  <si>
    <t>27-16-06-020</t>
  </si>
  <si>
    <t>FCE SCHOOL GATE II</t>
  </si>
  <si>
    <t>https://docs.inecelectionresults.net/elections_prod/1292/state/01/lga/16/ward/06/pu/020/020-1677410865.pdf</t>
  </si>
  <si>
    <t>FCE SCHOOL GATE II, Polling Unit, ODEDA, Ogun State, Nigeria</t>
  </si>
  <si>
    <t>27-16-06-021</t>
  </si>
  <si>
    <t>OPEN SPACE  AT ARAROMI IDERA COMMUNITY  I</t>
  </si>
  <si>
    <t>https://docs.inecelectionresults.net/elections_prod/1292/state/01/lga/16/ward/06/pu/021/021-1677411995.pdf</t>
  </si>
  <si>
    <t>OPEN SPACE  AT ARAROMI IDERA COMMUNITY  I, Polling Unit, ODEDA, Ogun State, Nigeria</t>
  </si>
  <si>
    <t>27-16-06-022</t>
  </si>
  <si>
    <t>OPEN SPACE  AT ARAROMI IDERA COMMUNITY   II</t>
  </si>
  <si>
    <t>https://docs.inecelectionresults.net/elections_prod/1292/state/01/lga/16/ward/06/pu/022/022-1677408830.pdf</t>
  </si>
  <si>
    <t>OPEN SPACE  AT ARAROMI IDERA COMMUNITY   II, Polling Unit, ODEDA, Ogun State, Nigeria</t>
  </si>
  <si>
    <t>27-16-06-024</t>
  </si>
  <si>
    <t>OLUJA  JUNCTION ALANCO OSIELE</t>
  </si>
  <si>
    <t>https://docs.inecelectionresults.net/elections_prod/1292/state/01/lga/16/ward/06/pu/024/024-1677409427.pdf</t>
  </si>
  <si>
    <t>OLUJA  JUNCTION ALANCO OSIELE, Polling Unit, ODEDA, Ogun State, Nigeria</t>
  </si>
  <si>
    <t>27-16-06-025</t>
  </si>
  <si>
    <t>OPEN FIELD OPPOSITE MIN OF AGRIC LESHO</t>
  </si>
  <si>
    <t>https://docs.inecelectionresults.net/elections_prod/1292/state/01/lga/16/ward/06/pu/025/025-1677406045.pdf</t>
  </si>
  <si>
    <t>OPEN FIELD OPPOSITE MIN OF AGRIC LESHO, Polling Unit, ODEDA, Ogun State, Nigeria</t>
  </si>
  <si>
    <t>27-17-06-011</t>
  </si>
  <si>
    <t>OPEN SPACE T-JUNCTION OLD SAGAMU / AGBOWA ROAD, AIYEPE</t>
  </si>
  <si>
    <t>https://inec-cvr-cache.s3.eu-west-1.amazonaws.com/cached/results/661644/result_80358_1677533918_thumb.jpg</t>
  </si>
  <si>
    <t>OPEN SPACE T-JUNCTION OLD SAGAMU / AGBOWA ROAD, AIYEPE, Polling Unit, ODOGBOLU, Ogun State, Nigeria</t>
  </si>
  <si>
    <t>27-17-06-012</t>
  </si>
  <si>
    <t>OPEN SPACE BACK OF SAWMILL, AIYEPE</t>
  </si>
  <si>
    <t>https://inec-cvr-cache.s3.eu-west-1.amazonaws.com/cached/results/661645/result_80359_1677534136_thumb.jpg</t>
  </si>
  <si>
    <t>OPEN SPACE BACK OF SAWMILL, AIYEPE, Polling Unit, ODOGBOLU, Ogun State, Nigeria</t>
  </si>
  <si>
    <t>27-17-06-013</t>
  </si>
  <si>
    <t>AIYEPE COMPREHENSIVE HIGH SCHOOL, AIYEPE</t>
  </si>
  <si>
    <t>https://inec-cvr-cache.s3.eu-west-1.amazonaws.com/cached/results/661646/result_80360_1677534392_thumb.jpg</t>
  </si>
  <si>
    <t>AIYEPE COMPREHENSIVE HIGH SCHOOL, AIYEPE, Polling Unit, ODOGBOLU, Ogun State, Nigeria</t>
  </si>
  <si>
    <t>27-17-09-007</t>
  </si>
  <si>
    <t>ANSAR-UD-DEEN PRIMARY SCH. IBEFUN</t>
  </si>
  <si>
    <t>https://inec-cvr-cache.s3.eu-west-1.amazonaws.com/cached/results/661648/result_80390_1677526796_thumb.jpg</t>
  </si>
  <si>
    <t>ANSAR-UD-DEEN PRIMARY SCH. IBEFUN, Polling Unit, ODOGBOLU, Ogun State, Nigeria</t>
  </si>
  <si>
    <t>27-17-09-008</t>
  </si>
  <si>
    <t>POLICE POST ORETA</t>
  </si>
  <si>
    <t>https://inec-cvr-cache.s3.eu-west-1.amazonaws.com/cached/results/661649/result_80391_1677526921_thumb.jpg</t>
  </si>
  <si>
    <t>POLICE POST ORETA, Polling Unit, ODOGBOLU, Ogun State, Nigeria</t>
  </si>
  <si>
    <t>27-17-09-009</t>
  </si>
  <si>
    <t>MORNING MARKET SQUARE, ISALE IBEFUN</t>
  </si>
  <si>
    <t>https://inec-cvr-cache.s3.eu-west-1.amazonaws.com/cached/results/661650/result_80392_1677528079_thumb.jpg</t>
  </si>
  <si>
    <t>MORNING MARKET SQUARE, ISALE IBEFUN, Polling Unit, ODOGBOLU, Ogun State, Nigeria</t>
  </si>
  <si>
    <t>27-17-08-005</t>
  </si>
  <si>
    <t>OPEN SPACE ADEBAYO MARKET, IDOWA</t>
  </si>
  <si>
    <t>https://docs.inecelectionresults.net/elections_prod/1292/state/01/lga/17/ward/08/pu/005/005-1677369679.pdf</t>
  </si>
  <si>
    <t>OPEN SPACE ADEBAYO MARKET, IDOWA, Polling Unit, ODOGBOLU, Ogun State, Nigeria</t>
  </si>
  <si>
    <t>27-17-08-006</t>
  </si>
  <si>
    <t>COMPREHENSIVE HIGH SCH. IDOWA</t>
  </si>
  <si>
    <t>https://docs.inecelectionresults.net/elections_prod/1292/state/01/lga/17/ward/08/pu/006/006-1677369852.pdf</t>
  </si>
  <si>
    <t>COMPREHENSIVE HIGH SCH. IDOWA, Polling Unit, ODOGBOLU, Ogun State, Nigeria</t>
  </si>
  <si>
    <t>27-17-08-007</t>
  </si>
  <si>
    <t>GENERAL HOSPITAL, IDOWA</t>
  </si>
  <si>
    <t>https://docs.inecelectionresults.net/elections_prod/1292/state/01/lga/17/ward/08/pu/007/007-1677369993.pdf</t>
  </si>
  <si>
    <t>GENERAL HOSPITAL, IDOWA, Polling Unit, ODOGBOLU, Ogun State, Nigeria</t>
  </si>
  <si>
    <t>27-17-08-008</t>
  </si>
  <si>
    <t>OPEN SPACE POLICE BARRACK ILOYE, IDOWA</t>
  </si>
  <si>
    <t>https://docs.inecelectionresults.net/elections_prod/1292/state/01/lga/17/ward/08/pu/008/008-1677368672.pdf</t>
  </si>
  <si>
    <t>OPEN SPACE POLICE BARRACK ILOYE, IDOWA, Polling Unit, ODOGBOLU, Ogun State, Nigeria</t>
  </si>
  <si>
    <t>27-17-10-006</t>
  </si>
  <si>
    <t>ST JOHN ANGLICAN PRIMARY SCH, ILADO</t>
  </si>
  <si>
    <t>https://docs.inecelectionresults.net/elections_prod/1292/state/01/lga/17/ward/10/pu/006/006-1677368374.pdf</t>
  </si>
  <si>
    <t>ST JOHN ANGLICAN PRIMARY SCH, ILADO, Polling Unit, ODOGBOLU, Ogun State, Nigeria</t>
  </si>
  <si>
    <t>27-17-10-007</t>
  </si>
  <si>
    <t>TOWN HALL IMODI-IJASI</t>
  </si>
  <si>
    <t>https://docs.inecelectionresults.net/elections_prod/1292/state/01/lga/17/ward/10/pu/007/007-1677369527.pdf</t>
  </si>
  <si>
    <t>TOWN HALL IMODI-IJASI, Polling Unit, ODOGBOLU, Ogun State, Nigeria</t>
  </si>
  <si>
    <t>27-17-02-012</t>
  </si>
  <si>
    <t>OPEN SPACE ROYAL ESTATE IMODI</t>
  </si>
  <si>
    <t>https://docs.inecelectionresults.net/elections_prod/1292/state/01/lga/17/ward/02/pu/012/012-1677366130.pdf</t>
  </si>
  <si>
    <t>OPEN SPACE ROYAL ESTATE IMODI, Polling Unit, ODOGBOLU, Ogun State, Nigeria</t>
  </si>
  <si>
    <t>27-17-02-013</t>
  </si>
  <si>
    <t>IKANGBA COMPREHENSIVE HIGH SCHOOL, IKANGBA</t>
  </si>
  <si>
    <t>https://docs.inecelectionresults.net/elections_prod/1292/state/01/lga/17/ward/02/pu/013/013-1677364413.pdf</t>
  </si>
  <si>
    <t>IKANGBA COMPREHENSIVE HIGH SCHOOL, IKANGBA, Polling Unit, ODOGBOLU, Ogun State, Nigeria</t>
  </si>
  <si>
    <t>27-17-02-014</t>
  </si>
  <si>
    <t>HEALTH POST AGORO</t>
  </si>
  <si>
    <t>https://docs.inecelectionresults.net/elections_prod/1292/state/01/lga/17/ward/02/pu/014/014-1677367743.pdf</t>
  </si>
  <si>
    <t>HEALTH POST AGORO, Polling Unit, ODOGBOLU, Ogun State, Nigeria</t>
  </si>
  <si>
    <t>27-17-02-015</t>
  </si>
  <si>
    <t>OPEN SPACE, HOUSING ESTATE JUNCTION, IDOTUN</t>
  </si>
  <si>
    <t>https://docs.inecelectionresults.net/elections_prod/1292/state/01/lga/17/ward/02/pu/015/015-1677364714.pdf</t>
  </si>
  <si>
    <t>OPEN SPACE, HOUSING ESTATE JUNCTION, IDOTUN, Polling Unit, ODOGBOLU, Ogun State, Nigeria</t>
  </si>
  <si>
    <t>27-17-02-016</t>
  </si>
  <si>
    <t>OPEN SPACE AYEGBAMI SQUARE, IMODI</t>
  </si>
  <si>
    <t>https://docs.inecelectionresults.net/elections_prod/1292/state/01/lga/17/ward/02/pu/016/016-1677366091.pdf</t>
  </si>
  <si>
    <t>OPEN SPACE AYEGBAMI SQUARE, IMODI, Polling Unit, ODOGBOLU, Ogun State, Nigeria</t>
  </si>
  <si>
    <t>27-17-02-017</t>
  </si>
  <si>
    <t>OPEN SPACE IDI IROKO COMMUNITY ROAD &amp; IKANGBA ESTATE, IKANGBA</t>
  </si>
  <si>
    <t>https://docs.inecelectionresults.net/elections_prod/1292/state/01/lga/17/ward/02/pu/017/017-1677363659.pdf</t>
  </si>
  <si>
    <t>OPEN SPACE IDI IROKO COMMUNITY ROAD &amp; IKANGBA ESTATE, IKANGBA, Polling Unit, ODOGBOLU, Ogun State, Nigeria</t>
  </si>
  <si>
    <t>27-17-02-018</t>
  </si>
  <si>
    <t>OPEN SPACE AJAGBANLA UNITY ESTATE ERINLU</t>
  </si>
  <si>
    <t>https://docs.inecelectionresults.net/elections_prod/1292/state/01/lga/17/ward/02/pu/018/018-1677363316.pdf</t>
  </si>
  <si>
    <t>OPEN SPACE AJAGBANLA UNITY ESTATE ERINLU, Polling Unit, ODOGBOLU, Ogun State, Nigeria</t>
  </si>
  <si>
    <t>27-17-01-005</t>
  </si>
  <si>
    <t>IFESOWAPO COMPREHENSIVE HIGH SCHOOL, IMOSAN</t>
  </si>
  <si>
    <t>https://docs.inecelectionresults.net/elections_prod/1292/state/01/lga/17/ward/01/pu/005/005-1677374388.pdf</t>
  </si>
  <si>
    <t>IFESOWAPO COMPREHENSIVE HIGH SCHOOL, IMOSAN, Polling Unit, ODOGBOLU, Ogun State, Nigeria</t>
  </si>
  <si>
    <t>27-17-01-006</t>
  </si>
  <si>
    <t>ODOGBOLU L.G ORPHANAGE SCHOOL, IMOSAN</t>
  </si>
  <si>
    <t>https://docs.inecelectionresults.net/elections_prod/1292/state/01/lga/17/ward/01/pu/006/006-1677376082.pdf</t>
  </si>
  <si>
    <t>ODOGBOLU L.G ORPHANAGE SCHOOL, IMOSAN, Polling Unit, ODOGBOLU, Ogun State, Nigeria</t>
  </si>
  <si>
    <t>27-17-01-007</t>
  </si>
  <si>
    <t>OPEN SPACE ODOLEWU SQUARE, IMOSAN</t>
  </si>
  <si>
    <t>https://docs.inecelectionresults.net/elections_prod/1292/state/01/lga/17/ward/01/pu/007/007-1677373192.pdf</t>
  </si>
  <si>
    <t>OPEN SPACE ODOLEWU SQUARE, IMOSAN, Polling Unit, ODOGBOLU, Ogun State, Nigeria</t>
  </si>
  <si>
    <t>27-17-01-008</t>
  </si>
  <si>
    <t>COMMUNITY PRIMARY SCHOOL, IPERIN</t>
  </si>
  <si>
    <t>https://docs.inecelectionresults.net/elections_prod/1292/state/01/lga/17/ward/01/pu/008/008-1677379158.pdf</t>
  </si>
  <si>
    <t>COMMUNITY PRIMARY SCHOOL, IPERIN, Polling Unit, ODOGBOLU, Ogun State, Nigeria</t>
  </si>
  <si>
    <t>27-17-13-004</t>
  </si>
  <si>
    <t>TOWN HALL, JOBORE</t>
  </si>
  <si>
    <t>https://docs.inecelectionresults.net/elections_prod/1292/state/01/lga/17/ward/13/pu/004/004-1677376440.pdf</t>
  </si>
  <si>
    <t>TOWN HALL, JOBORE, Polling Unit, ODOGBOLU, Ogun State, Nigeria</t>
  </si>
  <si>
    <t>27-17-04-010</t>
  </si>
  <si>
    <t>MOSLEM PRIMARY SCHOOL, ODOGBOLU</t>
  </si>
  <si>
    <t>https://docs.inecelectionresults.net/elections_prod/1292/state/01/lga/17/ward/04/pu/010/010-1677359362.pdf</t>
  </si>
  <si>
    <t>MOSLEM PRIMARY SCHOOL, ODOGBOLU, Polling Unit, ODOGBOLU, Ogun State, Nigeria</t>
  </si>
  <si>
    <t>27-17-04-011</t>
  </si>
  <si>
    <t>IGBODILE SQUARE, ODOGBOLU</t>
  </si>
  <si>
    <t>https://docs.inecelectionresults.net/elections_prod/1292/state/01/lga/17/ward/04/pu/011/011-1677361060.pdf</t>
  </si>
  <si>
    <t>IGBODILE SQUARE, ODOGBOLU, Polling Unit, ODOGBOLU, Ogun State, Nigeria</t>
  </si>
  <si>
    <t>27-17-05-011</t>
  </si>
  <si>
    <t>OPEN SPACE ODOYANGAN QTRS, ODOGBOLU</t>
  </si>
  <si>
    <t>https://docs.inecelectionresults.net/elections_prod/1292/state/01/lga/17/ward/05/pu/011/011-1677418636.pdf</t>
  </si>
  <si>
    <t>OPEN SPACE ODOYANGAN QTRS, ODOGBOLU, Polling Unit, ODOGBOLU, Ogun State, Nigeria</t>
  </si>
  <si>
    <t>27-17-05-012</t>
  </si>
  <si>
    <t>OPEN SPACE EFIYAN, ODOGBOLU</t>
  </si>
  <si>
    <t>https://docs.inecelectionresults.net/elections_prod/1292/state/01/lga/17/ward/05/pu/012/012-1677426693.pdf</t>
  </si>
  <si>
    <t>OPEN SPACE EFIYAN, ODOGBOLU, Polling Unit, ODOGBOLU, Ogun State, Nigeria</t>
  </si>
  <si>
    <t>27-17-11-015</t>
  </si>
  <si>
    <t>O'DUA COMP. HIGH SCHOOL, IMORU</t>
  </si>
  <si>
    <t>https://docs.inecelectionresults.net/elections_prod/1292/state/01/lga/17/ward/11/pu/015/015-1677362016.pdf</t>
  </si>
  <si>
    <t>O'DUA COMP. HIGH SCHOOL, IMORU, Polling Unit, ODOGBOLU, Ogun State, Nigeria</t>
  </si>
  <si>
    <t>27-17-11-016</t>
  </si>
  <si>
    <t>OPEN SPACE ISOPE SQUARE MOBALUFON</t>
  </si>
  <si>
    <t>https://docs.inecelectionresults.net/elections_prod/1292/state/1/lga/3682/ward/24146/pu/166388/166388-1677621987.pdf</t>
  </si>
  <si>
    <t>OPEN SPACE ISOPE SQUARE MOBALUFON, Polling Unit, ODOGBOLU, Ogun State, Nigeria</t>
  </si>
  <si>
    <t>27-17-11-017</t>
  </si>
  <si>
    <t>OPEN SPACE MOBALUFON WEST MORAIKA</t>
  </si>
  <si>
    <t>https://docs.inecelectionresults.net/elections_prod/1292/state/1/lga/3682/ward/24146/pu/166389/166389-1677622069.pdf</t>
  </si>
  <si>
    <t>OPEN SPACE MOBALUFON WEST MORAIKA, Polling Unit, ODOGBOLU, Ogun State, Nigeria</t>
  </si>
  <si>
    <t>27-17-11-018</t>
  </si>
  <si>
    <t>ADEFISAN MARKET</t>
  </si>
  <si>
    <t>https://docs.inecelectionresults.net/elections_prod/1292/state/1/lga/3682/ward/24146/pu/166390/166390-1677622641.pdf</t>
  </si>
  <si>
    <t>ADEFISAN MARKET, Polling Unit, ODOGBOLU, Ogun State, Nigeria</t>
  </si>
  <si>
    <t>27-17-11-019</t>
  </si>
  <si>
    <t>MOSLEM PRIMARY SCH. ITANRIN</t>
  </si>
  <si>
    <t>https://docs.inecelectionresults.net/elections_prod/1292/state/1/lga/3682/ward/24146/pu/166391/166391-1677622828.pdf</t>
  </si>
  <si>
    <t>MOSLEM PRIMARY SCH. ITANRIN, Polling Unit, ODOGBOLU, Ogun State, Nigeria</t>
  </si>
  <si>
    <t>27-17-11-020</t>
  </si>
  <si>
    <t>ATIBA TOWN HALL SQUARE, ATIBA</t>
  </si>
  <si>
    <t>https://docs.inecelectionresults.net/elections_prod/1292/state/1/lga/3682/ward/24146/pu/166392/166392-1677622857.pdf</t>
  </si>
  <si>
    <t>ATIBA TOWN HALL SQUARE, ATIBA, Polling Unit, ODOGBOLU, Ogun State, Nigeria</t>
  </si>
  <si>
    <t>27-17-11-021</t>
  </si>
  <si>
    <t>OPEN SPACE POWER LINE, ATIBA</t>
  </si>
  <si>
    <t>https://docs.inecelectionresults.net/elections_prod/1292/state/1/lga/3682/ward/24146/pu/166393/166393-1677622484.pdf</t>
  </si>
  <si>
    <t>OPEN SPACE POWER LINE, ATIBA, Polling Unit, ODOGBOLU, Ogun State, Nigeria</t>
  </si>
  <si>
    <t>27-17-11-022</t>
  </si>
  <si>
    <t>OPEN SPACE IBAGBA SQUARE, EGBE</t>
  </si>
  <si>
    <t>https://docs.inecelectionresults.net/elections_prod/1292/state/1/lga/3682/ward/24146/pu/166394/166394-1677622843.pdf</t>
  </si>
  <si>
    <t>OPEN SPACE IBAGBA SQUARE, EGBE, Polling Unit, ODOGBOLU, Ogun State, Nigeria</t>
  </si>
  <si>
    <t>27-17-11-023</t>
  </si>
  <si>
    <t>OPEN SPACE EYINFUN SQUARE, EGBE</t>
  </si>
  <si>
    <t>https://docs.inecelectionresults.net/elections_prod/1292/state/1/lga/3682/ward/24146/pu/166395/166395-1677623256.pdf</t>
  </si>
  <si>
    <t>OPEN SPACE EYINFUN SQUARE, EGBE, Polling Unit, ODOGBOLU, Ogun State, Nigeria</t>
  </si>
  <si>
    <t>27-17-11-024</t>
  </si>
  <si>
    <t>HOLY TRINITY HEALTH CENTRE ,IKOTO</t>
  </si>
  <si>
    <t>https://docs.inecelectionresults.net/elections_prod/1292/state/1/lga/3682/ward/24146/pu/166396/166396-1677623454.pdf</t>
  </si>
  <si>
    <t>HOLY TRINITY HEALTH CENTRE ,IKOTO, Polling Unit, ODOGBOLU, Ogun State, Nigeria</t>
  </si>
  <si>
    <t>27-17-11-025</t>
  </si>
  <si>
    <t>OPEN SPACE OGUNLADE ESTATE JUNCTION, OKE OWA</t>
  </si>
  <si>
    <t>https://docs.inecelectionresults.net/elections_prod/1292/state/1/lga/3682/ward/24146/pu/166397/166397-1677623643.pdf</t>
  </si>
  <si>
    <t>OPEN SPACE OGUNLADE ESTATE JUNCTION, OKE OWA, Polling Unit, ODOGBOLU, Ogun State, Nigeria</t>
  </si>
  <si>
    <t>27-17-11-026</t>
  </si>
  <si>
    <t>ST JOSEPH CATHOLIC PRIMARY SCH. F.H. ESTATE, IKOTO</t>
  </si>
  <si>
    <t>https://docs.inecelectionresults.net/elections_prod/1292/state/1/lga/3682/ward/24146/pu/166398/166398-1677621460.pdf</t>
  </si>
  <si>
    <t>ST JOSEPH CATHOLIC PRIMARY SCH. F.H. ESTATE, IKOTO, Polling Unit, ODOGBOLU, Ogun State, Nigeria</t>
  </si>
  <si>
    <t>27-17-11-027</t>
  </si>
  <si>
    <t>ST JAMES PRIMARY SCHOOL, LATOGUN</t>
  </si>
  <si>
    <t>https://docs.inecelectionresults.net/elections_prod/1292/state/1/lga/3682/ward/24146/pu/166399/166399-1677621175.pdf</t>
  </si>
  <si>
    <t>ST JAMES PRIMARY SCHOOL, LATOGUN, Polling Unit, ODOGBOLU, Ogun State, Nigeria</t>
  </si>
  <si>
    <t>27-17-11-028</t>
  </si>
  <si>
    <t>OPEN SPACE T-JUNCTION OGUNYEMI STREET, OREGUN</t>
  </si>
  <si>
    <t>https://docs.inecelectionresults.net/elections_prod/1292/state/1/lga/3682/ward/24146/pu/166400/166400-1677620427.pdf</t>
  </si>
  <si>
    <t>OPEN SPACE T-JUNCTION OGUNYEMI STREET, OREGUN, Polling Unit, ODOGBOLU, Ogun State, Nigeria</t>
  </si>
  <si>
    <t>27-17-15-008</t>
  </si>
  <si>
    <t>ARAROMI UNITED PRIMARY SCHOOL, IMAWEJE</t>
  </si>
  <si>
    <t>https://docs.inecelectionresults.net/elections_prod/1292/state/1/lga/3682/ward/24150/pu/166404/166404-1677593706.pdf</t>
  </si>
  <si>
    <t>ARAROMI UNITED PRIMARY SCHOOL, IMAWEJE, Polling Unit, ODOGBOLU, Ogun State, Nigeria</t>
  </si>
  <si>
    <t>27-17-15-010</t>
  </si>
  <si>
    <t>TOWN HALL,  IJELE</t>
  </si>
  <si>
    <t>https://docs.inecelectionresults.net/elections_prod/1292/state/01/lga/17/ward/15/pu/010/010-1677365202.pdf</t>
  </si>
  <si>
    <t>TOWN HALL,  IJELE, Polling Unit, ODOGBOLU, Ogun State, Nigeria</t>
  </si>
  <si>
    <t>27-17-15-012</t>
  </si>
  <si>
    <t>OPEN SPACE ODO AGAMEGI</t>
  </si>
  <si>
    <t>https://docs.inecelectionresults.net/elections_prod/1292/state/01/lga/17/ward/15/pu/012/012-1677365325.pdf</t>
  </si>
  <si>
    <t>OPEN SPACE ODO AGAMEGI, Polling Unit, ODOGBOLU, Ogun State, Nigeria</t>
  </si>
  <si>
    <t>27-17-15-013</t>
  </si>
  <si>
    <t>TOWN HALL IKOFA</t>
  </si>
  <si>
    <t>https://docs.inecelectionresults.net/elections_prod/1292/state/01/lga/17/ward/15/pu/013/013-1677366163.pdf</t>
  </si>
  <si>
    <t>TOWN HALL IKOFA, Polling Unit, ODOGBOLU, Ogun State, Nigeria</t>
  </si>
  <si>
    <t>27-17-03-011</t>
  </si>
  <si>
    <t>PRIMARY HEALTH CENTRE, ODOLOWU</t>
  </si>
  <si>
    <t>https://docs.inecelectionresults.net/elections_prod/1292/state/01/lga/17/ward/03/pu/011/011-1677392010.pdf</t>
  </si>
  <si>
    <t>PRIMARY HEALTH CENTRE, ODOLOWU, Polling Unit, ODOGBOLU, Ogun State, Nigeria</t>
  </si>
  <si>
    <t>27-17-14-011</t>
  </si>
  <si>
    <t>Z.I  PRIMARY SCHOOL, OMU</t>
  </si>
  <si>
    <t>https://inec-cvr-cache.s3.eu-west-1.amazonaws.com/cached/results/661699/result_80449_1677528264_thumb.jpg</t>
  </si>
  <si>
    <t>Z.I  PRIMARY SCHOOL, OMU, Polling Unit, ODOGBOLU, Ogun State, Nigeria</t>
  </si>
  <si>
    <t>27-17-07-008</t>
  </si>
  <si>
    <t>OBU OBASA SQUARE OSOSA</t>
  </si>
  <si>
    <t>https://inec-cvr-cache.s3.eu-west-1.amazonaws.com/cached/results/661701/result_80369_1677526220_thumb.jpg</t>
  </si>
  <si>
    <t>OBU OBASA SQUARE OSOSA, Polling Unit, ODOGBOLU, Ogun State, Nigeria</t>
  </si>
  <si>
    <t>27-17-07-009</t>
  </si>
  <si>
    <t>MOSLEM PRIMARY SCHOOL, OSOSA</t>
  </si>
  <si>
    <t>https://inec-cvr-cache.s3.eu-west-1.amazonaws.com/cached/results/661702/result_80370_1677527394_thumb.jpg</t>
  </si>
  <si>
    <t>MOSLEM PRIMARY SCHOOL, OSOSA, Polling Unit, ODOGBOLU, Ogun State, Nigeria</t>
  </si>
  <si>
    <t>27-17-07-010</t>
  </si>
  <si>
    <t>OPEN SPACE OKE ESIN SQUARE, OSOSA</t>
  </si>
  <si>
    <t>https://inec-cvr-cache.s3.eu-west-1.amazonaws.com/cached/results/661703/result_80371_1677527224_thumb.jpg</t>
  </si>
  <si>
    <t>OPEN SPACE OKE ESIN SQUARE, OSOSA, Polling Unit, ODOGBOLU, Ogun State, Nigeria</t>
  </si>
  <si>
    <t>27-17-07-011</t>
  </si>
  <si>
    <t>OSALAKOYE SQUARE, OSOSA</t>
  </si>
  <si>
    <t>https://inec-cvr-cache.s3.eu-west-1.amazonaws.com/cached/results/661704/result_80372_1677527029_thumb.jpg</t>
  </si>
  <si>
    <t>OSALAKOYE SQUARE, OSOSA, Polling Unit, ODOGBOLU, Ogun State, Nigeria</t>
  </si>
  <si>
    <t>27-17-07-012</t>
  </si>
  <si>
    <t>POLICE STATION, OSOSA</t>
  </si>
  <si>
    <t>https://inec-cvr-cache.s3.eu-west-1.amazonaws.com/cached/results/661705/result_80373_1677526518_thumb.jpg</t>
  </si>
  <si>
    <t>POLICE STATION, OSOSA, Polling Unit, ODOGBOLU, Ogun State, Nigeria</t>
  </si>
  <si>
    <t>27-17-07-013</t>
  </si>
  <si>
    <t>OPEN SPACE ODOOWA SQUARE, OSOSA</t>
  </si>
  <si>
    <t>https://inec-cvr-cache.s3.eu-west-1.amazonaws.com/cached/results/661706/result_80374_1677525482_thumb.jpg</t>
  </si>
  <si>
    <t>OPEN SPACE ODOOWA SQUARE, OSOSA, Polling Unit, ODOGBOLU, Ogun State, Nigeria</t>
  </si>
  <si>
    <t>27-17-07-014</t>
  </si>
  <si>
    <t>OPEN SPACE OREMEJI CLOSE, OSOSA</t>
  </si>
  <si>
    <t>https://inec-cvr-cache.s3.eu-west-1.amazonaws.com/cached/results/661707/result_80375_1677524650_thumb.jpg</t>
  </si>
  <si>
    <t>OPEN SPACE OREMEJI CLOSE, OSOSA, Polling Unit, ODOGBOLU, Ogun State, Nigeria</t>
  </si>
  <si>
    <t>27-18-02-012</t>
  </si>
  <si>
    <t>L.G SCHOOL MALOFE, ONI</t>
  </si>
  <si>
    <t>https://docs.inecelectionresults.net/elections_prod/1292/state/01/lga/18/ward/02/pu/012/012-1677409736.pdf</t>
  </si>
  <si>
    <t>L.G SCHOOL MALOFE, ONI, Polling Unit, OGUN WATER SIDE, Ogun State, Nigeria</t>
  </si>
  <si>
    <t>27-18-07-012</t>
  </si>
  <si>
    <t>ST. ANDREW'S ANGLICAN PRIMARY SCHOOL, AYEDE</t>
  </si>
  <si>
    <t>https://docs.inecelectionresults.net/elections_prod/1292/state/1/lga/3683/ward/24157/pu/166418/166418-1677514259.pdf</t>
  </si>
  <si>
    <t>ST. ANDREW'S ANGLICAN PRIMARY SCHOOL, AYEDE, Polling Unit, OGUN WATER SIDE, Ogun State, Nigeria</t>
  </si>
  <si>
    <t>27-18-07-014</t>
  </si>
  <si>
    <t>C.M.S SCHOOL  (II), LOMIRO</t>
  </si>
  <si>
    <t>https://docs.inecelectionresults.net/elections_prod/1292/state/1/lga/3683/ward/24157/pu/166420/166420-1677513923.pdf</t>
  </si>
  <si>
    <t>C.M.S SCHOOL  (II), LOMIRO, Polling Unit, OGUN WATER SIDE, Ogun State, Nigeria</t>
  </si>
  <si>
    <t>27-18-01-009</t>
  </si>
  <si>
    <t>ST PETER'S ANGLICAN PRIMARY SCHOOL, IWOPIN</t>
  </si>
  <si>
    <t>https://docs.inecelectionresults.net/elections_prod/1292/state/01/lga/18/ward/01/pu/009/009-1677402753.pdf</t>
  </si>
  <si>
    <t>ST PETER'S ANGLICAN PRIMARY SCHOOL, IWOPIN, Polling Unit, OGUN WATER SIDE, Ogun State, Nigeria</t>
  </si>
  <si>
    <t>27-18-01-011</t>
  </si>
  <si>
    <t>COMMUNITY PRIMARY SCHOOL AIYEGBAMI</t>
  </si>
  <si>
    <t>https://docs.inecelectionresults.net/elections_prod/1292/state/01/lga/18/ward/01/pu/011/011-1677405806.pdf</t>
  </si>
  <si>
    <t>COMMUNITY PRIMARY SCHOOL AIYEGBAMI, Polling Unit, OGUN WATER SIDE, Ogun State, Nigeria</t>
  </si>
  <si>
    <t>27-18-04-016</t>
  </si>
  <si>
    <t>HEALTH CENTRE, AGBURE</t>
  </si>
  <si>
    <t>https://docs.inecelectionresults.net/elections_prod/1292/state/01/lga/18/ward/04/pu/016/016-1677402750.pdf</t>
  </si>
  <si>
    <t>HEALTH CENTRE, AGBURE, Polling Unit, OGUN WATER SIDE, Ogun State, Nigeria</t>
  </si>
  <si>
    <t>27-18-09-012</t>
  </si>
  <si>
    <t>TOWN HALL, IMAKUN</t>
  </si>
  <si>
    <t>https://docs.inecelectionresults.net/elections_prod/1292/state/1/lga/3683/ward/24159/pu/166421/166421-1677584088.pdf</t>
  </si>
  <si>
    <t>TOWN HALL, IMAKUN, Polling Unit, OGUN WATER SIDE, Ogun State, Nigeria</t>
  </si>
  <si>
    <t>27-18-10-010</t>
  </si>
  <si>
    <t>HEALTH CENTRE, ODE-OMI</t>
  </si>
  <si>
    <t>https://docs.inecelectionresults.net/elections_prod/1292/state/01/lga/18/ward/10/pu/010/010-1677377256.pdf</t>
  </si>
  <si>
    <t>HEALTH CENTRE, ODE-OMI, Polling Unit, OGUN WATER SIDE, Ogun State, Nigeria</t>
  </si>
  <si>
    <t>27-18-10-011</t>
  </si>
  <si>
    <t>TOWN HALL, ODE - OMI</t>
  </si>
  <si>
    <t>https://docs.inecelectionresults.net/elections_prod/1292/state/01/lga/18/ward/10/pu/011/011-1677394842.pdf</t>
  </si>
  <si>
    <t>TOWN HALL, ODE - OMI, Polling Unit, OGUN WATER SIDE, Ogun State, Nigeria</t>
  </si>
  <si>
    <t>27-19-01-017</t>
  </si>
  <si>
    <t>OPEN SPACE FRONT OF MATERNITY CENTRE, MADA</t>
  </si>
  <si>
    <t>https://docs.inecelectionresults.net/elections_prod/1292/state/01/lga/19/ward/01/pu/017/017-1677373118.pdf</t>
  </si>
  <si>
    <t>OPEN SPACE FRONT OF MATERNITY CENTRE, MADA, Polling Unit, REMO NORTH, Ogun State, Nigeria</t>
  </si>
  <si>
    <t>27-19-05-007</t>
  </si>
  <si>
    <t>OPEN SPACE FRONT OF MTN MAST, ILARA</t>
  </si>
  <si>
    <t>https://docs.inecelectionresults.net/elections_prod/1292/state/01/lga/19/ward/05/pu/007/007-1677399488.pdf</t>
  </si>
  <si>
    <t>OPEN SPACE FRONT OF MTN MAST, ILARA, Polling Unit, REMO NORTH, Ogun State, Nigeria</t>
  </si>
  <si>
    <t>27-19-05-008</t>
  </si>
  <si>
    <t>OPEN SPACE AT ARAROMI, ILARA</t>
  </si>
  <si>
    <t>https://docs.inecelectionresults.net/elections_prod/1292/state/01/lga/19/ward/05/pu/008/008-1677395416.pdf</t>
  </si>
  <si>
    <t>OPEN SPACE AT ARAROMI, ILARA, Polling Unit, REMO NORTH, Ogun State, Nigeria</t>
  </si>
  <si>
    <t>27-19-05-009</t>
  </si>
  <si>
    <t>OPEN SPACE AT OBAOLUAYE, ILARA</t>
  </si>
  <si>
    <t>https://docs.inecelectionresults.net/elections_prod/1292/state/01/lga/19/ward/05/pu/009/009-1677397252.pdf</t>
  </si>
  <si>
    <t>OPEN SPACE AT OBAOLUAYE, ILARA, Polling Unit, REMO NORTH, Ogun State, Nigeria</t>
  </si>
  <si>
    <t>27-19-07-010</t>
  </si>
  <si>
    <t>COMMUNITY HIGH SCHOOL IPARA</t>
  </si>
  <si>
    <t>https://docs.inecelectionresults.net/elections_prod/1292/state/01/lga/19/ward/07/pu/010/010-1677370984.pdf</t>
  </si>
  <si>
    <t>COMMUNITY HIGH SCHOOL IPARA, Polling Unit, REMO NORTH, Ogun State, Nigeria</t>
  </si>
  <si>
    <t>27-19-03-010</t>
  </si>
  <si>
    <t>L.G SCHOOL AGETA</t>
  </si>
  <si>
    <t>https://docs.inecelectionresults.net/elections_prod/1292/state/01/lga/19/ward/03/pu/010/010-1677396886.pdf</t>
  </si>
  <si>
    <t>L.G SCHOOL AGETA, Polling Unit, REMO NORTH, Ogun State, Nigeria</t>
  </si>
  <si>
    <t>27-19-10-017</t>
  </si>
  <si>
    <t>MUSLIM PRIMARYSCH.OLOMOWEWE ODE</t>
  </si>
  <si>
    <t>https://docs.inecelectionresults.net/elections_prod/1292/state/01/lga/19/ward/10/pu/017/017-1677401424.pdf</t>
  </si>
  <si>
    <t>MUSLIM PRIMARYSCH.OLOMOWEWE ODE, Polling Unit, REMO NORTH, Ogun State, Nigeria</t>
  </si>
  <si>
    <t>27-20-06-009</t>
  </si>
  <si>
    <t>OPEN SPACE @ SABINTU/AJEGUNLE JUNCTION.</t>
  </si>
  <si>
    <t>https://docs.inecelectionresults.net/elections_prod/1292/state/01/lga/20/ward/06/pu/009/009-1677393511.pdf</t>
  </si>
  <si>
    <t>OPEN SPACE @ SABINTU/AJEGUNLE JUNCTION., Polling Unit, SAGAMU, Ogun State, Nigeria</t>
  </si>
  <si>
    <t>27-20-06-010</t>
  </si>
  <si>
    <t>METHODIST COMPHRENSIVE COLLEGE SECOND GATE</t>
  </si>
  <si>
    <t>https://docs.inecelectionresults.net/elections_prod/1292/state/01/lga/20/ward/06/pu/010/010-1677392671.pdf</t>
  </si>
  <si>
    <t>METHODIST COMPHRENSIVE COLLEGE SECOND GATE, Polling Unit, SAGAMU, Ogun State, Nigeria</t>
  </si>
  <si>
    <t>27-20-06-011</t>
  </si>
  <si>
    <t>OPEN SPACE @OYEBAJO/BARUWA JUNCTION</t>
  </si>
  <si>
    <t>https://docs.inecelectionresults.net/elections_prod/1292/state/01/lga/20/ward/06/pu/011/011-1677393217.pdf</t>
  </si>
  <si>
    <t>OPEN SPACE @OYEBAJO/BARUWA JUNCTION, Polling Unit, SAGAMU, Ogun State, Nigeria</t>
  </si>
  <si>
    <t>27-20-06-012</t>
  </si>
  <si>
    <t>OPEN SPACE @ OYEBAJO MIDWAY BY ONIMALE LANE.</t>
  </si>
  <si>
    <t>https://docs.inecelectionresults.net/elections_prod/1292/state/01/lga/20/ward/06/pu/012/012-1677391382.pdf</t>
  </si>
  <si>
    <t>OPEN SPACE @ OYEBAJO MIDWAY BY ONIMALE LANE., Polling Unit, SAGAMU, Ogun State, Nigeria</t>
  </si>
  <si>
    <t>27-20-06-013</t>
  </si>
  <si>
    <t>OPEN SPACE @OWOLEWA JUNCTION.</t>
  </si>
  <si>
    <t>https://docs.inecelectionresults.net/elections_prod/1292/state/01/lga/20/ward/06/pu/013/013-1677390882.pdf</t>
  </si>
  <si>
    <t>OPEN SPACE @OWOLEWA JUNCTION., Polling Unit, SAGAMU, Ogun State, Nigeria</t>
  </si>
  <si>
    <t>27-20-06-014</t>
  </si>
  <si>
    <t>OPEN SPACE AT ITUNOKE ROUNDABOUT</t>
  </si>
  <si>
    <t>https://docs.inecelectionresults.net/elections_prod/1292/state/01/lga/20/ward/06/pu/014/014-1677392417.pdf</t>
  </si>
  <si>
    <t>OPEN SPACE AT ITUNOKE ROUNDABOUT, Polling Unit, SAGAMU, Ogun State, Nigeria</t>
  </si>
  <si>
    <t>27-20-14-016</t>
  </si>
  <si>
    <t>OPEN SPACE @ AJAKA SECOND ROUND ABOUT.</t>
  </si>
  <si>
    <t>https://docs.inecelectionresults.net/elections_prod/1292/state/01/lga/20/ward/14/pu/016/016-1677420898.pdf</t>
  </si>
  <si>
    <t>OPEN SPACE @ AJAKA SECOND ROUND ABOUT., Polling Unit, SAGAMU, Ogun State, Nigeria</t>
  </si>
  <si>
    <t>27-20-14-019</t>
  </si>
  <si>
    <t>OPEN SPACE @ REMO POLY JUNCTION, EWU - OLIWO SAGAMU</t>
  </si>
  <si>
    <t>https://docs.inecelectionresults.net/elections_prod/1292/state/01/lga/20/ward/14/pu/019/019-1677420450.pdf</t>
  </si>
  <si>
    <t>OPEN SPACE @ REMO POLY JUNCTION, EWU - OLIWO SAGAMU, Polling Unit, SAGAMU, Ogun State, Nigeria</t>
  </si>
  <si>
    <t>27-20-14-020</t>
  </si>
  <si>
    <t>ST PAUL SCHOOL ANGLICAN SCHOOL II MAKUN</t>
  </si>
  <si>
    <t>https://docs.inecelectionresults.net/elections_prod/1292/state/01/lga/20/ward/14/pu/020/020-1677421178.pdf</t>
  </si>
  <si>
    <t>ST PAUL SCHOOL ANGLICAN SCHOOL II MAKUN, Polling Unit, SAGAMU, Ogun State, Nigeria</t>
  </si>
  <si>
    <t>27-20-14-021</t>
  </si>
  <si>
    <t>OPEN SPACE AT MULERUWA/KEKEREIFA JUNCTION AGBOWA SAGAMU</t>
  </si>
  <si>
    <t>https://docs.inecelectionresults.net/elections_prod/1292/state/1/lga/3685/ward/24184/pu/166551/166551-1677477904.pdf</t>
  </si>
  <si>
    <t>OPEN SPACE AT MULERUWA/KEKEREIFA JUNCTION AGBOWA SAGAMU, Polling Unit, SAGAMU, Ogun State, Nigeria</t>
  </si>
  <si>
    <t>27-20-14-022</t>
  </si>
  <si>
    <t>OPEN SPACE @ KAJOLA JUNCTION</t>
  </si>
  <si>
    <t>https://docs.inecelectionresults.net/elections_prod/1292/state/1/lga/3685/ward/24184/pu/166552/166552-1677478052.pdf</t>
  </si>
  <si>
    <t>OPEN SPACE @ KAJOLA JUNCTION, Polling Unit, SAGAMU, Ogun State, Nigeria</t>
  </si>
  <si>
    <t>27-20-14-024</t>
  </si>
  <si>
    <t>OPEN SPACE AT OMOBOWALE ELESHI END POWERLINE AJAKA</t>
  </si>
  <si>
    <t>https://docs.inecelectionresults.net/elections_prod/1292/state/01/lga/20/ward/14/pu/024/024-1677416312.pdf</t>
  </si>
  <si>
    <t>OPEN SPACE AT OMOBOWALE ELESHI END POWERLINE AJAKA, Polling Unit, SAGAMU, Ogun State, Nigeria</t>
  </si>
  <si>
    <t>27-20-14-025</t>
  </si>
  <si>
    <t>OPEN SPACE AT DAVID SHOMEFUN GENESIS JUNCTION EWU OLIWO</t>
  </si>
  <si>
    <t>https://docs.inecelectionresults.net/elections_prod/1292/state/01/lga/20/ward/14/pu/025/025-1677416940.pdf</t>
  </si>
  <si>
    <t>OPEN SPACE AT DAVID SHOMEFUN GENESIS JUNCTION EWU OLIWO, Polling Unit, SAGAMU, Ogun State, Nigeria</t>
  </si>
  <si>
    <t>27-20-14-026</t>
  </si>
  <si>
    <t>OTUNBA GBENGA DANIEL MODEL SCHOOL, EWU OLUWO</t>
  </si>
  <si>
    <t>https://docs.inecelectionresults.net/elections_prod/1292/state/01/lga/20/ward/14/pu/026/026-1677417215.pdf</t>
  </si>
  <si>
    <t>OTUNBA GBENGA DANIEL MODEL SCHOOL, EWU OLUWO, Polling Unit, SAGAMU, Ogun State, Nigeria</t>
  </si>
  <si>
    <t>27-20-14-027</t>
  </si>
  <si>
    <t>OPEN SPACE AT ORI-APATA EWU OLIWO</t>
  </si>
  <si>
    <t>https://docs.inecelectionresults.net/elections_prod/1292/state/01/lga/20/ward/14/pu/027/027-1677417396.pdf</t>
  </si>
  <si>
    <t>OPEN SPACE AT ORI-APATA EWU OLIWO, Polling Unit, SAGAMU, Ogun State, Nigeria</t>
  </si>
  <si>
    <t>27-20-14-028</t>
  </si>
  <si>
    <t>OPEN SPACE EWU OLIWO WHITE HOUSE JUNCTION</t>
  </si>
  <si>
    <t>https://docs.inecelectionresults.net/elections_prod/1292/state/01/lga/20/ward/14/pu/028/028-1677417580.pdf</t>
  </si>
  <si>
    <t>OPEN SPACE EWU OLIWO WHITE HOUSE JUNCTION, Polling Unit, SAGAMU, Ogun State, Nigeria</t>
  </si>
  <si>
    <t>27-20-14-029</t>
  </si>
  <si>
    <t>OPEN SPACE END ORI APATA EWO OLUWO</t>
  </si>
  <si>
    <t>https://docs.inecelectionresults.net/elections_prod/1292/state/01/lga/20/ward/14/pu/029/029-1677418602.pdf</t>
  </si>
  <si>
    <t>OPEN SPACE END ORI APATA EWO OLUWO, Polling Unit, SAGAMU, Ogun State, Nigeria</t>
  </si>
  <si>
    <t>27-20-03-010</t>
  </si>
  <si>
    <t>OPEN SPACE JEBE STREET END, AIYEGBAMI</t>
  </si>
  <si>
    <t>https://docs.inecelectionresults.net/elections_prod/1292/state/01/lga/20/ward/03/pu/010/010-1677413399.pdf</t>
  </si>
  <si>
    <t>OPEN SPACE JEBE STREET END, AIYEGBAMI, Polling Unit, SAGAMU, Ogun State, Nigeria</t>
  </si>
  <si>
    <t>27-20-03-011</t>
  </si>
  <si>
    <t>OPEN SPACE BESIDE AKEREDOLU  YOUTH WATER PROJECT, AYEGBAMI</t>
  </si>
  <si>
    <t>https://docs.inecelectionresults.net/elections_prod/1292/state/01/lga/20/ward/03/pu/011/011-1677415226.pdf</t>
  </si>
  <si>
    <t>OPEN SPACE BESIDE AKEREDOLU  YOUTH WATER PROJECT, AYEGBAMI, Polling Unit, SAGAMU, Ogun State, Nigeria</t>
  </si>
  <si>
    <t>27-20-03-012</t>
  </si>
  <si>
    <t>OPEN SPACE BY RAINBOW/OGUNSOLA STREET JUNCTION, EHINGBETI</t>
  </si>
  <si>
    <t>https://docs.inecelectionresults.net/elections_prod/1292/state/01/lga/20/ward/03/pu/012/012-1677406771.pdf</t>
  </si>
  <si>
    <t>OPEN SPACE BY RAINBOW/OGUNSOLA STREET JUNCTION, EHINGBETI, Polling Unit, SAGAMU, Ogun State, Nigeria</t>
  </si>
  <si>
    <t>27-20-03-013</t>
  </si>
  <si>
    <t>AFRICAN CHURCH PRIMARY SCH, APELOGUN SAGAMU</t>
  </si>
  <si>
    <t>https://docs.inecelectionresults.net/elections_prod/1292/state/01/lga/20/ward/03/pu/013/013-1677411004.pdf</t>
  </si>
  <si>
    <t>AFRICAN CHURCH PRIMARY SCH, APELOGUN SAGAMU, Polling Unit, SAGAMU, Ogun State, Nigeria</t>
  </si>
  <si>
    <t>27-20-03-014</t>
  </si>
  <si>
    <t>ST PAUL SCHOOL AIYEPE</t>
  </si>
  <si>
    <t>https://docs.inecelectionresults.net/elections_prod/1292/state/01/lga/20/ward/03/pu/014/014-1677416667.pdf</t>
  </si>
  <si>
    <t>ST PAUL SCHOOL AIYEPE, Polling Unit, SAGAMU, Ogun State, Nigeria</t>
  </si>
  <si>
    <t>27-20-03-015</t>
  </si>
  <si>
    <t>OPEN SPACE AT END BABATUNDE AWOSANYA STREET, AYEGBAMI</t>
  </si>
  <si>
    <t>https://docs.inecelectionresults.net/elections_prod/1292/state/1/lga/3685/ward/24173/pu/166446/166446-1677503881.pdf</t>
  </si>
  <si>
    <t>OPEN SPACE AT END BABATUNDE AWOSANYA STREET, AYEGBAMI, Polling Unit, SAGAMU, Ogun State, Nigeria</t>
  </si>
  <si>
    <t>27-20-15-008</t>
  </si>
  <si>
    <t>TOWN HALL , SAGAMU II</t>
  </si>
  <si>
    <t>https://docs.inecelectionresults.net/elections_prod/1292/state/01/lga/20/ward/15/pu/008/008-1677398403.pdf</t>
  </si>
  <si>
    <t>TOWN HALL , SAGAMU II, Polling Unit, SAGAMU, Ogun State, Nigeria</t>
  </si>
  <si>
    <t>27-20-15-009</t>
  </si>
  <si>
    <t>OPEN SPACE @ ITUN-MODE JUNCTION IBIDO,SAGAMU</t>
  </si>
  <si>
    <t>https://docs.inecelectionresults.net/elections_prod/1292/state/01/lga/20/ward/15/pu/009/009-1677396956.pdf</t>
  </si>
  <si>
    <t>OPEN SPACE @ ITUN-MODE JUNCTION IBIDO,SAGAMU, Polling Unit, SAGAMU, Ogun State, Nigeria</t>
  </si>
  <si>
    <t>27-20-07-009</t>
  </si>
  <si>
    <t>L.G SCHOOL , IJAGBA III</t>
  </si>
  <si>
    <t>https://docs.inecelectionresults.net/elections_prod/1292/state/1/lga/3685/ward/24177/pu/166485/166485-1677528367.pdf</t>
  </si>
  <si>
    <t>L.G SCHOOL , IJAGBA III, Polling Unit, SAGAMU, Ogun State, Nigeria</t>
  </si>
  <si>
    <t>27-20-09-013</t>
  </si>
  <si>
    <t>OPEN SPACE AT OKE-AYO JUNCTION BY WATERBOHOLE</t>
  </si>
  <si>
    <t>https://docs.inecelectionresults.net/elections_prod/1292/state/01/lga/20/ward/09/pu/013/013-1677389490.pdf</t>
  </si>
  <si>
    <t>OPEN SPACE AT OKE-AYO JUNCTION BY WATERBOHOLE, Polling Unit, SAGAMU, Ogun State, Nigeria</t>
  </si>
  <si>
    <t>27-20-09-014</t>
  </si>
  <si>
    <t>OPEN SPACE AT OKESELU BY COMMUNITY WATER BOREHOLE</t>
  </si>
  <si>
    <t>https://docs.inecelectionresults.net/elections_prod/1292/state/01/lga/20/ward/09/pu/014/014-1677375086.pdf</t>
  </si>
  <si>
    <t>OPEN SPACE AT OKESELU BY COMMUNITY WATER BOREHOLE, Polling Unit, SAGAMU, Ogun State, Nigeria</t>
  </si>
  <si>
    <t>27-20-09-015</t>
  </si>
  <si>
    <t>OPEN SPACE AT OKE- AROBI JUNCTION BY TRANSFORMER</t>
  </si>
  <si>
    <t>https://docs.inecelectionresults.net/elections_prod/1292/state/01/lga/20/ward/09/pu/015/015-1677377542.pdf</t>
  </si>
  <si>
    <t>OPEN SPACE AT OKE- AROBI JUNCTION BY TRANSFORMER, Polling Unit, SAGAMU, Ogun State, Nigeria</t>
  </si>
  <si>
    <t>27-20-10-020</t>
  </si>
  <si>
    <t>OPEN SPACE BESIDE TRANSFORMER, ASSOCIATION AVENUE AGODO</t>
  </si>
  <si>
    <t>https://docs.inecelectionresults.net/elections_prod/1292/state/1/lga/3685/ward/24180/pu/166490/166490-1677509915.pdf</t>
  </si>
  <si>
    <t>OPEN SPACE BESIDE TRANSFORMER, ASSOCIATION AVENUE AGODO, Polling Unit, SAGAMU, Ogun State, Nigeria</t>
  </si>
  <si>
    <t>27-20-10-021</t>
  </si>
  <si>
    <t>OPEN SPACE AT ONIBURUKU JUNCTION OPP CDA ELECTRIFICATION PROJECT</t>
  </si>
  <si>
    <t>https://docs.inecelectionresults.net/elections_prod/1292/state/01/lga/20/ward/10/pu/021/021-1677399515.pdf</t>
  </si>
  <si>
    <t>OPEN SPACE AT ONIBURUKU JUNCTION OPP CDA ELECTRIFICATION PROJECT, Polling Unit, SAGAMU, Ogun State, Nigeria</t>
  </si>
  <si>
    <t>27-20-10-023</t>
  </si>
  <si>
    <t>OPEN SPACE @ROUND ABOUT ONIJAGUN, OGIJO</t>
  </si>
  <si>
    <t>https://docs.inecelectionresults.net/elections_prod/1292/state/1/lga/3685/ward/24180/pu/166493/166493-1677514232.pdf</t>
  </si>
  <si>
    <t>OPEN SPACE @ROUND ABOUT ONIJAGUN, OGIJO, Polling Unit, SAGAMU, Ogun State, Nigeria</t>
  </si>
  <si>
    <t>27-20-10-025</t>
  </si>
  <si>
    <t>BESIDE ORIOKUTA PALACE</t>
  </si>
  <si>
    <t>https://docs.inecelectionresults.net/elections_prod/1292/state/01/lga/20/ward/10/pu/025/025-1677359812.pdf</t>
  </si>
  <si>
    <t>BESIDE ORIOKUTA PALACE, Polling Unit, SAGAMU, Ogun State, Nigeria</t>
  </si>
  <si>
    <t>27-20-10-027</t>
  </si>
  <si>
    <t>IMORO OGIJO COMMUNITY PRIMARY SCHOOL, OGIJO</t>
  </si>
  <si>
    <t>https://docs.inecelectionresults.net/elections_prod/1292/state/01/lga/20/ward/10/pu/027/027-1677369393.pdf</t>
  </si>
  <si>
    <t>IMORO OGIJO COMMUNITY PRIMARY SCHOOL, OGIJO, Polling Unit, SAGAMU, Ogun State, Nigeria</t>
  </si>
  <si>
    <t>27-20-10-029</t>
  </si>
  <si>
    <t>OPEN SPACE BESIDE PZ ESTATE TRANSFORMER</t>
  </si>
  <si>
    <t>https://docs.inecelectionresults.net/elections_prod/1292/state/01/lga/20/ward/10/pu/029/029-1677374733.pdf</t>
  </si>
  <si>
    <t>OPEN SPACE BESIDE PZ ESTATE TRANSFORMER, Polling Unit, SAGAMU, Ogun State, Nigeria</t>
  </si>
  <si>
    <t>27-20-10-030</t>
  </si>
  <si>
    <t>AROGUNRE-MELUFEN JUNCTION BESIDE TRANSFORMER, MELUFEN</t>
  </si>
  <si>
    <t>https://inec-cvr-cache.s3.eu-west-1.amazonaws.com/cached/results/661773/result_80905_1677518282_thumb.jpg</t>
  </si>
  <si>
    <t>AROGUNRE-MELUFEN JUNCTION BESIDE TRANSFORMER, MELUFEN, Polling Unit, SAGAMU, Ogun State, Nigeria</t>
  </si>
  <si>
    <t>27-20-10-032</t>
  </si>
  <si>
    <t>OGIJO COMMUNITY HIGH SCHOOL, OGIJO</t>
  </si>
  <si>
    <t>https://docs.inecelectionresults.net/elections_prod/1292/state/01/lga/20/ward/10/pu/032/032-1677359998.pdf</t>
  </si>
  <si>
    <t>OGIJO COMMUNITY HIGH SCHOOL, OGIJO, Polling Unit, SAGAMU, Ogun State, Nigeria</t>
  </si>
  <si>
    <t>27-20-10-033</t>
  </si>
  <si>
    <t>HALEN JUNCTION NASFAT OGIJO</t>
  </si>
  <si>
    <t>https://docs.inecelectionresults.net/elections_prod/1292/state/01/lga/20/ward/10/pu/033/033-1677358946.pdf</t>
  </si>
  <si>
    <t>HALEN JUNCTION NASFAT OGIJO, Polling Unit, SAGAMU, Ogun State, Nigeria</t>
  </si>
  <si>
    <t>27-20-10-034</t>
  </si>
  <si>
    <t>ONAFOWOKAN ESTATE ITAOLIWO(OGIJO)</t>
  </si>
  <si>
    <t>https://docs.inecelectionresults.net/elections_prod/1292/state/1/lga/3685/ward/24180/pu/166504/166504-1677514002.pdf</t>
  </si>
  <si>
    <t>ONAFOWOKAN ESTATE ITAOLIWO(OGIJO), Polling Unit, SAGAMU, Ogun State, Nigeria</t>
  </si>
  <si>
    <t>27-20-10-036</t>
  </si>
  <si>
    <t>OPEN SPACE AT MIRACLE JUNCTION OPP COMMUNICATION MAST</t>
  </si>
  <si>
    <t>https://docs.inecelectionresults.net/elections_prod/1292/state/01/lga/20/ward/10/pu/036/036-1677373250.pdf</t>
  </si>
  <si>
    <t>OPEN SPACE AT MIRACLE JUNCTION OPP COMMUNICATION MAST, Polling Unit, SAGAMU, Ogun State, Nigeria</t>
  </si>
  <si>
    <t>27-20-10-037</t>
  </si>
  <si>
    <t>OPEN SPACE OKE OKO GAS LINE</t>
  </si>
  <si>
    <t>https://docs.inecelectionresults.net/elections_prod/1292/state/01/lga/20/ward/10/pu/037/037-1677361655.pdf</t>
  </si>
  <si>
    <t>OPEN SPACE OKE OKO GAS LINE, Polling Unit, SAGAMU, Ogun State, Nigeria</t>
  </si>
  <si>
    <t>27-20-10-038</t>
  </si>
  <si>
    <t>OPEN SPACE @ POWERLINE JUNCTION PHONIX, OGIJO</t>
  </si>
  <si>
    <t>https://docs.inecelectionresults.net/elections_prod/1292/state/01/lga/20/ward/10/pu/038/038-1677361142.pdf</t>
  </si>
  <si>
    <t>OPEN SPACE @ POWERLINE JUNCTION PHONIX, OGIJO, Polling Unit, SAGAMU, Ogun State, Nigeria</t>
  </si>
  <si>
    <t>27-20-10-039</t>
  </si>
  <si>
    <t>OPEN SPACE @ ITA - SANNI BUS STOP, OGIJO</t>
  </si>
  <si>
    <t>https://docs.inecelectionresults.net/elections_prod/1292/state/01/lga/20/ward/10/pu/039/039-1677372920.pdf</t>
  </si>
  <si>
    <t>OPEN SPACE @ ITA - SANNI BUS STOP, OGIJO, Polling Unit, SAGAMU, Ogun State, Nigeria</t>
  </si>
  <si>
    <t>27-20-10-040</t>
  </si>
  <si>
    <t>OLOORODE MARKET, ERIYO-AGA OPP NNPC GASLINE</t>
  </si>
  <si>
    <t>https://docs.inecelectionresults.net/elections_prod/1292/state/01/lga/20/ward/10/pu/040/040-1677361931.pdf</t>
  </si>
  <si>
    <t>OLOORODE MARKET, ERIYO-AGA OPP NNPC GASLINE, Polling Unit, SAGAMU, Ogun State, Nigeria</t>
  </si>
  <si>
    <t>27-20-10-041</t>
  </si>
  <si>
    <t>OPEN SPACE AT ORI OKE JUNCTION, BESIDE TRANSFORMER, ERIYO</t>
  </si>
  <si>
    <t>https://docs.inecelectionresults.net/elections_prod/1292/state/01/lga/20/ward/10/pu/041/041-1677359070.pdf</t>
  </si>
  <si>
    <t>OPEN SPACE AT ORI OKE JUNCTION, BESIDE TRANSFORMER, ERIYO, Polling Unit, SAGAMU, Ogun State, Nigeria</t>
  </si>
  <si>
    <t>27-20-10-042</t>
  </si>
  <si>
    <t>OPEN SPACE @ ARIGBABU JUNCTION, MOSINMI</t>
  </si>
  <si>
    <t>https://docs.inecelectionresults.net/elections_prod/1292/state/01/lga/20/ward/10/pu/042/042-1677358703.pdf</t>
  </si>
  <si>
    <t>OPEN SPACE @ ARIGBABU JUNCTION, MOSINMI, Polling Unit, SAGAMU, Ogun State, Nigeria</t>
  </si>
  <si>
    <t>27-20-10-043</t>
  </si>
  <si>
    <t>MAGBON ELEPETE JUNCTION</t>
  </si>
  <si>
    <t>https://docs.inecelectionresults.net/elections_prod/1292/state/01/lga/20/ward/10/pu/043/043-1677358815.pdf</t>
  </si>
  <si>
    <t>MAGBON ELEPETE JUNCTION, Polling Unit, SAGAMU, Ogun State, Nigeria</t>
  </si>
  <si>
    <t>27-20-10-044</t>
  </si>
  <si>
    <t>EREKO JUNCTION OGIJO</t>
  </si>
  <si>
    <t>https://docs.inecelectionresults.net/elections_prod/1292/state/01/lga/20/ward/10/pu/044/044-1677362229.pdf</t>
  </si>
  <si>
    <t>EREKO JUNCTION OGIJO, Polling Unit, SAGAMU, Ogun State, Nigeria</t>
  </si>
  <si>
    <t>27-20-10-045</t>
  </si>
  <si>
    <t>IJAGBA COMMUNITY HIGH SCHOOL, SOTUNBO</t>
  </si>
  <si>
    <t>https://docs.inecelectionresults.net/elections_prod/1292/state/01/lga/20/ward/10/pu/045/045-1677362986.pdf</t>
  </si>
  <si>
    <t>IJAGBA COMMUNITY HIGH SCHOOL, SOTUNBO, Polling Unit, SAGAMU, Ogun State, Nigeria</t>
  </si>
  <si>
    <t>27-20-10-046</t>
  </si>
  <si>
    <t>OPEN SPACE @ OLUWASEYI SQUARE, POWERLINE EYITA-MORO ODO KEKERE</t>
  </si>
  <si>
    <t>https://docs.inecelectionresults.net/elections_prod/1292/state/01/lga/20/ward/10/pu/046/046-1677359050.pdf</t>
  </si>
  <si>
    <t>OPEN SPACE @ OLUWASEYI SQUARE, POWERLINE EYITA-MORO ODO KEKERE, Polling Unit, SAGAMU, Ogun State, Nigeria</t>
  </si>
  <si>
    <t>27-20-10-047</t>
  </si>
  <si>
    <t>OPEN SPACE @ MALATORI JUNCTION, OGIJO</t>
  </si>
  <si>
    <t>https://docs.inecelectionresults.net/elections_prod/1292/state/01/lga/20/ward/10/pu/047/047-1677359040.pdf</t>
  </si>
  <si>
    <t>OPEN SPACE @ MALATORI JUNCTION, OGIJO, Polling Unit, SAGAMU, Ogun State, Nigeria</t>
  </si>
  <si>
    <t>27-20-10-048</t>
  </si>
  <si>
    <t>OPEN SPACE AT MOSHOOD ODUNSI-ALH IMAM YUNUS JUNCTION, ALASE</t>
  </si>
  <si>
    <t>https://docs.inecelectionresults.net/elections_prod/1292/state/01/lga/20/ward/10/pu/048/048-1677358548.pdf</t>
  </si>
  <si>
    <t>OPEN SPACE AT MOSHOOD ODUNSI-ALH IMAM YUNUS JUNCTION, ALASE, Polling Unit, SAGAMU, Ogun State, Nigeria</t>
  </si>
  <si>
    <t>27-20-10-050</t>
  </si>
  <si>
    <t>OPEN SPACE @ LIKOSI MARKET</t>
  </si>
  <si>
    <t>https://docs.inecelectionresults.net/elections_prod/1292/state/01/lga/20/ward/10/pu/050/050-1677376616.pdf</t>
  </si>
  <si>
    <t>OPEN SPACE @ LIKOSI MARKET, Polling Unit, SAGAMU, Ogun State, Nigeria</t>
  </si>
  <si>
    <t>27-20-10-051</t>
  </si>
  <si>
    <t>OPEN SPACE @ IYANA TIPPER JUNCTION, EWU-OLOJA</t>
  </si>
  <si>
    <t>https://docs.inecelectionresults.net/elections_prod/1292/state/01/lga/20/ward/10/pu/051/051-1677358576.pdf</t>
  </si>
  <si>
    <t>OPEN SPACE @ IYANA TIPPER JUNCTION, EWU-OLOJA, Polling Unit, SAGAMU, Ogun State, Nigeria</t>
  </si>
  <si>
    <t>27-20-10-052</t>
  </si>
  <si>
    <t>OPEN SPACE @ LIKOSI OLD SOLDIER BUS STOP, GOD PASS THEM DEJUWOGBO, POWERLINE.</t>
  </si>
  <si>
    <t>https://docs.inecelectionresults.net/elections_prod/1292/state/01/lga/20/ward/10/pu/052/052-1677376177.pdf</t>
  </si>
  <si>
    <t>OPEN SPACE @ LIKOSI OLD SOLDIER BUS STOP, GOD PASS THEM DEJUWOGBO, POWERLINE., Polling Unit, SAGAMU, Ogun State, Nigeria</t>
  </si>
  <si>
    <t>27-20-10-053</t>
  </si>
  <si>
    <t>OPEN SPACE @ ILARA JUNCTION, OGIJO</t>
  </si>
  <si>
    <t>https://docs.inecelectionresults.net/elections_prod/1292/state/01/lga/20/ward/10/pu/053/053-1677361299.pdf</t>
  </si>
  <si>
    <t>OPEN SPACE @ ILARA JUNCTION, OGIJO, Polling Unit, SAGAMU, Ogun State, Nigeria</t>
  </si>
  <si>
    <t>27-20-10-054</t>
  </si>
  <si>
    <t>OPEN SPACE @ OKE - OKO/OGEDE SQUARE, BESIDE TRANSFORMER, OGIJO</t>
  </si>
  <si>
    <t>https://docs.inecelectionresults.net/elections_prod/1292/state/01/lga/20/ward/10/pu/054/054-1677379170.pdf</t>
  </si>
  <si>
    <t>OPEN SPACE @ OKE - OKO/OGEDE SQUARE, BESIDE TRANSFORMER, OGIJO, Polling Unit, SAGAMU, Ogun State, Nigeria</t>
  </si>
  <si>
    <t>27-20-01-008</t>
  </si>
  <si>
    <t>OPEN SPACE @ ARAROMI JUNCTION PHASE 1, ALONG SAGAMU-IKENNE ROAD</t>
  </si>
  <si>
    <t>https://docs.inecelectionresults.net/elections_prod/1292/state/1/lga/3685/ward/24171/pu/166431/166431-1677500048.pdf</t>
  </si>
  <si>
    <t>OPEN SPACE @ ARAROMI JUNCTION PHASE 1, ALONG SAGAMU-IKENNE ROAD, Polling Unit, SAGAMU, Ogun State, Nigeria</t>
  </si>
  <si>
    <t>27-20-01-009</t>
  </si>
  <si>
    <t>OPEN SPACE @ ORIJE JUNCTION, HARMONY JOINT COMMUNITY, SAGAMU-IKENNE ROAD</t>
  </si>
  <si>
    <t>https://docs.inecelectionresults.net/elections_prod/1292/state/1/lga/3685/ward/24171/pu/166432/166432-1677498328.pdf</t>
  </si>
  <si>
    <t>OPEN SPACE @ ORIJE JUNCTION, HARMONY JOINT COMMUNITY, SAGAMU-IKENNE ROAD, Polling Unit, SAGAMU, Ogun State, Nigeria</t>
  </si>
  <si>
    <t>27-20-01-010</t>
  </si>
  <si>
    <t>REMO SECONDARY SCHOOL, SAGAMU</t>
  </si>
  <si>
    <t>https://docs.inecelectionresults.net/elections_prod/1292/state/1/lga/3685/ward/24171/pu/166433/166433-1677494307.pdf</t>
  </si>
  <si>
    <t>REMO SECONDARY SCHOOL, SAGAMU, Polling Unit, SAGAMU, Ogun State, Nigeria</t>
  </si>
  <si>
    <t>27-20-01-011</t>
  </si>
  <si>
    <t>OPEN SPACE @ARAROMI PHASE II ORION ACADEMY</t>
  </si>
  <si>
    <t>https://docs.inecelectionresults.net/elections_prod/1292/state/1/lga/3685/ward/24171/pu/166434/166434-1677494287.pdf</t>
  </si>
  <si>
    <t>OPEN SPACE @ARAROMI PHASE II ORION ACADEMY, Polling Unit, SAGAMU, Ogun State, Nigeria</t>
  </si>
  <si>
    <t>27-20-02-013</t>
  </si>
  <si>
    <t>OPEN SPACE AT ADIEWOCOAT-BAKARE JUNCTION</t>
  </si>
  <si>
    <t>https://docs.inecelectionresults.net/elections_prod/1292/state/01/lga/20/ward/02/pu/013/013-1677365747.pdf</t>
  </si>
  <si>
    <t>OPEN SPACE AT ADIEWOCOAT-BAKARE JUNCTION, Polling Unit, SAGAMU, Ogun State, Nigeria</t>
  </si>
  <si>
    <t>27-20-02-014</t>
  </si>
  <si>
    <t>OPEN SPACE BESIDE AIYEPE POLICE  STATION, SAKURA</t>
  </si>
  <si>
    <t>https://docs.inecelectionresults.net/elections_prod/1292/state/01/lga/20/ward/02/pu/014/014-1677360721.pdf</t>
  </si>
  <si>
    <t>OPEN SPACE BESIDE AIYEPE POLICE  STATION, SAKURA, Polling Unit, SAGAMU, Ogun State, Nigeria</t>
  </si>
  <si>
    <t>27-20-02-015</t>
  </si>
  <si>
    <t>OPEN SPACE AT SOLA SOBOWALE JUNCTION BESIDE TRANSFORMER</t>
  </si>
  <si>
    <t>https://docs.inecelectionresults.net/elections_prod/1292/state/01/lga/20/ward/02/pu/015/015-1677364256.pdf</t>
  </si>
  <si>
    <t>OPEN SPACE AT SOLA SOBOWALE JUNCTION BESIDE TRANSFORMER, Polling Unit, SAGAMU, Ogun State, Nigeria</t>
  </si>
  <si>
    <t>27-20-02-017</t>
  </si>
  <si>
    <t>OPEN SPACE AIYEPE JUNCTION</t>
  </si>
  <si>
    <t>https://docs.inecelectionresults.net/elections_prod/1292/state/01/lga/20/ward/02/pu/017/017-1677359209.pdf</t>
  </si>
  <si>
    <t>OPEN SPACE AIYEPE JUNCTION, Polling Unit, SAGAMU, Ogun State, Nigeria</t>
  </si>
  <si>
    <t>27-20-04-017</t>
  </si>
  <si>
    <t>OPEN SPACE @ KAWEFUNMI JUNCTION, GRA QUARTERS</t>
  </si>
  <si>
    <t>https://docs.inecelectionresults.net/elections_prod/1292/state/1/lga/3685/ward/24174/pu/166447/166447-1677526511.pdf</t>
  </si>
  <si>
    <t>OPEN SPACE @ KAWEFUNMI JUNCTION, GRA QUARTERS, Polling Unit, SAGAMU, Ogun State, Nigeria</t>
  </si>
  <si>
    <t>27-20-04-019</t>
  </si>
  <si>
    <t>OPEN SPACE @ SABO GRA HEALTH CENTRE</t>
  </si>
  <si>
    <t>https://docs.inecelectionresults.net/elections_prod/1292/state/1/lga/3685/ward/24174/pu/166449/166449-1677528494.pdf</t>
  </si>
  <si>
    <t>OPEN SPACE @ SABO GRA HEALTH CENTRE, Polling Unit, SAGAMU, Ogun State, Nigeria</t>
  </si>
  <si>
    <t>27-20-04-021</t>
  </si>
  <si>
    <t>OPEN SPACE @ ADEMOSU STREET, BESIDE COMMUNICATION MAST, SABO</t>
  </si>
  <si>
    <t>https://docs.inecelectionresults.net/elections_prod/1292/state/01/lga/20/ward/04/pu/021/021-1677402027.pdf</t>
  </si>
  <si>
    <t>OPEN SPACE @ ADEMOSU STREET, BESIDE COMMUNICATION MAST, SABO, Polling Unit, SAGAMU, Ogun State, Nigeria</t>
  </si>
  <si>
    <t>27-20-04-023</t>
  </si>
  <si>
    <t>OPEN SPACE @ KAARA TRAILER PARK II, AKARIGBO ROAD</t>
  </si>
  <si>
    <t>https://docs.inecelectionresults.net/elections_prod/1292/state/1/lga/3685/ward/24174/pu/166453/166453-1677527785.pdf</t>
  </si>
  <si>
    <t>OPEN SPACE @ KAARA TRAILER PARK II, AKARIGBO ROAD, Polling Unit, SAGAMU, Ogun State, Nigeria</t>
  </si>
  <si>
    <t>27-20-04-024</t>
  </si>
  <si>
    <t>OPEN SPACE @ BISUGA JUNCTION BESIDE TRANSFORMER</t>
  </si>
  <si>
    <t>https://docs.inecelectionresults.net/elections_prod/1292/state/1/lga/3685/ward/24174/pu/166454/166454-1677524256.pdf</t>
  </si>
  <si>
    <t>OPEN SPACE @ BISUGA JUNCTION BESIDE TRANSFORMER, Polling Unit, SAGAMU, Ogun State, Nigeria</t>
  </si>
  <si>
    <t>27-20-04-025</t>
  </si>
  <si>
    <t>OPEN SPACE @ NELSON OGUNLESI, SABO</t>
  </si>
  <si>
    <t>https://docs.inecelectionresults.net/elections_prod/1292/state/01/lga/20/ward/04/pu/025/025-1677401472.pdf</t>
  </si>
  <si>
    <t>OPEN SPACE @ NELSON OGUNLESI, SABO, Polling Unit, SAGAMU, Ogun State, Nigeria</t>
  </si>
  <si>
    <t>27-20-04-026</t>
  </si>
  <si>
    <t>INFRONT OF WAPCO SECOND GATE,POWERLINE</t>
  </si>
  <si>
    <t>https://docs.inecelectionresults.net/elections_prod/1292/state/1/lga/3685/ward/24174/pu/166456/166456-1677524775.pdf</t>
  </si>
  <si>
    <t>INFRONT OF WAPCO SECOND GATE,POWERLINE, Polling Unit, SAGAMU, Ogun State, Nigeria</t>
  </si>
  <si>
    <t>27-20-04-027</t>
  </si>
  <si>
    <t>OPEN SPACE @ SABITU JUNCTION,SABO</t>
  </si>
  <si>
    <t>https://docs.inecelectionresults.net/elections_prod/1292/state/1/lga/3685/ward/24174/pu/166457/166457-1677527966.pdf</t>
  </si>
  <si>
    <t>OPEN SPACE @ SABITU JUNCTION,SABO, Polling Unit, SAGAMU, Ogun State, Nigeria</t>
  </si>
  <si>
    <t>27-20-04-028</t>
  </si>
  <si>
    <t>OPEN  SPACE @ ADENUSI STREET SABO</t>
  </si>
  <si>
    <t>https://docs.inecelectionresults.net/elections_prod/1292/state/01/lga/20/ward/04/pu/028/028-1677405100.pdf</t>
  </si>
  <si>
    <t>OPEN  SPACE @ ADENUSI STREET SABO, Polling Unit, SAGAMU, Ogun State, Nigeria</t>
  </si>
  <si>
    <t>27-20-04-029</t>
  </si>
  <si>
    <t>OPEN SPACE AT AWOFALA STREET OKE ODO SABO</t>
  </si>
  <si>
    <t>https://docs.inecelectionresults.net/elections_prod/1292/state/1/lga/3685/ward/24174/pu/166459/166459-1677525923.pdf</t>
  </si>
  <si>
    <t>OPEN SPACE AT AWOFALA STREET OKE ODO SABO, Polling Unit, SAGAMU, Ogun State, Nigeria</t>
  </si>
  <si>
    <t>27-20-04-030</t>
  </si>
  <si>
    <t>OPEN SPACE OPPOSITE GRA QUARTERS</t>
  </si>
  <si>
    <t>https://docs.inecelectionresults.net/elections_prod/1292/state/1/lga/3685/ward/24174/pu/166460/166460-1677532434.pdf</t>
  </si>
  <si>
    <t>OPEN SPACE OPPOSITE GRA QUARTERS, Polling Unit, SAGAMU, Ogun State, Nigeria</t>
  </si>
  <si>
    <t>27-20-04-031</t>
  </si>
  <si>
    <t>OPEN SPACE ALAUSA JUNCTION ISOSO GRA PHASE I</t>
  </si>
  <si>
    <t>https://docs.inecelectionresults.net/elections_prod/1292/state/01/lga/20/ward/04/pu/031/031-1677399925.pdf</t>
  </si>
  <si>
    <t>OPEN SPACE ALAUSA JUNCTION ISOSO GRA PHASE I, Polling Unit, SAGAMU, Ogun State, Nigeria</t>
  </si>
  <si>
    <t>27-20-04-032</t>
  </si>
  <si>
    <t>OPEN SPACE OBAFEMI AWOLOWO AV,GRA PHASE I</t>
  </si>
  <si>
    <t>https://docs.inecelectionresults.net/elections_prod/1292/state/01/lga/20/ward/04/pu/032/032-1677404239.pdf</t>
  </si>
  <si>
    <t>OPEN SPACE OBAFEMI AWOLOWO AV,GRA PHASE I, Polling Unit, SAGAMU, Ogun State, Nigeria</t>
  </si>
  <si>
    <t>27-20-04-033</t>
  </si>
  <si>
    <t>OPEN SPACE @AWOFELA STR,SABO</t>
  </si>
  <si>
    <t>https://docs.inecelectionresults.net/elections_prod/1292/state/01/lga/20/ward/04/pu/033/033-1677402802.pdf</t>
  </si>
  <si>
    <t>OPEN SPACE @AWOFELA STR,SABO, Polling Unit, SAGAMU, Ogun State, Nigeria</t>
  </si>
  <si>
    <t>27-20-04-034</t>
  </si>
  <si>
    <t>OPEN SPACE @OLODO ROUNDABOUT SABO END</t>
  </si>
  <si>
    <t>https://docs.inecelectionresults.net/elections_prod/1292/state/01/lga/20/ward/04/pu/034/034-1677403329.pdf</t>
  </si>
  <si>
    <t>OPEN SPACE @OLODO ROUNDABOUT SABO END, Polling Unit, SAGAMU, Ogun State, Nigeria</t>
  </si>
  <si>
    <t>27-20-05-017</t>
  </si>
  <si>
    <t>OPEN SPACE AT LAGA JUNCTION, SABO</t>
  </si>
  <si>
    <t>https://docs.inecelectionresults.net/elections_prod/1292/state/01/lga/20/ward/05/pu/017/017-1677402833.pdf</t>
  </si>
  <si>
    <t>OPEN SPACE AT LAGA JUNCTION, SABO, Polling Unit, SAGAMU, Ogun State, Nigeria</t>
  </si>
  <si>
    <t>27-20-05-018</t>
  </si>
  <si>
    <t>OPEN SPACE AT OKO IGBO JUNCTION, ABIJAWUTA, ATOYO BESIDE TRANSFORMER</t>
  </si>
  <si>
    <t>https://docs.inecelectionresults.net/elections_prod/1292/state/01/lga/20/ward/05/pu/018/018-1677400632.pdf</t>
  </si>
  <si>
    <t>OPEN SPACE AT OKO IGBO JUNCTION, ABIJAWUTA, ATOYO BESIDE TRANSFORMER, Polling Unit, SAGAMU, Ogun State, Nigeria</t>
  </si>
  <si>
    <t>27-20-05-019</t>
  </si>
  <si>
    <t>OPEN SPACE AT ONIKOYI ROUND ABOUT, SABO</t>
  </si>
  <si>
    <t>https://docs.inecelectionresults.net/elections_prod/1292/state/01/lga/20/ward/05/pu/019/019-1677404537.pdf</t>
  </si>
  <si>
    <t>OPEN SPACE AT ONIKOYI ROUND ABOUT, SABO, Polling Unit, SAGAMU, Ogun State, Nigeria</t>
  </si>
  <si>
    <t>27-20-05-020</t>
  </si>
  <si>
    <t>OPEN SPACE AT HAPPY DAY JUNCTION, SABO</t>
  </si>
  <si>
    <t>https://docs.inecelectionresults.net/elections_prod/1292/state/01/lga/20/ward/05/pu/020/020-1677403376.pdf</t>
  </si>
  <si>
    <t>OPEN SPACE AT HAPPY DAY JUNCTION, SABO, Polling Unit, SAGAMU, Ogun State, Nigeria</t>
  </si>
  <si>
    <t>27-20-05-022</t>
  </si>
  <si>
    <t>OPEN SPACE ITA MERIN COMMUNITY HALL</t>
  </si>
  <si>
    <t>https://docs.inecelectionresults.net/elections_prod/1292/state/01/lga/20/ward/05/pu/022/022-1677403922.pdf</t>
  </si>
  <si>
    <t>OPEN SPACE ITA MERIN COMMUNITY HALL, Polling Unit, SAGAMU, Ogun State, Nigeria</t>
  </si>
  <si>
    <t>27-20-05-023</t>
  </si>
  <si>
    <t>OPEN SPACE AT AYODELE JUNCTION OPP TRANSFORMER, IBELEFUN ADEBOKU</t>
  </si>
  <si>
    <t>https://docs.inecelectionresults.net/elections_prod/1292/state/01/lga/20/ward/05/pu/023/023-1677402722.pdf</t>
  </si>
  <si>
    <t>OPEN SPACE AT AYODELE JUNCTION OPP TRANSFORMER, IBELEFUN ADEBOKU, Polling Unit, SAGAMU, Ogun State, Nigeria</t>
  </si>
  <si>
    <t>27-20-05-024</t>
  </si>
  <si>
    <t>OPEN SPACE @ HEALTH  CENTRE JUNCTION, POWERLINE ARUBA</t>
  </si>
  <si>
    <t>https://docs.inecelectionresults.net/elections_prod/1292/state/01/lga/20/ward/05/pu/024/024-1677404636.pdf</t>
  </si>
  <si>
    <t>OPEN SPACE @ HEALTH  CENTRE JUNCTION, POWERLINE ARUBA, Polling Unit, SAGAMU, Ogun State, Nigeria</t>
  </si>
  <si>
    <t>27-20-05-025</t>
  </si>
  <si>
    <t>OPEN SPACE @ CEMENTRY JUNCTION, ATOYO</t>
  </si>
  <si>
    <t>https://docs.inecelectionresults.net/elections_prod/1292/state/01/lga/20/ward/05/pu/025/025-1677403000.pdf</t>
  </si>
  <si>
    <t>OPEN SPACE @ CEMENTRY JUNCTION, ATOYO, Polling Unit, SAGAMU, Ogun State, Nigeria</t>
  </si>
  <si>
    <t>27-20-05-026</t>
  </si>
  <si>
    <t>OPEN SPACE @OGINNI COMMUNITY (PROPOSED HEALTH CENTRE)</t>
  </si>
  <si>
    <t>https://docs.inecelectionresults.net/elections_prod/1292/state/01/lga/20/ward/05/pu/026/026-1677399779.pdf</t>
  </si>
  <si>
    <t>OPEN SPACE @OGINNI COMMUNITY (PROPOSED HEALTH CENTRE), Polling Unit, SAGAMU, Ogun State, Nigeria</t>
  </si>
  <si>
    <t>27-20-05-027</t>
  </si>
  <si>
    <t>OPEN SPACE @ ATOYO EGBE - ISOPO BESIDE TRANSFORMER</t>
  </si>
  <si>
    <t>https://docs.inecelectionresults.net/elections_prod/1292/state/01/lga/20/ward/05/pu/027/027-1677401354.pdf</t>
  </si>
  <si>
    <t>OPEN SPACE @ ATOYO EGBE - ISOPO BESIDE TRANSFORMER, Polling Unit, SAGAMU, Ogun State, Nigeria</t>
  </si>
  <si>
    <t>27-20-05-028</t>
  </si>
  <si>
    <t>OPEN  SPACE @ MARKET SQUARE,  IBELEFUN SIMPATA, ALONG ODE - LEMO ROAD</t>
  </si>
  <si>
    <t>https://docs.inecelectionresults.net/elections_prod/1292/state/01/lga/20/ward/05/pu/028/028-1677405471.pdf</t>
  </si>
  <si>
    <t>OPEN  SPACE @ MARKET SQUARE,  IBELEFUN SIMPATA, ALONG ODE - LEMO ROAD, Polling Unit, SAGAMU, Ogun State, Nigeria</t>
  </si>
  <si>
    <t>27-20-05-029</t>
  </si>
  <si>
    <t>OPEN SPACE AT ELEYOWO MARKET, ELEYOWO</t>
  </si>
  <si>
    <t>https://docs.inecelectionresults.net/elections_prod/1292/state/01/lga/20/ward/05/pu/029/029-1677404048.pdf</t>
  </si>
  <si>
    <t>OPEN SPACE AT ELEYOWO MARKET, ELEYOWO, Polling Unit, SAGAMU, Ogun State, Nigeria</t>
  </si>
  <si>
    <t>27-20-05-030</t>
  </si>
  <si>
    <t>OPEN SPACE AT ONIGBALE END, SABO</t>
  </si>
  <si>
    <t>https://docs.inecelectionresults.net/elections_prod/1292/state/01/lga/20/ward/05/pu/030/030-1677406462.pdf</t>
  </si>
  <si>
    <t>OPEN SPACE AT ONIGBALE END, SABO, Polling Unit, SAGAMU, Ogun State, Nigeria</t>
  </si>
  <si>
    <t>27-20-13-017</t>
  </si>
  <si>
    <t>OPEN SPACE AT OBADORE MARKET SIMAWA</t>
  </si>
  <si>
    <t>https://docs.inecelectionresults.net/elections_prod/1292/state/01/lga/20/ward/13/pu/017/017-1677406324.pdf</t>
  </si>
  <si>
    <t>OPEN SPACE AT OBADORE MARKET SIMAWA, Polling Unit, SAGAMU, Ogun State, Nigeria</t>
  </si>
  <si>
    <t>27-20-13-018</t>
  </si>
  <si>
    <t>COMMUNITY SQUARE IGBO-IWAJU VILLAGE SIMAWA</t>
  </si>
  <si>
    <t>https://docs.inecelectionresults.net/elections_prod/1292/state/01/lga/20/ward/13/pu/018/018-1677401508.pdf</t>
  </si>
  <si>
    <t>COMMUNITY SQUARE IGBO-IWAJU VILLAGE SIMAWA, Polling Unit, SAGAMU, Ogun State, Nigeria</t>
  </si>
  <si>
    <t>27-20-13-019</t>
  </si>
  <si>
    <t>OPEN SPACE AT COMMUNITY HALL IGBEPA</t>
  </si>
  <si>
    <t>https://docs.inecelectionresults.net/elections_prod/1292/state/01/lga/20/ward/13/pu/019/019-1677403735.pdf</t>
  </si>
  <si>
    <t>OPEN SPACE AT COMMUNITY HALL IGBEPA, Polling Unit, SAGAMU, Ogun State, Nigeria</t>
  </si>
  <si>
    <t>27-20-13-021</t>
  </si>
  <si>
    <t>OPEN SPACE EWU OLOJA  JUNCTION SIMAWA</t>
  </si>
  <si>
    <t>https://docs.inecelectionresults.net/elections_prod/1292/state/01/lga/20/ward/13/pu/021/021-1677404944.pdf</t>
  </si>
  <si>
    <t>OPEN SPACE EWU OLOJA  JUNCTION SIMAWA, Polling Unit, SAGAMU, Ogun State, Nigeria</t>
  </si>
  <si>
    <t>27-20-13-022</t>
  </si>
  <si>
    <t>OPEN SPACE IPA/SOSO JUNCTION SIMAWA</t>
  </si>
  <si>
    <t>https://docs.inecelectionresults.net/elections_prod/1292/state/01/lga/20/ward/13/pu/022/022-1677400832.pdf</t>
  </si>
  <si>
    <t>OPEN SPACE IPA/SOSO JUNCTION SIMAWA, Polling Unit, SAGAMU, Ogun State, Nigeria</t>
  </si>
  <si>
    <t>27-20-13-023</t>
  </si>
  <si>
    <t>OPEN SPACE@APPLE TEE JUNCTION APELE MAKUN SAGAMU</t>
  </si>
  <si>
    <t>https://docs.inecelectionresults.net/elections_prod/1292/state/01/lga/20/ward/13/pu/023/023-1677406498.pdf</t>
  </si>
  <si>
    <t>OPEN SPACE@APPLE TEE JUNCTION APELE MAKUN SAGAMU, Polling Unit, SAGAMU, Ogun State, Nigeria</t>
  </si>
  <si>
    <t>27-20-13-025</t>
  </si>
  <si>
    <t>OPEN SPACE AREKE COMMUNITY</t>
  </si>
  <si>
    <t>https://docs.inecelectionresults.net/elections_prod/1292/state/01/lga/20/ward/13/pu/025/025-1677403490.pdf</t>
  </si>
  <si>
    <t>OPEN SPACE AREKE COMMUNITY, Polling Unit, SAGAMU, Ogun State, Nigeria</t>
  </si>
  <si>
    <t>27-20-11-014</t>
  </si>
  <si>
    <t>OPEN SPACE AT APENA SOKOYA</t>
  </si>
  <si>
    <t>https://docs.inecelectionresults.net/elections_prod/1292/state/1/lga/3685/ward/24181/pu/166532/166532-1677458587.pdf</t>
  </si>
  <si>
    <t>OPEN SPACE AT APENA SOKOYA, Polling Unit, SAGAMU, Ogun State, Nigeria</t>
  </si>
  <si>
    <t>27-20-11-015</t>
  </si>
  <si>
    <t>OPEN SPACE @ MEDITOP HOSPITAL JUNCTION, ISALE OJUMELE</t>
  </si>
  <si>
    <t>https://docs.inecelectionresults.net/elections_prod/1292/state/1/lga/3685/ward/24181/pu/166533/166533-1677459181.pdf</t>
  </si>
  <si>
    <t>OPEN SPACE @ MEDITOP HOSPITAL JUNCTION, ISALE OJUMELE, Polling Unit, SAGAMU, Ogun State, Nigeria</t>
  </si>
  <si>
    <t>27-20-11-017</t>
  </si>
  <si>
    <t>OPEN SPACE AT AKOREDE PHASE II</t>
  </si>
  <si>
    <t>https://docs.inecelectionresults.net/elections_prod/1292/state/1/lga/3685/ward/24181/pu/166535/166535-1677461062.pdf</t>
  </si>
  <si>
    <t>OPEN SPACE AT AKOREDE PHASE II, Polling Unit, SAGAMU, Ogun State, Nigeria</t>
  </si>
  <si>
    <t>27-16-07-034</t>
  </si>
  <si>
    <t>AFRICAN CHURCH NUR &amp; PRIMARY SCH. ABULE ODO ATOKUN</t>
  </si>
  <si>
    <t>https://docs.inecelectionresults.net/elections_prod/1292/state/01/lga/16/ward/07/pu/034/034-1677391916.pdf</t>
  </si>
  <si>
    <t>AFRICAN CHURCH NUR &amp; PRIMARY SCH. ABULE ODO ATOKUN, Polling Unit, ODEDA, Ogun State, Nigeria</t>
  </si>
  <si>
    <t>27-15-03-035</t>
  </si>
  <si>
    <t>OPEN SPACE AT TRANSFORMER JUNCTION,ELERE</t>
  </si>
  <si>
    <t>https://docs.inecelectionresults.net/elections_prod/1292/state/1/lga/3680/ward/24116/pu/166246/166246-1677603921.pdf</t>
  </si>
  <si>
    <t>OPEN SPACE AT TRANSFORMER JUNCTION,ELERE, Polling Unit, OBAFEMI/OWODE, Ogun State, Nigeria</t>
  </si>
  <si>
    <t>27-09-10-020</t>
  </si>
  <si>
    <t>OPEN SPACE AT SHALLA BUS STOP,LUGBEDU</t>
  </si>
  <si>
    <t>https://docs.inecelectionresults.net/elections_prod/1292/state/01/lga/09/ward/10/pu/020/020-1677408556.pdf</t>
  </si>
  <si>
    <t>OPEN SPACE AT SHALLA BUS STOP,LUGBEDU, Polling Unit, IJEBU NORTH, Ogun State, Nigeria</t>
  </si>
  <si>
    <t>27-05-04-020</t>
  </si>
  <si>
    <t>AFRICAN NUR AND PRIMARY SCHOOL GBOKOTO</t>
  </si>
  <si>
    <t>https://docs.inecelectionresults.net/elections_prod/1292/state/01/lga/05/ward/04/pu/020/020-1677361049.pdf</t>
  </si>
  <si>
    <t>AFRICAN NUR AND PRIMARY SCHOOL GBOKOTO, Polling Unit, EGBADO SOUTH, Ogun State, Nigeria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</si>
</sst>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ocs.inecelectionresults.net/elections_prod/1292/state/01/lga/02/ward/14/pu/013/013-1677389866.pdf" TargetMode="External"/><Relationship Id="rId391" Type="http://schemas.openxmlformats.org/officeDocument/2006/relationships/hyperlink" Target="https://docs.inecelectionresults.net/elections_prod/1292/state/01/lga/02/ward/14/pu/012/012-1677419987.pdf" TargetMode="External"/><Relationship Id="rId390" Type="http://schemas.openxmlformats.org/officeDocument/2006/relationships/hyperlink" Target="https://docs.inecelectionresults.net/elections_prod/1292/state/01/lga/02/ward/14/pu/011/011-1677412953.pdf" TargetMode="External"/><Relationship Id="rId2180" Type="http://schemas.openxmlformats.org/officeDocument/2006/relationships/hyperlink" Target="https://docs.inecelectionresults.net/elections_prod/1292/state/01/lga/17/ward/02/pu/003/003-1677363556.pdf" TargetMode="External"/><Relationship Id="rId2181" Type="http://schemas.openxmlformats.org/officeDocument/2006/relationships/hyperlink" Target="https://docs.inecelectionresults.net/elections_prod/1292/state/01/lga/17/ward/02/pu/004/004-1677365600.pdf" TargetMode="External"/><Relationship Id="rId2182" Type="http://schemas.openxmlformats.org/officeDocument/2006/relationships/hyperlink" Target="https://docs.inecelectionresults.net/elections_prod/1292/state/01/lga/17/ward/02/pu/005/005-1677372558.pdf" TargetMode="External"/><Relationship Id="rId2183" Type="http://schemas.openxmlformats.org/officeDocument/2006/relationships/hyperlink" Target="https://docs.inecelectionresults.net/elections_prod/1292/state/01/lga/17/ward/02/pu/006/006-1677365003.pdf" TargetMode="External"/><Relationship Id="rId385" Type="http://schemas.openxmlformats.org/officeDocument/2006/relationships/hyperlink" Target="https://docs.inecelectionresults.net/elections_prod/1292/state/01/lga/02/ward/14/pu/005/005-1677412283.pdf" TargetMode="External"/><Relationship Id="rId2184" Type="http://schemas.openxmlformats.org/officeDocument/2006/relationships/hyperlink" Target="https://docs.inecelectionresults.net/elections_prod/1292/state/01/lga/17/ward/02/pu/007/007-1677366184.pdf" TargetMode="External"/><Relationship Id="rId384" Type="http://schemas.openxmlformats.org/officeDocument/2006/relationships/hyperlink" Target="https://docs.inecelectionresults.net/elections_prod/1292/state/01/lga/02/ward/14/pu/004/004-1677402024.pdf" TargetMode="External"/><Relationship Id="rId2185" Type="http://schemas.openxmlformats.org/officeDocument/2006/relationships/hyperlink" Target="https://docs.inecelectionresults.net/elections_prod/1292/state/01/lga/17/ward/02/pu/008/008-1677367805.pdf" TargetMode="External"/><Relationship Id="rId383" Type="http://schemas.openxmlformats.org/officeDocument/2006/relationships/hyperlink" Target="https://docs.inecelectionresults.net/elections_prod/1292/state/01/lga/02/ward/14/pu/003/003-1677409683.pdf" TargetMode="External"/><Relationship Id="rId2186" Type="http://schemas.openxmlformats.org/officeDocument/2006/relationships/hyperlink" Target="https://docs.inecelectionresults.net/elections_prod/1292/state/01/lga/17/ward/02/pu/009/009-1677363381.pdf" TargetMode="External"/><Relationship Id="rId382" Type="http://schemas.openxmlformats.org/officeDocument/2006/relationships/hyperlink" Target="https://docs.inecelectionresults.net/elections_prod/1292/state/01/lga/02/ward/14/pu/002/002-1677391252.pdf" TargetMode="External"/><Relationship Id="rId2187" Type="http://schemas.openxmlformats.org/officeDocument/2006/relationships/hyperlink" Target="https://docs.inecelectionresults.net/elections_prod/1292/state/01/lga/17/ward/02/pu/010/010-1677381111.pdf" TargetMode="External"/><Relationship Id="rId389" Type="http://schemas.openxmlformats.org/officeDocument/2006/relationships/hyperlink" Target="https://docs.inecelectionresults.net/elections_prod/1292/state/01/lga/02/ward/14/pu/010/010-1677418900.pdf" TargetMode="External"/><Relationship Id="rId2188" Type="http://schemas.openxmlformats.org/officeDocument/2006/relationships/hyperlink" Target="https://docs.inecelectionresults.net/elections_prod/1292/state/01/lga/17/ward/02/pu/011/011-1677373710.pdf" TargetMode="External"/><Relationship Id="rId388" Type="http://schemas.openxmlformats.org/officeDocument/2006/relationships/hyperlink" Target="https://docs.inecelectionresults.net/elections_prod/1292/state/01/lga/02/ward/14/pu/009/009-1677416085.pdf" TargetMode="External"/><Relationship Id="rId2189" Type="http://schemas.openxmlformats.org/officeDocument/2006/relationships/hyperlink" Target="https://docs.inecelectionresults.net/elections_prod/1292/state/01/lga/17/ward/03/pu/003/003-1677387482.pdf" TargetMode="External"/><Relationship Id="rId387" Type="http://schemas.openxmlformats.org/officeDocument/2006/relationships/hyperlink" Target="https://docs.inecelectionresults.net/elections_prod/1292/state/01/lga/02/ward/14/pu/007/007-1677399013.pdf" TargetMode="External"/><Relationship Id="rId386" Type="http://schemas.openxmlformats.org/officeDocument/2006/relationships/hyperlink" Target="https://docs.inecelectionresults.net/elections_prod/1292/state/01/lga/02/ward/14/pu/006/006-1677393819.pdf" TargetMode="External"/><Relationship Id="rId381" Type="http://schemas.openxmlformats.org/officeDocument/2006/relationships/hyperlink" Target="https://docs.inecelectionresults.net/elections_prod/1292/state/01/lga/02/ward/14/pu/001/001-1677390850.pdf" TargetMode="External"/><Relationship Id="rId380" Type="http://schemas.openxmlformats.org/officeDocument/2006/relationships/hyperlink" Target="https://docs.inecelectionresults.net/elections_prod/1292/state/01/lga/02/ward/13/pu/023/023-1677398774.pdf" TargetMode="External"/><Relationship Id="rId379" Type="http://schemas.openxmlformats.org/officeDocument/2006/relationships/hyperlink" Target="https://docs.inecelectionresults.net/elections_prod/1292/state/01/lga/02/ward/13/pu/022/022-1677392847.pdf" TargetMode="External"/><Relationship Id="rId2170" Type="http://schemas.openxmlformats.org/officeDocument/2006/relationships/hyperlink" Target="https://docs.inecelectionresults.net/elections_prod/1292/state/01/lga/16/ward/10/pu/007/007-1677374876.pdf" TargetMode="External"/><Relationship Id="rId2171" Type="http://schemas.openxmlformats.org/officeDocument/2006/relationships/hyperlink" Target="https://docs.inecelectionresults.net/elections_prod/1292/state/01/lga/16/ward/10/pu/008/008-1677373825.pdf" TargetMode="External"/><Relationship Id="rId2172" Type="http://schemas.openxmlformats.org/officeDocument/2006/relationships/hyperlink" Target="https://docs.inecelectionresults.net/elections_prod/1292/state/01/lga/16/ward/10/pu/009/009-1677375170.pdf" TargetMode="External"/><Relationship Id="rId374" Type="http://schemas.openxmlformats.org/officeDocument/2006/relationships/hyperlink" Target="https://docs.inecelectionresults.net/elections_prod/1292/state/01/lga/02/ward/13/pu/017/017-1677397268.pdf" TargetMode="External"/><Relationship Id="rId2173" Type="http://schemas.openxmlformats.org/officeDocument/2006/relationships/hyperlink" Target="https://docs.inecelectionresults.net/elections_prod/1292/state/01/lga/16/ward/10/pu/011/011-1677368728.pdf" TargetMode="External"/><Relationship Id="rId373" Type="http://schemas.openxmlformats.org/officeDocument/2006/relationships/hyperlink" Target="https://docs.inecelectionresults.net/elections_prod/1292/state/01/lga/02/ward/13/pu/016/016-1677398942.pdf" TargetMode="External"/><Relationship Id="rId2174" Type="http://schemas.openxmlformats.org/officeDocument/2006/relationships/hyperlink" Target="https://docs.inecelectionresults.net/elections_prod/1292/state/01/lga/16/ward/10/pu/012/012-1677373641.pdf" TargetMode="External"/><Relationship Id="rId372" Type="http://schemas.openxmlformats.org/officeDocument/2006/relationships/hyperlink" Target="https://docs.inecelectionresults.net/elections_prod/1292/state/01/lga/02/ward/13/pu/015/015-1677397932.pdf" TargetMode="External"/><Relationship Id="rId2175" Type="http://schemas.openxmlformats.org/officeDocument/2006/relationships/hyperlink" Target="https://docs.inecelectionresults.net/elections_prod/1292/state/01/lga/17/ward/01/pu/001/001-1677372299.pdf" TargetMode="External"/><Relationship Id="rId371" Type="http://schemas.openxmlformats.org/officeDocument/2006/relationships/hyperlink" Target="https://docs.inecelectionresults.net/elections_prod/1292/state/01/lga/02/ward/13/pu/014/014-1677401066.pdf" TargetMode="External"/><Relationship Id="rId2176" Type="http://schemas.openxmlformats.org/officeDocument/2006/relationships/hyperlink" Target="https://docs.inecelectionresults.net/elections_prod/1292/state/01/lga/17/ward/01/pu/003/003-1677380343.pdf" TargetMode="External"/><Relationship Id="rId378" Type="http://schemas.openxmlformats.org/officeDocument/2006/relationships/hyperlink" Target="https://docs.inecelectionresults.net/elections_prod/1292/state/01/lga/02/ward/13/pu/021/021-1677396459.pdf" TargetMode="External"/><Relationship Id="rId2177" Type="http://schemas.openxmlformats.org/officeDocument/2006/relationships/hyperlink" Target="https://docs.inecelectionresults.net/elections_prod/1292/state/01/lga/17/ward/01/pu/004/004-1677376834.pdf" TargetMode="External"/><Relationship Id="rId377" Type="http://schemas.openxmlformats.org/officeDocument/2006/relationships/hyperlink" Target="https://docs.inecelectionresults.net/elections_prod/1292/state/01/lga/02/ward/13/pu/020/020-1677390238.pdf" TargetMode="External"/><Relationship Id="rId2178" Type="http://schemas.openxmlformats.org/officeDocument/2006/relationships/hyperlink" Target="https://docs.inecelectionresults.net/elections_prod/1292/state/01/lga/17/ward/02/pu/001/001-1677364555.pdf" TargetMode="External"/><Relationship Id="rId376" Type="http://schemas.openxmlformats.org/officeDocument/2006/relationships/hyperlink" Target="https://docs.inecelectionresults.net/elections_prod/1292/state/01/lga/02/ward/13/pu/019/019-1677392011.pdf" TargetMode="External"/><Relationship Id="rId2179" Type="http://schemas.openxmlformats.org/officeDocument/2006/relationships/hyperlink" Target="https://docs.inecelectionresults.net/elections_prod/1292/state/01/lga/17/ward/02/pu/002/002-1677366050.pdf" TargetMode="External"/><Relationship Id="rId375" Type="http://schemas.openxmlformats.org/officeDocument/2006/relationships/hyperlink" Target="https://docs.inecelectionresults.net/elections_prod/1292/state/01/lga/02/ward/13/pu/018/018-1677395462.pdf" TargetMode="External"/><Relationship Id="rId2190" Type="http://schemas.openxmlformats.org/officeDocument/2006/relationships/hyperlink" Target="https://docs.inecelectionresults.net/elections_prod/1292/state/01/lga/17/ward/03/pu/004/004-1677391358.pdf" TargetMode="External"/><Relationship Id="rId2191" Type="http://schemas.openxmlformats.org/officeDocument/2006/relationships/hyperlink" Target="https://docs.inecelectionresults.net/elections_prod/1292/state/01/lga/17/ward/03/pu/005/005-1677389031.pdf" TargetMode="External"/><Relationship Id="rId2192" Type="http://schemas.openxmlformats.org/officeDocument/2006/relationships/hyperlink" Target="https://docs.inecelectionresults.net/elections_prod/1292/state/01/lga/17/ward/03/pu/007/007-1677396161.pdf" TargetMode="External"/><Relationship Id="rId2193" Type="http://schemas.openxmlformats.org/officeDocument/2006/relationships/hyperlink" Target="https://docs.inecelectionresults.net/elections_prod/1292/state/01/lga/17/ward/03/pu/008/008-1677399497.pdf" TargetMode="External"/><Relationship Id="rId2194" Type="http://schemas.openxmlformats.org/officeDocument/2006/relationships/hyperlink" Target="https://docs.inecelectionresults.net/elections_prod/1292/state/01/lga/17/ward/04/pu/001/001-1677362567.pdf" TargetMode="External"/><Relationship Id="rId396" Type="http://schemas.openxmlformats.org/officeDocument/2006/relationships/hyperlink" Target="https://docs.inecelectionresults.net/elections_prod/1292/state/01/lga/02/ward/14/pu/017/017-1677370673.pdf" TargetMode="External"/><Relationship Id="rId2195" Type="http://schemas.openxmlformats.org/officeDocument/2006/relationships/hyperlink" Target="https://docs.inecelectionresults.net/elections_prod/1292/state/01/lga/17/ward/04/pu/002/002-1677369868.pdf" TargetMode="External"/><Relationship Id="rId395" Type="http://schemas.openxmlformats.org/officeDocument/2006/relationships/hyperlink" Target="https://docs.inecelectionresults.net/elections_prod/1292/state/01/lga/02/ward/14/pu/016/016-1677371609.pdf" TargetMode="External"/><Relationship Id="rId2196" Type="http://schemas.openxmlformats.org/officeDocument/2006/relationships/hyperlink" Target="https://docs.inecelectionresults.net/elections_prod/1292/state/01/lga/17/ward/04/pu/004/004-1677383844.pdf" TargetMode="External"/><Relationship Id="rId394" Type="http://schemas.openxmlformats.org/officeDocument/2006/relationships/hyperlink" Target="https://docs.inecelectionresults.net/elections_prod/1292/state/01/lga/02/ward/14/pu/015/015-1677399713.pdf" TargetMode="External"/><Relationship Id="rId2197" Type="http://schemas.openxmlformats.org/officeDocument/2006/relationships/hyperlink" Target="https://docs.inecelectionresults.net/elections_prod/1292/state/01/lga/17/ward/04/pu/005/005-1677359505.pdf" TargetMode="External"/><Relationship Id="rId393" Type="http://schemas.openxmlformats.org/officeDocument/2006/relationships/hyperlink" Target="https://docs.inecelectionresults.net/elections_prod/1292/state/01/lga/02/ward/14/pu/014/014-1677420871.pdf" TargetMode="External"/><Relationship Id="rId2198" Type="http://schemas.openxmlformats.org/officeDocument/2006/relationships/hyperlink" Target="https://docs.inecelectionresults.net/elections_prod/1292/state/01/lga/17/ward/04/pu/006/006-1677360188.pdf" TargetMode="External"/><Relationship Id="rId2199" Type="http://schemas.openxmlformats.org/officeDocument/2006/relationships/hyperlink" Target="https://docs.inecelectionresults.net/elections_prod/1292/state/01/lga/17/ward/04/pu/008/008-1677358635.pdf" TargetMode="External"/><Relationship Id="rId399" Type="http://schemas.openxmlformats.org/officeDocument/2006/relationships/hyperlink" Target="https://docs.inecelectionresults.net/elections_prod/1292/state/01/lga/02/ward/15/pu/003/003-1677408293.pdf" TargetMode="External"/><Relationship Id="rId398" Type="http://schemas.openxmlformats.org/officeDocument/2006/relationships/hyperlink" Target="https://docs.inecelectionresults.net/elections_prod/1292/state/01/lga/02/ward/15/pu/002/002-1677407747.pdf" TargetMode="External"/><Relationship Id="rId397" Type="http://schemas.openxmlformats.org/officeDocument/2006/relationships/hyperlink" Target="https://docs.inecelectionresults.net/elections_prod/1292/state/01/lga/02/ward/15/pu/001/001-1677407056.pdf" TargetMode="External"/><Relationship Id="rId1730" Type="http://schemas.openxmlformats.org/officeDocument/2006/relationships/hyperlink" Target="https://docs.inecelectionresults.net/elections_prod/1292/state/01/lga/13/ward/01/pu/015/015-1677401130.pdf" TargetMode="External"/><Relationship Id="rId1731" Type="http://schemas.openxmlformats.org/officeDocument/2006/relationships/hyperlink" Target="https://docs.inecelectionresults.net/elections_prod/1292/state/01/lga/13/ward/01/pu/016/016-1677401209.pdf" TargetMode="External"/><Relationship Id="rId1732" Type="http://schemas.openxmlformats.org/officeDocument/2006/relationships/hyperlink" Target="https://docs.inecelectionresults.net/elections_prod/1292/state/01/lga/13/ward/01/pu/017/017-1677405395.pdf" TargetMode="External"/><Relationship Id="rId1733" Type="http://schemas.openxmlformats.org/officeDocument/2006/relationships/hyperlink" Target="https://docs.inecelectionresults.net/elections_prod/1292/state/01/lga/13/ward/01/pu/018/018-1677400030.pdf" TargetMode="External"/><Relationship Id="rId1734" Type="http://schemas.openxmlformats.org/officeDocument/2006/relationships/hyperlink" Target="https://docs.inecelectionresults.net/elections_prod/1292/state/01/lga/13/ward/01/pu/019/019-1677400568.pdf" TargetMode="External"/><Relationship Id="rId1735" Type="http://schemas.openxmlformats.org/officeDocument/2006/relationships/hyperlink" Target="https://docs.inecelectionresults.net/elections_prod/1292/state/01/lga/13/ward/01/pu/020/020-1677398850.pdf" TargetMode="External"/><Relationship Id="rId1736" Type="http://schemas.openxmlformats.org/officeDocument/2006/relationships/hyperlink" Target="https://docs.inecelectionresults.net/elections_prod/1292/state/01/lga/13/ward/01/pu/021/021-1677399778.pdf" TargetMode="External"/><Relationship Id="rId1737" Type="http://schemas.openxmlformats.org/officeDocument/2006/relationships/hyperlink" Target="https://docs.inecelectionresults.net/elections_prod/1292/state/01/lga/13/ward/02/pu/001/001-1677416351.pdf" TargetMode="External"/><Relationship Id="rId1738" Type="http://schemas.openxmlformats.org/officeDocument/2006/relationships/hyperlink" Target="https://docs.inecelectionresults.net/elections_prod/1292/state/01/lga/13/ward/02/pu/003/003-1677408056.pdf" TargetMode="External"/><Relationship Id="rId1739" Type="http://schemas.openxmlformats.org/officeDocument/2006/relationships/hyperlink" Target="https://docs.inecelectionresults.net/elections_prod/1292/state/01/lga/13/ward/02/pu/005/005-1677417471.pdf" TargetMode="External"/><Relationship Id="rId1720" Type="http://schemas.openxmlformats.org/officeDocument/2006/relationships/hyperlink" Target="https://docs.inecelectionresults.net/elections_prod/1292/state/01/lga/13/ward/01/pu/003/003-1677402139.pdf" TargetMode="External"/><Relationship Id="rId1721" Type="http://schemas.openxmlformats.org/officeDocument/2006/relationships/hyperlink" Target="https://docs.inecelectionresults.net/elections_prod/1292/state/01/lga/13/ward/01/pu/005/005-1677406305.pdf" TargetMode="External"/><Relationship Id="rId1722" Type="http://schemas.openxmlformats.org/officeDocument/2006/relationships/hyperlink" Target="https://docs.inecelectionresults.net/elections_prod/1292/state/01/lga/13/ward/01/pu/006/006-1677401845.pdf" TargetMode="External"/><Relationship Id="rId1723" Type="http://schemas.openxmlformats.org/officeDocument/2006/relationships/hyperlink" Target="https://docs.inecelectionresults.net/elections_prod/1292/state/01/lga/13/ward/01/pu/007/007-1677400239.pdf" TargetMode="External"/><Relationship Id="rId1724" Type="http://schemas.openxmlformats.org/officeDocument/2006/relationships/hyperlink" Target="https://docs.inecelectionresults.net/elections_prod/1292/state/01/lga/13/ward/01/pu/008/008-1677402395.pdf" TargetMode="External"/><Relationship Id="rId1725" Type="http://schemas.openxmlformats.org/officeDocument/2006/relationships/hyperlink" Target="https://docs.inecelectionresults.net/elections_prod/1292/state/01/lga/13/ward/01/pu/010/010-1677399758.pdf" TargetMode="External"/><Relationship Id="rId1726" Type="http://schemas.openxmlformats.org/officeDocument/2006/relationships/hyperlink" Target="https://docs.inecelectionresults.net/elections_prod/1292/state/01/lga/13/ward/01/pu/011/011-1677400583.pdf" TargetMode="External"/><Relationship Id="rId1727" Type="http://schemas.openxmlformats.org/officeDocument/2006/relationships/hyperlink" Target="https://docs.inecelectionresults.net/elections_prod/1292/state/01/lga/13/ward/01/pu/012/012-1677401591.pdf" TargetMode="External"/><Relationship Id="rId1728" Type="http://schemas.openxmlformats.org/officeDocument/2006/relationships/hyperlink" Target="https://docs.inecelectionresults.net/elections_prod/1292/state/01/lga/13/ward/01/pu/013/013-1677403496.pdf" TargetMode="External"/><Relationship Id="rId1729" Type="http://schemas.openxmlformats.org/officeDocument/2006/relationships/hyperlink" Target="https://docs.inecelectionresults.net/elections_prod/1292/state/1/lga/3678/ward/24092/pu/92945/92945-1677514693.pdf" TargetMode="External"/><Relationship Id="rId1752" Type="http://schemas.openxmlformats.org/officeDocument/2006/relationships/hyperlink" Target="https://docs.inecelectionresults.net/elections_prod/1292/state/01/lga/13/ward/04/pu/003/003-1677416409.pdf" TargetMode="External"/><Relationship Id="rId1753" Type="http://schemas.openxmlformats.org/officeDocument/2006/relationships/hyperlink" Target="https://docs.inecelectionresults.net/elections_prod/1292/state/01/lga/13/ward/04/pu/004/004-1677415751.pdf" TargetMode="External"/><Relationship Id="rId1754" Type="http://schemas.openxmlformats.org/officeDocument/2006/relationships/hyperlink" Target="https://docs.inecelectionresults.net/elections_prod/1292/state/01/lga/13/ward/04/pu/005/005-1677416320.pdf" TargetMode="External"/><Relationship Id="rId1755" Type="http://schemas.openxmlformats.org/officeDocument/2006/relationships/hyperlink" Target="https://docs.inecelectionresults.net/elections_prod/1292/state/01/lga/13/ward/05/pu/001/001-1677418784.pdf" TargetMode="External"/><Relationship Id="rId1756" Type="http://schemas.openxmlformats.org/officeDocument/2006/relationships/hyperlink" Target="https://docs.inecelectionresults.net/elections_prod/1292/state/01/lga/13/ward/05/pu/002/002-1677418732.pdf" TargetMode="External"/><Relationship Id="rId1757" Type="http://schemas.openxmlformats.org/officeDocument/2006/relationships/hyperlink" Target="https://docs.inecelectionresults.net/elections_prod/1292/state/01/lga/13/ward/05/pu/003/003-1677419284.pdf" TargetMode="External"/><Relationship Id="rId1758" Type="http://schemas.openxmlformats.org/officeDocument/2006/relationships/hyperlink" Target="https://docs.inecelectionresults.net/elections_prod/1292/state/01/lga/13/ward/05/pu/004/004-1677418166.pdf" TargetMode="External"/><Relationship Id="rId1759" Type="http://schemas.openxmlformats.org/officeDocument/2006/relationships/hyperlink" Target="https://docs.inecelectionresults.net/elections_prod/1292/state/1/lga/3678/ward/24096/pu/92980/92980-1677505106.pdf" TargetMode="External"/><Relationship Id="rId1750" Type="http://schemas.openxmlformats.org/officeDocument/2006/relationships/hyperlink" Target="https://docs.inecelectionresults.net/elections_prod/1292/state/01/lga/13/ward/03/pu/006/006-1677415690.pdf" TargetMode="External"/><Relationship Id="rId1751" Type="http://schemas.openxmlformats.org/officeDocument/2006/relationships/hyperlink" Target="https://docs.inecelectionresults.net/elections_prod/1292/state/1/lga/3678/ward/24095/pu/92971/92971-1677502598.pdf" TargetMode="External"/><Relationship Id="rId1741" Type="http://schemas.openxmlformats.org/officeDocument/2006/relationships/hyperlink" Target="https://docs.inecelectionresults.net/elections_prod/1292/state/01/lga/13/ward/02/pu/008/008-1677413012.pdf" TargetMode="External"/><Relationship Id="rId1742" Type="http://schemas.openxmlformats.org/officeDocument/2006/relationships/hyperlink" Target="https://docs.inecelectionresults.net/elections_prod/1292/state/01/lga/13/ward/02/pu/009/009-1677407813.pdf" TargetMode="External"/><Relationship Id="rId1743" Type="http://schemas.openxmlformats.org/officeDocument/2006/relationships/hyperlink" Target="https://docs.inecelectionresults.net/elections_prod/1292/state/01/lga/13/ward/02/pu/010/010-1677410141.pdf" TargetMode="External"/><Relationship Id="rId1744" Type="http://schemas.openxmlformats.org/officeDocument/2006/relationships/hyperlink" Target="https://docs.inecelectionresults.net/elections_prod/1292/state/01/lga/13/ward/02/pu/011/011-1677415438.pdf" TargetMode="External"/><Relationship Id="rId1745" Type="http://schemas.openxmlformats.org/officeDocument/2006/relationships/hyperlink" Target="https://docs.inecelectionresults.net/elections_prod/1292/state/01/lga/13/ward/03/pu/001/001-1677412911.pdf" TargetMode="External"/><Relationship Id="rId1746" Type="http://schemas.openxmlformats.org/officeDocument/2006/relationships/hyperlink" Target="https://docs.inecelectionresults.net/elections_prod/1292/state/01/lga/13/ward/03/pu/002/002-1677412827.pdf" TargetMode="External"/><Relationship Id="rId1747" Type="http://schemas.openxmlformats.org/officeDocument/2006/relationships/hyperlink" Target="https://docs.inecelectionresults.net/elections_prod/1292/state/01/lga/13/ward/03/pu/003/003-1677413468.pdf" TargetMode="External"/><Relationship Id="rId1748" Type="http://schemas.openxmlformats.org/officeDocument/2006/relationships/hyperlink" Target="https://docs.inecelectionresults.net/elections_prod/1292/state/01/lga/13/ward/03/pu/004/004-1677413229.pdf" TargetMode="External"/><Relationship Id="rId1749" Type="http://schemas.openxmlformats.org/officeDocument/2006/relationships/hyperlink" Target="https://docs.inecelectionresults.net/elections_prod/1292/state/01/lga/13/ward/03/pu/005/005-1677413471.pdf" TargetMode="External"/><Relationship Id="rId1740" Type="http://schemas.openxmlformats.org/officeDocument/2006/relationships/hyperlink" Target="https://docs.inecelectionresults.net/elections_prod/1292/state/01/lga/13/ward/02/pu/006/006-1677406666.pdf" TargetMode="External"/><Relationship Id="rId1710" Type="http://schemas.openxmlformats.org/officeDocument/2006/relationships/hyperlink" Target="https://docs.inecelectionresults.net/elections_prod/1292/state/01/lga/12/ward/09/pu/004/004-1677397247.pdf" TargetMode="External"/><Relationship Id="rId1711" Type="http://schemas.openxmlformats.org/officeDocument/2006/relationships/hyperlink" Target="https://docs.inecelectionresults.net/elections_prod/1292/state/01/lga/12/ward/09/pu/005/005-1677397635.pdf" TargetMode="External"/><Relationship Id="rId1712" Type="http://schemas.openxmlformats.org/officeDocument/2006/relationships/hyperlink" Target="https://docs.inecelectionresults.net/elections_prod/1292/state/01/lga/12/ward/09/pu/006/006-1677395822.pdf" TargetMode="External"/><Relationship Id="rId1713" Type="http://schemas.openxmlformats.org/officeDocument/2006/relationships/hyperlink" Target="https://docs.inecelectionresults.net/elections_prod/1292/state/01/lga/12/ward/09/pu/007/007-1677393186.pdf" TargetMode="External"/><Relationship Id="rId1714" Type="http://schemas.openxmlformats.org/officeDocument/2006/relationships/hyperlink" Target="https://docs.inecelectionresults.net/elections_prod/1292/state/01/lga/12/ward/09/pu/008/008-1677392263.pdf" TargetMode="External"/><Relationship Id="rId1715" Type="http://schemas.openxmlformats.org/officeDocument/2006/relationships/hyperlink" Target="https://docs.inecelectionresults.net/elections_prod/1292/state/01/lga/12/ward/10/pu/001/001-1677367744.pdf" TargetMode="External"/><Relationship Id="rId1716" Type="http://schemas.openxmlformats.org/officeDocument/2006/relationships/hyperlink" Target="https://docs.inecelectionresults.net/elections_prod/1292/state/01/lga/12/ward/10/pu/002/002-1677393859.pdf" TargetMode="External"/><Relationship Id="rId1717" Type="http://schemas.openxmlformats.org/officeDocument/2006/relationships/hyperlink" Target="https://docs.inecelectionresults.net/elections_prod/1292/state/01/lga/12/ward/10/pu/003/003-1677388849.pdf" TargetMode="External"/><Relationship Id="rId1718" Type="http://schemas.openxmlformats.org/officeDocument/2006/relationships/hyperlink" Target="https://docs.inecelectionresults.net/elections_prod/1292/state/01/lga/12/ward/10/pu/005/005-1677391354.pdf" TargetMode="External"/><Relationship Id="rId1719" Type="http://schemas.openxmlformats.org/officeDocument/2006/relationships/hyperlink" Target="https://docs.inecelectionresults.net/elections_prod/1292/state/01/lga/13/ward/01/pu/002/002-1677398465.pdf" TargetMode="External"/><Relationship Id="rId1700" Type="http://schemas.openxmlformats.org/officeDocument/2006/relationships/hyperlink" Target="https://docs.inecelectionresults.net/elections_prod/1292/state/01/lga/12/ward/07/pu/003/003-1677390065.pdf" TargetMode="External"/><Relationship Id="rId1701" Type="http://schemas.openxmlformats.org/officeDocument/2006/relationships/hyperlink" Target="https://docs.inecelectionresults.net/elections_prod/1292/state/01/lga/12/ward/07/pu/004/004-1677388733.pdf" TargetMode="External"/><Relationship Id="rId1702" Type="http://schemas.openxmlformats.org/officeDocument/2006/relationships/hyperlink" Target="https://docs.inecelectionresults.net/elections_prod/1292/state/01/lga/12/ward/07/pu/005/005-1677393032.pdf" TargetMode="External"/><Relationship Id="rId1703" Type="http://schemas.openxmlformats.org/officeDocument/2006/relationships/hyperlink" Target="https://docs.inecelectionresults.net/elections_prod/1292/state/01/lga/12/ward/07/pu/006/006-1677393528.pdf" TargetMode="External"/><Relationship Id="rId1704" Type="http://schemas.openxmlformats.org/officeDocument/2006/relationships/hyperlink" Target="https://docs.inecelectionresults.net/elections_prod/1292/state/01/lga/12/ward/07/pu/007/007-1677394163.pdf" TargetMode="External"/><Relationship Id="rId1705" Type="http://schemas.openxmlformats.org/officeDocument/2006/relationships/hyperlink" Target="https://docs.inecelectionresults.net/elections_prod/1292/state/01/lga/12/ward/08/pu/001/001-1677391622.pdf" TargetMode="External"/><Relationship Id="rId1706" Type="http://schemas.openxmlformats.org/officeDocument/2006/relationships/hyperlink" Target="https://docs.inecelectionresults.net/elections_prod/1292/state/01/lga/12/ward/08/pu/004/004-1677394300.pdf" TargetMode="External"/><Relationship Id="rId1707" Type="http://schemas.openxmlformats.org/officeDocument/2006/relationships/hyperlink" Target="https://docs.inecelectionresults.net/elections_prod/1292/state/01/lga/12/ward/09/pu/001/001-1677394813.pdf" TargetMode="External"/><Relationship Id="rId1708" Type="http://schemas.openxmlformats.org/officeDocument/2006/relationships/hyperlink" Target="https://docs.inecelectionresults.net/elections_prod/1292/state/01/lga/12/ward/09/pu/002/002-1677398404.pdf" TargetMode="External"/><Relationship Id="rId1709" Type="http://schemas.openxmlformats.org/officeDocument/2006/relationships/hyperlink" Target="https://docs.inecelectionresults.net/elections_prod/1292/state/01/lga/12/ward/09/pu/003/003-1677391359.pdf" TargetMode="External"/><Relationship Id="rId40" Type="http://schemas.openxmlformats.org/officeDocument/2006/relationships/hyperlink" Target="https://docs.inecelectionresults.net/elections_prod/1292/state/1/lga/3666/ward/23954/pu/90840/90840-1677488285.pdf" TargetMode="External"/><Relationship Id="rId3513" Type="http://schemas.openxmlformats.org/officeDocument/2006/relationships/hyperlink" Target="https://docs.inecelectionresults.net/elections_prod/1292/state/01/lga/10/ward/09/pu/011/011-1677370661.pdf" TargetMode="External"/><Relationship Id="rId3512" Type="http://schemas.openxmlformats.org/officeDocument/2006/relationships/hyperlink" Target="https://docs.inecelectionresults.net/elections_prod/1292/state/01/lga/10/ward/09/pu/010/010-1677372908.pdf" TargetMode="External"/><Relationship Id="rId42" Type="http://schemas.openxmlformats.org/officeDocument/2006/relationships/hyperlink" Target="https://docs.inecelectionresults.net/elections_prod/1292/state/01/lga/01/ward/05/pu/008/008-1677427608.pdf" TargetMode="External"/><Relationship Id="rId3515" Type="http://schemas.openxmlformats.org/officeDocument/2006/relationships/hyperlink" Target="https://docs.inecelectionresults.net/elections_prod/1292/state/01/lga/11/ward/02/pu/007/007-1677376267.pdf" TargetMode="External"/><Relationship Id="rId41" Type="http://schemas.openxmlformats.org/officeDocument/2006/relationships/hyperlink" Target="https://docs.inecelectionresults.net/elections_prod/1292/state/01/lga/01/ward/05/pu/007/007-1677420993.pdf" TargetMode="External"/><Relationship Id="rId3514" Type="http://schemas.openxmlformats.org/officeDocument/2006/relationships/hyperlink" Target="https://docs.inecelectionresults.net/elections_prod/1292/state/01/lga/10/ward/09/pu/013/013-1677389886.pdf" TargetMode="External"/><Relationship Id="rId44" Type="http://schemas.openxmlformats.org/officeDocument/2006/relationships/hyperlink" Target="https://docs.inecelectionresults.net/elections_prod/1292/state/01/lga/01/ward/05/pu/010/010-1677428528.pdf" TargetMode="External"/><Relationship Id="rId3517" Type="http://schemas.openxmlformats.org/officeDocument/2006/relationships/hyperlink" Target="https://docs.inecelectionresults.net/elections_prod/1292/state/01/lga/11/ward/02/pu/009/009-1677375487.pdf" TargetMode="External"/><Relationship Id="rId43" Type="http://schemas.openxmlformats.org/officeDocument/2006/relationships/hyperlink" Target="https://docs.inecelectionresults.net/elections_prod/1292/state/01/lga/01/ward/05/pu/009/009-1677419528.pdf" TargetMode="External"/><Relationship Id="rId3516" Type="http://schemas.openxmlformats.org/officeDocument/2006/relationships/hyperlink" Target="https://docs.inecelectionresults.net/elections_prod/1292/state/01/lga/11/ward/02/pu/008/008-1677375771.pdf" TargetMode="External"/><Relationship Id="rId46" Type="http://schemas.openxmlformats.org/officeDocument/2006/relationships/hyperlink" Target="https://docs.inecelectionresults.net/elections_prod/1292/state/01/lga/01/ward/05/pu/012/012-1677422656.pdf" TargetMode="External"/><Relationship Id="rId3519" Type="http://schemas.openxmlformats.org/officeDocument/2006/relationships/hyperlink" Target="https://docs.inecelectionresults.net/elections_prod/1292/state/01/lga/11/ward/02/pu/011/011-1677374538.pdf" TargetMode="External"/><Relationship Id="rId45" Type="http://schemas.openxmlformats.org/officeDocument/2006/relationships/hyperlink" Target="https://docs.inecelectionresults.net/elections_prod/1292/state/01/lga/01/ward/05/pu/011/011-1677421924.pdf" TargetMode="External"/><Relationship Id="rId3518" Type="http://schemas.openxmlformats.org/officeDocument/2006/relationships/hyperlink" Target="https://docs.inecelectionresults.net/elections_prod/1292/state/01/lga/11/ward/02/pu/010/010-1677374988.pdf" TargetMode="External"/><Relationship Id="rId48" Type="http://schemas.openxmlformats.org/officeDocument/2006/relationships/hyperlink" Target="https://docs.inecelectionresults.net/elections_prod/1292/state/1/lga/3666/ward/23954/pu/90848/90848-1677489091.pdf" TargetMode="External"/><Relationship Id="rId47" Type="http://schemas.openxmlformats.org/officeDocument/2006/relationships/hyperlink" Target="https://docs.inecelectionresults.net/elections_prod/1292/state/01/lga/01/ward/05/pu/013/013-1677426922.pdf" TargetMode="External"/><Relationship Id="rId49" Type="http://schemas.openxmlformats.org/officeDocument/2006/relationships/hyperlink" Target="https://docs.inecelectionresults.net/elections_prod/1292/state/01/lga/01/ward/05/pu/015/015-1677418613.pdf" TargetMode="External"/><Relationship Id="rId3511" Type="http://schemas.openxmlformats.org/officeDocument/2006/relationships/hyperlink" Target="https://docs.inecelectionresults.net/elections_prod/1292/state/01/lga/10/ward/08/pu/017/017-1677398591.pdf" TargetMode="External"/><Relationship Id="rId3510" Type="http://schemas.openxmlformats.org/officeDocument/2006/relationships/hyperlink" Target="https://docs.inecelectionresults.net/elections_prod/1292/state/01/lga/10/ward/08/pu/016/016-1677379941.pdf" TargetMode="External"/><Relationship Id="rId3502" Type="http://schemas.openxmlformats.org/officeDocument/2006/relationships/hyperlink" Target="https://inec-cvr-cache.s3.eu-west-1.amazonaws.com/cached/results/661171/result_78805_1677535544_thumb.jpg" TargetMode="External"/><Relationship Id="rId3501" Type="http://schemas.openxmlformats.org/officeDocument/2006/relationships/hyperlink" Target="https://docs.inecelectionresults.net/elections_prod/1292/state/01/lga/09/ward/07/pu/024/024-1677421441.pdf" TargetMode="External"/><Relationship Id="rId31" Type="http://schemas.openxmlformats.org/officeDocument/2006/relationships/hyperlink" Target="https://docs.inecelectionresults.net/elections_prod/1292/state/01/lga/01/ward/04/pu/006/006-1677411479.pdf" TargetMode="External"/><Relationship Id="rId3504" Type="http://schemas.openxmlformats.org/officeDocument/2006/relationships/hyperlink" Target="https://docs.inecelectionresults.net/elections_prod/1292/state/01/lga/09/ward/04/pu/029/029-1677390207.pdf" TargetMode="External"/><Relationship Id="rId30" Type="http://schemas.openxmlformats.org/officeDocument/2006/relationships/hyperlink" Target="https://docs.inecelectionresults.net/elections_prod/1292/state/01/lga/01/ward/04/pu/005/005-1677410283.pdf" TargetMode="External"/><Relationship Id="rId3503" Type="http://schemas.openxmlformats.org/officeDocument/2006/relationships/hyperlink" Target="https://inec-cvr-cache.s3.eu-west-1.amazonaws.com/cached/results/661172/result_78806_1677536011_thumb.jpg" TargetMode="External"/><Relationship Id="rId33" Type="http://schemas.openxmlformats.org/officeDocument/2006/relationships/hyperlink" Target="https://docs.inecelectionresults.net/elections_prod/1292/state/01/lga/01/ward/04/pu/008/008-1677421508.pdf" TargetMode="External"/><Relationship Id="rId3506" Type="http://schemas.openxmlformats.org/officeDocument/2006/relationships/hyperlink" Target="https://docs.inecelectionresults.net/elections_prod/1292/state/01/lga/10/ward/10/pu/010/010-1677398267.pdf" TargetMode="External"/><Relationship Id="rId32" Type="http://schemas.openxmlformats.org/officeDocument/2006/relationships/hyperlink" Target="https://docs.inecelectionresults.net/elections_prod/1292/state/01/lga/01/ward/04/pu/007/007-1677419459.pdf" TargetMode="External"/><Relationship Id="rId3505" Type="http://schemas.openxmlformats.org/officeDocument/2006/relationships/hyperlink" Target="https://docs.inecelectionresults.net/elections_prod/1292/state/01/lga/10/ward/10/pu/009/009-1677397653.pdf" TargetMode="External"/><Relationship Id="rId35" Type="http://schemas.openxmlformats.org/officeDocument/2006/relationships/hyperlink" Target="https://docs.inecelectionresults.net/elections_prod/1292/state/01/lga/01/ward/05/pu/001/001-1677425743.pdf" TargetMode="External"/><Relationship Id="rId3508" Type="http://schemas.openxmlformats.org/officeDocument/2006/relationships/hyperlink" Target="https://docs.inecelectionresults.net/elections_prod/1292/state/01/lga/10/ward/08/pu/014/014-1677395777.pdf" TargetMode="External"/><Relationship Id="rId34" Type="http://schemas.openxmlformats.org/officeDocument/2006/relationships/hyperlink" Target="https://docs.inecelectionresults.net/elections_prod/1292/state/01/lga/01/ward/04/pu/009/009-1677422853.pdf" TargetMode="External"/><Relationship Id="rId3507" Type="http://schemas.openxmlformats.org/officeDocument/2006/relationships/hyperlink" Target="https://docs.inecelectionresults.net/elections_prod/1292/state/1/lga/3675/ward/24068/pu/165876/165876-1677510837.pdf" TargetMode="External"/><Relationship Id="rId3509" Type="http://schemas.openxmlformats.org/officeDocument/2006/relationships/hyperlink" Target="https://docs.inecelectionresults.net/elections_prod/1292/state/01/lga/10/ward/08/pu/015/015-1677372787.pdf" TargetMode="External"/><Relationship Id="rId37" Type="http://schemas.openxmlformats.org/officeDocument/2006/relationships/hyperlink" Target="https://docs.inecelectionresults.net/elections_prod/1292/state/1/lga/3666/ward/23954/pu/90837/90837-1677488655.pdf" TargetMode="External"/><Relationship Id="rId36" Type="http://schemas.openxmlformats.org/officeDocument/2006/relationships/hyperlink" Target="https://docs.inecelectionresults.net/elections_prod/1292/state/1/lga/3666/ward/23954/pu/90836/90836-1677481404.pdf" TargetMode="External"/><Relationship Id="rId39" Type="http://schemas.openxmlformats.org/officeDocument/2006/relationships/hyperlink" Target="https://docs.inecelectionresults.net/elections_prod/1292/state/01/lga/01/ward/05/pu/005/005-1677423544.pdf" TargetMode="External"/><Relationship Id="rId38" Type="http://schemas.openxmlformats.org/officeDocument/2006/relationships/hyperlink" Target="https://docs.inecelectionresults.net/elections_prod/1292/state/01/lga/01/ward/05/pu/004/004-1677420481.pdf" TargetMode="External"/><Relationship Id="rId3500" Type="http://schemas.openxmlformats.org/officeDocument/2006/relationships/hyperlink" Target="https://docs.inecelectionresults.net/elections_prod/1292/state/01/lga/09/ward/07/pu/023/023-1677421600.pdf" TargetMode="External"/><Relationship Id="rId2203" Type="http://schemas.openxmlformats.org/officeDocument/2006/relationships/hyperlink" Target="https://docs.inecelectionresults.net/elections_prod/1292/state/01/lga/17/ward/05/pu/005/005-1677410585.pdf" TargetMode="External"/><Relationship Id="rId3535" Type="http://schemas.openxmlformats.org/officeDocument/2006/relationships/hyperlink" Target="https://docs.inecelectionresults.net/elections_prod/1292/state/01/lga/11/ward/08/pu/017/017-1677383606.pdf" TargetMode="External"/><Relationship Id="rId2204" Type="http://schemas.openxmlformats.org/officeDocument/2006/relationships/hyperlink" Target="https://docs.inecelectionresults.net/elections_prod/1292/state/01/lga/17/ward/05/pu/006/006-1677411203.pdf" TargetMode="External"/><Relationship Id="rId3534" Type="http://schemas.openxmlformats.org/officeDocument/2006/relationships/hyperlink" Target="https://docs.inecelectionresults.net/elections_prod/1292/state/01/lga/11/ward/08/pu/016/016-1677378850.pdf" TargetMode="External"/><Relationship Id="rId20" Type="http://schemas.openxmlformats.org/officeDocument/2006/relationships/hyperlink" Target="https://docs.inecelectionresults.net/elections_prod/1292/state/01/lga/01/ward/03/pu/006/006-1677426508.pdf" TargetMode="External"/><Relationship Id="rId2205" Type="http://schemas.openxmlformats.org/officeDocument/2006/relationships/hyperlink" Target="https://docs.inecelectionresults.net/elections_prod/1292/state/01/lga/17/ward/05/pu/007/007-1677417349.pdf" TargetMode="External"/><Relationship Id="rId3537" Type="http://schemas.openxmlformats.org/officeDocument/2006/relationships/hyperlink" Target="https://docs.inecelectionresults.net/elections_prod/1292/state/01/lga/11/ward/08/pu/019/019-1677381077.pdf" TargetMode="External"/><Relationship Id="rId2206" Type="http://schemas.openxmlformats.org/officeDocument/2006/relationships/hyperlink" Target="https://docs.inecelectionresults.net/elections_prod/1292/state/01/lga/17/ward/05/pu/008/008-1677419956.pdf" TargetMode="External"/><Relationship Id="rId3536" Type="http://schemas.openxmlformats.org/officeDocument/2006/relationships/hyperlink" Target="https://docs.inecelectionresults.net/elections_prod/1292/state/01/lga/11/ward/08/pu/018/018-1677385530.pdf" TargetMode="External"/><Relationship Id="rId22" Type="http://schemas.openxmlformats.org/officeDocument/2006/relationships/hyperlink" Target="https://docs.inecelectionresults.net/elections_prod/1292/state/1/lga/3666/ward/23952/pu/90821/90821-1677474659.pdf" TargetMode="External"/><Relationship Id="rId2207" Type="http://schemas.openxmlformats.org/officeDocument/2006/relationships/hyperlink" Target="https://inec-cvr-cache.s3.eu-west-1.amazonaws.com/cached/results/92446/result_80348_1677525233_thumb.jpg" TargetMode="External"/><Relationship Id="rId3539" Type="http://schemas.openxmlformats.org/officeDocument/2006/relationships/hyperlink" Target="https://docs.inecelectionresults.net/elections_prod/1292/state/01/lga/11/ward/08/pu/021/021-1677379802.pdf" TargetMode="External"/><Relationship Id="rId21" Type="http://schemas.openxmlformats.org/officeDocument/2006/relationships/hyperlink" Target="https://docs.inecelectionresults.net/elections_prod/1292/state/01/lga/01/ward/03/pu/007/007-1677427527.pdf" TargetMode="External"/><Relationship Id="rId2208" Type="http://schemas.openxmlformats.org/officeDocument/2006/relationships/hyperlink" Target="https://inec-cvr-cache.s3.eu-west-1.amazonaws.com/cached/results/92447/result_80349_1677527395_thumb.jpg" TargetMode="External"/><Relationship Id="rId3538" Type="http://schemas.openxmlformats.org/officeDocument/2006/relationships/hyperlink" Target="https://docs.inecelectionresults.net/elections_prod/1292/state/01/lga/11/ward/08/pu/020/020-1677380486.pdf" TargetMode="External"/><Relationship Id="rId24" Type="http://schemas.openxmlformats.org/officeDocument/2006/relationships/hyperlink" Target="https://docs.inecelectionresults.net/elections_prod/1292/state/1/lga/3666/ward/23952/pu/90823/90823-1677474207.pdf" TargetMode="External"/><Relationship Id="rId2209" Type="http://schemas.openxmlformats.org/officeDocument/2006/relationships/hyperlink" Target="https://inec-cvr-cache.s3.eu-west-1.amazonaws.com/cached/results/92448/result_80350_1677527913_thumb.jpg" TargetMode="External"/><Relationship Id="rId23" Type="http://schemas.openxmlformats.org/officeDocument/2006/relationships/hyperlink" Target="https://docs.inecelectionresults.net/elections_prod/1292/state/01/lga/01/ward/03/pu/009/009-1677428165.pdf" TargetMode="External"/><Relationship Id="rId26" Type="http://schemas.openxmlformats.org/officeDocument/2006/relationships/hyperlink" Target="https://docs.inecelectionresults.net/elections_prod/1292/state/01/lga/01/ward/04/pu/001/001-1677403152.pdf" TargetMode="External"/><Relationship Id="rId25" Type="http://schemas.openxmlformats.org/officeDocument/2006/relationships/hyperlink" Target="https://docs.inecelectionresults.net/elections_prod/1292/state/01/lga/01/ward/03/pu/011/011-1677418158.pdf" TargetMode="External"/><Relationship Id="rId28" Type="http://schemas.openxmlformats.org/officeDocument/2006/relationships/hyperlink" Target="https://docs.inecelectionresults.net/elections_prod/1292/state/01/lga/01/ward/04/pu/003/003-1677408369.pdf" TargetMode="External"/><Relationship Id="rId27" Type="http://schemas.openxmlformats.org/officeDocument/2006/relationships/hyperlink" Target="https://docs.inecelectionresults.net/elections_prod/1292/state/01/lga/01/ward/04/pu/002/002-1677405596.pdf" TargetMode="External"/><Relationship Id="rId3531" Type="http://schemas.openxmlformats.org/officeDocument/2006/relationships/hyperlink" Target="https://docs.inecelectionresults.net/elections_prod/1292/state/01/lga/11/ward/08/pu/013/013-1677380762.pdf" TargetMode="External"/><Relationship Id="rId29" Type="http://schemas.openxmlformats.org/officeDocument/2006/relationships/hyperlink" Target="https://docs.inecelectionresults.net/elections_prod/1292/state/01/lga/01/ward/04/pu/004/004-1677409465.pdf" TargetMode="External"/><Relationship Id="rId2200" Type="http://schemas.openxmlformats.org/officeDocument/2006/relationships/hyperlink" Target="https://docs.inecelectionresults.net/elections_prod/1292/state/01/lga/17/ward/05/pu/002/002-1677378790.pdf" TargetMode="External"/><Relationship Id="rId3530" Type="http://schemas.openxmlformats.org/officeDocument/2006/relationships/hyperlink" Target="https://docs.inecelectionresults.net/elections_prod/1292/state/01/lga/11/ward/08/pu/012/012-1677381628.pdf" TargetMode="External"/><Relationship Id="rId2201" Type="http://schemas.openxmlformats.org/officeDocument/2006/relationships/hyperlink" Target="https://docs.inecelectionresults.net/elections_prod/1292/state/01/lga/17/ward/05/pu/003/003-1677380062.pdf" TargetMode="External"/><Relationship Id="rId3533" Type="http://schemas.openxmlformats.org/officeDocument/2006/relationships/hyperlink" Target="https://docs.inecelectionresults.net/elections_prod/1292/state/01/lga/11/ward/08/pu/015/015-1677379334.pdf" TargetMode="External"/><Relationship Id="rId2202" Type="http://schemas.openxmlformats.org/officeDocument/2006/relationships/hyperlink" Target="https://docs.inecelectionresults.net/elections_prod/1292/state/01/lga/17/ward/05/pu/004/004-1677409948.pdf" TargetMode="External"/><Relationship Id="rId3532" Type="http://schemas.openxmlformats.org/officeDocument/2006/relationships/hyperlink" Target="https://docs.inecelectionresults.net/elections_prod/1292/state/01/lga/11/ward/08/pu/014/014-1677378996.pdf" TargetMode="External"/><Relationship Id="rId3524" Type="http://schemas.openxmlformats.org/officeDocument/2006/relationships/hyperlink" Target="https://docs.inecelectionresults.net/elections_prod/1292/state/01/lga/11/ward/05/pu/017/017-1677377801.pdf" TargetMode="External"/><Relationship Id="rId3523" Type="http://schemas.openxmlformats.org/officeDocument/2006/relationships/hyperlink" Target="https://docs.inecelectionresults.net/elections_prod/1292/state/01/lga/11/ward/05/pu/016/016-1677377127.pdf" TargetMode="External"/><Relationship Id="rId3526" Type="http://schemas.openxmlformats.org/officeDocument/2006/relationships/hyperlink" Target="https://docs.inecelectionresults.net/elections_prod/1292/state/01/lga/11/ward/05/pu/019/019-1677381388.pdf" TargetMode="External"/><Relationship Id="rId3525" Type="http://schemas.openxmlformats.org/officeDocument/2006/relationships/hyperlink" Target="https://docs.inecelectionresults.net/elections_prod/1292/state/01/lga/11/ward/05/pu/019/019-1677381388.pdf" TargetMode="External"/><Relationship Id="rId11" Type="http://schemas.openxmlformats.org/officeDocument/2006/relationships/hyperlink" Target="https://docs.inecelectionresults.net/elections_prod/1292/state/1/lga/3666/ward/23950/pu/90806/90806-1677483104.pdf" TargetMode="External"/><Relationship Id="rId3528" Type="http://schemas.openxmlformats.org/officeDocument/2006/relationships/hyperlink" Target="https://docs.inecelectionresults.net/elections_prod/1292/state/01/lga/11/ward/05/pu/022/022-1677382384.pdf" TargetMode="External"/><Relationship Id="rId10" Type="http://schemas.openxmlformats.org/officeDocument/2006/relationships/hyperlink" Target="https://docs.inecelectionresults.net/elections_prod/1292/state/1/lga/3666/ward/23950/pu/90805/90805-1677485038.pdf" TargetMode="External"/><Relationship Id="rId3527" Type="http://schemas.openxmlformats.org/officeDocument/2006/relationships/hyperlink" Target="https://docs.inecelectionresults.net/elections_prod/1292/state/01/lga/11/ward/05/pu/021/021-1677382095.pdf" TargetMode="External"/><Relationship Id="rId13" Type="http://schemas.openxmlformats.org/officeDocument/2006/relationships/hyperlink" Target="https://docs.inecelectionresults.net/elections_prod/1292/state/01/lga/01/ward/02/pu/004/004-1677418566.pdf" TargetMode="External"/><Relationship Id="rId12" Type="http://schemas.openxmlformats.org/officeDocument/2006/relationships/hyperlink" Target="https://docs.inecelectionresults.net/elections_prod/1292/state/01/lga/01/ward/02/pu/003/003-1677413954.pdf" TargetMode="External"/><Relationship Id="rId3529" Type="http://schemas.openxmlformats.org/officeDocument/2006/relationships/hyperlink" Target="https://docs.inecelectionresults.net/elections_prod/1292/state/01/lga/11/ward/05/pu/023/023-1677382730.pdf" TargetMode="External"/><Relationship Id="rId15" Type="http://schemas.openxmlformats.org/officeDocument/2006/relationships/hyperlink" Target="https://docs.inecelectionresults.net/elections_prod/1292/state/01/lga/01/ward/02/pu/006/006-1677415262.pdf" TargetMode="External"/><Relationship Id="rId14" Type="http://schemas.openxmlformats.org/officeDocument/2006/relationships/hyperlink" Target="https://docs.inecelectionresults.net/elections_prod/1292/state/01/lga/01/ward/02/pu/005/005-1677416701.pdf" TargetMode="External"/><Relationship Id="rId17" Type="http://schemas.openxmlformats.org/officeDocument/2006/relationships/hyperlink" Target="https://docs.inecelectionresults.net/elections_prod/1292/state/1/lga/3666/ward/23952/pu/90816/90816-1677488467.pdf" TargetMode="External"/><Relationship Id="rId16" Type="http://schemas.openxmlformats.org/officeDocument/2006/relationships/hyperlink" Target="https://docs.inecelectionresults.net/elections_prod/1292/state/01/lga/01/ward/03/pu/002/002-1677418595.pdf" TargetMode="External"/><Relationship Id="rId19" Type="http://schemas.openxmlformats.org/officeDocument/2006/relationships/hyperlink" Target="https://docs.inecelectionresults.net/elections_prod/1292/state/01/lga/01/ward/03/pu/005/005-1677426742.pdf" TargetMode="External"/><Relationship Id="rId3520" Type="http://schemas.openxmlformats.org/officeDocument/2006/relationships/hyperlink" Target="https://docs.inecelectionresults.net/elections_prod/1292/state/01/lga/11/ward/04/pu/007/007-1677422125.pdf" TargetMode="External"/><Relationship Id="rId18" Type="http://schemas.openxmlformats.org/officeDocument/2006/relationships/hyperlink" Target="https://docs.inecelectionresults.net/elections_prod/1292/state/01/lga/01/ward/03/pu/004/004-1677419877.pdf" TargetMode="External"/><Relationship Id="rId3522" Type="http://schemas.openxmlformats.org/officeDocument/2006/relationships/hyperlink" Target="https://docs.inecelectionresults.net/elections_prod/1292/state/01/lga/11/ward/05/pu/013/013-1677376051.pdf" TargetMode="External"/><Relationship Id="rId3521" Type="http://schemas.openxmlformats.org/officeDocument/2006/relationships/hyperlink" Target="https://docs.inecelectionresults.net/elections_prod/1292/state/01/lga/11/ward/04/pu/008/008-1677423338.pdf" TargetMode="External"/><Relationship Id="rId84" Type="http://schemas.openxmlformats.org/officeDocument/2006/relationships/hyperlink" Target="https://docs.inecelectionresults.net/elections_prod/1292/state/1/lga/3666/ward/23958/pu/90888/90888-1677482699.pdf" TargetMode="External"/><Relationship Id="rId1774" Type="http://schemas.openxmlformats.org/officeDocument/2006/relationships/hyperlink" Target="https://docs.inecelectionresults.net/elections_prod/1292/state/01/lga/13/ward/08/pu/002/002-1677408879.pdf" TargetMode="External"/><Relationship Id="rId83" Type="http://schemas.openxmlformats.org/officeDocument/2006/relationships/hyperlink" Target="https://docs.inecelectionresults.net/elections_prod/1292/state/1/lga/3666/ward/23958/pu/90887/90887-1677483599.pdf" TargetMode="External"/><Relationship Id="rId1775" Type="http://schemas.openxmlformats.org/officeDocument/2006/relationships/hyperlink" Target="https://docs.inecelectionresults.net/elections_prod/1292/state/01/lga/13/ward/08/pu/003/003-1677409713.pdf" TargetMode="External"/><Relationship Id="rId86" Type="http://schemas.openxmlformats.org/officeDocument/2006/relationships/hyperlink" Target="https://inec-cvr-cache.s3.eu-west-1.amazonaws.com/cached/results/89804/result_76127_1677484737_thumb.jpg" TargetMode="External"/><Relationship Id="rId1776" Type="http://schemas.openxmlformats.org/officeDocument/2006/relationships/hyperlink" Target="https://docs.inecelectionresults.net/elections_prod/1292/state/01/lga/13/ward/08/pu/004/004-1677408154.pdf" TargetMode="External"/><Relationship Id="rId85" Type="http://schemas.openxmlformats.org/officeDocument/2006/relationships/hyperlink" Target="https://docs.inecelectionresults.net/elections_prod/1292/state/01/lga/01/ward/09/pu/005/005-1677428076.pdf" TargetMode="External"/><Relationship Id="rId1777" Type="http://schemas.openxmlformats.org/officeDocument/2006/relationships/hyperlink" Target="https://docs.inecelectionresults.net/elections_prod/1292/state/01/lga/13/ward/08/pu/005/005-1677409163.pdf" TargetMode="External"/><Relationship Id="rId88" Type="http://schemas.openxmlformats.org/officeDocument/2006/relationships/hyperlink" Target="https://docs.inecelectionresults.net/elections_prod/1292/state/1/lga/3666/ward/23958/pu/90892/90892-1677484209.pdf" TargetMode="External"/><Relationship Id="rId1778" Type="http://schemas.openxmlformats.org/officeDocument/2006/relationships/hyperlink" Target="https://docs.inecelectionresults.net/elections_prod/1292/state/01/lga/13/ward/08/pu/006/006-1677408777.pdf" TargetMode="External"/><Relationship Id="rId87" Type="http://schemas.openxmlformats.org/officeDocument/2006/relationships/hyperlink" Target="https://docs.inecelectionresults.net/elections_prod/1292/state/1/lga/3666/ward/23958/pu/90891/90891-1677485299.pdf" TargetMode="External"/><Relationship Id="rId1779" Type="http://schemas.openxmlformats.org/officeDocument/2006/relationships/hyperlink" Target="https://docs.inecelectionresults.net/elections_prod/1292/state/01/lga/13/ward/08/pu/007/007-1677408316.pdf" TargetMode="External"/><Relationship Id="rId89" Type="http://schemas.openxmlformats.org/officeDocument/2006/relationships/hyperlink" Target="https://docs.inecelectionresults.net/elections_prod/1292/state/1/lga/3666/ward/23958/pu/90893/90893-1677487034.pdf" TargetMode="External"/><Relationship Id="rId80" Type="http://schemas.openxmlformats.org/officeDocument/2006/relationships/hyperlink" Target="https://docs.inecelectionresults.net/elections_prod/1292/state/01/lga/01/ward/08/pu/009/009-1677392596.pdf" TargetMode="External"/><Relationship Id="rId82" Type="http://schemas.openxmlformats.org/officeDocument/2006/relationships/hyperlink" Target="https://docs.inecelectionresults.net/elections_prod/1292/state/01/lga/01/ward/09/pu/002/002-1677428415.pdf" TargetMode="External"/><Relationship Id="rId81" Type="http://schemas.openxmlformats.org/officeDocument/2006/relationships/hyperlink" Target="https://docs.inecelectionresults.net/elections_prod/1292/state/1/lga/3666/ward/23958/pu/90885/90885-1677485589.pdf" TargetMode="External"/><Relationship Id="rId1770" Type="http://schemas.openxmlformats.org/officeDocument/2006/relationships/hyperlink" Target="https://docs.inecelectionresults.net/elections_prod/1292/state/01/lga/13/ward/07/pu/002/002-1677406925.pdf" TargetMode="External"/><Relationship Id="rId1771" Type="http://schemas.openxmlformats.org/officeDocument/2006/relationships/hyperlink" Target="https://docs.inecelectionresults.net/elections_prod/1292/state/01/lga/13/ward/07/pu/003/003-1677405612.pdf" TargetMode="External"/><Relationship Id="rId1772" Type="http://schemas.openxmlformats.org/officeDocument/2006/relationships/hyperlink" Target="https://docs.inecelectionresults.net/elections_prod/1292/state/01/lga/13/ward/07/pu/004/004-1677407336.pdf" TargetMode="External"/><Relationship Id="rId1773" Type="http://schemas.openxmlformats.org/officeDocument/2006/relationships/hyperlink" Target="https://docs.inecelectionresults.net/elections_prod/1292/state/01/lga/13/ward/08/pu/001/001-1677408116.pdf" TargetMode="External"/><Relationship Id="rId73" Type="http://schemas.openxmlformats.org/officeDocument/2006/relationships/hyperlink" Target="https://docs.inecelectionresults.net/elections_prod/1292/state/01/lga/01/ward/08/pu/002/002-1677383148.pdf" TargetMode="External"/><Relationship Id="rId1763" Type="http://schemas.openxmlformats.org/officeDocument/2006/relationships/hyperlink" Target="https://docs.inecelectionresults.net/elections_prod/1292/state/01/lga/13/ward/06/pu/001/001-1677421705.pdf" TargetMode="External"/><Relationship Id="rId72" Type="http://schemas.openxmlformats.org/officeDocument/2006/relationships/hyperlink" Target="https://docs.inecelectionresults.net/elections_prod/1292/state/01/lga/01/ward/08/pu/001/001-1677382717.pdf" TargetMode="External"/><Relationship Id="rId1764" Type="http://schemas.openxmlformats.org/officeDocument/2006/relationships/hyperlink" Target="https://docs.inecelectionresults.net/elections_prod/1292/state/01/lga/13/ward/06/pu/002/002-1677420742.pdf" TargetMode="External"/><Relationship Id="rId75" Type="http://schemas.openxmlformats.org/officeDocument/2006/relationships/hyperlink" Target="https://docs.inecelectionresults.net/elections_prod/1292/state/01/lga/01/ward/08/pu/004/004-1677393842.pdf" TargetMode="External"/><Relationship Id="rId1765" Type="http://schemas.openxmlformats.org/officeDocument/2006/relationships/hyperlink" Target="https://docs.inecelectionresults.net/elections_prod/1292/state/01/lga/13/ward/06/pu/003/003-1677420856.pdf" TargetMode="External"/><Relationship Id="rId74" Type="http://schemas.openxmlformats.org/officeDocument/2006/relationships/hyperlink" Target="https://docs.inecelectionresults.net/elections_prod/1292/state/01/lga/01/ward/08/pu/003/003-1677383982.pdf" TargetMode="External"/><Relationship Id="rId1766" Type="http://schemas.openxmlformats.org/officeDocument/2006/relationships/hyperlink" Target="https://docs.inecelectionresults.net/elections_prod/1292/state/01/lga/13/ward/06/pu/004/004-1677421590.pdf" TargetMode="External"/><Relationship Id="rId77" Type="http://schemas.openxmlformats.org/officeDocument/2006/relationships/hyperlink" Target="https://docs.inecelectionresults.net/elections_prod/1292/state/01/lga/01/ward/08/pu/006/006-1677386061.pdf" TargetMode="External"/><Relationship Id="rId1767" Type="http://schemas.openxmlformats.org/officeDocument/2006/relationships/hyperlink" Target="https://docs.inecelectionresults.net/elections_prod/1292/state/01/lga/13/ward/06/pu/005/005-1677420652.pdf" TargetMode="External"/><Relationship Id="rId76" Type="http://schemas.openxmlformats.org/officeDocument/2006/relationships/hyperlink" Target="https://docs.inecelectionresults.net/elections_prod/1292/state/01/lga/01/ward/08/pu/005/005-1677385453.pdf" TargetMode="External"/><Relationship Id="rId1768" Type="http://schemas.openxmlformats.org/officeDocument/2006/relationships/hyperlink" Target="https://docs.inecelectionresults.net/elections_prod/1292/state/01/lga/13/ward/06/pu/006/006-1677421023.pdf" TargetMode="External"/><Relationship Id="rId79" Type="http://schemas.openxmlformats.org/officeDocument/2006/relationships/hyperlink" Target="https://docs.inecelectionresults.net/elections_prod/1292/state/01/lga/01/ward/08/pu/008/008-1677387037.pdf" TargetMode="External"/><Relationship Id="rId1769" Type="http://schemas.openxmlformats.org/officeDocument/2006/relationships/hyperlink" Target="https://docs.inecelectionresults.net/elections_prod/1292/state/01/lga/13/ward/07/pu/001/001-1677406876.pdf" TargetMode="External"/><Relationship Id="rId78" Type="http://schemas.openxmlformats.org/officeDocument/2006/relationships/hyperlink" Target="https://docs.inecelectionresults.net/elections_prod/1292/state/01/lga/01/ward/08/pu/007/007-1677391541.pdf" TargetMode="External"/><Relationship Id="rId71" Type="http://schemas.openxmlformats.org/officeDocument/2006/relationships/hyperlink" Target="https://docs.inecelectionresults.net/elections_prod/1292/state/01/lga/01/ward/07/pu/011/011-1677412914.pdf" TargetMode="External"/><Relationship Id="rId70" Type="http://schemas.openxmlformats.org/officeDocument/2006/relationships/hyperlink" Target="https://docs.inecelectionresults.net/elections_prod/1292/state/01/lga/01/ward/07/pu/010/010-1677421901.pdf" TargetMode="External"/><Relationship Id="rId1760" Type="http://schemas.openxmlformats.org/officeDocument/2006/relationships/hyperlink" Target="https://docs.inecelectionresults.net/elections_prod/1292/state/01/lga/13/ward/05/pu/008/008-1677420039.pdf" TargetMode="External"/><Relationship Id="rId1761" Type="http://schemas.openxmlformats.org/officeDocument/2006/relationships/hyperlink" Target="https://docs.inecelectionresults.net/elections_prod/1292/state/01/lga/13/ward/05/pu/009/009-1677419219.pdf" TargetMode="External"/><Relationship Id="rId1762" Type="http://schemas.openxmlformats.org/officeDocument/2006/relationships/hyperlink" Target="https://docs.inecelectionresults.net/elections_prod/1292/state/01/lga/13/ward/05/pu/011/011-1677418807.pdf" TargetMode="External"/><Relationship Id="rId62" Type="http://schemas.openxmlformats.org/officeDocument/2006/relationships/hyperlink" Target="https://docs.inecelectionresults.net/elections_prod/1292/state/01/lga/01/ward/06/pu/010/010-1677428433.pdf" TargetMode="External"/><Relationship Id="rId1796" Type="http://schemas.openxmlformats.org/officeDocument/2006/relationships/hyperlink" Target="https://docs.inecelectionresults.net/elections_prod/1292/state/01/lga/13/ward/10/pu/008/008-1677412186.pdf" TargetMode="External"/><Relationship Id="rId61" Type="http://schemas.openxmlformats.org/officeDocument/2006/relationships/hyperlink" Target="https://docs.inecelectionresults.net/elections_prod/1292/state/01/lga/01/ward/06/pu/009/009-1677427595.pdf" TargetMode="External"/><Relationship Id="rId1797" Type="http://schemas.openxmlformats.org/officeDocument/2006/relationships/hyperlink" Target="https://docs.inecelectionresults.net/elections_prod/1292/state/01/lga/14/ward/01/pu/002/002-1677410455.pdf" TargetMode="External"/><Relationship Id="rId64" Type="http://schemas.openxmlformats.org/officeDocument/2006/relationships/hyperlink" Target="https://docs.inecelectionresults.net/elections_prod/1292/state/01/lga/01/ward/07/pu/002/002-1677416868.pdf" TargetMode="External"/><Relationship Id="rId1798" Type="http://schemas.openxmlformats.org/officeDocument/2006/relationships/hyperlink" Target="https://docs.inecelectionresults.net/elections_prod/1292/state/01/lga/14/ward/01/pu/004/004-1677408131.pdf" TargetMode="External"/><Relationship Id="rId63" Type="http://schemas.openxmlformats.org/officeDocument/2006/relationships/hyperlink" Target="https://docs.inecelectionresults.net/elections_prod/1292/state/01/lga/01/ward/07/pu/001/001-1677415555.pdf" TargetMode="External"/><Relationship Id="rId1799" Type="http://schemas.openxmlformats.org/officeDocument/2006/relationships/hyperlink" Target="https://docs.inecelectionresults.net/elections_prod/1292/state/01/lga/14/ward/01/pu/005/005-1677407631.pdf" TargetMode="External"/><Relationship Id="rId66" Type="http://schemas.openxmlformats.org/officeDocument/2006/relationships/hyperlink" Target="https://docs.inecelectionresults.net/elections_prod/1292/state/01/lga/01/ward/07/pu/004/004-1677419377.pdf" TargetMode="External"/><Relationship Id="rId65" Type="http://schemas.openxmlformats.org/officeDocument/2006/relationships/hyperlink" Target="https://docs.inecelectionresults.net/elections_prod/1292/state/01/lga/01/ward/07/pu/003/003-1677410456.pdf" TargetMode="External"/><Relationship Id="rId68" Type="http://schemas.openxmlformats.org/officeDocument/2006/relationships/hyperlink" Target="https://docs.inecelectionresults.net/elections_prod/1292/state/01/lga/01/ward/07/pu/007/007-1677413503.pdf" TargetMode="External"/><Relationship Id="rId67" Type="http://schemas.openxmlformats.org/officeDocument/2006/relationships/hyperlink" Target="https://docs.inecelectionresults.net/elections_prod/1292/state/01/lga/01/ward/07/pu/005/005-1677420847.pdf" TargetMode="External"/><Relationship Id="rId60" Type="http://schemas.openxmlformats.org/officeDocument/2006/relationships/hyperlink" Target="https://docs.inecelectionresults.net/elections_prod/1292/state/01/lga/01/ward/06/pu/007/007-1677426063.pdf" TargetMode="External"/><Relationship Id="rId69" Type="http://schemas.openxmlformats.org/officeDocument/2006/relationships/hyperlink" Target="https://docs.inecelectionresults.net/elections_prod/1292/state/01/lga/01/ward/07/pu/008/008-1677416699.pdf" TargetMode="External"/><Relationship Id="rId1790" Type="http://schemas.openxmlformats.org/officeDocument/2006/relationships/hyperlink" Target="https://docs.inecelectionresults.net/elections_prod/1292/state/01/lga/13/ward/10/pu/002/002-1677411233.pdf" TargetMode="External"/><Relationship Id="rId1791" Type="http://schemas.openxmlformats.org/officeDocument/2006/relationships/hyperlink" Target="https://docs.inecelectionresults.net/elections_prod/1292/state/01/lga/13/ward/10/pu/003/003-1677411547.pdf" TargetMode="External"/><Relationship Id="rId1792" Type="http://schemas.openxmlformats.org/officeDocument/2006/relationships/hyperlink" Target="https://docs.inecelectionresults.net/elections_prod/1292/state/01/lga/13/ward/10/pu/004/004-1677412220.pdf" TargetMode="External"/><Relationship Id="rId1793" Type="http://schemas.openxmlformats.org/officeDocument/2006/relationships/hyperlink" Target="https://docs.inecelectionresults.net/elections_prod/1292/state/01/lga/13/ward/10/pu/005/005-1677411989.pdf" TargetMode="External"/><Relationship Id="rId1794" Type="http://schemas.openxmlformats.org/officeDocument/2006/relationships/hyperlink" Target="https://docs.inecelectionresults.net/elections_prod/1292/state/01/lga/13/ward/10/pu/006/006-1677411663.pdf" TargetMode="External"/><Relationship Id="rId1795" Type="http://schemas.openxmlformats.org/officeDocument/2006/relationships/hyperlink" Target="https://docs.inecelectionresults.net/elections_prod/1292/state/01/lga/13/ward/10/pu/007/007-1677412403.pdf" TargetMode="External"/><Relationship Id="rId51" Type="http://schemas.openxmlformats.org/officeDocument/2006/relationships/hyperlink" Target="https://docs.inecelectionresults.net/elections_prod/1292/state/1/lga/3666/ward/23954/pu/90851/90851-1677489352.pdf" TargetMode="External"/><Relationship Id="rId1785" Type="http://schemas.openxmlformats.org/officeDocument/2006/relationships/hyperlink" Target="https://docs.inecelectionresults.net/elections_prod/1292/state/01/lga/13/ward/09/pu/004/004-1677414215.pdf" TargetMode="External"/><Relationship Id="rId50" Type="http://schemas.openxmlformats.org/officeDocument/2006/relationships/hyperlink" Target="https://docs.inecelectionresults.net/elections_prod/1292/state/01/lga/01/ward/05/pu/016/016-1677428056.pdf" TargetMode="External"/><Relationship Id="rId1786" Type="http://schemas.openxmlformats.org/officeDocument/2006/relationships/hyperlink" Target="https://docs.inecelectionresults.net/elections_prod/1292/state/01/lga/13/ward/09/pu/005/005-1677414823.pdf" TargetMode="External"/><Relationship Id="rId53" Type="http://schemas.openxmlformats.org/officeDocument/2006/relationships/hyperlink" Target="https://docs.inecelectionresults.net/elections_prod/1292/state/01/lga/01/ward/05/pu/019/019-1677409751.pdf" TargetMode="External"/><Relationship Id="rId1787" Type="http://schemas.openxmlformats.org/officeDocument/2006/relationships/hyperlink" Target="https://docs.inecelectionresults.net/elections_prod/1292/state/01/lga/13/ward/09/pu/006/006-1677414735.pdf" TargetMode="External"/><Relationship Id="rId52" Type="http://schemas.openxmlformats.org/officeDocument/2006/relationships/hyperlink" Target="https://docs.inecelectionresults.net/elections_prod/1292/state/01/lga/01/ward/05/pu/018/018-1677417134.pdf" TargetMode="External"/><Relationship Id="rId1788" Type="http://schemas.openxmlformats.org/officeDocument/2006/relationships/hyperlink" Target="https://docs.inecelectionresults.net/elections_prod/1292/state/01/lga/13/ward/09/pu/007/007-1677414447.pdf" TargetMode="External"/><Relationship Id="rId55" Type="http://schemas.openxmlformats.org/officeDocument/2006/relationships/hyperlink" Target="https://docs.inecelectionresults.net/elections_prod/1292/state/01/lga/01/ward/06/pu/002/002-1677421496.pdf" TargetMode="External"/><Relationship Id="rId1789" Type="http://schemas.openxmlformats.org/officeDocument/2006/relationships/hyperlink" Target="https://docs.inecelectionresults.net/elections_prod/1292/state/01/lga/13/ward/10/pu/001/001-1677410438.pdf" TargetMode="External"/><Relationship Id="rId54" Type="http://schemas.openxmlformats.org/officeDocument/2006/relationships/hyperlink" Target="https://docs.inecelectionresults.net/elections_prod/1292/state/01/lga/01/ward/06/pu/001/001-1677420639.pdf" TargetMode="External"/><Relationship Id="rId57" Type="http://schemas.openxmlformats.org/officeDocument/2006/relationships/hyperlink" Target="https://docs.inecelectionresults.net/elections_prod/1292/state/01/lga/01/ward/06/pu/005/005-1677423938.pdf" TargetMode="External"/><Relationship Id="rId56" Type="http://schemas.openxmlformats.org/officeDocument/2006/relationships/hyperlink" Target="https://docs.inecelectionresults.net/elections_prod/1292/state/01/lga/01/ward/06/pu/004/004-1677422579.pdf" TargetMode="External"/><Relationship Id="rId59" Type="http://schemas.openxmlformats.org/officeDocument/2006/relationships/hyperlink" Target="https://docs.inecelectionresults.net/elections_prod/1292/state/01/lga/01/ward/06/pu/007/007-1677426063.pdf" TargetMode="External"/><Relationship Id="rId58" Type="http://schemas.openxmlformats.org/officeDocument/2006/relationships/hyperlink" Target="https://docs.inecelectionresults.net/elections_prod/1292/state/01/lga/01/ward/06/pu/006/006-1677425161.pdf" TargetMode="External"/><Relationship Id="rId1780" Type="http://schemas.openxmlformats.org/officeDocument/2006/relationships/hyperlink" Target="https://docs.inecelectionresults.net/elections_prod/1292/state/01/lga/13/ward/08/pu/008/008-1677409843.pdf" TargetMode="External"/><Relationship Id="rId1781" Type="http://schemas.openxmlformats.org/officeDocument/2006/relationships/hyperlink" Target="https://docs.inecelectionresults.net/elections_prod/1292/state/01/lga/13/ward/08/pu/009/009-1677408090.pdf" TargetMode="External"/><Relationship Id="rId1782" Type="http://schemas.openxmlformats.org/officeDocument/2006/relationships/hyperlink" Target="https://docs.inecelectionresults.net/elections_prod/1292/state/01/lga/13/ward/08/pu/010/010-1677408920.pdf" TargetMode="External"/><Relationship Id="rId1783" Type="http://schemas.openxmlformats.org/officeDocument/2006/relationships/hyperlink" Target="https://docs.inecelectionresults.net/elections_prod/1292/state/01/lga/13/ward/09/pu/001/001-1677414078.pdf" TargetMode="External"/><Relationship Id="rId1784" Type="http://schemas.openxmlformats.org/officeDocument/2006/relationships/hyperlink" Target="https://docs.inecelectionresults.net/elections_prod/1292/state/01/lga/13/ward/09/pu/003/003-1677414757.pdf" TargetMode="External"/><Relationship Id="rId2269" Type="http://schemas.openxmlformats.org/officeDocument/2006/relationships/hyperlink" Target="https://docs.inecelectionresults.net/elections_prod/1292/state/01/lga/18/ward/01/pu/002/002-1677360121.pdf" TargetMode="External"/><Relationship Id="rId349" Type="http://schemas.openxmlformats.org/officeDocument/2006/relationships/hyperlink" Target="https://docs.inecelectionresults.net/elections_prod/1292/state/01/lga/02/ward/11/pu/025/025-1677413623.pdf" TargetMode="External"/><Relationship Id="rId348" Type="http://schemas.openxmlformats.org/officeDocument/2006/relationships/hyperlink" Target="https://docs.inecelectionresults.net/elections_prod/1292/state/01/lga/02/ward/11/pu/024/024-1677416950.pdf" TargetMode="External"/><Relationship Id="rId347" Type="http://schemas.openxmlformats.org/officeDocument/2006/relationships/hyperlink" Target="https://docs.inecelectionresults.net/elections_prod/1292/state/01/lga/02/ward/11/pu/023/023-1677419265.pdf" TargetMode="External"/><Relationship Id="rId346" Type="http://schemas.openxmlformats.org/officeDocument/2006/relationships/hyperlink" Target="https://docs.inecelectionresults.net/elections_prod/1292/state/01/lga/02/ward/11/pu/022/022-1677417051.pdf" TargetMode="External"/><Relationship Id="rId3591" Type="http://schemas.openxmlformats.org/officeDocument/2006/relationships/hyperlink" Target="https://docs.inecelectionresults.net/elections_prod/1292/state/01/lga/12/ward/04/pu/010/010-1677400189.pdf" TargetMode="External"/><Relationship Id="rId2260" Type="http://schemas.openxmlformats.org/officeDocument/2006/relationships/hyperlink" Target="https://docs.inecelectionresults.net/elections_prod/1292/state/01/lga/17/ward/14/pu/005/005-1677375899.pdf" TargetMode="External"/><Relationship Id="rId3590" Type="http://schemas.openxmlformats.org/officeDocument/2006/relationships/hyperlink" Target="https://docs.inecelectionresults.net/elections_prod/1292/state/01/lga/12/ward/04/pu/009/009-1677399671.pdf" TargetMode="External"/><Relationship Id="rId341" Type="http://schemas.openxmlformats.org/officeDocument/2006/relationships/hyperlink" Target="https://docs.inecelectionresults.net/elections_prod/1292/state/01/lga/02/ward/11/pu/016/016-1677401097.pdf" TargetMode="External"/><Relationship Id="rId2261" Type="http://schemas.openxmlformats.org/officeDocument/2006/relationships/hyperlink" Target="https://inec-cvr-cache.s3.eu-west-1.amazonaws.com/cached/results/92505/result_80444_1677528345_thumb.jpg" TargetMode="External"/><Relationship Id="rId3593" Type="http://schemas.openxmlformats.org/officeDocument/2006/relationships/hyperlink" Target="https://docs.inecelectionresults.net/elections_prod/1292/state/01/lga/12/ward/04/pu/012/012-1677401254.pdf" TargetMode="External"/><Relationship Id="rId340" Type="http://schemas.openxmlformats.org/officeDocument/2006/relationships/hyperlink" Target="https://docs.inecelectionresults.net/elections_prod/1292/state/01/lga/02/ward/11/pu/015/015-1677406466.pdf" TargetMode="External"/><Relationship Id="rId2262" Type="http://schemas.openxmlformats.org/officeDocument/2006/relationships/hyperlink" Target="https://docs.inecelectionresults.net/elections_prod/1292/state/01/lga/17/ward/14/pu/007/007-1677375398.pdf" TargetMode="External"/><Relationship Id="rId3592" Type="http://schemas.openxmlformats.org/officeDocument/2006/relationships/hyperlink" Target="https://docs.inecelectionresults.net/elections_prod/1292/state/01/lga/12/ward/04/pu/011/011-1677401080.pdf" TargetMode="External"/><Relationship Id="rId2263" Type="http://schemas.openxmlformats.org/officeDocument/2006/relationships/hyperlink" Target="https://docs.inecelectionresults.net/elections_prod/1292/state/01/lga/17/ward/14/pu/010/010-1677366073.pdf" TargetMode="External"/><Relationship Id="rId3595" Type="http://schemas.openxmlformats.org/officeDocument/2006/relationships/hyperlink" Target="https://docs.inecelectionresults.net/elections_prod/1292/state/01/lga/12/ward/05/pu/012/012-1677398473.pdf" TargetMode="External"/><Relationship Id="rId2264" Type="http://schemas.openxmlformats.org/officeDocument/2006/relationships/hyperlink" Target="https://docs.inecelectionresults.net/elections_prod/1292/state/01/lga/17/ward/15/pu/001/001-1677363213.pdf" TargetMode="External"/><Relationship Id="rId3594" Type="http://schemas.openxmlformats.org/officeDocument/2006/relationships/hyperlink" Target="https://docs.inecelectionresults.net/elections_prod/1292/state/01/lga/12/ward/05/pu/011/011-1677397935.pdf" TargetMode="External"/><Relationship Id="rId345" Type="http://schemas.openxmlformats.org/officeDocument/2006/relationships/hyperlink" Target="https://docs.inecelectionresults.net/elections_prod/1292/state/01/lga/02/ward/11/pu/021/021-1677416467.pdf" TargetMode="External"/><Relationship Id="rId2265" Type="http://schemas.openxmlformats.org/officeDocument/2006/relationships/hyperlink" Target="https://docs.inecelectionresults.net/elections_prod/1292/state/01/lga/17/ward/15/pu/003/003-1677363986.pdf" TargetMode="External"/><Relationship Id="rId3597" Type="http://schemas.openxmlformats.org/officeDocument/2006/relationships/hyperlink" Target="https://docs.inecelectionresults.net/elections_prod/1292/state/01/lga/12/ward/05/pu/014/014-1677400205.pdf" TargetMode="External"/><Relationship Id="rId344" Type="http://schemas.openxmlformats.org/officeDocument/2006/relationships/hyperlink" Target="https://docs.inecelectionresults.net/elections_prod/1292/state/01/lga/02/ward/11/pu/020/020-1677415087.pdf" TargetMode="External"/><Relationship Id="rId2266" Type="http://schemas.openxmlformats.org/officeDocument/2006/relationships/hyperlink" Target="https://docs.inecelectionresults.net/elections_prod/1292/state/01/lga/17/ward/15/pu/005/005-1677365548.pdf" TargetMode="External"/><Relationship Id="rId3596" Type="http://schemas.openxmlformats.org/officeDocument/2006/relationships/hyperlink" Target="https://docs.inecelectionresults.net/elections_prod/1292/state/01/lga/12/ward/05/pu/013/013-1677399094.pdf" TargetMode="External"/><Relationship Id="rId343" Type="http://schemas.openxmlformats.org/officeDocument/2006/relationships/hyperlink" Target="https://docs.inecelectionresults.net/elections_prod/1292/state/01/lga/02/ward/11/pu/019/019-1677403718.pdf" TargetMode="External"/><Relationship Id="rId2267" Type="http://schemas.openxmlformats.org/officeDocument/2006/relationships/hyperlink" Target="https://docs.inecelectionresults.net/elections_prod/1292/state/1/lga/3682/ward/24150/pu/93617/93617-1677594408.pdf" TargetMode="External"/><Relationship Id="rId3599" Type="http://schemas.openxmlformats.org/officeDocument/2006/relationships/hyperlink" Target="https://docs.inecelectionresults.net/elections_prod/1292/state/01/lga/12/ward/05/pu/016/016-1677400290.pdf" TargetMode="External"/><Relationship Id="rId342" Type="http://schemas.openxmlformats.org/officeDocument/2006/relationships/hyperlink" Target="https://docs.inecelectionresults.net/elections_prod/1292/state/01/lga/02/ward/11/pu/018/018-1677396039.pdf" TargetMode="External"/><Relationship Id="rId2268" Type="http://schemas.openxmlformats.org/officeDocument/2006/relationships/hyperlink" Target="https://docs.inecelectionresults.net/elections_prod/1292/state/01/lga/18/ward/01/pu/001/001-1677404000.pdf" TargetMode="External"/><Relationship Id="rId3598" Type="http://schemas.openxmlformats.org/officeDocument/2006/relationships/hyperlink" Target="https://docs.inecelectionresults.net/elections_prod/1292/state/01/lga/12/ward/05/pu/015/015-1677400674.pdf" TargetMode="External"/><Relationship Id="rId2258" Type="http://schemas.openxmlformats.org/officeDocument/2006/relationships/hyperlink" Target="https://inec-cvr-cache.s3.eu-west-1.amazonaws.com/cached/results/92501/result_80440_1677510402_thumb.jpg" TargetMode="External"/><Relationship Id="rId2259" Type="http://schemas.openxmlformats.org/officeDocument/2006/relationships/hyperlink" Target="https://inec-cvr-cache.s3.eu-west-1.amazonaws.com/cached/results/92503/result_80442_1677528625_thumb.jpg" TargetMode="External"/><Relationship Id="rId3589" Type="http://schemas.openxmlformats.org/officeDocument/2006/relationships/hyperlink" Target="https://docs.inecelectionresults.net/elections_prod/1292/state/01/lga/12/ward/03/pu/009/009-1677399738.pdf" TargetMode="External"/><Relationship Id="rId338" Type="http://schemas.openxmlformats.org/officeDocument/2006/relationships/hyperlink" Target="https://docs.inecelectionresults.net/elections_prod/1292/state/01/lga/02/ward/11/pu/013/013-1677413824.pdf" TargetMode="External"/><Relationship Id="rId337" Type="http://schemas.openxmlformats.org/officeDocument/2006/relationships/hyperlink" Target="https://docs.inecelectionresults.net/elections_prod/1292/state/01/lga/02/ward/11/pu/012/012-1677418844.pdf" TargetMode="External"/><Relationship Id="rId336" Type="http://schemas.openxmlformats.org/officeDocument/2006/relationships/hyperlink" Target="https://docs.inecelectionresults.net/elections_prod/1292/state/01/lga/02/ward/11/pu/010/010-1677410685.pdf" TargetMode="External"/><Relationship Id="rId335" Type="http://schemas.openxmlformats.org/officeDocument/2006/relationships/hyperlink" Target="https://docs.inecelectionresults.net/elections_prod/1292/state/01/lga/02/ward/11/pu/009/009-1677415592.pdf" TargetMode="External"/><Relationship Id="rId3580" Type="http://schemas.openxmlformats.org/officeDocument/2006/relationships/hyperlink" Target="https://docs.inecelectionresults.net/elections_prod/1292/state/01/lga/12/ward/08/pu/011/011-1677397685.pdf" TargetMode="External"/><Relationship Id="rId339" Type="http://schemas.openxmlformats.org/officeDocument/2006/relationships/hyperlink" Target="https://docs.inecelectionresults.net/elections_prod/1292/state/01/lga/02/ward/11/pu/014/014-1677414092.pdf" TargetMode="External"/><Relationship Id="rId330" Type="http://schemas.openxmlformats.org/officeDocument/2006/relationships/hyperlink" Target="https://docs.inecelectionresults.net/elections_prod/1292/state/01/lga/02/ward/11/pu/002/002-1677415742.pdf" TargetMode="External"/><Relationship Id="rId2250" Type="http://schemas.openxmlformats.org/officeDocument/2006/relationships/hyperlink" Target="https://inec-cvr-cache.s3.eu-west-1.amazonaws.com/cached/results/92491/result_80429_1677587545_thumb.jpg" TargetMode="External"/><Relationship Id="rId3582" Type="http://schemas.openxmlformats.org/officeDocument/2006/relationships/hyperlink" Target="https://docs.inecelectionresults.net/elections_prod/1292/state/01/lga/12/ward/08/pu/014/014-1677398616.pdf" TargetMode="External"/><Relationship Id="rId2251" Type="http://schemas.openxmlformats.org/officeDocument/2006/relationships/hyperlink" Target="https://inec-cvr-cache.s3.eu-west-1.amazonaws.com/cached/results/92492/result_80430_1677589293_thumb.jpg" TargetMode="External"/><Relationship Id="rId3581" Type="http://schemas.openxmlformats.org/officeDocument/2006/relationships/hyperlink" Target="https://docs.inecelectionresults.net/elections_prod/1292/state/1/lga/3677/ward/24089/pu/165991/165991-1677473162.pdf" TargetMode="External"/><Relationship Id="rId2252" Type="http://schemas.openxmlformats.org/officeDocument/2006/relationships/hyperlink" Target="https://docs.inecelectionresults.net/elections_prod/1292/state/1/lga/3682/ward/24147/pu/93594/93594-1677589264.pdf" TargetMode="External"/><Relationship Id="rId3584" Type="http://schemas.openxmlformats.org/officeDocument/2006/relationships/hyperlink" Target="https://docs.inecelectionresults.net/elections_prod/1292/state/01/lga/12/ward/09/pu/010/010-1677396435.pdf" TargetMode="External"/><Relationship Id="rId2253" Type="http://schemas.openxmlformats.org/officeDocument/2006/relationships/hyperlink" Target="https://docs.inecelectionresults.net/elections_prod/1292/state/01/lga/17/ward/12/pu/005/005-1677372485.pdf" TargetMode="External"/><Relationship Id="rId3583" Type="http://schemas.openxmlformats.org/officeDocument/2006/relationships/hyperlink" Target="https://docs.inecelectionresults.net/elections_prod/1292/state/01/lga/12/ward/08/pu/015/015-1677398938.pdf" TargetMode="External"/><Relationship Id="rId334" Type="http://schemas.openxmlformats.org/officeDocument/2006/relationships/hyperlink" Target="https://docs.inecelectionresults.net/elections_prod/1292/state/01/lga/02/ward/11/pu/007/007-1677407636.pdf" TargetMode="External"/><Relationship Id="rId2254" Type="http://schemas.openxmlformats.org/officeDocument/2006/relationships/hyperlink" Target="https://docs.inecelectionresults.net/elections_prod/1292/state/1/lga/3682/ward/24147/pu/93596/93596-1677589565.pdf" TargetMode="External"/><Relationship Id="rId3586" Type="http://schemas.openxmlformats.org/officeDocument/2006/relationships/hyperlink" Target="https://docs.inecelectionresults.net/elections_prod/1292/state/01/lga/12/ward/10/pu/006/006-1677393144.pdf" TargetMode="External"/><Relationship Id="rId333" Type="http://schemas.openxmlformats.org/officeDocument/2006/relationships/hyperlink" Target="https://docs.inecelectionresults.net/elections_prod/1292/state/01/lga/02/ward/11/pu/006/006-1677394239.pdf" TargetMode="External"/><Relationship Id="rId2255" Type="http://schemas.openxmlformats.org/officeDocument/2006/relationships/hyperlink" Target="https://docs.inecelectionresults.net/elections_prod/1292/state/01/lga/17/ward/13/pu/001/001-1677360451.pdf" TargetMode="External"/><Relationship Id="rId3585" Type="http://schemas.openxmlformats.org/officeDocument/2006/relationships/hyperlink" Target="https://docs.inecelectionresults.net/elections_prod/1292/state/01/lga/12/ward/09/pu/011/011-1677389742.pdf" TargetMode="External"/><Relationship Id="rId332" Type="http://schemas.openxmlformats.org/officeDocument/2006/relationships/hyperlink" Target="https://docs.inecelectionresults.net/elections_prod/1292/state/01/lga/02/ward/11/pu/005/005-1677416574.pdf" TargetMode="External"/><Relationship Id="rId2256" Type="http://schemas.openxmlformats.org/officeDocument/2006/relationships/hyperlink" Target="https://docs.inecelectionresults.net/elections_prod/1292/state/01/lga/17/ward/13/pu/002/002-1677361741.pdf" TargetMode="External"/><Relationship Id="rId3588" Type="http://schemas.openxmlformats.org/officeDocument/2006/relationships/hyperlink" Target="https://docs.inecelectionresults.net/elections_prod/1292/state/01/lga/12/ward/03/pu/008/008-1677400011.pdf" TargetMode="External"/><Relationship Id="rId331" Type="http://schemas.openxmlformats.org/officeDocument/2006/relationships/hyperlink" Target="https://docs.inecelectionresults.net/elections_prod/1292/state/01/lga/02/ward/11/pu/004/004-1677418265.pdf" TargetMode="External"/><Relationship Id="rId2257" Type="http://schemas.openxmlformats.org/officeDocument/2006/relationships/hyperlink" Target="https://docs.inecelectionresults.net/elections_prod/1292/state/01/lga/17/ward/13/pu/003/003-1677363428.pdf" TargetMode="External"/><Relationship Id="rId3587" Type="http://schemas.openxmlformats.org/officeDocument/2006/relationships/hyperlink" Target="https://docs.inecelectionresults.net/elections_prod/1292/state/01/lga/12/ward/03/pu/007/007-1677397827.pdf" TargetMode="External"/><Relationship Id="rId370" Type="http://schemas.openxmlformats.org/officeDocument/2006/relationships/hyperlink" Target="https://docs.inecelectionresults.net/elections_prod/1292/state/01/lga/02/ward/13/pu/013/013-1677395681.pdf" TargetMode="External"/><Relationship Id="rId369" Type="http://schemas.openxmlformats.org/officeDocument/2006/relationships/hyperlink" Target="https://docs.inecelectionresults.net/elections_prod/1292/state/01/lga/02/ward/13/pu/012/012-1677393715.pdf" TargetMode="External"/><Relationship Id="rId368" Type="http://schemas.openxmlformats.org/officeDocument/2006/relationships/hyperlink" Target="https://docs.inecelectionresults.net/elections_prod/1292/state/01/lga/02/ward/13/pu/011/011-1677397313.pdf" TargetMode="External"/><Relationship Id="rId2280" Type="http://schemas.openxmlformats.org/officeDocument/2006/relationships/hyperlink" Target="https://docs.inecelectionresults.net/elections_prod/1292/state/01/lga/18/ward/02/pu/010/010-1677412095.pdf" TargetMode="External"/><Relationship Id="rId2281" Type="http://schemas.openxmlformats.org/officeDocument/2006/relationships/hyperlink" Target="https://docs.inecelectionresults.net/elections_prod/1292/state/01/lga/18/ward/03/pu/001/001-1677415374.pdf" TargetMode="External"/><Relationship Id="rId2282" Type="http://schemas.openxmlformats.org/officeDocument/2006/relationships/hyperlink" Target="https://docs.inecelectionresults.net/elections_prod/1292/state/1/lga/3683/ward/24153/pu/93638/93638-1677592312.pdf" TargetMode="External"/><Relationship Id="rId363" Type="http://schemas.openxmlformats.org/officeDocument/2006/relationships/hyperlink" Target="https://docs.inecelectionresults.net/elections_prod/1292/state/01/lga/02/ward/13/pu/006/006-1677399597.pdf" TargetMode="External"/><Relationship Id="rId2283" Type="http://schemas.openxmlformats.org/officeDocument/2006/relationships/hyperlink" Target="https://docs.inecelectionresults.net/elections_prod/1292/state/01/lga/18/ward/03/pu/004/004-1677415577.pdf" TargetMode="External"/><Relationship Id="rId362" Type="http://schemas.openxmlformats.org/officeDocument/2006/relationships/hyperlink" Target="https://docs.inecelectionresults.net/elections_prod/1292/state/01/lga/02/ward/13/pu/005/005-1677395019.pdf" TargetMode="External"/><Relationship Id="rId2284" Type="http://schemas.openxmlformats.org/officeDocument/2006/relationships/hyperlink" Target="https://docs.inecelectionresults.net/elections_prod/1292/state/01/lga/18/ward/03/pu/009/009-1677414823.pdf" TargetMode="External"/><Relationship Id="rId361" Type="http://schemas.openxmlformats.org/officeDocument/2006/relationships/hyperlink" Target="https://docs.inecelectionresults.net/elections_prod/1292/state/01/lga/02/ward/13/pu/004/004-1677391267.pdf" TargetMode="External"/><Relationship Id="rId2285" Type="http://schemas.openxmlformats.org/officeDocument/2006/relationships/hyperlink" Target="https://docs.inecelectionresults.net/elections_prod/1292/state/01/lga/18/ward/03/pu/010/010-1677420595.pdf" TargetMode="External"/><Relationship Id="rId360" Type="http://schemas.openxmlformats.org/officeDocument/2006/relationships/hyperlink" Target="https://docs.inecelectionresults.net/elections_prod/1292/state/01/lga/02/ward/13/pu/003/003-1677400433.pdf" TargetMode="External"/><Relationship Id="rId2286" Type="http://schemas.openxmlformats.org/officeDocument/2006/relationships/hyperlink" Target="https://docs.inecelectionresults.net/elections_prod/1292/state/01/lga/18/ward/03/pu/011/011-1677416257.pdf" TargetMode="External"/><Relationship Id="rId367" Type="http://schemas.openxmlformats.org/officeDocument/2006/relationships/hyperlink" Target="https://docs.inecelectionresults.net/elections_prod/1292/state/01/lga/02/ward/13/pu/010/010-1677400502.pdf" TargetMode="External"/><Relationship Id="rId2287" Type="http://schemas.openxmlformats.org/officeDocument/2006/relationships/hyperlink" Target="https://docs.inecelectionresults.net/elections_prod/1292/state/01/lga/18/ward/03/pu/012/012-1677412915.pdf" TargetMode="External"/><Relationship Id="rId366" Type="http://schemas.openxmlformats.org/officeDocument/2006/relationships/hyperlink" Target="https://docs.inecelectionresults.net/elections_prod/1292/state/01/lga/02/ward/13/pu/009/009-1677394466.pdf" TargetMode="External"/><Relationship Id="rId2288" Type="http://schemas.openxmlformats.org/officeDocument/2006/relationships/hyperlink" Target="https://docs.inecelectionresults.net/elections_prod/1292/state/01/lga/18/ward/03/pu/013/013-1677412390.pdf" TargetMode="External"/><Relationship Id="rId365" Type="http://schemas.openxmlformats.org/officeDocument/2006/relationships/hyperlink" Target="https://inec-cvr-cache.s3.eu-west-1.amazonaws.com/cached/results/90177/result_76672_1677492691_thumb.jpg" TargetMode="External"/><Relationship Id="rId2289" Type="http://schemas.openxmlformats.org/officeDocument/2006/relationships/hyperlink" Target="https://docs.inecelectionresults.net/elections_prod/1292/state/01/lga/18/ward/04/pu/001/001-1677408609.pdf" TargetMode="External"/><Relationship Id="rId364" Type="http://schemas.openxmlformats.org/officeDocument/2006/relationships/hyperlink" Target="https://docs.inecelectionresults.net/elections_prod/1292/state/01/lga/02/ward/13/pu/007/007-1677400973.pdf" TargetMode="External"/><Relationship Id="rId95" Type="http://schemas.openxmlformats.org/officeDocument/2006/relationships/hyperlink" Target="https://docs.inecelectionresults.net/elections_prod/1292/state/01/lga/01/ward/10/pu/006/006-1677409956.pdf" TargetMode="External"/><Relationship Id="rId94" Type="http://schemas.openxmlformats.org/officeDocument/2006/relationships/hyperlink" Target="https://docs.inecelectionresults.net/elections_prod/1292/state/01/lga/01/ward/10/pu/005/005-1677409562.pdf" TargetMode="External"/><Relationship Id="rId97" Type="http://schemas.openxmlformats.org/officeDocument/2006/relationships/hyperlink" Target="https://docs.inecelectionresults.net/elections_prod/1292/state/01/lga/01/ward/10/pu/008/008-1677417387.pdf" TargetMode="External"/><Relationship Id="rId96" Type="http://schemas.openxmlformats.org/officeDocument/2006/relationships/hyperlink" Target="https://docs.inecelectionresults.net/elections_prod/1292/state/01/lga/01/ward/10/pu/007/007-1677411168.pdf" TargetMode="External"/><Relationship Id="rId99" Type="http://schemas.openxmlformats.org/officeDocument/2006/relationships/hyperlink" Target="https://docs.inecelectionresults.net/elections_prod/1292/state/01/lga/01/ward/10/pu/010/010-1677418814.pdf" TargetMode="External"/><Relationship Id="rId98" Type="http://schemas.openxmlformats.org/officeDocument/2006/relationships/hyperlink" Target="https://docs.inecelectionresults.net/elections_prod/1292/state/01/lga/01/ward/10/pu/009/009-1677417902.pdf" TargetMode="External"/><Relationship Id="rId91" Type="http://schemas.openxmlformats.org/officeDocument/2006/relationships/hyperlink" Target="https://docs.inecelectionresults.net/elections_prod/1292/state/01/lga/01/ward/09/pu/013/013-1677410780.pdf" TargetMode="External"/><Relationship Id="rId90" Type="http://schemas.openxmlformats.org/officeDocument/2006/relationships/hyperlink" Target="https://inec-cvr-cache.s3.eu-west-1.amazonaws.com/cached/results/89808/result_76131_1677493332_thumb.jpg" TargetMode="External"/><Relationship Id="rId93" Type="http://schemas.openxmlformats.org/officeDocument/2006/relationships/hyperlink" Target="https://docs.inecelectionresults.net/elections_prod/1292/state/01/lga/01/ward/10/pu/003/003-1677407495.pdf" TargetMode="External"/><Relationship Id="rId92" Type="http://schemas.openxmlformats.org/officeDocument/2006/relationships/hyperlink" Target="https://docs.inecelectionresults.net/elections_prod/1292/state/01/lga/01/ward/10/pu/002/002-1677406786.pdf" TargetMode="External"/><Relationship Id="rId359" Type="http://schemas.openxmlformats.org/officeDocument/2006/relationships/hyperlink" Target="https://docs.inecelectionresults.net/elections_prod/1292/state/01/lga/02/ward/13/pu/002/002-1677399782.pdf" TargetMode="External"/><Relationship Id="rId358" Type="http://schemas.openxmlformats.org/officeDocument/2006/relationships/hyperlink" Target="https://docs.inecelectionresults.net/elections_prod/1292/state/01/lga/02/ward/13/pu/001/001-1677399349.pdf" TargetMode="External"/><Relationship Id="rId357" Type="http://schemas.openxmlformats.org/officeDocument/2006/relationships/hyperlink" Target="https://docs.inecelectionresults.net/elections_prod/1292/state/01/lga/02/ward/12/pu/024/024-1677406399.pdf" TargetMode="External"/><Relationship Id="rId2270" Type="http://schemas.openxmlformats.org/officeDocument/2006/relationships/hyperlink" Target="https://docs.inecelectionresults.net/elections_prod/1292/state/01/lga/18/ward/01/pu/003/003-1677405071.pdf" TargetMode="External"/><Relationship Id="rId2271" Type="http://schemas.openxmlformats.org/officeDocument/2006/relationships/hyperlink" Target="https://docs.inecelectionresults.net/elections_prod/1292/state/01/lga/18/ward/01/pu/004/004-1677408728.pdf" TargetMode="External"/><Relationship Id="rId352" Type="http://schemas.openxmlformats.org/officeDocument/2006/relationships/hyperlink" Target="https://docs.inecelectionresults.net/elections_prod/1292/state/01/lga/02/ward/12/pu/006/006-1677414025.pdf" TargetMode="External"/><Relationship Id="rId2272" Type="http://schemas.openxmlformats.org/officeDocument/2006/relationships/hyperlink" Target="https://docs.inecelectionresults.net/elections_prod/1292/state/01/lga/18/ward/01/pu/005/005-1677401881.pdf" TargetMode="External"/><Relationship Id="rId351" Type="http://schemas.openxmlformats.org/officeDocument/2006/relationships/hyperlink" Target="https://docs.inecelectionresults.net/elections_prod/1292/state/01/lga/02/ward/12/pu/005/005-1677412043.pdf" TargetMode="External"/><Relationship Id="rId2273" Type="http://schemas.openxmlformats.org/officeDocument/2006/relationships/hyperlink" Target="https://docs.inecelectionresults.net/elections_prod/1292/state/01/lga/18/ward/01/pu/006/006-1677407389.pdf" TargetMode="External"/><Relationship Id="rId350" Type="http://schemas.openxmlformats.org/officeDocument/2006/relationships/hyperlink" Target="https://docs.inecelectionresults.net/elections_prod/1292/state/01/lga/02/ward/12/pu/001/001-1677396924.pdf" TargetMode="External"/><Relationship Id="rId2274" Type="http://schemas.openxmlformats.org/officeDocument/2006/relationships/hyperlink" Target="https://docs.inecelectionresults.net/elections_prod/1292/state/01/lga/18/ward/01/pu/007/007-1677412087.pdf" TargetMode="External"/><Relationship Id="rId2275" Type="http://schemas.openxmlformats.org/officeDocument/2006/relationships/hyperlink" Target="https://docs.inecelectionresults.net/elections_prod/1292/state/01/lga/18/ward/01/pu/008/008-1677409015.pdf" TargetMode="External"/><Relationship Id="rId356" Type="http://schemas.openxmlformats.org/officeDocument/2006/relationships/hyperlink" Target="https://docs.inecelectionresults.net/elections_prod/1292/state/01/lga/02/ward/12/pu/019/019-1677408571.pdf" TargetMode="External"/><Relationship Id="rId2276" Type="http://schemas.openxmlformats.org/officeDocument/2006/relationships/hyperlink" Target="https://docs.inecelectionresults.net/elections_prod/1292/state/01/lga/18/ward/02/pu/002/002-1677401083.pdf" TargetMode="External"/><Relationship Id="rId355" Type="http://schemas.openxmlformats.org/officeDocument/2006/relationships/hyperlink" Target="https://docs.inecelectionresults.net/elections_prod/1292/state/1/lga/3667/ward/23977/pu/91247/91247-1677498425.pdf" TargetMode="External"/><Relationship Id="rId2277" Type="http://schemas.openxmlformats.org/officeDocument/2006/relationships/hyperlink" Target="https://docs.inecelectionresults.net/elections_prod/1292/state/01/lga/18/ward/02/pu/004/004-1677400410.pdf" TargetMode="External"/><Relationship Id="rId354" Type="http://schemas.openxmlformats.org/officeDocument/2006/relationships/hyperlink" Target="https://docs.inecelectionresults.net/elections_prod/1292/state/01/lga/02/ward/12/pu/016/016-1677409673.pdf" TargetMode="External"/><Relationship Id="rId2278" Type="http://schemas.openxmlformats.org/officeDocument/2006/relationships/hyperlink" Target="https://docs.inecelectionresults.net/elections_prod/1292/state/01/lga/18/ward/02/pu/005/005-1677407322.pdf" TargetMode="External"/><Relationship Id="rId353" Type="http://schemas.openxmlformats.org/officeDocument/2006/relationships/hyperlink" Target="https://docs.inecelectionresults.net/elections_prod/1292/state/01/lga/02/ward/12/pu/009/009-1677410599.pdf" TargetMode="External"/><Relationship Id="rId2279" Type="http://schemas.openxmlformats.org/officeDocument/2006/relationships/hyperlink" Target="https://docs.inecelectionresults.net/elections_prod/1292/state/01/lga/18/ward/02/pu/009/009-1677408025.pdf" TargetMode="External"/><Relationship Id="rId2225" Type="http://schemas.openxmlformats.org/officeDocument/2006/relationships/hyperlink" Target="https://inec-cvr-cache.s3.eu-west-1.amazonaws.com/cached/results/92465/result_80384_1677524990_thumb.jpg" TargetMode="External"/><Relationship Id="rId3557" Type="http://schemas.openxmlformats.org/officeDocument/2006/relationships/hyperlink" Target="https://docs.inecelectionresults.net/elections_prod/1292/state/1/lga/3676/ward/24076/pu/165914/165914-1677511913.pdf" TargetMode="External"/><Relationship Id="rId2226" Type="http://schemas.openxmlformats.org/officeDocument/2006/relationships/hyperlink" Target="https://inec-cvr-cache.s3.eu-west-1.amazonaws.com/cached/results/92466/result_80385_1677525232_thumb.jpg" TargetMode="External"/><Relationship Id="rId3556" Type="http://schemas.openxmlformats.org/officeDocument/2006/relationships/hyperlink" Target="https://docs.inecelectionresults.net/elections_prod/1292/state/1/lga/3676/ward/24076/pu/165913/165913-1677502986.pdf" TargetMode="External"/><Relationship Id="rId2227" Type="http://schemas.openxmlformats.org/officeDocument/2006/relationships/hyperlink" Target="https://inec-cvr-cache.s3.eu-west-1.amazonaws.com/cached/results/92467/result_80386_1677525361_thumb.jpg" TargetMode="External"/><Relationship Id="rId3559" Type="http://schemas.openxmlformats.org/officeDocument/2006/relationships/hyperlink" Target="https://docs.inecelectionresults.net/elections_prod/1292/state/1/lga/3676/ward/24076/pu/165916/165916-1677580237.pdf" TargetMode="External"/><Relationship Id="rId2228" Type="http://schemas.openxmlformats.org/officeDocument/2006/relationships/hyperlink" Target="https://inec-cvr-cache.s3.eu-west-1.amazonaws.com/cached/results/92468/result_80387_1677525520_thumb.jpg" TargetMode="External"/><Relationship Id="rId3558" Type="http://schemas.openxmlformats.org/officeDocument/2006/relationships/hyperlink" Target="https://docs.inecelectionresults.net/elections_prod/1292/state/1/lga/3676/ward/24076/pu/165915/165915-1677512443.pdf" TargetMode="External"/><Relationship Id="rId2229" Type="http://schemas.openxmlformats.org/officeDocument/2006/relationships/hyperlink" Target="https://inec-cvr-cache.s3.eu-west-1.amazonaws.com/cached/results/92469/result_80388_1677525764_thumb.jpg" TargetMode="External"/><Relationship Id="rId305" Type="http://schemas.openxmlformats.org/officeDocument/2006/relationships/hyperlink" Target="https://docs.inecelectionresults.net/elections_prod/1292/state/01/lga/02/ward/09/pu/006/006-1677413505.pdf" TargetMode="External"/><Relationship Id="rId304" Type="http://schemas.openxmlformats.org/officeDocument/2006/relationships/hyperlink" Target="https://docs.inecelectionresults.net/elections_prod/1292/state/01/lga/02/ward/09/pu/005/005-1677408140.pdf" TargetMode="External"/><Relationship Id="rId303" Type="http://schemas.openxmlformats.org/officeDocument/2006/relationships/hyperlink" Target="https://docs.inecelectionresults.net/elections_prod/1292/state/01/lga/02/ward/09/pu/004/004-1677425487.pdf" TargetMode="External"/><Relationship Id="rId302" Type="http://schemas.openxmlformats.org/officeDocument/2006/relationships/hyperlink" Target="https://docs.inecelectionresults.net/elections_prod/1292/state/01/lga/02/ward/09/pu/003/003-1677375022.pdf" TargetMode="External"/><Relationship Id="rId309" Type="http://schemas.openxmlformats.org/officeDocument/2006/relationships/hyperlink" Target="https://docs.inecelectionresults.net/elections_prod/1292/state/01/lga/02/ward/09/pu/010/010-1677404153.pdf" TargetMode="External"/><Relationship Id="rId308" Type="http://schemas.openxmlformats.org/officeDocument/2006/relationships/hyperlink" Target="https://docs.inecelectionresults.net/elections_prod/1292/state/01/lga/02/ward/09/pu/009/009-1677405602.pdf" TargetMode="External"/><Relationship Id="rId307" Type="http://schemas.openxmlformats.org/officeDocument/2006/relationships/hyperlink" Target="https://docs.inecelectionresults.net/elections_prod/1292/state/01/lga/02/ward/09/pu/008/008-1677413291.pdf" TargetMode="External"/><Relationship Id="rId306" Type="http://schemas.openxmlformats.org/officeDocument/2006/relationships/hyperlink" Target="https://docs.inecelectionresults.net/elections_prod/1292/state/01/lga/02/ward/09/pu/007/007-1677426775.pdf" TargetMode="External"/><Relationship Id="rId3551" Type="http://schemas.openxmlformats.org/officeDocument/2006/relationships/hyperlink" Target="https://docs.inecelectionresults.net/elections_prod/1292/state/01/lga/11/ward/09/pu/016/016-1677387177.pdf" TargetMode="External"/><Relationship Id="rId2220" Type="http://schemas.openxmlformats.org/officeDocument/2006/relationships/hyperlink" Target="https://inec-cvr-cache.s3.eu-west-1.amazonaws.com/cached/results/92460/result_80368_1677531036_thumb.jpg" TargetMode="External"/><Relationship Id="rId3550" Type="http://schemas.openxmlformats.org/officeDocument/2006/relationships/hyperlink" Target="https://docs.inecelectionresults.net/elections_prod/1292/state/01/lga/11/ward/09/pu/015/015-1677386622.pdf" TargetMode="External"/><Relationship Id="rId301" Type="http://schemas.openxmlformats.org/officeDocument/2006/relationships/hyperlink" Target="https://docs.inecelectionresults.net/elections_prod/1292/state/01/lga/02/ward/09/pu/002/002-1677400939.pdf" TargetMode="External"/><Relationship Id="rId2221" Type="http://schemas.openxmlformats.org/officeDocument/2006/relationships/hyperlink" Target="https://docs.inecelectionresults.net/elections_prod/1292/state/01/lga/17/ward/08/pu/001/001-1677369846.pdf" TargetMode="External"/><Relationship Id="rId3553" Type="http://schemas.openxmlformats.org/officeDocument/2006/relationships/hyperlink" Target="https://docs.inecelectionresults.net/elections_prod/1292/state/01/lga/11/ward/09/pu/019/019-1677388591.pdf" TargetMode="External"/><Relationship Id="rId300" Type="http://schemas.openxmlformats.org/officeDocument/2006/relationships/hyperlink" Target="https://docs.inecelectionresults.net/elections_prod/1292/state/01/lga/02/ward/09/pu/001/001-1677398951.pdf" TargetMode="External"/><Relationship Id="rId2222" Type="http://schemas.openxmlformats.org/officeDocument/2006/relationships/hyperlink" Target="https://docs.inecelectionresults.net/elections_prod/1292/state/01/lga/17/ward/08/pu/002/002-1677370220.pdf" TargetMode="External"/><Relationship Id="rId3552" Type="http://schemas.openxmlformats.org/officeDocument/2006/relationships/hyperlink" Target="https://docs.inecelectionresults.net/elections_prod/1292/state/01/lga/11/ward/09/pu/017/017-1677387616.pdf" TargetMode="External"/><Relationship Id="rId2223" Type="http://schemas.openxmlformats.org/officeDocument/2006/relationships/hyperlink" Target="https://docs.inecelectionresults.net/elections_prod/1292/state/01/lga/17/ward/08/pu/003/003-1677370069.pdf" TargetMode="External"/><Relationship Id="rId3555" Type="http://schemas.openxmlformats.org/officeDocument/2006/relationships/hyperlink" Target="https://docs.inecelectionresults.net/elections_prod/1292/state/1/lga/3676/ward/24076/pu/165911/165911-1677500379.pdf" TargetMode="External"/><Relationship Id="rId2224" Type="http://schemas.openxmlformats.org/officeDocument/2006/relationships/hyperlink" Target="https://docs.inecelectionresults.net/elections_prod/1292/state/01/lga/17/ward/08/pu/004/004-1677372087.pdf" TargetMode="External"/><Relationship Id="rId3554" Type="http://schemas.openxmlformats.org/officeDocument/2006/relationships/hyperlink" Target="https://docs.inecelectionresults.net/elections_prod/1292/state/01/lga/11/ward/09/pu/020/020-1677389412.pdf" TargetMode="External"/><Relationship Id="rId2214" Type="http://schemas.openxmlformats.org/officeDocument/2006/relationships/hyperlink" Target="https://docs.inecelectionresults.net/elections_prod/1292/state/1/lga/3682/ward/24142/pu/93555/93555-1677591136.pdf" TargetMode="External"/><Relationship Id="rId3546" Type="http://schemas.openxmlformats.org/officeDocument/2006/relationships/hyperlink" Target="https://docs.inecelectionresults.net/elections_prod/1292/state/01/lga/11/ward/01/pu/009/009-1677381475.pdf" TargetMode="External"/><Relationship Id="rId2215" Type="http://schemas.openxmlformats.org/officeDocument/2006/relationships/hyperlink" Target="https://inec-cvr-cache.s3.eu-west-1.amazonaws.com/cached/results/92455/result_80363_1677529640_thumb.jpg" TargetMode="External"/><Relationship Id="rId3545" Type="http://schemas.openxmlformats.org/officeDocument/2006/relationships/hyperlink" Target="https://docs.inecelectionresults.net/elections_prod/1292/state/01/lga/11/ward/08/pu/028/028-1677383309.pdf" TargetMode="External"/><Relationship Id="rId2216" Type="http://schemas.openxmlformats.org/officeDocument/2006/relationships/hyperlink" Target="https://inec-cvr-cache.s3.eu-west-1.amazonaws.com/cached/results/92456/result_80364_1677529445_thumb.jpg" TargetMode="External"/><Relationship Id="rId3548" Type="http://schemas.openxmlformats.org/officeDocument/2006/relationships/hyperlink" Target="https://docs.inecelectionresults.net/elections_prod/1292/state/01/lga/11/ward/03/pu/007/007-1677375990.pdf" TargetMode="External"/><Relationship Id="rId2217" Type="http://schemas.openxmlformats.org/officeDocument/2006/relationships/hyperlink" Target="https://inec-cvr-cache.s3.eu-west-1.amazonaws.com/cached/results/92457/result_80365_1677529208_thumb.jpg" TargetMode="External"/><Relationship Id="rId3547" Type="http://schemas.openxmlformats.org/officeDocument/2006/relationships/hyperlink" Target="https://docs.inecelectionresults.net/elections_prod/1292/state/01/lga/11/ward/01/pu/010/010-1677382156.pdf" TargetMode="External"/><Relationship Id="rId2218" Type="http://schemas.openxmlformats.org/officeDocument/2006/relationships/hyperlink" Target="https://inec-cvr-cache.s3.eu-west-1.amazonaws.com/cached/results/92458/result_80366_1677526740_thumb.jpg" TargetMode="External"/><Relationship Id="rId2219" Type="http://schemas.openxmlformats.org/officeDocument/2006/relationships/hyperlink" Target="https://inec-cvr-cache.s3.eu-west-1.amazonaws.com/cached/results/92459/result_80367_1677525923_thumb.jpg" TargetMode="External"/><Relationship Id="rId3549" Type="http://schemas.openxmlformats.org/officeDocument/2006/relationships/hyperlink" Target="https://docs.inecelectionresults.net/elections_prod/1292/state/01/lga/11/ward/09/pu/014/014-1677385317.pdf" TargetMode="External"/><Relationship Id="rId3540" Type="http://schemas.openxmlformats.org/officeDocument/2006/relationships/hyperlink" Target="https://docs.inecelectionresults.net/elections_prod/1292/state/01/lga/11/ward/08/pu/022/022-1677382229.pdf" TargetMode="External"/><Relationship Id="rId2210" Type="http://schemas.openxmlformats.org/officeDocument/2006/relationships/hyperlink" Target="https://inec-cvr-cache.s3.eu-west-1.amazonaws.com/cached/results/92450/result_80352_1677531188_thumb.jpg" TargetMode="External"/><Relationship Id="rId3542" Type="http://schemas.openxmlformats.org/officeDocument/2006/relationships/hyperlink" Target="https://docs.inecelectionresults.net/elections_prod/1292/state/01/lga/11/ward/08/pu/025/025-1677379938.pdf" TargetMode="External"/><Relationship Id="rId2211" Type="http://schemas.openxmlformats.org/officeDocument/2006/relationships/hyperlink" Target="https://inec-cvr-cache.s3.eu-west-1.amazonaws.com/cached/results/92451/result_80353_1677531854_thumb.jpg" TargetMode="External"/><Relationship Id="rId3541" Type="http://schemas.openxmlformats.org/officeDocument/2006/relationships/hyperlink" Target="https://docs.inecelectionresults.net/elections_prod/1292/state/01/lga/11/ward/08/pu/023/023-1677417889.pdf" TargetMode="External"/><Relationship Id="rId2212" Type="http://schemas.openxmlformats.org/officeDocument/2006/relationships/hyperlink" Target="https://inec-cvr-cache.s3.eu-west-1.amazonaws.com/cached/results/92452/result_80354_1677532132_thumb.jpg" TargetMode="External"/><Relationship Id="rId3544" Type="http://schemas.openxmlformats.org/officeDocument/2006/relationships/hyperlink" Target="https://docs.inecelectionresults.net/elections_prod/1292/state/01/lga/11/ward/08/pu/027/027-1677416668.pdf" TargetMode="External"/><Relationship Id="rId2213" Type="http://schemas.openxmlformats.org/officeDocument/2006/relationships/hyperlink" Target="https://inec-cvr-cache.s3.eu-west-1.amazonaws.com/cached/results/92453/result_80355_1677532540_thumb.jpg" TargetMode="External"/><Relationship Id="rId3543" Type="http://schemas.openxmlformats.org/officeDocument/2006/relationships/hyperlink" Target="https://docs.inecelectionresults.net/elections_prod/1292/state/01/lga/11/ward/08/pu/026/026-1677380364.pdf" TargetMode="External"/><Relationship Id="rId2247" Type="http://schemas.openxmlformats.org/officeDocument/2006/relationships/hyperlink" Target="https://docs.inecelectionresults.net/elections_prod/1292/state/1/lga/3682/ward/24146/pu/93588/93588-1677621021.pdf" TargetMode="External"/><Relationship Id="rId3579" Type="http://schemas.openxmlformats.org/officeDocument/2006/relationships/hyperlink" Target="https://docs.inecelectionresults.net/elections_prod/1292/state/01/lga/12/ward/08/pu/009/009-1677396807.pdf" TargetMode="External"/><Relationship Id="rId2248" Type="http://schemas.openxmlformats.org/officeDocument/2006/relationships/hyperlink" Target="https://docs.inecelectionresults.net/elections_prod/1292/state/1/lga/3682/ward/24146/pu/93589/93589-1677621240.pdf" TargetMode="External"/><Relationship Id="rId3578" Type="http://schemas.openxmlformats.org/officeDocument/2006/relationships/hyperlink" Target="https://docs.inecelectionresults.net/elections_prod/1292/state/01/lga/12/ward/08/pu/008/008-1677396178.pdf" TargetMode="External"/><Relationship Id="rId2249" Type="http://schemas.openxmlformats.org/officeDocument/2006/relationships/hyperlink" Target="https://docs.inecelectionresults.net/elections_prod/1292/state/1/lga/3682/ward/24146/pu/93590/93590-1677621456.pdf" TargetMode="External"/><Relationship Id="rId327" Type="http://schemas.openxmlformats.org/officeDocument/2006/relationships/hyperlink" Target="https://docs.inecelectionresults.net/elections_prod/1292/state/01/lga/02/ward/10/pu/009/009-1677410337.pdf" TargetMode="External"/><Relationship Id="rId326" Type="http://schemas.openxmlformats.org/officeDocument/2006/relationships/hyperlink" Target="https://docs.inecelectionresults.net/elections_prod/1292/state/01/lga/02/ward/10/pu/008/008-1677407155.pdf" TargetMode="External"/><Relationship Id="rId325" Type="http://schemas.openxmlformats.org/officeDocument/2006/relationships/hyperlink" Target="https://docs.inecelectionresults.net/elections_prod/1292/state/01/lga/02/ward/10/pu/007/007-1677413674.pdf" TargetMode="External"/><Relationship Id="rId324" Type="http://schemas.openxmlformats.org/officeDocument/2006/relationships/hyperlink" Target="https://docs.inecelectionresults.net/elections_prod/1292/state/01/lga/02/ward/10/pu/005/005-1677420137.pdf" TargetMode="External"/><Relationship Id="rId329" Type="http://schemas.openxmlformats.org/officeDocument/2006/relationships/hyperlink" Target="https://docs.inecelectionresults.net/elections_prod/1292/state/01/lga/02/ward/11/pu/001/001-1677408732.pdf" TargetMode="External"/><Relationship Id="rId328" Type="http://schemas.openxmlformats.org/officeDocument/2006/relationships/hyperlink" Target="https://docs.inecelectionresults.net/elections_prod/1292/state/01/lga/02/ward/10/pu/010/010-1677395576.pdf" TargetMode="External"/><Relationship Id="rId3571" Type="http://schemas.openxmlformats.org/officeDocument/2006/relationships/hyperlink" Target="https://docs.inecelectionresults.net/elections_prod/1292/state/01/lga/12/ward/01/pu/017/017-1677402948.pdf" TargetMode="External"/><Relationship Id="rId2240" Type="http://schemas.openxmlformats.org/officeDocument/2006/relationships/hyperlink" Target="https://docs.inecelectionresults.net/elections_prod/1292/state/1/lga/3682/ward/24146/pu/93581/93581-1677620240.pdf" TargetMode="External"/><Relationship Id="rId3570" Type="http://schemas.openxmlformats.org/officeDocument/2006/relationships/hyperlink" Target="https://docs.inecelectionresults.net/elections_prod/1292/state/01/lga/12/ward/01/pu/016/016-1677405135.pdf" TargetMode="External"/><Relationship Id="rId2241" Type="http://schemas.openxmlformats.org/officeDocument/2006/relationships/hyperlink" Target="https://docs.inecelectionresults.net/elections_prod/1292/state/1/lga/3682/ward/24146/pu/93582/93582-1677618266.pdf" TargetMode="External"/><Relationship Id="rId3573" Type="http://schemas.openxmlformats.org/officeDocument/2006/relationships/hyperlink" Target="https://docs.inecelectionresults.net/elections_prod/1292/state/01/lga/12/ward/02/pu/013/013-1677399253.pdf" TargetMode="External"/><Relationship Id="rId2242" Type="http://schemas.openxmlformats.org/officeDocument/2006/relationships/hyperlink" Target="https://docs.inecelectionresults.net/elections_prod/1292/state/1/lga/3682/ward/24146/pu/93583/93583-1677618810.pdf" TargetMode="External"/><Relationship Id="rId3572" Type="http://schemas.openxmlformats.org/officeDocument/2006/relationships/hyperlink" Target="https://docs.inecelectionresults.net/elections_prod/1292/state/1/lga/3677/ward/24082/pu/165959/165959-1677486358.pdf" TargetMode="External"/><Relationship Id="rId323" Type="http://schemas.openxmlformats.org/officeDocument/2006/relationships/hyperlink" Target="https://docs.inecelectionresults.net/elections_prod/1292/state/01/lga/02/ward/10/pu/004/004-1677398344.pdf" TargetMode="External"/><Relationship Id="rId2243" Type="http://schemas.openxmlformats.org/officeDocument/2006/relationships/hyperlink" Target="https://docs.inecelectionresults.net/elections_prod/1292/state/1/lga/3682/ward/24146/pu/93584/93584-1677620393.pdf" TargetMode="External"/><Relationship Id="rId3575" Type="http://schemas.openxmlformats.org/officeDocument/2006/relationships/hyperlink" Target="https://docs.inecelectionresults.net/elections_prod/1292/state/01/lga/12/ward/02/pu/015/015-1677400063.pdf" TargetMode="External"/><Relationship Id="rId322" Type="http://schemas.openxmlformats.org/officeDocument/2006/relationships/hyperlink" Target="https://docs.inecelectionresults.net/elections_prod/1292/state/01/lga/02/ward/10/pu/002/002-1677407475.pdf" TargetMode="External"/><Relationship Id="rId2244" Type="http://schemas.openxmlformats.org/officeDocument/2006/relationships/hyperlink" Target="https://docs.inecelectionresults.net/elections_prod/1292/state/1/lga/3682/ward/24146/pu/93585/93585-1677620835.pdf" TargetMode="External"/><Relationship Id="rId3574" Type="http://schemas.openxmlformats.org/officeDocument/2006/relationships/hyperlink" Target="https://docs.inecelectionresults.net/elections_prod/1292/state/01/lga/12/ward/02/pu/014/014-1677399784.pdf" TargetMode="External"/><Relationship Id="rId321" Type="http://schemas.openxmlformats.org/officeDocument/2006/relationships/hyperlink" Target="https://docs.inecelectionresults.net/elections_prod/1292/state/01/lga/02/ward/10/pu/001/001-1677396592.pdf" TargetMode="External"/><Relationship Id="rId2245" Type="http://schemas.openxmlformats.org/officeDocument/2006/relationships/hyperlink" Target="https://docs.inecelectionresults.net/elections_prod/1292/state/1/lga/3682/ward/24146/pu/93586/93586-1677621135.pdf" TargetMode="External"/><Relationship Id="rId3577" Type="http://schemas.openxmlformats.org/officeDocument/2006/relationships/hyperlink" Target="https://docs.inecelectionresults.net/elections_prod/1292/state/01/lga/12/ward/02/pu/017/017-1677400556.pdf" TargetMode="External"/><Relationship Id="rId320" Type="http://schemas.openxmlformats.org/officeDocument/2006/relationships/hyperlink" Target="https://docs.inecelectionresults.net/elections_prod/1292/state/01/lga/02/ward/09/pu/021/021-1677403300.pdf" TargetMode="External"/><Relationship Id="rId2246" Type="http://schemas.openxmlformats.org/officeDocument/2006/relationships/hyperlink" Target="https://docs.inecelectionresults.net/elections_prod/1292/state/1/lga/3682/ward/24146/pu/93587/93587-1677620799.pdf" TargetMode="External"/><Relationship Id="rId3576" Type="http://schemas.openxmlformats.org/officeDocument/2006/relationships/hyperlink" Target="https://docs.inecelectionresults.net/elections_prod/1292/state/01/lga/12/ward/02/pu/016/016-1677400379.pdf" TargetMode="External"/><Relationship Id="rId2236" Type="http://schemas.openxmlformats.org/officeDocument/2006/relationships/hyperlink" Target="https://docs.inecelectionresults.net/elections_prod/1292/state/1/lga/3682/ward/24146/pu/93577/93577-1677618864.pdf" TargetMode="External"/><Relationship Id="rId3568" Type="http://schemas.openxmlformats.org/officeDocument/2006/relationships/hyperlink" Target="https://docs.inecelectionresults.net/elections_prod/1292/state/01/lga/12/ward/01/pu/012/012-1677402457.pdf" TargetMode="External"/><Relationship Id="rId2237" Type="http://schemas.openxmlformats.org/officeDocument/2006/relationships/hyperlink" Target="https://docs.inecelectionresults.net/elections_prod/1292/state/1/lga/3682/ward/24146/pu/93578/93578-1677619619.pdf" TargetMode="External"/><Relationship Id="rId3567" Type="http://schemas.openxmlformats.org/officeDocument/2006/relationships/hyperlink" Target="https://docs.inecelectionresults.net/elections_prod/1292/state/1/lga/3676/ward/24077/pu/165926/165926-1677496921.pdf" TargetMode="External"/><Relationship Id="rId2238" Type="http://schemas.openxmlformats.org/officeDocument/2006/relationships/hyperlink" Target="https://docs.inecelectionresults.net/elections_prod/1292/state/1/lga/3682/ward/24146/pu/93579/93579-1677619388.pdf" TargetMode="External"/><Relationship Id="rId2239" Type="http://schemas.openxmlformats.org/officeDocument/2006/relationships/hyperlink" Target="https://docs.inecelectionresults.net/elections_prod/1292/state/1/lga/3682/ward/24146/pu/93580/93580-1677619871.pdf" TargetMode="External"/><Relationship Id="rId3569" Type="http://schemas.openxmlformats.org/officeDocument/2006/relationships/hyperlink" Target="https://docs.inecelectionresults.net/elections_prod/1292/state/01/lga/12/ward/01/pu/013/013-1677388833.pdf" TargetMode="External"/><Relationship Id="rId316" Type="http://schemas.openxmlformats.org/officeDocument/2006/relationships/hyperlink" Target="https://docs.inecelectionresults.net/elections_prod/1292/state/01/lga/02/ward/09/pu/017/017-1677407303.pdf" TargetMode="External"/><Relationship Id="rId315" Type="http://schemas.openxmlformats.org/officeDocument/2006/relationships/hyperlink" Target="https://docs.inecelectionresults.net/elections_prod/1292/state/01/lga/02/ward/09/pu/016/016-1677409847.pdf" TargetMode="External"/><Relationship Id="rId314" Type="http://schemas.openxmlformats.org/officeDocument/2006/relationships/hyperlink" Target="https://docs.inecelectionresults.net/elections_prod/1292/state/1/lga/3667/ward/23974/pu/91189/91189-1677491495.pdf" TargetMode="External"/><Relationship Id="rId313" Type="http://schemas.openxmlformats.org/officeDocument/2006/relationships/hyperlink" Target="https://docs.inecelectionresults.net/elections_prod/1292/state/01/lga/02/ward/09/pu/014/014-1677404387.pdf" TargetMode="External"/><Relationship Id="rId319" Type="http://schemas.openxmlformats.org/officeDocument/2006/relationships/hyperlink" Target="https://docs.inecelectionresults.net/elections_prod/1292/state/01/lga/02/ward/09/pu/020/020-1677425795.pdf" TargetMode="External"/><Relationship Id="rId318" Type="http://schemas.openxmlformats.org/officeDocument/2006/relationships/hyperlink" Target="https://docs.inecelectionresults.net/elections_prod/1292/state/01/lga/02/ward/09/pu/019/019-1677400383.pdf" TargetMode="External"/><Relationship Id="rId317" Type="http://schemas.openxmlformats.org/officeDocument/2006/relationships/hyperlink" Target="https://docs.inecelectionresults.net/elections_prod/1292/state/01/lga/02/ward/09/pu/018/018-1677419276.pdf" TargetMode="External"/><Relationship Id="rId3560" Type="http://schemas.openxmlformats.org/officeDocument/2006/relationships/hyperlink" Target="https://docs.inecelectionresults.net/elections_prod/1292/state/1/lga/3676/ward/24076/pu/165917/165917-1677580420.pdf" TargetMode="External"/><Relationship Id="rId2230" Type="http://schemas.openxmlformats.org/officeDocument/2006/relationships/hyperlink" Target="https://inec-cvr-cache.s3.eu-west-1.amazonaws.com/cached/results/92470/result_80389_1677525964_thumb.jpg" TargetMode="External"/><Relationship Id="rId3562" Type="http://schemas.openxmlformats.org/officeDocument/2006/relationships/hyperlink" Target="https://docs.inecelectionresults.net/elections_prod/1292/state/01/lga/11/ward/07/pu/011/011-1677386811.pdf" TargetMode="External"/><Relationship Id="rId2231" Type="http://schemas.openxmlformats.org/officeDocument/2006/relationships/hyperlink" Target="https://docs.inecelectionresults.net/elections_prod/1292/state/01/lga/17/ward/10/pu/001/001-1677359535.pdf" TargetMode="External"/><Relationship Id="rId3561" Type="http://schemas.openxmlformats.org/officeDocument/2006/relationships/hyperlink" Target="https://docs.inecelectionresults.net/elections_prod/1292/state/01/lga/11/ward/07/pu/010/010-1677386528.pdf" TargetMode="External"/><Relationship Id="rId312" Type="http://schemas.openxmlformats.org/officeDocument/2006/relationships/hyperlink" Target="https://docs.inecelectionresults.net/elections_prod/1292/state/01/lga/02/ward/09/pu/013/013-1677427406.pdf" TargetMode="External"/><Relationship Id="rId2232" Type="http://schemas.openxmlformats.org/officeDocument/2006/relationships/hyperlink" Target="https://docs.inecelectionresults.net/elections_prod/1292/state/01/lga/17/ward/10/pu/002/002-1677361636.pdf" TargetMode="External"/><Relationship Id="rId3564" Type="http://schemas.openxmlformats.org/officeDocument/2006/relationships/hyperlink" Target="https://docs.inecelectionresults.net/elections_prod/1292/state/01/lga/11/ward/07/pu/013/013-1677376574.pdf" TargetMode="External"/><Relationship Id="rId311" Type="http://schemas.openxmlformats.org/officeDocument/2006/relationships/hyperlink" Target="https://docs.inecelectionresults.net/elections_prod/1292/state/01/lga/02/ward/09/pu/012/012-1677424323.pdf" TargetMode="External"/><Relationship Id="rId2233" Type="http://schemas.openxmlformats.org/officeDocument/2006/relationships/hyperlink" Target="https://docs.inecelectionresults.net/elections_prod/1292/state/01/lga/17/ward/10/pu/003/003-1677363266.pdf" TargetMode="External"/><Relationship Id="rId3563" Type="http://schemas.openxmlformats.org/officeDocument/2006/relationships/hyperlink" Target="https://docs.inecelectionresults.net/elections_prod/1292/state/01/lga/11/ward/07/pu/012/012-1677387306.pdf" TargetMode="External"/><Relationship Id="rId310" Type="http://schemas.openxmlformats.org/officeDocument/2006/relationships/hyperlink" Target="https://docs.inecelectionresults.net/elections_prod/1292/state/01/lga/02/ward/09/pu/011/011-1677422209.pdf" TargetMode="External"/><Relationship Id="rId2234" Type="http://schemas.openxmlformats.org/officeDocument/2006/relationships/hyperlink" Target="https://docs.inecelectionresults.net/elections_prod/1292/state/01/lga/17/ward/10/pu/004/004-1677365265.pdf" TargetMode="External"/><Relationship Id="rId3566" Type="http://schemas.openxmlformats.org/officeDocument/2006/relationships/hyperlink" Target="https://docs.inecelectionresults.net/elections_prod/1292/state/1/lga/3676/ward/24077/pu/165925/165925-1677515861.pdf" TargetMode="External"/><Relationship Id="rId2235" Type="http://schemas.openxmlformats.org/officeDocument/2006/relationships/hyperlink" Target="https://docs.inecelectionresults.net/elections_prod/1292/state/01/lga/17/ward/10/pu/005/005-1677367188.pdf" TargetMode="External"/><Relationship Id="rId3565" Type="http://schemas.openxmlformats.org/officeDocument/2006/relationships/hyperlink" Target="https://docs.inecelectionresults.net/elections_prod/1292/state/01/lga/11/ward/07/pu/015/015-1677389010.pdf" TargetMode="External"/><Relationship Id="rId4040" Type="http://schemas.openxmlformats.org/officeDocument/2006/relationships/hyperlink" Target="https://docs.inecelectionresults.net/elections_prod/1292/state/01/lga/20/ward/04/pu/032/032-1677404239.pdf" TargetMode="External"/><Relationship Id="rId4042" Type="http://schemas.openxmlformats.org/officeDocument/2006/relationships/hyperlink" Target="https://docs.inecelectionresults.net/elections_prod/1292/state/01/lga/20/ward/04/pu/034/034-1677403329.pdf" TargetMode="External"/><Relationship Id="rId4041" Type="http://schemas.openxmlformats.org/officeDocument/2006/relationships/hyperlink" Target="https://docs.inecelectionresults.net/elections_prod/1292/state/01/lga/20/ward/04/pu/033/033-1677402802.pdf" TargetMode="External"/><Relationship Id="rId4044" Type="http://schemas.openxmlformats.org/officeDocument/2006/relationships/hyperlink" Target="https://docs.inecelectionresults.net/elections_prod/1292/state/01/lga/20/ward/05/pu/018/018-1677400632.pdf" TargetMode="External"/><Relationship Id="rId4043" Type="http://schemas.openxmlformats.org/officeDocument/2006/relationships/hyperlink" Target="https://docs.inecelectionresults.net/elections_prod/1292/state/01/lga/20/ward/05/pu/017/017-1677402833.pdf" TargetMode="External"/><Relationship Id="rId4046" Type="http://schemas.openxmlformats.org/officeDocument/2006/relationships/hyperlink" Target="https://docs.inecelectionresults.net/elections_prod/1292/state/01/lga/20/ward/05/pu/020/020-1677403376.pdf" TargetMode="External"/><Relationship Id="rId4045" Type="http://schemas.openxmlformats.org/officeDocument/2006/relationships/hyperlink" Target="https://docs.inecelectionresults.net/elections_prod/1292/state/01/lga/20/ward/05/pu/019/019-1677404537.pdf" TargetMode="External"/><Relationship Id="rId4048" Type="http://schemas.openxmlformats.org/officeDocument/2006/relationships/hyperlink" Target="https://docs.inecelectionresults.net/elections_prod/1292/state/01/lga/20/ward/05/pu/023/023-1677402722.pdf" TargetMode="External"/><Relationship Id="rId4047" Type="http://schemas.openxmlformats.org/officeDocument/2006/relationships/hyperlink" Target="https://docs.inecelectionresults.net/elections_prod/1292/state/01/lga/20/ward/05/pu/022/022-1677403922.pdf" TargetMode="External"/><Relationship Id="rId4049" Type="http://schemas.openxmlformats.org/officeDocument/2006/relationships/hyperlink" Target="https://docs.inecelectionresults.net/elections_prod/1292/state/01/lga/20/ward/05/pu/024/024-1677404636.pdf" TargetMode="External"/><Relationship Id="rId4031" Type="http://schemas.openxmlformats.org/officeDocument/2006/relationships/hyperlink" Target="https://docs.inecelectionresults.net/elections_prod/1292/state/1/lga/3685/ward/24174/pu/166453/166453-1677527785.pdf" TargetMode="External"/><Relationship Id="rId4030" Type="http://schemas.openxmlformats.org/officeDocument/2006/relationships/hyperlink" Target="https://docs.inecelectionresults.net/elections_prod/1292/state/01/lga/20/ward/04/pu/021/021-1677402027.pdf" TargetMode="External"/><Relationship Id="rId297" Type="http://schemas.openxmlformats.org/officeDocument/2006/relationships/hyperlink" Target="https://docs.inecelectionresults.net/elections_prod/1292/state/01/lga/02/ward/08/pu/019/019-1677414599.pdf" TargetMode="External"/><Relationship Id="rId4033" Type="http://schemas.openxmlformats.org/officeDocument/2006/relationships/hyperlink" Target="https://docs.inecelectionresults.net/elections_prod/1292/state/01/lga/20/ward/04/pu/025/025-1677401472.pdf" TargetMode="External"/><Relationship Id="rId296" Type="http://schemas.openxmlformats.org/officeDocument/2006/relationships/hyperlink" Target="https://docs.inecelectionresults.net/elections_prod/1292/state/01/lga/02/ward/08/pu/018/018-1677414297.pdf" TargetMode="External"/><Relationship Id="rId4032" Type="http://schemas.openxmlformats.org/officeDocument/2006/relationships/hyperlink" Target="https://docs.inecelectionresults.net/elections_prod/1292/state/1/lga/3685/ward/24174/pu/166454/166454-1677524256.pdf" TargetMode="External"/><Relationship Id="rId295" Type="http://schemas.openxmlformats.org/officeDocument/2006/relationships/hyperlink" Target="https://docs.inecelectionresults.net/elections_prod/1292/state/01/lga/02/ward/08/pu/017/017-1677425867.pdf" TargetMode="External"/><Relationship Id="rId4035" Type="http://schemas.openxmlformats.org/officeDocument/2006/relationships/hyperlink" Target="https://docs.inecelectionresults.net/elections_prod/1292/state/1/lga/3685/ward/24174/pu/166457/166457-1677527966.pdf" TargetMode="External"/><Relationship Id="rId294" Type="http://schemas.openxmlformats.org/officeDocument/2006/relationships/hyperlink" Target="https://docs.inecelectionresults.net/elections_prod/1292/state/01/lga/02/ward/08/pu/016/016-1677413678.pdf" TargetMode="External"/><Relationship Id="rId4034" Type="http://schemas.openxmlformats.org/officeDocument/2006/relationships/hyperlink" Target="https://docs.inecelectionresults.net/elections_prod/1292/state/1/lga/3685/ward/24174/pu/166456/166456-1677524775.pdf" TargetMode="External"/><Relationship Id="rId4037" Type="http://schemas.openxmlformats.org/officeDocument/2006/relationships/hyperlink" Target="https://docs.inecelectionresults.net/elections_prod/1292/state/1/lga/3685/ward/24174/pu/166459/166459-1677525923.pdf" TargetMode="External"/><Relationship Id="rId4036" Type="http://schemas.openxmlformats.org/officeDocument/2006/relationships/hyperlink" Target="https://docs.inecelectionresults.net/elections_prod/1292/state/01/lga/20/ward/04/pu/028/028-1677405100.pdf" TargetMode="External"/><Relationship Id="rId299" Type="http://schemas.openxmlformats.org/officeDocument/2006/relationships/hyperlink" Target="https://docs.inecelectionresults.net/elections_prod/1292/state/01/lga/02/ward/08/pu/022/022-1677416356.pdf" TargetMode="External"/><Relationship Id="rId4039" Type="http://schemas.openxmlformats.org/officeDocument/2006/relationships/hyperlink" Target="https://docs.inecelectionresults.net/elections_prod/1292/state/01/lga/20/ward/04/pu/031/031-1677399925.pdf" TargetMode="External"/><Relationship Id="rId298" Type="http://schemas.openxmlformats.org/officeDocument/2006/relationships/hyperlink" Target="https://docs.inecelectionresults.net/elections_prod/1292/state/01/lga/02/ward/08/pu/021/021-1677416823.pdf" TargetMode="External"/><Relationship Id="rId4038" Type="http://schemas.openxmlformats.org/officeDocument/2006/relationships/hyperlink" Target="https://docs.inecelectionresults.net/elections_prod/1292/state/1/lga/3685/ward/24174/pu/166460/166460-1677532434.pdf" TargetMode="External"/><Relationship Id="rId4060" Type="http://schemas.openxmlformats.org/officeDocument/2006/relationships/hyperlink" Target="https://docs.inecelectionresults.net/elections_prod/1292/state/01/lga/20/ward/13/pu/022/022-1677400832.pdf" TargetMode="External"/><Relationship Id="rId4062" Type="http://schemas.openxmlformats.org/officeDocument/2006/relationships/hyperlink" Target="https://docs.inecelectionresults.net/elections_prod/1292/state/01/lga/20/ward/13/pu/025/025-1677403490.pdf" TargetMode="External"/><Relationship Id="rId4061" Type="http://schemas.openxmlformats.org/officeDocument/2006/relationships/hyperlink" Target="https://docs.inecelectionresults.net/elections_prod/1292/state/01/lga/20/ward/13/pu/023/023-1677406498.pdf" TargetMode="External"/><Relationship Id="rId4064" Type="http://schemas.openxmlformats.org/officeDocument/2006/relationships/hyperlink" Target="https://docs.inecelectionresults.net/elections_prod/1292/state/1/lga/3685/ward/24181/pu/166533/166533-1677459181.pdf" TargetMode="External"/><Relationship Id="rId4063" Type="http://schemas.openxmlformats.org/officeDocument/2006/relationships/hyperlink" Target="https://docs.inecelectionresults.net/elections_prod/1292/state/1/lga/3685/ward/24181/pu/166532/166532-1677458587.pdf" TargetMode="External"/><Relationship Id="rId4066" Type="http://schemas.openxmlformats.org/officeDocument/2006/relationships/hyperlink" Target="https://docs.inecelectionresults.net/elections_prod/1292/state/01/lga/16/ward/07/pu/034/034-1677391916.pdf" TargetMode="External"/><Relationship Id="rId4065" Type="http://schemas.openxmlformats.org/officeDocument/2006/relationships/hyperlink" Target="https://docs.inecelectionresults.net/elections_prod/1292/state/1/lga/3685/ward/24181/pu/166535/166535-1677461062.pdf" TargetMode="External"/><Relationship Id="rId4068" Type="http://schemas.openxmlformats.org/officeDocument/2006/relationships/hyperlink" Target="https://docs.inecelectionresults.net/elections_prod/1292/state/01/lga/09/ward/10/pu/020/020-1677408556.pdf" TargetMode="External"/><Relationship Id="rId4067" Type="http://schemas.openxmlformats.org/officeDocument/2006/relationships/hyperlink" Target="https://docs.inecelectionresults.net/elections_prod/1292/state/1/lga/3680/ward/24116/pu/166246/166246-1677603921.pdf" TargetMode="External"/><Relationship Id="rId4069" Type="http://schemas.openxmlformats.org/officeDocument/2006/relationships/hyperlink" Target="https://docs.inecelectionresults.net/elections_prod/1292/state/01/lga/05/ward/04/pu/020/020-1677361049.pdf" TargetMode="External"/><Relationship Id="rId4051" Type="http://schemas.openxmlformats.org/officeDocument/2006/relationships/hyperlink" Target="https://docs.inecelectionresults.net/elections_prod/1292/state/01/lga/20/ward/05/pu/026/026-1677399779.pdf" TargetMode="External"/><Relationship Id="rId4050" Type="http://schemas.openxmlformats.org/officeDocument/2006/relationships/hyperlink" Target="https://docs.inecelectionresults.net/elections_prod/1292/state/01/lga/20/ward/05/pu/025/025-1677403000.pdf" TargetMode="External"/><Relationship Id="rId4053" Type="http://schemas.openxmlformats.org/officeDocument/2006/relationships/hyperlink" Target="https://docs.inecelectionresults.net/elections_prod/1292/state/01/lga/20/ward/05/pu/028/028-1677405471.pdf" TargetMode="External"/><Relationship Id="rId4052" Type="http://schemas.openxmlformats.org/officeDocument/2006/relationships/hyperlink" Target="https://docs.inecelectionresults.net/elections_prod/1292/state/01/lga/20/ward/05/pu/027/027-1677401354.pdf" TargetMode="External"/><Relationship Id="rId4055" Type="http://schemas.openxmlformats.org/officeDocument/2006/relationships/hyperlink" Target="https://docs.inecelectionresults.net/elections_prod/1292/state/01/lga/20/ward/05/pu/030/030-1677406462.pdf" TargetMode="External"/><Relationship Id="rId4054" Type="http://schemas.openxmlformats.org/officeDocument/2006/relationships/hyperlink" Target="https://docs.inecelectionresults.net/elections_prod/1292/state/01/lga/20/ward/05/pu/029/029-1677404048.pdf" TargetMode="External"/><Relationship Id="rId4057" Type="http://schemas.openxmlformats.org/officeDocument/2006/relationships/hyperlink" Target="https://docs.inecelectionresults.net/elections_prod/1292/state/01/lga/20/ward/13/pu/018/018-1677401508.pdf" TargetMode="External"/><Relationship Id="rId4056" Type="http://schemas.openxmlformats.org/officeDocument/2006/relationships/hyperlink" Target="https://docs.inecelectionresults.net/elections_prod/1292/state/01/lga/20/ward/13/pu/017/017-1677406324.pdf" TargetMode="External"/><Relationship Id="rId4059" Type="http://schemas.openxmlformats.org/officeDocument/2006/relationships/hyperlink" Target="https://docs.inecelectionresults.net/elections_prod/1292/state/01/lga/20/ward/13/pu/021/021-1677404944.pdf" TargetMode="External"/><Relationship Id="rId4058" Type="http://schemas.openxmlformats.org/officeDocument/2006/relationships/hyperlink" Target="https://docs.inecelectionresults.net/elections_prod/1292/state/01/lga/20/ward/13/pu/019/019-1677403735.pdf" TargetMode="External"/><Relationship Id="rId4008" Type="http://schemas.openxmlformats.org/officeDocument/2006/relationships/hyperlink" Target="https://docs.inecelectionresults.net/elections_prod/1292/state/01/lga/20/ward/10/pu/042/042-1677358703.pdf" TargetMode="External"/><Relationship Id="rId4007" Type="http://schemas.openxmlformats.org/officeDocument/2006/relationships/hyperlink" Target="https://docs.inecelectionresults.net/elections_prod/1292/state/01/lga/20/ward/10/pu/041/041-1677359070.pdf" TargetMode="External"/><Relationship Id="rId4009" Type="http://schemas.openxmlformats.org/officeDocument/2006/relationships/hyperlink" Target="https://docs.inecelectionresults.net/elections_prod/1292/state/01/lga/20/ward/10/pu/043/043-1677358815.pdf" TargetMode="External"/><Relationship Id="rId271" Type="http://schemas.openxmlformats.org/officeDocument/2006/relationships/hyperlink" Target="https://docs.inecelectionresults.net/elections_prod/1292/state/1/lga/3667/ward/23972/pu/91134/91134-1677494917.pdf" TargetMode="External"/><Relationship Id="rId270" Type="http://schemas.openxmlformats.org/officeDocument/2006/relationships/hyperlink" Target="https://docs.inecelectionresults.net/elections_prod/1292/state/01/lga/02/ward/07/pu/003/003-1677426838.pdf" TargetMode="External"/><Relationship Id="rId269" Type="http://schemas.openxmlformats.org/officeDocument/2006/relationships/hyperlink" Target="https://docs.inecelectionresults.net/elections_prod/1292/state/01/lga/02/ward/07/pu/002/002-1677428586.pdf" TargetMode="External"/><Relationship Id="rId264" Type="http://schemas.openxmlformats.org/officeDocument/2006/relationships/hyperlink" Target="https://docs.inecelectionresults.net/elections_prod/1292/state/1/lga/3667/ward/23971/pu/91121/91121-1677471198.pdf" TargetMode="External"/><Relationship Id="rId4000" Type="http://schemas.openxmlformats.org/officeDocument/2006/relationships/hyperlink" Target="https://docs.inecelectionresults.net/elections_prod/1292/state/01/lga/20/ward/10/pu/033/033-1677358946.pdf" TargetMode="External"/><Relationship Id="rId263" Type="http://schemas.openxmlformats.org/officeDocument/2006/relationships/hyperlink" Target="https://docs.inecelectionresults.net/elections_prod/1292/state/1/lga/3667/ward/23971/pu/91120/91120-1677487767.pdf" TargetMode="External"/><Relationship Id="rId262" Type="http://schemas.openxmlformats.org/officeDocument/2006/relationships/hyperlink" Target="https://docs.inecelectionresults.net/elections_prod/1292/state/01/lga/02/ward/06/pu/005/005-1677392249.pdf" TargetMode="External"/><Relationship Id="rId4002" Type="http://schemas.openxmlformats.org/officeDocument/2006/relationships/hyperlink" Target="https://docs.inecelectionresults.net/elections_prod/1292/state/01/lga/20/ward/10/pu/036/036-1677373250.pdf" TargetMode="External"/><Relationship Id="rId261" Type="http://schemas.openxmlformats.org/officeDocument/2006/relationships/hyperlink" Target="https://docs.inecelectionresults.net/elections_prod/1292/state/1/lga/3667/ward/23971/pu/91116/91116-1677496983.pdf" TargetMode="External"/><Relationship Id="rId4001" Type="http://schemas.openxmlformats.org/officeDocument/2006/relationships/hyperlink" Target="https://docs.inecelectionresults.net/elections_prod/1292/state/1/lga/3685/ward/24180/pu/166504/166504-1677514002.pdf" TargetMode="External"/><Relationship Id="rId268" Type="http://schemas.openxmlformats.org/officeDocument/2006/relationships/hyperlink" Target="https://docs.inecelectionresults.net/elections_prod/1292/state/1/lga/3667/ward/23971/pu/91126/91126-1677489596.pdf" TargetMode="External"/><Relationship Id="rId4004" Type="http://schemas.openxmlformats.org/officeDocument/2006/relationships/hyperlink" Target="https://docs.inecelectionresults.net/elections_prod/1292/state/01/lga/20/ward/10/pu/038/038-1677361142.pdf" TargetMode="External"/><Relationship Id="rId267" Type="http://schemas.openxmlformats.org/officeDocument/2006/relationships/hyperlink" Target="https://docs.inecelectionresults.net/elections_prod/1292/state/1/lga/3667/ward/23971/pu/91125/91125-1677471426.pdf" TargetMode="External"/><Relationship Id="rId4003" Type="http://schemas.openxmlformats.org/officeDocument/2006/relationships/hyperlink" Target="https://docs.inecelectionresults.net/elections_prod/1292/state/01/lga/20/ward/10/pu/037/037-1677361655.pdf" TargetMode="External"/><Relationship Id="rId266" Type="http://schemas.openxmlformats.org/officeDocument/2006/relationships/hyperlink" Target="https://docs.inecelectionresults.net/elections_prod/1292/state/1/lga/3667/ward/23971/pu/91124/91124-1677488073.pdf" TargetMode="External"/><Relationship Id="rId4006" Type="http://schemas.openxmlformats.org/officeDocument/2006/relationships/hyperlink" Target="https://docs.inecelectionresults.net/elections_prod/1292/state/01/lga/20/ward/10/pu/040/040-1677361931.pdf" TargetMode="External"/><Relationship Id="rId265" Type="http://schemas.openxmlformats.org/officeDocument/2006/relationships/hyperlink" Target="https://docs.inecelectionresults.net/elections_prod/1292/state/01/lga/02/ward/06/pu/009/009-1677427621.pdf" TargetMode="External"/><Relationship Id="rId4005" Type="http://schemas.openxmlformats.org/officeDocument/2006/relationships/hyperlink" Target="https://docs.inecelectionresults.net/elections_prod/1292/state/01/lga/20/ward/10/pu/039/039-1677372920.pdf" TargetMode="External"/><Relationship Id="rId260" Type="http://schemas.openxmlformats.org/officeDocument/2006/relationships/hyperlink" Target="https://docs.inecelectionresults.net/elections_prod/1292/state/01/lga/02/ward/05/pu/017/017-1677415887.pdf" TargetMode="External"/><Relationship Id="rId259" Type="http://schemas.openxmlformats.org/officeDocument/2006/relationships/hyperlink" Target="https://docs.inecelectionresults.net/elections_prod/1292/state/01/lga/02/ward/05/pu/016/016-1677414865.pdf" TargetMode="External"/><Relationship Id="rId258" Type="http://schemas.openxmlformats.org/officeDocument/2006/relationships/hyperlink" Target="https://docs.inecelectionresults.net/elections_prod/1292/state/01/lga/02/ward/05/pu/015/015-1677413808.pdf" TargetMode="External"/><Relationship Id="rId2290" Type="http://schemas.openxmlformats.org/officeDocument/2006/relationships/hyperlink" Target="https://docs.inecelectionresults.net/elections_prod/1292/state/1/lga/3683/ward/24154/pu/93652/93652-1677515234.pdf" TargetMode="External"/><Relationship Id="rId2291" Type="http://schemas.openxmlformats.org/officeDocument/2006/relationships/hyperlink" Target="https://docs.inecelectionresults.net/elections_prod/1292/state/01/lga/18/ward/04/pu/004/004-1677404535.pdf" TargetMode="External"/><Relationship Id="rId2292" Type="http://schemas.openxmlformats.org/officeDocument/2006/relationships/hyperlink" Target="https://docs.inecelectionresults.net/elections_prod/1292/state/01/lga/18/ward/04/pu/005/005-1677403619.pdf" TargetMode="External"/><Relationship Id="rId2293" Type="http://schemas.openxmlformats.org/officeDocument/2006/relationships/hyperlink" Target="https://docs.inecelectionresults.net/elections_prod/1292/state/01/lga/18/ward/04/pu/006/006-1677413230.pdf" TargetMode="External"/><Relationship Id="rId253" Type="http://schemas.openxmlformats.org/officeDocument/2006/relationships/hyperlink" Target="https://docs.inecelectionresults.net/elections_prod/1292/state/01/lga/02/ward/05/pu/008/008-1677408446.pdf" TargetMode="External"/><Relationship Id="rId2294" Type="http://schemas.openxmlformats.org/officeDocument/2006/relationships/hyperlink" Target="https://docs.inecelectionresults.net/elections_prod/1292/state/01/lga/18/ward/04/pu/007/007-1677403991.pdf" TargetMode="External"/><Relationship Id="rId252" Type="http://schemas.openxmlformats.org/officeDocument/2006/relationships/hyperlink" Target="https://docs.inecelectionresults.net/elections_prod/1292/state/01/lga/02/ward/05/pu/005/005-1677409966.pdf" TargetMode="External"/><Relationship Id="rId2295" Type="http://schemas.openxmlformats.org/officeDocument/2006/relationships/hyperlink" Target="https://docs.inecelectionresults.net/elections_prod/1292/state/01/lga/18/ward/04/pu/008/008-1677415392.pdf" TargetMode="External"/><Relationship Id="rId251" Type="http://schemas.openxmlformats.org/officeDocument/2006/relationships/hyperlink" Target="https://docs.inecelectionresults.net/elections_prod/1292/state/01/lga/02/ward/05/pu/004/004-1677411271.pdf" TargetMode="External"/><Relationship Id="rId2296" Type="http://schemas.openxmlformats.org/officeDocument/2006/relationships/hyperlink" Target="https://docs.inecelectionresults.net/elections_prod/1292/state/01/lga/18/ward/04/pu/009/009-1677401864.pdf" TargetMode="External"/><Relationship Id="rId250" Type="http://schemas.openxmlformats.org/officeDocument/2006/relationships/hyperlink" Target="https://docs.inecelectionresults.net/elections_prod/1292/state/01/lga/02/ward/05/pu/003/003-1677410653.pdf" TargetMode="External"/><Relationship Id="rId2297" Type="http://schemas.openxmlformats.org/officeDocument/2006/relationships/hyperlink" Target="https://docs.inecelectionresults.net/elections_prod/1292/state/01/lga/18/ward/04/pu/010/010-1677402576.pdf" TargetMode="External"/><Relationship Id="rId257" Type="http://schemas.openxmlformats.org/officeDocument/2006/relationships/hyperlink" Target="https://docs.inecelectionresults.net/elections_prod/1292/state/01/lga/02/ward/05/pu/013/013-1677401863.pdf" TargetMode="External"/><Relationship Id="rId2298" Type="http://schemas.openxmlformats.org/officeDocument/2006/relationships/hyperlink" Target="https://docs.inecelectionresults.net/elections_prod/1292/state/01/lga/18/ward/04/pu/011/011-1677397865.pdf" TargetMode="External"/><Relationship Id="rId256" Type="http://schemas.openxmlformats.org/officeDocument/2006/relationships/hyperlink" Target="https://docs.inecelectionresults.net/elections_prod/1292/state/01/lga/02/ward/05/pu/012/012-1677412216.pdf" TargetMode="External"/><Relationship Id="rId2299" Type="http://schemas.openxmlformats.org/officeDocument/2006/relationships/hyperlink" Target="https://docs.inecelectionresults.net/elections_prod/1292/state/01/lga/18/ward/04/pu/012/012-1677407954.pdf" TargetMode="External"/><Relationship Id="rId255" Type="http://schemas.openxmlformats.org/officeDocument/2006/relationships/hyperlink" Target="https://docs.inecelectionresults.net/elections_prod/1292/state/01/lga/02/ward/05/pu/011/011-1677404631.pdf" TargetMode="External"/><Relationship Id="rId254" Type="http://schemas.openxmlformats.org/officeDocument/2006/relationships/hyperlink" Target="https://docs.inecelectionresults.net/elections_prod/1292/state/01/lga/02/ward/05/pu/010/010-1677411597.pdf" TargetMode="External"/><Relationship Id="rId4029" Type="http://schemas.openxmlformats.org/officeDocument/2006/relationships/hyperlink" Target="https://docs.inecelectionresults.net/elections_prod/1292/state/1/lga/3685/ward/24174/pu/166449/166449-1677528494.pdf" TargetMode="External"/><Relationship Id="rId293" Type="http://schemas.openxmlformats.org/officeDocument/2006/relationships/hyperlink" Target="https://docs.inecelectionresults.net/elections_prod/1292/state/01/lga/02/ward/08/pu/015/015-1677412852.pdf" TargetMode="External"/><Relationship Id="rId292" Type="http://schemas.openxmlformats.org/officeDocument/2006/relationships/hyperlink" Target="https://docs.inecelectionresults.net/elections_prod/1292/state/01/lga/02/ward/08/pu/014/014-1677409472.pdf" TargetMode="External"/><Relationship Id="rId291" Type="http://schemas.openxmlformats.org/officeDocument/2006/relationships/hyperlink" Target="https://docs.inecelectionresults.net/elections_prod/1292/state/01/lga/02/ward/08/pu/013/013-1677402707.pdf" TargetMode="External"/><Relationship Id="rId290" Type="http://schemas.openxmlformats.org/officeDocument/2006/relationships/hyperlink" Target="https://docs.inecelectionresults.net/elections_prod/1292/state/01/lga/02/ward/08/pu/011/011-1677401709.pdf" TargetMode="External"/><Relationship Id="rId4020" Type="http://schemas.openxmlformats.org/officeDocument/2006/relationships/hyperlink" Target="https://docs.inecelectionresults.net/elections_prod/1292/state/1/lga/3685/ward/24171/pu/166431/166431-1677500048.pdf" TargetMode="External"/><Relationship Id="rId286" Type="http://schemas.openxmlformats.org/officeDocument/2006/relationships/hyperlink" Target="https://docs.inecelectionresults.net/elections_prod/1292/state/01/lga/02/ward/08/pu/007/007-1677396890.pdf" TargetMode="External"/><Relationship Id="rId4022" Type="http://schemas.openxmlformats.org/officeDocument/2006/relationships/hyperlink" Target="https://docs.inecelectionresults.net/elections_prod/1292/state/1/lga/3685/ward/24171/pu/166433/166433-1677494307.pdf" TargetMode="External"/><Relationship Id="rId285" Type="http://schemas.openxmlformats.org/officeDocument/2006/relationships/hyperlink" Target="https://docs.inecelectionresults.net/elections_prod/1292/state/01/lga/02/ward/08/pu/004/004-1677395420.pdf" TargetMode="External"/><Relationship Id="rId4021" Type="http://schemas.openxmlformats.org/officeDocument/2006/relationships/hyperlink" Target="https://docs.inecelectionresults.net/elections_prod/1292/state/1/lga/3685/ward/24171/pu/166432/166432-1677498328.pdf" TargetMode="External"/><Relationship Id="rId284" Type="http://schemas.openxmlformats.org/officeDocument/2006/relationships/hyperlink" Target="https://docs.inecelectionresults.net/elections_prod/1292/state/01/lga/02/ward/08/pu/003/003-1677390209.pdf" TargetMode="External"/><Relationship Id="rId4024" Type="http://schemas.openxmlformats.org/officeDocument/2006/relationships/hyperlink" Target="https://docs.inecelectionresults.net/elections_prod/1292/state/01/lga/20/ward/02/pu/013/013-1677365747.pdf" TargetMode="External"/><Relationship Id="rId283" Type="http://schemas.openxmlformats.org/officeDocument/2006/relationships/hyperlink" Target="https://docs.inecelectionresults.net/elections_prod/1292/state/01/lga/02/ward/08/pu/002/002-1677393120.pdf" TargetMode="External"/><Relationship Id="rId4023" Type="http://schemas.openxmlformats.org/officeDocument/2006/relationships/hyperlink" Target="https://docs.inecelectionresults.net/elections_prod/1292/state/1/lga/3685/ward/24171/pu/166434/166434-1677494287.pdf" TargetMode="External"/><Relationship Id="rId4026" Type="http://schemas.openxmlformats.org/officeDocument/2006/relationships/hyperlink" Target="https://docs.inecelectionresults.net/elections_prod/1292/state/01/lga/20/ward/02/pu/015/015-1677364256.pdf" TargetMode="External"/><Relationship Id="rId289" Type="http://schemas.openxmlformats.org/officeDocument/2006/relationships/hyperlink" Target="https://docs.inecelectionresults.net/elections_prod/1292/state/01/lga/02/ward/08/pu/010/010-1677400895.pdf" TargetMode="External"/><Relationship Id="rId4025" Type="http://schemas.openxmlformats.org/officeDocument/2006/relationships/hyperlink" Target="https://docs.inecelectionresults.net/elections_prod/1292/state/01/lga/20/ward/02/pu/014/014-1677360721.pdf" TargetMode="External"/><Relationship Id="rId288" Type="http://schemas.openxmlformats.org/officeDocument/2006/relationships/hyperlink" Target="https://docs.inecelectionresults.net/elections_prod/1292/state/01/lga/02/ward/08/pu/009/009-1677398382.pdf" TargetMode="External"/><Relationship Id="rId4028" Type="http://schemas.openxmlformats.org/officeDocument/2006/relationships/hyperlink" Target="https://docs.inecelectionresults.net/elections_prod/1292/state/1/lga/3685/ward/24174/pu/166447/166447-1677526511.pdf" TargetMode="External"/><Relationship Id="rId287" Type="http://schemas.openxmlformats.org/officeDocument/2006/relationships/hyperlink" Target="https://docs.inecelectionresults.net/elections_prod/1292/state/01/lga/02/ward/08/pu/008/008-1677397629.pdf" TargetMode="External"/><Relationship Id="rId4027" Type="http://schemas.openxmlformats.org/officeDocument/2006/relationships/hyperlink" Target="https://docs.inecelectionresults.net/elections_prod/1292/state/01/lga/20/ward/02/pu/017/017-1677359209.pdf" TargetMode="External"/><Relationship Id="rId4019" Type="http://schemas.openxmlformats.org/officeDocument/2006/relationships/hyperlink" Target="https://docs.inecelectionresults.net/elections_prod/1292/state/01/lga/20/ward/10/pu/054/054-1677379170.pdf" TargetMode="External"/><Relationship Id="rId4018" Type="http://schemas.openxmlformats.org/officeDocument/2006/relationships/hyperlink" Target="https://docs.inecelectionresults.net/elections_prod/1292/state/01/lga/20/ward/10/pu/053/053-1677361299.pdf" TargetMode="External"/><Relationship Id="rId282" Type="http://schemas.openxmlformats.org/officeDocument/2006/relationships/hyperlink" Target="https://docs.inecelectionresults.net/elections_prod/1292/state/01/lga/02/ward/08/pu/001/001-1677391871.pdf" TargetMode="External"/><Relationship Id="rId281" Type="http://schemas.openxmlformats.org/officeDocument/2006/relationships/hyperlink" Target="https://docs.inecelectionresults.net/elections_prod/1292/state/1/lga/3667/ward/23972/pu/91151/91151-1677503275.pdf" TargetMode="External"/><Relationship Id="rId280" Type="http://schemas.openxmlformats.org/officeDocument/2006/relationships/hyperlink" Target="https://docs.inecelectionresults.net/elections_prod/1292/state/1/lga/3667/ward/23972/pu/91149/91149-1677489461.pdf" TargetMode="External"/><Relationship Id="rId275" Type="http://schemas.openxmlformats.org/officeDocument/2006/relationships/hyperlink" Target="https://docs.inecelectionresults.net/elections_prod/1292/state/1/lga/3667/ward/23972/pu/91139/91139-1677491200.pdf" TargetMode="External"/><Relationship Id="rId4011" Type="http://schemas.openxmlformats.org/officeDocument/2006/relationships/hyperlink" Target="https://docs.inecelectionresults.net/elections_prod/1292/state/01/lga/20/ward/10/pu/045/045-1677362986.pdf" TargetMode="External"/><Relationship Id="rId274" Type="http://schemas.openxmlformats.org/officeDocument/2006/relationships/hyperlink" Target="https://docs.inecelectionresults.net/elections_prod/1292/state/1/lga/3667/ward/23972/pu/91138/91138-1677502786.pdf" TargetMode="External"/><Relationship Id="rId4010" Type="http://schemas.openxmlformats.org/officeDocument/2006/relationships/hyperlink" Target="https://docs.inecelectionresults.net/elections_prod/1292/state/01/lga/20/ward/10/pu/044/044-1677362229.pdf" TargetMode="External"/><Relationship Id="rId273" Type="http://schemas.openxmlformats.org/officeDocument/2006/relationships/hyperlink" Target="https://docs.inecelectionresults.net/elections_prod/1292/state/1/lga/3667/ward/23972/pu/91137/91137-1677496321.pdf" TargetMode="External"/><Relationship Id="rId4013" Type="http://schemas.openxmlformats.org/officeDocument/2006/relationships/hyperlink" Target="https://docs.inecelectionresults.net/elections_prod/1292/state/01/lga/20/ward/10/pu/047/047-1677359040.pdf" TargetMode="External"/><Relationship Id="rId272" Type="http://schemas.openxmlformats.org/officeDocument/2006/relationships/hyperlink" Target="https://docs.inecelectionresults.net/elections_prod/1292/state/01/lga/02/ward/07/pu/009/009-1677417157.pdf" TargetMode="External"/><Relationship Id="rId4012" Type="http://schemas.openxmlformats.org/officeDocument/2006/relationships/hyperlink" Target="https://docs.inecelectionresults.net/elections_prod/1292/state/01/lga/20/ward/10/pu/046/046-1677359050.pdf" TargetMode="External"/><Relationship Id="rId279" Type="http://schemas.openxmlformats.org/officeDocument/2006/relationships/hyperlink" Target="https://docs.inecelectionresults.net/elections_prod/1292/state/1/lga/3667/ward/23972/pu/91148/91148-1677490316.pdf" TargetMode="External"/><Relationship Id="rId4015" Type="http://schemas.openxmlformats.org/officeDocument/2006/relationships/hyperlink" Target="https://docs.inecelectionresults.net/elections_prod/1292/state/01/lga/20/ward/10/pu/050/050-1677376616.pdf" TargetMode="External"/><Relationship Id="rId278" Type="http://schemas.openxmlformats.org/officeDocument/2006/relationships/hyperlink" Target="https://docs.inecelectionresults.net/elections_prod/1292/state/1/lga/3667/ward/23972/pu/91143/91143-1677498566.pdf" TargetMode="External"/><Relationship Id="rId4014" Type="http://schemas.openxmlformats.org/officeDocument/2006/relationships/hyperlink" Target="https://docs.inecelectionresults.net/elections_prod/1292/state/01/lga/20/ward/10/pu/048/048-1677358548.pdf" TargetMode="External"/><Relationship Id="rId277" Type="http://schemas.openxmlformats.org/officeDocument/2006/relationships/hyperlink" Target="https://docs.inecelectionresults.net/elections_prod/1292/state/1/lga/3667/ward/23972/pu/91142/91142-1677491827.pdf" TargetMode="External"/><Relationship Id="rId4017" Type="http://schemas.openxmlformats.org/officeDocument/2006/relationships/hyperlink" Target="https://docs.inecelectionresults.net/elections_prod/1292/state/01/lga/20/ward/10/pu/052/052-1677376177.pdf" TargetMode="External"/><Relationship Id="rId276" Type="http://schemas.openxmlformats.org/officeDocument/2006/relationships/hyperlink" Target="https://docs.inecelectionresults.net/elections_prod/1292/state/1/lga/3667/ward/23972/pu/91140/91140-1677489851.pdf" TargetMode="External"/><Relationship Id="rId4016" Type="http://schemas.openxmlformats.org/officeDocument/2006/relationships/hyperlink" Target="https://docs.inecelectionresults.net/elections_prod/1292/state/01/lga/20/ward/10/pu/051/051-1677358576.pdf" TargetMode="External"/><Relationship Id="rId1851" Type="http://schemas.openxmlformats.org/officeDocument/2006/relationships/hyperlink" Target="https://docs.inecelectionresults.net/elections_prod/1292/state/01/lga/14/ward/05/pu/006/006-1677414676.pdf" TargetMode="External"/><Relationship Id="rId1852" Type="http://schemas.openxmlformats.org/officeDocument/2006/relationships/hyperlink" Target="https://docs.inecelectionresults.net/elections_prod/1292/state/01/lga/14/ward/05/pu/007/007-1677415502.pdf" TargetMode="External"/><Relationship Id="rId1853" Type="http://schemas.openxmlformats.org/officeDocument/2006/relationships/hyperlink" Target="https://docs.inecelectionresults.net/elections_prod/1292/state/01/lga/14/ward/05/pu/008/008-1677416057.pdf" TargetMode="External"/><Relationship Id="rId1854" Type="http://schemas.openxmlformats.org/officeDocument/2006/relationships/hyperlink" Target="https://docs.inecelectionresults.net/elections_prod/1292/state/01/lga/14/ward/05/pu/009/009-1677416525.pdf" TargetMode="External"/><Relationship Id="rId1855" Type="http://schemas.openxmlformats.org/officeDocument/2006/relationships/hyperlink" Target="https://docs.inecelectionresults.net/elections_prod/1292/state/01/lga/14/ward/05/pu/010/010-1677417900.pdf" TargetMode="External"/><Relationship Id="rId1856" Type="http://schemas.openxmlformats.org/officeDocument/2006/relationships/hyperlink" Target="https://docs.inecelectionresults.net/elections_prod/1292/state/01/lga/14/ward/06/pu/002/002-1677398939.pdf" TargetMode="External"/><Relationship Id="rId1857" Type="http://schemas.openxmlformats.org/officeDocument/2006/relationships/hyperlink" Target="https://docs.inecelectionresults.net/elections_prod/1292/state/01/lga/14/ward/06/pu/008/008-1677396977.pdf" TargetMode="External"/><Relationship Id="rId1858" Type="http://schemas.openxmlformats.org/officeDocument/2006/relationships/hyperlink" Target="https://docs.inecelectionresults.net/elections_prod/1292/state/01/lga/14/ward/07/pu/001/001-1677405521.pdf" TargetMode="External"/><Relationship Id="rId1859" Type="http://schemas.openxmlformats.org/officeDocument/2006/relationships/hyperlink" Target="https://docs.inecelectionresults.net/elections_prod/1292/state/01/lga/14/ward/07/pu/002/002-1677409159.pdf" TargetMode="External"/><Relationship Id="rId1850" Type="http://schemas.openxmlformats.org/officeDocument/2006/relationships/hyperlink" Target="https://docs.inecelectionresults.net/elections_prod/1292/state/01/lga/14/ward/05/pu/002/002-1677408531.pdf" TargetMode="External"/><Relationship Id="rId1840" Type="http://schemas.openxmlformats.org/officeDocument/2006/relationships/hyperlink" Target="https://inec-cvr-cache.s3.eu-west-1.amazonaws.com/cached/results/91988/result_79594_1677532489_thumb.jpg" TargetMode="External"/><Relationship Id="rId1841" Type="http://schemas.openxmlformats.org/officeDocument/2006/relationships/hyperlink" Target="https://inec-cvr-cache.s3.eu-west-1.amazonaws.com/cached/results/91990/result_79596_1677532932_thumb.jpg" TargetMode="External"/><Relationship Id="rId1842" Type="http://schemas.openxmlformats.org/officeDocument/2006/relationships/hyperlink" Target="https://inec-cvr-cache.s3.eu-west-1.amazonaws.com/cached/results/91991/result_79597_1677533423_thumb.jpg" TargetMode="External"/><Relationship Id="rId1843" Type="http://schemas.openxmlformats.org/officeDocument/2006/relationships/hyperlink" Target="https://inec-cvr-cache.s3.eu-west-1.amazonaws.com/cached/results/91992/result_79598_1677533737_thumb.jpg" TargetMode="External"/><Relationship Id="rId1844" Type="http://schemas.openxmlformats.org/officeDocument/2006/relationships/hyperlink" Target="https://inec-cvr-cache.s3.eu-west-1.amazonaws.com/cached/results/91993/result_79599_1677532580_thumb.jpg" TargetMode="External"/><Relationship Id="rId1845" Type="http://schemas.openxmlformats.org/officeDocument/2006/relationships/hyperlink" Target="https://inec-cvr-cache.s3.eu-west-1.amazonaws.com/cached/results/91994/result_79600_1677533110_thumb.jpg" TargetMode="External"/><Relationship Id="rId1846" Type="http://schemas.openxmlformats.org/officeDocument/2006/relationships/hyperlink" Target="https://inec-cvr-cache.s3.eu-west-1.amazonaws.com/cached/results/91996/result_79602_1677533514_thumb.jpg" TargetMode="External"/><Relationship Id="rId1847" Type="http://schemas.openxmlformats.org/officeDocument/2006/relationships/hyperlink" Target="https://inec-cvr-cache.s3.eu-west-1.amazonaws.com/cached/results/91997/result_79603_1677533816_thumb.jpg" TargetMode="External"/><Relationship Id="rId1848" Type="http://schemas.openxmlformats.org/officeDocument/2006/relationships/hyperlink" Target="https://inec-cvr-cache.s3.eu-west-1.amazonaws.com/cached/results/91998/result_79604_1677532687_thumb.jpg" TargetMode="External"/><Relationship Id="rId1849" Type="http://schemas.openxmlformats.org/officeDocument/2006/relationships/hyperlink" Target="https://docs.inecelectionresults.net/elections_prod/1292/state/01/lga/14/ward/05/pu/001/001-1677408044.pdf" TargetMode="External"/><Relationship Id="rId1873" Type="http://schemas.openxmlformats.org/officeDocument/2006/relationships/hyperlink" Target="https://docs.inecelectionresults.net/elections_prod/1292/state/01/lga/14/ward/08/pu/008/008-1677400538.pdf" TargetMode="External"/><Relationship Id="rId1874" Type="http://schemas.openxmlformats.org/officeDocument/2006/relationships/hyperlink" Target="https://docs.inecelectionresults.net/elections_prod/1292/state/01/lga/14/ward/08/pu/009/009-1677400510.pdf" TargetMode="External"/><Relationship Id="rId1875" Type="http://schemas.openxmlformats.org/officeDocument/2006/relationships/hyperlink" Target="https://docs.inecelectionresults.net/elections_prod/1292/state/01/lga/14/ward/08/pu/010/010-1677402375.pdf" TargetMode="External"/><Relationship Id="rId1876" Type="http://schemas.openxmlformats.org/officeDocument/2006/relationships/hyperlink" Target="https://docs.inecelectionresults.net/elections_prod/1292/state/01/lga/14/ward/09/pu/001/001-1677379354.pdf" TargetMode="External"/><Relationship Id="rId1877" Type="http://schemas.openxmlformats.org/officeDocument/2006/relationships/hyperlink" Target="https://docs.inecelectionresults.net/elections_prod/1292/state/01/lga/14/ward/09/pu/005/005-1677398345.pdf" TargetMode="External"/><Relationship Id="rId1878" Type="http://schemas.openxmlformats.org/officeDocument/2006/relationships/hyperlink" Target="https://docs.inecelectionresults.net/elections_prod/1292/state/01/lga/14/ward/09/pu/006/006-1677373685.pdf" TargetMode="External"/><Relationship Id="rId1879" Type="http://schemas.openxmlformats.org/officeDocument/2006/relationships/hyperlink" Target="https://docs.inecelectionresults.net/elections_prod/1292/state/01/lga/14/ward/09/pu/007/007-1677375654.pdf" TargetMode="External"/><Relationship Id="rId1870" Type="http://schemas.openxmlformats.org/officeDocument/2006/relationships/hyperlink" Target="https://docs.inecelectionresults.net/elections_prod/1292/state/01/lga/14/ward/08/pu/002/002-1677397298.pdf" TargetMode="External"/><Relationship Id="rId1871" Type="http://schemas.openxmlformats.org/officeDocument/2006/relationships/hyperlink" Target="https://docs.inecelectionresults.net/elections_prod/1292/state/01/lga/14/ward/08/pu/004/004-1677397187.pdf" TargetMode="External"/><Relationship Id="rId1872" Type="http://schemas.openxmlformats.org/officeDocument/2006/relationships/hyperlink" Target="https://docs.inecelectionresults.net/elections_prod/1292/state/01/lga/14/ward/08/pu/007/007-1677402475.pdf" TargetMode="External"/><Relationship Id="rId1862" Type="http://schemas.openxmlformats.org/officeDocument/2006/relationships/hyperlink" Target="https://docs.inecelectionresults.net/elections_prod/1292/state/01/lga/14/ward/07/pu/005/005-1677404852.pdf" TargetMode="External"/><Relationship Id="rId1863" Type="http://schemas.openxmlformats.org/officeDocument/2006/relationships/hyperlink" Target="https://docs.inecelectionresults.net/elections_prod/1292/state/01/lga/14/ward/07/pu/006/006-1677403515.pdf" TargetMode="External"/><Relationship Id="rId1864" Type="http://schemas.openxmlformats.org/officeDocument/2006/relationships/hyperlink" Target="https://docs.inecelectionresults.net/elections_prod/1292/state/01/lga/14/ward/07/pu/007/007-1677403034.pdf" TargetMode="External"/><Relationship Id="rId1865" Type="http://schemas.openxmlformats.org/officeDocument/2006/relationships/hyperlink" Target="https://docs.inecelectionresults.net/elections_prod/1292/state/01/lga/14/ward/07/pu/008/008-1677401481.pdf" TargetMode="External"/><Relationship Id="rId1866" Type="http://schemas.openxmlformats.org/officeDocument/2006/relationships/hyperlink" Target="https://docs.inecelectionresults.net/elections_prod/1292/state/01/lga/14/ward/07/pu/009/009-1677400596.pdf" TargetMode="External"/><Relationship Id="rId1867" Type="http://schemas.openxmlformats.org/officeDocument/2006/relationships/hyperlink" Target="https://docs.inecelectionresults.net/elections_prod/1292/state/01/lga/14/ward/07/pu/010/010-1677398780.pdf" TargetMode="External"/><Relationship Id="rId1868" Type="http://schemas.openxmlformats.org/officeDocument/2006/relationships/hyperlink" Target="https://docs.inecelectionresults.net/elections_prod/1292/state/01/lga/14/ward/07/pu/012/012-1677401805.pdf" TargetMode="External"/><Relationship Id="rId1869" Type="http://schemas.openxmlformats.org/officeDocument/2006/relationships/hyperlink" Target="https://docs.inecelectionresults.net/elections_prod/1292/state/01/lga/14/ward/07/pu/013/013-1677404143.pdf" TargetMode="External"/><Relationship Id="rId1860" Type="http://schemas.openxmlformats.org/officeDocument/2006/relationships/hyperlink" Target="https://docs.inecelectionresults.net/elections_prod/1292/state/01/lga/14/ward/07/pu/003/003-1677402549.pdf" TargetMode="External"/><Relationship Id="rId1861" Type="http://schemas.openxmlformats.org/officeDocument/2006/relationships/hyperlink" Target="https://docs.inecelectionresults.net/elections_prod/1292/state/01/lga/14/ward/07/pu/004/004-1677409786.pdf" TargetMode="External"/><Relationship Id="rId1810" Type="http://schemas.openxmlformats.org/officeDocument/2006/relationships/hyperlink" Target="https://docs.inecelectionresults.net/elections_prod/1292/state/01/lga/14/ward/03/pu/001/001-1677397315.pdf" TargetMode="External"/><Relationship Id="rId1811" Type="http://schemas.openxmlformats.org/officeDocument/2006/relationships/hyperlink" Target="https://docs.inecelectionresults.net/elections_prod/1292/state/01/lga/14/ward/03/pu/002/002-1677398470.pdf" TargetMode="External"/><Relationship Id="rId1812" Type="http://schemas.openxmlformats.org/officeDocument/2006/relationships/hyperlink" Target="https://docs.inecelectionresults.net/elections_prod/1292/state/01/lga/14/ward/03/pu/003/003-1677400976.pdf" TargetMode="External"/><Relationship Id="rId1813" Type="http://schemas.openxmlformats.org/officeDocument/2006/relationships/hyperlink" Target="https://docs.inecelectionresults.net/elections_prod/1292/state/01/lga/14/ward/03/pu/004/004-1677402195.pdf" TargetMode="External"/><Relationship Id="rId1814" Type="http://schemas.openxmlformats.org/officeDocument/2006/relationships/hyperlink" Target="https://docs.inecelectionresults.net/elections_prod/1292/state/01/lga/14/ward/03/pu/005/005-1677397613.pdf" TargetMode="External"/><Relationship Id="rId1815" Type="http://schemas.openxmlformats.org/officeDocument/2006/relationships/hyperlink" Target="https://docs.inecelectionresults.net/elections_prod/1292/state/01/lga/14/ward/03/pu/006/006-1677409868.pdf" TargetMode="External"/><Relationship Id="rId1816" Type="http://schemas.openxmlformats.org/officeDocument/2006/relationships/hyperlink" Target="https://docs.inecelectionresults.net/elections_prod/1292/state/01/lga/14/ward/03/pu/007/007-1677400327.pdf" TargetMode="External"/><Relationship Id="rId1817" Type="http://schemas.openxmlformats.org/officeDocument/2006/relationships/hyperlink" Target="https://docs.inecelectionresults.net/elections_prod/1292/state/01/lga/14/ward/03/pu/008/008-1677415411.pdf" TargetMode="External"/><Relationship Id="rId1818" Type="http://schemas.openxmlformats.org/officeDocument/2006/relationships/hyperlink" Target="https://docs.inecelectionresults.net/elections_prod/1292/state/01/lga/14/ward/03/pu/009/009-1677399871.pdf" TargetMode="External"/><Relationship Id="rId1819" Type="http://schemas.openxmlformats.org/officeDocument/2006/relationships/hyperlink" Target="https://docs.inecelectionresults.net/elections_prod/1292/state/01/lga/14/ward/03/pu/012/012-1677416119.pdf" TargetMode="External"/><Relationship Id="rId1800" Type="http://schemas.openxmlformats.org/officeDocument/2006/relationships/hyperlink" Target="https://docs.inecelectionresults.net/elections_prod/1292/state/01/lga/14/ward/01/pu/007/007-1677406885.pdf" TargetMode="External"/><Relationship Id="rId1801" Type="http://schemas.openxmlformats.org/officeDocument/2006/relationships/hyperlink" Target="https://docs.inecelectionresults.net/elections_prod/1292/state/01/lga/14/ward/01/pu/008/008-1677406418.pdf" TargetMode="External"/><Relationship Id="rId1802" Type="http://schemas.openxmlformats.org/officeDocument/2006/relationships/hyperlink" Target="https://docs.inecelectionresults.net/elections_prod/1292/state/01/lga/14/ward/01/pu/009/009-1677405925.pdf" TargetMode="External"/><Relationship Id="rId1803" Type="http://schemas.openxmlformats.org/officeDocument/2006/relationships/hyperlink" Target="https://docs.inecelectionresults.net/elections_prod/1292/state/01/lga/14/ward/02/pu/001/001-1677410338.pdf" TargetMode="External"/><Relationship Id="rId1804" Type="http://schemas.openxmlformats.org/officeDocument/2006/relationships/hyperlink" Target="https://docs.inecelectionresults.net/elections_prod/1292/state/01/lga/14/ward/02/pu/002/002-1677399612.pdf" TargetMode="External"/><Relationship Id="rId1805" Type="http://schemas.openxmlformats.org/officeDocument/2006/relationships/hyperlink" Target="https://docs.inecelectionresults.net/elections_prod/1292/state/01/lga/14/ward/02/pu/003/003-1677409875.pdf" TargetMode="External"/><Relationship Id="rId1806" Type="http://schemas.openxmlformats.org/officeDocument/2006/relationships/hyperlink" Target="https://docs.inecelectionresults.net/elections_prod/1292/state/01/lga/14/ward/02/pu/004/004-1677413062.pdf" TargetMode="External"/><Relationship Id="rId1807" Type="http://schemas.openxmlformats.org/officeDocument/2006/relationships/hyperlink" Target="https://docs.inecelectionresults.net/elections_prod/1292/state/01/lga/14/ward/02/pu/006/006-1677411447.pdf" TargetMode="External"/><Relationship Id="rId1808" Type="http://schemas.openxmlformats.org/officeDocument/2006/relationships/hyperlink" Target="https://docs.inecelectionresults.net/elections_prod/1292/state/01/lga/14/ward/02/pu/007/007-1677410117.pdf" TargetMode="External"/><Relationship Id="rId1809" Type="http://schemas.openxmlformats.org/officeDocument/2006/relationships/hyperlink" Target="https://docs.inecelectionresults.net/elections_prod/1292/state/01/lga/14/ward/02/pu/008/008-1677409564.pdf" TargetMode="External"/><Relationship Id="rId4070" Type="http://schemas.openxmlformats.org/officeDocument/2006/relationships/drawing" Target="../drawings/drawing1.xml"/><Relationship Id="rId1830" Type="http://schemas.openxmlformats.org/officeDocument/2006/relationships/hyperlink" Target="https://docs.inecelectionresults.net/elections_prod/1292/state/01/lga/14/ward/03/pu/024/024-1677412164.pdf" TargetMode="External"/><Relationship Id="rId1831" Type="http://schemas.openxmlformats.org/officeDocument/2006/relationships/hyperlink" Target="https://docs.inecelectionresults.net/elections_prod/1292/state/01/lga/14/ward/04/pu/001/001-1677408793.pdf" TargetMode="External"/><Relationship Id="rId1832" Type="http://schemas.openxmlformats.org/officeDocument/2006/relationships/hyperlink" Target="https://docs.inecelectionresults.net/elections_prod/1292/state/01/lga/14/ward/04/pu/002/002-1677411377.pdf" TargetMode="External"/><Relationship Id="rId1833" Type="http://schemas.openxmlformats.org/officeDocument/2006/relationships/hyperlink" Target="https://docs.inecelectionresults.net/elections_prod/1292/state/01/lga/14/ward/04/pu/003/003-1677412784.pdf" TargetMode="External"/><Relationship Id="rId1834" Type="http://schemas.openxmlformats.org/officeDocument/2006/relationships/hyperlink" Target="https://docs.inecelectionresults.net/elections_prod/1292/state/01/lga/14/ward/04/pu/004/004-1677413435.pdf" TargetMode="External"/><Relationship Id="rId1835" Type="http://schemas.openxmlformats.org/officeDocument/2006/relationships/hyperlink" Target="https://docs.inecelectionresults.net/elections_prod/1292/state/01/lga/14/ward/04/pu/005/005-1677414230.pdf" TargetMode="External"/><Relationship Id="rId1836" Type="http://schemas.openxmlformats.org/officeDocument/2006/relationships/hyperlink" Target="https://docs.inecelectionresults.net/elections_prod/1292/state/01/lga/14/ward/04/pu/007/007-1677415538.pdf" TargetMode="External"/><Relationship Id="rId1837" Type="http://schemas.openxmlformats.org/officeDocument/2006/relationships/hyperlink" Target="https://inec-cvr-cache.s3.eu-west-1.amazonaws.com/cached/results/91985/result_79591_1677532764_thumb.jpg" TargetMode="External"/><Relationship Id="rId1838" Type="http://schemas.openxmlformats.org/officeDocument/2006/relationships/hyperlink" Target="https://inec-cvr-cache.s3.eu-west-1.amazonaws.com/cached/results/91986/result_79592_1677533331_thumb.jpg" TargetMode="External"/><Relationship Id="rId1839" Type="http://schemas.openxmlformats.org/officeDocument/2006/relationships/hyperlink" Target="https://inec-cvr-cache.s3.eu-west-1.amazonaws.com/cached/results/91987/result_79593_1677533676_thumb.jpg" TargetMode="External"/><Relationship Id="rId1820" Type="http://schemas.openxmlformats.org/officeDocument/2006/relationships/hyperlink" Target="https://docs.inecelectionresults.net/elections_prod/1292/state/01/lga/14/ward/03/pu/013/013-1677406061.pdf" TargetMode="External"/><Relationship Id="rId1821" Type="http://schemas.openxmlformats.org/officeDocument/2006/relationships/hyperlink" Target="https://docs.inecelectionresults.net/elections_prod/1292/state/01/lga/14/ward/03/pu/014/014-1677408725.pdf" TargetMode="External"/><Relationship Id="rId1822" Type="http://schemas.openxmlformats.org/officeDocument/2006/relationships/hyperlink" Target="https://docs.inecelectionresults.net/elections_prod/1292/state/01/lga/14/ward/03/pu/015/015-1677402933.pdf" TargetMode="External"/><Relationship Id="rId1823" Type="http://schemas.openxmlformats.org/officeDocument/2006/relationships/hyperlink" Target="https://docs.inecelectionresults.net/elections_prod/1292/state/01/lga/14/ward/03/pu/016/016-1677414722.pdf" TargetMode="External"/><Relationship Id="rId1824" Type="http://schemas.openxmlformats.org/officeDocument/2006/relationships/hyperlink" Target="https://docs.inecelectionresults.net/elections_prod/1292/state/01/lga/14/ward/03/pu/017/017-1677414443.pdf" TargetMode="External"/><Relationship Id="rId1825" Type="http://schemas.openxmlformats.org/officeDocument/2006/relationships/hyperlink" Target="https://docs.inecelectionresults.net/elections_prod/1292/state/01/lga/14/ward/03/pu/018/018-1677414061.pdf" TargetMode="External"/><Relationship Id="rId1826" Type="http://schemas.openxmlformats.org/officeDocument/2006/relationships/hyperlink" Target="https://inec-cvr-cache.s3.eu-west-1.amazonaws.com/cached/results/91972/result_79561_1677532221_thumb.jpg" TargetMode="External"/><Relationship Id="rId1827" Type="http://schemas.openxmlformats.org/officeDocument/2006/relationships/hyperlink" Target="https://inec-cvr-cache.s3.eu-west-1.amazonaws.com/cached/results/91973/result_79562_1677575995_thumb.jpg" TargetMode="External"/><Relationship Id="rId1828" Type="http://schemas.openxmlformats.org/officeDocument/2006/relationships/hyperlink" Target="https://docs.inecelectionresults.net/elections_prod/1292/state/01/lga/14/ward/03/pu/022/022-1677405048.pdf" TargetMode="External"/><Relationship Id="rId1829" Type="http://schemas.openxmlformats.org/officeDocument/2006/relationships/hyperlink" Target="https://docs.inecelectionresults.net/elections_prod/1292/state/01/lga/14/ward/03/pu/023/023-1677408521.pdf" TargetMode="External"/><Relationship Id="rId2302" Type="http://schemas.openxmlformats.org/officeDocument/2006/relationships/hyperlink" Target="https://docs.inecelectionresults.net/elections_prod/1292/state/01/lga/18/ward/04/pu/015/015-1677405456.pdf" TargetMode="External"/><Relationship Id="rId3634" Type="http://schemas.openxmlformats.org/officeDocument/2006/relationships/hyperlink" Target="https://docs.inecelectionresults.net/elections_prod/1292/state/01/lga/13/ward/08/pu/011/011-1677410851.pdf" TargetMode="External"/><Relationship Id="rId2303" Type="http://schemas.openxmlformats.org/officeDocument/2006/relationships/hyperlink" Target="https://docs.inecelectionresults.net/elections_prod/1292/state/01/lga/18/ward/05/pu/001/001-1677401090.pdf" TargetMode="External"/><Relationship Id="rId3633" Type="http://schemas.openxmlformats.org/officeDocument/2006/relationships/hyperlink" Target="https://docs.inecelectionresults.net/elections_prod/1292/state/01/lga/13/ward/04/pu/014/014-1677415821.pdf" TargetMode="External"/><Relationship Id="rId2304" Type="http://schemas.openxmlformats.org/officeDocument/2006/relationships/hyperlink" Target="https://docs.inecelectionresults.net/elections_prod/1292/state/01/lga/18/ward/05/pu/002/002-1677410670.pdf" TargetMode="External"/><Relationship Id="rId3636" Type="http://schemas.openxmlformats.org/officeDocument/2006/relationships/hyperlink" Target="https://docs.inecelectionresults.net/elections_prod/1292/state/01/lga/13/ward/02/pu/013/013-1677417571.pdf" TargetMode="External"/><Relationship Id="rId2305" Type="http://schemas.openxmlformats.org/officeDocument/2006/relationships/hyperlink" Target="https://docs.inecelectionresults.net/elections_prod/1292/state/01/lga/18/ward/05/pu/003/003-1677408081.pdf" TargetMode="External"/><Relationship Id="rId3635" Type="http://schemas.openxmlformats.org/officeDocument/2006/relationships/hyperlink" Target="https://docs.inecelectionresults.net/elections_prod/1292/state/01/lga/13/ward/02/pu/012/012-1677412212.pdf" TargetMode="External"/><Relationship Id="rId2306" Type="http://schemas.openxmlformats.org/officeDocument/2006/relationships/hyperlink" Target="https://docs.inecelectionresults.net/elections_prod/1292/state/01/lga/18/ward/05/pu/006/006-1677411941.pdf" TargetMode="External"/><Relationship Id="rId3638" Type="http://schemas.openxmlformats.org/officeDocument/2006/relationships/hyperlink" Target="https://docs.inecelectionresults.net/elections_prod/1292/state/01/lga/13/ward/02/pu/015/015-1677415252.pdf" TargetMode="External"/><Relationship Id="rId2307" Type="http://schemas.openxmlformats.org/officeDocument/2006/relationships/hyperlink" Target="https://docs.inecelectionresults.net/elections_prod/1292/state/01/lga/18/ward/05/pu/007/007-1677400056.pdf" TargetMode="External"/><Relationship Id="rId3637" Type="http://schemas.openxmlformats.org/officeDocument/2006/relationships/hyperlink" Target="https://docs.inecelectionresults.net/elections_prod/1292/state/01/lga/13/ward/02/pu/014/014-1677419430.pdf" TargetMode="External"/><Relationship Id="rId2308" Type="http://schemas.openxmlformats.org/officeDocument/2006/relationships/hyperlink" Target="https://docs.inecelectionresults.net/elections_prod/1292/state/01/lga/18/ward/05/pu/009/009-1677402708.pdf" TargetMode="External"/><Relationship Id="rId2309" Type="http://schemas.openxmlformats.org/officeDocument/2006/relationships/hyperlink" Target="https://docs.inecelectionresults.net/elections_prod/1292/state/01/lga/18/ward/05/pu/012/012-1677405206.pdf" TargetMode="External"/><Relationship Id="rId3639" Type="http://schemas.openxmlformats.org/officeDocument/2006/relationships/hyperlink" Target="https://docs.inecelectionresults.net/elections_prod/1292/state/01/lga/13/ward/10/pu/009/009-1677411179.pdf" TargetMode="External"/><Relationship Id="rId3630" Type="http://schemas.openxmlformats.org/officeDocument/2006/relationships/hyperlink" Target="https://docs.inecelectionresults.net/elections_prod/1292/state/01/lga/13/ward/04/pu/009/009-1677416692.pdf" TargetMode="External"/><Relationship Id="rId2300" Type="http://schemas.openxmlformats.org/officeDocument/2006/relationships/hyperlink" Target="https://docs.inecelectionresults.net/elections_prod/1292/state/01/lga/18/ward/04/pu/013/013-1677410069.pdf" TargetMode="External"/><Relationship Id="rId3632" Type="http://schemas.openxmlformats.org/officeDocument/2006/relationships/hyperlink" Target="https://docs.inecelectionresults.net/elections_prod/1292/state/01/lga/13/ward/04/pu/012/012-1677416409.pdf" TargetMode="External"/><Relationship Id="rId2301" Type="http://schemas.openxmlformats.org/officeDocument/2006/relationships/hyperlink" Target="https://docs.inecelectionresults.net/elections_prod/1292/state/01/lga/18/ward/04/pu/014/014-1677406846.pdf" TargetMode="External"/><Relationship Id="rId3631" Type="http://schemas.openxmlformats.org/officeDocument/2006/relationships/hyperlink" Target="https://docs.inecelectionresults.net/elections_prod/1292/state/01/lga/13/ward/04/pu/011/011-1677415780.pdf" TargetMode="External"/><Relationship Id="rId3623" Type="http://schemas.openxmlformats.org/officeDocument/2006/relationships/hyperlink" Target="https://docs.inecelectionresults.net/elections_prod/1292/state/01/lga/13/ward/01/pu/032/032-1677399264.pdf" TargetMode="External"/><Relationship Id="rId3622" Type="http://schemas.openxmlformats.org/officeDocument/2006/relationships/hyperlink" Target="https://docs.inecelectionresults.net/elections_prod/1292/state/01/lga/13/ward/01/pu/031/031-1677400115.pdf" TargetMode="External"/><Relationship Id="rId3625" Type="http://schemas.openxmlformats.org/officeDocument/2006/relationships/hyperlink" Target="https://docs.inecelectionresults.net/elections_prod/1292/state/01/lga/13/ward/01/pu/034/034-1677403455.pdf" TargetMode="External"/><Relationship Id="rId3624" Type="http://schemas.openxmlformats.org/officeDocument/2006/relationships/hyperlink" Target="https://docs.inecelectionresults.net/elections_prod/1292/state/01/lga/13/ward/01/pu/033/033-1677402481.pdf" TargetMode="External"/><Relationship Id="rId3627" Type="http://schemas.openxmlformats.org/officeDocument/2006/relationships/hyperlink" Target="https://docs.inecelectionresults.net/elections_prod/1292/state/01/lga/13/ward/01/pu/036/036-1677403567.pdf" TargetMode="External"/><Relationship Id="rId3626" Type="http://schemas.openxmlformats.org/officeDocument/2006/relationships/hyperlink" Target="https://docs.inecelectionresults.net/elections_prod/1292/state/01/lga/13/ward/01/pu/035/035-1677398310.pdf" TargetMode="External"/><Relationship Id="rId3629" Type="http://schemas.openxmlformats.org/officeDocument/2006/relationships/hyperlink" Target="https://docs.inecelectionresults.net/elections_prod/1292/state/01/lga/13/ward/04/pu/008/008-1677415386.pdf" TargetMode="External"/><Relationship Id="rId3628" Type="http://schemas.openxmlformats.org/officeDocument/2006/relationships/hyperlink" Target="https://docs.inecelectionresults.net/elections_prod/1292/state/01/lga/13/ward/04/pu/007/007-1677416749.pdf" TargetMode="External"/><Relationship Id="rId3621" Type="http://schemas.openxmlformats.org/officeDocument/2006/relationships/hyperlink" Target="https://docs.inecelectionresults.net/elections_prod/1292/state/01/lga/13/ward/01/pu/029/029-1677396628.pdf" TargetMode="External"/><Relationship Id="rId3620" Type="http://schemas.openxmlformats.org/officeDocument/2006/relationships/hyperlink" Target="https://docs.inecelectionresults.net/elections_prod/1292/state/01/lga/13/ward/01/pu/028/028-1677396480.pdf" TargetMode="External"/><Relationship Id="rId2324" Type="http://schemas.openxmlformats.org/officeDocument/2006/relationships/hyperlink" Target="https://docs.inecelectionresults.net/elections_prod/1292/state/01/lga/18/ward/07/pu/005/005-1677416011.pdf" TargetMode="External"/><Relationship Id="rId3656" Type="http://schemas.openxmlformats.org/officeDocument/2006/relationships/hyperlink" Target="https://docs.inecelectionresults.net/elections_prod/1292/state/01/lga/14/ward/09/pu/013/013-1677378129.pdf" TargetMode="External"/><Relationship Id="rId2325" Type="http://schemas.openxmlformats.org/officeDocument/2006/relationships/hyperlink" Target="https://docs.inecelectionresults.net/elections_prod/1292/state/01/lga/18/ward/07/pu/008/008-1677406820.pdf" TargetMode="External"/><Relationship Id="rId3655" Type="http://schemas.openxmlformats.org/officeDocument/2006/relationships/hyperlink" Target="https://docs.inecelectionresults.net/elections_prod/1292/state/01/lga/14/ward/09/pu/012/012-1677405070.pdf" TargetMode="External"/><Relationship Id="rId2326" Type="http://schemas.openxmlformats.org/officeDocument/2006/relationships/hyperlink" Target="https://docs.inecelectionresults.net/elections_prod/1292/state/01/lga/18/ward/07/pu/009/009-1677397886.pdf" TargetMode="External"/><Relationship Id="rId3658" Type="http://schemas.openxmlformats.org/officeDocument/2006/relationships/hyperlink" Target="https://docs.inecelectionresults.net/elections_prod/1292/state/01/lga/14/ward/09/pu/015/015-1677404659.pdf" TargetMode="External"/><Relationship Id="rId2327" Type="http://schemas.openxmlformats.org/officeDocument/2006/relationships/hyperlink" Target="https://docs.inecelectionresults.net/elections_prod/1292/state/01/lga/18/ward/07/pu/011/011-1677407395.pdf" TargetMode="External"/><Relationship Id="rId3657" Type="http://schemas.openxmlformats.org/officeDocument/2006/relationships/hyperlink" Target="https://docs.inecelectionresults.net/elections_prod/1292/state/01/lga/14/ward/09/pu/014/014-1677400371.pdf" TargetMode="External"/><Relationship Id="rId2328" Type="http://schemas.openxmlformats.org/officeDocument/2006/relationships/hyperlink" Target="https://docs.inecelectionresults.net/elections_prod/1292/state/01/lga/18/ward/08/pu/001/001-1677423476.pdf" TargetMode="External"/><Relationship Id="rId2329" Type="http://schemas.openxmlformats.org/officeDocument/2006/relationships/hyperlink" Target="https://docs.inecelectionresults.net/elections_prod/1292/state/01/lga/18/ward/08/pu/003/003-1677416322.pdf" TargetMode="External"/><Relationship Id="rId3659" Type="http://schemas.openxmlformats.org/officeDocument/2006/relationships/hyperlink" Target="https://docs.inecelectionresults.net/elections_prod/1292/state/01/lga/14/ward/09/pu/016/016-1677376589.pdf" TargetMode="External"/><Relationship Id="rId3650" Type="http://schemas.openxmlformats.org/officeDocument/2006/relationships/hyperlink" Target="https://docs.inecelectionresults.net/elections_prod/1292/state/01/lga/14/ward/03/pu/035/035-1677402587.pdf" TargetMode="External"/><Relationship Id="rId2320" Type="http://schemas.openxmlformats.org/officeDocument/2006/relationships/hyperlink" Target="https://docs.inecelectionresults.net/elections_prod/1292/state/01/lga/18/ward/06/pu/011/011-1677400148.pdf" TargetMode="External"/><Relationship Id="rId3652" Type="http://schemas.openxmlformats.org/officeDocument/2006/relationships/hyperlink" Target="https://docs.inecelectionresults.net/elections_prod/1292/state/01/lga/14/ward/03/pu/038/038-1677405663.pdf" TargetMode="External"/><Relationship Id="rId2321" Type="http://schemas.openxmlformats.org/officeDocument/2006/relationships/hyperlink" Target="https://docs.inecelectionresults.net/elections_prod/1292/state/01/lga/18/ward/07/pu/001/001-1677401790.pdf" TargetMode="External"/><Relationship Id="rId3651" Type="http://schemas.openxmlformats.org/officeDocument/2006/relationships/hyperlink" Target="https://docs.inecelectionresults.net/elections_prod/1292/state/01/lga/14/ward/03/pu/036/036-1677410145.pdf" TargetMode="External"/><Relationship Id="rId2322" Type="http://schemas.openxmlformats.org/officeDocument/2006/relationships/hyperlink" Target="https://docs.inecelectionresults.net/elections_prod/1292/state/01/lga/18/ward/07/pu/002/002-1677410558.pdf" TargetMode="External"/><Relationship Id="rId3654" Type="http://schemas.openxmlformats.org/officeDocument/2006/relationships/hyperlink" Target="https://docs.inecelectionresults.net/elections_prod/1292/state/01/lga/14/ward/03/pu/041/041-1677406492.pdf" TargetMode="External"/><Relationship Id="rId2323" Type="http://schemas.openxmlformats.org/officeDocument/2006/relationships/hyperlink" Target="https://docs.inecelectionresults.net/elections_prod/1292/state/01/lga/18/ward/07/pu/004/004-1677417814.pdf" TargetMode="External"/><Relationship Id="rId3653" Type="http://schemas.openxmlformats.org/officeDocument/2006/relationships/hyperlink" Target="https://docs.inecelectionresults.net/elections_prod/1292/state/01/lga/14/ward/03/pu/039/039-1677415686.pdf" TargetMode="External"/><Relationship Id="rId2313" Type="http://schemas.openxmlformats.org/officeDocument/2006/relationships/hyperlink" Target="https://docs.inecelectionresults.net/elections_prod/1292/state/01/lga/18/ward/06/pu/002/002-1677410698.pdf" TargetMode="External"/><Relationship Id="rId3645" Type="http://schemas.openxmlformats.org/officeDocument/2006/relationships/hyperlink" Target="https://docs.inecelectionresults.net/elections_prod/1292/state/01/lga/14/ward/03/pu/028/028-1677412688.pdf" TargetMode="External"/><Relationship Id="rId2314" Type="http://schemas.openxmlformats.org/officeDocument/2006/relationships/hyperlink" Target="https://docs.inecelectionresults.net/elections_prod/1292/state/01/lga/18/ward/06/pu/004/004-1677396177.pdf" TargetMode="External"/><Relationship Id="rId3644" Type="http://schemas.openxmlformats.org/officeDocument/2006/relationships/hyperlink" Target="https://docs.inecelectionresults.net/elections_prod/1292/state/01/lga/14/ward/03/pu/027/027-1677409121.pdf" TargetMode="External"/><Relationship Id="rId2315" Type="http://schemas.openxmlformats.org/officeDocument/2006/relationships/hyperlink" Target="https://docs.inecelectionresults.net/elections_prod/1292/state/01/lga/18/ward/06/pu/006/006-1677404425.pdf" TargetMode="External"/><Relationship Id="rId3647" Type="http://schemas.openxmlformats.org/officeDocument/2006/relationships/hyperlink" Target="https://docs.inecelectionresults.net/elections_prod/1292/state/01/lga/14/ward/03/pu/030/030-1677399151.pdf" TargetMode="External"/><Relationship Id="rId2316" Type="http://schemas.openxmlformats.org/officeDocument/2006/relationships/hyperlink" Target="https://docs.inecelectionresults.net/elections_prod/1292/state/01/lga/18/ward/06/pu/007/007-1677397986.pdf" TargetMode="External"/><Relationship Id="rId3646" Type="http://schemas.openxmlformats.org/officeDocument/2006/relationships/hyperlink" Target="https://docs.inecelectionresults.net/elections_prod/1292/state/01/lga/14/ward/03/pu/029/029-1677411023.pdf" TargetMode="External"/><Relationship Id="rId2317" Type="http://schemas.openxmlformats.org/officeDocument/2006/relationships/hyperlink" Target="https://docs.inecelectionresults.net/elections_prod/1292/state/01/lga/18/ward/06/pu/008/008-1677405536.pdf" TargetMode="External"/><Relationship Id="rId3649" Type="http://schemas.openxmlformats.org/officeDocument/2006/relationships/hyperlink" Target="https://docs.inecelectionresults.net/elections_prod/1292/state/01/lga/14/ward/03/pu/034/034-1677407125.pdf" TargetMode="External"/><Relationship Id="rId2318" Type="http://schemas.openxmlformats.org/officeDocument/2006/relationships/hyperlink" Target="https://docs.inecelectionresults.net/elections_prod/1292/state/01/lga/18/ward/06/pu/009/009-1677408994.pdf" TargetMode="External"/><Relationship Id="rId3648" Type="http://schemas.openxmlformats.org/officeDocument/2006/relationships/hyperlink" Target="https://docs.inecelectionresults.net/elections_prod/1292/state/01/lga/14/ward/03/pu/031/031-1677404153.pdf" TargetMode="External"/><Relationship Id="rId2319" Type="http://schemas.openxmlformats.org/officeDocument/2006/relationships/hyperlink" Target="https://docs.inecelectionresults.net/elections_prod/1292/state/01/lga/18/ward/06/pu/010/010-1677406561.pdf" TargetMode="External"/><Relationship Id="rId3641" Type="http://schemas.openxmlformats.org/officeDocument/2006/relationships/hyperlink" Target="https://docs.inecelectionresults.net/elections_prod/1292/state/01/lga/13/ward/10/pu/011/011-1677413724.pdf" TargetMode="External"/><Relationship Id="rId2310" Type="http://schemas.openxmlformats.org/officeDocument/2006/relationships/hyperlink" Target="https://docs.inecelectionresults.net/elections_prod/1292/state/01/lga/18/ward/05/pu/013/013-1677409330.pdf" TargetMode="External"/><Relationship Id="rId3640" Type="http://schemas.openxmlformats.org/officeDocument/2006/relationships/hyperlink" Target="https://docs.inecelectionresults.net/elections_prod/1292/state/01/lga/13/ward/10/pu/010/010-1677412582.pdf" TargetMode="External"/><Relationship Id="rId2311" Type="http://schemas.openxmlformats.org/officeDocument/2006/relationships/hyperlink" Target="https://docs.inecelectionresults.net/elections_prod/1292/state/01/lga/18/ward/05/pu/014/014-1677409975.pdf" TargetMode="External"/><Relationship Id="rId3643" Type="http://schemas.openxmlformats.org/officeDocument/2006/relationships/hyperlink" Target="https://docs.inecelectionresults.net/elections_prod/1292/state/01/lga/14/ward/03/pu/026/026-1677401127.pdf" TargetMode="External"/><Relationship Id="rId2312" Type="http://schemas.openxmlformats.org/officeDocument/2006/relationships/hyperlink" Target="https://docs.inecelectionresults.net/elections_prod/1292/state/01/lga/18/ward/06/pu/001/001-1677402462.pdf" TargetMode="External"/><Relationship Id="rId3642" Type="http://schemas.openxmlformats.org/officeDocument/2006/relationships/hyperlink" Target="https://docs.inecelectionresults.net/elections_prod/1292/state/01/lga/14/ward/03/pu/025/025-1677407346.pdf" TargetMode="External"/><Relationship Id="rId1895" Type="http://schemas.openxmlformats.org/officeDocument/2006/relationships/hyperlink" Target="https://docs.inecelectionresults.net/elections_prod/1292/state/01/lga/14/ward/10/pu/017/017-1677416426.pdf" TargetMode="External"/><Relationship Id="rId1896" Type="http://schemas.openxmlformats.org/officeDocument/2006/relationships/hyperlink" Target="https://docs.inecelectionresults.net/elections_prod/1292/state/01/lga/14/ward/10/pu/018/018-1677417271.pdf" TargetMode="External"/><Relationship Id="rId1897" Type="http://schemas.openxmlformats.org/officeDocument/2006/relationships/hyperlink" Target="https://docs.inecelectionresults.net/elections_prod/1292/state/01/lga/14/ward/10/pu/019/019-1677413481.pdf" TargetMode="External"/><Relationship Id="rId1898" Type="http://schemas.openxmlformats.org/officeDocument/2006/relationships/hyperlink" Target="https://docs.inecelectionresults.net/elections_prod/1292/state/01/lga/14/ward/10/pu/020/020-1677408522.pdf" TargetMode="External"/><Relationship Id="rId1899" Type="http://schemas.openxmlformats.org/officeDocument/2006/relationships/hyperlink" Target="https://docs.inecelectionresults.net/elections_prod/1292/state/01/lga/14/ward/10/pu/021/021-1677402716.pdf" TargetMode="External"/><Relationship Id="rId1890" Type="http://schemas.openxmlformats.org/officeDocument/2006/relationships/hyperlink" Target="https://docs.inecelectionresults.net/elections_prod/1292/state/01/lga/14/ward/10/pu/012/012-1677404999.pdf" TargetMode="External"/><Relationship Id="rId1891" Type="http://schemas.openxmlformats.org/officeDocument/2006/relationships/hyperlink" Target="https://docs.inecelectionresults.net/elections_prod/1292/state/01/lga/14/ward/10/pu/013/013-1677417372.pdf" TargetMode="External"/><Relationship Id="rId1892" Type="http://schemas.openxmlformats.org/officeDocument/2006/relationships/hyperlink" Target="https://docs.inecelectionresults.net/elections_prod/1292/state/01/lga/14/ward/10/pu/014/014-1677414024.pdf" TargetMode="External"/><Relationship Id="rId1893" Type="http://schemas.openxmlformats.org/officeDocument/2006/relationships/hyperlink" Target="https://docs.inecelectionresults.net/elections_prod/1292/state/01/lga/14/ward/10/pu/015/015-1677415896.pdf" TargetMode="External"/><Relationship Id="rId1894" Type="http://schemas.openxmlformats.org/officeDocument/2006/relationships/hyperlink" Target="https://docs.inecelectionresults.net/elections_prod/1292/state/01/lga/14/ward/10/pu/016/016-1677414897.pdf" TargetMode="External"/><Relationship Id="rId1884" Type="http://schemas.openxmlformats.org/officeDocument/2006/relationships/hyperlink" Target="https://docs.inecelectionresults.net/elections_prod/1292/state/01/lga/14/ward/10/pu/003/003-1677411348.pdf" TargetMode="External"/><Relationship Id="rId1885" Type="http://schemas.openxmlformats.org/officeDocument/2006/relationships/hyperlink" Target="https://docs.inecelectionresults.net/elections_prod/1292/state/01/lga/14/ward/10/pu/004/004-1677404368.pdf" TargetMode="External"/><Relationship Id="rId1886" Type="http://schemas.openxmlformats.org/officeDocument/2006/relationships/hyperlink" Target="https://docs.inecelectionresults.net/elections_prod/1292/state/01/lga/14/ward/10/pu/006/006-1677411043.pdf" TargetMode="External"/><Relationship Id="rId1887" Type="http://schemas.openxmlformats.org/officeDocument/2006/relationships/hyperlink" Target="https://docs.inecelectionresults.net/elections_prod/1292/state/01/lga/14/ward/10/pu/007/007-1677412856.pdf" TargetMode="External"/><Relationship Id="rId1888" Type="http://schemas.openxmlformats.org/officeDocument/2006/relationships/hyperlink" Target="https://docs.inecelectionresults.net/elections_prod/1292/state/01/lga/14/ward/10/pu/010/010-1677414247.pdf" TargetMode="External"/><Relationship Id="rId1889" Type="http://schemas.openxmlformats.org/officeDocument/2006/relationships/hyperlink" Target="https://docs.inecelectionresults.net/elections_prod/1292/state/01/lga/14/ward/10/pu/011/011-1677400530.pdf" TargetMode="External"/><Relationship Id="rId1880" Type="http://schemas.openxmlformats.org/officeDocument/2006/relationships/hyperlink" Target="https://docs.inecelectionresults.net/elections_prod/1292/state/01/lga/14/ward/09/pu/008/008-1677396633.pdf" TargetMode="External"/><Relationship Id="rId1881" Type="http://schemas.openxmlformats.org/officeDocument/2006/relationships/hyperlink" Target="https://docs.inecelectionresults.net/elections_prod/1292/state/01/lga/14/ward/09/pu/009/009-1677401481.pdf" TargetMode="External"/><Relationship Id="rId1882" Type="http://schemas.openxmlformats.org/officeDocument/2006/relationships/hyperlink" Target="https://docs.inecelectionresults.net/elections_prod/1292/state/01/lga/14/ward/09/pu/010/010-1677388694.pdf" TargetMode="External"/><Relationship Id="rId1883" Type="http://schemas.openxmlformats.org/officeDocument/2006/relationships/hyperlink" Target="https://docs.inecelectionresults.net/elections_prod/1292/state/01/lga/14/ward/09/pu/011/011-1677397529.pdf" TargetMode="External"/><Relationship Id="rId3612" Type="http://schemas.openxmlformats.org/officeDocument/2006/relationships/hyperlink" Target="https://docs.inecelectionresults.net/elections_prod/1292/state/01/lga/13/ward/05/pu/013/013-1677420001.pdf" TargetMode="External"/><Relationship Id="rId3611" Type="http://schemas.openxmlformats.org/officeDocument/2006/relationships/hyperlink" Target="https://docs.inecelectionresults.net/elections_prod/1292/state/01/lga/13/ward/05/pu/012/012-1677418302.pdf" TargetMode="External"/><Relationship Id="rId3614" Type="http://schemas.openxmlformats.org/officeDocument/2006/relationships/hyperlink" Target="https://docs.inecelectionresults.net/elections_prod/1292/state/01/lga/13/ward/05/pu/015/015-1677420890.pdf" TargetMode="External"/><Relationship Id="rId3613" Type="http://schemas.openxmlformats.org/officeDocument/2006/relationships/hyperlink" Target="https://docs.inecelectionresults.net/elections_prod/1292/state/01/lga/13/ward/05/pu/014/014-1677419611.pdf" TargetMode="External"/><Relationship Id="rId3616" Type="http://schemas.openxmlformats.org/officeDocument/2006/relationships/hyperlink" Target="https://docs.inecelectionresults.net/elections_prod/1292/state/01/lga/13/ward/01/pu/022/022-1677396900.pdf" TargetMode="External"/><Relationship Id="rId3615" Type="http://schemas.openxmlformats.org/officeDocument/2006/relationships/hyperlink" Target="https://docs.inecelectionresults.net/elections_prod/1292/state/01/lga/13/ward/05/pu/016/016-1677417647.pdf" TargetMode="External"/><Relationship Id="rId3618" Type="http://schemas.openxmlformats.org/officeDocument/2006/relationships/hyperlink" Target="https://docs.inecelectionresults.net/elections_prod/1292/state/01/lga/13/ward/01/pu/025/025-1677395993.pdf" TargetMode="External"/><Relationship Id="rId3617" Type="http://schemas.openxmlformats.org/officeDocument/2006/relationships/hyperlink" Target="https://docs.inecelectionresults.net/elections_prod/1292/state/01/lga/13/ward/01/pu/024/024-1677404383.pdf" TargetMode="External"/><Relationship Id="rId3619" Type="http://schemas.openxmlformats.org/officeDocument/2006/relationships/hyperlink" Target="https://docs.inecelectionresults.net/elections_prod/1292/state/01/lga/13/ward/01/pu/027/027-1677395224.pdf" TargetMode="External"/><Relationship Id="rId3610" Type="http://schemas.openxmlformats.org/officeDocument/2006/relationships/hyperlink" Target="https://docs.inecelectionresults.net/elections_prod/1292/state/01/lga/13/ward/03/pu/007/007-1677414137.pdf" TargetMode="External"/><Relationship Id="rId3601" Type="http://schemas.openxmlformats.org/officeDocument/2006/relationships/hyperlink" Target="https://docs.inecelectionresults.net/elections_prod/1292/state/1/lga/3677/ward/24086/pu/165979/165979-1677501574.pdf" TargetMode="External"/><Relationship Id="rId3600" Type="http://schemas.openxmlformats.org/officeDocument/2006/relationships/hyperlink" Target="https://docs.inecelectionresults.net/elections_prod/1292/state/01/lga/12/ward/05/pu/017/017-1677400797.pdf" TargetMode="External"/><Relationship Id="rId3603" Type="http://schemas.openxmlformats.org/officeDocument/2006/relationships/hyperlink" Target="https://docs.inecelectionresults.net/elections_prod/1292/state/01/lga/12/ward/06/pu/008/008-1677397912.pdf" TargetMode="External"/><Relationship Id="rId3602" Type="http://schemas.openxmlformats.org/officeDocument/2006/relationships/hyperlink" Target="https://docs.inecelectionresults.net/elections_prod/1292/state/01/lga/12/ward/06/pu/007/007-1677395954.pdf" TargetMode="External"/><Relationship Id="rId3605" Type="http://schemas.openxmlformats.org/officeDocument/2006/relationships/hyperlink" Target="https://docs.inecelectionresults.net/elections_prod/1292/state/01/lga/12/ward/07/pu/009/009-1677387819.pdf" TargetMode="External"/><Relationship Id="rId3604" Type="http://schemas.openxmlformats.org/officeDocument/2006/relationships/hyperlink" Target="https://docs.inecelectionresults.net/elections_prod/1292/state/01/lga/12/ward/07/pu/008/008-1677392267.pdf" TargetMode="External"/><Relationship Id="rId3607" Type="http://schemas.openxmlformats.org/officeDocument/2006/relationships/hyperlink" Target="https://docs.inecelectionresults.net/elections_prod/1292/state/1/lga/3677/ward/24088/pu/165985/165985-1677488333.pdf" TargetMode="External"/><Relationship Id="rId3606" Type="http://schemas.openxmlformats.org/officeDocument/2006/relationships/hyperlink" Target="https://docs.inecelectionresults.net/elections_prod/1292/state/01/lga/12/ward/07/pu/010/010-1677386675.pdf" TargetMode="External"/><Relationship Id="rId3609" Type="http://schemas.openxmlformats.org/officeDocument/2006/relationships/hyperlink" Target="https://docs.inecelectionresults.net/elections_prod/1292/state/01/lga/13/ward/07/pu/006/006-1677407186.pdf" TargetMode="External"/><Relationship Id="rId3608" Type="http://schemas.openxmlformats.org/officeDocument/2006/relationships/hyperlink" Target="https://docs.inecelectionresults.net/elections_prod/1292/state/1/lga/3678/ward/24097/pu/166032/166032-1677500809.pdf" TargetMode="External"/><Relationship Id="rId1059" Type="http://schemas.openxmlformats.org/officeDocument/2006/relationships/hyperlink" Target="https://inec-cvr-cache.s3.eu-west-1.amazonaws.com/cached/results/91002/result_78100_1677516851_thumb.jpg" TargetMode="External"/><Relationship Id="rId228" Type="http://schemas.openxmlformats.org/officeDocument/2006/relationships/hyperlink" Target="https://docs.inecelectionresults.net/elections_prod/1292/state/01/lga/02/ward/04/pu/003/003-1677398673.pdf" TargetMode="External"/><Relationship Id="rId227" Type="http://schemas.openxmlformats.org/officeDocument/2006/relationships/hyperlink" Target="https://docs.inecelectionresults.net/elections_prod/1292/state/01/lga/02/ward/04/pu/002/002-1677413090.pdf" TargetMode="External"/><Relationship Id="rId226" Type="http://schemas.openxmlformats.org/officeDocument/2006/relationships/hyperlink" Target="https://docs.inecelectionresults.net/elections_prod/1292/state/01/lga/02/ward/04/pu/001/001-1677413826.pdf" TargetMode="External"/><Relationship Id="rId225" Type="http://schemas.openxmlformats.org/officeDocument/2006/relationships/hyperlink" Target="https://docs.inecelectionresults.net/elections_prod/1292/state/1/lga/3667/ward/23968/pu/91069/91069-1677501602.pdf" TargetMode="External"/><Relationship Id="rId2380" Type="http://schemas.openxmlformats.org/officeDocument/2006/relationships/hyperlink" Target="https://docs.inecelectionresults.net/elections_prod/1292/state/01/lga/19/ward/03/pu/003/003-1677392648.pdf" TargetMode="External"/><Relationship Id="rId229" Type="http://schemas.openxmlformats.org/officeDocument/2006/relationships/hyperlink" Target="https://docs.inecelectionresults.net/elections_prod/1292/state/01/lga/02/ward/04/pu/004/004-1677411216.pdf" TargetMode="External"/><Relationship Id="rId1050" Type="http://schemas.openxmlformats.org/officeDocument/2006/relationships/hyperlink" Target="https://docs.inecelectionresults.net/elections_prod/1292/state/01/lga/06/ward/09/pu/003/003-1677396482.pdf" TargetMode="External"/><Relationship Id="rId2381" Type="http://schemas.openxmlformats.org/officeDocument/2006/relationships/hyperlink" Target="https://docs.inecelectionresults.net/elections_prod/1292/state/01/lga/19/ward/03/pu/004/004-1677393705.pdf" TargetMode="External"/><Relationship Id="rId220" Type="http://schemas.openxmlformats.org/officeDocument/2006/relationships/hyperlink" Target="https://docs.inecelectionresults.net/elections_prod/1292/state/01/lga/02/ward/02/pu/012/012-1677415173.pdf" TargetMode="External"/><Relationship Id="rId1051" Type="http://schemas.openxmlformats.org/officeDocument/2006/relationships/hyperlink" Target="https://docs.inecelectionresults.net/elections_prod/1292/state/01/lga/06/ward/09/pu/004/004-1677388266.pdf" TargetMode="External"/><Relationship Id="rId2382" Type="http://schemas.openxmlformats.org/officeDocument/2006/relationships/hyperlink" Target="https://docs.inecelectionresults.net/elections_prod/1292/state/01/lga/19/ward/03/pu/006/006-1677394445.pdf" TargetMode="External"/><Relationship Id="rId1052" Type="http://schemas.openxmlformats.org/officeDocument/2006/relationships/hyperlink" Target="https://docs.inecelectionresults.net/elections_prod/1292/state/01/lga/06/ward/09/pu/005/005-1677393170.pdf" TargetMode="External"/><Relationship Id="rId2383" Type="http://schemas.openxmlformats.org/officeDocument/2006/relationships/hyperlink" Target="https://docs.inecelectionresults.net/elections_prod/1292/state/01/lga/19/ward/03/pu/007/007-1677395031.pdf" TargetMode="External"/><Relationship Id="rId1053" Type="http://schemas.openxmlformats.org/officeDocument/2006/relationships/hyperlink" Target="https://docs.inecelectionresults.net/elections_prod/1292/state/01/lga/06/ward/09/pu/006/006-1677392201.pdf" TargetMode="External"/><Relationship Id="rId2384" Type="http://schemas.openxmlformats.org/officeDocument/2006/relationships/hyperlink" Target="https://docs.inecelectionresults.net/elections_prod/1292/state/01/lga/19/ward/03/pu/008/008-1677395785.pdf" TargetMode="External"/><Relationship Id="rId1054" Type="http://schemas.openxmlformats.org/officeDocument/2006/relationships/hyperlink" Target="https://docs.inecelectionresults.net/elections_prod/1292/state/01/lga/06/ward/09/pu/007/007-1677395266.pdf" TargetMode="External"/><Relationship Id="rId2385" Type="http://schemas.openxmlformats.org/officeDocument/2006/relationships/hyperlink" Target="https://docs.inecelectionresults.net/elections_prod/1292/state/01/lga/19/ward/03/pu/009/009-1677396433.pdf" TargetMode="External"/><Relationship Id="rId224" Type="http://schemas.openxmlformats.org/officeDocument/2006/relationships/hyperlink" Target="https://docs.inecelectionresults.net/elections_prod/1292/state/01/lga/02/ward/03/pu/006/006-1677412157.pdf" TargetMode="External"/><Relationship Id="rId1055" Type="http://schemas.openxmlformats.org/officeDocument/2006/relationships/hyperlink" Target="https://inec-cvr-cache.s3.eu-west-1.amazonaws.com/cached/results/90998/result_78096_1677516621_thumb.jpg" TargetMode="External"/><Relationship Id="rId2386" Type="http://schemas.openxmlformats.org/officeDocument/2006/relationships/hyperlink" Target="https://docs.inecelectionresults.net/elections_prod/1292/state/01/lga/19/ward/04/pu/001/001-1677371980.pdf" TargetMode="External"/><Relationship Id="rId223" Type="http://schemas.openxmlformats.org/officeDocument/2006/relationships/hyperlink" Target="https://docs.inecelectionresults.net/elections_prod/1292/state/01/lga/02/ward/03/pu/004/004-1677394605.pdf" TargetMode="External"/><Relationship Id="rId1056" Type="http://schemas.openxmlformats.org/officeDocument/2006/relationships/hyperlink" Target="https://docs.inecelectionresults.net/elections_prod/1292/state/01/lga/06/ward/10/pu/002/002-1677397651.pdf" TargetMode="External"/><Relationship Id="rId2387" Type="http://schemas.openxmlformats.org/officeDocument/2006/relationships/hyperlink" Target="https://docs.inecelectionresults.net/elections_prod/1292/state/01/lga/19/ward/04/pu/002/002-1677369885.pdf" TargetMode="External"/><Relationship Id="rId222" Type="http://schemas.openxmlformats.org/officeDocument/2006/relationships/hyperlink" Target="https://docs.inecelectionresults.net/elections_prod/1292/state/01/lga/02/ward/02/pu/016/016-1677414097.pdf" TargetMode="External"/><Relationship Id="rId1057" Type="http://schemas.openxmlformats.org/officeDocument/2006/relationships/hyperlink" Target="https://inec-cvr-cache.s3.eu-west-1.amazonaws.com/cached/results/91000/result_78098_1677516959_thumb.jpg" TargetMode="External"/><Relationship Id="rId2388" Type="http://schemas.openxmlformats.org/officeDocument/2006/relationships/hyperlink" Target="https://docs.inecelectionresults.net/elections_prod/1292/state/01/lga/19/ward/04/pu/003/003-1677378172.pdf" TargetMode="External"/><Relationship Id="rId221" Type="http://schemas.openxmlformats.org/officeDocument/2006/relationships/hyperlink" Target="https://docs.inecelectionresults.net/elections_prod/1292/state/01/lga/02/ward/02/pu/014/014-1677428020.pdf" TargetMode="External"/><Relationship Id="rId1058" Type="http://schemas.openxmlformats.org/officeDocument/2006/relationships/hyperlink" Target="https://inec-cvr-cache.s3.eu-west-1.amazonaws.com/cached/results/91001/result_78099_1677516493_thumb.jpg" TargetMode="External"/><Relationship Id="rId2389" Type="http://schemas.openxmlformats.org/officeDocument/2006/relationships/hyperlink" Target="https://docs.inecelectionresults.net/elections_prod/1292/state/01/lga/19/ward/04/pu/004/004-1677371821.pdf" TargetMode="External"/><Relationship Id="rId1048" Type="http://schemas.openxmlformats.org/officeDocument/2006/relationships/hyperlink" Target="https://docs.inecelectionresults.net/elections_prod/1292/state/01/lga/06/ward/09/pu/001/001-1677393954.pdf" TargetMode="External"/><Relationship Id="rId2379" Type="http://schemas.openxmlformats.org/officeDocument/2006/relationships/hyperlink" Target="https://docs.inecelectionresults.net/elections_prod/1292/state/01/lga/19/ward/03/pu/002/002-1677392256.pdf" TargetMode="External"/><Relationship Id="rId1049" Type="http://schemas.openxmlformats.org/officeDocument/2006/relationships/hyperlink" Target="https://docs.inecelectionresults.net/elections_prod/1292/state/01/lga/06/ward/09/pu/002/002-1677389331.pdf" TargetMode="External"/><Relationship Id="rId217" Type="http://schemas.openxmlformats.org/officeDocument/2006/relationships/hyperlink" Target="https://docs.inecelectionresults.net/elections_prod/1292/state/01/lga/02/ward/02/pu/007/007-1677419015.pdf" TargetMode="External"/><Relationship Id="rId216" Type="http://schemas.openxmlformats.org/officeDocument/2006/relationships/hyperlink" Target="https://docs.inecelectionresults.net/elections_prod/1292/state/01/lga/02/ward/01/pu/013/013-1677413928.pdf" TargetMode="External"/><Relationship Id="rId215" Type="http://schemas.openxmlformats.org/officeDocument/2006/relationships/hyperlink" Target="https://docs.inecelectionresults.net/elections_prod/1292/state/01/lga/02/ward/01/pu/012/012-1677411883.pdf" TargetMode="External"/><Relationship Id="rId214" Type="http://schemas.openxmlformats.org/officeDocument/2006/relationships/hyperlink" Target="https://docs.inecelectionresults.net/elections_prod/1292/state/01/lga/02/ward/01/pu/011/011-1677409503.pdf" TargetMode="External"/><Relationship Id="rId219" Type="http://schemas.openxmlformats.org/officeDocument/2006/relationships/hyperlink" Target="https://docs.inecelectionresults.net/elections_prod/1292/state/01/lga/02/ward/02/pu/010/010-1677422880.pdf" TargetMode="External"/><Relationship Id="rId218" Type="http://schemas.openxmlformats.org/officeDocument/2006/relationships/hyperlink" Target="https://docs.inecelectionresults.net/elections_prod/1292/state/01/lga/02/ward/02/pu/009/009-1677415200.pdf" TargetMode="External"/><Relationship Id="rId2370" Type="http://schemas.openxmlformats.org/officeDocument/2006/relationships/hyperlink" Target="https://docs.inecelectionresults.net/elections_prod/1292/state/01/lga/19/ward/02/pu/007/007-1677366516.pdf" TargetMode="External"/><Relationship Id="rId1040" Type="http://schemas.openxmlformats.org/officeDocument/2006/relationships/hyperlink" Target="https://docs.inecelectionresults.net/elections_prod/1292/state/01/lga/06/ward/08/pu/004/004-1677396300.pdf" TargetMode="External"/><Relationship Id="rId2371" Type="http://schemas.openxmlformats.org/officeDocument/2006/relationships/hyperlink" Target="https://docs.inecelectionresults.net/elections_prod/1292/state/01/lga/19/ward/02/pu/008/008-1677390433.pdf" TargetMode="External"/><Relationship Id="rId1041" Type="http://schemas.openxmlformats.org/officeDocument/2006/relationships/hyperlink" Target="https://docs.inecelectionresults.net/elections_prod/1292/state/01/lga/06/ward/08/pu/005/005-1677396941.pdf" TargetMode="External"/><Relationship Id="rId2372" Type="http://schemas.openxmlformats.org/officeDocument/2006/relationships/hyperlink" Target="https://docs.inecelectionresults.net/elections_prod/1292/state/01/lga/19/ward/02/pu/010/010-1677387750.pdf" TargetMode="External"/><Relationship Id="rId1042" Type="http://schemas.openxmlformats.org/officeDocument/2006/relationships/hyperlink" Target="https://docs.inecelectionresults.net/elections_prod/1292/state/01/lga/06/ward/08/pu/006/006-1677397553.pdf" TargetMode="External"/><Relationship Id="rId2373" Type="http://schemas.openxmlformats.org/officeDocument/2006/relationships/hyperlink" Target="https://docs.inecelectionresults.net/elections_prod/1292/state/01/lga/19/ward/02/pu/011/011-1677385848.pdf" TargetMode="External"/><Relationship Id="rId1043" Type="http://schemas.openxmlformats.org/officeDocument/2006/relationships/hyperlink" Target="https://docs.inecelectionresults.net/elections_prod/1292/state/01/lga/06/ward/08/pu/007/007-1677398748.pdf" TargetMode="External"/><Relationship Id="rId2374" Type="http://schemas.openxmlformats.org/officeDocument/2006/relationships/hyperlink" Target="https://docs.inecelectionresults.net/elections_prod/1292/state/01/lga/19/ward/02/pu/012/012-1677382947.pdf" TargetMode="External"/><Relationship Id="rId213" Type="http://schemas.openxmlformats.org/officeDocument/2006/relationships/hyperlink" Target="https://docs.inecelectionresults.net/elections_prod/1292/state/01/lga/02/ward/01/pu/010/010-1677409119.pdf" TargetMode="External"/><Relationship Id="rId1044" Type="http://schemas.openxmlformats.org/officeDocument/2006/relationships/hyperlink" Target="https://docs.inecelectionresults.net/elections_prod/1292/state/01/lga/06/ward/08/pu/008/008-1677399320.pdf" TargetMode="External"/><Relationship Id="rId2375" Type="http://schemas.openxmlformats.org/officeDocument/2006/relationships/hyperlink" Target="https://docs.inecelectionresults.net/elections_prod/1292/state/01/lga/19/ward/02/pu/014/014-1677387263.pdf" TargetMode="External"/><Relationship Id="rId212" Type="http://schemas.openxmlformats.org/officeDocument/2006/relationships/hyperlink" Target="https://inec-cvr-cache.s3.eu-west-1.amazonaws.com/cached/results/89946/result_76325_1677488867_thumb.jpg" TargetMode="External"/><Relationship Id="rId1045" Type="http://schemas.openxmlformats.org/officeDocument/2006/relationships/hyperlink" Target="https://docs.inecelectionresults.net/elections_prod/1292/state/01/lga/06/ward/08/pu/009/009-1677400384.pdf" TargetMode="External"/><Relationship Id="rId2376" Type="http://schemas.openxmlformats.org/officeDocument/2006/relationships/hyperlink" Target="https://docs.inecelectionresults.net/elections_prod/1292/state/01/lga/19/ward/02/pu/015/015-1677383238.pdf" TargetMode="External"/><Relationship Id="rId211" Type="http://schemas.openxmlformats.org/officeDocument/2006/relationships/hyperlink" Target="https://docs.inecelectionresults.net/elections_prod/1292/state/01/lga/02/ward/01/pu/005/005-1677421384.pdf" TargetMode="External"/><Relationship Id="rId1046" Type="http://schemas.openxmlformats.org/officeDocument/2006/relationships/hyperlink" Target="https://docs.inecelectionresults.net/elections_prod/1292/state/01/lga/06/ward/08/pu/010/010-1677401242.pdf" TargetMode="External"/><Relationship Id="rId2377" Type="http://schemas.openxmlformats.org/officeDocument/2006/relationships/hyperlink" Target="https://docs.inecelectionresults.net/elections_prod/1292/state/01/lga/19/ward/02/pu/016/016-1677383942.pdf" TargetMode="External"/><Relationship Id="rId210" Type="http://schemas.openxmlformats.org/officeDocument/2006/relationships/hyperlink" Target="https://docs.inecelectionresults.net/elections_prod/1292/state/01/lga/02/ward/01/pu/003/003-1677418589.pdf" TargetMode="External"/><Relationship Id="rId1047" Type="http://schemas.openxmlformats.org/officeDocument/2006/relationships/hyperlink" Target="https://docs.inecelectionresults.net/elections_prod/1292/state/01/lga/06/ward/08/pu/011/011-1677401848.pdf" TargetMode="External"/><Relationship Id="rId2378" Type="http://schemas.openxmlformats.org/officeDocument/2006/relationships/hyperlink" Target="https://docs.inecelectionresults.net/elections_prod/1292/state/01/lga/19/ward/03/pu/001/001-1677391861.pdf" TargetMode="External"/><Relationship Id="rId249" Type="http://schemas.openxmlformats.org/officeDocument/2006/relationships/hyperlink" Target="https://docs.inecelectionresults.net/elections_prod/1292/state/01/lga/02/ward/05/pu/002/002-1677406800.pdf" TargetMode="External"/><Relationship Id="rId248" Type="http://schemas.openxmlformats.org/officeDocument/2006/relationships/hyperlink" Target="https://docs.inecelectionresults.net/elections_prod/1292/state/01/lga/02/ward/05/pu/001/001-1677407827.pdf" TargetMode="External"/><Relationship Id="rId247" Type="http://schemas.openxmlformats.org/officeDocument/2006/relationships/hyperlink" Target="https://docs.inecelectionresults.net/elections_prod/1292/state/01/lga/02/ward/04/pu/025/025-1677395651.pdf" TargetMode="External"/><Relationship Id="rId1070" Type="http://schemas.openxmlformats.org/officeDocument/2006/relationships/hyperlink" Target="https://docs.inecelectionresults.net/elections_prod/1292/state/01/lga/07/ward/01/pu/011/011-1677383458.pdf" TargetMode="External"/><Relationship Id="rId1071" Type="http://schemas.openxmlformats.org/officeDocument/2006/relationships/hyperlink" Target="https://docs.inecelectionresults.net/elections_prod/1292/state/01/lga/07/ward/01/pu/012/012-1677394783.pdf" TargetMode="External"/><Relationship Id="rId1072" Type="http://schemas.openxmlformats.org/officeDocument/2006/relationships/hyperlink" Target="https://docs.inecelectionresults.net/elections_prod/1292/state/01/lga/07/ward/02/pu/001/001-1677391347.pdf" TargetMode="External"/><Relationship Id="rId242" Type="http://schemas.openxmlformats.org/officeDocument/2006/relationships/hyperlink" Target="https://docs.inecelectionresults.net/elections_prod/1292/state/01/lga/02/ward/04/pu/020/020-1677396683.pdf" TargetMode="External"/><Relationship Id="rId1073" Type="http://schemas.openxmlformats.org/officeDocument/2006/relationships/hyperlink" Target="https://docs.inecelectionresults.net/elections_prod/1292/state/01/lga/07/ward/02/pu/002/002-1677406419.pdf" TargetMode="External"/><Relationship Id="rId241" Type="http://schemas.openxmlformats.org/officeDocument/2006/relationships/hyperlink" Target="https://docs.inecelectionresults.net/elections_prod/1292/state/01/lga/02/ward/04/pu/018/018-1677405524.pdf" TargetMode="External"/><Relationship Id="rId1074" Type="http://schemas.openxmlformats.org/officeDocument/2006/relationships/hyperlink" Target="https://docs.inecelectionresults.net/elections_prod/1292/state/1/lga/3672/ward/24029/pu/92107/92107-1677510403.pdf" TargetMode="External"/><Relationship Id="rId240" Type="http://schemas.openxmlformats.org/officeDocument/2006/relationships/hyperlink" Target="https://inec-cvr-cache.s3.eu-west-1.amazonaws.com/cached/results/90003/result_76423_1677490050_thumb.jpg" TargetMode="External"/><Relationship Id="rId1075" Type="http://schemas.openxmlformats.org/officeDocument/2006/relationships/hyperlink" Target="https://docs.inecelectionresults.net/elections_prod/1292/state/01/lga/07/ward/02/pu/004/004-1677417584.pdf" TargetMode="External"/><Relationship Id="rId1076" Type="http://schemas.openxmlformats.org/officeDocument/2006/relationships/hyperlink" Target="https://docs.inecelectionresults.net/elections_prod/1292/state/01/lga/07/ward/02/pu/005/005-1677391167.pdf" TargetMode="External"/><Relationship Id="rId246" Type="http://schemas.openxmlformats.org/officeDocument/2006/relationships/hyperlink" Target="https://docs.inecelectionresults.net/elections_prod/1292/state/01/lga/02/ward/04/pu/024/024-1677411794.pdf" TargetMode="External"/><Relationship Id="rId1077" Type="http://schemas.openxmlformats.org/officeDocument/2006/relationships/hyperlink" Target="https://docs.inecelectionresults.net/elections_prod/1292/state/1/lga/3672/ward/24029/pu/92111/92111-1677508054.pdf" TargetMode="External"/><Relationship Id="rId245" Type="http://schemas.openxmlformats.org/officeDocument/2006/relationships/hyperlink" Target="https://docs.inecelectionresults.net/elections_prod/1292/state/01/lga/02/ward/04/pu/023/023-1677408944.pdf" TargetMode="External"/><Relationship Id="rId1078" Type="http://schemas.openxmlformats.org/officeDocument/2006/relationships/hyperlink" Target="https://docs.inecelectionresults.net/elections_prod/1292/state/01/lga/07/ward/02/pu/008/008-1677392687.pdf" TargetMode="External"/><Relationship Id="rId244" Type="http://schemas.openxmlformats.org/officeDocument/2006/relationships/hyperlink" Target="https://docs.inecelectionresults.net/elections_prod/1292/state/01/lga/02/ward/04/pu/022/022-1677401446.pdf" TargetMode="External"/><Relationship Id="rId1079" Type="http://schemas.openxmlformats.org/officeDocument/2006/relationships/hyperlink" Target="https://docs.inecelectionresults.net/elections_prod/1292/state/01/lga/07/ward/02/pu/009/009-1677410708.pdf" TargetMode="External"/><Relationship Id="rId243" Type="http://schemas.openxmlformats.org/officeDocument/2006/relationships/hyperlink" Target="https://docs.inecelectionresults.net/elections_prod/1292/state/01/lga/02/ward/04/pu/021/021-1677397120.pdf" TargetMode="External"/><Relationship Id="rId239" Type="http://schemas.openxmlformats.org/officeDocument/2006/relationships/hyperlink" Target="https://docs.inecelectionresults.net/elections_prod/1292/state/01/lga/02/ward/04/pu/015/015-1677413062.pdf" TargetMode="External"/><Relationship Id="rId238" Type="http://schemas.openxmlformats.org/officeDocument/2006/relationships/hyperlink" Target="https://docs.inecelectionresults.net/elections_prod/1292/state/01/lga/02/ward/04/pu/013/013-1677389408.pdf" TargetMode="External"/><Relationship Id="rId237" Type="http://schemas.openxmlformats.org/officeDocument/2006/relationships/hyperlink" Target="https://docs.inecelectionresults.net/elections_prod/1292/state/01/lga/02/ward/04/pu/012/012-1677408166.pdf" TargetMode="External"/><Relationship Id="rId236" Type="http://schemas.openxmlformats.org/officeDocument/2006/relationships/hyperlink" Target="https://docs.inecelectionresults.net/elections_prod/1292/state/01/lga/02/ward/04/pu/010/010-1677393544.pdf" TargetMode="External"/><Relationship Id="rId2390" Type="http://schemas.openxmlformats.org/officeDocument/2006/relationships/hyperlink" Target="https://docs.inecelectionresults.net/elections_prod/1292/state/01/lga/19/ward/04/pu/005/005-1677375011.pdf" TargetMode="External"/><Relationship Id="rId1060" Type="http://schemas.openxmlformats.org/officeDocument/2006/relationships/hyperlink" Target="https://inec-cvr-cache.s3.eu-west-1.amazonaws.com/cached/results/91003/result_78101_1677516740_thumb.jpg" TargetMode="External"/><Relationship Id="rId2391" Type="http://schemas.openxmlformats.org/officeDocument/2006/relationships/hyperlink" Target="https://docs.inecelectionresults.net/elections_prod/1292/state/01/lga/19/ward/04/pu/006/006-1677379202.pdf" TargetMode="External"/><Relationship Id="rId1061" Type="http://schemas.openxmlformats.org/officeDocument/2006/relationships/hyperlink" Target="https://inec-cvr-cache.s3.eu-west-1.amazonaws.com/cached/results/91004/result_78102_1677517188_thumb.jpg" TargetMode="External"/><Relationship Id="rId2392" Type="http://schemas.openxmlformats.org/officeDocument/2006/relationships/hyperlink" Target="https://docs.inecelectionresults.net/elections_prod/1292/state/01/lga/19/ward/04/pu/007/007-1677403078.pdf" TargetMode="External"/><Relationship Id="rId231" Type="http://schemas.openxmlformats.org/officeDocument/2006/relationships/hyperlink" Target="https://docs.inecelectionresults.net/elections_prod/1292/state/01/lga/02/ward/04/pu/006/006-1677399581.pdf" TargetMode="External"/><Relationship Id="rId1062" Type="http://schemas.openxmlformats.org/officeDocument/2006/relationships/hyperlink" Target="https://docs.inecelectionresults.net/elections_prod/1292/state/01/lga/06/ward/10/pu/008/008-1677398298.pdf" TargetMode="External"/><Relationship Id="rId2393" Type="http://schemas.openxmlformats.org/officeDocument/2006/relationships/hyperlink" Target="https://docs.inecelectionresults.net/elections_prod/1292/state/01/lga/19/ward/04/pu/008/008-1677368121.pdf" TargetMode="External"/><Relationship Id="rId230" Type="http://schemas.openxmlformats.org/officeDocument/2006/relationships/hyperlink" Target="https://docs.inecelectionresults.net/elections_prod/1292/state/01/lga/02/ward/04/pu/005/005-1677409195.pdf" TargetMode="External"/><Relationship Id="rId1063" Type="http://schemas.openxmlformats.org/officeDocument/2006/relationships/hyperlink" Target="https://inec-cvr-cache.s3.eu-west-1.amazonaws.com/cached/results/91006/result_78104_1677516173_thumb.jpg" TargetMode="External"/><Relationship Id="rId2394" Type="http://schemas.openxmlformats.org/officeDocument/2006/relationships/hyperlink" Target="https://docs.inecelectionresults.net/elections_prod/1292/state/01/lga/19/ward/04/pu/009/009-1677375539.pdf" TargetMode="External"/><Relationship Id="rId1064" Type="http://schemas.openxmlformats.org/officeDocument/2006/relationships/hyperlink" Target="https://docs.inecelectionresults.net/elections_prod/1292/state/01/lga/07/ward/01/pu/002/002-1677392695.pdf" TargetMode="External"/><Relationship Id="rId2395" Type="http://schemas.openxmlformats.org/officeDocument/2006/relationships/hyperlink" Target="https://docs.inecelectionresults.net/elections_prod/1292/state/01/lga/19/ward/04/pu/010/010-1677373578.pdf" TargetMode="External"/><Relationship Id="rId1065" Type="http://schemas.openxmlformats.org/officeDocument/2006/relationships/hyperlink" Target="https://docs.inecelectionresults.net/elections_prod/1292/state/01/lga/07/ward/01/pu/005/005-1677402565.pdf" TargetMode="External"/><Relationship Id="rId2396" Type="http://schemas.openxmlformats.org/officeDocument/2006/relationships/hyperlink" Target="https://docs.inecelectionresults.net/elections_prod/1292/state/01/lga/19/ward/04/pu/011/011-1677373562.pdf" TargetMode="External"/><Relationship Id="rId235" Type="http://schemas.openxmlformats.org/officeDocument/2006/relationships/hyperlink" Target="https://docs.inecelectionresults.net/elections_prod/1292/state/01/lga/02/ward/04/pu/010/010-1677393544.pdf" TargetMode="External"/><Relationship Id="rId1066" Type="http://schemas.openxmlformats.org/officeDocument/2006/relationships/hyperlink" Target="https://docs.inecelectionresults.net/elections_prod/1292/state/01/lga/07/ward/01/pu/006/006-1677384552.pdf" TargetMode="External"/><Relationship Id="rId2397" Type="http://schemas.openxmlformats.org/officeDocument/2006/relationships/hyperlink" Target="https://docs.inecelectionresults.net/elections_prod/1292/state/01/lga/19/ward/04/pu/012/012-1677381041.pdf" TargetMode="External"/><Relationship Id="rId234" Type="http://schemas.openxmlformats.org/officeDocument/2006/relationships/hyperlink" Target="https://docs.inecelectionresults.net/elections_prod/1292/state/01/lga/02/ward/04/pu/009/009-1677404284.pdf" TargetMode="External"/><Relationship Id="rId1067" Type="http://schemas.openxmlformats.org/officeDocument/2006/relationships/hyperlink" Target="https://docs.inecelectionresults.net/elections_prod/1292/state/01/lga/07/ward/01/pu/008/008-1677383962.pdf" TargetMode="External"/><Relationship Id="rId2398" Type="http://schemas.openxmlformats.org/officeDocument/2006/relationships/hyperlink" Target="https://docs.inecelectionresults.net/elections_prod/1292/state/01/lga/19/ward/04/pu/013/013-1677378487.pdf" TargetMode="External"/><Relationship Id="rId233" Type="http://schemas.openxmlformats.org/officeDocument/2006/relationships/hyperlink" Target="https://docs.inecelectionresults.net/elections_prod/1292/state/01/lga/02/ward/04/pu/008/008-1677390746.pdf" TargetMode="External"/><Relationship Id="rId1068" Type="http://schemas.openxmlformats.org/officeDocument/2006/relationships/hyperlink" Target="https://docs.inecelectionresults.net/elections_prod/1292/state/01/lga/07/ward/01/pu/009/009-1677368460.pdf" TargetMode="External"/><Relationship Id="rId2399" Type="http://schemas.openxmlformats.org/officeDocument/2006/relationships/hyperlink" Target="https://docs.inecelectionresults.net/elections_prod/1292/state/01/lga/19/ward/04/pu/014/014-1677381333.pdf" TargetMode="External"/><Relationship Id="rId232" Type="http://schemas.openxmlformats.org/officeDocument/2006/relationships/hyperlink" Target="https://docs.inecelectionresults.net/elections_prod/1292/state/01/lga/02/ward/04/pu/007/007-1677398063.pdf" TargetMode="External"/><Relationship Id="rId1069" Type="http://schemas.openxmlformats.org/officeDocument/2006/relationships/hyperlink" Target="https://docs.inecelectionresults.net/elections_prod/1292/state/01/lga/07/ward/01/pu/010/010-1677387799.pdf" TargetMode="External"/><Relationship Id="rId1015" Type="http://schemas.openxmlformats.org/officeDocument/2006/relationships/hyperlink" Target="https://docs.inecelectionresults.net/elections_prod/1292/state/01/lga/06/ward/05/pu/010/010-1677388817.pdf" TargetMode="External"/><Relationship Id="rId2346" Type="http://schemas.openxmlformats.org/officeDocument/2006/relationships/hyperlink" Target="https://docs.inecelectionresults.net/elections_prod/1292/state/01/lga/18/ward/10/pu/001/001-1677397660.pdf" TargetMode="External"/><Relationship Id="rId3678" Type="http://schemas.openxmlformats.org/officeDocument/2006/relationships/hyperlink" Target="https://docs.inecelectionresults.net/elections_prod/1292/state/01/lga/14/ward/11/pu/032/032-1677412995.pdf" TargetMode="External"/><Relationship Id="rId1016" Type="http://schemas.openxmlformats.org/officeDocument/2006/relationships/hyperlink" Target="https://docs.inecelectionresults.net/elections_prod/1292/state/01/lga/06/ward/05/pu/011/011-1677391518.pdf" TargetMode="External"/><Relationship Id="rId2347" Type="http://schemas.openxmlformats.org/officeDocument/2006/relationships/hyperlink" Target="https://docs.inecelectionresults.net/elections_prod/1292/state/01/lga/18/ward/10/pu/002/002-1677397332.pdf" TargetMode="External"/><Relationship Id="rId3677" Type="http://schemas.openxmlformats.org/officeDocument/2006/relationships/hyperlink" Target="https://docs.inecelectionresults.net/elections_prod/1292/state/01/lga/14/ward/11/pu/031/031-1677412545.pdf" TargetMode="External"/><Relationship Id="rId1017" Type="http://schemas.openxmlformats.org/officeDocument/2006/relationships/hyperlink" Target="https://docs.inecelectionresults.net/elections_prod/1292/state/1/lga/3671/ward/24022/pu/92040/92040-1677510963.pdf" TargetMode="External"/><Relationship Id="rId2348" Type="http://schemas.openxmlformats.org/officeDocument/2006/relationships/hyperlink" Target="https://docs.inecelectionresults.net/elections_prod/1292/state/01/lga/18/ward/10/pu/003/003-1677398912.pdf" TargetMode="External"/><Relationship Id="rId1018" Type="http://schemas.openxmlformats.org/officeDocument/2006/relationships/hyperlink" Target="https://docs.inecelectionresults.net/elections_prod/1292/state/01/lga/06/ward/06/pu/001/001-1677394445.pdf" TargetMode="External"/><Relationship Id="rId2349" Type="http://schemas.openxmlformats.org/officeDocument/2006/relationships/hyperlink" Target="https://docs.inecelectionresults.net/elections_prod/1292/state/01/lga/18/ward/10/pu/006/006-1677383048.pdf" TargetMode="External"/><Relationship Id="rId3679" Type="http://schemas.openxmlformats.org/officeDocument/2006/relationships/hyperlink" Target="https://docs.inecelectionresults.net/elections_prod/1292/state/01/lga/14/ward/11/pu/033/033-1677413358.pdf" TargetMode="External"/><Relationship Id="rId1019" Type="http://schemas.openxmlformats.org/officeDocument/2006/relationships/hyperlink" Target="https://docs.inecelectionresults.net/elections_prod/1292/state/01/lga/06/ward/06/pu/002/002-1677384696.pdf" TargetMode="External"/><Relationship Id="rId3670" Type="http://schemas.openxmlformats.org/officeDocument/2006/relationships/hyperlink" Target="https://docs.inecelectionresults.net/elections_prod/1292/state/01/lga/14/ward/11/pu/023/023-1677408993.pdf" TargetMode="External"/><Relationship Id="rId2340" Type="http://schemas.openxmlformats.org/officeDocument/2006/relationships/hyperlink" Target="https://docs.inecelectionresults.net/elections_prod/1292/state/01/lga/18/ward/09/pu/006/006-1677420024.pdf" TargetMode="External"/><Relationship Id="rId3672" Type="http://schemas.openxmlformats.org/officeDocument/2006/relationships/hyperlink" Target="https://docs.inecelectionresults.net/elections_prod/1292/state/01/lga/14/ward/11/pu/026/026-1677409977.pdf" TargetMode="External"/><Relationship Id="rId1010" Type="http://schemas.openxmlformats.org/officeDocument/2006/relationships/hyperlink" Target="https://docs.inecelectionresults.net/elections_prod/1292/state/1/lga/3671/ward/24022/pu/92033/92033-1677511290.pdf" TargetMode="External"/><Relationship Id="rId2341" Type="http://schemas.openxmlformats.org/officeDocument/2006/relationships/hyperlink" Target="https://docs.inecelectionresults.net/elections_prod/1292/state/01/lga/18/ward/09/pu/007/007-1677410302.pdf" TargetMode="External"/><Relationship Id="rId3671" Type="http://schemas.openxmlformats.org/officeDocument/2006/relationships/hyperlink" Target="https://docs.inecelectionresults.net/elections_prod/1292/state/01/lga/14/ward/11/pu/025/025-1677409562.pdf" TargetMode="External"/><Relationship Id="rId1011" Type="http://schemas.openxmlformats.org/officeDocument/2006/relationships/hyperlink" Target="https://docs.inecelectionresults.net/elections_prod/1292/state/01/lga/06/ward/05/pu/006/006-1677384414.pdf" TargetMode="External"/><Relationship Id="rId2342" Type="http://schemas.openxmlformats.org/officeDocument/2006/relationships/hyperlink" Target="https://docs.inecelectionresults.net/elections_prod/1292/state/01/lga/18/ward/09/pu/008/008-1677415288.pdf" TargetMode="External"/><Relationship Id="rId3674" Type="http://schemas.openxmlformats.org/officeDocument/2006/relationships/hyperlink" Target="https://docs.inecelectionresults.net/elections_prod/1292/state/01/lga/14/ward/11/pu/028/028-1677411303.pdf" TargetMode="External"/><Relationship Id="rId1012" Type="http://schemas.openxmlformats.org/officeDocument/2006/relationships/hyperlink" Target="https://docs.inecelectionresults.net/elections_prod/1292/state/01/lga/06/ward/05/pu/007/007-1677395151.pdf" TargetMode="External"/><Relationship Id="rId2343" Type="http://schemas.openxmlformats.org/officeDocument/2006/relationships/hyperlink" Target="https://docs.inecelectionresults.net/elections_prod/1292/state/1/lga/3683/ward/24159/pu/93718/93718-1677584520.pdf" TargetMode="External"/><Relationship Id="rId3673" Type="http://schemas.openxmlformats.org/officeDocument/2006/relationships/hyperlink" Target="https://docs.inecelectionresults.net/elections_prod/1292/state/01/lga/14/ward/11/pu/027/027-1677410494.pdf" TargetMode="External"/><Relationship Id="rId1013" Type="http://schemas.openxmlformats.org/officeDocument/2006/relationships/hyperlink" Target="https://docs.inecelectionresults.net/elections_prod/1292/state/01/lga/06/ward/05/pu/008/008-1677392037.pdf" TargetMode="External"/><Relationship Id="rId2344" Type="http://schemas.openxmlformats.org/officeDocument/2006/relationships/hyperlink" Target="https://docs.inecelectionresults.net/elections_prod/1292/state/01/lga/18/ward/09/pu/010/010-1677421796.pdf" TargetMode="External"/><Relationship Id="rId3676" Type="http://schemas.openxmlformats.org/officeDocument/2006/relationships/hyperlink" Target="https://docs.inecelectionresults.net/elections_prod/1292/state/01/lga/14/ward/11/pu/030/030-1677412049.pdf" TargetMode="External"/><Relationship Id="rId1014" Type="http://schemas.openxmlformats.org/officeDocument/2006/relationships/hyperlink" Target="https://docs.inecelectionresults.net/elections_prod/1292/state/01/lga/06/ward/05/pu/009/009-1677385170.pdf" TargetMode="External"/><Relationship Id="rId2345" Type="http://schemas.openxmlformats.org/officeDocument/2006/relationships/hyperlink" Target="https://docs.inecelectionresults.net/elections_prod/1292/state/1/lga/3683/ward/24159/pu/93720/93720-1677583623.pdf" TargetMode="External"/><Relationship Id="rId3675" Type="http://schemas.openxmlformats.org/officeDocument/2006/relationships/hyperlink" Target="https://docs.inecelectionresults.net/elections_prod/1292/state/01/lga/14/ward/11/pu/029/029-1677406442.pdf" TargetMode="External"/><Relationship Id="rId1004" Type="http://schemas.openxmlformats.org/officeDocument/2006/relationships/hyperlink" Target="https://docs.inecelectionresults.net/elections_prod/1292/state/01/lga/06/ward/04/pu/024/024-1677394077.pdf" TargetMode="External"/><Relationship Id="rId2335" Type="http://schemas.openxmlformats.org/officeDocument/2006/relationships/hyperlink" Target="https://docs.inecelectionresults.net/elections_prod/1292/state/1/lga/3683/ward/24158/pu/93709/93709-1677597701.pdf" TargetMode="External"/><Relationship Id="rId3667" Type="http://schemas.openxmlformats.org/officeDocument/2006/relationships/hyperlink" Target="https://docs.inecelectionresults.net/elections_prod/1292/state/01/lga/14/ward/11/pu/020/020-1677407593.pdf" TargetMode="External"/><Relationship Id="rId1005" Type="http://schemas.openxmlformats.org/officeDocument/2006/relationships/hyperlink" Target="https://docs.inecelectionresults.net/elections_prod/1292/state/01/lga/06/ward/04/pu/025/025-1677401441.pdf" TargetMode="External"/><Relationship Id="rId2336" Type="http://schemas.openxmlformats.org/officeDocument/2006/relationships/hyperlink" Target="https://docs.inecelectionresults.net/elections_prod/1292/state/1/lga/3683/ward/24159/pu/93710/93710-1677588214.pdf" TargetMode="External"/><Relationship Id="rId3666" Type="http://schemas.openxmlformats.org/officeDocument/2006/relationships/hyperlink" Target="https://docs.inecelectionresults.net/elections_prod/1292/state/01/lga/14/ward/11/pu/019/019-1677406818.pdf" TargetMode="External"/><Relationship Id="rId1006" Type="http://schemas.openxmlformats.org/officeDocument/2006/relationships/hyperlink" Target="https://docs.inecelectionresults.net/elections_prod/1292/state/01/lga/06/ward/05/pu/001/001-1677385989.pdf" TargetMode="External"/><Relationship Id="rId2337" Type="http://schemas.openxmlformats.org/officeDocument/2006/relationships/hyperlink" Target="https://docs.inecelectionresults.net/elections_prod/1292/state/1/lga/3683/ward/24159/pu/93712/93712-1677602949.pdf" TargetMode="External"/><Relationship Id="rId3669" Type="http://schemas.openxmlformats.org/officeDocument/2006/relationships/hyperlink" Target="https://docs.inecelectionresults.net/elections_prod/1292/state/01/lga/14/ward/11/pu/022/022-1677408669.pdf" TargetMode="External"/><Relationship Id="rId1007" Type="http://schemas.openxmlformats.org/officeDocument/2006/relationships/hyperlink" Target="https://docs.inecelectionresults.net/elections_prod/1292/state/01/lga/06/ward/05/pu/002/002-1677388245.pdf" TargetMode="External"/><Relationship Id="rId2338" Type="http://schemas.openxmlformats.org/officeDocument/2006/relationships/hyperlink" Target="https://docs.inecelectionresults.net/elections_prod/1292/state/1/lga/3683/ward/24159/pu/93713/93713-1677584911.pdf" TargetMode="External"/><Relationship Id="rId3668" Type="http://schemas.openxmlformats.org/officeDocument/2006/relationships/hyperlink" Target="https://docs.inecelectionresults.net/elections_prod/1292/state/01/lga/14/ward/11/pu/021/021-1677408148.pdf" TargetMode="External"/><Relationship Id="rId1008" Type="http://schemas.openxmlformats.org/officeDocument/2006/relationships/hyperlink" Target="https://docs.inecelectionresults.net/elections_prod/1292/state/01/lga/06/ward/05/pu/003/003-1677387309.pdf" TargetMode="External"/><Relationship Id="rId2339" Type="http://schemas.openxmlformats.org/officeDocument/2006/relationships/hyperlink" Target="https://docs.inecelectionresults.net/elections_prod/1292/state/1/lga/3683/ward/24159/pu/93714/93714-1677585635.pdf" TargetMode="External"/><Relationship Id="rId1009" Type="http://schemas.openxmlformats.org/officeDocument/2006/relationships/hyperlink" Target="https://docs.inecelectionresults.net/elections_prod/1292/state/01/lga/06/ward/05/pu/004/004-1677393039.pdf" TargetMode="External"/><Relationship Id="rId3661" Type="http://schemas.openxmlformats.org/officeDocument/2006/relationships/hyperlink" Target="https://docs.inecelectionresults.net/elections_prod/1292/state/01/lga/14/ward/09/pu/018/018-1677377312.pdf" TargetMode="External"/><Relationship Id="rId2330" Type="http://schemas.openxmlformats.org/officeDocument/2006/relationships/hyperlink" Target="https://docs.inecelectionresults.net/elections_prod/1292/state/1/lga/3683/ward/24158/pu/93704/93704-1677666806.pdf" TargetMode="External"/><Relationship Id="rId3660" Type="http://schemas.openxmlformats.org/officeDocument/2006/relationships/hyperlink" Target="https://docs.inecelectionresults.net/elections_prod/1292/state/01/lga/14/ward/09/pu/017/017-1677402744.pdf" TargetMode="External"/><Relationship Id="rId1000" Type="http://schemas.openxmlformats.org/officeDocument/2006/relationships/hyperlink" Target="https://docs.inecelectionresults.net/elections_prod/1292/state/01/lga/06/ward/04/pu/020/020-1677406845.pdf" TargetMode="External"/><Relationship Id="rId2331" Type="http://schemas.openxmlformats.org/officeDocument/2006/relationships/hyperlink" Target="https://docs.inecelectionresults.net/elections_prod/1292/state/1/lga/3683/ward/24158/pu/93705/93705-1677754140.pdf" TargetMode="External"/><Relationship Id="rId3663" Type="http://schemas.openxmlformats.org/officeDocument/2006/relationships/hyperlink" Target="https://docs.inecelectionresults.net/elections_prod/1292/state/01/lga/14/ward/09/pu/021/021-1677399417.pdf" TargetMode="External"/><Relationship Id="rId1001" Type="http://schemas.openxmlformats.org/officeDocument/2006/relationships/hyperlink" Target="https://docs.inecelectionresults.net/elections_prod/1292/state/01/lga/06/ward/04/pu/021/021-1677395075.pdf" TargetMode="External"/><Relationship Id="rId2332" Type="http://schemas.openxmlformats.org/officeDocument/2006/relationships/hyperlink" Target="https://docs.inecelectionresults.net/elections_prod/1292/state/01/lga/18/ward/08/pu/006/006-1677420234.pdf" TargetMode="External"/><Relationship Id="rId3662" Type="http://schemas.openxmlformats.org/officeDocument/2006/relationships/hyperlink" Target="https://docs.inecelectionresults.net/elections_prod/1292/state/01/lga/14/ward/09/pu/020/020-1677374742.pdf" TargetMode="External"/><Relationship Id="rId1002" Type="http://schemas.openxmlformats.org/officeDocument/2006/relationships/hyperlink" Target="https://docs.inecelectionresults.net/elections_prod/1292/state/01/lga/06/ward/04/pu/022/022-1677393093.pdf" TargetMode="External"/><Relationship Id="rId2333" Type="http://schemas.openxmlformats.org/officeDocument/2006/relationships/hyperlink" Target="https://docs.inecelectionresults.net/elections_prod/1292/state/01/lga/18/ward/08/pu/007/007-1677408659.pdf" TargetMode="External"/><Relationship Id="rId3665" Type="http://schemas.openxmlformats.org/officeDocument/2006/relationships/hyperlink" Target="https://docs.inecelectionresults.net/elections_prod/1292/state/01/lga/14/ward/11/pu/017/017-1677402363.pdf" TargetMode="External"/><Relationship Id="rId1003" Type="http://schemas.openxmlformats.org/officeDocument/2006/relationships/hyperlink" Target="https://docs.inecelectionresults.net/elections_prod/1292/state/01/lga/06/ward/04/pu/023/023-1677403128.pdf" TargetMode="External"/><Relationship Id="rId2334" Type="http://schemas.openxmlformats.org/officeDocument/2006/relationships/hyperlink" Target="https://docs.inecelectionresults.net/elections_prod/1292/state/01/lga/18/ward/08/pu/008/008-1677422245.pdf" TargetMode="External"/><Relationship Id="rId3664" Type="http://schemas.openxmlformats.org/officeDocument/2006/relationships/hyperlink" Target="https://docs.inecelectionresults.net/elections_prod/1292/state/01/lga/14/ward/11/pu/015/015-1677410038.pdf" TargetMode="External"/><Relationship Id="rId1037" Type="http://schemas.openxmlformats.org/officeDocument/2006/relationships/hyperlink" Target="https://docs.inecelectionresults.net/elections_prod/1292/state/01/lga/06/ward/08/pu/001/001-1677390393.pdf" TargetMode="External"/><Relationship Id="rId2368" Type="http://schemas.openxmlformats.org/officeDocument/2006/relationships/hyperlink" Target="https://docs.inecelectionresults.net/elections_prod/1292/state/01/lga/19/ward/02/pu/004/004-1677390927.pdf" TargetMode="External"/><Relationship Id="rId1038" Type="http://schemas.openxmlformats.org/officeDocument/2006/relationships/hyperlink" Target="https://docs.inecelectionresults.net/elections_prod/1292/state/01/lga/06/ward/08/pu/002/002-1677394445.pdf" TargetMode="External"/><Relationship Id="rId2369" Type="http://schemas.openxmlformats.org/officeDocument/2006/relationships/hyperlink" Target="https://docs.inecelectionresults.net/elections_prod/1292/state/01/lga/19/ward/02/pu/005/005-1677384572.pdf" TargetMode="External"/><Relationship Id="rId3699" Type="http://schemas.openxmlformats.org/officeDocument/2006/relationships/hyperlink" Target="https://docs.inecelectionresults.net/elections_prod/1292/state/01/lga/14/ward/01/pu/017/017-1677400066.pdf" TargetMode="External"/><Relationship Id="rId1039" Type="http://schemas.openxmlformats.org/officeDocument/2006/relationships/hyperlink" Target="https://docs.inecelectionresults.net/elections_prod/1292/state/01/lga/06/ward/08/pu/003/003-1677395478.pdf" TargetMode="External"/><Relationship Id="rId206" Type="http://schemas.openxmlformats.org/officeDocument/2006/relationships/hyperlink" Target="https://docs.inecelectionresults.net/elections_prod/1292/state/01/lga/01/ward/16/pu/014/014-1677411562.pdf" TargetMode="External"/><Relationship Id="rId205" Type="http://schemas.openxmlformats.org/officeDocument/2006/relationships/hyperlink" Target="https://docs.inecelectionresults.net/elections_prod/1292/state/01/lga/01/ward/16/pu/013/013-1677411347.pdf" TargetMode="External"/><Relationship Id="rId204" Type="http://schemas.openxmlformats.org/officeDocument/2006/relationships/hyperlink" Target="https://docs.inecelectionresults.net/elections_prod/1292/state/01/lga/01/ward/16/pu/012/012-1677409087.pdf" TargetMode="External"/><Relationship Id="rId203" Type="http://schemas.openxmlformats.org/officeDocument/2006/relationships/hyperlink" Target="https://docs.inecelectionresults.net/elections_prod/1292/state/01/lga/01/ward/16/pu/011/011-1677409479.pdf" TargetMode="External"/><Relationship Id="rId209" Type="http://schemas.openxmlformats.org/officeDocument/2006/relationships/hyperlink" Target="https://docs.inecelectionresults.net/elections_prod/1292/state/01/lga/02/ward/01/pu/001/001-1677419119.pdf" TargetMode="External"/><Relationship Id="rId208" Type="http://schemas.openxmlformats.org/officeDocument/2006/relationships/hyperlink" Target="https://docs.inecelectionresults.net/elections_prod/1292/state/01/lga/01/ward/16/pu/016/016-1677412251.pdf" TargetMode="External"/><Relationship Id="rId3690" Type="http://schemas.openxmlformats.org/officeDocument/2006/relationships/hyperlink" Target="https://inec-cvr-cache.s3.eu-west-1.amazonaws.com/cached/results/661396/result_79606_1677533004_thumb.jpg" TargetMode="External"/><Relationship Id="rId207" Type="http://schemas.openxmlformats.org/officeDocument/2006/relationships/hyperlink" Target="https://docs.inecelectionresults.net/elections_prod/1292/state/01/lga/01/ward/16/pu/015/015-1677412739.pdf" TargetMode="External"/><Relationship Id="rId2360" Type="http://schemas.openxmlformats.org/officeDocument/2006/relationships/hyperlink" Target="https://docs.inecelectionresults.net/elections_prod/1292/state/01/lga/19/ward/01/pu/010/010-1677368486.pdf" TargetMode="External"/><Relationship Id="rId3692" Type="http://schemas.openxmlformats.org/officeDocument/2006/relationships/hyperlink" Target="https://inec-cvr-cache.s3.eu-west-1.amazonaws.com/cached/results/661398/result_79608_1677535304_thumb.jpg" TargetMode="External"/><Relationship Id="rId1030" Type="http://schemas.openxmlformats.org/officeDocument/2006/relationships/hyperlink" Target="https://docs.inecelectionresults.net/elections_prod/1292/state/01/lga/06/ward/07/pu/001/001-1677389277.pdf" TargetMode="External"/><Relationship Id="rId2361" Type="http://schemas.openxmlformats.org/officeDocument/2006/relationships/hyperlink" Target="https://docs.inecelectionresults.net/elections_prod/1292/state/01/lga/19/ward/01/pu/011/011-1677372225.pdf" TargetMode="External"/><Relationship Id="rId3691" Type="http://schemas.openxmlformats.org/officeDocument/2006/relationships/hyperlink" Target="https://inec-cvr-cache.s3.eu-west-1.amazonaws.com/cached/results/661397/result_79607_1677533590_thumb.jpg" TargetMode="External"/><Relationship Id="rId1031" Type="http://schemas.openxmlformats.org/officeDocument/2006/relationships/hyperlink" Target="https://docs.inecelectionresults.net/elections_prod/1292/state/01/lga/06/ward/07/pu/002/002-1677392735.pdf" TargetMode="External"/><Relationship Id="rId2362" Type="http://schemas.openxmlformats.org/officeDocument/2006/relationships/hyperlink" Target="https://docs.inecelectionresults.net/elections_prod/1292/state/01/lga/19/ward/01/pu/014/014-1677376221.pdf" TargetMode="External"/><Relationship Id="rId3694" Type="http://schemas.openxmlformats.org/officeDocument/2006/relationships/hyperlink" Target="https://docs.inecelectionresults.net/elections_prod/1292/state/01/lga/14/ward/01/pu/012/012-1677393128.pdf" TargetMode="External"/><Relationship Id="rId1032" Type="http://schemas.openxmlformats.org/officeDocument/2006/relationships/hyperlink" Target="https://docs.inecelectionresults.net/elections_prod/1292/state/01/lga/06/ward/07/pu/003/003-1677390848.pdf" TargetMode="External"/><Relationship Id="rId2363" Type="http://schemas.openxmlformats.org/officeDocument/2006/relationships/hyperlink" Target="https://docs.inecelectionresults.net/elections_prod/1292/state/01/lga/19/ward/01/pu/015/015-1677367614.pdf" TargetMode="External"/><Relationship Id="rId3693" Type="http://schemas.openxmlformats.org/officeDocument/2006/relationships/hyperlink" Target="https://docs.inecelectionresults.net/elections_prod/1292/state/01/lga/14/ward/01/pu/010/010-1677405502.pdf" TargetMode="External"/><Relationship Id="rId202" Type="http://schemas.openxmlformats.org/officeDocument/2006/relationships/hyperlink" Target="https://docs.inecelectionresults.net/elections_prod/1292/state/01/lga/01/ward/16/pu/010/010-1677410415.pdf" TargetMode="External"/><Relationship Id="rId1033" Type="http://schemas.openxmlformats.org/officeDocument/2006/relationships/hyperlink" Target="https://docs.inecelectionresults.net/elections_prod/1292/state/01/lga/06/ward/07/pu/004/004-1677394590.pdf" TargetMode="External"/><Relationship Id="rId2364" Type="http://schemas.openxmlformats.org/officeDocument/2006/relationships/hyperlink" Target="https://docs.inecelectionresults.net/elections_prod/1292/state/01/lga/19/ward/01/pu/016/016-1677375799.pdf" TargetMode="External"/><Relationship Id="rId3696" Type="http://schemas.openxmlformats.org/officeDocument/2006/relationships/hyperlink" Target="https://docs.inecelectionresults.net/elections_prod/1292/state/01/lga/14/ward/01/pu/014/014-1677402079.pdf" TargetMode="External"/><Relationship Id="rId201" Type="http://schemas.openxmlformats.org/officeDocument/2006/relationships/hyperlink" Target="https://docs.inecelectionresults.net/elections_prod/1292/state/01/lga/01/ward/16/pu/009/009-1677420407.pdf" TargetMode="External"/><Relationship Id="rId1034" Type="http://schemas.openxmlformats.org/officeDocument/2006/relationships/hyperlink" Target="https://docs.inecelectionresults.net/elections_prod/1292/state/01/lga/06/ward/07/pu/007/007-1677389689.pdf" TargetMode="External"/><Relationship Id="rId2365" Type="http://schemas.openxmlformats.org/officeDocument/2006/relationships/hyperlink" Target="https://docs.inecelectionresults.net/elections_prod/1292/state/01/lga/19/ward/02/pu/001/001-1677385122.pdf" TargetMode="External"/><Relationship Id="rId3695" Type="http://schemas.openxmlformats.org/officeDocument/2006/relationships/hyperlink" Target="https://docs.inecelectionresults.net/elections_prod/1292/state/01/lga/14/ward/01/pu/013/013-1677402597.pdf" TargetMode="External"/><Relationship Id="rId200" Type="http://schemas.openxmlformats.org/officeDocument/2006/relationships/hyperlink" Target="https://docs.inecelectionresults.net/elections_prod/1292/state/01/lga/01/ward/16/pu/008/008-1677408767.pdf" TargetMode="External"/><Relationship Id="rId1035" Type="http://schemas.openxmlformats.org/officeDocument/2006/relationships/hyperlink" Target="https://docs.inecelectionresults.net/elections_prod/1292/state/01/lga/06/ward/07/pu/008/008-1677392287.pdf" TargetMode="External"/><Relationship Id="rId2366" Type="http://schemas.openxmlformats.org/officeDocument/2006/relationships/hyperlink" Target="https://docs.inecelectionresults.net/elections_prod/1292/state/01/lga/19/ward/02/pu/002/002-1677388728.pdf" TargetMode="External"/><Relationship Id="rId3698" Type="http://schemas.openxmlformats.org/officeDocument/2006/relationships/hyperlink" Target="https://docs.inecelectionresults.net/elections_prod/1292/state/01/lga/14/ward/01/pu/016/016-1677401206.pdf" TargetMode="External"/><Relationship Id="rId1036" Type="http://schemas.openxmlformats.org/officeDocument/2006/relationships/hyperlink" Target="https://docs.inecelectionresults.net/elections_prod/1292/state/01/lga/06/ward/07/pu/009/009-1677391151.pdf" TargetMode="External"/><Relationship Id="rId2367" Type="http://schemas.openxmlformats.org/officeDocument/2006/relationships/hyperlink" Target="https://docs.inecelectionresults.net/elections_prod/1292/state/01/lga/19/ward/02/pu/003/003-1677388741.pdf" TargetMode="External"/><Relationship Id="rId3697" Type="http://schemas.openxmlformats.org/officeDocument/2006/relationships/hyperlink" Target="https://docs.inecelectionresults.net/elections_prod/1292/state/01/lga/14/ward/01/pu/015/015-1677400524.pdf" TargetMode="External"/><Relationship Id="rId1026" Type="http://schemas.openxmlformats.org/officeDocument/2006/relationships/hyperlink" Target="https://docs.inecelectionresults.net/elections_prod/1292/state/01/lga/06/ward/06/pu/011/011-1677390896.pdf" TargetMode="External"/><Relationship Id="rId2357" Type="http://schemas.openxmlformats.org/officeDocument/2006/relationships/hyperlink" Target="https://docs.inecelectionresults.net/elections_prod/1292/state/01/lga/19/ward/01/pu/007/007-1677377109.pdf" TargetMode="External"/><Relationship Id="rId3689" Type="http://schemas.openxmlformats.org/officeDocument/2006/relationships/hyperlink" Target="https://inec-cvr-cache.s3.eu-west-1.amazonaws.com/cached/results/661395/result_79605_1677577930_thumb.jpg" TargetMode="External"/><Relationship Id="rId1027" Type="http://schemas.openxmlformats.org/officeDocument/2006/relationships/hyperlink" Target="https://docs.inecelectionresults.net/elections_prod/1292/state/01/lga/06/ward/06/pu/012/012-1677400769.pdf" TargetMode="External"/><Relationship Id="rId2358" Type="http://schemas.openxmlformats.org/officeDocument/2006/relationships/hyperlink" Target="https://docs.inecelectionresults.net/elections_prod/1292/state/01/lga/19/ward/01/pu/008/008-1677375575.pdf" TargetMode="External"/><Relationship Id="rId3688" Type="http://schemas.openxmlformats.org/officeDocument/2006/relationships/hyperlink" Target="https://docs.inecelectionresults.net/elections_prod/1292/state/01/lga/14/ward/12/pu/022/022-1677379628.pdf" TargetMode="External"/><Relationship Id="rId1028" Type="http://schemas.openxmlformats.org/officeDocument/2006/relationships/hyperlink" Target="https://docs.inecelectionresults.net/elections_prod/1292/state/01/lga/06/ward/06/pu/014/014-1677388759.pdf" TargetMode="External"/><Relationship Id="rId2359" Type="http://schemas.openxmlformats.org/officeDocument/2006/relationships/hyperlink" Target="https://docs.inecelectionresults.net/elections_prod/1292/state/01/lga/19/ward/01/pu/009/009-1677374890.pdf" TargetMode="External"/><Relationship Id="rId1029" Type="http://schemas.openxmlformats.org/officeDocument/2006/relationships/hyperlink" Target="https://docs.inecelectionresults.net/elections_prod/1292/state/01/lga/06/ward/06/pu/015/015-1677388093.pdf" TargetMode="External"/><Relationship Id="rId3681" Type="http://schemas.openxmlformats.org/officeDocument/2006/relationships/hyperlink" Target="https://docs.inecelectionresults.net/elections_prod/1292/state/01/lga/14/ward/11/pu/035/035-1677414698.pdf" TargetMode="External"/><Relationship Id="rId2350" Type="http://schemas.openxmlformats.org/officeDocument/2006/relationships/hyperlink" Target="https://docs.inecelectionresults.net/elections_prod/1292/state/1/lga/3683/ward/24160/pu/93727/93727-1677614579.pdf" TargetMode="External"/><Relationship Id="rId3680" Type="http://schemas.openxmlformats.org/officeDocument/2006/relationships/hyperlink" Target="https://docs.inecelectionresults.net/elections_prod/1292/state/01/lga/14/ward/11/pu/034/034-1677414092.pdf" TargetMode="External"/><Relationship Id="rId1020" Type="http://schemas.openxmlformats.org/officeDocument/2006/relationships/hyperlink" Target="https://docs.inecelectionresults.net/elections_prod/1292/state/01/lga/06/ward/06/pu/003/003-1677394732.pdf" TargetMode="External"/><Relationship Id="rId2351" Type="http://schemas.openxmlformats.org/officeDocument/2006/relationships/hyperlink" Target="https://docs.inecelectionresults.net/elections_prod/1292/state/01/lga/18/ward/10/pu/008/008-1677400318.pdf" TargetMode="External"/><Relationship Id="rId3683" Type="http://schemas.openxmlformats.org/officeDocument/2006/relationships/hyperlink" Target="https://docs.inecelectionresults.net/elections_prod/1292/state/01/lga/14/ward/10/pu/030/030-1677409459.pdf" TargetMode="External"/><Relationship Id="rId1021" Type="http://schemas.openxmlformats.org/officeDocument/2006/relationships/hyperlink" Target="https://docs.inecelectionresults.net/elections_prod/1292/state/01/lga/06/ward/06/pu/004/004-1677380974.pdf" TargetMode="External"/><Relationship Id="rId2352" Type="http://schemas.openxmlformats.org/officeDocument/2006/relationships/hyperlink" Target="https://docs.inecelectionresults.net/elections_prod/1292/state/01/lga/18/ward/10/pu/009/009-1677398432.pdf" TargetMode="External"/><Relationship Id="rId3682" Type="http://schemas.openxmlformats.org/officeDocument/2006/relationships/hyperlink" Target="https://docs.inecelectionresults.net/elections_prod/1292/state/01/lga/14/ward/11/pu/036/036-1677415293.pdf" TargetMode="External"/><Relationship Id="rId1022" Type="http://schemas.openxmlformats.org/officeDocument/2006/relationships/hyperlink" Target="https://docs.inecelectionresults.net/elections_prod/1292/state/01/lga/06/ward/06/pu/006/006-1677395895.pdf" TargetMode="External"/><Relationship Id="rId2353" Type="http://schemas.openxmlformats.org/officeDocument/2006/relationships/hyperlink" Target="https://docs.inecelectionresults.net/elections_prod/1292/state/01/lga/19/ward/01/pu/002/002-1677361258.pdf" TargetMode="External"/><Relationship Id="rId3685" Type="http://schemas.openxmlformats.org/officeDocument/2006/relationships/hyperlink" Target="https://docs.inecelectionresults.net/elections_prod/1292/state/01/lga/14/ward/12/pu/019/019-1677400601.pdf" TargetMode="External"/><Relationship Id="rId1023" Type="http://schemas.openxmlformats.org/officeDocument/2006/relationships/hyperlink" Target="https://docs.inecelectionresults.net/elections_prod/1292/state/01/lga/06/ward/06/pu/007/007-1677394319.pdf" TargetMode="External"/><Relationship Id="rId2354" Type="http://schemas.openxmlformats.org/officeDocument/2006/relationships/hyperlink" Target="https://docs.inecelectionresults.net/elections_prod/1292/state/01/lga/19/ward/01/pu/003/003-1677377904.pdf" TargetMode="External"/><Relationship Id="rId3684" Type="http://schemas.openxmlformats.org/officeDocument/2006/relationships/hyperlink" Target="https://docs.inecelectionresults.net/elections_prod/1292/state/01/lga/14/ward/12/pu/018/018-1677397698.pdf" TargetMode="External"/><Relationship Id="rId1024" Type="http://schemas.openxmlformats.org/officeDocument/2006/relationships/hyperlink" Target="https://docs.inecelectionresults.net/elections_prod/1292/state/01/lga/06/ward/06/pu/008/008-1677391774.pdf" TargetMode="External"/><Relationship Id="rId2355" Type="http://schemas.openxmlformats.org/officeDocument/2006/relationships/hyperlink" Target="https://docs.inecelectionresults.net/elections_prod/1292/state/01/lga/19/ward/01/pu/004/004-1677377443.pdf" TargetMode="External"/><Relationship Id="rId3687" Type="http://schemas.openxmlformats.org/officeDocument/2006/relationships/hyperlink" Target="https://docs.inecelectionresults.net/elections_prod/1292/state/01/lga/14/ward/12/pu/021/021-1677399522.pdf" TargetMode="External"/><Relationship Id="rId1025" Type="http://schemas.openxmlformats.org/officeDocument/2006/relationships/hyperlink" Target="https://docs.inecelectionresults.net/elections_prod/1292/state/01/lga/06/ward/06/pu/010/010-1677390394.pdf" TargetMode="External"/><Relationship Id="rId2356" Type="http://schemas.openxmlformats.org/officeDocument/2006/relationships/hyperlink" Target="https://docs.inecelectionresults.net/elections_prod/1292/state/01/lga/19/ward/01/pu/006/006-1677373518.pdf" TargetMode="External"/><Relationship Id="rId3686" Type="http://schemas.openxmlformats.org/officeDocument/2006/relationships/hyperlink" Target="https://docs.inecelectionresults.net/elections_prod/1292/state/01/lga/14/ward/12/pu/020/020-1677417171.pdf" TargetMode="External"/><Relationship Id="rId1910" Type="http://schemas.openxmlformats.org/officeDocument/2006/relationships/hyperlink" Target="https://docs.inecelectionresults.net/elections_prod/1292/state/01/lga/14/ward/11/pu/008/008-1677404935.pdf" TargetMode="External"/><Relationship Id="rId1911" Type="http://schemas.openxmlformats.org/officeDocument/2006/relationships/hyperlink" Target="https://docs.inecelectionresults.net/elections_prod/1292/state/01/lga/14/ward/11/pu/009/009-1677405455.pdf" TargetMode="External"/><Relationship Id="rId1912" Type="http://schemas.openxmlformats.org/officeDocument/2006/relationships/hyperlink" Target="https://docs.inecelectionresults.net/elections_prod/1292/state/01/lga/14/ward/11/pu/010/010-1677406449.pdf" TargetMode="External"/><Relationship Id="rId1913" Type="http://schemas.openxmlformats.org/officeDocument/2006/relationships/hyperlink" Target="https://docs.inecelectionresults.net/elections_prod/1292/state/01/lga/14/ward/11/pu/011/011-1677407485.pdf" TargetMode="External"/><Relationship Id="rId1914" Type="http://schemas.openxmlformats.org/officeDocument/2006/relationships/hyperlink" Target="https://docs.inecelectionresults.net/elections_prod/1292/state/01/lga/14/ward/11/pu/012/012-1677408495.pdf" TargetMode="External"/><Relationship Id="rId1915" Type="http://schemas.openxmlformats.org/officeDocument/2006/relationships/hyperlink" Target="https://docs.inecelectionresults.net/elections_prod/1292/state/01/lga/14/ward/11/pu/013/013-1677407693.pdf" TargetMode="External"/><Relationship Id="rId1916" Type="http://schemas.openxmlformats.org/officeDocument/2006/relationships/hyperlink" Target="https://docs.inecelectionresults.net/elections_prod/1292/state/01/lga/14/ward/11/pu/014/014-1677409540.pdf" TargetMode="External"/><Relationship Id="rId1917" Type="http://schemas.openxmlformats.org/officeDocument/2006/relationships/hyperlink" Target="https://docs.inecelectionresults.net/elections_prod/1292/state/01/lga/14/ward/12/pu/001/001-1677413779.pdf" TargetMode="External"/><Relationship Id="rId1918" Type="http://schemas.openxmlformats.org/officeDocument/2006/relationships/hyperlink" Target="https://docs.inecelectionresults.net/elections_prod/1292/state/01/lga/14/ward/12/pu/003/003-1677414359.pdf" TargetMode="External"/><Relationship Id="rId1919" Type="http://schemas.openxmlformats.org/officeDocument/2006/relationships/hyperlink" Target="https://docs.inecelectionresults.net/elections_prod/1292/state/01/lga/14/ward/12/pu/004/004-1677413256.pdf" TargetMode="External"/><Relationship Id="rId1900" Type="http://schemas.openxmlformats.org/officeDocument/2006/relationships/hyperlink" Target="https://docs.inecelectionresults.net/elections_prod/1292/state/01/lga/14/ward/10/pu/023/023-1677410972.pdf" TargetMode="External"/><Relationship Id="rId1901" Type="http://schemas.openxmlformats.org/officeDocument/2006/relationships/hyperlink" Target="https://docs.inecelectionresults.net/elections_prod/1292/state/01/lga/14/ward/10/pu/024/024-1677415376.pdf" TargetMode="External"/><Relationship Id="rId1902" Type="http://schemas.openxmlformats.org/officeDocument/2006/relationships/hyperlink" Target="https://docs.inecelectionresults.net/elections_prod/1292/state/01/lga/14/ward/10/pu/026/026-1677372963.pdf" TargetMode="External"/><Relationship Id="rId1903" Type="http://schemas.openxmlformats.org/officeDocument/2006/relationships/hyperlink" Target="https://docs.inecelectionresults.net/elections_prod/1292/state/01/lga/14/ward/10/pu/027/027-1677405112.pdf" TargetMode="External"/><Relationship Id="rId1904" Type="http://schemas.openxmlformats.org/officeDocument/2006/relationships/hyperlink" Target="https://docs.inecelectionresults.net/elections_prod/1292/state/01/lga/14/ward/11/pu/001/001-1677399544.pdf" TargetMode="External"/><Relationship Id="rId1905" Type="http://schemas.openxmlformats.org/officeDocument/2006/relationships/hyperlink" Target="https://docs.inecelectionresults.net/elections_prod/1292/state/01/lga/14/ward/11/pu/003/003-1677400768.pdf" TargetMode="External"/><Relationship Id="rId1906" Type="http://schemas.openxmlformats.org/officeDocument/2006/relationships/hyperlink" Target="https://docs.inecelectionresults.net/elections_prod/1292/state/01/lga/14/ward/11/pu/004/004-1677401388.pdf" TargetMode="External"/><Relationship Id="rId1907" Type="http://schemas.openxmlformats.org/officeDocument/2006/relationships/hyperlink" Target="https://docs.inecelectionresults.net/elections_prod/1292/state/01/lga/14/ward/11/pu/005/005-1677401779.pdf" TargetMode="External"/><Relationship Id="rId1908" Type="http://schemas.openxmlformats.org/officeDocument/2006/relationships/hyperlink" Target="https://docs.inecelectionresults.net/elections_prod/1292/state/01/lga/14/ward/11/pu/006/006-1677402567.pdf" TargetMode="External"/><Relationship Id="rId1909" Type="http://schemas.openxmlformats.org/officeDocument/2006/relationships/hyperlink" Target="https://docs.inecelectionresults.net/elections_prod/1292/state/01/lga/14/ward/11/pu/007/007-1677404084.pdf" TargetMode="External"/><Relationship Id="rId1090" Type="http://schemas.openxmlformats.org/officeDocument/2006/relationships/hyperlink" Target="https://docs.inecelectionresults.net/elections_prod/1292/state/1/lga/3672/ward/24030/pu/92131/92131-1677489764.pdf" TargetMode="External"/><Relationship Id="rId1091" Type="http://schemas.openxmlformats.org/officeDocument/2006/relationships/hyperlink" Target="https://docs.inecelectionresults.net/elections_prod/1292/state/1/lga/3672/ward/24030/pu/92132/92132-1677489975.pdf" TargetMode="External"/><Relationship Id="rId1092" Type="http://schemas.openxmlformats.org/officeDocument/2006/relationships/hyperlink" Target="https://docs.inecelectionresults.net/elections_prod/1292/state/01/lga/07/ward/03/pu/016/016-1677391376.pdf" TargetMode="External"/><Relationship Id="rId1093" Type="http://schemas.openxmlformats.org/officeDocument/2006/relationships/hyperlink" Target="https://docs.inecelectionresults.net/elections_prod/1292/state/01/lga/07/ward/03/pu/017/017-1677391586.pdf" TargetMode="External"/><Relationship Id="rId1094" Type="http://schemas.openxmlformats.org/officeDocument/2006/relationships/hyperlink" Target="https://docs.inecelectionresults.net/elections_prod/1292/state/01/lga/07/ward/03/pu/018/018-1677390039.pdf" TargetMode="External"/><Relationship Id="rId1095" Type="http://schemas.openxmlformats.org/officeDocument/2006/relationships/hyperlink" Target="https://docs.inecelectionresults.net/elections_prod/1292/state/01/lga/07/ward/03/pu/019/019-1677393331.pdf" TargetMode="External"/><Relationship Id="rId1096" Type="http://schemas.openxmlformats.org/officeDocument/2006/relationships/hyperlink" Target="https://docs.inecelectionresults.net/elections_prod/1292/state/01/lga/07/ward/03/pu/020/020-1677400413.pdf" TargetMode="External"/><Relationship Id="rId1097" Type="http://schemas.openxmlformats.org/officeDocument/2006/relationships/hyperlink" Target="https://docs.inecelectionresults.net/elections_prod/1292/state/01/lga/07/ward/03/pu/021/021-1677388910.pdf" TargetMode="External"/><Relationship Id="rId1098" Type="http://schemas.openxmlformats.org/officeDocument/2006/relationships/hyperlink" Target="https://docs.inecelectionresults.net/elections_prod/1292/state/01/lga/07/ward/03/pu/022/022-1677389760.pdf" TargetMode="External"/><Relationship Id="rId1099" Type="http://schemas.openxmlformats.org/officeDocument/2006/relationships/hyperlink" Target="https://docs.inecelectionresults.net/elections_prod/1292/state/01/lga/07/ward/03/pu/023/023-1677390730.pdf" TargetMode="External"/><Relationship Id="rId1080" Type="http://schemas.openxmlformats.org/officeDocument/2006/relationships/hyperlink" Target="https://docs.inecelectionresults.net/elections_prod/1292/state/1/lga/3672/ward/24029/pu/92114/92114-1677511024.pdf" TargetMode="External"/><Relationship Id="rId1081" Type="http://schemas.openxmlformats.org/officeDocument/2006/relationships/hyperlink" Target="https://docs.inecelectionresults.net/elections_prod/1292/state/1/lga/3672/ward/24029/pu/92115/92115-1677509683.pdf" TargetMode="External"/><Relationship Id="rId1082" Type="http://schemas.openxmlformats.org/officeDocument/2006/relationships/hyperlink" Target="https://docs.inecelectionresults.net/elections_prod/1292/state/01/lga/07/ward/02/pu/012/012-1677384813.pdf" TargetMode="External"/><Relationship Id="rId1083" Type="http://schemas.openxmlformats.org/officeDocument/2006/relationships/hyperlink" Target="https://docs.inecelectionresults.net/elections_prod/1292/state/01/lga/07/ward/03/pu/002/002-1677391428.pdf" TargetMode="External"/><Relationship Id="rId1084" Type="http://schemas.openxmlformats.org/officeDocument/2006/relationships/hyperlink" Target="https://docs.inecelectionresults.net/elections_prod/1292/state/01/lga/07/ward/03/pu/004/004-1677386892.pdf" TargetMode="External"/><Relationship Id="rId1085" Type="http://schemas.openxmlformats.org/officeDocument/2006/relationships/hyperlink" Target="https://docs.inecelectionresults.net/elections_prod/1292/state/01/lga/07/ward/03/pu/005/005-1677390393.pdf" TargetMode="External"/><Relationship Id="rId1086" Type="http://schemas.openxmlformats.org/officeDocument/2006/relationships/hyperlink" Target="https://docs.inecelectionresults.net/elections_prod/1292/state/01/lga/07/ward/03/pu/006/006-1677387626.pdf" TargetMode="External"/><Relationship Id="rId1087" Type="http://schemas.openxmlformats.org/officeDocument/2006/relationships/hyperlink" Target="https://docs.inecelectionresults.net/elections_prod/1292/state/01/lga/07/ward/03/pu/007/007-1677386544.pdf" TargetMode="External"/><Relationship Id="rId1088" Type="http://schemas.openxmlformats.org/officeDocument/2006/relationships/hyperlink" Target="https://docs.inecelectionresults.net/elections_prod/1292/state/01/lga/07/ward/03/pu/008/008-1677392476.pdf" TargetMode="External"/><Relationship Id="rId1089" Type="http://schemas.openxmlformats.org/officeDocument/2006/relationships/hyperlink" Target="https://docs.inecelectionresults.net/elections_prod/1292/state/01/lga/07/ward/03/pu/010/010-1677391941.pdf" TargetMode="External"/><Relationship Id="rId1972" Type="http://schemas.openxmlformats.org/officeDocument/2006/relationships/hyperlink" Target="https://inec-cvr-cache.s3.eu-west-1.amazonaws.com/cached/results/92171/result_79959_1677549557_thumb.jpg" TargetMode="External"/><Relationship Id="rId1973" Type="http://schemas.openxmlformats.org/officeDocument/2006/relationships/hyperlink" Target="https://inec-cvr-cache.s3.eu-west-1.amazonaws.com/cached/results/92172/result_79960_1677547721_thumb.jpg" TargetMode="External"/><Relationship Id="rId1974" Type="http://schemas.openxmlformats.org/officeDocument/2006/relationships/hyperlink" Target="https://docs.inecelectionresults.net/elections_prod/1292/state/01/lga/15/ward/04/pu/012/012-1677417219.pdf" TargetMode="External"/><Relationship Id="rId1975" Type="http://schemas.openxmlformats.org/officeDocument/2006/relationships/hyperlink" Target="https://inec-cvr-cache.s3.eu-west-1.amazonaws.com/cached/results/92175/result_79963_1677549016_thumb.jpg" TargetMode="External"/><Relationship Id="rId1976" Type="http://schemas.openxmlformats.org/officeDocument/2006/relationships/hyperlink" Target="https://inec-cvr-cache.s3.eu-west-1.amazonaws.com/cached/results/92176/result_79964_1677498725_thumb.jpg" TargetMode="External"/><Relationship Id="rId1977" Type="http://schemas.openxmlformats.org/officeDocument/2006/relationships/hyperlink" Target="https://inec-cvr-cache.s3.eu-west-1.amazonaws.com/cached/results/92177/result_79965_1677548422_thumb.jpg" TargetMode="External"/><Relationship Id="rId1978" Type="http://schemas.openxmlformats.org/officeDocument/2006/relationships/hyperlink" Target="https://docs.inecelectionresults.net/elections_prod/1292/state/01/lga/15/ward/04/pu/016/016-1677413630.pdf" TargetMode="External"/><Relationship Id="rId1979" Type="http://schemas.openxmlformats.org/officeDocument/2006/relationships/hyperlink" Target="https://inec-cvr-cache.s3.eu-west-1.amazonaws.com/cached/results/92179/result_79967_1677500581_thumb.jpg" TargetMode="External"/><Relationship Id="rId1970" Type="http://schemas.openxmlformats.org/officeDocument/2006/relationships/hyperlink" Target="https://docs.inecelectionresults.net/elections_prod/1292/state/01/lga/15/ward/04/pu/007/007-1677404919.pdf" TargetMode="External"/><Relationship Id="rId1971" Type="http://schemas.openxmlformats.org/officeDocument/2006/relationships/hyperlink" Target="https://docs.inecelectionresults.net/elections_prod/1292/state/01/lga/15/ward/04/pu/008/008-1677409239.pdf" TargetMode="External"/><Relationship Id="rId1961" Type="http://schemas.openxmlformats.org/officeDocument/2006/relationships/hyperlink" Target="https://inec-cvr-cache.s3.eu-west-1.amazonaws.com/cached/results/92151/result_79922_1677592674_thumb.jpg" TargetMode="External"/><Relationship Id="rId1962" Type="http://schemas.openxmlformats.org/officeDocument/2006/relationships/hyperlink" Target="https://inec-cvr-cache.s3.eu-west-1.amazonaws.com/cached/results/92153/result_79924_1677532064_thumb.jpg" TargetMode="External"/><Relationship Id="rId1963" Type="http://schemas.openxmlformats.org/officeDocument/2006/relationships/hyperlink" Target="https://docs.inecelectionresults.net/elections_prod/1292/state/1/lga/3680/ward/24116/pu/93256/93256-1677601600.pdf" TargetMode="External"/><Relationship Id="rId1964" Type="http://schemas.openxmlformats.org/officeDocument/2006/relationships/hyperlink" Target="https://docs.inecelectionresults.net/elections_prod/1292/state/01/lga/15/ward/03/pu/019/019-1677405799.pdf" TargetMode="External"/><Relationship Id="rId1965" Type="http://schemas.openxmlformats.org/officeDocument/2006/relationships/hyperlink" Target="https://docs.inecelectionresults.net/elections_prod/1292/state/1/lga/3680/ward/24116/pu/93261/93261-1677602288.pdf" TargetMode="External"/><Relationship Id="rId1966" Type="http://schemas.openxmlformats.org/officeDocument/2006/relationships/hyperlink" Target="https://inec-cvr-cache.s3.eu-west-1.amazonaws.com/cached/results/92162/result_79933_1677518857_thumb.jpg" TargetMode="External"/><Relationship Id="rId1967" Type="http://schemas.openxmlformats.org/officeDocument/2006/relationships/hyperlink" Target="https://inec-cvr-cache.s3.eu-west-1.amazonaws.com/cached/results/92165/result_79953_1677548749_thumb.jpg" TargetMode="External"/><Relationship Id="rId1968" Type="http://schemas.openxmlformats.org/officeDocument/2006/relationships/hyperlink" Target="https://docs.inecelectionresults.net/elections_prod/1292/state/01/lga/15/ward/04/pu/004/004-1677414760.pdf" TargetMode="External"/><Relationship Id="rId1969" Type="http://schemas.openxmlformats.org/officeDocument/2006/relationships/hyperlink" Target="https://docs.inecelectionresults.net/elections_prod/1292/state/01/lga/15/ward/04/pu/006/006-1677418292.pdf" TargetMode="External"/><Relationship Id="rId1960" Type="http://schemas.openxmlformats.org/officeDocument/2006/relationships/hyperlink" Target="https://inec-cvr-cache.s3.eu-west-1.amazonaws.com/cached/results/92151/result_79922_1677592674_thumb.jpg" TargetMode="External"/><Relationship Id="rId1994" Type="http://schemas.openxmlformats.org/officeDocument/2006/relationships/hyperlink" Target="https://inec-cvr-cache.s3.eu-west-1.amazonaws.com/cached/results/92195/result_79987_1677497131_thumb.jpg" TargetMode="External"/><Relationship Id="rId1995" Type="http://schemas.openxmlformats.org/officeDocument/2006/relationships/hyperlink" Target="https://inec-cvr-cache.s3.eu-west-1.amazonaws.com/cached/results/92196/result_79988_1677499559_thumb.jpg" TargetMode="External"/><Relationship Id="rId1996" Type="http://schemas.openxmlformats.org/officeDocument/2006/relationships/hyperlink" Target="https://inec-cvr-cache.s3.eu-west-1.amazonaws.com/cached/results/92197/result_79989_1677500607_thumb.jpg" TargetMode="External"/><Relationship Id="rId1997" Type="http://schemas.openxmlformats.org/officeDocument/2006/relationships/hyperlink" Target="https://docs.inecelectionresults.net/elections_prod/1292/state/01/lga/15/ward/06/pu/005/005-1677395829.pdf" TargetMode="External"/><Relationship Id="rId1998" Type="http://schemas.openxmlformats.org/officeDocument/2006/relationships/hyperlink" Target="https://inec-cvr-cache.s3.eu-west-1.amazonaws.com/cached/results/92200/result_79992_1677508134_thumb.jpg" TargetMode="External"/><Relationship Id="rId1999" Type="http://schemas.openxmlformats.org/officeDocument/2006/relationships/hyperlink" Target="https://inec-cvr-cache.s3.eu-west-1.amazonaws.com/cached/results/92201/result_79993_1677497396_thumb.jpg" TargetMode="External"/><Relationship Id="rId1990" Type="http://schemas.openxmlformats.org/officeDocument/2006/relationships/hyperlink" Target="https://inec-cvr-cache.s3.eu-west-1.amazonaws.com/cached/results/92191/result_79981_1677568971_thumb.jpg" TargetMode="External"/><Relationship Id="rId1991" Type="http://schemas.openxmlformats.org/officeDocument/2006/relationships/hyperlink" Target="https://inec-cvr-cache.s3.eu-west-1.amazonaws.com/cached/results/92192/result_79982_1677572615_thumb.jpg" TargetMode="External"/><Relationship Id="rId1992" Type="http://schemas.openxmlformats.org/officeDocument/2006/relationships/hyperlink" Target="https://inec-cvr-cache.s3.eu-west-1.amazonaws.com/cached/results/92193/result_79983_1677569336_thumb.jpg" TargetMode="External"/><Relationship Id="rId1993" Type="http://schemas.openxmlformats.org/officeDocument/2006/relationships/hyperlink" Target="https://inec-cvr-cache.s3.eu-west-1.amazonaws.com/cached/results/92194/result_79984_1677569514_thumb.jpg" TargetMode="External"/><Relationship Id="rId1983" Type="http://schemas.openxmlformats.org/officeDocument/2006/relationships/hyperlink" Target="https://inec-cvr-cache.s3.eu-west-1.amazonaws.com/cached/results/92183/result_79973_1677569811_thumb.jpg" TargetMode="External"/><Relationship Id="rId1984" Type="http://schemas.openxmlformats.org/officeDocument/2006/relationships/hyperlink" Target="https://inec-cvr-cache.s3.eu-west-1.amazonaws.com/cached/results/92185/result_79975_1677570067_thumb.jpg" TargetMode="External"/><Relationship Id="rId1985" Type="http://schemas.openxmlformats.org/officeDocument/2006/relationships/hyperlink" Target="https://inec-cvr-cache.s3.eu-west-1.amazonaws.com/cached/results/92186/result_79976_1677570194_thumb.jpg" TargetMode="External"/><Relationship Id="rId1986" Type="http://schemas.openxmlformats.org/officeDocument/2006/relationships/hyperlink" Target="https://inec-cvr-cache.s3.eu-west-1.amazonaws.com/cached/results/92187/result_79977_1677570305_thumb.jpg" TargetMode="External"/><Relationship Id="rId1987" Type="http://schemas.openxmlformats.org/officeDocument/2006/relationships/hyperlink" Target="https://inec-cvr-cache.s3.eu-west-1.amazonaws.com/cached/results/92188/result_79978_1677570807_thumb.jpg" TargetMode="External"/><Relationship Id="rId1988" Type="http://schemas.openxmlformats.org/officeDocument/2006/relationships/hyperlink" Target="https://inec-cvr-cache.s3.eu-west-1.amazonaws.com/cached/results/92189/result_79979_1677570942_thumb.jpg" TargetMode="External"/><Relationship Id="rId1989" Type="http://schemas.openxmlformats.org/officeDocument/2006/relationships/hyperlink" Target="https://inec-cvr-cache.s3.eu-west-1.amazonaws.com/cached/results/92190/result_79980_1677568687_thumb.jpg" TargetMode="External"/><Relationship Id="rId1980" Type="http://schemas.openxmlformats.org/officeDocument/2006/relationships/hyperlink" Target="https://inec-cvr-cache.s3.eu-west-1.amazonaws.com/cached/results/92180/result_79968_1677552884_thumb.jpg" TargetMode="External"/><Relationship Id="rId1981" Type="http://schemas.openxmlformats.org/officeDocument/2006/relationships/hyperlink" Target="https://docs.inecelectionresults.net/elections_prod/1292/state/1/lga/3680/ward/24118/pu/93282/93282-1677484033.pdf" TargetMode="External"/><Relationship Id="rId1982" Type="http://schemas.openxmlformats.org/officeDocument/2006/relationships/hyperlink" Target="https://inec-cvr-cache.s3.eu-west-1.amazonaws.com/cached/results/92182/result_79972_1677569647_thumb.jpg" TargetMode="External"/><Relationship Id="rId1930" Type="http://schemas.openxmlformats.org/officeDocument/2006/relationships/hyperlink" Target="https://docs.inecelectionresults.net/elections_prod/1292/state/01/lga/14/ward/12/pu/017/017-1677401402.pdf" TargetMode="External"/><Relationship Id="rId1931" Type="http://schemas.openxmlformats.org/officeDocument/2006/relationships/hyperlink" Target="https://docs.inecelectionresults.net/elections_prod/1292/state/1/lga/3680/ward/24114/pu/93200/93200-1677584207.pdf" TargetMode="External"/><Relationship Id="rId1932" Type="http://schemas.openxmlformats.org/officeDocument/2006/relationships/hyperlink" Target="https://docs.inecelectionresults.net/elections_prod/1292/state/01/lga/15/ward/01/pu/005/005-1677401060.pdf" TargetMode="External"/><Relationship Id="rId1933" Type="http://schemas.openxmlformats.org/officeDocument/2006/relationships/hyperlink" Target="https://docs.inecelectionresults.net/elections_prod/1292/state/01/lga/15/ward/01/pu/006/006-1677398756.pdf" TargetMode="External"/><Relationship Id="rId1934" Type="http://schemas.openxmlformats.org/officeDocument/2006/relationships/hyperlink" Target="https://docs.inecelectionresults.net/elections_prod/1292/state/01/lga/15/ward/01/pu/007/007-1677401161.pdf" TargetMode="External"/><Relationship Id="rId1935" Type="http://schemas.openxmlformats.org/officeDocument/2006/relationships/hyperlink" Target="https://docs.inecelectionresults.net/elections_prod/1292/state/01/lga/15/ward/01/pu/008/008-1677401509.pdf" TargetMode="External"/><Relationship Id="rId1936" Type="http://schemas.openxmlformats.org/officeDocument/2006/relationships/hyperlink" Target="https://docs.inecelectionresults.net/elections_prod/1292/state/1/lga/3680/ward/24115/pu/93207/93207-1677537933.pdf" TargetMode="External"/><Relationship Id="rId1937" Type="http://schemas.openxmlformats.org/officeDocument/2006/relationships/hyperlink" Target="https://docs.inecelectionresults.net/elections_prod/1292/state/1/lga/3680/ward/24115/pu/93208/93208-1677538108.pdf" TargetMode="External"/><Relationship Id="rId1938" Type="http://schemas.openxmlformats.org/officeDocument/2006/relationships/hyperlink" Target="https://docs.inecelectionresults.net/elections_prod/1292/state/1/lga/3680/ward/24115/pu/93210/93210-1677538301.pdf" TargetMode="External"/><Relationship Id="rId1939" Type="http://schemas.openxmlformats.org/officeDocument/2006/relationships/hyperlink" Target="https://docs.inecelectionresults.net/elections_prod/1292/state/1/lga/3680/ward/24115/pu/93211/93211-1677538713.pdf" TargetMode="External"/><Relationship Id="rId1920" Type="http://schemas.openxmlformats.org/officeDocument/2006/relationships/hyperlink" Target="https://docs.inecelectionresults.net/elections_prod/1292/state/01/lga/14/ward/12/pu/005/005-1677408461.pdf" TargetMode="External"/><Relationship Id="rId1921" Type="http://schemas.openxmlformats.org/officeDocument/2006/relationships/hyperlink" Target="https://docs.inecelectionresults.net/elections_prod/1292/state/01/lga/14/ward/12/pu/006/006-1677407703.pdf" TargetMode="External"/><Relationship Id="rId1922" Type="http://schemas.openxmlformats.org/officeDocument/2006/relationships/hyperlink" Target="https://docs.inecelectionresults.net/elections_prod/1292/state/01/lga/14/ward/12/pu/007/007-1677412544.pdf" TargetMode="External"/><Relationship Id="rId1923" Type="http://schemas.openxmlformats.org/officeDocument/2006/relationships/hyperlink" Target="https://docs.inecelectionresults.net/elections_prod/1292/state/01/lga/14/ward/12/pu/008/008-1677406628.pdf" TargetMode="External"/><Relationship Id="rId1924" Type="http://schemas.openxmlformats.org/officeDocument/2006/relationships/hyperlink" Target="https://docs.inecelectionresults.net/elections_prod/1292/state/01/lga/14/ward/12/pu/009/009-1677412024.pdf" TargetMode="External"/><Relationship Id="rId1925" Type="http://schemas.openxmlformats.org/officeDocument/2006/relationships/hyperlink" Target="https://docs.inecelectionresults.net/elections_prod/1292/state/01/lga/14/ward/12/pu/010/010-1677414325.pdf" TargetMode="External"/><Relationship Id="rId1926" Type="http://schemas.openxmlformats.org/officeDocument/2006/relationships/hyperlink" Target="https://docs.inecelectionresults.net/elections_prod/1292/state/01/lga/14/ward/12/pu/011/011-1677412424.pdf" TargetMode="External"/><Relationship Id="rId1927" Type="http://schemas.openxmlformats.org/officeDocument/2006/relationships/hyperlink" Target="https://docs.inecelectionresults.net/elections_prod/1292/state/01/lga/14/ward/12/pu/013/013-1677411485.pdf" TargetMode="External"/><Relationship Id="rId1928" Type="http://schemas.openxmlformats.org/officeDocument/2006/relationships/hyperlink" Target="https://docs.inecelectionresults.net/elections_prod/1292/state/01/lga/14/ward/12/pu/015/015-1677405986.pdf" TargetMode="External"/><Relationship Id="rId1929" Type="http://schemas.openxmlformats.org/officeDocument/2006/relationships/hyperlink" Target="https://docs.inecelectionresults.net/elections_prod/1292/state/01/lga/14/ward/12/pu/016/016-1677405971.pdf" TargetMode="External"/><Relationship Id="rId1950" Type="http://schemas.openxmlformats.org/officeDocument/2006/relationships/hyperlink" Target="https://docs.inecelectionresults.net/elections_prod/1292/state/1/lga/3680/ward/24115/pu/93224/93224-1677541445.pdf" TargetMode="External"/><Relationship Id="rId1951" Type="http://schemas.openxmlformats.org/officeDocument/2006/relationships/hyperlink" Target="https://docs.inecelectionresults.net/elections_prod/1292/state/1/lga/3680/ward/24115/pu/93226/93226-1677541713.pdf" TargetMode="External"/><Relationship Id="rId1952" Type="http://schemas.openxmlformats.org/officeDocument/2006/relationships/hyperlink" Target="https://docs.inecelectionresults.net/elections_prod/1292/state/1/lga/3680/ward/24116/pu/93243/93243-1677603926.pdf" TargetMode="External"/><Relationship Id="rId1953" Type="http://schemas.openxmlformats.org/officeDocument/2006/relationships/hyperlink" Target="https://docs.inecelectionresults.net/elections_prod/1292/state/1/lga/3680/ward/24116/pu/93244/93244-1677604169.pdf" TargetMode="External"/><Relationship Id="rId1954" Type="http://schemas.openxmlformats.org/officeDocument/2006/relationships/hyperlink" Target="https://docs.inecelectionresults.net/elections_prod/1292/state/1/lga/3680/ward/24116/pu/93245/93245-1677600910.pdf" TargetMode="External"/><Relationship Id="rId1955" Type="http://schemas.openxmlformats.org/officeDocument/2006/relationships/hyperlink" Target="https://docs.inecelectionresults.net/elections_prod/1292/state/1/lga/3680/ward/24116/pu/93246/93246-1677603128.pdf" TargetMode="External"/><Relationship Id="rId1956" Type="http://schemas.openxmlformats.org/officeDocument/2006/relationships/hyperlink" Target="https://docs.inecelectionresults.net/elections_prod/1292/state/1/lga/3680/ward/24116/pu/93247/93247-1677603659.pdf" TargetMode="External"/><Relationship Id="rId1957" Type="http://schemas.openxmlformats.org/officeDocument/2006/relationships/hyperlink" Target="https://docs.inecelectionresults.net/elections_prod/1292/state/1/lga/3680/ward/24116/pu/93248/93248-1677601974.pdf" TargetMode="External"/><Relationship Id="rId1958" Type="http://schemas.openxmlformats.org/officeDocument/2006/relationships/hyperlink" Target="https://inec-cvr-cache.s3.eu-west-1.amazonaws.com/cached/results/92148/result_79919_1677524193_thumb.jpg" TargetMode="External"/><Relationship Id="rId1959" Type="http://schemas.openxmlformats.org/officeDocument/2006/relationships/hyperlink" Target="https://inec-cvr-cache.s3.eu-west-1.amazonaws.com/cached/results/92149/result_79920_1677516175_thumb.jpg" TargetMode="External"/><Relationship Id="rId1940" Type="http://schemas.openxmlformats.org/officeDocument/2006/relationships/hyperlink" Target="https://docs.inecelectionresults.net/elections_prod/1292/state/1/lga/3680/ward/24115/pu/93212/93212-1677538910.pdf" TargetMode="External"/><Relationship Id="rId1941" Type="http://schemas.openxmlformats.org/officeDocument/2006/relationships/hyperlink" Target="https://docs.inecelectionresults.net/elections_prod/1292/state/1/lga/3680/ward/24115/pu/93213/93213-1677539048.pdf" TargetMode="External"/><Relationship Id="rId1942" Type="http://schemas.openxmlformats.org/officeDocument/2006/relationships/hyperlink" Target="https://docs.inecelectionresults.net/elections_prod/1292/state/1/lga/3680/ward/24115/pu/93214/93214-1677539980.pdf" TargetMode="External"/><Relationship Id="rId1943" Type="http://schemas.openxmlformats.org/officeDocument/2006/relationships/hyperlink" Target="https://docs.inecelectionresults.net/elections_prod/1292/state/1/lga/3680/ward/24115/pu/93215/93215-1677539578.pdf" TargetMode="External"/><Relationship Id="rId1944" Type="http://schemas.openxmlformats.org/officeDocument/2006/relationships/hyperlink" Target="https://docs.inecelectionresults.net/elections_prod/1292/state/1/lga/3680/ward/24115/pu/93217/93217-1677540171.pdf" TargetMode="External"/><Relationship Id="rId1945" Type="http://schemas.openxmlformats.org/officeDocument/2006/relationships/hyperlink" Target="https://docs.inecelectionresults.net/elections_prod/1292/state/1/lga/3680/ward/24115/pu/93218/93218-1677540289.pdf" TargetMode="External"/><Relationship Id="rId1946" Type="http://schemas.openxmlformats.org/officeDocument/2006/relationships/hyperlink" Target="https://docs.inecelectionresults.net/elections_prod/1292/state/1/lga/3680/ward/24115/pu/93219/93219-1677540472.pdf" TargetMode="External"/><Relationship Id="rId1947" Type="http://schemas.openxmlformats.org/officeDocument/2006/relationships/hyperlink" Target="https://docs.inecelectionresults.net/elections_prod/1292/state/1/lga/3680/ward/24115/pu/93220/93220-1677540643.pdf" TargetMode="External"/><Relationship Id="rId1948" Type="http://schemas.openxmlformats.org/officeDocument/2006/relationships/hyperlink" Target="https://docs.inecelectionresults.net/elections_prod/1292/state/1/lga/3680/ward/24115/pu/93221/93221-1677540793.pdf" TargetMode="External"/><Relationship Id="rId1949" Type="http://schemas.openxmlformats.org/officeDocument/2006/relationships/hyperlink" Target="https://docs.inecelectionresults.net/elections_prod/1292/state/1/lga/3680/ward/24115/pu/93222/93222-1677541107.pdf" TargetMode="External"/><Relationship Id="rId2423" Type="http://schemas.openxmlformats.org/officeDocument/2006/relationships/hyperlink" Target="https://docs.inecelectionresults.net/elections_prod/1292/state/01/lga/19/ward/07/pu/009/009-1677368497.pdf" TargetMode="External"/><Relationship Id="rId3755" Type="http://schemas.openxmlformats.org/officeDocument/2006/relationships/hyperlink" Target="https://docs.inecelectionresults.net/elections_prod/1292/state/1/lga/3680/ward/24115/pu/166146/166146-1677562154.pdf" TargetMode="External"/><Relationship Id="rId2424" Type="http://schemas.openxmlformats.org/officeDocument/2006/relationships/hyperlink" Target="https://docs.inecelectionresults.net/elections_prod/1292/state/01/lga/19/ward/08/pu/001/001-1677368797.pdf" TargetMode="External"/><Relationship Id="rId3754" Type="http://schemas.openxmlformats.org/officeDocument/2006/relationships/hyperlink" Target="https://docs.inecelectionresults.net/elections_prod/1292/state/1/lga/3680/ward/24115/pu/166145/166145-1677561874.pdf" TargetMode="External"/><Relationship Id="rId2425" Type="http://schemas.openxmlformats.org/officeDocument/2006/relationships/hyperlink" Target="https://docs.inecelectionresults.net/elections_prod/1292/state/01/lga/19/ward/08/pu/002/002-1677374019.pdf" TargetMode="External"/><Relationship Id="rId3757" Type="http://schemas.openxmlformats.org/officeDocument/2006/relationships/hyperlink" Target="https://docs.inecelectionresults.net/elections_prod/1292/state/1/lga/3680/ward/24115/pu/166149/166149-1677542284.pdf" TargetMode="External"/><Relationship Id="rId2426" Type="http://schemas.openxmlformats.org/officeDocument/2006/relationships/hyperlink" Target="https://docs.inecelectionresults.net/elections_prod/1292/state/01/lga/19/ward/08/pu/003/003-1677370827.pdf" TargetMode="External"/><Relationship Id="rId3756" Type="http://schemas.openxmlformats.org/officeDocument/2006/relationships/hyperlink" Target="https://docs.inecelectionresults.net/elections_prod/1292/state/01/lga/15/ward/02/pu/040/040-1677405970.pdf" TargetMode="External"/><Relationship Id="rId2427" Type="http://schemas.openxmlformats.org/officeDocument/2006/relationships/hyperlink" Target="https://docs.inecelectionresults.net/elections_prod/1292/state/01/lga/19/ward/08/pu/004/004-1677369825.pdf" TargetMode="External"/><Relationship Id="rId3759" Type="http://schemas.openxmlformats.org/officeDocument/2006/relationships/hyperlink" Target="https://docs.inecelectionresults.net/elections_prod/1292/state/1/lga/3680/ward/24115/pu/166151/166151-1677563093.pdf" TargetMode="External"/><Relationship Id="rId2428" Type="http://schemas.openxmlformats.org/officeDocument/2006/relationships/hyperlink" Target="https://docs.inecelectionresults.net/elections_prod/1292/state/01/lga/19/ward/08/pu/005/005-1677395796.pdf" TargetMode="External"/><Relationship Id="rId3758" Type="http://schemas.openxmlformats.org/officeDocument/2006/relationships/hyperlink" Target="https://docs.inecelectionresults.net/elections_prod/1292/state/1/lga/3680/ward/24115/pu/166150/166150-1677562740.pdf" TargetMode="External"/><Relationship Id="rId2429" Type="http://schemas.openxmlformats.org/officeDocument/2006/relationships/hyperlink" Target="https://docs.inecelectionresults.net/elections_prod/1292/state/01/lga/19/ward/08/pu/006/006-1677395125.pdf" TargetMode="External"/><Relationship Id="rId509" Type="http://schemas.openxmlformats.org/officeDocument/2006/relationships/hyperlink" Target="https://docs.inecelectionresults.net/elections_prod/1292/state/01/lga/03/ward/07/pu/001/001-1677413801.pdf" TargetMode="External"/><Relationship Id="rId508" Type="http://schemas.openxmlformats.org/officeDocument/2006/relationships/hyperlink" Target="https://docs.inecelectionresults.net/elections_prod/1292/state/01/lga/03/ward/07/pu/001/001-1677413801.pdf" TargetMode="External"/><Relationship Id="rId503" Type="http://schemas.openxmlformats.org/officeDocument/2006/relationships/hyperlink" Target="https://docs.inecelectionresults.net/elections_prod/1292/state/01/lga/03/ward/06/pu/016/016-1677410394.pdf" TargetMode="External"/><Relationship Id="rId502" Type="http://schemas.openxmlformats.org/officeDocument/2006/relationships/hyperlink" Target="https://docs.inecelectionresults.net/elections_prod/1292/state/1/lga/3668/ward/23986/pu/91421/91421-1677475551.pdf" TargetMode="External"/><Relationship Id="rId501" Type="http://schemas.openxmlformats.org/officeDocument/2006/relationships/hyperlink" Target="https://docs.inecelectionresults.net/elections_prod/1292/state/01/lga/03/ward/06/pu/014/014-1677417229.pdf" TargetMode="External"/><Relationship Id="rId500" Type="http://schemas.openxmlformats.org/officeDocument/2006/relationships/hyperlink" Target="https://docs.inecelectionresults.net/elections_prod/1292/state/01/lga/03/ward/06/pu/013/013-1677411476.pdf" TargetMode="External"/><Relationship Id="rId507" Type="http://schemas.openxmlformats.org/officeDocument/2006/relationships/hyperlink" Target="https://docs.inecelectionresults.net/elections_prod/1292/state/1/lga/3668/ward/23986/pu/91426/91426-1677462718.pdf" TargetMode="External"/><Relationship Id="rId506" Type="http://schemas.openxmlformats.org/officeDocument/2006/relationships/hyperlink" Target="https://docs.inecelectionresults.net/elections_prod/1292/state/01/lga/03/ward/06/pu/019/019-1677404172.pdf" TargetMode="External"/><Relationship Id="rId505" Type="http://schemas.openxmlformats.org/officeDocument/2006/relationships/hyperlink" Target="https://docs.inecelectionresults.net/elections_prod/1292/state/1/lga/3668/ward/23986/pu/91424/91424-1677470211.pdf" TargetMode="External"/><Relationship Id="rId504" Type="http://schemas.openxmlformats.org/officeDocument/2006/relationships/hyperlink" Target="https://docs.inecelectionresults.net/elections_prod/1292/state/01/lga/03/ward/06/pu/017/017-1677419959.pdf" TargetMode="External"/><Relationship Id="rId3751" Type="http://schemas.openxmlformats.org/officeDocument/2006/relationships/hyperlink" Target="https://docs.inecelectionresults.net/elections_prod/1292/state/1/lga/3680/ward/24115/pu/166142/166142-1677541011.pdf" TargetMode="External"/><Relationship Id="rId2420" Type="http://schemas.openxmlformats.org/officeDocument/2006/relationships/hyperlink" Target="https://docs.inecelectionresults.net/elections_prod/1292/state/01/lga/19/ward/07/pu/006/006-1677378099.pdf" TargetMode="External"/><Relationship Id="rId3750" Type="http://schemas.openxmlformats.org/officeDocument/2006/relationships/hyperlink" Target="https://docs.inecelectionresults.net/elections_prod/1292/state/1/lga/3680/ward/24115/pu/166141/166141-1677586444.pdf" TargetMode="External"/><Relationship Id="rId2421" Type="http://schemas.openxmlformats.org/officeDocument/2006/relationships/hyperlink" Target="https://docs.inecelectionresults.net/elections_prod/1292/state/01/lga/19/ward/07/pu/007/007-1677369762.pdf" TargetMode="External"/><Relationship Id="rId3753" Type="http://schemas.openxmlformats.org/officeDocument/2006/relationships/hyperlink" Target="https://docs.inecelectionresults.net/elections_prod/1292/state/1/lga/3680/ward/24115/pu/166144/166144-1677561434.pdf" TargetMode="External"/><Relationship Id="rId2422" Type="http://schemas.openxmlformats.org/officeDocument/2006/relationships/hyperlink" Target="https://docs.inecelectionresults.net/elections_prod/1292/state/01/lga/19/ward/07/pu/008/008-1677373119.pdf" TargetMode="External"/><Relationship Id="rId3752" Type="http://schemas.openxmlformats.org/officeDocument/2006/relationships/hyperlink" Target="https://docs.inecelectionresults.net/elections_prod/1292/state/1/lga/3680/ward/24115/pu/166143/166143-1677541753.pdf" TargetMode="External"/><Relationship Id="rId2412" Type="http://schemas.openxmlformats.org/officeDocument/2006/relationships/hyperlink" Target="https://docs.inecelectionresults.net/elections_prod/1292/state/01/lga/19/ward/06/pu/009/009-1677374796.pdf" TargetMode="External"/><Relationship Id="rId3744" Type="http://schemas.openxmlformats.org/officeDocument/2006/relationships/hyperlink" Target="https://docs.inecelectionresults.net/elections_prod/1292/state/1/lga/3680/ward/24115/pu/166135/166135-1677544215.pdf" TargetMode="External"/><Relationship Id="rId2413" Type="http://schemas.openxmlformats.org/officeDocument/2006/relationships/hyperlink" Target="https://docs.inecelectionresults.net/elections_prod/1292/state/01/lga/19/ward/06/pu/010/010-1677371348.pdf" TargetMode="External"/><Relationship Id="rId3743" Type="http://schemas.openxmlformats.org/officeDocument/2006/relationships/hyperlink" Target="https://docs.inecelectionresults.net/elections_prod/1292/state/1/lga/3680/ward/24115/pu/166134/166134-1677543954.pdf" TargetMode="External"/><Relationship Id="rId2414" Type="http://schemas.openxmlformats.org/officeDocument/2006/relationships/hyperlink" Target="https://docs.inecelectionresults.net/elections_prod/1292/state/01/lga/19/ward/06/pu/011/011-1677388836.pdf" TargetMode="External"/><Relationship Id="rId3746" Type="http://schemas.openxmlformats.org/officeDocument/2006/relationships/hyperlink" Target="https://docs.inecelectionresults.net/elections_prod/1292/state/1/lga/3680/ward/24115/pu/166137/166137-1677540609.pdf" TargetMode="External"/><Relationship Id="rId2415" Type="http://schemas.openxmlformats.org/officeDocument/2006/relationships/hyperlink" Target="https://docs.inecelectionresults.net/elections_prod/1292/state/01/lga/19/ward/07/pu/001/001-1677379818.pdf" TargetMode="External"/><Relationship Id="rId3745" Type="http://schemas.openxmlformats.org/officeDocument/2006/relationships/hyperlink" Target="https://docs.inecelectionresults.net/elections_prod/1292/state/1/lga/3680/ward/24115/pu/166136/166136-1677559804.pdf" TargetMode="External"/><Relationship Id="rId2416" Type="http://schemas.openxmlformats.org/officeDocument/2006/relationships/hyperlink" Target="https://docs.inecelectionresults.net/elections_prod/1292/state/01/lga/19/ward/07/pu/002/002-1677376062.pdf" TargetMode="External"/><Relationship Id="rId3748" Type="http://schemas.openxmlformats.org/officeDocument/2006/relationships/hyperlink" Target="https://docs.inecelectionresults.net/elections_prod/1292/state/1/lga/3680/ward/24115/pu/166139/166139-1677560447.pdf" TargetMode="External"/><Relationship Id="rId2417" Type="http://schemas.openxmlformats.org/officeDocument/2006/relationships/hyperlink" Target="https://docs.inecelectionresults.net/elections_prod/1292/state/01/lga/19/ward/07/pu/003/003-1677372212.pdf" TargetMode="External"/><Relationship Id="rId3747" Type="http://schemas.openxmlformats.org/officeDocument/2006/relationships/hyperlink" Target="https://docs.inecelectionresults.net/elections_prod/1292/state/1/lga/3680/ward/24115/pu/166138/166138-1677560277.pdf" TargetMode="External"/><Relationship Id="rId2418" Type="http://schemas.openxmlformats.org/officeDocument/2006/relationships/hyperlink" Target="https://docs.inecelectionresults.net/elections_prod/1292/state/01/lga/19/ward/07/pu/004/004-1677374107.pdf" TargetMode="External"/><Relationship Id="rId2419" Type="http://schemas.openxmlformats.org/officeDocument/2006/relationships/hyperlink" Target="https://docs.inecelectionresults.net/elections_prod/1292/state/01/lga/19/ward/07/pu/005/005-1677375263.pdf" TargetMode="External"/><Relationship Id="rId3749" Type="http://schemas.openxmlformats.org/officeDocument/2006/relationships/hyperlink" Target="https://docs.inecelectionresults.net/elections_prod/1292/state/1/lga/3680/ward/24115/pu/166140/166140-1677543503.pdf" TargetMode="External"/><Relationship Id="rId3740" Type="http://schemas.openxmlformats.org/officeDocument/2006/relationships/hyperlink" Target="https://docs.inecelectionresults.net/elections_prod/1292/state/1/lga/3680/ward/24115/pu/166131/166131-1677542356.pdf" TargetMode="External"/><Relationship Id="rId2410" Type="http://schemas.openxmlformats.org/officeDocument/2006/relationships/hyperlink" Target="https://docs.inecelectionresults.net/elections_prod/1292/state/01/lga/19/ward/06/pu/007/007-1677367714.pdf" TargetMode="External"/><Relationship Id="rId3742" Type="http://schemas.openxmlformats.org/officeDocument/2006/relationships/hyperlink" Target="https://docs.inecelectionresults.net/elections_prod/1292/state/1/lga/3680/ward/24115/pu/166133/166133-1677543751.pdf" TargetMode="External"/><Relationship Id="rId2411" Type="http://schemas.openxmlformats.org/officeDocument/2006/relationships/hyperlink" Target="https://docs.inecelectionresults.net/elections_prod/1292/state/01/lga/19/ward/06/pu/008/008-1677364238.pdf" TargetMode="External"/><Relationship Id="rId3741" Type="http://schemas.openxmlformats.org/officeDocument/2006/relationships/hyperlink" Target="https://docs.inecelectionresults.net/elections_prod/1292/state/1/lga/3680/ward/24115/pu/166132/166132-1677543560.pdf" TargetMode="External"/><Relationship Id="rId1114" Type="http://schemas.openxmlformats.org/officeDocument/2006/relationships/hyperlink" Target="https://docs.inecelectionresults.net/elections_prod/1292/state/1/lga/3672/ward/24031/pu/92168/92168-1677536815.pdf" TargetMode="External"/><Relationship Id="rId2445" Type="http://schemas.openxmlformats.org/officeDocument/2006/relationships/hyperlink" Target="https://docs.inecelectionresults.net/elections_prod/1292/state/01/lga/19/ward/09/pu/013/013-1677399336.pdf" TargetMode="External"/><Relationship Id="rId3777" Type="http://schemas.openxmlformats.org/officeDocument/2006/relationships/hyperlink" Target="https://docs.inecelectionresults.net/elections_prod/1292/state/1/lga/3680/ward/24115/pu/166178/166178-1677570051.pdf" TargetMode="External"/><Relationship Id="rId1115" Type="http://schemas.openxmlformats.org/officeDocument/2006/relationships/hyperlink" Target="https://docs.inecelectionresults.net/elections_prod/1292/state/1/lga/3672/ward/24032/pu/92176/92176-1677533438.pdf" TargetMode="External"/><Relationship Id="rId2446" Type="http://schemas.openxmlformats.org/officeDocument/2006/relationships/hyperlink" Target="https://docs.inecelectionresults.net/elections_prod/1292/state/01/lga/19/ward/09/pu/014/014-1677400351.pdf" TargetMode="External"/><Relationship Id="rId3776" Type="http://schemas.openxmlformats.org/officeDocument/2006/relationships/hyperlink" Target="https://docs.inecelectionresults.net/elections_prod/1292/state/1/lga/3680/ward/24115/pu/166177/166177-1677569812.pdf" TargetMode="External"/><Relationship Id="rId1116" Type="http://schemas.openxmlformats.org/officeDocument/2006/relationships/hyperlink" Target="https://docs.inecelectionresults.net/elections_prod/1292/state/1/lga/3672/ward/24032/pu/92177/92177-1677533673.pdf" TargetMode="External"/><Relationship Id="rId2447" Type="http://schemas.openxmlformats.org/officeDocument/2006/relationships/hyperlink" Target="https://docs.inecelectionresults.net/elections_prod/1292/state/01/lga/19/ward/09/pu/015/015-1677401584.pdf" TargetMode="External"/><Relationship Id="rId3779" Type="http://schemas.openxmlformats.org/officeDocument/2006/relationships/hyperlink" Target="https://docs.inecelectionresults.net/elections_prod/1292/state/1/lga/3680/ward/24115/pu/166181/166181-1677570516.pdf" TargetMode="External"/><Relationship Id="rId1117" Type="http://schemas.openxmlformats.org/officeDocument/2006/relationships/hyperlink" Target="https://docs.inecelectionresults.net/elections_prod/1292/state/1/lga/3672/ward/24032/pu/92178/92178-1677541657.pdf" TargetMode="External"/><Relationship Id="rId2448" Type="http://schemas.openxmlformats.org/officeDocument/2006/relationships/hyperlink" Target="https://docs.inecelectionresults.net/elections_prod/1292/state/01/lga/19/ward/10/pu/002/002-1677397443.pdf" TargetMode="External"/><Relationship Id="rId3778" Type="http://schemas.openxmlformats.org/officeDocument/2006/relationships/hyperlink" Target="https://docs.inecelectionresults.net/elections_prod/1292/state/1/lga/3680/ward/24115/pu/166180/166180-1677570770.pdf" TargetMode="External"/><Relationship Id="rId1118" Type="http://schemas.openxmlformats.org/officeDocument/2006/relationships/hyperlink" Target="https://docs.inecelectionresults.net/elections_prod/1292/state/1/lga/3672/ward/24032/pu/92179/92179-1677534124.pdf" TargetMode="External"/><Relationship Id="rId2449" Type="http://schemas.openxmlformats.org/officeDocument/2006/relationships/hyperlink" Target="https://docs.inecelectionresults.net/elections_prod/1292/state/1/lga/3684/ward/24170/pu/93841/93841-1677519057.pdf" TargetMode="External"/><Relationship Id="rId1119" Type="http://schemas.openxmlformats.org/officeDocument/2006/relationships/hyperlink" Target="https://docs.inecelectionresults.net/elections_prod/1292/state/1/lga/3672/ward/24032/pu/92180/92180-1677534297.pdf" TargetMode="External"/><Relationship Id="rId525" Type="http://schemas.openxmlformats.org/officeDocument/2006/relationships/hyperlink" Target="https://docs.inecelectionresults.net/elections_prod/1292/state/1/lga/3668/ward/23988/pu/91448/91448-1677455795.pdf" TargetMode="External"/><Relationship Id="rId524" Type="http://schemas.openxmlformats.org/officeDocument/2006/relationships/hyperlink" Target="https://docs.inecelectionresults.net/elections_prod/1292/state/01/lga/03/ward/08/pu/004/004-1677408811.pdf" TargetMode="External"/><Relationship Id="rId523" Type="http://schemas.openxmlformats.org/officeDocument/2006/relationships/hyperlink" Target="https://docs.inecelectionresults.net/elections_prod/1292/state/01/lga/03/ward/08/pu/003/003-1677427345.pdf" TargetMode="External"/><Relationship Id="rId522" Type="http://schemas.openxmlformats.org/officeDocument/2006/relationships/hyperlink" Target="https://docs.inecelectionresults.net/elections_prod/1292/state/01/lga/03/ward/08/pu/002/002-1677428193.pdf" TargetMode="External"/><Relationship Id="rId529" Type="http://schemas.openxmlformats.org/officeDocument/2006/relationships/hyperlink" Target="https://docs.inecelectionresults.net/elections_prod/1292/state/01/lga/03/ward/08/pu/010/010-1677405520.pdf" TargetMode="External"/><Relationship Id="rId528" Type="http://schemas.openxmlformats.org/officeDocument/2006/relationships/hyperlink" Target="https://docs.inecelectionresults.net/elections_prod/1292/state/01/lga/03/ward/08/pu/009/009-1677423329.pdf" TargetMode="External"/><Relationship Id="rId527" Type="http://schemas.openxmlformats.org/officeDocument/2006/relationships/hyperlink" Target="https://docs.inecelectionresults.net/elections_prod/1292/state/01/lga/03/ward/08/pu/008/008-1677411122.pdf" TargetMode="External"/><Relationship Id="rId526" Type="http://schemas.openxmlformats.org/officeDocument/2006/relationships/hyperlink" Target="https://docs.inecelectionresults.net/elections_prod/1292/state/01/lga/03/ward/08/pu/007/007-1677413433.pdf" TargetMode="External"/><Relationship Id="rId3771" Type="http://schemas.openxmlformats.org/officeDocument/2006/relationships/hyperlink" Target="https://docs.inecelectionresults.net/elections_prod/1292/state/01/lga/15/ward/02/pu/063/063-1677395008.pdf" TargetMode="External"/><Relationship Id="rId2440" Type="http://schemas.openxmlformats.org/officeDocument/2006/relationships/hyperlink" Target="https://docs.inecelectionresults.net/elections_prod/1292/state/01/lga/19/ward/09/pu/008/008-1677393257.pdf" TargetMode="External"/><Relationship Id="rId3770" Type="http://schemas.openxmlformats.org/officeDocument/2006/relationships/hyperlink" Target="https://docs.inecelectionresults.net/elections_prod/1292/state/1/lga/3680/ward/24115/pu/166169/166169-1677568758.pdf" TargetMode="External"/><Relationship Id="rId521" Type="http://schemas.openxmlformats.org/officeDocument/2006/relationships/hyperlink" Target="https://docs.inecelectionresults.net/elections_prod/1292/state/01/lga/03/ward/07/pu/017/017-1677388869.pdf" TargetMode="External"/><Relationship Id="rId1110" Type="http://schemas.openxmlformats.org/officeDocument/2006/relationships/hyperlink" Target="https://docs.inecelectionresults.net/elections_prod/1292/state/1/lga/3672/ward/24031/pu/92156/92156-1677532866.pdf" TargetMode="External"/><Relationship Id="rId2441" Type="http://schemas.openxmlformats.org/officeDocument/2006/relationships/hyperlink" Target="https://docs.inecelectionresults.net/elections_prod/1292/state/01/lga/19/ward/09/pu/009/009-1677390839.pdf" TargetMode="External"/><Relationship Id="rId3773" Type="http://schemas.openxmlformats.org/officeDocument/2006/relationships/hyperlink" Target="https://docs.inecelectionresults.net/elections_prod/1292/state/1/lga/3680/ward/24115/pu/166173/166173-1677569183.pdf" TargetMode="External"/><Relationship Id="rId520" Type="http://schemas.openxmlformats.org/officeDocument/2006/relationships/hyperlink" Target="https://docs.inecelectionresults.net/elections_prod/1292/state/01/lga/03/ward/07/pu/016/016-1677409804.pdf" TargetMode="External"/><Relationship Id="rId1111" Type="http://schemas.openxmlformats.org/officeDocument/2006/relationships/hyperlink" Target="https://docs.inecelectionresults.net/elections_prod/1292/state/1/lga/3672/ward/24031/pu/92157/92157-1677535769.pdf" TargetMode="External"/><Relationship Id="rId2442" Type="http://schemas.openxmlformats.org/officeDocument/2006/relationships/hyperlink" Target="https://docs.inecelectionresults.net/elections_prod/1292/state/01/lga/19/ward/09/pu/010/010-1677391969.pdf" TargetMode="External"/><Relationship Id="rId3772" Type="http://schemas.openxmlformats.org/officeDocument/2006/relationships/hyperlink" Target="https://docs.inecelectionresults.net/elections_prod/1292/state/1/lga/3680/ward/24115/pu/166171/166171-1677568986.pdf" TargetMode="External"/><Relationship Id="rId1112" Type="http://schemas.openxmlformats.org/officeDocument/2006/relationships/hyperlink" Target="https://docs.inecelectionresults.net/elections_prod/1292/state/1/lga/3672/ward/24031/pu/92158/92158-1677534386.pdf" TargetMode="External"/><Relationship Id="rId2443" Type="http://schemas.openxmlformats.org/officeDocument/2006/relationships/hyperlink" Target="https://docs.inecelectionresults.net/elections_prod/1292/state/01/lga/19/ward/09/pu/011/011-1677366495.pdf" TargetMode="External"/><Relationship Id="rId3775" Type="http://schemas.openxmlformats.org/officeDocument/2006/relationships/hyperlink" Target="https://docs.inecelectionresults.net/elections_prod/1292/state/1/lga/3680/ward/24115/pu/166176/166176-1677569636.pdf" TargetMode="External"/><Relationship Id="rId1113" Type="http://schemas.openxmlformats.org/officeDocument/2006/relationships/hyperlink" Target="https://docs.inecelectionresults.net/elections_prod/1292/state/01/lga/07/ward/04/pu/023/023-1677381079.pdf" TargetMode="External"/><Relationship Id="rId2444" Type="http://schemas.openxmlformats.org/officeDocument/2006/relationships/hyperlink" Target="https://docs.inecelectionresults.net/elections_prod/1292/state/01/lga/19/ward/09/pu/012/012-1677392552.pdf" TargetMode="External"/><Relationship Id="rId3774" Type="http://schemas.openxmlformats.org/officeDocument/2006/relationships/hyperlink" Target="https://docs.inecelectionresults.net/elections_prod/1292/state/1/lga/3680/ward/24115/pu/166175/166175-1677569354.pdf" TargetMode="External"/><Relationship Id="rId1103" Type="http://schemas.openxmlformats.org/officeDocument/2006/relationships/hyperlink" Target="https://docs.inecelectionresults.net/elections_prod/1292/state/1/lga/3672/ward/24031/pu/92144/92144-1677530769.pdf" TargetMode="External"/><Relationship Id="rId2434" Type="http://schemas.openxmlformats.org/officeDocument/2006/relationships/hyperlink" Target="https://docs.inecelectionresults.net/elections_prod/1292/state/01/lga/19/ward/09/pu/002/002-1677402469.pdf" TargetMode="External"/><Relationship Id="rId3766" Type="http://schemas.openxmlformats.org/officeDocument/2006/relationships/hyperlink" Target="https://docs.inecelectionresults.net/elections_prod/1292/state/1/lga/3680/ward/24115/pu/166161/166161-1677543000.pdf" TargetMode="External"/><Relationship Id="rId1104" Type="http://schemas.openxmlformats.org/officeDocument/2006/relationships/hyperlink" Target="https://docs.inecelectionresults.net/elections_prod/1292/state/1/lga/3672/ward/24031/pu/92145/92145-1677527518.pdf" TargetMode="External"/><Relationship Id="rId2435" Type="http://schemas.openxmlformats.org/officeDocument/2006/relationships/hyperlink" Target="https://docs.inecelectionresults.net/elections_prod/1292/state/01/lga/19/ward/09/pu/003/003-1677382473.pdf" TargetMode="External"/><Relationship Id="rId3765" Type="http://schemas.openxmlformats.org/officeDocument/2006/relationships/hyperlink" Target="https://docs.inecelectionresults.net/elections_prod/1292/state/1/lga/3680/ward/24115/pu/166159/166159-1677567531.pdf" TargetMode="External"/><Relationship Id="rId1105" Type="http://schemas.openxmlformats.org/officeDocument/2006/relationships/hyperlink" Target="https://docs.inecelectionresults.net/elections_prod/1292/state/1/lga/3672/ward/24031/pu/92148/92148-1677582828.pdf" TargetMode="External"/><Relationship Id="rId2436" Type="http://schemas.openxmlformats.org/officeDocument/2006/relationships/hyperlink" Target="https://docs.inecelectionresults.net/elections_prod/1292/state/01/lga/19/ward/09/pu/004/004-1677380017.pdf" TargetMode="External"/><Relationship Id="rId3768" Type="http://schemas.openxmlformats.org/officeDocument/2006/relationships/hyperlink" Target="https://docs.inecelectionresults.net/elections_prod/1292/state/01/lga/15/ward/02/pu/060/060-1677401382.pdf" TargetMode="External"/><Relationship Id="rId1106" Type="http://schemas.openxmlformats.org/officeDocument/2006/relationships/hyperlink" Target="https://docs.inecelectionresults.net/elections_prod/1292/state/1/lga/3672/ward/24031/pu/92149/92149-1677533095.pdf" TargetMode="External"/><Relationship Id="rId2437" Type="http://schemas.openxmlformats.org/officeDocument/2006/relationships/hyperlink" Target="https://docs.inecelectionresults.net/elections_prod/1292/state/01/lga/19/ward/09/pu/005/005-1677397163.pdf" TargetMode="External"/><Relationship Id="rId3767" Type="http://schemas.openxmlformats.org/officeDocument/2006/relationships/hyperlink" Target="https://docs.inecelectionresults.net/elections_prod/1292/state/1/lga/3680/ward/24115/pu/166166/166166-1677568487.pdf" TargetMode="External"/><Relationship Id="rId1107" Type="http://schemas.openxmlformats.org/officeDocument/2006/relationships/hyperlink" Target="https://docs.inecelectionresults.net/elections_prod/1292/state/1/lga/3672/ward/24031/pu/92151/92151-1677528915.pdf" TargetMode="External"/><Relationship Id="rId2438" Type="http://schemas.openxmlformats.org/officeDocument/2006/relationships/hyperlink" Target="https://docs.inecelectionresults.net/elections_prod/1292/state/01/lga/19/ward/09/pu/006/006-1677393989.pdf" TargetMode="External"/><Relationship Id="rId1108" Type="http://schemas.openxmlformats.org/officeDocument/2006/relationships/hyperlink" Target="https://docs.inecelectionresults.net/elections_prod/1292/state/1/lga/3672/ward/24031/pu/92154/92154-1677531965.pdf" TargetMode="External"/><Relationship Id="rId2439" Type="http://schemas.openxmlformats.org/officeDocument/2006/relationships/hyperlink" Target="https://docs.inecelectionresults.net/elections_prod/1292/state/01/lga/19/ward/09/pu/007/007-1677396655.pdf" TargetMode="External"/><Relationship Id="rId3769" Type="http://schemas.openxmlformats.org/officeDocument/2006/relationships/hyperlink" Target="https://docs.inecelectionresults.net/elections_prod/1292/state/01/lga/15/ward/02/pu/061/061-1677405604.pdf" TargetMode="External"/><Relationship Id="rId1109" Type="http://schemas.openxmlformats.org/officeDocument/2006/relationships/hyperlink" Target="https://docs.inecelectionresults.net/elections_prod/1292/state/1/lga/3672/ward/24031/pu/92155/92155-1677532267.pdf" TargetMode="External"/><Relationship Id="rId519" Type="http://schemas.openxmlformats.org/officeDocument/2006/relationships/hyperlink" Target="https://docs.inecelectionresults.net/elections_prod/1292/state/01/lga/03/ward/07/pu/015/015-1677387350.pdf" TargetMode="External"/><Relationship Id="rId514" Type="http://schemas.openxmlformats.org/officeDocument/2006/relationships/hyperlink" Target="https://docs.inecelectionresults.net/elections_prod/1292/state/01/lga/03/ward/07/pu/010/010-1677391244.pdf" TargetMode="External"/><Relationship Id="rId513" Type="http://schemas.openxmlformats.org/officeDocument/2006/relationships/hyperlink" Target="https://docs.inecelectionresults.net/elections_prod/1292/state/01/lga/03/ward/07/pu/008/008-1677378632.pdf" TargetMode="External"/><Relationship Id="rId512" Type="http://schemas.openxmlformats.org/officeDocument/2006/relationships/hyperlink" Target="https://docs.inecelectionresults.net/elections_prod/1292/state/01/lga/03/ward/07/pu/007/007-1677407782.pdf" TargetMode="External"/><Relationship Id="rId511" Type="http://schemas.openxmlformats.org/officeDocument/2006/relationships/hyperlink" Target="https://docs.inecelectionresults.net/elections_prod/1292/state/01/lga/03/ward/07/pu/006/006-1677408404.pdf" TargetMode="External"/><Relationship Id="rId518" Type="http://schemas.openxmlformats.org/officeDocument/2006/relationships/hyperlink" Target="https://docs.inecelectionresults.net/elections_prod/1292/state/01/lga/03/ward/07/pu/014/014-1677381941.pdf" TargetMode="External"/><Relationship Id="rId517" Type="http://schemas.openxmlformats.org/officeDocument/2006/relationships/hyperlink" Target="https://docs.inecelectionresults.net/elections_prod/1292/state/01/lga/03/ward/07/pu/013/013-1677389063.pdf" TargetMode="External"/><Relationship Id="rId516" Type="http://schemas.openxmlformats.org/officeDocument/2006/relationships/hyperlink" Target="https://docs.inecelectionresults.net/elections_prod/1292/state/01/lga/03/ward/07/pu/012/012-1677390374.pdf" TargetMode="External"/><Relationship Id="rId515" Type="http://schemas.openxmlformats.org/officeDocument/2006/relationships/hyperlink" Target="https://docs.inecelectionresults.net/elections_prod/1292/state/01/lga/03/ward/07/pu/011/011-1677382378.pdf" TargetMode="External"/><Relationship Id="rId3760" Type="http://schemas.openxmlformats.org/officeDocument/2006/relationships/hyperlink" Target="https://docs.inecelectionresults.net/elections_prod/1292/state/1/lga/3680/ward/24115/pu/166152/166152-1677542455.pdf" TargetMode="External"/><Relationship Id="rId510" Type="http://schemas.openxmlformats.org/officeDocument/2006/relationships/hyperlink" Target="https://docs.inecelectionresults.net/elections_prod/1292/state/01/lga/03/ward/07/pu/005/005-1677420488.pdf" TargetMode="External"/><Relationship Id="rId2430" Type="http://schemas.openxmlformats.org/officeDocument/2006/relationships/hyperlink" Target="https://docs.inecelectionresults.net/elections_prod/1292/state/01/lga/19/ward/08/pu/007/007-1677396374.pdf" TargetMode="External"/><Relationship Id="rId3762" Type="http://schemas.openxmlformats.org/officeDocument/2006/relationships/hyperlink" Target="https://docs.inecelectionresults.net/elections_prod/1292/state/1/lga/3680/ward/24115/pu/166155/166155-1677563695.pdf" TargetMode="External"/><Relationship Id="rId1100" Type="http://schemas.openxmlformats.org/officeDocument/2006/relationships/hyperlink" Target="https://docs.inecelectionresults.net/elections_prod/1292/state/1/lga/3672/ward/24030/pu/92141/92141-1677491089.pdf" TargetMode="External"/><Relationship Id="rId2431" Type="http://schemas.openxmlformats.org/officeDocument/2006/relationships/hyperlink" Target="https://docs.inecelectionresults.net/elections_prod/1292/state/01/lga/19/ward/08/pu/008/008-1677373349.pdf" TargetMode="External"/><Relationship Id="rId3761" Type="http://schemas.openxmlformats.org/officeDocument/2006/relationships/hyperlink" Target="https://docs.inecelectionresults.net/elections_prod/1292/state/1/lga/3680/ward/24115/pu/166154/166154-1677563428.pdf" TargetMode="External"/><Relationship Id="rId1101" Type="http://schemas.openxmlformats.org/officeDocument/2006/relationships/hyperlink" Target="https://docs.inecelectionresults.net/elections_prod/1292/state/1/lga/3672/ward/24031/pu/92142/92142-1677582541.pdf" TargetMode="External"/><Relationship Id="rId2432" Type="http://schemas.openxmlformats.org/officeDocument/2006/relationships/hyperlink" Target="https://docs.inecelectionresults.net/elections_prod/1292/state/01/lga/19/ward/08/pu/009/009-1677369230.pdf" TargetMode="External"/><Relationship Id="rId3764" Type="http://schemas.openxmlformats.org/officeDocument/2006/relationships/hyperlink" Target="https://docs.inecelectionresults.net/elections_prod/1292/state/1/lga/3680/ward/24115/pu/166158/166158-1677564143.pdf" TargetMode="External"/><Relationship Id="rId1102" Type="http://schemas.openxmlformats.org/officeDocument/2006/relationships/hyperlink" Target="https://docs.inecelectionresults.net/elections_prod/1292/state/1/lga/3672/ward/24031/pu/92143/92143-1677545136.pdf" TargetMode="External"/><Relationship Id="rId2433" Type="http://schemas.openxmlformats.org/officeDocument/2006/relationships/hyperlink" Target="https://docs.inecelectionresults.net/elections_prod/1292/state/01/lga/19/ward/09/pu/001/001-1677390367.pdf" TargetMode="External"/><Relationship Id="rId3763" Type="http://schemas.openxmlformats.org/officeDocument/2006/relationships/hyperlink" Target="https://docs.inecelectionresults.net/elections_prod/1292/state/1/lga/3680/ward/24115/pu/166156/166156-1677563976.pdf" TargetMode="External"/><Relationship Id="rId3711" Type="http://schemas.openxmlformats.org/officeDocument/2006/relationships/hyperlink" Target="https://inec-cvr-cache.s3.eu-west-1.amazonaws.com/cached/results/661424/result_79969_1677547258_thumb.jpg" TargetMode="External"/><Relationship Id="rId3710" Type="http://schemas.openxmlformats.org/officeDocument/2006/relationships/hyperlink" Target="https://docs.inecelectionresults.net/elections_prod/1292/state/01/lga/15/ward/11/pu/013/013-1677415163.pdf" TargetMode="External"/><Relationship Id="rId3713" Type="http://schemas.openxmlformats.org/officeDocument/2006/relationships/hyperlink" Target="https://inec-cvr-cache.s3.eu-west-1.amazonaws.com/cached/results/661426/result_80103_1677507081_thumb.jpg" TargetMode="External"/><Relationship Id="rId3712" Type="http://schemas.openxmlformats.org/officeDocument/2006/relationships/hyperlink" Target="https://inec-cvr-cache.s3.eu-west-1.amazonaws.com/cached/results/661425/result_79970_1677548585_thumb.jpg" TargetMode="External"/><Relationship Id="rId3715" Type="http://schemas.openxmlformats.org/officeDocument/2006/relationships/hyperlink" Target="https://inec-cvr-cache.s3.eu-west-1.amazonaws.com/cached/results/661428/result_80051_1677496823_thumb.jpg" TargetMode="External"/><Relationship Id="rId3714" Type="http://schemas.openxmlformats.org/officeDocument/2006/relationships/hyperlink" Target="https://inec-cvr-cache.s3.eu-west-1.amazonaws.com/cached/results/661427/result_80050_1677496459_thumb.jpg" TargetMode="External"/><Relationship Id="rId3717" Type="http://schemas.openxmlformats.org/officeDocument/2006/relationships/hyperlink" Target="https://inec-cvr-cache.s3.eu-west-1.amazonaws.com/cached/results/661430/result_80064_1677593402_thumb.jpg" TargetMode="External"/><Relationship Id="rId3716" Type="http://schemas.openxmlformats.org/officeDocument/2006/relationships/hyperlink" Target="https://inec-cvr-cache.s3.eu-west-1.amazonaws.com/cached/results/661429/result_80052_1677505789_thumb.jpg" TargetMode="External"/><Relationship Id="rId3719" Type="http://schemas.openxmlformats.org/officeDocument/2006/relationships/hyperlink" Target="https://docs.inecelectionresults.net/elections_prod/1292/state/01/lga/15/ward/01/pu/010/010-1677402557.pdf" TargetMode="External"/><Relationship Id="rId3718" Type="http://schemas.openxmlformats.org/officeDocument/2006/relationships/hyperlink" Target="https://docs.inecelectionresults.net/elections_prod/1292/state/01/lga/15/ward/01/pu/009/009-1677401685.pdf" TargetMode="External"/><Relationship Id="rId3700" Type="http://schemas.openxmlformats.org/officeDocument/2006/relationships/hyperlink" Target="https://docs.inecelectionresults.net/elections_prod/1292/state/01/lga/14/ward/02/pu/009/009-1677404889.pdf" TargetMode="External"/><Relationship Id="rId3702" Type="http://schemas.openxmlformats.org/officeDocument/2006/relationships/hyperlink" Target="https://docs.inecelectionresults.net/elections_prod/1292/state/01/lga/14/ward/02/pu/011/011-1677412004.pdf" TargetMode="External"/><Relationship Id="rId3701" Type="http://schemas.openxmlformats.org/officeDocument/2006/relationships/hyperlink" Target="https://docs.inecelectionresults.net/elections_prod/1292/state/01/lga/14/ward/02/pu/010/010-1677412571.pdf" TargetMode="External"/><Relationship Id="rId3704" Type="http://schemas.openxmlformats.org/officeDocument/2006/relationships/hyperlink" Target="https://docs.inecelectionresults.net/elections_prod/1292/state/01/lga/14/ward/08/pu/011/011-1677402914.pdf" TargetMode="External"/><Relationship Id="rId3703" Type="http://schemas.openxmlformats.org/officeDocument/2006/relationships/hyperlink" Target="https://docs.inecelectionresults.net/elections_prod/1292/state/01/lga/14/ward/02/pu/013/013-1677411948.pdf" TargetMode="External"/><Relationship Id="rId3706" Type="http://schemas.openxmlformats.org/officeDocument/2006/relationships/hyperlink" Target="https://docs.inecelectionresults.net/elections_prod/1292/state/01/lga/14/ward/08/pu/013/013-1677405024.pdf" TargetMode="External"/><Relationship Id="rId3705" Type="http://schemas.openxmlformats.org/officeDocument/2006/relationships/hyperlink" Target="https://docs.inecelectionresults.net/elections_prod/1292/state/01/lga/14/ward/08/pu/012/012-1677402825.pdf" TargetMode="External"/><Relationship Id="rId3708" Type="http://schemas.openxmlformats.org/officeDocument/2006/relationships/hyperlink" Target="https://docs.inecelectionresults.net/elections_prod/1292/state/01/lga/14/ward/08/pu/015/015-1677407598.pdf" TargetMode="External"/><Relationship Id="rId3707" Type="http://schemas.openxmlformats.org/officeDocument/2006/relationships/hyperlink" Target="https://docs.inecelectionresults.net/elections_prod/1292/state/01/lga/14/ward/08/pu/014/014-1677410190.pdf" TargetMode="External"/><Relationship Id="rId3709" Type="http://schemas.openxmlformats.org/officeDocument/2006/relationships/hyperlink" Target="https://inec-cvr-cache.s3.eu-west-1.amazonaws.com/cached/results/661417/result_79622_1677577185_thumb.jpg" TargetMode="External"/><Relationship Id="rId2401" Type="http://schemas.openxmlformats.org/officeDocument/2006/relationships/hyperlink" Target="https://docs.inecelectionresults.net/elections_prod/1292/state/01/lga/19/ward/04/pu/017/017-1677376918.pdf" TargetMode="External"/><Relationship Id="rId3733" Type="http://schemas.openxmlformats.org/officeDocument/2006/relationships/hyperlink" Target="https://docs.inecelectionresults.net/elections_prod/1292/state/01/lga/15/ward/07/pu/036/036-1677412658.pdf" TargetMode="External"/><Relationship Id="rId2402" Type="http://schemas.openxmlformats.org/officeDocument/2006/relationships/hyperlink" Target="https://docs.inecelectionresults.net/elections_prod/1292/state/01/lga/19/ward/04/pu/018/018-1677376019.pdf" TargetMode="External"/><Relationship Id="rId3732" Type="http://schemas.openxmlformats.org/officeDocument/2006/relationships/hyperlink" Target="https://docs.inecelectionresults.net/elections_prod/1292/state/01/lga/15/ward/07/pu/035/035-1677422005.pdf" TargetMode="External"/><Relationship Id="rId2403" Type="http://schemas.openxmlformats.org/officeDocument/2006/relationships/hyperlink" Target="https://docs.inecelectionresults.net/elections_prod/1292/state/01/lga/19/ward/05/pu/001/001-1677395024.pdf" TargetMode="External"/><Relationship Id="rId3735" Type="http://schemas.openxmlformats.org/officeDocument/2006/relationships/hyperlink" Target="https://docs.inecelectionresults.net/elections_prod/1292/state/01/lga/15/ward/07/pu/038/038-1677421369.pdf" TargetMode="External"/><Relationship Id="rId2404" Type="http://schemas.openxmlformats.org/officeDocument/2006/relationships/hyperlink" Target="https://docs.inecelectionresults.net/elections_prod/1292/state/01/lga/19/ward/05/pu/002/002-1677396381.pdf" TargetMode="External"/><Relationship Id="rId3734" Type="http://schemas.openxmlformats.org/officeDocument/2006/relationships/hyperlink" Target="https://docs.inecelectionresults.net/elections_prod/1292/state/01/lga/15/ward/07/pu/037/037-1677410713.pdf" TargetMode="External"/><Relationship Id="rId2405" Type="http://schemas.openxmlformats.org/officeDocument/2006/relationships/hyperlink" Target="https://docs.inecelectionresults.net/elections_prod/1292/state/01/lga/19/ward/05/pu/006/006-1677398619.pdf" TargetMode="External"/><Relationship Id="rId3737" Type="http://schemas.openxmlformats.org/officeDocument/2006/relationships/hyperlink" Target="https://docs.inecelectionresults.net/elections_prod/1292/state/1/lga/3680/ward/24123/pu/166274/166274-1677599883.pdf" TargetMode="External"/><Relationship Id="rId2406" Type="http://schemas.openxmlformats.org/officeDocument/2006/relationships/hyperlink" Target="https://docs.inecelectionresults.net/elections_prod/1292/state/01/lga/19/ward/06/pu/001/001-1677366571.pdf" TargetMode="External"/><Relationship Id="rId3736" Type="http://schemas.openxmlformats.org/officeDocument/2006/relationships/hyperlink" Target="https://docs.inecelectionresults.net/elections_prod/1292/state/1/lga/3680/ward/24123/pu/166273/166273-1677621190.pdf" TargetMode="External"/><Relationship Id="rId2407" Type="http://schemas.openxmlformats.org/officeDocument/2006/relationships/hyperlink" Target="https://docs.inecelectionresults.net/elections_prod/1292/state/01/lga/19/ward/06/pu/004/004-1677365604.pdf" TargetMode="External"/><Relationship Id="rId3739" Type="http://schemas.openxmlformats.org/officeDocument/2006/relationships/hyperlink" Target="https://docs.inecelectionresults.net/elections_prod/1292/state/1/lga/3680/ward/24115/pu/166130/166130-1677542233.pdf" TargetMode="External"/><Relationship Id="rId2408" Type="http://schemas.openxmlformats.org/officeDocument/2006/relationships/hyperlink" Target="https://docs.inecelectionresults.net/elections_prod/1292/state/01/lga/19/ward/06/pu/005/005-1677368771.pdf" TargetMode="External"/><Relationship Id="rId3738" Type="http://schemas.openxmlformats.org/officeDocument/2006/relationships/hyperlink" Target="https://docs.inecelectionresults.net/elections_prod/1292/state/1/lga/3680/ward/24115/pu/166129/166129-1677542043.pdf" TargetMode="External"/><Relationship Id="rId2409" Type="http://schemas.openxmlformats.org/officeDocument/2006/relationships/hyperlink" Target="https://docs.inecelectionresults.net/elections_prod/1292/state/01/lga/19/ward/06/pu/006/006-1677369927.pdf" TargetMode="External"/><Relationship Id="rId3731" Type="http://schemas.openxmlformats.org/officeDocument/2006/relationships/hyperlink" Target="https://docs.inecelectionresults.net/elections_prod/1292/state/01/lga/15/ward/07/pu/034/034-1677425756.pdf" TargetMode="External"/><Relationship Id="rId2400" Type="http://schemas.openxmlformats.org/officeDocument/2006/relationships/hyperlink" Target="https://docs.inecelectionresults.net/elections_prod/1292/state/01/lga/19/ward/04/pu/015/015-1677379769.pdf" TargetMode="External"/><Relationship Id="rId3730" Type="http://schemas.openxmlformats.org/officeDocument/2006/relationships/hyperlink" Target="https://docs.inecelectionresults.net/elections_prod/1292/state/01/lga/15/ward/07/pu/033/033-1677410801.pdf" TargetMode="External"/><Relationship Id="rId3722" Type="http://schemas.openxmlformats.org/officeDocument/2006/relationships/hyperlink" Target="https://inec-cvr-cache.s3.eu-west-1.amazonaws.com/cached/results/661435/result_79986_1677569079_thumb.jpg" TargetMode="External"/><Relationship Id="rId3721" Type="http://schemas.openxmlformats.org/officeDocument/2006/relationships/hyperlink" Target="https://inec-cvr-cache.s3.eu-west-1.amazonaws.com/cached/results/661434/result_79985_1677572350_thumb.jpg" TargetMode="External"/><Relationship Id="rId3724" Type="http://schemas.openxmlformats.org/officeDocument/2006/relationships/hyperlink" Target="https://docs.inecelectionresults.net/elections_prod/1292/state/01/lga/15/ward/07/pu/026/026-1677415922.pdf" TargetMode="External"/><Relationship Id="rId3723" Type="http://schemas.openxmlformats.org/officeDocument/2006/relationships/hyperlink" Target="https://docs.inecelectionresults.net/elections_prod/1292/state/01/lga/15/ward/07/pu/025/025-1677423109.pdf" TargetMode="External"/><Relationship Id="rId3726" Type="http://schemas.openxmlformats.org/officeDocument/2006/relationships/hyperlink" Target="https://docs.inecelectionresults.net/elections_prod/1292/state/01/lga/15/ward/07/pu/029/029-1677409808.pdf" TargetMode="External"/><Relationship Id="rId3725" Type="http://schemas.openxmlformats.org/officeDocument/2006/relationships/hyperlink" Target="https://docs.inecelectionresults.net/elections_prod/1292/state/01/lga/15/ward/07/pu/028/028-1677416090.pdf" TargetMode="External"/><Relationship Id="rId3728" Type="http://schemas.openxmlformats.org/officeDocument/2006/relationships/hyperlink" Target="https://docs.inecelectionresults.net/elections_prod/1292/state/01/lga/15/ward/07/pu/031/031-1677424310.pdf" TargetMode="External"/><Relationship Id="rId3727" Type="http://schemas.openxmlformats.org/officeDocument/2006/relationships/hyperlink" Target="https://docs.inecelectionresults.net/elections_prod/1292/state/01/lga/15/ward/07/pu/030/030-1677421052.pdf" TargetMode="External"/><Relationship Id="rId3729" Type="http://schemas.openxmlformats.org/officeDocument/2006/relationships/hyperlink" Target="https://docs.inecelectionresults.net/elections_prod/1292/state/01/lga/15/ward/07/pu/032/032-1677425300.pdf" TargetMode="External"/><Relationship Id="rId3720" Type="http://schemas.openxmlformats.org/officeDocument/2006/relationships/hyperlink" Target="https://docs.inecelectionresults.net/elections_prod/1292/state/01/lga/15/ward/01/pu/011/011-1677402479.pdf" TargetMode="External"/><Relationship Id="rId590" Type="http://schemas.openxmlformats.org/officeDocument/2006/relationships/hyperlink" Target="https://docs.inecelectionresults.net/elections_prod/1292/state/01/lga/03/ward/12/pu/005/005-1677385667.pdf" TargetMode="External"/><Relationship Id="rId589" Type="http://schemas.openxmlformats.org/officeDocument/2006/relationships/hyperlink" Target="https://docs.inecelectionresults.net/elections_prod/1292/state/01/lga/03/ward/12/pu/004/004-1677367532.pdf" TargetMode="External"/><Relationship Id="rId588" Type="http://schemas.openxmlformats.org/officeDocument/2006/relationships/hyperlink" Target="https://docs.inecelectionresults.net/elections_prod/1292/state/01/lga/03/ward/12/pu/003/003-1677366159.pdf" TargetMode="External"/><Relationship Id="rId1170" Type="http://schemas.openxmlformats.org/officeDocument/2006/relationships/hyperlink" Target="https://docs.inecelectionresults.net/elections_prod/1292/state/01/lga/07/ward/07/pu/012/012-1677382686.pdf" TargetMode="External"/><Relationship Id="rId1171" Type="http://schemas.openxmlformats.org/officeDocument/2006/relationships/hyperlink" Target="https://docs.inecelectionresults.net/elections_prod/1292/state/1/lga/3672/ward/24034/pu/92243/92243-1677509032.pdf" TargetMode="External"/><Relationship Id="rId583" Type="http://schemas.openxmlformats.org/officeDocument/2006/relationships/hyperlink" Target="https://docs.inecelectionresults.net/elections_prod/1292/state/1/lga/3668/ward/23991/pu/91519/91519-1677465750.pdf" TargetMode="External"/><Relationship Id="rId1172" Type="http://schemas.openxmlformats.org/officeDocument/2006/relationships/hyperlink" Target="https://docs.inecelectionresults.net/elections_prod/1292/state/01/lga/07/ward/07/pu/014/014-1677378551.pdf" TargetMode="External"/><Relationship Id="rId582" Type="http://schemas.openxmlformats.org/officeDocument/2006/relationships/hyperlink" Target="https://docs.inecelectionresults.net/elections_prod/1292/state/1/lga/3668/ward/23991/pu/91516/91516-1677461927.pdf" TargetMode="External"/><Relationship Id="rId1173" Type="http://schemas.openxmlformats.org/officeDocument/2006/relationships/hyperlink" Target="https://docs.inecelectionresults.net/elections_prod/1292/state/01/lga/07/ward/07/pu/015/015-1677397864.pdf" TargetMode="External"/><Relationship Id="rId581" Type="http://schemas.openxmlformats.org/officeDocument/2006/relationships/hyperlink" Target="https://docs.inecelectionresults.net/elections_prod/1292/state/1/lga/3668/ward/23991/pu/91515/91515-1677466228.pdf" TargetMode="External"/><Relationship Id="rId1174" Type="http://schemas.openxmlformats.org/officeDocument/2006/relationships/hyperlink" Target="https://docs.inecelectionresults.net/elections_prod/1292/state/01/lga/07/ward/07/pu/016/016-1677395097.pdf" TargetMode="External"/><Relationship Id="rId580" Type="http://schemas.openxmlformats.org/officeDocument/2006/relationships/hyperlink" Target="https://docs.inecelectionresults.net/elections_prod/1292/state/1/lga/3668/ward/23991/pu/91513/91513-1677460469.pdf" TargetMode="External"/><Relationship Id="rId1175" Type="http://schemas.openxmlformats.org/officeDocument/2006/relationships/hyperlink" Target="https://docs.inecelectionresults.net/elections_prod/1292/state/01/lga/07/ward/07/pu/018/018-1677375574.pdf" TargetMode="External"/><Relationship Id="rId587" Type="http://schemas.openxmlformats.org/officeDocument/2006/relationships/hyperlink" Target="https://docs.inecelectionresults.net/elections_prod/1292/state/01/lga/03/ward/12/pu/002/002-1677375711.pdf" TargetMode="External"/><Relationship Id="rId1176" Type="http://schemas.openxmlformats.org/officeDocument/2006/relationships/hyperlink" Target="https://docs.inecelectionresults.net/elections_prod/1292/state/01/lga/07/ward/07/pu/019/019-1677379557.pdf" TargetMode="External"/><Relationship Id="rId586" Type="http://schemas.openxmlformats.org/officeDocument/2006/relationships/hyperlink" Target="https://docs.inecelectionresults.net/elections_prod/1292/state/1/lga/3668/ward/23991/pu/91522/91522-1677464573.pdf" TargetMode="External"/><Relationship Id="rId1177" Type="http://schemas.openxmlformats.org/officeDocument/2006/relationships/hyperlink" Target="https://docs.inecelectionresults.net/elections_prod/1292/state/01/lga/07/ward/07/pu/020/020-1677383089.pdf" TargetMode="External"/><Relationship Id="rId585" Type="http://schemas.openxmlformats.org/officeDocument/2006/relationships/hyperlink" Target="https://docs.inecelectionresults.net/elections_prod/1292/state/1/lga/3668/ward/23991/pu/91521/91521-1677465924.pdf" TargetMode="External"/><Relationship Id="rId1178" Type="http://schemas.openxmlformats.org/officeDocument/2006/relationships/hyperlink" Target="https://docs.inecelectionresults.net/elections_prod/1292/state/01/lga/07/ward/07/pu/021/021-1677375874.pdf" TargetMode="External"/><Relationship Id="rId584" Type="http://schemas.openxmlformats.org/officeDocument/2006/relationships/hyperlink" Target="https://docs.inecelectionresults.net/elections_prod/1292/state/1/lga/3668/ward/23991/pu/91520/91520-1677465060.pdf" TargetMode="External"/><Relationship Id="rId1179" Type="http://schemas.openxmlformats.org/officeDocument/2006/relationships/hyperlink" Target="https://docs.inecelectionresults.net/elections_prod/1292/state/01/lga/07/ward/07/pu/022/022-1677382198.pdf" TargetMode="External"/><Relationship Id="rId1169" Type="http://schemas.openxmlformats.org/officeDocument/2006/relationships/hyperlink" Target="https://docs.inecelectionresults.net/elections_prod/1292/state/01/lga/07/ward/07/pu/011/011-1677381890.pdf" TargetMode="External"/><Relationship Id="rId579" Type="http://schemas.openxmlformats.org/officeDocument/2006/relationships/hyperlink" Target="https://docs.inecelectionresults.net/elections_prod/1292/state/1/lga/3668/ward/23991/pu/91512/91512-1677460717.pdf" TargetMode="External"/><Relationship Id="rId578" Type="http://schemas.openxmlformats.org/officeDocument/2006/relationships/hyperlink" Target="https://docs.inecelectionresults.net/elections_prod/1292/state/1/lga/3668/ward/23991/pu/91511/91511-1677464179.pdf" TargetMode="External"/><Relationship Id="rId577" Type="http://schemas.openxmlformats.org/officeDocument/2006/relationships/hyperlink" Target="https://docs.inecelectionresults.net/elections_prod/1292/state/1/lga/3668/ward/23991/pu/91510/91510-1677463231.pdf" TargetMode="External"/><Relationship Id="rId2490" Type="http://schemas.openxmlformats.org/officeDocument/2006/relationships/hyperlink" Target="https://docs.inecelectionresults.net/elections_prod/1292/state/1/lga/3685/ward/24174/pu/93896/93896-1677534879.pdf" TargetMode="External"/><Relationship Id="rId1160" Type="http://schemas.openxmlformats.org/officeDocument/2006/relationships/hyperlink" Target="https://docs.inecelectionresults.net/elections_prod/1292/state/1/lga/3672/ward/24034/pu/92232/92232-1677518517.pdf" TargetMode="External"/><Relationship Id="rId2491" Type="http://schemas.openxmlformats.org/officeDocument/2006/relationships/hyperlink" Target="https://docs.inecelectionresults.net/elections_prod/1292/state/1/lga/3685/ward/24174/pu/93897/93897-1677530196.pdf" TargetMode="External"/><Relationship Id="rId572" Type="http://schemas.openxmlformats.org/officeDocument/2006/relationships/hyperlink" Target="https://docs.inecelectionresults.net/elections_prod/1292/state/1/lga/3668/ward/23991/pu/91505/91505-1677462112.pdf" TargetMode="External"/><Relationship Id="rId1161" Type="http://schemas.openxmlformats.org/officeDocument/2006/relationships/hyperlink" Target="https://docs.inecelectionresults.net/elections_prod/1292/state/01/lga/07/ward/07/pu/003/003-1677380989.pdf" TargetMode="External"/><Relationship Id="rId2492" Type="http://schemas.openxmlformats.org/officeDocument/2006/relationships/hyperlink" Target="https://docs.inecelectionresults.net/elections_prod/1292/state/01/lga/20/ward/05/pu/001/001-1677397394.pdf" TargetMode="External"/><Relationship Id="rId571" Type="http://schemas.openxmlformats.org/officeDocument/2006/relationships/hyperlink" Target="https://docs.inecelectionresults.net/elections_prod/1292/state/1/lga/3668/ward/23991/pu/91504/91504-1677462481.pdf" TargetMode="External"/><Relationship Id="rId1162" Type="http://schemas.openxmlformats.org/officeDocument/2006/relationships/hyperlink" Target="https://docs.inecelectionresults.net/elections_prod/1292/state/1/lga/3672/ward/24034/pu/92234/92234-1677510697.pdf" TargetMode="External"/><Relationship Id="rId2493" Type="http://schemas.openxmlformats.org/officeDocument/2006/relationships/hyperlink" Target="https://docs.inecelectionresults.net/elections_prod/1292/state/01/lga/20/ward/05/pu/002/002-1677403179.pdf" TargetMode="External"/><Relationship Id="rId570" Type="http://schemas.openxmlformats.org/officeDocument/2006/relationships/hyperlink" Target="https://docs.inecelectionresults.net/elections_prod/1292/state/1/lga/3668/ward/23991/pu/91503/91503-1677461114.pdf" TargetMode="External"/><Relationship Id="rId1163" Type="http://schemas.openxmlformats.org/officeDocument/2006/relationships/hyperlink" Target="https://docs.inecelectionresults.net/elections_prod/1292/state/01/lga/07/ward/07/pu/005/005-1677381780.pdf" TargetMode="External"/><Relationship Id="rId2494" Type="http://schemas.openxmlformats.org/officeDocument/2006/relationships/hyperlink" Target="https://docs.inecelectionresults.net/elections_prod/1292/state/01/lga/20/ward/05/pu/003/003-1677397935.pdf" TargetMode="External"/><Relationship Id="rId1164" Type="http://schemas.openxmlformats.org/officeDocument/2006/relationships/hyperlink" Target="https://docs.inecelectionresults.net/elections_prod/1292/state/1/lga/3672/ward/24034/pu/92236/92236-1677507804.pdf" TargetMode="External"/><Relationship Id="rId2495" Type="http://schemas.openxmlformats.org/officeDocument/2006/relationships/hyperlink" Target="https://docs.inecelectionresults.net/elections_prod/1292/state/01/lga/20/ward/05/pu/004/004-1677398977.pdf" TargetMode="External"/><Relationship Id="rId576" Type="http://schemas.openxmlformats.org/officeDocument/2006/relationships/hyperlink" Target="https://docs.inecelectionresults.net/elections_prod/1292/state/1/lga/3668/ward/23991/pu/91509/91509-1677462318.pdf" TargetMode="External"/><Relationship Id="rId1165" Type="http://schemas.openxmlformats.org/officeDocument/2006/relationships/hyperlink" Target="https://docs.inecelectionresults.net/elections_prod/1292/state/01/lga/07/ward/07/pu/007/007-1677382351.pdf" TargetMode="External"/><Relationship Id="rId2496" Type="http://schemas.openxmlformats.org/officeDocument/2006/relationships/hyperlink" Target="https://docs.inecelectionresults.net/elections_prod/1292/state/01/lga/20/ward/05/pu/006/006-1677404889.pdf" TargetMode="External"/><Relationship Id="rId575" Type="http://schemas.openxmlformats.org/officeDocument/2006/relationships/hyperlink" Target="https://docs.inecelectionresults.net/elections_prod/1292/state/1/lga/3668/ward/23991/pu/91508/91508-1677464083.pdf" TargetMode="External"/><Relationship Id="rId1166" Type="http://schemas.openxmlformats.org/officeDocument/2006/relationships/hyperlink" Target="https://docs.inecelectionresults.net/elections_prod/1292/state/01/lga/07/ward/07/pu/008/008-1677381696.pdf" TargetMode="External"/><Relationship Id="rId2497" Type="http://schemas.openxmlformats.org/officeDocument/2006/relationships/hyperlink" Target="https://docs.inecelectionresults.net/elections_prod/1292/state/01/lga/20/ward/05/pu/007/007-1677397428.pdf" TargetMode="External"/><Relationship Id="rId574" Type="http://schemas.openxmlformats.org/officeDocument/2006/relationships/hyperlink" Target="https://docs.inecelectionresults.net/elections_prod/1292/state/1/lga/3668/ward/23991/pu/91507/91507-1677461680.pdf" TargetMode="External"/><Relationship Id="rId1167" Type="http://schemas.openxmlformats.org/officeDocument/2006/relationships/hyperlink" Target="https://docs.inecelectionresults.net/elections_prod/1292/state/01/lga/07/ward/07/pu/009/009-1677377783.pdf" TargetMode="External"/><Relationship Id="rId2498" Type="http://schemas.openxmlformats.org/officeDocument/2006/relationships/hyperlink" Target="https://docs.inecelectionresults.net/elections_prod/1292/state/01/lga/20/ward/05/pu/008/008-1677405334.pdf" TargetMode="External"/><Relationship Id="rId573" Type="http://schemas.openxmlformats.org/officeDocument/2006/relationships/hyperlink" Target="https://docs.inecelectionresults.net/elections_prod/1292/state/1/lga/3668/ward/23991/pu/91506/91506-1677462942.pdf" TargetMode="External"/><Relationship Id="rId1168" Type="http://schemas.openxmlformats.org/officeDocument/2006/relationships/hyperlink" Target="https://docs.inecelectionresults.net/elections_prod/1292/state/01/lga/07/ward/07/pu/010/010-1677383777.pdf" TargetMode="External"/><Relationship Id="rId2499" Type="http://schemas.openxmlformats.org/officeDocument/2006/relationships/hyperlink" Target="https://docs.inecelectionresults.net/elections_prod/1292/state/01/lga/20/ward/05/pu/011/011-1677404655.pdf" TargetMode="External"/><Relationship Id="rId1190" Type="http://schemas.openxmlformats.org/officeDocument/2006/relationships/hyperlink" Target="https://docs.inecelectionresults.net/elections_prod/1292/state/01/lga/07/ward/08/pu/006/006-1677369590.pdf" TargetMode="External"/><Relationship Id="rId1191" Type="http://schemas.openxmlformats.org/officeDocument/2006/relationships/hyperlink" Target="https://docs.inecelectionresults.net/elections_prod/1292/state/01/lga/07/ward/08/pu/007/007-1677383657.pdf" TargetMode="External"/><Relationship Id="rId1192" Type="http://schemas.openxmlformats.org/officeDocument/2006/relationships/hyperlink" Target="https://docs.inecelectionresults.net/elections_prod/1292/state/01/lga/07/ward/08/pu/008/008-1677383340.pdf" TargetMode="External"/><Relationship Id="rId1193" Type="http://schemas.openxmlformats.org/officeDocument/2006/relationships/hyperlink" Target="https://docs.inecelectionresults.net/elections_prod/1292/state/1/lga/3672/ward/24035/pu/92271/92271-1677526713.pdf" TargetMode="External"/><Relationship Id="rId1194" Type="http://schemas.openxmlformats.org/officeDocument/2006/relationships/hyperlink" Target="https://docs.inecelectionresults.net/elections_prod/1292/state/01/lga/07/ward/08/pu/010/010-1677384430.pdf" TargetMode="External"/><Relationship Id="rId1195" Type="http://schemas.openxmlformats.org/officeDocument/2006/relationships/hyperlink" Target="https://docs.inecelectionresults.net/elections_prod/1292/state/1/lga/3672/ward/24035/pu/92273/92273-1677527263.pdf" TargetMode="External"/><Relationship Id="rId1196" Type="http://schemas.openxmlformats.org/officeDocument/2006/relationships/hyperlink" Target="https://docs.inecelectionresults.net/elections_prod/1292/state/1/lga/3672/ward/24035/pu/92274/92274-1677527498.pdf" TargetMode="External"/><Relationship Id="rId1197" Type="http://schemas.openxmlformats.org/officeDocument/2006/relationships/hyperlink" Target="https://docs.inecelectionresults.net/elections_prod/1292/state/01/lga/07/ward/08/pu/013/013-1677380608.pdf" TargetMode="External"/><Relationship Id="rId1198" Type="http://schemas.openxmlformats.org/officeDocument/2006/relationships/hyperlink" Target="https://docs.inecelectionresults.net/elections_prod/1292/state/1/lga/3672/ward/24035/pu/92276/92276-1677526296.pdf" TargetMode="External"/><Relationship Id="rId1199" Type="http://schemas.openxmlformats.org/officeDocument/2006/relationships/hyperlink" Target="https://docs.inecelectionresults.net/elections_prod/1292/state/1/lga/3672/ward/24035/pu/92277/92277-1677526105.pdf" TargetMode="External"/><Relationship Id="rId599" Type="http://schemas.openxmlformats.org/officeDocument/2006/relationships/hyperlink" Target="https://docs.inecelectionresults.net/elections_prod/1292/state/01/lga/03/ward/12/pu/015/015-1677369894.pdf" TargetMode="External"/><Relationship Id="rId1180" Type="http://schemas.openxmlformats.org/officeDocument/2006/relationships/hyperlink" Target="https://docs.inecelectionresults.net/elections_prod/1292/state/01/lga/07/ward/07/pu/024/024-1677372257.pdf" TargetMode="External"/><Relationship Id="rId1181" Type="http://schemas.openxmlformats.org/officeDocument/2006/relationships/hyperlink" Target="https://docs.inecelectionresults.net/elections_prod/1292/state/01/lga/07/ward/07/pu/025/025-1677386634.pdf" TargetMode="External"/><Relationship Id="rId1182" Type="http://schemas.openxmlformats.org/officeDocument/2006/relationships/hyperlink" Target="https://docs.inecelectionresults.net/elections_prod/1292/state/1/lga/3672/ward/24034/pu/92257/92257-1677504049.pdf" TargetMode="External"/><Relationship Id="rId594" Type="http://schemas.openxmlformats.org/officeDocument/2006/relationships/hyperlink" Target="https://docs.inecelectionresults.net/elections_prod/1292/state/01/lga/03/ward/12/pu/009/009-1677358964.pdf" TargetMode="External"/><Relationship Id="rId1183" Type="http://schemas.openxmlformats.org/officeDocument/2006/relationships/hyperlink" Target="https://docs.inecelectionresults.net/elections_prod/1292/state/01/lga/07/ward/07/pu/029/029-1677374093.pdf" TargetMode="External"/><Relationship Id="rId593" Type="http://schemas.openxmlformats.org/officeDocument/2006/relationships/hyperlink" Target="https://docs.inecelectionresults.net/elections_prod/1292/state/01/lga/03/ward/12/pu/008/008-1677364450.pdf" TargetMode="External"/><Relationship Id="rId1184" Type="http://schemas.openxmlformats.org/officeDocument/2006/relationships/hyperlink" Target="https://docs.inecelectionresults.net/elections_prod/1292/state/01/lga/07/ward/07/pu/030/030-1677381988.pdf" TargetMode="External"/><Relationship Id="rId592" Type="http://schemas.openxmlformats.org/officeDocument/2006/relationships/hyperlink" Target="https://docs.inecelectionresults.net/elections_prod/1292/state/01/lga/03/ward/12/pu/007/007-1677384335.pdf" TargetMode="External"/><Relationship Id="rId1185" Type="http://schemas.openxmlformats.org/officeDocument/2006/relationships/hyperlink" Target="https://docs.inecelectionresults.net/elections_prod/1292/state/01/lga/07/ward/07/pu/031/031-1677367007.pdf" TargetMode="External"/><Relationship Id="rId591" Type="http://schemas.openxmlformats.org/officeDocument/2006/relationships/hyperlink" Target="https://docs.inecelectionresults.net/elections_prod/1292/state/01/lga/03/ward/12/pu/006/006-1677370218.pdf" TargetMode="External"/><Relationship Id="rId1186" Type="http://schemas.openxmlformats.org/officeDocument/2006/relationships/hyperlink" Target="https://docs.inecelectionresults.net/elections_prod/1292/state/01/lga/07/ward/07/pu/032/032-1677393985.pdf" TargetMode="External"/><Relationship Id="rId598" Type="http://schemas.openxmlformats.org/officeDocument/2006/relationships/hyperlink" Target="https://docs.inecelectionresults.net/elections_prod/1292/state/01/lga/03/ward/12/pu/013/013-1677359307.pdf" TargetMode="External"/><Relationship Id="rId1187" Type="http://schemas.openxmlformats.org/officeDocument/2006/relationships/hyperlink" Target="https://docs.inecelectionresults.net/elections_prod/1292/state/1/lga/3672/ward/24035/pu/92264/92264-1677525178.pdf" TargetMode="External"/><Relationship Id="rId597" Type="http://schemas.openxmlformats.org/officeDocument/2006/relationships/hyperlink" Target="https://docs.inecelectionresults.net/elections_prod/1292/state/01/lga/03/ward/12/pu/012/012-1677370154.pdf" TargetMode="External"/><Relationship Id="rId1188" Type="http://schemas.openxmlformats.org/officeDocument/2006/relationships/hyperlink" Target="https://docs.inecelectionresults.net/elections_prod/1292/state/1/lga/3672/ward/24035/pu/92265/92265-1677525808.pdf" TargetMode="External"/><Relationship Id="rId596" Type="http://schemas.openxmlformats.org/officeDocument/2006/relationships/hyperlink" Target="https://docs.inecelectionresults.net/elections_prod/1292/state/01/lga/03/ward/12/pu/011/011-1677370152.pdf" TargetMode="External"/><Relationship Id="rId1189" Type="http://schemas.openxmlformats.org/officeDocument/2006/relationships/hyperlink" Target="https://docs.inecelectionresults.net/elections_prod/1292/state/1/lga/3672/ward/24035/pu/92267/92267-1677526891.pdf" TargetMode="External"/><Relationship Id="rId595" Type="http://schemas.openxmlformats.org/officeDocument/2006/relationships/hyperlink" Target="https://docs.inecelectionresults.net/elections_prod/1292/state/01/lga/03/ward/12/pu/010/010-1677374124.pdf" TargetMode="External"/><Relationship Id="rId1136" Type="http://schemas.openxmlformats.org/officeDocument/2006/relationships/hyperlink" Target="https://docs.inecelectionresults.net/elections_prod/1292/state/1/lga/3672/ward/24033/pu/92200/92200-1677499450.pdf" TargetMode="External"/><Relationship Id="rId2467" Type="http://schemas.openxmlformats.org/officeDocument/2006/relationships/hyperlink" Target="https://docs.inecelectionresults.net/elections_prod/1292/state/01/lga/20/ward/02/pu/008/008-1677363951.pdf" TargetMode="External"/><Relationship Id="rId3799" Type="http://schemas.openxmlformats.org/officeDocument/2006/relationships/hyperlink" Target="https://docs.inecelectionresults.net/elections_prod/1292/state/1/lga/3680/ward/24115/pu/166203/166203-1677576928.pdf" TargetMode="External"/><Relationship Id="rId1137" Type="http://schemas.openxmlformats.org/officeDocument/2006/relationships/hyperlink" Target="https://docs.inecelectionresults.net/elections_prod/1292/state/1/lga/3672/ward/24033/pu/92201/92201-1677503859.pdf" TargetMode="External"/><Relationship Id="rId2468" Type="http://schemas.openxmlformats.org/officeDocument/2006/relationships/hyperlink" Target="https://docs.inecelectionresults.net/elections_prod/1292/state/01/lga/20/ward/02/pu/009/009-1677359782.pdf" TargetMode="External"/><Relationship Id="rId3798" Type="http://schemas.openxmlformats.org/officeDocument/2006/relationships/hyperlink" Target="https://docs.inecelectionresults.net/elections_prod/1292/state/1/lga/3680/ward/24115/pu/166202/166202-1677576733.pdf" TargetMode="External"/><Relationship Id="rId1138" Type="http://schemas.openxmlformats.org/officeDocument/2006/relationships/hyperlink" Target="https://docs.inecelectionresults.net/elections_prod/1292/state/1/lga/3672/ward/24033/pu/92202/92202-1677541282.pdf" TargetMode="External"/><Relationship Id="rId2469" Type="http://schemas.openxmlformats.org/officeDocument/2006/relationships/hyperlink" Target="https://docs.inecelectionresults.net/elections_prod/1292/state/01/lga/20/ward/02/pu/010/010-1677361613.pdf" TargetMode="External"/><Relationship Id="rId1139" Type="http://schemas.openxmlformats.org/officeDocument/2006/relationships/hyperlink" Target="https://docs.inecelectionresults.net/elections_prod/1292/state/1/lga/3672/ward/24033/pu/92204/92204-1677547621.pdf" TargetMode="External"/><Relationship Id="rId547" Type="http://schemas.openxmlformats.org/officeDocument/2006/relationships/hyperlink" Target="https://docs.inecelectionresults.net/elections_prod/1292/state/01/lga/03/ward/09/pu/011/011-1677404046.pdf" TargetMode="External"/><Relationship Id="rId546" Type="http://schemas.openxmlformats.org/officeDocument/2006/relationships/hyperlink" Target="https://docs.inecelectionresults.net/elections_prod/1292/state/01/lga/03/ward/09/pu/010/010-1677404272.pdf" TargetMode="External"/><Relationship Id="rId545" Type="http://schemas.openxmlformats.org/officeDocument/2006/relationships/hyperlink" Target="https://docs.inecelectionresults.net/elections_prod/1292/state/01/lga/03/ward/09/pu/009/009-1677409919.pdf" TargetMode="External"/><Relationship Id="rId544" Type="http://schemas.openxmlformats.org/officeDocument/2006/relationships/hyperlink" Target="https://docs.inecelectionresults.net/elections_prod/1292/state/01/lga/03/ward/09/pu/008/008-1677395384.pdf" TargetMode="External"/><Relationship Id="rId549" Type="http://schemas.openxmlformats.org/officeDocument/2006/relationships/hyperlink" Target="https://docs.inecelectionresults.net/elections_prod/1292/state/01/lga/03/ward/09/pu/013/013-1677399275.pdf" TargetMode="External"/><Relationship Id="rId548" Type="http://schemas.openxmlformats.org/officeDocument/2006/relationships/hyperlink" Target="https://docs.inecelectionresults.net/elections_prod/1292/state/01/lga/03/ward/09/pu/012/012-1677394176.pdf" TargetMode="External"/><Relationship Id="rId3791" Type="http://schemas.openxmlformats.org/officeDocument/2006/relationships/hyperlink" Target="https://docs.inecelectionresults.net/elections_prod/1292/state/1/lga/3680/ward/24115/pu/166195/166195-1677573447.pdf" TargetMode="External"/><Relationship Id="rId2460" Type="http://schemas.openxmlformats.org/officeDocument/2006/relationships/hyperlink" Target="https://docs.inecelectionresults.net/elections_prod/1292/state/1/lga/3685/ward/24171/pu/93861/93861-1677494049.pdf" TargetMode="External"/><Relationship Id="rId3790" Type="http://schemas.openxmlformats.org/officeDocument/2006/relationships/hyperlink" Target="https://docs.inecelectionresults.net/elections_prod/1292/state/01/lga/15/ward/02/pu/087/087-1677406347.pdf" TargetMode="External"/><Relationship Id="rId1130" Type="http://schemas.openxmlformats.org/officeDocument/2006/relationships/hyperlink" Target="https://docs.inecelectionresults.net/elections_prod/1292/state/1/lga/3672/ward/24033/pu/92193/92193-1677541485.pdf" TargetMode="External"/><Relationship Id="rId2461" Type="http://schemas.openxmlformats.org/officeDocument/2006/relationships/hyperlink" Target="https://docs.inecelectionresults.net/elections_prod/1292/state/01/lga/20/ward/02/pu/001/001-1677362081.pdf" TargetMode="External"/><Relationship Id="rId3793" Type="http://schemas.openxmlformats.org/officeDocument/2006/relationships/hyperlink" Target="https://docs.inecelectionresults.net/elections_prod/1292/state/1/lga/3680/ward/24115/pu/166197/166197-1677574577.pdf" TargetMode="External"/><Relationship Id="rId1131" Type="http://schemas.openxmlformats.org/officeDocument/2006/relationships/hyperlink" Target="https://docs.inecelectionresults.net/elections_prod/1292/state/1/lga/3672/ward/24033/pu/92194/92194-1677539229.pdf" TargetMode="External"/><Relationship Id="rId2462" Type="http://schemas.openxmlformats.org/officeDocument/2006/relationships/hyperlink" Target="https://docs.inecelectionresults.net/elections_prod/1292/state/01/lga/20/ward/02/pu/002/002-1677362286.pdf" TargetMode="External"/><Relationship Id="rId3792" Type="http://schemas.openxmlformats.org/officeDocument/2006/relationships/hyperlink" Target="https://docs.inecelectionresults.net/elections_prod/1292/state/1/lga/3680/ward/24115/pu/166196/166196-1677573793.pdf" TargetMode="External"/><Relationship Id="rId543" Type="http://schemas.openxmlformats.org/officeDocument/2006/relationships/hyperlink" Target="https://docs.inecelectionresults.net/elections_prod/1292/state/01/lga/03/ward/09/pu/007/007-1677394018.pdf" TargetMode="External"/><Relationship Id="rId1132" Type="http://schemas.openxmlformats.org/officeDocument/2006/relationships/hyperlink" Target="https://docs.inecelectionresults.net/elections_prod/1292/state/1/lga/3672/ward/24033/pu/92196/92196-1677538174.pdf" TargetMode="External"/><Relationship Id="rId2463" Type="http://schemas.openxmlformats.org/officeDocument/2006/relationships/hyperlink" Target="https://docs.inecelectionresults.net/elections_prod/1292/state/01/lga/20/ward/02/pu/004/004-1677362803.pdf" TargetMode="External"/><Relationship Id="rId3795" Type="http://schemas.openxmlformats.org/officeDocument/2006/relationships/hyperlink" Target="https://docs.inecelectionresults.net/elections_prod/1292/state/1/lga/3680/ward/24115/pu/166199/166199-1677576241.pdf" TargetMode="External"/><Relationship Id="rId542" Type="http://schemas.openxmlformats.org/officeDocument/2006/relationships/hyperlink" Target="https://docs.inecelectionresults.net/elections_prod/1292/state/01/lga/03/ward/09/pu/006/006-1677394351.pdf" TargetMode="External"/><Relationship Id="rId1133" Type="http://schemas.openxmlformats.org/officeDocument/2006/relationships/hyperlink" Target="https://docs.inecelectionresults.net/elections_prod/1292/state/1/lga/3672/ward/24033/pu/92197/92197-1677542561.pdf" TargetMode="External"/><Relationship Id="rId2464" Type="http://schemas.openxmlformats.org/officeDocument/2006/relationships/hyperlink" Target="https://docs.inecelectionresults.net/elections_prod/1292/state/01/lga/20/ward/02/pu/005/005-1677362050.pdf" TargetMode="External"/><Relationship Id="rId3794" Type="http://schemas.openxmlformats.org/officeDocument/2006/relationships/hyperlink" Target="https://docs.inecelectionresults.net/elections_prod/1292/state/1/lga/3680/ward/24115/pu/166198/166198-1677576060.pdf" TargetMode="External"/><Relationship Id="rId541" Type="http://schemas.openxmlformats.org/officeDocument/2006/relationships/hyperlink" Target="https://docs.inecelectionresults.net/elections_prod/1292/state/01/lga/03/ward/09/pu/005/005-1677395706.pdf" TargetMode="External"/><Relationship Id="rId1134" Type="http://schemas.openxmlformats.org/officeDocument/2006/relationships/hyperlink" Target="https://docs.inecelectionresults.net/elections_prod/1292/state/1/lga/3672/ward/24033/pu/92198/92198-1677530638.pdf" TargetMode="External"/><Relationship Id="rId2465" Type="http://schemas.openxmlformats.org/officeDocument/2006/relationships/hyperlink" Target="https://docs.inecelectionresults.net/elections_prod/1292/state/01/lga/20/ward/02/pu/006/006-1677361195.pdf" TargetMode="External"/><Relationship Id="rId3797" Type="http://schemas.openxmlformats.org/officeDocument/2006/relationships/hyperlink" Target="https://docs.inecelectionresults.net/elections_prod/1292/state/1/lga/3680/ward/24115/pu/166201/166201-1677576565.pdf" TargetMode="External"/><Relationship Id="rId540" Type="http://schemas.openxmlformats.org/officeDocument/2006/relationships/hyperlink" Target="https://docs.inecelectionresults.net/elections_prod/1292/state/01/lga/03/ward/09/pu/004/004-1677395965.pdf" TargetMode="External"/><Relationship Id="rId1135" Type="http://schemas.openxmlformats.org/officeDocument/2006/relationships/hyperlink" Target="https://docs.inecelectionresults.net/elections_prod/1292/state/1/lga/3672/ward/24033/pu/92199/92199-1677497971.pdf" TargetMode="External"/><Relationship Id="rId2466" Type="http://schemas.openxmlformats.org/officeDocument/2006/relationships/hyperlink" Target="https://docs.inecelectionresults.net/elections_prod/1292/state/01/lga/20/ward/02/pu/007/007-1677365299.pdf" TargetMode="External"/><Relationship Id="rId3796" Type="http://schemas.openxmlformats.org/officeDocument/2006/relationships/hyperlink" Target="https://docs.inecelectionresults.net/elections_prod/1292/state/1/lga/3680/ward/24115/pu/166200/166200-1677576407.pdf" TargetMode="External"/><Relationship Id="rId1125" Type="http://schemas.openxmlformats.org/officeDocument/2006/relationships/hyperlink" Target="https://docs.inecelectionresults.net/elections_prod/1292/state/1/lga/3672/ward/24032/pu/92188/92188-1677535773.pdf" TargetMode="External"/><Relationship Id="rId2456" Type="http://schemas.openxmlformats.org/officeDocument/2006/relationships/hyperlink" Target="https://docs.inecelectionresults.net/elections_prod/1292/state/1/lga/3685/ward/24171/pu/93856/93856-1677495256.pdf" TargetMode="External"/><Relationship Id="rId3788" Type="http://schemas.openxmlformats.org/officeDocument/2006/relationships/hyperlink" Target="https://docs.inecelectionresults.net/elections_prod/1292/state/1/lga/3680/ward/24115/pu/166190/166190-1677572762.pdf" TargetMode="External"/><Relationship Id="rId1126" Type="http://schemas.openxmlformats.org/officeDocument/2006/relationships/hyperlink" Target="https://docs.inecelectionresults.net/elections_prod/1292/state/1/lga/3672/ward/24032/pu/92189/92189-1677535878.pdf" TargetMode="External"/><Relationship Id="rId2457" Type="http://schemas.openxmlformats.org/officeDocument/2006/relationships/hyperlink" Target="https://docs.inecelectionresults.net/elections_prod/1292/state/1/lga/3685/ward/24171/pu/93857/93857-1677496905.pdf" TargetMode="External"/><Relationship Id="rId3787" Type="http://schemas.openxmlformats.org/officeDocument/2006/relationships/hyperlink" Target="https://docs.inecelectionresults.net/elections_prod/1292/state/1/lga/3680/ward/24115/pu/166189/166189-1677572602.pdf" TargetMode="External"/><Relationship Id="rId1127" Type="http://schemas.openxmlformats.org/officeDocument/2006/relationships/hyperlink" Target="https://docs.inecelectionresults.net/elections_prod/1292/state/01/lga/07/ward/05/pu/017/017-1677403463.pdf" TargetMode="External"/><Relationship Id="rId2458" Type="http://schemas.openxmlformats.org/officeDocument/2006/relationships/hyperlink" Target="https://docs.inecelectionresults.net/elections_prod/1292/state/1/lga/3685/ward/24171/pu/93859/93859-1677493397.pdf" TargetMode="External"/><Relationship Id="rId1128" Type="http://schemas.openxmlformats.org/officeDocument/2006/relationships/hyperlink" Target="https://docs.inecelectionresults.net/elections_prod/1292/state/1/lga/3672/ward/24032/pu/92191/92191-1677536067.pdf" TargetMode="External"/><Relationship Id="rId2459" Type="http://schemas.openxmlformats.org/officeDocument/2006/relationships/hyperlink" Target="https://docs.inecelectionresults.net/elections_prod/1292/state/1/lga/3685/ward/24171/pu/93860/93860-1677492505.pdf" TargetMode="External"/><Relationship Id="rId3789" Type="http://schemas.openxmlformats.org/officeDocument/2006/relationships/hyperlink" Target="https://docs.inecelectionresults.net/elections_prod/1292/state/1/lga/3680/ward/24115/pu/166192/166192-1677573168.pdf" TargetMode="External"/><Relationship Id="rId1129" Type="http://schemas.openxmlformats.org/officeDocument/2006/relationships/hyperlink" Target="https://docs.inecelectionresults.net/elections_prod/1292/state/1/lga/3672/ward/24032/pu/92192/92192-1677536191.pdf" TargetMode="External"/><Relationship Id="rId536" Type="http://schemas.openxmlformats.org/officeDocument/2006/relationships/hyperlink" Target="https://docs.inecelectionresults.net/elections_prod/1292/state/01/lga/03/ward/08/pu/020/020-1677414216.pdf" TargetMode="External"/><Relationship Id="rId535" Type="http://schemas.openxmlformats.org/officeDocument/2006/relationships/hyperlink" Target="https://docs.inecelectionresults.net/elections_prod/1292/state/01/lga/03/ward/08/pu/019/019-1677425312.pdf" TargetMode="External"/><Relationship Id="rId534" Type="http://schemas.openxmlformats.org/officeDocument/2006/relationships/hyperlink" Target="https://docs.inecelectionresults.net/elections_prod/1292/state/1/lga/3668/ward/23988/pu/91461/91461-1677456222.pdf" TargetMode="External"/><Relationship Id="rId533" Type="http://schemas.openxmlformats.org/officeDocument/2006/relationships/hyperlink" Target="https://docs.inecelectionresults.net/elections_prod/1292/state/01/lga/03/ward/08/pu/017/017-1677412329.pdf" TargetMode="External"/><Relationship Id="rId539" Type="http://schemas.openxmlformats.org/officeDocument/2006/relationships/hyperlink" Target="https://docs.inecelectionresults.net/elections_prod/1292/state/01/lga/03/ward/09/pu/003/003-1677399426.pdf" TargetMode="External"/><Relationship Id="rId538" Type="http://schemas.openxmlformats.org/officeDocument/2006/relationships/hyperlink" Target="https://docs.inecelectionresults.net/elections_prod/1292/state/01/lga/03/ward/09/pu/002/002-1677402768.pdf" TargetMode="External"/><Relationship Id="rId537" Type="http://schemas.openxmlformats.org/officeDocument/2006/relationships/hyperlink" Target="https://docs.inecelectionresults.net/elections_prod/1292/state/01/lga/03/ward/09/pu/001/001-1677409313.pdf" TargetMode="External"/><Relationship Id="rId3780" Type="http://schemas.openxmlformats.org/officeDocument/2006/relationships/hyperlink" Target="https://docs.inecelectionresults.net/elections_prod/1292/state/1/lga/3680/ward/24115/pu/166182/166182-1677570923.pdf" TargetMode="External"/><Relationship Id="rId2450" Type="http://schemas.openxmlformats.org/officeDocument/2006/relationships/hyperlink" Target="https://docs.inecelectionresults.net/elections_prod/1292/state/1/lga/3684/ward/24170/pu/93843/93843-1677570255.pdf" TargetMode="External"/><Relationship Id="rId3782" Type="http://schemas.openxmlformats.org/officeDocument/2006/relationships/hyperlink" Target="https://docs.inecelectionresults.net/elections_prod/1292/state/1/lga/3680/ward/24115/pu/166184/166184-1677571348.pdf" TargetMode="External"/><Relationship Id="rId1120" Type="http://schemas.openxmlformats.org/officeDocument/2006/relationships/hyperlink" Target="https://docs.inecelectionresults.net/elections_prod/1292/state/1/lga/3672/ward/24032/pu/92181/92181-1677534792.pdf" TargetMode="External"/><Relationship Id="rId2451" Type="http://schemas.openxmlformats.org/officeDocument/2006/relationships/hyperlink" Target="https://docs.inecelectionresults.net/elections_prod/1292/state/01/lga/19/ward/10/pu/007/007-1677391274.pdf" TargetMode="External"/><Relationship Id="rId3781" Type="http://schemas.openxmlformats.org/officeDocument/2006/relationships/hyperlink" Target="https://docs.inecelectionresults.net/elections_prod/1292/state/1/lga/3680/ward/24115/pu/166183/166183-1677571162.pdf" TargetMode="External"/><Relationship Id="rId532" Type="http://schemas.openxmlformats.org/officeDocument/2006/relationships/hyperlink" Target="https://docs.inecelectionresults.net/elections_prod/1292/state/01/lga/03/ward/08/pu/014/014-1677411802.pdf" TargetMode="External"/><Relationship Id="rId1121" Type="http://schemas.openxmlformats.org/officeDocument/2006/relationships/hyperlink" Target="https://docs.inecelectionresults.net/elections_prod/1292/state/1/lga/3672/ward/24032/pu/92182/92182-1677534935.pdf" TargetMode="External"/><Relationship Id="rId2452" Type="http://schemas.openxmlformats.org/officeDocument/2006/relationships/hyperlink" Target="https://docs.inecelectionresults.net/elections_prod/1292/state/01/lga/19/ward/10/pu/008/008-1677396903.pdf" TargetMode="External"/><Relationship Id="rId3784" Type="http://schemas.openxmlformats.org/officeDocument/2006/relationships/hyperlink" Target="https://docs.inecelectionresults.net/elections_prod/1292/state/1/lga/3680/ward/24115/pu/166186/166186-1677543148.pdf" TargetMode="External"/><Relationship Id="rId531" Type="http://schemas.openxmlformats.org/officeDocument/2006/relationships/hyperlink" Target="https://docs.inecelectionresults.net/elections_prod/1292/state/01/lga/03/ward/08/pu/013/013-1677428481.pdf" TargetMode="External"/><Relationship Id="rId1122" Type="http://schemas.openxmlformats.org/officeDocument/2006/relationships/hyperlink" Target="https://docs.inecelectionresults.net/elections_prod/1292/state/1/lga/3672/ward/24032/pu/92184/92184-1677535176.pdf" TargetMode="External"/><Relationship Id="rId2453" Type="http://schemas.openxmlformats.org/officeDocument/2006/relationships/hyperlink" Target="https://docs.inecelectionresults.net/elections_prod/1292/state/01/lga/19/ward/10/pu/011/011-1677381519.pdf" TargetMode="External"/><Relationship Id="rId3783" Type="http://schemas.openxmlformats.org/officeDocument/2006/relationships/hyperlink" Target="https://docs.inecelectionresults.net/elections_prod/1292/state/1/lga/3680/ward/24115/pu/166185/166185-1677571729.pdf" TargetMode="External"/><Relationship Id="rId530" Type="http://schemas.openxmlformats.org/officeDocument/2006/relationships/hyperlink" Target="https://docs.inecelectionresults.net/elections_prod/1292/state/01/lga/03/ward/08/pu/011/011-1677427255.pdf" TargetMode="External"/><Relationship Id="rId1123" Type="http://schemas.openxmlformats.org/officeDocument/2006/relationships/hyperlink" Target="https://docs.inecelectionresults.net/elections_prod/1292/state/1/lga/3672/ward/24032/pu/92186/92186-1677535436.pdf" TargetMode="External"/><Relationship Id="rId2454" Type="http://schemas.openxmlformats.org/officeDocument/2006/relationships/hyperlink" Target="https://docs.inecelectionresults.net/elections_prod/1292/state/01/lga/19/ward/10/pu/014/014-1677385673.pdf" TargetMode="External"/><Relationship Id="rId3786" Type="http://schemas.openxmlformats.org/officeDocument/2006/relationships/hyperlink" Target="https://docs.inecelectionresults.net/elections_prod/1292/state/1/lga/3680/ward/24115/pu/166188/166188-1677572333.pdf" TargetMode="External"/><Relationship Id="rId1124" Type="http://schemas.openxmlformats.org/officeDocument/2006/relationships/hyperlink" Target="https://docs.inecelectionresults.net/elections_prod/1292/state/1/lga/3672/ward/24032/pu/92187/92187-1677535566.pdf" TargetMode="External"/><Relationship Id="rId2455" Type="http://schemas.openxmlformats.org/officeDocument/2006/relationships/hyperlink" Target="https://docs.inecelectionresults.net/elections_prod/1292/state/1/lga/3684/ward/24170/pu/93853/93853-1677570703.pdf" TargetMode="External"/><Relationship Id="rId3785" Type="http://schemas.openxmlformats.org/officeDocument/2006/relationships/hyperlink" Target="https://docs.inecelectionresults.net/elections_prod/1292/state/01/lga/15/ward/02/pu/080/080-1677393100.pdf" TargetMode="External"/><Relationship Id="rId1158" Type="http://schemas.openxmlformats.org/officeDocument/2006/relationships/hyperlink" Target="https://docs.inecelectionresults.net/elections_prod/1292/state/1/lga/3672/ward/24033/pu/92229/92229-1677502432.pdf" TargetMode="External"/><Relationship Id="rId2489" Type="http://schemas.openxmlformats.org/officeDocument/2006/relationships/hyperlink" Target="https://docs.inecelectionresults.net/elections_prod/1292/state/1/lga/3685/ward/24174/pu/93895/93895-1677528179.pdf" TargetMode="External"/><Relationship Id="rId1159" Type="http://schemas.openxmlformats.org/officeDocument/2006/relationships/hyperlink" Target="https://docs.inecelectionresults.net/elections_prod/1292/state/01/lga/07/ward/07/pu/001/001-1677388431.pdf" TargetMode="External"/><Relationship Id="rId569" Type="http://schemas.openxmlformats.org/officeDocument/2006/relationships/hyperlink" Target="https://docs.inecelectionresults.net/elections_prod/1292/state/1/lga/3668/ward/23991/pu/91501/91501-1677461428.pdf" TargetMode="External"/><Relationship Id="rId568" Type="http://schemas.openxmlformats.org/officeDocument/2006/relationships/hyperlink" Target="https://docs.inecelectionresults.net/elections_prod/1292/state/1/lga/3668/ward/23991/pu/91500/91500-1677462061.pdf" TargetMode="External"/><Relationship Id="rId567" Type="http://schemas.openxmlformats.org/officeDocument/2006/relationships/hyperlink" Target="https://docs.inecelectionresults.net/elections_prod/1292/state/1/lga/3668/ward/23991/pu/91499/91499-1677461000.pdf" TargetMode="External"/><Relationship Id="rId566" Type="http://schemas.openxmlformats.org/officeDocument/2006/relationships/hyperlink" Target="https://docs.inecelectionresults.net/elections_prod/1292/state/01/lga/03/ward/10/pu/015/015-1677372221.pdf" TargetMode="External"/><Relationship Id="rId2480" Type="http://schemas.openxmlformats.org/officeDocument/2006/relationships/hyperlink" Target="https://docs.inecelectionresults.net/elections_prod/1292/state/1/lga/3685/ward/24174/pu/93883/93883-1677502382.pdf" TargetMode="External"/><Relationship Id="rId561" Type="http://schemas.openxmlformats.org/officeDocument/2006/relationships/hyperlink" Target="https://docs.inecelectionresults.net/elections_prod/1292/state/01/lga/03/ward/10/pu/007/007-1677370243.pdf" TargetMode="External"/><Relationship Id="rId1150" Type="http://schemas.openxmlformats.org/officeDocument/2006/relationships/hyperlink" Target="https://docs.inecelectionresults.net/elections_prod/1292/state/1/lga/3672/ward/24033/pu/92215/92215-1677497568.pdf" TargetMode="External"/><Relationship Id="rId2481" Type="http://schemas.openxmlformats.org/officeDocument/2006/relationships/hyperlink" Target="https://docs.inecelectionresults.net/elections_prod/1292/state/1/lga/3685/ward/24174/pu/93885/93885-1677516942.pdf" TargetMode="External"/><Relationship Id="rId560" Type="http://schemas.openxmlformats.org/officeDocument/2006/relationships/hyperlink" Target="https://docs.inecelectionresults.net/elections_prod/1292/state/01/lga/03/ward/10/pu/006/006-1677359124.pdf" TargetMode="External"/><Relationship Id="rId1151" Type="http://schemas.openxmlformats.org/officeDocument/2006/relationships/hyperlink" Target="https://docs.inecelectionresults.net/elections_prod/1292/state/1/lga/3672/ward/24033/pu/92216/92216-1677531007.pdf" TargetMode="External"/><Relationship Id="rId2482" Type="http://schemas.openxmlformats.org/officeDocument/2006/relationships/hyperlink" Target="https://docs.inecelectionresults.net/elections_prod/1292/state/1/lga/3685/ward/24174/pu/93886/93886-1677527026.pdf" TargetMode="External"/><Relationship Id="rId1152" Type="http://schemas.openxmlformats.org/officeDocument/2006/relationships/hyperlink" Target="https://docs.inecelectionresults.net/elections_prod/1292/state/01/lga/07/ward/06/pu/026/026-1677419652.pdf" TargetMode="External"/><Relationship Id="rId2483" Type="http://schemas.openxmlformats.org/officeDocument/2006/relationships/hyperlink" Target="https://docs.inecelectionresults.net/elections_prod/1292/state/01/lga/20/ward/04/pu/006/006-1677364734.pdf" TargetMode="External"/><Relationship Id="rId1153" Type="http://schemas.openxmlformats.org/officeDocument/2006/relationships/hyperlink" Target="https://docs.inecelectionresults.net/elections_prod/1292/state/01/lga/07/ward/06/pu/027/027-1677418960.pdf" TargetMode="External"/><Relationship Id="rId2484" Type="http://schemas.openxmlformats.org/officeDocument/2006/relationships/hyperlink" Target="https://docs.inecelectionresults.net/elections_prod/1292/state/01/lga/20/ward/04/pu/007/007-1677400510.pdf" TargetMode="External"/><Relationship Id="rId565" Type="http://schemas.openxmlformats.org/officeDocument/2006/relationships/hyperlink" Target="https://docs.inecelectionresults.net/elections_prod/1292/state/01/lga/03/ward/10/pu/013/013-1677369655.pdf" TargetMode="External"/><Relationship Id="rId1154" Type="http://schemas.openxmlformats.org/officeDocument/2006/relationships/hyperlink" Target="https://docs.inecelectionresults.net/elections_prod/1292/state/1/lga/3672/ward/24033/pu/92220/92220-1677536433.pdf" TargetMode="External"/><Relationship Id="rId2485" Type="http://schemas.openxmlformats.org/officeDocument/2006/relationships/hyperlink" Target="https://docs.inecelectionresults.net/elections_prod/1292/state/1/lga/3685/ward/24174/pu/93891/93891-1677532731.pdf" TargetMode="External"/><Relationship Id="rId564" Type="http://schemas.openxmlformats.org/officeDocument/2006/relationships/hyperlink" Target="https://docs.inecelectionresults.net/elections_prod/1292/state/01/lga/03/ward/10/pu/012/012-1677370820.pdf" TargetMode="External"/><Relationship Id="rId1155" Type="http://schemas.openxmlformats.org/officeDocument/2006/relationships/hyperlink" Target="https://docs.inecelectionresults.net/elections_prod/1292/state/1/lga/3672/ward/24033/pu/92221/92221-1677539807.pdf" TargetMode="External"/><Relationship Id="rId2486" Type="http://schemas.openxmlformats.org/officeDocument/2006/relationships/hyperlink" Target="https://docs.inecelectionresults.net/elections_prod/1292/state/01/lga/20/ward/04/pu/011/011-1677400808.pdf" TargetMode="External"/><Relationship Id="rId563" Type="http://schemas.openxmlformats.org/officeDocument/2006/relationships/hyperlink" Target="https://docs.inecelectionresults.net/elections_prod/1292/state/01/lga/03/ward/10/pu/009/009-1677367763.pdf" TargetMode="External"/><Relationship Id="rId1156" Type="http://schemas.openxmlformats.org/officeDocument/2006/relationships/hyperlink" Target="https://docs.inecelectionresults.net/elections_prod/1292/state/1/lga/3672/ward/24033/pu/92222/92222-1677531884.pdf" TargetMode="External"/><Relationship Id="rId2487" Type="http://schemas.openxmlformats.org/officeDocument/2006/relationships/hyperlink" Target="https://docs.inecelectionresults.net/elections_prod/1292/state/1/lga/3685/ward/24174/pu/93893/93893-1677525920.pdf" TargetMode="External"/><Relationship Id="rId562" Type="http://schemas.openxmlformats.org/officeDocument/2006/relationships/hyperlink" Target="https://docs.inecelectionresults.net/elections_prod/1292/state/01/lga/03/ward/10/pu/008/008-1677359426.pdf" TargetMode="External"/><Relationship Id="rId1157" Type="http://schemas.openxmlformats.org/officeDocument/2006/relationships/hyperlink" Target="https://docs.inecelectionresults.net/elections_prod/1292/state/1/lga/3672/ward/24033/pu/92225/92225-1677532958.pdf" TargetMode="External"/><Relationship Id="rId2488" Type="http://schemas.openxmlformats.org/officeDocument/2006/relationships/hyperlink" Target="https://docs.inecelectionresults.net/elections_prod/1292/state/1/lga/3685/ward/24174/pu/93894/93894-1677525040.pdf" TargetMode="External"/><Relationship Id="rId1147" Type="http://schemas.openxmlformats.org/officeDocument/2006/relationships/hyperlink" Target="https://docs.inecelectionresults.net/elections_prod/1292/state/1/lga/3672/ward/24033/pu/92212/92212-1677531438.pdf" TargetMode="External"/><Relationship Id="rId2478" Type="http://schemas.openxmlformats.org/officeDocument/2006/relationships/hyperlink" Target="https://docs.inecelectionresults.net/elections_prod/1292/state/01/lga/20/ward/03/pu/007/007-1677416046.pdf" TargetMode="External"/><Relationship Id="rId1148" Type="http://schemas.openxmlformats.org/officeDocument/2006/relationships/hyperlink" Target="https://docs.inecelectionresults.net/elections_prod/1292/state/1/lga/3672/ward/24033/pu/92213/92213-1677507846.pdf" TargetMode="External"/><Relationship Id="rId2479" Type="http://schemas.openxmlformats.org/officeDocument/2006/relationships/hyperlink" Target="https://docs.inecelectionresults.net/elections_prod/1292/state/1/lga/3685/ward/24174/pu/93882/93882-1677499369.pdf" TargetMode="External"/><Relationship Id="rId1149" Type="http://schemas.openxmlformats.org/officeDocument/2006/relationships/hyperlink" Target="https://docs.inecelectionresults.net/elections_prod/1292/state/1/lga/3672/ward/24033/pu/92214/92214-1677504084.pdf" TargetMode="External"/><Relationship Id="rId558" Type="http://schemas.openxmlformats.org/officeDocument/2006/relationships/hyperlink" Target="https://docs.inecelectionresults.net/elections_prod/1292/state/01/lga/03/ward/10/pu/004/004-1677368860.pdf" TargetMode="External"/><Relationship Id="rId557" Type="http://schemas.openxmlformats.org/officeDocument/2006/relationships/hyperlink" Target="https://docs.inecelectionresults.net/elections_prod/1292/state/01/lga/03/ward/10/pu/003/003-1677365854.pdf" TargetMode="External"/><Relationship Id="rId556" Type="http://schemas.openxmlformats.org/officeDocument/2006/relationships/hyperlink" Target="https://docs.inecelectionresults.net/elections_prod/1292/state/01/lga/03/ward/10/pu/002/002-1677359847.pdf" TargetMode="External"/><Relationship Id="rId555" Type="http://schemas.openxmlformats.org/officeDocument/2006/relationships/hyperlink" Target="https://docs.inecelectionresults.net/elections_prod/1292/state/01/lga/03/ward/10/pu/001/001-1677376731.pdf" TargetMode="External"/><Relationship Id="rId559" Type="http://schemas.openxmlformats.org/officeDocument/2006/relationships/hyperlink" Target="https://docs.inecelectionresults.net/elections_prod/1292/state/01/lga/03/ward/10/pu/005/005-1677374647.pdf" TargetMode="External"/><Relationship Id="rId550" Type="http://schemas.openxmlformats.org/officeDocument/2006/relationships/hyperlink" Target="https://docs.inecelectionresults.net/elections_prod/1292/state/01/lga/03/ward/09/pu/014/014-1677408112.pdf" TargetMode="External"/><Relationship Id="rId2470" Type="http://schemas.openxmlformats.org/officeDocument/2006/relationships/hyperlink" Target="https://docs.inecelectionresults.net/elections_prod/1292/state/01/lga/20/ward/02/pu/011/011-1677360944.pdf" TargetMode="External"/><Relationship Id="rId1140" Type="http://schemas.openxmlformats.org/officeDocument/2006/relationships/hyperlink" Target="https://docs.inecelectionresults.net/elections_prod/1292/state/1/lga/3672/ward/24033/pu/92205/92205-1677499265.pdf" TargetMode="External"/><Relationship Id="rId2471" Type="http://schemas.openxmlformats.org/officeDocument/2006/relationships/hyperlink" Target="https://docs.inecelectionresults.net/elections_prod/1292/state/01/lga/20/ward/02/pu/012/012-1677388578.pdf" TargetMode="External"/><Relationship Id="rId1141" Type="http://schemas.openxmlformats.org/officeDocument/2006/relationships/hyperlink" Target="https://docs.inecelectionresults.net/elections_prod/1292/state/01/lga/07/ward/06/pu/014/014-1677400527.pdf" TargetMode="External"/><Relationship Id="rId2472" Type="http://schemas.openxmlformats.org/officeDocument/2006/relationships/hyperlink" Target="https://docs.inecelectionresults.net/elections_prod/1292/state/01/lga/20/ward/03/pu/001/001-1677411406.pdf" TargetMode="External"/><Relationship Id="rId1142" Type="http://schemas.openxmlformats.org/officeDocument/2006/relationships/hyperlink" Target="https://docs.inecelectionresults.net/elections_prod/1292/state/1/lga/3672/ward/24033/pu/92207/92207-1677540225.pdf" TargetMode="External"/><Relationship Id="rId2473" Type="http://schemas.openxmlformats.org/officeDocument/2006/relationships/hyperlink" Target="https://docs.inecelectionresults.net/elections_prod/1292/state/01/lga/20/ward/03/pu/002/002-1677414525.pdf" TargetMode="External"/><Relationship Id="rId554" Type="http://schemas.openxmlformats.org/officeDocument/2006/relationships/hyperlink" Target="https://docs.inecelectionresults.net/elections_prod/1292/state/01/lga/03/ward/09/pu/018/018-1677408731.pdf" TargetMode="External"/><Relationship Id="rId1143" Type="http://schemas.openxmlformats.org/officeDocument/2006/relationships/hyperlink" Target="https://docs.inecelectionresults.net/elections_prod/1292/state/1/lga/3672/ward/24033/pu/92208/92208-1677502111.pdf" TargetMode="External"/><Relationship Id="rId2474" Type="http://schemas.openxmlformats.org/officeDocument/2006/relationships/hyperlink" Target="https://docs.inecelectionresults.net/elections_prod/1292/state/01/lga/20/ward/03/pu/003/003-1677406014.pdf" TargetMode="External"/><Relationship Id="rId553" Type="http://schemas.openxmlformats.org/officeDocument/2006/relationships/hyperlink" Target="https://docs.inecelectionresults.net/elections_prod/1292/state/01/lga/03/ward/09/pu/017/017-1677401985.pdf" TargetMode="External"/><Relationship Id="rId1144" Type="http://schemas.openxmlformats.org/officeDocument/2006/relationships/hyperlink" Target="https://docs.inecelectionresults.net/elections_prod/1292/state/1/lga/3672/ward/24033/pu/92209/92209-1677533885.pdf" TargetMode="External"/><Relationship Id="rId2475" Type="http://schemas.openxmlformats.org/officeDocument/2006/relationships/hyperlink" Target="https://docs.inecelectionresults.net/elections_prod/1292/state/01/lga/20/ward/03/pu/004/004-1677413579.pdf" TargetMode="External"/><Relationship Id="rId552" Type="http://schemas.openxmlformats.org/officeDocument/2006/relationships/hyperlink" Target="https://docs.inecelectionresults.net/elections_prod/1292/state/01/lga/03/ward/09/pu/016/016-1677409342.pdf" TargetMode="External"/><Relationship Id="rId1145" Type="http://schemas.openxmlformats.org/officeDocument/2006/relationships/hyperlink" Target="https://docs.inecelectionresults.net/elections_prod/1292/state/1/lga/3672/ward/24033/pu/92210/92210-1677535209.pdf" TargetMode="External"/><Relationship Id="rId2476" Type="http://schemas.openxmlformats.org/officeDocument/2006/relationships/hyperlink" Target="https://docs.inecelectionresults.net/elections_prod/1292/state/01/lga/20/ward/03/pu/005/005-1677414721.pdf" TargetMode="External"/><Relationship Id="rId551" Type="http://schemas.openxmlformats.org/officeDocument/2006/relationships/hyperlink" Target="https://docs.inecelectionresults.net/elections_prod/1292/state/01/lga/03/ward/09/pu/015/015-1677396549.pdf" TargetMode="External"/><Relationship Id="rId1146" Type="http://schemas.openxmlformats.org/officeDocument/2006/relationships/hyperlink" Target="https://docs.inecelectionresults.net/elections_prod/1292/state/1/lga/3672/ward/24033/pu/92211/92211-1677528335.pdf" TargetMode="External"/><Relationship Id="rId2477" Type="http://schemas.openxmlformats.org/officeDocument/2006/relationships/hyperlink" Target="https://docs.inecelectionresults.net/elections_prod/1292/state/01/lga/20/ward/03/pu/006/006-1677411830.pdf" TargetMode="External"/><Relationship Id="rId495" Type="http://schemas.openxmlformats.org/officeDocument/2006/relationships/hyperlink" Target="https://docs.inecelectionresults.net/elections_prod/1292/state/1/lga/3668/ward/23986/pu/91413/91413-1677467615.pdf" TargetMode="External"/><Relationship Id="rId494" Type="http://schemas.openxmlformats.org/officeDocument/2006/relationships/hyperlink" Target="https://docs.inecelectionresults.net/elections_prod/1292/state/1/lga/3668/ward/23986/pu/91412/91412-1677468269.pdf" TargetMode="External"/><Relationship Id="rId493" Type="http://schemas.openxmlformats.org/officeDocument/2006/relationships/hyperlink" Target="https://docs.inecelectionresults.net/elections_prod/1292/state/1/lga/3668/ward/23986/pu/91411/91411-1677472133.pdf" TargetMode="External"/><Relationship Id="rId492" Type="http://schemas.openxmlformats.org/officeDocument/2006/relationships/hyperlink" Target="https://docs.inecelectionresults.net/elections_prod/1292/state/1/lga/3668/ward/23986/pu/91410/91410-1677471216.pdf" TargetMode="External"/><Relationship Id="rId499" Type="http://schemas.openxmlformats.org/officeDocument/2006/relationships/hyperlink" Target="https://docs.inecelectionresults.net/elections_prod/1292/state/1/lga/3668/ward/23986/pu/91417/91417-1677465853.pdf" TargetMode="External"/><Relationship Id="rId498" Type="http://schemas.openxmlformats.org/officeDocument/2006/relationships/hyperlink" Target="https://docs.inecelectionresults.net/elections_prod/1292/state/1/lga/3668/ward/23986/pu/91416/91416-1677467943.pdf" TargetMode="External"/><Relationship Id="rId497" Type="http://schemas.openxmlformats.org/officeDocument/2006/relationships/hyperlink" Target="https://docs.inecelectionresults.net/elections_prod/1292/state/01/lga/03/ward/06/pu/009/009-1677391010.pdf" TargetMode="External"/><Relationship Id="rId496" Type="http://schemas.openxmlformats.org/officeDocument/2006/relationships/hyperlink" Target="https://docs.inecelectionresults.net/elections_prod/1292/state/1/lga/3668/ward/23986/pu/91414/91414-1677466253.pdf" TargetMode="External"/><Relationship Id="rId3810" Type="http://schemas.openxmlformats.org/officeDocument/2006/relationships/hyperlink" Target="https://docs.inecelectionresults.net/elections_prod/1292/state/1/lga/3680/ward/24115/pu/166215/166215-1677588679.pdf" TargetMode="External"/><Relationship Id="rId3812" Type="http://schemas.openxmlformats.org/officeDocument/2006/relationships/hyperlink" Target="https://docs.inecelectionresults.net/elections_prod/1292/state/1/lga/3680/ward/24115/pu/166217/166217-1677580427.pdf" TargetMode="External"/><Relationship Id="rId3811" Type="http://schemas.openxmlformats.org/officeDocument/2006/relationships/hyperlink" Target="https://docs.inecelectionresults.net/elections_prod/1292/state/1/lga/3680/ward/24115/pu/166216/166216-1677580260.pdf" TargetMode="External"/><Relationship Id="rId3814" Type="http://schemas.openxmlformats.org/officeDocument/2006/relationships/hyperlink" Target="https://docs.inecelectionresults.net/elections_prod/1292/state/1/lga/3680/ward/24115/pu/166219/166219-1677580741.pdf" TargetMode="External"/><Relationship Id="rId3813" Type="http://schemas.openxmlformats.org/officeDocument/2006/relationships/hyperlink" Target="https://docs.inecelectionresults.net/elections_prod/1292/state/1/lga/3680/ward/24115/pu/166218/166218-1677580535.pdf" TargetMode="External"/><Relationship Id="rId3816" Type="http://schemas.openxmlformats.org/officeDocument/2006/relationships/hyperlink" Target="https://docs.inecelectionresults.net/elections_prod/1292/state/01/lga/15/ward/02/pu/115/115-1677405057.pdf" TargetMode="External"/><Relationship Id="rId3815" Type="http://schemas.openxmlformats.org/officeDocument/2006/relationships/hyperlink" Target="https://docs.inecelectionresults.net/elections_prod/1292/state/1/lga/3680/ward/24115/pu/166221/166221-1677581033.pdf" TargetMode="External"/><Relationship Id="rId3818" Type="http://schemas.openxmlformats.org/officeDocument/2006/relationships/hyperlink" Target="https://docs.inecelectionresults.net/elections_prod/1292/state/1/lga/3680/ward/24115/pu/166226/166226-1677586140.pdf" TargetMode="External"/><Relationship Id="rId3817" Type="http://schemas.openxmlformats.org/officeDocument/2006/relationships/hyperlink" Target="https://docs.inecelectionresults.net/elections_prod/1292/state/1/lga/3680/ward/24115/pu/166225/166225-1677581999.pdf" TargetMode="External"/><Relationship Id="rId3819" Type="http://schemas.openxmlformats.org/officeDocument/2006/relationships/hyperlink" Target="https://docs.inecelectionresults.net/elections_prod/1292/state/1/lga/3680/ward/24115/pu/166227/166227-1677582427.pdf" TargetMode="External"/><Relationship Id="rId3801" Type="http://schemas.openxmlformats.org/officeDocument/2006/relationships/hyperlink" Target="https://docs.inecelectionresults.net/elections_prod/1292/state/1/lga/3680/ward/24115/pu/166205/166205-1677577601.pdf" TargetMode="External"/><Relationship Id="rId3800" Type="http://schemas.openxmlformats.org/officeDocument/2006/relationships/hyperlink" Target="https://docs.inecelectionresults.net/elections_prod/1292/state/1/lga/3680/ward/24115/pu/166204/166204-1677577340.pdf" TargetMode="External"/><Relationship Id="rId3803" Type="http://schemas.openxmlformats.org/officeDocument/2006/relationships/hyperlink" Target="https://docs.inecelectionresults.net/elections_prod/1292/state/1/lga/3680/ward/24115/pu/166207/166207-1677577925.pdf" TargetMode="External"/><Relationship Id="rId3802" Type="http://schemas.openxmlformats.org/officeDocument/2006/relationships/hyperlink" Target="https://docs.inecelectionresults.net/elections_prod/1292/state/1/lga/3680/ward/24115/pu/166206/166206-1677577761.pdf" TargetMode="External"/><Relationship Id="rId3805" Type="http://schemas.openxmlformats.org/officeDocument/2006/relationships/hyperlink" Target="https://docs.inecelectionresults.net/elections_prod/1292/state/1/lga/3680/ward/24115/pu/166209/166209-1677578243.pdf" TargetMode="External"/><Relationship Id="rId3804" Type="http://schemas.openxmlformats.org/officeDocument/2006/relationships/hyperlink" Target="https://docs.inecelectionresults.net/elections_prod/1292/state/1/lga/3680/ward/24115/pu/166208/166208-1677578092.pdf" TargetMode="External"/><Relationship Id="rId3807" Type="http://schemas.openxmlformats.org/officeDocument/2006/relationships/hyperlink" Target="https://docs.inecelectionresults.net/elections_prod/1292/state/1/lga/3680/ward/24115/pu/166212/166212-1677579239.pdf" TargetMode="External"/><Relationship Id="rId3806" Type="http://schemas.openxmlformats.org/officeDocument/2006/relationships/hyperlink" Target="https://docs.inecelectionresults.net/elections_prod/1292/state/01/lga/15/ward/02/pu/104/104-1677405582.pdf" TargetMode="External"/><Relationship Id="rId3809" Type="http://schemas.openxmlformats.org/officeDocument/2006/relationships/hyperlink" Target="https://docs.inecelectionresults.net/elections_prod/1292/state/1/lga/3680/ward/24115/pu/166214/166214-1677579578.pdf" TargetMode="External"/><Relationship Id="rId3808" Type="http://schemas.openxmlformats.org/officeDocument/2006/relationships/hyperlink" Target="https://docs.inecelectionresults.net/elections_prod/1292/state/01/lga/15/ward/02/pu/106/106-1677392899.pdf" TargetMode="External"/><Relationship Id="rId1213" Type="http://schemas.openxmlformats.org/officeDocument/2006/relationships/hyperlink" Target="https://docs.inecelectionresults.net/elections_prod/1292/state/1/lga/3672/ward/24038/pu/92301/92301-1677508011.pdf" TargetMode="External"/><Relationship Id="rId2544" Type="http://schemas.openxmlformats.org/officeDocument/2006/relationships/hyperlink" Target="https://docs.inecelectionresults.net/elections_prod/1292/state/01/lga/20/ward/10/pu/019/019-1677365371.pdf" TargetMode="External"/><Relationship Id="rId3876" Type="http://schemas.openxmlformats.org/officeDocument/2006/relationships/hyperlink" Target="https://docs.inecelectionresults.net/elections_prod/1292/state/01/lga/16/ward/10/pu/017/017-1677375734.pdf" TargetMode="External"/><Relationship Id="rId1214" Type="http://schemas.openxmlformats.org/officeDocument/2006/relationships/hyperlink" Target="https://docs.inecelectionresults.net/elections_prod/1292/state/1/lga/3672/ward/24038/pu/92302/92302-1677511293.pdf" TargetMode="External"/><Relationship Id="rId2545" Type="http://schemas.openxmlformats.org/officeDocument/2006/relationships/hyperlink" Target="https://docs.inecelectionresults.net/elections_prod/1292/state/1/lga/3685/ward/24181/pu/93969/93969-1677460072.pdf" TargetMode="External"/><Relationship Id="rId3875" Type="http://schemas.openxmlformats.org/officeDocument/2006/relationships/hyperlink" Target="https://docs.inecelectionresults.net/elections_prod/1292/state/01/lga/16/ward/10/pu/016/016-1677374530.pdf" TargetMode="External"/><Relationship Id="rId1215" Type="http://schemas.openxmlformats.org/officeDocument/2006/relationships/hyperlink" Target="https://docs.inecelectionresults.net/elections_prod/1292/state/1/lga/3672/ward/24038/pu/92308/92308-1677506735.pdf" TargetMode="External"/><Relationship Id="rId2546" Type="http://schemas.openxmlformats.org/officeDocument/2006/relationships/hyperlink" Target="https://docs.inecelectionresults.net/elections/1292/1677441003-93971.pdf" TargetMode="External"/><Relationship Id="rId3878" Type="http://schemas.openxmlformats.org/officeDocument/2006/relationships/hyperlink" Target="https://docs.inecelectionresults.net/elections_prod/1292/state/01/lga/16/ward/10/pu/019/019-1677374168.pdf" TargetMode="External"/><Relationship Id="rId1216" Type="http://schemas.openxmlformats.org/officeDocument/2006/relationships/hyperlink" Target="https://docs.inecelectionresults.net/elections_prod/1292/state/1/lga/3672/ward/24038/pu/92310/92310-1677513173.pdf" TargetMode="External"/><Relationship Id="rId2547" Type="http://schemas.openxmlformats.org/officeDocument/2006/relationships/hyperlink" Target="https://docs.inecelectionresults.net/elections_prod/1292/state/1/lga/3685/ward/24181/pu/93972/93972-1677456886.pdf" TargetMode="External"/><Relationship Id="rId3877" Type="http://schemas.openxmlformats.org/officeDocument/2006/relationships/hyperlink" Target="https://docs.inecelectionresults.net/elections_prod/1292/state/01/lga/16/ward/10/pu/018/018-1677389456.pdf" TargetMode="External"/><Relationship Id="rId1217" Type="http://schemas.openxmlformats.org/officeDocument/2006/relationships/hyperlink" Target="https://docs.inecelectionresults.net/elections_prod/1292/state/01/lga/08/ward/01/pu/002/002-1677406049.pdf" TargetMode="External"/><Relationship Id="rId2548" Type="http://schemas.openxmlformats.org/officeDocument/2006/relationships/hyperlink" Target="https://docs.inecelectionresults.net/elections_prod/1292/state/1/lga/3685/ward/24181/pu/93973/93973-1677457874.pdf" TargetMode="External"/><Relationship Id="rId1218" Type="http://schemas.openxmlformats.org/officeDocument/2006/relationships/hyperlink" Target="https://docs.inecelectionresults.net/elections_prod/1292/state/01/lga/08/ward/01/pu/003/003-1677405470.pdf" TargetMode="External"/><Relationship Id="rId2549" Type="http://schemas.openxmlformats.org/officeDocument/2006/relationships/hyperlink" Target="https://docs.inecelectionresults.net/elections_prod/1292/state/1/lga/3685/ward/24181/pu/93974/93974-1677460498.pdf" TargetMode="External"/><Relationship Id="rId3879" Type="http://schemas.openxmlformats.org/officeDocument/2006/relationships/hyperlink" Target="https://docs.inecelectionresults.net/elections_prod/1292/state/01/lga/16/ward/06/pu/011/011-1677405078.pdf" TargetMode="External"/><Relationship Id="rId1219" Type="http://schemas.openxmlformats.org/officeDocument/2006/relationships/hyperlink" Target="https://docs.inecelectionresults.net/elections_prod/1292/state/01/lga/08/ward/01/pu/004/004-1677404778.pdf" TargetMode="External"/><Relationship Id="rId3870" Type="http://schemas.openxmlformats.org/officeDocument/2006/relationships/hyperlink" Target="https://docs.inecelectionresults.net/elections_prod/1292/state/01/lga/16/ward/03/pu/013/013-1677390877.pdf" TargetMode="External"/><Relationship Id="rId2540" Type="http://schemas.openxmlformats.org/officeDocument/2006/relationships/hyperlink" Target="https://docs.inecelectionresults.net/elections_prod/1292/state/01/lga/20/ward/10/pu/015/015-1677358543.pdf" TargetMode="External"/><Relationship Id="rId3872" Type="http://schemas.openxmlformats.org/officeDocument/2006/relationships/hyperlink" Target="https://docs.inecelectionresults.net/elections_prod/1292/state/01/lga/16/ward/10/pu/013/013-1677372687.pdf" TargetMode="External"/><Relationship Id="rId1210" Type="http://schemas.openxmlformats.org/officeDocument/2006/relationships/hyperlink" Target="https://docs.inecelectionresults.net/elections_prod/1292/state/01/lga/07/ward/10/pu/006/006-1677419774.pdf" TargetMode="External"/><Relationship Id="rId2541" Type="http://schemas.openxmlformats.org/officeDocument/2006/relationships/hyperlink" Target="https://docs.inecelectionresults.net/elections_prod/1292/state/01/lga/20/ward/10/pu/016/016-1677358967.pdf" TargetMode="External"/><Relationship Id="rId3871" Type="http://schemas.openxmlformats.org/officeDocument/2006/relationships/hyperlink" Target="https://docs.inecelectionresults.net/elections_prod/1292/state/01/lga/16/ward/03/pu/014/014-1677386769.pdf" TargetMode="External"/><Relationship Id="rId1211" Type="http://schemas.openxmlformats.org/officeDocument/2006/relationships/hyperlink" Target="https://docs.inecelectionresults.net/elections_prod/1292/state/01/lga/07/ward/10/pu/008/008-1677399322.pdf" TargetMode="External"/><Relationship Id="rId2542" Type="http://schemas.openxmlformats.org/officeDocument/2006/relationships/hyperlink" Target="https://docs.inecelectionresults.net/elections_prod/1292/state/1/lga/3685/ward/24180/pu/93966/93966-1677496466.pdf" TargetMode="External"/><Relationship Id="rId3874" Type="http://schemas.openxmlformats.org/officeDocument/2006/relationships/hyperlink" Target="https://docs.inecelectionresults.net/elections_prod/1292/state/01/lga/16/ward/10/pu/015/015-1677375833.pdf" TargetMode="External"/><Relationship Id="rId1212" Type="http://schemas.openxmlformats.org/officeDocument/2006/relationships/hyperlink" Target="https://docs.inecelectionresults.net/elections_prod/1292/state/1/lga/3672/ward/24038/pu/92299/92299-1677513844.pdf" TargetMode="External"/><Relationship Id="rId2543" Type="http://schemas.openxmlformats.org/officeDocument/2006/relationships/hyperlink" Target="https://docs.inecelectionresults.net/elections_prod/1292/state/01/lga/20/ward/10/pu/018/018-1677365509.pdf" TargetMode="External"/><Relationship Id="rId3873" Type="http://schemas.openxmlformats.org/officeDocument/2006/relationships/hyperlink" Target="https://docs.inecelectionresults.net/elections_prod/1292/state/01/lga/16/ward/10/pu/014/014-1677370857.pdf" TargetMode="External"/><Relationship Id="rId1202" Type="http://schemas.openxmlformats.org/officeDocument/2006/relationships/hyperlink" Target="https://docs.inecelectionresults.net/elections_prod/1292/state/01/lga/07/ward/09/pu/001/001-1677391857.pdf" TargetMode="External"/><Relationship Id="rId2533" Type="http://schemas.openxmlformats.org/officeDocument/2006/relationships/hyperlink" Target="https://docs.inecelectionresults.net/elections_prod/1292/state/01/lga/20/ward/10/pu/005/005-1677359173.pdf" TargetMode="External"/><Relationship Id="rId3865" Type="http://schemas.openxmlformats.org/officeDocument/2006/relationships/hyperlink" Target="https://docs.inecelectionresults.net/elections_prod/1292/state/01/lga/16/ward/01/pu/020/020-1677358986.pdf" TargetMode="External"/><Relationship Id="rId1203" Type="http://schemas.openxmlformats.org/officeDocument/2006/relationships/hyperlink" Target="https://docs.inecelectionresults.net/elections_prod/1292/state/01/lga/07/ward/09/pu/002/002-1677398433.pdf" TargetMode="External"/><Relationship Id="rId2534" Type="http://schemas.openxmlformats.org/officeDocument/2006/relationships/hyperlink" Target="https://docs.inecelectionresults.net/elections_prod/1292/state/01/lga/20/ward/10/pu/007/007-1677383776.pdf" TargetMode="External"/><Relationship Id="rId3864" Type="http://schemas.openxmlformats.org/officeDocument/2006/relationships/hyperlink" Target="https://docs.inecelectionresults.net/elections_prod/1292/state/1/lga/3681/ward/24126/pu/166280/166280-1677582472.pdf" TargetMode="External"/><Relationship Id="rId1204" Type="http://schemas.openxmlformats.org/officeDocument/2006/relationships/hyperlink" Target="https://docs.inecelectionresults.net/elections_prod/1292/state/01/lga/07/ward/09/pu/004/004-1677407916.pdf" TargetMode="External"/><Relationship Id="rId2535" Type="http://schemas.openxmlformats.org/officeDocument/2006/relationships/hyperlink" Target="https://docs.inecelectionresults.net/elections_prod/1292/state/01/lga/20/ward/10/pu/008/008-1677361780.pdf" TargetMode="External"/><Relationship Id="rId3867" Type="http://schemas.openxmlformats.org/officeDocument/2006/relationships/hyperlink" Target="https://docs.inecelectionresults.net/elections_prod/1292/state/01/lga/16/ward/01/pu/022/022-1677362388.pdf" TargetMode="External"/><Relationship Id="rId1205" Type="http://schemas.openxmlformats.org/officeDocument/2006/relationships/hyperlink" Target="https://docs.inecelectionresults.net/elections_prod/1292/state/01/lga/07/ward/09/pu/006/006-1677389645.pdf" TargetMode="External"/><Relationship Id="rId2536" Type="http://schemas.openxmlformats.org/officeDocument/2006/relationships/hyperlink" Target="https://docs.inecelectionresults.net/elections_prod/1292/state/1/lga/3685/ward/24180/pu/93958/93958-1677508733.pdf" TargetMode="External"/><Relationship Id="rId3866" Type="http://schemas.openxmlformats.org/officeDocument/2006/relationships/hyperlink" Target="https://docs.inecelectionresults.net/elections_prod/1292/state/01/lga/16/ward/01/pu/021/021-1677358683.pdf" TargetMode="External"/><Relationship Id="rId1206" Type="http://schemas.openxmlformats.org/officeDocument/2006/relationships/hyperlink" Target="https://docs.inecelectionresults.net/elections_prod/1292/state/1/lga/3672/ward/24037/pu/92288/92288-1677516236.pdf" TargetMode="External"/><Relationship Id="rId2537" Type="http://schemas.openxmlformats.org/officeDocument/2006/relationships/hyperlink" Target="https://docs.inecelectionresults.net/elections_prod/1292/state/01/lga/20/ward/10/pu/011/011-1677358703.pdf" TargetMode="External"/><Relationship Id="rId3869" Type="http://schemas.openxmlformats.org/officeDocument/2006/relationships/hyperlink" Target="https://docs.inecelectionresults.net/elections_prod/1292/state/01/lga/16/ward/01/pu/025/025-1677363103.pdf" TargetMode="External"/><Relationship Id="rId1207" Type="http://schemas.openxmlformats.org/officeDocument/2006/relationships/hyperlink" Target="https://docs.inecelectionresults.net/elections_prod/1292/state/01/lga/07/ward/10/pu/002/002-1677422182.pdf" TargetMode="External"/><Relationship Id="rId2538" Type="http://schemas.openxmlformats.org/officeDocument/2006/relationships/hyperlink" Target="https://docs.inecelectionresults.net/elections_prod/1292/state/01/lga/20/ward/10/pu/012/012-1677373676.pdf" TargetMode="External"/><Relationship Id="rId3868" Type="http://schemas.openxmlformats.org/officeDocument/2006/relationships/hyperlink" Target="https://docs.inecelectionresults.net/elections_prod/1292/state/1/lga/3681/ward/24126/pu/166284/166284-1677585665.pdf" TargetMode="External"/><Relationship Id="rId1208" Type="http://schemas.openxmlformats.org/officeDocument/2006/relationships/hyperlink" Target="https://docs.inecelectionresults.net/elections_prod/1292/state/1/lga/3672/ward/24037/pu/92290/92290-1677486370.pdf" TargetMode="External"/><Relationship Id="rId2539" Type="http://schemas.openxmlformats.org/officeDocument/2006/relationships/hyperlink" Target="https://docs.inecelectionresults.net/elections_prod/1292/state/1/lga/3685/ward/24180/pu/93962/93962-1677509181.pdf" TargetMode="External"/><Relationship Id="rId1209" Type="http://schemas.openxmlformats.org/officeDocument/2006/relationships/hyperlink" Target="https://docs.inecelectionresults.net/elections_prod/1292/state/1/lga/3672/ward/24037/pu/92291/92291-1677477725.pdf" TargetMode="External"/><Relationship Id="rId3861" Type="http://schemas.openxmlformats.org/officeDocument/2006/relationships/hyperlink" Target="https://docs.inecelectionresults.net/elections_prod/1292/state/01/lga/16/ward/01/pu/016/016-1677361112.pdf" TargetMode="External"/><Relationship Id="rId2530" Type="http://schemas.openxmlformats.org/officeDocument/2006/relationships/hyperlink" Target="https://docs.inecelectionresults.net/elections_prod/1292/state/01/lga/20/ward/10/pu/001/001-1677361097.pdf" TargetMode="External"/><Relationship Id="rId3860" Type="http://schemas.openxmlformats.org/officeDocument/2006/relationships/hyperlink" Target="https://docs.inecelectionresults.net/elections_prod/1292/state/01/lga/16/ward/07/pu/038/038-1677400933.pdf" TargetMode="External"/><Relationship Id="rId1200" Type="http://schemas.openxmlformats.org/officeDocument/2006/relationships/hyperlink" Target="https://docs.inecelectionresults.net/elections_prod/1292/state/01/lga/07/ward/08/pu/016/016-1677368450.pdf" TargetMode="External"/><Relationship Id="rId2531" Type="http://schemas.openxmlformats.org/officeDocument/2006/relationships/hyperlink" Target="https://docs.inecelectionresults.net/elections_prod/1292/state/01/lga/20/ward/10/pu/002/002-1677368306.pdf" TargetMode="External"/><Relationship Id="rId3863" Type="http://schemas.openxmlformats.org/officeDocument/2006/relationships/hyperlink" Target="https://docs.inecelectionresults.net/elections_prod/1292/state/01/lga/16/ward/01/pu/018/018-1677360871.pdf" TargetMode="External"/><Relationship Id="rId1201" Type="http://schemas.openxmlformats.org/officeDocument/2006/relationships/hyperlink" Target="https://docs.inecelectionresults.net/elections_prod/1292/state/1/lga/3672/ward/24035/pu/92279/92279-1677529517.pdf" TargetMode="External"/><Relationship Id="rId2532" Type="http://schemas.openxmlformats.org/officeDocument/2006/relationships/hyperlink" Target="https://docs.inecelectionresults.net/elections_prod/1292/state/01/lga/20/ward/10/pu/003/003-1677358786.pdf" TargetMode="External"/><Relationship Id="rId3862" Type="http://schemas.openxmlformats.org/officeDocument/2006/relationships/hyperlink" Target="https://docs.inecelectionresults.net/elections_prod/1292/state/1/lga/3681/ward/24126/pu/166278/166278-1677586503.pdf" TargetMode="External"/><Relationship Id="rId1235" Type="http://schemas.openxmlformats.org/officeDocument/2006/relationships/hyperlink" Target="https://docs.inecelectionresults.net/elections_prod/1292/state/01/lga/08/ward/02/pu/010/010-1677409269.pdf" TargetMode="External"/><Relationship Id="rId2566" Type="http://schemas.openxmlformats.org/officeDocument/2006/relationships/hyperlink" Target="https://docs.inecelectionresults.net/elections_prod/1292/state/01/lga/20/ward/13/pu/008/008-1677402189.pdf" TargetMode="External"/><Relationship Id="rId3898" Type="http://schemas.openxmlformats.org/officeDocument/2006/relationships/hyperlink" Target="https://docs.inecelectionresults.net/elections_prod/1292/state/01/lga/17/ward/08/pu/005/005-1677369679.pdf" TargetMode="External"/><Relationship Id="rId1236" Type="http://schemas.openxmlformats.org/officeDocument/2006/relationships/hyperlink" Target="https://docs.inecelectionresults.net/elections_prod/1292/state/01/lga/08/ward/02/pu/011/011-1677409315.pdf" TargetMode="External"/><Relationship Id="rId2567" Type="http://schemas.openxmlformats.org/officeDocument/2006/relationships/hyperlink" Target="https://docs.inecelectionresults.net/elections_prod/1292/state/01/lga/20/ward/13/pu/009/009-1677402953.pdf" TargetMode="External"/><Relationship Id="rId3897" Type="http://schemas.openxmlformats.org/officeDocument/2006/relationships/hyperlink" Target="https://inec-cvr-cache.s3.eu-west-1.amazonaws.com/cached/results/661650/result_80392_1677528079_thumb.jpg" TargetMode="External"/><Relationship Id="rId1237" Type="http://schemas.openxmlformats.org/officeDocument/2006/relationships/hyperlink" Target="https://docs.inecelectionresults.net/elections_prod/1292/state/01/lga/08/ward/03/pu/001/001-1677411755.pdf" TargetMode="External"/><Relationship Id="rId2568" Type="http://schemas.openxmlformats.org/officeDocument/2006/relationships/hyperlink" Target="https://docs.inecelectionresults.net/elections_prod/1292/state/1/lga/3685/ward/24183/pu/93994/93994-1677507922.pdf" TargetMode="External"/><Relationship Id="rId1238" Type="http://schemas.openxmlformats.org/officeDocument/2006/relationships/hyperlink" Target="https://docs.inecelectionresults.net/elections_prod/1292/state/01/lga/08/ward/03/pu/002/002-1677409227.pdf" TargetMode="External"/><Relationship Id="rId2569" Type="http://schemas.openxmlformats.org/officeDocument/2006/relationships/hyperlink" Target="https://docs.inecelectionresults.net/elections_prod/1292/state/01/lga/20/ward/13/pu/011/011-1677405647.pdf" TargetMode="External"/><Relationship Id="rId3899" Type="http://schemas.openxmlformats.org/officeDocument/2006/relationships/hyperlink" Target="https://docs.inecelectionresults.net/elections_prod/1292/state/01/lga/17/ward/08/pu/006/006-1677369852.pdf" TargetMode="External"/><Relationship Id="rId1239" Type="http://schemas.openxmlformats.org/officeDocument/2006/relationships/hyperlink" Target="https://docs.inecelectionresults.net/elections_prod/1292/state/01/lga/08/ward/03/pu/003/003-1677415553.pdf" TargetMode="External"/><Relationship Id="rId409" Type="http://schemas.openxmlformats.org/officeDocument/2006/relationships/hyperlink" Target="https://docs.inecelectionresults.net/elections_prod/1292/state/01/lga/02/ward/15/pu/015/015-1677414907.pdf" TargetMode="External"/><Relationship Id="rId404" Type="http://schemas.openxmlformats.org/officeDocument/2006/relationships/hyperlink" Target="https://docs.inecelectionresults.net/elections_prod/1292/state/01/lga/02/ward/15/pu/008/008-1677410663.pdf" TargetMode="External"/><Relationship Id="rId403" Type="http://schemas.openxmlformats.org/officeDocument/2006/relationships/hyperlink" Target="https://docs.inecelectionresults.net/elections_prod/1292/state/01/lga/02/ward/15/pu/007/007-1677411977.pdf" TargetMode="External"/><Relationship Id="rId402" Type="http://schemas.openxmlformats.org/officeDocument/2006/relationships/hyperlink" Target="https://docs.inecelectionresults.net/elections_prod/1292/state/01/lga/02/ward/15/pu/006/006-1677409277.pdf" TargetMode="External"/><Relationship Id="rId401" Type="http://schemas.openxmlformats.org/officeDocument/2006/relationships/hyperlink" Target="https://docs.inecelectionresults.net/elections_prod/1292/state/01/lga/02/ward/15/pu/005/005-1677410009.pdf" TargetMode="External"/><Relationship Id="rId408" Type="http://schemas.openxmlformats.org/officeDocument/2006/relationships/hyperlink" Target="https://docs.inecelectionresults.net/elections_prod/1292/state/01/lga/02/ward/15/pu/014/014-1677414430.pdf" TargetMode="External"/><Relationship Id="rId407" Type="http://schemas.openxmlformats.org/officeDocument/2006/relationships/hyperlink" Target="https://docs.inecelectionresults.net/elections_prod/1292/state/01/lga/02/ward/15/pu/013/013-1677414026.pdf" TargetMode="External"/><Relationship Id="rId406" Type="http://schemas.openxmlformats.org/officeDocument/2006/relationships/hyperlink" Target="https://docs.inecelectionresults.net/elections_prod/1292/state/01/lga/02/ward/15/pu/011/011-1677412782.pdf" TargetMode="External"/><Relationship Id="rId405" Type="http://schemas.openxmlformats.org/officeDocument/2006/relationships/hyperlink" Target="https://docs.inecelectionresults.net/elections_prod/1292/state/01/lga/02/ward/15/pu/009/009-1677411428.pdf" TargetMode="External"/><Relationship Id="rId3890" Type="http://schemas.openxmlformats.org/officeDocument/2006/relationships/hyperlink" Target="https://docs.inecelectionresults.net/elections_prod/1292/state/01/lga/16/ward/06/pu/024/024-1677409427.pdf" TargetMode="External"/><Relationship Id="rId2560" Type="http://schemas.openxmlformats.org/officeDocument/2006/relationships/hyperlink" Target="https://docs.inecelectionresults.net/elections_prod/1292/state/01/lga/20/ward/13/pu/002/002-1677409687.pdf" TargetMode="External"/><Relationship Id="rId3892" Type="http://schemas.openxmlformats.org/officeDocument/2006/relationships/hyperlink" Target="https://inec-cvr-cache.s3.eu-west-1.amazonaws.com/cached/results/661644/result_80358_1677533918_thumb.jpg" TargetMode="External"/><Relationship Id="rId1230" Type="http://schemas.openxmlformats.org/officeDocument/2006/relationships/hyperlink" Target="https://docs.inecelectionresults.net/elections_prod/1292/state/01/lga/08/ward/02/pu/005/005-1677408726.pdf" TargetMode="External"/><Relationship Id="rId2561" Type="http://schemas.openxmlformats.org/officeDocument/2006/relationships/hyperlink" Target="https://docs.inecelectionresults.net/elections_prod/1292/state/01/lga/20/ward/13/pu/003/003-1677407107.pdf" TargetMode="External"/><Relationship Id="rId3891" Type="http://schemas.openxmlformats.org/officeDocument/2006/relationships/hyperlink" Target="https://docs.inecelectionresults.net/elections_prod/1292/state/01/lga/16/ward/06/pu/025/025-1677406045.pdf" TargetMode="External"/><Relationship Id="rId400" Type="http://schemas.openxmlformats.org/officeDocument/2006/relationships/hyperlink" Target="https://docs.inecelectionresults.net/elections_prod/1292/state/01/lga/02/ward/15/pu/004/004-1677408524.pdf" TargetMode="External"/><Relationship Id="rId1231" Type="http://schemas.openxmlformats.org/officeDocument/2006/relationships/hyperlink" Target="https://docs.inecelectionresults.net/elections_prod/1292/state/01/lga/08/ward/02/pu/006/006-1677408406.pdf" TargetMode="External"/><Relationship Id="rId2562" Type="http://schemas.openxmlformats.org/officeDocument/2006/relationships/hyperlink" Target="https://docs.inecelectionresults.net/elections_prod/1292/state/01/lga/20/ward/13/pu/004/004-1677404433.pdf" TargetMode="External"/><Relationship Id="rId3894" Type="http://schemas.openxmlformats.org/officeDocument/2006/relationships/hyperlink" Target="https://inec-cvr-cache.s3.eu-west-1.amazonaws.com/cached/results/661646/result_80360_1677534392_thumb.jpg" TargetMode="External"/><Relationship Id="rId1232" Type="http://schemas.openxmlformats.org/officeDocument/2006/relationships/hyperlink" Target="https://docs.inecelectionresults.net/elections_prod/1292/state/01/lga/08/ward/02/pu/007/007-1677408946.pdf" TargetMode="External"/><Relationship Id="rId2563" Type="http://schemas.openxmlformats.org/officeDocument/2006/relationships/hyperlink" Target="https://docs.inecelectionresults.net/elections_prod/1292/state/01/lga/20/ward/13/pu/005/005-1677397909.pdf" TargetMode="External"/><Relationship Id="rId3893" Type="http://schemas.openxmlformats.org/officeDocument/2006/relationships/hyperlink" Target="https://inec-cvr-cache.s3.eu-west-1.amazonaws.com/cached/results/661645/result_80359_1677534136_thumb.jpg" TargetMode="External"/><Relationship Id="rId1233" Type="http://schemas.openxmlformats.org/officeDocument/2006/relationships/hyperlink" Target="https://docs.inecelectionresults.net/elections_prod/1292/state/1/lga/3673/ward/24040/pu/92331/92331-1677493985.pdf" TargetMode="External"/><Relationship Id="rId2564" Type="http://schemas.openxmlformats.org/officeDocument/2006/relationships/hyperlink" Target="https://docs.inecelectionresults.net/elections_prod/1292/state/01/lga/20/ward/13/pu/006/006-1677400525.pdf" TargetMode="External"/><Relationship Id="rId3896" Type="http://schemas.openxmlformats.org/officeDocument/2006/relationships/hyperlink" Target="https://inec-cvr-cache.s3.eu-west-1.amazonaws.com/cached/results/661649/result_80391_1677526921_thumb.jpg" TargetMode="External"/><Relationship Id="rId1234" Type="http://schemas.openxmlformats.org/officeDocument/2006/relationships/hyperlink" Target="https://docs.inecelectionresults.net/elections_prod/1292/state/01/lga/08/ward/02/pu/009/009-1677409016.pdf" TargetMode="External"/><Relationship Id="rId2565" Type="http://schemas.openxmlformats.org/officeDocument/2006/relationships/hyperlink" Target="https://docs.inecelectionresults.net/elections_prod/1292/state/01/lga/20/ward/13/pu/007/007-1677399964.pdf" TargetMode="External"/><Relationship Id="rId3895" Type="http://schemas.openxmlformats.org/officeDocument/2006/relationships/hyperlink" Target="https://inec-cvr-cache.s3.eu-west-1.amazonaws.com/cached/results/661648/result_80390_1677526796_thumb.jpg" TargetMode="External"/><Relationship Id="rId1224" Type="http://schemas.openxmlformats.org/officeDocument/2006/relationships/hyperlink" Target="https://docs.inecelectionresults.net/elections_prod/1292/state/01/lga/08/ward/01/pu/009/009-1677406794.pdf" TargetMode="External"/><Relationship Id="rId2555" Type="http://schemas.openxmlformats.org/officeDocument/2006/relationships/hyperlink" Target="https://docs.inecelectionresults.net/elections_prod/1292/state/01/lga/20/ward/12/pu/004/004-1677391343.pdf" TargetMode="External"/><Relationship Id="rId3887" Type="http://schemas.openxmlformats.org/officeDocument/2006/relationships/hyperlink" Target="https://docs.inecelectionresults.net/elections_prod/1292/state/01/lga/16/ward/06/pu/020/020-1677410865.pdf" TargetMode="External"/><Relationship Id="rId1225" Type="http://schemas.openxmlformats.org/officeDocument/2006/relationships/hyperlink" Target="https://docs.inecelectionresults.net/elections_prod/1292/state/01/lga/08/ward/01/pu/010/010-1677407251.pdf" TargetMode="External"/><Relationship Id="rId2556" Type="http://schemas.openxmlformats.org/officeDocument/2006/relationships/hyperlink" Target="https://docs.inecelectionresults.net/elections_prod/1292/state/01/lga/20/ward/12/pu/005/005-1677391401.pdf" TargetMode="External"/><Relationship Id="rId3886" Type="http://schemas.openxmlformats.org/officeDocument/2006/relationships/hyperlink" Target="https://docs.inecelectionresults.net/elections_prod/1292/state/01/lga/16/ward/06/pu/019/019-1677406559.pdf" TargetMode="External"/><Relationship Id="rId1226" Type="http://schemas.openxmlformats.org/officeDocument/2006/relationships/hyperlink" Target="https://docs.inecelectionresults.net/elections_prod/1292/state/01/lga/08/ward/02/pu/001/001-1677404082.pdf" TargetMode="External"/><Relationship Id="rId2557" Type="http://schemas.openxmlformats.org/officeDocument/2006/relationships/hyperlink" Target="https://docs.inecelectionresults.net/elections_prod/1292/state/01/lga/20/ward/12/pu/006/006-1677395758.pdf" TargetMode="External"/><Relationship Id="rId3889" Type="http://schemas.openxmlformats.org/officeDocument/2006/relationships/hyperlink" Target="https://docs.inecelectionresults.net/elections_prod/1292/state/01/lga/16/ward/06/pu/022/022-1677408830.pdf" TargetMode="External"/><Relationship Id="rId1227" Type="http://schemas.openxmlformats.org/officeDocument/2006/relationships/hyperlink" Target="https://docs.inecelectionresults.net/elections_prod/1292/state/01/lga/08/ward/02/pu/002/002-1677407469.pdf" TargetMode="External"/><Relationship Id="rId2558" Type="http://schemas.openxmlformats.org/officeDocument/2006/relationships/hyperlink" Target="https://docs.inecelectionresults.net/elections_prod/1292/state/01/lga/20/ward/12/pu/008/008-1677392347.pdf" TargetMode="External"/><Relationship Id="rId3888" Type="http://schemas.openxmlformats.org/officeDocument/2006/relationships/hyperlink" Target="https://docs.inecelectionresults.net/elections_prod/1292/state/01/lga/16/ward/06/pu/021/021-1677411995.pdf" TargetMode="External"/><Relationship Id="rId1228" Type="http://schemas.openxmlformats.org/officeDocument/2006/relationships/hyperlink" Target="https://docs.inecelectionresults.net/elections_prod/1292/state/01/lga/08/ward/02/pu/003/003-1677404411.pdf" TargetMode="External"/><Relationship Id="rId2559" Type="http://schemas.openxmlformats.org/officeDocument/2006/relationships/hyperlink" Target="https://docs.inecelectionresults.net/elections_prod/1292/state/01/lga/20/ward/13/pu/001/001-1677405103.pdf" TargetMode="External"/><Relationship Id="rId1229" Type="http://schemas.openxmlformats.org/officeDocument/2006/relationships/hyperlink" Target="https://docs.inecelectionresults.net/elections_prod/1292/state/01/lga/08/ward/02/pu/004/004-1677407997.pdf" TargetMode="External"/><Relationship Id="rId3881" Type="http://schemas.openxmlformats.org/officeDocument/2006/relationships/hyperlink" Target="https://docs.inecelectionresults.net/elections_prod/1292/state/01/lga/16/ward/06/pu/013/013-1677400988.pdf" TargetMode="External"/><Relationship Id="rId2550" Type="http://schemas.openxmlformats.org/officeDocument/2006/relationships/hyperlink" Target="https://docs.inecelectionresults.net/elections_prod/1292/state/01/lga/20/ward/11/pu/007/007-1677390089.pdf" TargetMode="External"/><Relationship Id="rId3880" Type="http://schemas.openxmlformats.org/officeDocument/2006/relationships/hyperlink" Target="https://docs.inecelectionresults.net/elections_prod/1292/state/01/lga/16/ward/06/pu/012/012-1677395837.pdf" TargetMode="External"/><Relationship Id="rId1220" Type="http://schemas.openxmlformats.org/officeDocument/2006/relationships/hyperlink" Target="https://docs.inecelectionresults.net/elections_prod/1292/state/01/lga/08/ward/01/pu/005/005-1677402855.pdf" TargetMode="External"/><Relationship Id="rId2551" Type="http://schemas.openxmlformats.org/officeDocument/2006/relationships/hyperlink" Target="https://docs.inecelectionresults.net/elections_prod/1292/state/1/lga/3685/ward/24181/pu/93976/93976-1677456181.pdf" TargetMode="External"/><Relationship Id="rId3883" Type="http://schemas.openxmlformats.org/officeDocument/2006/relationships/hyperlink" Target="https://docs.inecelectionresults.net/elections_prod/1292/state/01/lga/16/ward/06/pu/016/016-1677402654.pdf" TargetMode="External"/><Relationship Id="rId1221" Type="http://schemas.openxmlformats.org/officeDocument/2006/relationships/hyperlink" Target="https://docs.inecelectionresults.net/elections_prod/1292/state/01/lga/08/ward/01/pu/006/006-1677403255.pdf" TargetMode="External"/><Relationship Id="rId2552" Type="http://schemas.openxmlformats.org/officeDocument/2006/relationships/hyperlink" Target="https://docs.inecelectionresults.net/elections_prod/1292/state/01/lga/20/ward/12/pu/001/001-1677389444.pdf" TargetMode="External"/><Relationship Id="rId3882" Type="http://schemas.openxmlformats.org/officeDocument/2006/relationships/hyperlink" Target="https://docs.inecelectionresults.net/elections_prod/1292/state/01/lga/16/ward/06/pu/014/014-1677406335.pdf" TargetMode="External"/><Relationship Id="rId1222" Type="http://schemas.openxmlformats.org/officeDocument/2006/relationships/hyperlink" Target="https://docs.inecelectionresults.net/elections_prod/1292/state/01/lga/08/ward/01/pu/007/007-1677401775.pdf" TargetMode="External"/><Relationship Id="rId2553" Type="http://schemas.openxmlformats.org/officeDocument/2006/relationships/hyperlink" Target="https://docs.inecelectionresults.net/elections_prod/1292/state/1/lga/3685/ward/24182/pu/93978/93978-1677489605.pdf" TargetMode="External"/><Relationship Id="rId3885" Type="http://schemas.openxmlformats.org/officeDocument/2006/relationships/hyperlink" Target="https://docs.inecelectionresults.net/elections_prod/1292/state/01/lga/16/ward/06/pu/018/018-1677413744.pdf" TargetMode="External"/><Relationship Id="rId1223" Type="http://schemas.openxmlformats.org/officeDocument/2006/relationships/hyperlink" Target="https://docs.inecelectionresults.net/elections_prod/1292/state/01/lga/08/ward/01/pu/008/008-1677403920.pdf" TargetMode="External"/><Relationship Id="rId2554" Type="http://schemas.openxmlformats.org/officeDocument/2006/relationships/hyperlink" Target="https://docs.inecelectionresults.net/elections_prod/1292/state/1/lga/3685/ward/24182/pu/93979/93979-1677485037.pdf" TargetMode="External"/><Relationship Id="rId3884" Type="http://schemas.openxmlformats.org/officeDocument/2006/relationships/hyperlink" Target="https://docs.inecelectionresults.net/elections_prod/1292/state/01/lga/16/ward/06/pu/017/017-1677407032.pdf" TargetMode="External"/><Relationship Id="rId2500" Type="http://schemas.openxmlformats.org/officeDocument/2006/relationships/hyperlink" Target="https://docs.inecelectionresults.net/elections_prod/1292/state/01/lga/20/ward/05/pu/012/012-1677404843.pdf" TargetMode="External"/><Relationship Id="rId3832" Type="http://schemas.openxmlformats.org/officeDocument/2006/relationships/hyperlink" Target="https://docs.inecelectionresults.net/elections_prod/1292/state/1/lga/3680/ward/24116/pu/166240/166240-1677607200.pdf" TargetMode="External"/><Relationship Id="rId2501" Type="http://schemas.openxmlformats.org/officeDocument/2006/relationships/hyperlink" Target="https://docs.inecelectionresults.net/elections_prod/1292/state/01/lga/20/ward/05/pu/013/013-1677398577.pdf" TargetMode="External"/><Relationship Id="rId3831" Type="http://schemas.openxmlformats.org/officeDocument/2006/relationships/hyperlink" Target="https://docs.inecelectionresults.net/elections_prod/1292/state/1/lga/3680/ward/24116/pu/166239/166239-1677601354.pdf" TargetMode="External"/><Relationship Id="rId2502" Type="http://schemas.openxmlformats.org/officeDocument/2006/relationships/hyperlink" Target="https://docs.inecelectionresults.net/elections_prod/1292/state/01/lga/20/ward/05/pu/014/014-1677398540.pdf" TargetMode="External"/><Relationship Id="rId3834" Type="http://schemas.openxmlformats.org/officeDocument/2006/relationships/hyperlink" Target="https://inec-cvr-cache.s3.eu-west-1.amazonaws.com/cached/results/661569/result_79944_1677588306_thumb.jpg" TargetMode="External"/><Relationship Id="rId2503" Type="http://schemas.openxmlformats.org/officeDocument/2006/relationships/hyperlink" Target="https://docs.inecelectionresults.net/elections_prod/1292/state/01/lga/20/ward/05/pu/015/015-1677403753.pdf" TargetMode="External"/><Relationship Id="rId3833" Type="http://schemas.openxmlformats.org/officeDocument/2006/relationships/hyperlink" Target="https://inec-cvr-cache.s3.eu-west-1.amazonaws.com/cached/results/661568/result_79943_1677587860_thumb.jpg" TargetMode="External"/><Relationship Id="rId2504" Type="http://schemas.openxmlformats.org/officeDocument/2006/relationships/hyperlink" Target="https://docs.inecelectionresults.net/elections_prod/1292/state/01/lga/20/ward/05/pu/016/016-1677406014.pdf" TargetMode="External"/><Relationship Id="rId3836" Type="http://schemas.openxmlformats.org/officeDocument/2006/relationships/hyperlink" Target="https://inec-cvr-cache.s3.eu-west-1.amazonaws.com/cached/results/661571/result_79947_1677589426_thumb.jpg" TargetMode="External"/><Relationship Id="rId2505" Type="http://schemas.openxmlformats.org/officeDocument/2006/relationships/hyperlink" Target="https://docs.inecelectionresults.net/elections_prod/1292/state/01/lga/20/ward/06/pu/001/001-1677392218.pdf" TargetMode="External"/><Relationship Id="rId3835" Type="http://schemas.openxmlformats.org/officeDocument/2006/relationships/hyperlink" Target="https://inec-cvr-cache.s3.eu-west-1.amazonaws.com/cached/results/661570/result_79945_1677589731_thumb.jpg" TargetMode="External"/><Relationship Id="rId2506" Type="http://schemas.openxmlformats.org/officeDocument/2006/relationships/hyperlink" Target="https://docs.inecelectionresults.net/elections_prod/1292/state/01/lga/20/ward/06/pu/002/002-1677390591.pdf" TargetMode="External"/><Relationship Id="rId3838" Type="http://schemas.openxmlformats.org/officeDocument/2006/relationships/hyperlink" Target="https://inec-cvr-cache.s3.eu-west-1.amazonaws.com/cached/results/661573/result_79949_1677588649_thumb.jpg" TargetMode="External"/><Relationship Id="rId2507" Type="http://schemas.openxmlformats.org/officeDocument/2006/relationships/hyperlink" Target="https://docs.inecelectionresults.net/elections_prod/1292/state/01/lga/20/ward/06/pu/007/007-1677393976.pdf" TargetMode="External"/><Relationship Id="rId3837" Type="http://schemas.openxmlformats.org/officeDocument/2006/relationships/hyperlink" Target="https://docs.inecelectionresults.net/elections_prod/1292/state/1/lga/3680/ward/24116/pu/166248/166248-1677607014.pdf" TargetMode="External"/><Relationship Id="rId2508" Type="http://schemas.openxmlformats.org/officeDocument/2006/relationships/hyperlink" Target="https://docs.inecelectionresults.net/elections_prod/1292/state/01/lga/20/ward/06/pu/008/008-1677393857.pdf" TargetMode="External"/><Relationship Id="rId2509" Type="http://schemas.openxmlformats.org/officeDocument/2006/relationships/hyperlink" Target="https://inec-cvr-cache.s3.eu-west-1.amazonaws.com/cached/results/92821/result_80843_1677518727_thumb.jpg" TargetMode="External"/><Relationship Id="rId3839" Type="http://schemas.openxmlformats.org/officeDocument/2006/relationships/hyperlink" Target="https://docs.inecelectionresults.net/elections_prod/1292/state/1/lga/3680/ward/24116/pu/166250/166250-1677603159.pdf" TargetMode="External"/><Relationship Id="rId3830" Type="http://schemas.openxmlformats.org/officeDocument/2006/relationships/hyperlink" Target="https://docs.inecelectionresults.net/elections_prod/1292/state/1/lga/3680/ward/24116/pu/166238/166238-1677607395.pdf" TargetMode="External"/><Relationship Id="rId3821" Type="http://schemas.openxmlformats.org/officeDocument/2006/relationships/hyperlink" Target="https://docs.inecelectionresults.net/elections_prod/1292/state/1/lga/3680/ward/24115/pu/166229/166229-1677543274.pdf" TargetMode="External"/><Relationship Id="rId3820" Type="http://schemas.openxmlformats.org/officeDocument/2006/relationships/hyperlink" Target="https://docs.inecelectionresults.net/elections_prod/1292/state/1/lga/3680/ward/24115/pu/166228/166228-1677582614.pdf" TargetMode="External"/><Relationship Id="rId3823" Type="http://schemas.openxmlformats.org/officeDocument/2006/relationships/hyperlink" Target="https://docs.inecelectionresults.net/elections_prod/1292/state/1/lga/3680/ward/24115/pu/166231/166231-1677542094.pdf" TargetMode="External"/><Relationship Id="rId3822" Type="http://schemas.openxmlformats.org/officeDocument/2006/relationships/hyperlink" Target="https://docs.inecelectionresults.net/elections_prod/1292/state/1/lga/3680/ward/24115/pu/166230/166230-1677582965.pdf" TargetMode="External"/><Relationship Id="rId3825" Type="http://schemas.openxmlformats.org/officeDocument/2006/relationships/hyperlink" Target="https://docs.inecelectionresults.net/elections_prod/1292/state/1/lga/3680/ward/24115/pu/166233/166233-1677541633.pdf" TargetMode="External"/><Relationship Id="rId3824" Type="http://schemas.openxmlformats.org/officeDocument/2006/relationships/hyperlink" Target="https://docs.inecelectionresults.net/elections_prod/1292/state/1/lga/3680/ward/24115/pu/166232/166232-1677583436.pdf" TargetMode="External"/><Relationship Id="rId3827" Type="http://schemas.openxmlformats.org/officeDocument/2006/relationships/hyperlink" Target="https://docs.inecelectionresults.net/elections_prod/1292/state/1/lga/3680/ward/24116/pu/166235/166235-1677601382.pdf" TargetMode="External"/><Relationship Id="rId3826" Type="http://schemas.openxmlformats.org/officeDocument/2006/relationships/hyperlink" Target="https://docs.inecelectionresults.net/elections_prod/1292/state/1/lga/3680/ward/24116/pu/166234/166234-1677602953.pdf" TargetMode="External"/><Relationship Id="rId3829" Type="http://schemas.openxmlformats.org/officeDocument/2006/relationships/hyperlink" Target="https://docs.inecelectionresults.net/elections_prod/1292/state/1/lga/3680/ward/24116/pu/166237/166237-1677601222.pdf" TargetMode="External"/><Relationship Id="rId3828" Type="http://schemas.openxmlformats.org/officeDocument/2006/relationships/hyperlink" Target="https://docs.inecelectionresults.net/elections_prod/1292/state/1/lga/3680/ward/24116/pu/166236/166236-1677601637.pdf" TargetMode="External"/><Relationship Id="rId2522" Type="http://schemas.openxmlformats.org/officeDocument/2006/relationships/hyperlink" Target="https://docs.inecelectionresults.net/elections_prod/1292/state/01/lga/20/ward/09/pu/002/002-1677372821.pdf" TargetMode="External"/><Relationship Id="rId3854" Type="http://schemas.openxmlformats.org/officeDocument/2006/relationships/hyperlink" Target="https://docs.inecelectionresults.net/elections_prod/1292/state/01/lga/16/ward/07/pu/028/028-1677392865.pdf" TargetMode="External"/><Relationship Id="rId2523" Type="http://schemas.openxmlformats.org/officeDocument/2006/relationships/hyperlink" Target="https://docs.inecelectionresults.net/elections_prod/1292/state/01/lga/20/ward/09/pu/003/003-1677372547.pdf" TargetMode="External"/><Relationship Id="rId3853" Type="http://schemas.openxmlformats.org/officeDocument/2006/relationships/hyperlink" Target="https://docs.inecelectionresults.net/elections_prod/1292/state/01/lga/16/ward/07/pu/027/027-1677405441.pdf" TargetMode="External"/><Relationship Id="rId2524" Type="http://schemas.openxmlformats.org/officeDocument/2006/relationships/hyperlink" Target="https://docs.inecelectionresults.net/elections_prod/1292/state/01/lga/20/ward/09/pu/004/004-1677374969.pdf" TargetMode="External"/><Relationship Id="rId3856" Type="http://schemas.openxmlformats.org/officeDocument/2006/relationships/hyperlink" Target="https://docs.inecelectionresults.net/elections_prod/1292/state/01/lga/16/ward/07/pu/032/032-1677394971.pdf" TargetMode="External"/><Relationship Id="rId2525" Type="http://schemas.openxmlformats.org/officeDocument/2006/relationships/hyperlink" Target="https://docs.inecelectionresults.net/elections_prod/1292/state/01/lga/20/ward/09/pu/005/005-1677374912.pdf" TargetMode="External"/><Relationship Id="rId3855" Type="http://schemas.openxmlformats.org/officeDocument/2006/relationships/hyperlink" Target="https://docs.inecelectionresults.net/elections_prod/1292/state/01/lga/16/ward/07/pu/030/030-1677403155.pdf" TargetMode="External"/><Relationship Id="rId2526" Type="http://schemas.openxmlformats.org/officeDocument/2006/relationships/hyperlink" Target="https://docs.inecelectionresults.net/elections_prod/1292/state/01/lga/20/ward/09/pu/006/006-1677388275.pdf" TargetMode="External"/><Relationship Id="rId3858" Type="http://schemas.openxmlformats.org/officeDocument/2006/relationships/hyperlink" Target="https://docs.inecelectionresults.net/elections_prod/1292/state/1/lga/3681/ward/24132/pu/166333/166333-1677510906.pdf" TargetMode="External"/><Relationship Id="rId2527" Type="http://schemas.openxmlformats.org/officeDocument/2006/relationships/hyperlink" Target="https://docs.inecelectionresults.net/elections_prod/1292/state/01/lga/20/ward/09/pu/008/008-1677386714.pdf" TargetMode="External"/><Relationship Id="rId3857" Type="http://schemas.openxmlformats.org/officeDocument/2006/relationships/hyperlink" Target="https://docs.inecelectionresults.net/elections_prod/1292/state/01/lga/16/ward/07/pu/033/033-1677401884.pdf" TargetMode="External"/><Relationship Id="rId2528" Type="http://schemas.openxmlformats.org/officeDocument/2006/relationships/hyperlink" Target="https://docs.inecelectionresults.net/elections_prod/1292/state/01/lga/20/ward/09/pu/011/011-1677375031.pdf" TargetMode="External"/><Relationship Id="rId2529" Type="http://schemas.openxmlformats.org/officeDocument/2006/relationships/hyperlink" Target="https://docs.inecelectionresults.net/elections_prod/1292/state/01/lga/20/ward/09/pu/012/012-1677375637.pdf" TargetMode="External"/><Relationship Id="rId3859" Type="http://schemas.openxmlformats.org/officeDocument/2006/relationships/hyperlink" Target="https://docs.inecelectionresults.net/elections_prod/1292/state/1/lga/3681/ward/24132/pu/166334/166334-1677510790.pdf" TargetMode="External"/><Relationship Id="rId3850" Type="http://schemas.openxmlformats.org/officeDocument/2006/relationships/hyperlink" Target="https://docs.inecelectionresults.net/elections_prod/1292/state/01/lga/16/ward/07/pu/023/023-1677393308.pdf" TargetMode="External"/><Relationship Id="rId2520" Type="http://schemas.openxmlformats.org/officeDocument/2006/relationships/hyperlink" Target="https://docs.inecelectionresults.net/elections_prod/1292/state/01/lga/20/ward/08/pu/007/007-1677410018.pdf" TargetMode="External"/><Relationship Id="rId3852" Type="http://schemas.openxmlformats.org/officeDocument/2006/relationships/hyperlink" Target="https://docs.inecelectionresults.net/elections_prod/1292/state/01/lga/16/ward/07/pu/026/026-1677387996.pdf" TargetMode="External"/><Relationship Id="rId2521" Type="http://schemas.openxmlformats.org/officeDocument/2006/relationships/hyperlink" Target="https://docs.inecelectionresults.net/elections_prod/1292/state/01/lga/20/ward/09/pu/001/001-1677374798.pdf" TargetMode="External"/><Relationship Id="rId3851" Type="http://schemas.openxmlformats.org/officeDocument/2006/relationships/hyperlink" Target="https://docs.inecelectionresults.net/elections_prod/1292/state/01/lga/16/ward/07/pu/024/024-1677383447.pdf" TargetMode="External"/><Relationship Id="rId2511" Type="http://schemas.openxmlformats.org/officeDocument/2006/relationships/hyperlink" Target="https://inec-cvr-cache.s3.eu-west-1.amazonaws.com/cached/results/92824/result_80846_1677519063_thumb.jpg" TargetMode="External"/><Relationship Id="rId3843" Type="http://schemas.openxmlformats.org/officeDocument/2006/relationships/hyperlink" Target="https://docs.inecelectionresults.net/elections_prod/1292/state/01/lga/16/ward/05/pu/018/018-1677418496.pdf" TargetMode="External"/><Relationship Id="rId2512" Type="http://schemas.openxmlformats.org/officeDocument/2006/relationships/hyperlink" Target="https://inec-cvr-cache.s3.eu-west-1.amazonaws.com/cached/results/92825/result_80847_1677519154_thumb.jpg" TargetMode="External"/><Relationship Id="rId3842" Type="http://schemas.openxmlformats.org/officeDocument/2006/relationships/hyperlink" Target="https://docs.inecelectionresults.net/elections_prod/1292/state/01/lga/16/ward/05/pu/017/017-1677418945.pdf" TargetMode="External"/><Relationship Id="rId2513" Type="http://schemas.openxmlformats.org/officeDocument/2006/relationships/hyperlink" Target="https://inec-cvr-cache.s3.eu-west-1.amazonaws.com/cached/results/92827/result_80849_1677519332_thumb.jpg" TargetMode="External"/><Relationship Id="rId3845" Type="http://schemas.openxmlformats.org/officeDocument/2006/relationships/hyperlink" Target="https://docs.inecelectionresults.net/elections_prod/1292/state/01/lga/16/ward/05/pu/021/021-1677416627.pdf" TargetMode="External"/><Relationship Id="rId2514" Type="http://schemas.openxmlformats.org/officeDocument/2006/relationships/hyperlink" Target="https://inec-cvr-cache.s3.eu-west-1.amazonaws.com/cached/results/92828/result_80850_1677519481_thumb.jpg" TargetMode="External"/><Relationship Id="rId3844" Type="http://schemas.openxmlformats.org/officeDocument/2006/relationships/hyperlink" Target="https://docs.inecelectionresults.net/elections_prod/1292/state/01/lga/16/ward/05/pu/020/020-1677417062.pdf" TargetMode="External"/><Relationship Id="rId2515" Type="http://schemas.openxmlformats.org/officeDocument/2006/relationships/hyperlink" Target="https://docs.inecelectionresults.net/elections_prod/1292/state/01/lga/20/ward/08/pu/001/001-1677405398.pdf" TargetMode="External"/><Relationship Id="rId3847" Type="http://schemas.openxmlformats.org/officeDocument/2006/relationships/hyperlink" Target="https://docs.inecelectionresults.net/elections_prod/1292/state/01/lga/16/ward/07/pu/016/016-1677382375.pdf" TargetMode="External"/><Relationship Id="rId2516" Type="http://schemas.openxmlformats.org/officeDocument/2006/relationships/hyperlink" Target="https://docs.inecelectionresults.net/elections_prod/1292/state/01/lga/20/ward/08/pu/002/002-1677406212.pdf" TargetMode="External"/><Relationship Id="rId3846" Type="http://schemas.openxmlformats.org/officeDocument/2006/relationships/hyperlink" Target="https://docs.inecelectionresults.net/elections_prod/1292/state/01/lga/16/ward/05/pu/022/022-1677362888.pdf" TargetMode="External"/><Relationship Id="rId2517" Type="http://schemas.openxmlformats.org/officeDocument/2006/relationships/hyperlink" Target="https://docs.inecelectionresults.net/elections_prod/1292/state/01/lga/20/ward/08/pu/003/003-1677404211.pdf" TargetMode="External"/><Relationship Id="rId3849" Type="http://schemas.openxmlformats.org/officeDocument/2006/relationships/hyperlink" Target="https://docs.inecelectionresults.net/elections_prod/1292/state/01/lga/16/ward/07/pu/022/022-1677366839.pdf" TargetMode="External"/><Relationship Id="rId2518" Type="http://schemas.openxmlformats.org/officeDocument/2006/relationships/hyperlink" Target="https://docs.inecelectionresults.net/elections_prod/1292/state/01/lga/20/ward/08/pu/004/004-1677410911.pdf" TargetMode="External"/><Relationship Id="rId3848" Type="http://schemas.openxmlformats.org/officeDocument/2006/relationships/hyperlink" Target="https://docs.inecelectionresults.net/elections_prod/1292/state/01/lga/16/ward/07/pu/021/021-1677393937.pdf" TargetMode="External"/><Relationship Id="rId2519" Type="http://schemas.openxmlformats.org/officeDocument/2006/relationships/hyperlink" Target="https://docs.inecelectionresults.net/elections_prod/1292/state/01/lga/20/ward/08/pu/005/005-1677405965.pdf" TargetMode="External"/><Relationship Id="rId3841" Type="http://schemas.openxmlformats.org/officeDocument/2006/relationships/hyperlink" Target="https://docs.inecelectionresults.net/elections_prod/1292/state/01/lga/16/ward/04/pu/013/013-1677358603.pdf" TargetMode="External"/><Relationship Id="rId2510" Type="http://schemas.openxmlformats.org/officeDocument/2006/relationships/hyperlink" Target="https://inec-cvr-cache.s3.eu-west-1.amazonaws.com/cached/results/92823/result_80845_1677518866_thumb.jpg" TargetMode="External"/><Relationship Id="rId3840" Type="http://schemas.openxmlformats.org/officeDocument/2006/relationships/hyperlink" Target="https://docs.inecelectionresults.net/elections_prod/1292/state/01/lga/16/ward/08/pu/008/008-1677363778.pdf" TargetMode="External"/><Relationship Id="rId469" Type="http://schemas.openxmlformats.org/officeDocument/2006/relationships/hyperlink" Target="https://docs.inecelectionresults.net/elections_prod/1292/state/01/lga/03/ward/03/pu/035/035-1677383666.pdf" TargetMode="External"/><Relationship Id="rId468" Type="http://schemas.openxmlformats.org/officeDocument/2006/relationships/hyperlink" Target="https://docs.inecelectionresults.net/elections_prod/1292/state/01/lga/03/ward/03/pu/034/034-1677380384.pdf" TargetMode="External"/><Relationship Id="rId467" Type="http://schemas.openxmlformats.org/officeDocument/2006/relationships/hyperlink" Target="https://docs.inecelectionresults.net/elections_prod/1292/state/01/lga/03/ward/03/pu/033/033-1677379728.pdf" TargetMode="External"/><Relationship Id="rId1290" Type="http://schemas.openxmlformats.org/officeDocument/2006/relationships/hyperlink" Target="https://docs.inecelectionresults.net/elections_prod/1292/state/01/lga/08/ward/08/pu/011/011-1677409263.pdf" TargetMode="External"/><Relationship Id="rId1291" Type="http://schemas.openxmlformats.org/officeDocument/2006/relationships/hyperlink" Target="https://docs.inecelectionresults.net/elections_prod/1292/state/01/lga/08/ward/08/pu/012/012-1677415182.pdf" TargetMode="External"/><Relationship Id="rId1292" Type="http://schemas.openxmlformats.org/officeDocument/2006/relationships/hyperlink" Target="https://docs.inecelectionresults.net/elections_prod/1292/state/01/lga/08/ward/08/pu/013/013-1677411414.pdf" TargetMode="External"/><Relationship Id="rId462" Type="http://schemas.openxmlformats.org/officeDocument/2006/relationships/hyperlink" Target="https://docs.inecelectionresults.net/elections_prod/1292/state/01/lga/03/ward/03/pu/026/026-1677379170.pdf" TargetMode="External"/><Relationship Id="rId1293" Type="http://schemas.openxmlformats.org/officeDocument/2006/relationships/hyperlink" Target="https://docs.inecelectionresults.net/elections_prod/1292/state/01/lga/08/ward/09/pu/001/001-1677406513.pdf" TargetMode="External"/><Relationship Id="rId461" Type="http://schemas.openxmlformats.org/officeDocument/2006/relationships/hyperlink" Target="https://docs.inecelectionresults.net/elections_prod/1292/state/01/lga/03/ward/03/pu/025/025-1677380179.pdf" TargetMode="External"/><Relationship Id="rId1294" Type="http://schemas.openxmlformats.org/officeDocument/2006/relationships/hyperlink" Target="https://docs.inecelectionresults.net/elections_prod/1292/state/01/lga/08/ward/09/pu/004/004-1677408410.pdf" TargetMode="External"/><Relationship Id="rId460" Type="http://schemas.openxmlformats.org/officeDocument/2006/relationships/hyperlink" Target="https://docs.inecelectionresults.net/elections_prod/1292/state/01/lga/03/ward/03/pu/024/024-1677380363.pdf" TargetMode="External"/><Relationship Id="rId1295" Type="http://schemas.openxmlformats.org/officeDocument/2006/relationships/hyperlink" Target="https://docs.inecelectionresults.net/elections_prod/1292/state/01/lga/08/ward/09/pu/005/005-1677407606.pdf" TargetMode="External"/><Relationship Id="rId1296" Type="http://schemas.openxmlformats.org/officeDocument/2006/relationships/hyperlink" Target="https://docs.inecelectionresults.net/elections_prod/1292/state/01/lga/08/ward/09/pu/006/006-1677407281.pdf" TargetMode="External"/><Relationship Id="rId466" Type="http://schemas.openxmlformats.org/officeDocument/2006/relationships/hyperlink" Target="https://docs.inecelectionresults.net/elections_prod/1292/state/01/lga/03/ward/03/pu/030/030-1677388260.pdf" TargetMode="External"/><Relationship Id="rId1297" Type="http://schemas.openxmlformats.org/officeDocument/2006/relationships/hyperlink" Target="https://docs.inecelectionresults.net/elections_prod/1292/state/01/lga/08/ward/09/pu/007/007-1677404460.pdf" TargetMode="External"/><Relationship Id="rId465" Type="http://schemas.openxmlformats.org/officeDocument/2006/relationships/hyperlink" Target="https://docs.inecelectionresults.net/elections_prod/1292/state/01/lga/03/ward/03/pu/029/029-1677395109.pdf" TargetMode="External"/><Relationship Id="rId1298" Type="http://schemas.openxmlformats.org/officeDocument/2006/relationships/hyperlink" Target="https://docs.inecelectionresults.net/elections_prod/1292/state/01/lga/08/ward/09/pu/008/008-1677403255.pdf" TargetMode="External"/><Relationship Id="rId464" Type="http://schemas.openxmlformats.org/officeDocument/2006/relationships/hyperlink" Target="https://docs.inecelectionresults.net/elections_prod/1292/state/01/lga/03/ward/03/pu/028/028-1677408274.pdf" TargetMode="External"/><Relationship Id="rId1299" Type="http://schemas.openxmlformats.org/officeDocument/2006/relationships/hyperlink" Target="https://docs.inecelectionresults.net/elections_prod/1292/state/01/lga/08/ward/10/pu/001/001-1677402022.pdf" TargetMode="External"/><Relationship Id="rId463" Type="http://schemas.openxmlformats.org/officeDocument/2006/relationships/hyperlink" Target="https://docs.inecelectionresults.net/elections_prod/1292/state/01/lga/03/ward/03/pu/027/027-1677373830.pdf" TargetMode="External"/><Relationship Id="rId459" Type="http://schemas.openxmlformats.org/officeDocument/2006/relationships/hyperlink" Target="https://docs.inecelectionresults.net/elections_prod/1292/state/01/lga/03/ward/03/pu/023/023-1677378184.pdf" TargetMode="External"/><Relationship Id="rId458" Type="http://schemas.openxmlformats.org/officeDocument/2006/relationships/hyperlink" Target="https://docs.inecelectionresults.net/elections_prod/1292/state/01/lga/03/ward/03/pu/022/022-1677376962.pdf" TargetMode="External"/><Relationship Id="rId457" Type="http://schemas.openxmlformats.org/officeDocument/2006/relationships/hyperlink" Target="https://docs.inecelectionresults.net/elections_prod/1292/state/01/lga/03/ward/03/pu/021/021-1677392579.pdf" TargetMode="External"/><Relationship Id="rId456" Type="http://schemas.openxmlformats.org/officeDocument/2006/relationships/hyperlink" Target="https://docs.inecelectionresults.net/elections_prod/1292/state/01/lga/03/ward/03/pu/020/020-1677379795.pdf" TargetMode="External"/><Relationship Id="rId1280" Type="http://schemas.openxmlformats.org/officeDocument/2006/relationships/hyperlink" Target="https://docs.inecelectionresults.net/elections_prod/1292/state/01/lga/08/ward/07/pu/011/011-1677405720.pdf" TargetMode="External"/><Relationship Id="rId1281" Type="http://schemas.openxmlformats.org/officeDocument/2006/relationships/hyperlink" Target="https://docs.inecelectionresults.net/elections_prod/1292/state/01/lga/08/ward/08/pu/001/001-1677413229.pdf" TargetMode="External"/><Relationship Id="rId451" Type="http://schemas.openxmlformats.org/officeDocument/2006/relationships/hyperlink" Target="https://docs.inecelectionresults.net/elections_prod/1292/state/01/lga/03/ward/03/pu/015/015-1677377391.pdf" TargetMode="External"/><Relationship Id="rId1282" Type="http://schemas.openxmlformats.org/officeDocument/2006/relationships/hyperlink" Target="https://docs.inecelectionresults.net/elections_prod/1292/state/01/lga/08/ward/08/pu/002/002-1677410283.pdf" TargetMode="External"/><Relationship Id="rId450" Type="http://schemas.openxmlformats.org/officeDocument/2006/relationships/hyperlink" Target="https://docs.inecelectionresults.net/elections_prod/1292/state/01/lga/03/ward/03/pu/013/013-1677419695.pdf" TargetMode="External"/><Relationship Id="rId1283" Type="http://schemas.openxmlformats.org/officeDocument/2006/relationships/hyperlink" Target="https://docs.inecelectionresults.net/elections_prod/1292/state/01/lga/08/ward/08/pu/003/003-1677414442.pdf" TargetMode="External"/><Relationship Id="rId1284" Type="http://schemas.openxmlformats.org/officeDocument/2006/relationships/hyperlink" Target="https://docs.inecelectionresults.net/elections_prod/1292/state/01/lga/08/ward/08/pu/005/005-1677405585.pdf" TargetMode="External"/><Relationship Id="rId1285" Type="http://schemas.openxmlformats.org/officeDocument/2006/relationships/hyperlink" Target="https://docs.inecelectionresults.net/elections_prod/1292/state/01/lga/08/ward/08/pu/006/006-1677411791.pdf" TargetMode="External"/><Relationship Id="rId455" Type="http://schemas.openxmlformats.org/officeDocument/2006/relationships/hyperlink" Target="https://docs.inecelectionresults.net/elections_prod/1292/state/01/lga/03/ward/03/pu/019/019-1677390014.pdf" TargetMode="External"/><Relationship Id="rId1286" Type="http://schemas.openxmlformats.org/officeDocument/2006/relationships/hyperlink" Target="https://docs.inecelectionresults.net/elections_prod/1292/state/1/lga/3673/ward/24046/pu/92392/92392-1677502317.pdf" TargetMode="External"/><Relationship Id="rId454" Type="http://schemas.openxmlformats.org/officeDocument/2006/relationships/hyperlink" Target="https://docs.inecelectionresults.net/elections_prod/1292/state/01/lga/03/ward/03/pu/018/018-1677377221.pdf" TargetMode="External"/><Relationship Id="rId1287" Type="http://schemas.openxmlformats.org/officeDocument/2006/relationships/hyperlink" Target="https://docs.inecelectionresults.net/elections_prod/1292/state/01/lga/08/ward/08/pu/008/008-1677415636.pdf" TargetMode="External"/><Relationship Id="rId453" Type="http://schemas.openxmlformats.org/officeDocument/2006/relationships/hyperlink" Target="https://docs.inecelectionresults.net/elections_prod/1292/state/01/lga/03/ward/03/pu/017/017-1677378653.pdf" TargetMode="External"/><Relationship Id="rId1288" Type="http://schemas.openxmlformats.org/officeDocument/2006/relationships/hyperlink" Target="https://docs.inecelectionresults.net/elections_prod/1292/state/01/lga/08/ward/08/pu/009/009-1677414824.pdf" TargetMode="External"/><Relationship Id="rId452" Type="http://schemas.openxmlformats.org/officeDocument/2006/relationships/hyperlink" Target="https://docs.inecelectionresults.net/elections_prod/1292/state/01/lga/03/ward/03/pu/016/016-1677377116.pdf" TargetMode="External"/><Relationship Id="rId1289" Type="http://schemas.openxmlformats.org/officeDocument/2006/relationships/hyperlink" Target="https://docs.inecelectionresults.net/elections_prod/1292/state/01/lga/08/ward/08/pu/010/010-1677415010.pdf" TargetMode="External"/><Relationship Id="rId3018" Type="http://schemas.openxmlformats.org/officeDocument/2006/relationships/hyperlink" Target="https://docs.inecelectionresults.net/elections_prod/1292/state/01/lga/03/ward/02/pu/019/019-1677423398.pdf" TargetMode="External"/><Relationship Id="rId3017" Type="http://schemas.openxmlformats.org/officeDocument/2006/relationships/hyperlink" Target="https://docs.inecelectionresults.net/elections_prod/1292/state/01/lga/03/ward/02/pu/018/018-1677403480.pdf" TargetMode="External"/><Relationship Id="rId3019" Type="http://schemas.openxmlformats.org/officeDocument/2006/relationships/hyperlink" Target="https://docs.inecelectionresults.net/elections_prod/1292/state/01/lga/03/ward/02/pu/020/020-1677412096.pdf" TargetMode="External"/><Relationship Id="rId491" Type="http://schemas.openxmlformats.org/officeDocument/2006/relationships/hyperlink" Target="https://docs.inecelectionresults.net/elections_prod/1292/state/01/lga/03/ward/06/pu/001/001-1677414509.pdf" TargetMode="External"/><Relationship Id="rId490" Type="http://schemas.openxmlformats.org/officeDocument/2006/relationships/hyperlink" Target="https://docs.inecelectionresults.net/elections_prod/1292/state/1/lga/3668/ward/23985/pu/91406/91406-1677486734.pdf" TargetMode="External"/><Relationship Id="rId489" Type="http://schemas.openxmlformats.org/officeDocument/2006/relationships/hyperlink" Target="https://docs.inecelectionresults.net/elections_prod/1292/state/1/lga/3668/ward/23985/pu/91405/91405-1677478541.pdf" TargetMode="External"/><Relationship Id="rId484" Type="http://schemas.openxmlformats.org/officeDocument/2006/relationships/hyperlink" Target="https://docs.inecelectionresults.net/elections_prod/1292/state/01/lga/03/ward/05/pu/007/007-1677366858.pdf" TargetMode="External"/><Relationship Id="rId3010" Type="http://schemas.openxmlformats.org/officeDocument/2006/relationships/hyperlink" Target="https://docs.inecelectionresults.net/elections_prod/1292/state/01/lga/03/ward/01/pu/050/050-1677393385.pdf" TargetMode="External"/><Relationship Id="rId483" Type="http://schemas.openxmlformats.org/officeDocument/2006/relationships/hyperlink" Target="https://docs.inecelectionresults.net/elections_prod/1292/state/01/lga/03/ward/05/pu/006/006-1677396572.pdf" TargetMode="External"/><Relationship Id="rId482" Type="http://schemas.openxmlformats.org/officeDocument/2006/relationships/hyperlink" Target="https://docs.inecelectionresults.net/elections_prod/1292/state/01/lga/03/ward/05/pu/005/005-1677402653.pdf" TargetMode="External"/><Relationship Id="rId3012" Type="http://schemas.openxmlformats.org/officeDocument/2006/relationships/hyperlink" Target="https://docs.inecelectionresults.net/elections_prod/1292/state/01/lga/03/ward/01/pu/052/052-1677394405.pdf" TargetMode="External"/><Relationship Id="rId481" Type="http://schemas.openxmlformats.org/officeDocument/2006/relationships/hyperlink" Target="https://docs.inecelectionresults.net/elections_prod/1292/state/01/lga/03/ward/05/pu/003/003-1677404387.pdf" TargetMode="External"/><Relationship Id="rId3011" Type="http://schemas.openxmlformats.org/officeDocument/2006/relationships/hyperlink" Target="https://docs.inecelectionresults.net/elections_prod/1292/state/1/lga/3668/ward/23981/pu/165029/165029-1677471206.pdf" TargetMode="External"/><Relationship Id="rId488" Type="http://schemas.openxmlformats.org/officeDocument/2006/relationships/hyperlink" Target="https://docs.inecelectionresults.net/elections_prod/1292/state/01/lga/03/ward/05/pu/013/013-1677400907.pdf" TargetMode="External"/><Relationship Id="rId3014" Type="http://schemas.openxmlformats.org/officeDocument/2006/relationships/hyperlink" Target="https://docs.inecelectionresults.net/elections_prod/1292/state/01/lga/03/ward/02/pu/015/015-1677421025.pdf" TargetMode="External"/><Relationship Id="rId487" Type="http://schemas.openxmlformats.org/officeDocument/2006/relationships/hyperlink" Target="https://docs.inecelectionresults.net/elections_prod/1292/state/1/lga/3668/ward/23985/pu/91403/91403-1677480657.pdf" TargetMode="External"/><Relationship Id="rId3013" Type="http://schemas.openxmlformats.org/officeDocument/2006/relationships/hyperlink" Target="https://docs.inecelectionresults.net/elections_prod/1292/state/01/lga/03/ward/02/pu/014/014-1677415696.pdf" TargetMode="External"/><Relationship Id="rId486" Type="http://schemas.openxmlformats.org/officeDocument/2006/relationships/hyperlink" Target="https://docs.inecelectionresults.net/elections_prod/1292/state/01/lga/03/ward/05/pu/009/009-1677403104.pdf" TargetMode="External"/><Relationship Id="rId3016" Type="http://schemas.openxmlformats.org/officeDocument/2006/relationships/hyperlink" Target="https://docs.inecelectionresults.net/elections_prod/1292/state/1/lga/3668/ward/23982/pu/165034/165034-1677452662.pdf" TargetMode="External"/><Relationship Id="rId485" Type="http://schemas.openxmlformats.org/officeDocument/2006/relationships/hyperlink" Target="https://docs.inecelectionresults.net/elections_prod/1292/state/01/lga/03/ward/05/pu/008/008-1677411483.pdf" TargetMode="External"/><Relationship Id="rId3015" Type="http://schemas.openxmlformats.org/officeDocument/2006/relationships/hyperlink" Target="https://docs.inecelectionresults.net/elections_prod/1292/state/01/lga/03/ward/02/pu/016/016-1677419491.pdf" TargetMode="External"/><Relationship Id="rId3007" Type="http://schemas.openxmlformats.org/officeDocument/2006/relationships/hyperlink" Target="https://docs.inecelectionresults.net/elections_prod/1292/state/01/lga/03/ward/01/pu/047/047-1677405864.pdf" TargetMode="External"/><Relationship Id="rId3006" Type="http://schemas.openxmlformats.org/officeDocument/2006/relationships/hyperlink" Target="https://docs.inecelectionresults.net/elections_prod/1292/state/01/lga/03/ward/01/pu/046/046-1677395272.pdf" TargetMode="External"/><Relationship Id="rId3009" Type="http://schemas.openxmlformats.org/officeDocument/2006/relationships/hyperlink" Target="https://docs.inecelectionresults.net/elections_prod/1292/state/01/lga/03/ward/01/pu/049/049-1677394002.pdf" TargetMode="External"/><Relationship Id="rId3008" Type="http://schemas.openxmlformats.org/officeDocument/2006/relationships/hyperlink" Target="https://docs.inecelectionresults.net/elections_prod/1292/state/01/lga/03/ward/01/pu/048/048-1677403551.pdf" TargetMode="External"/><Relationship Id="rId480" Type="http://schemas.openxmlformats.org/officeDocument/2006/relationships/hyperlink" Target="https://docs.inecelectionresults.net/elections_prod/1292/state/1/lga/3668/ward/23985/pu/91393/91393-1677479235.pdf" TargetMode="External"/><Relationship Id="rId479" Type="http://schemas.openxmlformats.org/officeDocument/2006/relationships/hyperlink" Target="https://docs.inecelectionresults.net/elections_prod/1292/state/1/lga/3668/ward/23985/pu/91392/91392-1677480256.pdf" TargetMode="External"/><Relationship Id="rId478" Type="http://schemas.openxmlformats.org/officeDocument/2006/relationships/hyperlink" Target="https://docs.inecelectionresults.net/elections_prod/1292/state/01/lga/03/ward/04/pu/012/012-1677391520.pdf" TargetMode="External"/><Relationship Id="rId473" Type="http://schemas.openxmlformats.org/officeDocument/2006/relationships/hyperlink" Target="https://docs.inecelectionresults.net/elections_prod/1292/state/01/lga/03/ward/04/pu/007/007-1677386872.pdf" TargetMode="External"/><Relationship Id="rId472" Type="http://schemas.openxmlformats.org/officeDocument/2006/relationships/hyperlink" Target="https://docs.inecelectionresults.net/elections_prod/1292/state/01/lga/03/ward/04/pu/004/004-1677370059.pdf" TargetMode="External"/><Relationship Id="rId471" Type="http://schemas.openxmlformats.org/officeDocument/2006/relationships/hyperlink" Target="https://docs.inecelectionresults.net/elections_prod/1292/state/01/lga/03/ward/04/pu/003/003-1677362096.pdf" TargetMode="External"/><Relationship Id="rId3001" Type="http://schemas.openxmlformats.org/officeDocument/2006/relationships/hyperlink" Target="https://docs.inecelectionresults.net/elections_prod/1292/state/1/lga/3668/ward/23981/pu/165015/165015-1677470844.pdf" TargetMode="External"/><Relationship Id="rId470" Type="http://schemas.openxmlformats.org/officeDocument/2006/relationships/hyperlink" Target="https://docs.inecelectionresults.net/elections_prod/1292/state/01/lga/03/ward/04/pu/002/002-1677382203.pdf" TargetMode="External"/><Relationship Id="rId3000" Type="http://schemas.openxmlformats.org/officeDocument/2006/relationships/hyperlink" Target="https://docs.inecelectionresults.net/elections_prod/1292/state/01/lga/03/ward/01/pu/036/036-1677396493.pdf" TargetMode="External"/><Relationship Id="rId477" Type="http://schemas.openxmlformats.org/officeDocument/2006/relationships/hyperlink" Target="https://docs.inecelectionresults.net/elections_prod/1292/state/01/lga/03/ward/04/pu/011/011-1677362215.pdf" TargetMode="External"/><Relationship Id="rId3003" Type="http://schemas.openxmlformats.org/officeDocument/2006/relationships/hyperlink" Target="https://docs.inecelectionresults.net/elections_prod/1292/state/01/lga/03/ward/01/pu/040/040-1677408913.pdf" TargetMode="External"/><Relationship Id="rId476" Type="http://schemas.openxmlformats.org/officeDocument/2006/relationships/hyperlink" Target="https://docs.inecelectionresults.net/elections_prod/1292/state/01/lga/03/ward/04/pu/010/010-1677362911.pdf" TargetMode="External"/><Relationship Id="rId3002" Type="http://schemas.openxmlformats.org/officeDocument/2006/relationships/hyperlink" Target="https://docs.inecelectionresults.net/elections_prod/1292/state/01/lga/03/ward/01/pu/039/039-1677403139.pdf" TargetMode="External"/><Relationship Id="rId475" Type="http://schemas.openxmlformats.org/officeDocument/2006/relationships/hyperlink" Target="https://docs.inecelectionresults.net/elections_prod/1292/state/01/lga/03/ward/04/pu/009/009-1677366445.pdf" TargetMode="External"/><Relationship Id="rId3005" Type="http://schemas.openxmlformats.org/officeDocument/2006/relationships/hyperlink" Target="https://docs.inecelectionresults.net/elections_prod/1292/state/01/lga/03/ward/01/pu/043/043-1677391773.pdf" TargetMode="External"/><Relationship Id="rId474" Type="http://schemas.openxmlformats.org/officeDocument/2006/relationships/hyperlink" Target="https://docs.inecelectionresults.net/elections_prod/1292/state/01/lga/03/ward/04/pu/008/008-1677375675.pdf" TargetMode="External"/><Relationship Id="rId3004" Type="http://schemas.openxmlformats.org/officeDocument/2006/relationships/hyperlink" Target="https://docs.inecelectionresults.net/elections_prod/1292/state/1/lga/3668/ward/23981/pu/165020/165020-1677469686.pdf" TargetMode="External"/><Relationship Id="rId1257" Type="http://schemas.openxmlformats.org/officeDocument/2006/relationships/hyperlink" Target="https://docs.inecelectionresults.net/elections_prod/1292/state/01/lga/08/ward/05/pu/001/001-1677402071.pdf" TargetMode="External"/><Relationship Id="rId2588" Type="http://schemas.openxmlformats.org/officeDocument/2006/relationships/hyperlink" Target="https://docs.inecelectionresults.net/elections_prod/1292/state/01/lga/20/ward/15/pu/003/003-1677401433.pdf" TargetMode="External"/><Relationship Id="rId1258" Type="http://schemas.openxmlformats.org/officeDocument/2006/relationships/hyperlink" Target="https://docs.inecelectionresults.net/elections_prod/1292/state/01/lga/08/ward/05/pu/002/002-1677402599.pdf" TargetMode="External"/><Relationship Id="rId2589" Type="http://schemas.openxmlformats.org/officeDocument/2006/relationships/hyperlink" Target="https://docs.inecelectionresults.net/elections_prod/1292/state/01/lga/20/ward/15/pu/004/004-1677397010.pdf" TargetMode="External"/><Relationship Id="rId1259" Type="http://schemas.openxmlformats.org/officeDocument/2006/relationships/hyperlink" Target="https://docs.inecelectionresults.net/elections_prod/1292/state/01/lga/08/ward/05/pu/004/004-1677404510.pdf" TargetMode="External"/><Relationship Id="rId426" Type="http://schemas.openxmlformats.org/officeDocument/2006/relationships/hyperlink" Target="https://docs.inecelectionresults.net/elections_prod/1292/state/01/lga/03/ward/01/pu/018/018-1677373511.pdf" TargetMode="External"/><Relationship Id="rId425" Type="http://schemas.openxmlformats.org/officeDocument/2006/relationships/hyperlink" Target="https://docs.inecelectionresults.net/elections_prod/1292/state/01/lga/03/ward/01/pu/017/017-1677380703.pdf" TargetMode="External"/><Relationship Id="rId424" Type="http://schemas.openxmlformats.org/officeDocument/2006/relationships/hyperlink" Target="https://docs.inecelectionresults.net/elections_prod/1292/state/1/lga/3668/ward/23981/pu/91329/91329-1677471817.pdf" TargetMode="External"/><Relationship Id="rId423" Type="http://schemas.openxmlformats.org/officeDocument/2006/relationships/hyperlink" Target="https://docs.inecelectionresults.net/elections_prod/1292/state/01/lga/03/ward/01/pu/015/015-1677398565.pdf" TargetMode="External"/><Relationship Id="rId429" Type="http://schemas.openxmlformats.org/officeDocument/2006/relationships/hyperlink" Target="https://docs.inecelectionresults.net/elections_prod/1292/state/01/lga/03/ward/02/pu/003/003-1677414466.pdf" TargetMode="External"/><Relationship Id="rId428" Type="http://schemas.openxmlformats.org/officeDocument/2006/relationships/hyperlink" Target="https://docs.inecelectionresults.net/elections_prod/1292/state/01/lga/03/ward/02/pu/002/002-1677416874.pdf" TargetMode="External"/><Relationship Id="rId427" Type="http://schemas.openxmlformats.org/officeDocument/2006/relationships/hyperlink" Target="https://docs.inecelectionresults.net/elections_prod/1292/state/1/lga/3668/ward/23982/pu/91332/91332-1677453622.pdf" TargetMode="External"/><Relationship Id="rId2580" Type="http://schemas.openxmlformats.org/officeDocument/2006/relationships/hyperlink" Target="https://docs.inecelectionresults.net/elections_prod/1292/state/01/lga/20/ward/14/pu/006/006-1677410032.pdf" TargetMode="External"/><Relationship Id="rId1250" Type="http://schemas.openxmlformats.org/officeDocument/2006/relationships/hyperlink" Target="https://docs.inecelectionresults.net/elections_prod/1292/state/01/lga/08/ward/04/pu/005/005-1677407704.pdf" TargetMode="External"/><Relationship Id="rId2581" Type="http://schemas.openxmlformats.org/officeDocument/2006/relationships/hyperlink" Target="https://docs.inecelectionresults.net/elections_prod/1292/state/01/lga/20/ward/14/pu/008/008-1677410851.pdf" TargetMode="External"/><Relationship Id="rId1251" Type="http://schemas.openxmlformats.org/officeDocument/2006/relationships/hyperlink" Target="https://docs.inecelectionresults.net/elections_prod/1292/state/01/lga/08/ward/04/pu/006/006-1677413551.pdf" TargetMode="External"/><Relationship Id="rId2582" Type="http://schemas.openxmlformats.org/officeDocument/2006/relationships/hyperlink" Target="https://docs.inecelectionresults.net/elections_prod/1292/state/01/lga/20/ward/14/pu/009/009-1677410564.pdf" TargetMode="External"/><Relationship Id="rId1252" Type="http://schemas.openxmlformats.org/officeDocument/2006/relationships/hyperlink" Target="https://docs.inecelectionresults.net/elections_prod/1292/state/01/lga/08/ward/04/pu/007/007-1677409618.pdf" TargetMode="External"/><Relationship Id="rId2583" Type="http://schemas.openxmlformats.org/officeDocument/2006/relationships/hyperlink" Target="https://docs.inecelectionresults.net/elections_prod/1292/state/01/lga/20/ward/14/pu/010/010-1677388052.pdf" TargetMode="External"/><Relationship Id="rId422" Type="http://schemas.openxmlformats.org/officeDocument/2006/relationships/hyperlink" Target="https://docs.inecelectionresults.net/elections_prod/1292/state/01/lga/03/ward/01/pu/014/014-1677391709.pdf" TargetMode="External"/><Relationship Id="rId1253" Type="http://schemas.openxmlformats.org/officeDocument/2006/relationships/hyperlink" Target="https://docs.inecelectionresults.net/elections_prod/1292/state/01/lga/08/ward/04/pu/009/009-1677412460.pdf" TargetMode="External"/><Relationship Id="rId2584" Type="http://schemas.openxmlformats.org/officeDocument/2006/relationships/hyperlink" Target="https://docs.inecelectionresults.net/elections_prod/1292/state/01/lga/20/ward/14/pu/011/011-1677411582.pdf" TargetMode="External"/><Relationship Id="rId421" Type="http://schemas.openxmlformats.org/officeDocument/2006/relationships/hyperlink" Target="https://docs.inecelectionresults.net/elections_prod/1292/state/1/lga/3668/ward/23981/pu/91326/91326-1677464365.pdf" TargetMode="External"/><Relationship Id="rId1254" Type="http://schemas.openxmlformats.org/officeDocument/2006/relationships/hyperlink" Target="https://docs.inecelectionresults.net/elections_prod/1292/state/01/lga/08/ward/04/pu/010/010-1677408995.pdf" TargetMode="External"/><Relationship Id="rId2585" Type="http://schemas.openxmlformats.org/officeDocument/2006/relationships/hyperlink" Target="https://docs.inecelectionresults.net/elections_prod/1292/state/01/lga/20/ward/14/pu/012/012-1677413187.pdf" TargetMode="External"/><Relationship Id="rId420" Type="http://schemas.openxmlformats.org/officeDocument/2006/relationships/hyperlink" Target="https://docs.inecelectionresults.net/elections_prod/1292/state/01/lga/03/ward/01/pu/011/011-1677400822.pdf" TargetMode="External"/><Relationship Id="rId1255" Type="http://schemas.openxmlformats.org/officeDocument/2006/relationships/hyperlink" Target="https://docs.inecelectionresults.net/elections_prod/1292/state/01/lga/08/ward/04/pu/011/011-1677406723.pdf" TargetMode="External"/><Relationship Id="rId2586" Type="http://schemas.openxmlformats.org/officeDocument/2006/relationships/hyperlink" Target="https://docs.inecelectionresults.net/elections_prod/1292/state/01/lga/20/ward/15/pu/001/001-1677396438.pdf" TargetMode="External"/><Relationship Id="rId1256" Type="http://schemas.openxmlformats.org/officeDocument/2006/relationships/hyperlink" Target="https://docs.inecelectionresults.net/elections_prod/1292/state/01/lga/08/ward/04/pu/012/012-1677404853.pdf" TargetMode="External"/><Relationship Id="rId2587" Type="http://schemas.openxmlformats.org/officeDocument/2006/relationships/hyperlink" Target="https://docs.inecelectionresults.net/elections_prod/1292/state/01/lga/20/ward/15/pu/002/002-1677396863.pdf" TargetMode="External"/><Relationship Id="rId1246" Type="http://schemas.openxmlformats.org/officeDocument/2006/relationships/hyperlink" Target="https://docs.inecelectionresults.net/elections_prod/1292/state/01/lga/08/ward/03/pu/010/010-1677410802.pdf" TargetMode="External"/><Relationship Id="rId2577" Type="http://schemas.openxmlformats.org/officeDocument/2006/relationships/hyperlink" Target="https://docs.inecelectionresults.net/elections_prod/1292/state/01/lga/20/ward/14/pu/003/003-1677388677.pdf" TargetMode="External"/><Relationship Id="rId1247" Type="http://schemas.openxmlformats.org/officeDocument/2006/relationships/hyperlink" Target="https://docs.inecelectionresults.net/elections_prod/1292/state/01/lga/08/ward/03/pu/011/011-1677414150.pdf" TargetMode="External"/><Relationship Id="rId2578" Type="http://schemas.openxmlformats.org/officeDocument/2006/relationships/hyperlink" Target="https://docs.inecelectionresults.net/elections_prod/1292/state/01/lga/20/ward/14/pu/004/004-1677406706.pdf" TargetMode="External"/><Relationship Id="rId1248" Type="http://schemas.openxmlformats.org/officeDocument/2006/relationships/hyperlink" Target="https://docs.inecelectionresults.net/elections_prod/1292/state/01/lga/08/ward/04/pu/001/001-1677404818.pdf" TargetMode="External"/><Relationship Id="rId2579" Type="http://schemas.openxmlformats.org/officeDocument/2006/relationships/hyperlink" Target="https://docs.inecelectionresults.net/elections_prod/1292/state/01/lga/20/ward/14/pu/005/005-1677407341.pdf" TargetMode="External"/><Relationship Id="rId1249" Type="http://schemas.openxmlformats.org/officeDocument/2006/relationships/hyperlink" Target="https://docs.inecelectionresults.net/elections_prod/1292/state/01/lga/08/ward/04/pu/004/004-1677414851.pdf" TargetMode="External"/><Relationship Id="rId415" Type="http://schemas.openxmlformats.org/officeDocument/2006/relationships/hyperlink" Target="https://docs.inecelectionresults.net/elections_prod/1292/state/01/lga/03/ward/01/pu/005/005-1677382973.pdf" TargetMode="External"/><Relationship Id="rId414" Type="http://schemas.openxmlformats.org/officeDocument/2006/relationships/hyperlink" Target="https://docs.inecelectionresults.net/elections_prod/1292/state/01/lga/03/ward/01/pu/003/003-1677382984.pdf" TargetMode="External"/><Relationship Id="rId413" Type="http://schemas.openxmlformats.org/officeDocument/2006/relationships/hyperlink" Target="https://docs.inecelectionresults.net/elections_prod/1292/state/1/lga/3668/ward/23981/pu/91315/91315-1677474224.pdf" TargetMode="External"/><Relationship Id="rId412" Type="http://schemas.openxmlformats.org/officeDocument/2006/relationships/hyperlink" Target="https://docs.inecelectionresults.net/elections_prod/1292/state/01/lga/02/ward/15/pu/018/018-1677416428.pdf" TargetMode="External"/><Relationship Id="rId419" Type="http://schemas.openxmlformats.org/officeDocument/2006/relationships/hyperlink" Target="https://docs.inecelectionresults.net/elections_prod/1292/state/01/lga/03/ward/01/pu/010/010-1677380990.pdf" TargetMode="External"/><Relationship Id="rId418" Type="http://schemas.openxmlformats.org/officeDocument/2006/relationships/hyperlink" Target="https://docs.inecelectionresults.net/elections_prod/1292/state/01/lga/03/ward/01/pu/009/009-1677390595.pdf" TargetMode="External"/><Relationship Id="rId417" Type="http://schemas.openxmlformats.org/officeDocument/2006/relationships/hyperlink" Target="https://docs.inecelectionresults.net/elections_prod/1292/state/1/lga/3668/ward/23981/pu/91321/91321-1677470429.pdf" TargetMode="External"/><Relationship Id="rId416" Type="http://schemas.openxmlformats.org/officeDocument/2006/relationships/hyperlink" Target="https://docs.inecelectionresults.net/elections_prod/1292/state/01/lga/03/ward/01/pu/007/007-1677393435.pdf" TargetMode="External"/><Relationship Id="rId2570" Type="http://schemas.openxmlformats.org/officeDocument/2006/relationships/hyperlink" Target="https://docs.inecelectionresults.net/elections_prod/1292/state/01/lga/20/ward/13/pu/012/012-1677399415.pdf" TargetMode="External"/><Relationship Id="rId1240" Type="http://schemas.openxmlformats.org/officeDocument/2006/relationships/hyperlink" Target="https://docs.inecelectionresults.net/elections_prod/1292/state/01/lga/08/ward/03/pu/004/004-1677415390.pdf" TargetMode="External"/><Relationship Id="rId2571" Type="http://schemas.openxmlformats.org/officeDocument/2006/relationships/hyperlink" Target="https://docs.inecelectionresults.net/elections_prod/1292/state/01/lga/20/ward/13/pu/013/013-1677405817.pdf" TargetMode="External"/><Relationship Id="rId1241" Type="http://schemas.openxmlformats.org/officeDocument/2006/relationships/hyperlink" Target="https://docs.inecelectionresults.net/elections_prod/1292/state/01/lga/08/ward/03/pu/005/005-1677414689.pdf" TargetMode="External"/><Relationship Id="rId2572" Type="http://schemas.openxmlformats.org/officeDocument/2006/relationships/hyperlink" Target="https://docs.inecelectionresults.net/elections_prod/1292/state/01/lga/20/ward/13/pu/014/014-1677401864.pdf" TargetMode="External"/><Relationship Id="rId411" Type="http://schemas.openxmlformats.org/officeDocument/2006/relationships/hyperlink" Target="https://docs.inecelectionresults.net/elections_prod/1292/state/01/lga/02/ward/15/pu/017/017-1677415658.pdf" TargetMode="External"/><Relationship Id="rId1242" Type="http://schemas.openxmlformats.org/officeDocument/2006/relationships/hyperlink" Target="https://docs.inecelectionresults.net/elections_prod/1292/state/1/lga/3673/ward/24041/pu/92340/92340-1677497865.pdf" TargetMode="External"/><Relationship Id="rId2573" Type="http://schemas.openxmlformats.org/officeDocument/2006/relationships/hyperlink" Target="https://docs.inecelectionresults.net/elections_prod/1292/state/01/lga/20/ward/13/pu/015/015-1677407250.pdf" TargetMode="External"/><Relationship Id="rId410" Type="http://schemas.openxmlformats.org/officeDocument/2006/relationships/hyperlink" Target="https://docs.inecelectionresults.net/elections_prod/1292/state/01/lga/02/ward/15/pu/016/016-1677415275.pdf" TargetMode="External"/><Relationship Id="rId1243" Type="http://schemas.openxmlformats.org/officeDocument/2006/relationships/hyperlink" Target="https://docs.inecelectionresults.net/elections_prod/1292/state/01/lga/08/ward/03/pu/007/007-1677413946.pdf" TargetMode="External"/><Relationship Id="rId2574" Type="http://schemas.openxmlformats.org/officeDocument/2006/relationships/hyperlink" Target="https://docs.inecelectionresults.net/elections_prod/1292/state/01/lga/20/ward/13/pu/016/016-1677396356.pdf" TargetMode="External"/><Relationship Id="rId1244" Type="http://schemas.openxmlformats.org/officeDocument/2006/relationships/hyperlink" Target="https://docs.inecelectionresults.net/elections_prod/1292/state/01/lga/08/ward/03/pu/008/008-1677415031.pdf" TargetMode="External"/><Relationship Id="rId2575" Type="http://schemas.openxmlformats.org/officeDocument/2006/relationships/hyperlink" Target="https://docs.inecelectionresults.net/elections_prod/1292/state/01/lga/20/ward/14/pu/001/001-1677405985.pdf" TargetMode="External"/><Relationship Id="rId1245" Type="http://schemas.openxmlformats.org/officeDocument/2006/relationships/hyperlink" Target="https://docs.inecelectionresults.net/elections_prod/1292/state/01/lga/08/ward/03/pu/009/009-1677412792.pdf" TargetMode="External"/><Relationship Id="rId2576" Type="http://schemas.openxmlformats.org/officeDocument/2006/relationships/hyperlink" Target="https://docs.inecelectionresults.net/elections_prod/1292/state/01/lga/20/ward/14/pu/002/002-1677405488.pdf" TargetMode="External"/><Relationship Id="rId1279" Type="http://schemas.openxmlformats.org/officeDocument/2006/relationships/hyperlink" Target="https://docs.inecelectionresults.net/elections_prod/1292/state/01/lga/08/ward/07/pu/010/010-1677409779.pdf" TargetMode="External"/><Relationship Id="rId448" Type="http://schemas.openxmlformats.org/officeDocument/2006/relationships/hyperlink" Target="https://docs.inecelectionresults.net/elections_prod/1292/state/01/lga/03/ward/03/pu/011/011-1677393018.pdf" TargetMode="External"/><Relationship Id="rId447" Type="http://schemas.openxmlformats.org/officeDocument/2006/relationships/hyperlink" Target="https://docs.inecelectionresults.net/elections_prod/1292/state/01/lga/03/ward/03/pu/010/010-1677380307.pdf" TargetMode="External"/><Relationship Id="rId446" Type="http://schemas.openxmlformats.org/officeDocument/2006/relationships/hyperlink" Target="https://docs.inecelectionresults.net/elections_prod/1292/state/01/lga/03/ward/03/pu/009/009-1677380763.pdf" TargetMode="External"/><Relationship Id="rId445" Type="http://schemas.openxmlformats.org/officeDocument/2006/relationships/hyperlink" Target="https://docs.inecelectionresults.net/elections_prod/1292/state/01/lga/03/ward/03/pu/008/008-1677375026.pdf" TargetMode="External"/><Relationship Id="rId449" Type="http://schemas.openxmlformats.org/officeDocument/2006/relationships/hyperlink" Target="https://docs.inecelectionresults.net/elections_prod/1292/state/01/lga/03/ward/03/pu/012/012-1677381102.pdf" TargetMode="External"/><Relationship Id="rId1270" Type="http://schemas.openxmlformats.org/officeDocument/2006/relationships/hyperlink" Target="https://docs.inecelectionresults.net/elections_prod/1292/state/1/lga/3673/ward/24044/pu/92374/92374-1677528776.pdf" TargetMode="External"/><Relationship Id="rId440" Type="http://schemas.openxmlformats.org/officeDocument/2006/relationships/hyperlink" Target="https://docs.inecelectionresults.net/elections_prod/1292/state/01/lga/03/ward/03/pu/003/003-1677379990.pdf" TargetMode="External"/><Relationship Id="rId1271" Type="http://schemas.openxmlformats.org/officeDocument/2006/relationships/hyperlink" Target="https://docs.inecelectionresults.net/elections_prod/1292/state/01/lga/08/ward/07/pu/001/001-1677408102.pdf" TargetMode="External"/><Relationship Id="rId1272" Type="http://schemas.openxmlformats.org/officeDocument/2006/relationships/hyperlink" Target="https://docs.inecelectionresults.net/elections_prod/1292/state/01/lga/08/ward/07/pu/002/002-1677406306.pdf" TargetMode="External"/><Relationship Id="rId1273" Type="http://schemas.openxmlformats.org/officeDocument/2006/relationships/hyperlink" Target="https://docs.inecelectionresults.net/elections_prod/1292/state/01/lga/08/ward/07/pu/003/003-1677410980.pdf" TargetMode="External"/><Relationship Id="rId1274" Type="http://schemas.openxmlformats.org/officeDocument/2006/relationships/hyperlink" Target="https://docs.inecelectionresults.net/elections_prod/1292/state/01/lga/08/ward/07/pu/005/005-1677407106.pdf" TargetMode="External"/><Relationship Id="rId444" Type="http://schemas.openxmlformats.org/officeDocument/2006/relationships/hyperlink" Target="https://docs.inecelectionresults.net/elections_prod/1292/state/01/lga/03/ward/03/pu/007/007-1677394913.pdf" TargetMode="External"/><Relationship Id="rId1275" Type="http://schemas.openxmlformats.org/officeDocument/2006/relationships/hyperlink" Target="https://docs.inecelectionresults.net/elections_prod/1292/state/01/lga/08/ward/07/pu/006/006-1677403318.pdf" TargetMode="External"/><Relationship Id="rId443" Type="http://schemas.openxmlformats.org/officeDocument/2006/relationships/hyperlink" Target="https://docs.inecelectionresults.net/elections_prod/1292/state/01/lga/03/ward/03/pu/006/006-1677378260.pdf" TargetMode="External"/><Relationship Id="rId1276" Type="http://schemas.openxmlformats.org/officeDocument/2006/relationships/hyperlink" Target="https://docs.inecelectionresults.net/elections_prod/1292/state/01/lga/08/ward/07/pu/007/007-1677403920.pdf" TargetMode="External"/><Relationship Id="rId442" Type="http://schemas.openxmlformats.org/officeDocument/2006/relationships/hyperlink" Target="https://docs.inecelectionresults.net/elections_prod/1292/state/01/lga/03/ward/03/pu/005/005-1677391056.pdf" TargetMode="External"/><Relationship Id="rId1277" Type="http://schemas.openxmlformats.org/officeDocument/2006/relationships/hyperlink" Target="https://docs.inecelectionresults.net/elections_prod/1292/state/01/lga/08/ward/07/pu/008/008-1677408513.pdf" TargetMode="External"/><Relationship Id="rId441" Type="http://schemas.openxmlformats.org/officeDocument/2006/relationships/hyperlink" Target="https://docs.inecelectionresults.net/elections_prod/1292/state/01/lga/03/ward/03/pu/004/004-1677378598.pdf" TargetMode="External"/><Relationship Id="rId1278" Type="http://schemas.openxmlformats.org/officeDocument/2006/relationships/hyperlink" Target="https://docs.inecelectionresults.net/elections_prod/1292/state/01/lga/08/ward/07/pu/009/009-1677410414.pdf" TargetMode="External"/><Relationship Id="rId1268" Type="http://schemas.openxmlformats.org/officeDocument/2006/relationships/hyperlink" Target="https://docs.inecelectionresults.net/elections_prod/1292/state/01/lga/08/ward/06/pu/002/002-1677421943.pdf" TargetMode="External"/><Relationship Id="rId2599" Type="http://schemas.openxmlformats.org/officeDocument/2006/relationships/hyperlink" Target="https://docs.inecelectionresults.net/elections_prod/1292/state/01/lga/01/ward/04/pu/013/013-1677426272.pdf" TargetMode="External"/><Relationship Id="rId1269" Type="http://schemas.openxmlformats.org/officeDocument/2006/relationships/hyperlink" Target="https://docs.inecelectionresults.net/elections_prod/1292/state/1/lga/3673/ward/24044/pu/92373/92373-1677530604.pdf" TargetMode="External"/><Relationship Id="rId437" Type="http://schemas.openxmlformats.org/officeDocument/2006/relationships/hyperlink" Target="https://docs.inecelectionresults.net/elections_prod/1292/state/01/lga/03/ward/02/pu/012/012-1677413667.pdf" TargetMode="External"/><Relationship Id="rId436" Type="http://schemas.openxmlformats.org/officeDocument/2006/relationships/hyperlink" Target="https://docs.inecelectionresults.net/elections_prod/1292/state/01/lga/03/ward/02/pu/010/010-1677423567.pdf" TargetMode="External"/><Relationship Id="rId435" Type="http://schemas.openxmlformats.org/officeDocument/2006/relationships/hyperlink" Target="https://docs.inecelectionresults.net/elections_prod/1292/state/01/lga/03/ward/02/pu/009/009-1677411527.pdf" TargetMode="External"/><Relationship Id="rId434" Type="http://schemas.openxmlformats.org/officeDocument/2006/relationships/hyperlink" Target="https://docs.inecelectionresults.net/elections_prod/1292/state/01/lga/03/ward/02/pu/008/008-1677423945.pdf" TargetMode="External"/><Relationship Id="rId439" Type="http://schemas.openxmlformats.org/officeDocument/2006/relationships/hyperlink" Target="https://docs.inecelectionresults.net/elections_prod/1292/state/01/lga/03/ward/03/pu/002/002-1677391755.pdf" TargetMode="External"/><Relationship Id="rId438" Type="http://schemas.openxmlformats.org/officeDocument/2006/relationships/hyperlink" Target="https://docs.inecelectionresults.net/elections_prod/1292/state/01/lga/03/ward/02/pu/013/013-1677413584.pdf" TargetMode="External"/><Relationship Id="rId2590" Type="http://schemas.openxmlformats.org/officeDocument/2006/relationships/hyperlink" Target="https://docs.inecelectionresults.net/elections_prod/1292/state/01/lga/20/ward/15/pu/005/005-1677402570.pdf" TargetMode="External"/><Relationship Id="rId1260" Type="http://schemas.openxmlformats.org/officeDocument/2006/relationships/hyperlink" Target="https://docs.inecelectionresults.net/elections_prod/1292/state/01/lga/08/ward/05/pu/005/005-1677405427.pdf" TargetMode="External"/><Relationship Id="rId2591" Type="http://schemas.openxmlformats.org/officeDocument/2006/relationships/hyperlink" Target="https://docs.inecelectionresults.net/elections_prod/1292/state/01/lga/20/ward/15/pu/006/006-1677391632.pdf" TargetMode="External"/><Relationship Id="rId1261" Type="http://schemas.openxmlformats.org/officeDocument/2006/relationships/hyperlink" Target="https://docs.inecelectionresults.net/elections_prod/1292/state/01/lga/08/ward/05/pu/006/006-1677406088.pdf" TargetMode="External"/><Relationship Id="rId2592" Type="http://schemas.openxmlformats.org/officeDocument/2006/relationships/hyperlink" Target="https://docs.inecelectionresults.net/elections_prod/1292/state/01/lga/20/ward/15/pu/006/006-1677391632.pdf" TargetMode="External"/><Relationship Id="rId1262" Type="http://schemas.openxmlformats.org/officeDocument/2006/relationships/hyperlink" Target="https://docs.inecelectionresults.net/elections_prod/1292/state/01/lga/08/ward/05/pu/007/007-1677406919.pdf" TargetMode="External"/><Relationship Id="rId2593" Type="http://schemas.openxmlformats.org/officeDocument/2006/relationships/hyperlink" Target="https://docs.inecelectionresults.net/elections_prod/1292/state/01/lga/01/ward/03/pu/012/012-1677424556.pdf" TargetMode="External"/><Relationship Id="rId1263" Type="http://schemas.openxmlformats.org/officeDocument/2006/relationships/hyperlink" Target="https://docs.inecelectionresults.net/elections_prod/1292/state/01/lga/08/ward/05/pu/008/008-1677407324.pdf" TargetMode="External"/><Relationship Id="rId2594" Type="http://schemas.openxmlformats.org/officeDocument/2006/relationships/hyperlink" Target="https://docs.inecelectionresults.net/elections_prod/1292/state/01/lga/01/ward/03/pu/013/013-1677415638.pdf" TargetMode="External"/><Relationship Id="rId433" Type="http://schemas.openxmlformats.org/officeDocument/2006/relationships/hyperlink" Target="https://docs.inecelectionresults.net/elections_prod/1292/state/01/lga/03/ward/02/pu/007/007-1677410745.pdf" TargetMode="External"/><Relationship Id="rId1264" Type="http://schemas.openxmlformats.org/officeDocument/2006/relationships/hyperlink" Target="https://docs.inecelectionresults.net/elections_prod/1292/state/01/lga/08/ward/05/pu/009/009-1677407771.pdf" TargetMode="External"/><Relationship Id="rId2595" Type="http://schemas.openxmlformats.org/officeDocument/2006/relationships/hyperlink" Target="https://docs.inecelectionresults.net/elections_prod/1292/state/01/lga/01/ward/03/pu/014/014-1677422290.pdf" TargetMode="External"/><Relationship Id="rId432" Type="http://schemas.openxmlformats.org/officeDocument/2006/relationships/hyperlink" Target="https://docs.inecelectionresults.net/elections_prod/1292/state/01/lga/03/ward/02/pu/006/006-1677415121.pdf" TargetMode="External"/><Relationship Id="rId1265" Type="http://schemas.openxmlformats.org/officeDocument/2006/relationships/hyperlink" Target="https://docs.inecelectionresults.net/elections_prod/1292/state/01/lga/08/ward/05/pu/010/010-1677408141.pdf" TargetMode="External"/><Relationship Id="rId2596" Type="http://schemas.openxmlformats.org/officeDocument/2006/relationships/hyperlink" Target="https://docs.inecelectionresults.net/elections_prod/1292/state/01/lga/01/ward/03/pu/015/015-1677423883.pdf" TargetMode="External"/><Relationship Id="rId431" Type="http://schemas.openxmlformats.org/officeDocument/2006/relationships/hyperlink" Target="https://docs.inecelectionresults.net/elections_prod/1292/state/01/lga/03/ward/02/pu/005/005-1677405051.pdf" TargetMode="External"/><Relationship Id="rId1266" Type="http://schemas.openxmlformats.org/officeDocument/2006/relationships/hyperlink" Target="https://docs.inecelectionresults.net/elections_prod/1292/state/01/lga/08/ward/05/pu/011/011-1677409048.pdf" TargetMode="External"/><Relationship Id="rId2597" Type="http://schemas.openxmlformats.org/officeDocument/2006/relationships/hyperlink" Target="https://docs.inecelectionresults.net/elections_prod/1292/state/01/lga/01/ward/03/pu/016/016-1677424129.pdf" TargetMode="External"/><Relationship Id="rId430" Type="http://schemas.openxmlformats.org/officeDocument/2006/relationships/hyperlink" Target="https://docs.inecelectionresults.net/elections_prod/1292/state/01/lga/03/ward/02/pu/004/004-1677421693.pdf" TargetMode="External"/><Relationship Id="rId1267" Type="http://schemas.openxmlformats.org/officeDocument/2006/relationships/hyperlink" Target="https://docs.inecelectionresults.net/elections_prod/1292/state/01/lga/08/ward/06/pu/001/001-1677420872.pdf" TargetMode="External"/><Relationship Id="rId2598" Type="http://schemas.openxmlformats.org/officeDocument/2006/relationships/hyperlink" Target="https://docs.inecelectionresults.net/elections_prod/1292/state/01/lga/01/ward/03/pu/017/017-1677421894.pdf" TargetMode="External"/><Relationship Id="rId3070" Type="http://schemas.openxmlformats.org/officeDocument/2006/relationships/hyperlink" Target="https://docs.inecelectionresults.net/elections_prod/1292/state/01/lga/03/ward/03/pu/055/055-1677380040.pdf" TargetMode="External"/><Relationship Id="rId3072" Type="http://schemas.openxmlformats.org/officeDocument/2006/relationships/hyperlink" Target="https://docs.inecelectionresults.net/elections_prod/1292/state/01/lga/03/ward/03/pu/057/057-1677381696.pdf" TargetMode="External"/><Relationship Id="rId3071" Type="http://schemas.openxmlformats.org/officeDocument/2006/relationships/hyperlink" Target="https://docs.inecelectionresults.net/elections_prod/1292/state/01/lga/03/ward/03/pu/056/056-1677394243.pdf" TargetMode="External"/><Relationship Id="rId3074" Type="http://schemas.openxmlformats.org/officeDocument/2006/relationships/hyperlink" Target="https://docs.inecelectionresults.net/elections_prod/1292/state/01/lga/03/ward/03/pu/059/059-1677380290.pdf" TargetMode="External"/><Relationship Id="rId3073" Type="http://schemas.openxmlformats.org/officeDocument/2006/relationships/hyperlink" Target="https://docs.inecelectionresults.net/elections_prod/1292/state/01/lga/03/ward/03/pu/058/058-1677381125.pdf" TargetMode="External"/><Relationship Id="rId3076" Type="http://schemas.openxmlformats.org/officeDocument/2006/relationships/hyperlink" Target="https://docs.inecelectionresults.net/elections_prod/1292/state/01/lga/03/ward/03/pu/061/061-1677392086.pdf" TargetMode="External"/><Relationship Id="rId3075" Type="http://schemas.openxmlformats.org/officeDocument/2006/relationships/hyperlink" Target="https://docs.inecelectionresults.net/elections_prod/1292/state/01/lga/03/ward/03/pu/060/060-1677393899.pdf" TargetMode="External"/><Relationship Id="rId3078" Type="http://schemas.openxmlformats.org/officeDocument/2006/relationships/hyperlink" Target="https://docs.inecelectionresults.net/elections_prod/1292/state/01/lga/03/ward/03/pu/063/063-1677380269.pdf" TargetMode="External"/><Relationship Id="rId3077" Type="http://schemas.openxmlformats.org/officeDocument/2006/relationships/hyperlink" Target="https://docs.inecelectionresults.net/elections_prod/1292/state/01/lga/03/ward/03/pu/062/062-1677378267.pdf" TargetMode="External"/><Relationship Id="rId3079" Type="http://schemas.openxmlformats.org/officeDocument/2006/relationships/hyperlink" Target="https://docs.inecelectionresults.net/elections_prod/1292/state/01/lga/03/ward/03/pu/064/064-1677383158.pdf" TargetMode="External"/><Relationship Id="rId3061" Type="http://schemas.openxmlformats.org/officeDocument/2006/relationships/hyperlink" Target="https://docs.inecelectionresults.net/elections_prod/1292/state/01/lga/03/ward/03/pu/046/046-1677395470.pdf" TargetMode="External"/><Relationship Id="rId3060" Type="http://schemas.openxmlformats.org/officeDocument/2006/relationships/hyperlink" Target="https://docs.inecelectionresults.net/elections_prod/1292/state/01/lga/03/ward/03/pu/045/045-1677391362.pdf" TargetMode="External"/><Relationship Id="rId3063" Type="http://schemas.openxmlformats.org/officeDocument/2006/relationships/hyperlink" Target="https://docs.inecelectionresults.net/elections_prod/1292/state/01/lga/03/ward/03/pu/048/048-1677405984.pdf" TargetMode="External"/><Relationship Id="rId3062" Type="http://schemas.openxmlformats.org/officeDocument/2006/relationships/hyperlink" Target="https://docs.inecelectionresults.net/elections_prod/1292/state/01/lga/03/ward/03/pu/047/047-1677380082.pdf" TargetMode="External"/><Relationship Id="rId3065" Type="http://schemas.openxmlformats.org/officeDocument/2006/relationships/hyperlink" Target="https://docs.inecelectionresults.net/elections_prod/1292/state/01/lga/03/ward/03/pu/050/050-1677395196.pdf" TargetMode="External"/><Relationship Id="rId3064" Type="http://schemas.openxmlformats.org/officeDocument/2006/relationships/hyperlink" Target="https://docs.inecelectionresults.net/elections_prod/1292/state/01/lga/03/ward/03/pu/049/049-1677384305.pdf" TargetMode="External"/><Relationship Id="rId3067" Type="http://schemas.openxmlformats.org/officeDocument/2006/relationships/hyperlink" Target="https://docs.inecelectionresults.net/elections_prod/1292/state/01/lga/03/ward/03/pu/052/052-1677377184.pdf" TargetMode="External"/><Relationship Id="rId3066" Type="http://schemas.openxmlformats.org/officeDocument/2006/relationships/hyperlink" Target="https://docs.inecelectionresults.net/elections_prod/1292/state/01/lga/03/ward/03/pu/051/051-1677393512.pdf" TargetMode="External"/><Relationship Id="rId3069" Type="http://schemas.openxmlformats.org/officeDocument/2006/relationships/hyperlink" Target="https://docs.inecelectionresults.net/elections_prod/1292/state/01/lga/03/ward/03/pu/054/054-1677380741.pdf" TargetMode="External"/><Relationship Id="rId3068" Type="http://schemas.openxmlformats.org/officeDocument/2006/relationships/hyperlink" Target="https://docs.inecelectionresults.net/elections_prod/1292/state/01/lga/03/ward/03/pu/053/053-1677390520.pdf" TargetMode="External"/><Relationship Id="rId3090" Type="http://schemas.openxmlformats.org/officeDocument/2006/relationships/hyperlink" Target="https://docs.inecelectionresults.net/elections_prod/1292/state/01/lga/03/ward/04/pu/013/013-1677359479.pdf" TargetMode="External"/><Relationship Id="rId3092" Type="http://schemas.openxmlformats.org/officeDocument/2006/relationships/hyperlink" Target="https://docs.inecelectionresults.net/elections_prod/1292/state/01/lga/03/ward/04/pu/015/015-1677377591.pdf" TargetMode="External"/><Relationship Id="rId3091" Type="http://schemas.openxmlformats.org/officeDocument/2006/relationships/hyperlink" Target="https://docs.inecelectionresults.net/elections_prod/1292/state/01/lga/03/ward/04/pu/014/014-1677365620.pdf" TargetMode="External"/><Relationship Id="rId3094" Type="http://schemas.openxmlformats.org/officeDocument/2006/relationships/hyperlink" Target="https://docs.inecelectionresults.net/elections_prod/1292/state/01/lga/03/ward/04/pu/017/017-1677369208.pdf" TargetMode="External"/><Relationship Id="rId3093" Type="http://schemas.openxmlformats.org/officeDocument/2006/relationships/hyperlink" Target="https://docs.inecelectionresults.net/elections_prod/1292/state/01/lga/03/ward/04/pu/016/016-1677359565.pdf" TargetMode="External"/><Relationship Id="rId3096" Type="http://schemas.openxmlformats.org/officeDocument/2006/relationships/hyperlink" Target="https://docs.inecelectionresults.net/elections_prod/1292/state/01/lga/03/ward/04/pu/019/019-1677409643.pdf" TargetMode="External"/><Relationship Id="rId3095" Type="http://schemas.openxmlformats.org/officeDocument/2006/relationships/hyperlink" Target="https://docs.inecelectionresults.net/elections_prod/1292/state/01/lga/03/ward/04/pu/018/018-1677365734.pdf" TargetMode="External"/><Relationship Id="rId3098" Type="http://schemas.openxmlformats.org/officeDocument/2006/relationships/hyperlink" Target="https://docs.inecelectionresults.net/elections_prod/1292/state/01/lga/03/ward/04/pu/021/021-1677358892.pdf" TargetMode="External"/><Relationship Id="rId3097" Type="http://schemas.openxmlformats.org/officeDocument/2006/relationships/hyperlink" Target="https://docs.inecelectionresults.net/elections_prod/1292/state/01/lga/03/ward/04/pu/020/020-1677359698.pdf" TargetMode="External"/><Relationship Id="rId3099" Type="http://schemas.openxmlformats.org/officeDocument/2006/relationships/hyperlink" Target="https://docs.inecelectionresults.net/elections_prod/1292/state/01/lga/03/ward/04/pu/023/023-1677359232.pdf" TargetMode="External"/><Relationship Id="rId3081" Type="http://schemas.openxmlformats.org/officeDocument/2006/relationships/hyperlink" Target="https://docs.inecelectionresults.net/elections_prod/1292/state/01/lga/03/ward/03/pu/066/066-1677393366.pdf" TargetMode="External"/><Relationship Id="rId3080" Type="http://schemas.openxmlformats.org/officeDocument/2006/relationships/hyperlink" Target="https://docs.inecelectionresults.net/elections_prod/1292/state/01/lga/03/ward/03/pu/065/065-1677379829.pdf" TargetMode="External"/><Relationship Id="rId3083" Type="http://schemas.openxmlformats.org/officeDocument/2006/relationships/hyperlink" Target="https://docs.inecelectionresults.net/elections_prod/1292/state/01/lga/03/ward/03/pu/069/069-1677384818.pdf" TargetMode="External"/><Relationship Id="rId3082" Type="http://schemas.openxmlformats.org/officeDocument/2006/relationships/hyperlink" Target="https://docs.inecelectionresults.net/elections_prod/1292/state/01/lga/03/ward/03/pu/067/067-1677379611.pdf" TargetMode="External"/><Relationship Id="rId3085" Type="http://schemas.openxmlformats.org/officeDocument/2006/relationships/hyperlink" Target="https://docs.inecelectionresults.net/elections_prod/1292/state/01/lga/03/ward/03/pu/071/071-1677394174.pdf" TargetMode="External"/><Relationship Id="rId3084" Type="http://schemas.openxmlformats.org/officeDocument/2006/relationships/hyperlink" Target="https://docs.inecelectionresults.net/elections_prod/1292/state/01/lga/03/ward/03/pu/070/070-1677380298.pdf" TargetMode="External"/><Relationship Id="rId3087" Type="http://schemas.openxmlformats.org/officeDocument/2006/relationships/hyperlink" Target="https://docs.inecelectionresults.net/elections_prod/1292/state/01/lga/03/ward/03/pu/073/073-1677394985.pdf" TargetMode="External"/><Relationship Id="rId3086" Type="http://schemas.openxmlformats.org/officeDocument/2006/relationships/hyperlink" Target="https://docs.inecelectionresults.net/elections_prod/1292/state/01/lga/03/ward/03/pu/072/072-1677390807.pdf" TargetMode="External"/><Relationship Id="rId3089" Type="http://schemas.openxmlformats.org/officeDocument/2006/relationships/hyperlink" Target="https://docs.inecelectionresults.net/elections_prod/1292/state/01/lga/03/ward/03/pu/076/076-1677380695.pdf" TargetMode="External"/><Relationship Id="rId3088" Type="http://schemas.openxmlformats.org/officeDocument/2006/relationships/hyperlink" Target="https://docs.inecelectionresults.net/elections_prod/1292/state/01/lga/03/ward/03/pu/074/074-1677380750.pdf" TargetMode="External"/><Relationship Id="rId3039" Type="http://schemas.openxmlformats.org/officeDocument/2006/relationships/hyperlink" Target="https://docs.inecelectionresults.net/elections_prod/1292/state/01/lga/03/ward/02/pu/041/041-1677406803.pdf" TargetMode="External"/><Relationship Id="rId1" Type="http://schemas.openxmlformats.org/officeDocument/2006/relationships/hyperlink" Target="https://docs.inecelectionresults.net/elections_prod/1292/state/1/lga/3666/ward/23950/pu/90795/90795-1677482042.pdf" TargetMode="External"/><Relationship Id="rId2" Type="http://schemas.openxmlformats.org/officeDocument/2006/relationships/hyperlink" Target="https://docs.inecelectionresults.net/elections_prod/1292/state/01/lga/01/ward/01/pu/002/002-1677422365.pdf" TargetMode="External"/><Relationship Id="rId3" Type="http://schemas.openxmlformats.org/officeDocument/2006/relationships/hyperlink" Target="https://docs.inecelectionresults.net/elections_prod/1292/state/01/lga/01/ward/01/pu/003/003-1677423632.pdf" TargetMode="External"/><Relationship Id="rId4" Type="http://schemas.openxmlformats.org/officeDocument/2006/relationships/hyperlink" Target="https://docs.inecelectionresults.net/elections_prod/1292/state/1/lga/3666/ward/23950/pu/90798/90798-1677482766.pdf" TargetMode="External"/><Relationship Id="rId3030" Type="http://schemas.openxmlformats.org/officeDocument/2006/relationships/hyperlink" Target="https://docs.inecelectionresults.net/elections_prod/1292/state/1/lga/3668/ward/23982/pu/165049/165049-1677452060.pdf" TargetMode="External"/><Relationship Id="rId9" Type="http://schemas.openxmlformats.org/officeDocument/2006/relationships/hyperlink" Target="https://docs.inecelectionresults.net/elections_prod/1292/state/1/lga/3666/ward/23950/pu/90804/90804-1677483345.pdf" TargetMode="External"/><Relationship Id="rId3032" Type="http://schemas.openxmlformats.org/officeDocument/2006/relationships/hyperlink" Target="https://docs.inecelectionresults.net/elections_prod/1292/state/1/lga/3668/ward/23982/pu/165051/165051-1677453228.pdf" TargetMode="External"/><Relationship Id="rId3031" Type="http://schemas.openxmlformats.org/officeDocument/2006/relationships/hyperlink" Target="https://docs.inecelectionresults.net/elections_prod/1292/state/01/lga/03/ward/02/pu/033/033-1677418978.pdf" TargetMode="External"/><Relationship Id="rId3034" Type="http://schemas.openxmlformats.org/officeDocument/2006/relationships/hyperlink" Target="https://docs.inecelectionresults.net/elections_prod/1292/state/01/lga/03/ward/02/pu/036/036-1677418354.pdf" TargetMode="External"/><Relationship Id="rId3033" Type="http://schemas.openxmlformats.org/officeDocument/2006/relationships/hyperlink" Target="https://docs.inecelectionresults.net/elections_prod/1292/state/01/lga/03/ward/02/pu/035/035-1677410028.pdf" TargetMode="External"/><Relationship Id="rId5" Type="http://schemas.openxmlformats.org/officeDocument/2006/relationships/hyperlink" Target="https://docs.inecelectionresults.net/elections_prod/1292/state/1/lga/3666/ward/23950/pu/90799/90799-1677485148.pdf" TargetMode="External"/><Relationship Id="rId3036" Type="http://schemas.openxmlformats.org/officeDocument/2006/relationships/hyperlink" Target="https://docs.inecelectionresults.net/elections_prod/1292/state/01/lga/03/ward/02/pu/038/038-1677428210.pdf" TargetMode="External"/><Relationship Id="rId6" Type="http://schemas.openxmlformats.org/officeDocument/2006/relationships/hyperlink" Target="https://docs.inecelectionresults.net/elections_prod/1292/state/01/lga/01/ward/01/pu/006/006-1677386762.pdf" TargetMode="External"/><Relationship Id="rId3035" Type="http://schemas.openxmlformats.org/officeDocument/2006/relationships/hyperlink" Target="https://docs.inecelectionresults.net/elections_prod/1292/state/01/lga/03/ward/02/pu/037/037-1677417215.pdf" TargetMode="External"/><Relationship Id="rId7" Type="http://schemas.openxmlformats.org/officeDocument/2006/relationships/hyperlink" Target="https://docs.inecelectionresults.net/elections_prod/1292/state/1/lga/3666/ward/23950/pu/90801/90801-1677482845.pdf" TargetMode="External"/><Relationship Id="rId3038" Type="http://schemas.openxmlformats.org/officeDocument/2006/relationships/hyperlink" Target="https://docs.inecelectionresults.net/elections_prod/1292/state/01/lga/03/ward/02/pu/040/040-1677420243.pdf" TargetMode="External"/><Relationship Id="rId8" Type="http://schemas.openxmlformats.org/officeDocument/2006/relationships/hyperlink" Target="https://docs.inecelectionresults.net/elections_prod/1292/state/1/lga/3666/ward/23950/pu/90802/90802-1677482480.pdf" TargetMode="External"/><Relationship Id="rId3037" Type="http://schemas.openxmlformats.org/officeDocument/2006/relationships/hyperlink" Target="https://docs.inecelectionresults.net/elections_prod/1292/state/01/lga/03/ward/02/pu/039/039-1677406822.pdf" TargetMode="External"/><Relationship Id="rId3029" Type="http://schemas.openxmlformats.org/officeDocument/2006/relationships/hyperlink" Target="https://docs.inecelectionresults.net/elections_prod/1292/state/01/lga/03/ward/02/pu/031/031-1677410731.pdf" TargetMode="External"/><Relationship Id="rId3028" Type="http://schemas.openxmlformats.org/officeDocument/2006/relationships/hyperlink" Target="https://docs.inecelectionresults.net/elections_prod/1292/state/01/lga/03/ward/02/pu/030/030-1677421921.pdf" TargetMode="External"/><Relationship Id="rId3021" Type="http://schemas.openxmlformats.org/officeDocument/2006/relationships/hyperlink" Target="https://docs.inecelectionresults.net/elections_prod/1292/state/01/lga/03/ward/02/pu/023/023-1677424980.pdf" TargetMode="External"/><Relationship Id="rId3020" Type="http://schemas.openxmlformats.org/officeDocument/2006/relationships/hyperlink" Target="https://docs.inecelectionresults.net/elections_prod/1292/state/1/lga/3668/ward/23982/pu/165038/165038-1677453530.pdf" TargetMode="External"/><Relationship Id="rId3023" Type="http://schemas.openxmlformats.org/officeDocument/2006/relationships/hyperlink" Target="https://docs.inecelectionresults.net/elections_prod/1292/state/01/lga/03/ward/02/pu/025/025-1677404936.pdf" TargetMode="External"/><Relationship Id="rId3022" Type="http://schemas.openxmlformats.org/officeDocument/2006/relationships/hyperlink" Target="https://docs.inecelectionresults.net/elections_prod/1292/state/01/lga/03/ward/02/pu/024/024-1677402241.pdf" TargetMode="External"/><Relationship Id="rId3025" Type="http://schemas.openxmlformats.org/officeDocument/2006/relationships/hyperlink" Target="https://docs.inecelectionresults.net/elections_prod/1292/state/01/lga/03/ward/02/pu/027/027-1677406208.pdf" TargetMode="External"/><Relationship Id="rId3024" Type="http://schemas.openxmlformats.org/officeDocument/2006/relationships/hyperlink" Target="https://docs.inecelectionresults.net/elections_prod/1292/state/1/lga/3668/ward/23982/pu/165043/165043-1677453417.pdf" TargetMode="External"/><Relationship Id="rId3027" Type="http://schemas.openxmlformats.org/officeDocument/2006/relationships/hyperlink" Target="https://docs.inecelectionresults.net/elections_prod/1292/state/01/lga/03/ward/02/pu/029/029-1677402519.pdf" TargetMode="External"/><Relationship Id="rId3026" Type="http://schemas.openxmlformats.org/officeDocument/2006/relationships/hyperlink" Target="https://docs.inecelectionresults.net/elections_prod/1292/state/1/lga/3668/ward/23982/pu/165045/165045-1677452969.pdf" TargetMode="External"/><Relationship Id="rId3050" Type="http://schemas.openxmlformats.org/officeDocument/2006/relationships/hyperlink" Target="https://docs.inecelectionresults.net/elections_prod/1292/state/01/lga/03/ward/02/pu/052/052-1677405444.pdf" TargetMode="External"/><Relationship Id="rId3052" Type="http://schemas.openxmlformats.org/officeDocument/2006/relationships/hyperlink" Target="https://docs.inecelectionresults.net/elections_prod/1292/state/01/lga/03/ward/03/pu/037/037-1677398578.pdf" TargetMode="External"/><Relationship Id="rId3051" Type="http://schemas.openxmlformats.org/officeDocument/2006/relationships/hyperlink" Target="https://docs.inecelectionresults.net/elections_prod/1292/state/01/lga/03/ward/03/pu/036/036-1677394920.pdf" TargetMode="External"/><Relationship Id="rId3054" Type="http://schemas.openxmlformats.org/officeDocument/2006/relationships/hyperlink" Target="https://docs.inecelectionresults.net/elections_prod/1292/state/01/lga/03/ward/03/pu/039/039-1677394449.pdf" TargetMode="External"/><Relationship Id="rId3053" Type="http://schemas.openxmlformats.org/officeDocument/2006/relationships/hyperlink" Target="https://docs.inecelectionresults.net/elections_prod/1292/state/01/lga/03/ward/03/pu/038/038-1677392497.pdf" TargetMode="External"/><Relationship Id="rId3056" Type="http://schemas.openxmlformats.org/officeDocument/2006/relationships/hyperlink" Target="https://docs.inecelectionresults.net/elections_prod/1292/state/01/lga/03/ward/03/pu/041/041-1677379145.pdf" TargetMode="External"/><Relationship Id="rId3055" Type="http://schemas.openxmlformats.org/officeDocument/2006/relationships/hyperlink" Target="https://docs.inecelectionresults.net/elections_prod/1292/state/01/lga/03/ward/03/pu/040/040-1677380527.pdf" TargetMode="External"/><Relationship Id="rId3058" Type="http://schemas.openxmlformats.org/officeDocument/2006/relationships/hyperlink" Target="https://docs.inecelectionresults.net/elections_prod/1292/state/01/lga/03/ward/03/pu/043/043-1677392165.pdf" TargetMode="External"/><Relationship Id="rId3057" Type="http://schemas.openxmlformats.org/officeDocument/2006/relationships/hyperlink" Target="https://docs.inecelectionresults.net/elections_prod/1292/state/01/lga/03/ward/03/pu/042/042-1677381353.pdf" TargetMode="External"/><Relationship Id="rId3059" Type="http://schemas.openxmlformats.org/officeDocument/2006/relationships/hyperlink" Target="https://docs.inecelectionresults.net/elections_prod/1292/state/01/lga/03/ward/03/pu/044/044-1677383710.pdf" TargetMode="External"/><Relationship Id="rId3041" Type="http://schemas.openxmlformats.org/officeDocument/2006/relationships/hyperlink" Target="https://docs.inecelectionresults.net/elections_prod/1292/state/01/lga/03/ward/02/pu/043/043-1677426466.pdf" TargetMode="External"/><Relationship Id="rId3040" Type="http://schemas.openxmlformats.org/officeDocument/2006/relationships/hyperlink" Target="https://docs.inecelectionresults.net/elections_prod/1292/state/01/lga/03/ward/02/pu/042/042-1677427763.pdf" TargetMode="External"/><Relationship Id="rId3043" Type="http://schemas.openxmlformats.org/officeDocument/2006/relationships/hyperlink" Target="https://docs.inecelectionresults.net/elections_prod/1292/state/01/lga/03/ward/02/pu/045/045-1677407882.pdf" TargetMode="External"/><Relationship Id="rId3042" Type="http://schemas.openxmlformats.org/officeDocument/2006/relationships/hyperlink" Target="https://docs.inecelectionresults.net/elections_prod/1292/state/01/lga/03/ward/02/pu/044/044-1677404341.pdf" TargetMode="External"/><Relationship Id="rId3045" Type="http://schemas.openxmlformats.org/officeDocument/2006/relationships/hyperlink" Target="https://docs.inecelectionresults.net/elections_prod/1292/state/01/lga/03/ward/02/pu/047/047-1677428660.pdf" TargetMode="External"/><Relationship Id="rId3044" Type="http://schemas.openxmlformats.org/officeDocument/2006/relationships/hyperlink" Target="https://docs.inecelectionresults.net/elections_prod/1292/state/01/lga/03/ward/02/pu/046/046-1677416397.pdf" TargetMode="External"/><Relationship Id="rId3047" Type="http://schemas.openxmlformats.org/officeDocument/2006/relationships/hyperlink" Target="https://docs.inecelectionresults.net/elections_prod/1292/state/01/lga/03/ward/02/pu/049/049-1677425257.pdf" TargetMode="External"/><Relationship Id="rId3046" Type="http://schemas.openxmlformats.org/officeDocument/2006/relationships/hyperlink" Target="https://docs.inecelectionresults.net/elections_prod/1292/state/01/lga/03/ward/02/pu/048/048-1677424911.pdf" TargetMode="External"/><Relationship Id="rId3049" Type="http://schemas.openxmlformats.org/officeDocument/2006/relationships/hyperlink" Target="https://docs.inecelectionresults.net/elections_prod/1292/state/01/lga/03/ward/02/pu/051/051-1677425516.pdf" TargetMode="External"/><Relationship Id="rId3048" Type="http://schemas.openxmlformats.org/officeDocument/2006/relationships/hyperlink" Target="https://docs.inecelectionresults.net/elections_prod/1292/state/01/lga/03/ward/02/pu/050/050-1677417844.pdf" TargetMode="External"/><Relationship Id="rId3911" Type="http://schemas.openxmlformats.org/officeDocument/2006/relationships/hyperlink" Target="https://docs.inecelectionresults.net/elections_prod/1292/state/01/lga/17/ward/01/pu/005/005-1677374388.pdf" TargetMode="External"/><Relationship Id="rId3910" Type="http://schemas.openxmlformats.org/officeDocument/2006/relationships/hyperlink" Target="https://docs.inecelectionresults.net/elections_prod/1292/state/01/lga/17/ward/02/pu/018/018-1677363316.pdf" TargetMode="External"/><Relationship Id="rId3913" Type="http://schemas.openxmlformats.org/officeDocument/2006/relationships/hyperlink" Target="https://docs.inecelectionresults.net/elections_prod/1292/state/01/lga/17/ward/01/pu/007/007-1677373192.pdf" TargetMode="External"/><Relationship Id="rId3912" Type="http://schemas.openxmlformats.org/officeDocument/2006/relationships/hyperlink" Target="https://docs.inecelectionresults.net/elections_prod/1292/state/01/lga/17/ward/01/pu/006/006-1677376082.pdf" TargetMode="External"/><Relationship Id="rId3915" Type="http://schemas.openxmlformats.org/officeDocument/2006/relationships/hyperlink" Target="https://docs.inecelectionresults.net/elections_prod/1292/state/01/lga/17/ward/13/pu/004/004-1677376440.pdf" TargetMode="External"/><Relationship Id="rId3914" Type="http://schemas.openxmlformats.org/officeDocument/2006/relationships/hyperlink" Target="https://docs.inecelectionresults.net/elections_prod/1292/state/01/lga/17/ward/01/pu/008/008-1677379158.pdf" TargetMode="External"/><Relationship Id="rId3917" Type="http://schemas.openxmlformats.org/officeDocument/2006/relationships/hyperlink" Target="https://docs.inecelectionresults.net/elections_prod/1292/state/01/lga/17/ward/04/pu/011/011-1677361060.pdf" TargetMode="External"/><Relationship Id="rId3916" Type="http://schemas.openxmlformats.org/officeDocument/2006/relationships/hyperlink" Target="https://docs.inecelectionresults.net/elections_prod/1292/state/01/lga/17/ward/04/pu/010/010-1677359362.pdf" TargetMode="External"/><Relationship Id="rId3919" Type="http://schemas.openxmlformats.org/officeDocument/2006/relationships/hyperlink" Target="https://docs.inecelectionresults.net/elections_prod/1292/state/01/lga/17/ward/05/pu/012/012-1677426693.pdf" TargetMode="External"/><Relationship Id="rId3918" Type="http://schemas.openxmlformats.org/officeDocument/2006/relationships/hyperlink" Target="https://docs.inecelectionresults.net/elections_prod/1292/state/01/lga/17/ward/05/pu/011/011-1677418636.pdf" TargetMode="External"/><Relationship Id="rId3900" Type="http://schemas.openxmlformats.org/officeDocument/2006/relationships/hyperlink" Target="https://docs.inecelectionresults.net/elections_prod/1292/state/01/lga/17/ward/08/pu/007/007-1677369993.pdf" TargetMode="External"/><Relationship Id="rId3902" Type="http://schemas.openxmlformats.org/officeDocument/2006/relationships/hyperlink" Target="https://docs.inecelectionresults.net/elections_prod/1292/state/01/lga/17/ward/10/pu/006/006-1677368374.pdf" TargetMode="External"/><Relationship Id="rId3901" Type="http://schemas.openxmlformats.org/officeDocument/2006/relationships/hyperlink" Target="https://docs.inecelectionresults.net/elections_prod/1292/state/01/lga/17/ward/08/pu/008/008-1677368672.pdf" TargetMode="External"/><Relationship Id="rId3904" Type="http://schemas.openxmlformats.org/officeDocument/2006/relationships/hyperlink" Target="https://docs.inecelectionresults.net/elections_prod/1292/state/01/lga/17/ward/02/pu/012/012-1677366130.pdf" TargetMode="External"/><Relationship Id="rId3903" Type="http://schemas.openxmlformats.org/officeDocument/2006/relationships/hyperlink" Target="https://docs.inecelectionresults.net/elections_prod/1292/state/01/lga/17/ward/10/pu/007/007-1677369527.pdf" TargetMode="External"/><Relationship Id="rId3906" Type="http://schemas.openxmlformats.org/officeDocument/2006/relationships/hyperlink" Target="https://docs.inecelectionresults.net/elections_prod/1292/state/01/lga/17/ward/02/pu/014/014-1677367743.pdf" TargetMode="External"/><Relationship Id="rId3905" Type="http://schemas.openxmlformats.org/officeDocument/2006/relationships/hyperlink" Target="https://docs.inecelectionresults.net/elections_prod/1292/state/01/lga/17/ward/02/pu/013/013-1677364413.pdf" TargetMode="External"/><Relationship Id="rId3908" Type="http://schemas.openxmlformats.org/officeDocument/2006/relationships/hyperlink" Target="https://docs.inecelectionresults.net/elections_prod/1292/state/01/lga/17/ward/02/pu/016/016-1677366091.pdf" TargetMode="External"/><Relationship Id="rId3907" Type="http://schemas.openxmlformats.org/officeDocument/2006/relationships/hyperlink" Target="https://docs.inecelectionresults.net/elections_prod/1292/state/01/lga/17/ward/02/pu/015/015-1677364714.pdf" TargetMode="External"/><Relationship Id="rId3909" Type="http://schemas.openxmlformats.org/officeDocument/2006/relationships/hyperlink" Target="https://docs.inecelectionresults.net/elections_prod/1292/state/01/lga/17/ward/02/pu/017/017-1677363659.pdf" TargetMode="External"/><Relationship Id="rId3931" Type="http://schemas.openxmlformats.org/officeDocument/2006/relationships/hyperlink" Target="https://docs.inecelectionresults.net/elections_prod/1292/state/1/lga/3682/ward/24146/pu/166398/166398-1677621460.pdf" TargetMode="External"/><Relationship Id="rId2600" Type="http://schemas.openxmlformats.org/officeDocument/2006/relationships/hyperlink" Target="https://docs.inecelectionresults.net/elections_prod/1292/state/01/lga/01/ward/04/pu/014/014-1677427245.pdf" TargetMode="External"/><Relationship Id="rId3930" Type="http://schemas.openxmlformats.org/officeDocument/2006/relationships/hyperlink" Target="https://docs.inecelectionresults.net/elections_prod/1292/state/1/lga/3682/ward/24146/pu/166397/166397-1677623643.pdf" TargetMode="External"/><Relationship Id="rId2601" Type="http://schemas.openxmlformats.org/officeDocument/2006/relationships/hyperlink" Target="https://docs.inecelectionresults.net/elections_prod/1292/state/01/lga/01/ward/04/pu/015/015-1677428606.pdf" TargetMode="External"/><Relationship Id="rId3933" Type="http://schemas.openxmlformats.org/officeDocument/2006/relationships/hyperlink" Target="https://docs.inecelectionresults.net/elections_prod/1292/state/1/lga/3682/ward/24146/pu/166400/166400-1677620427.pdf" TargetMode="External"/><Relationship Id="rId2602" Type="http://schemas.openxmlformats.org/officeDocument/2006/relationships/hyperlink" Target="https://docs.inecelectionresults.net/elections_prod/1292/state/1/lga/3666/ward/23953/pu/164750/164750-1677470900.pdf" TargetMode="External"/><Relationship Id="rId3932" Type="http://schemas.openxmlformats.org/officeDocument/2006/relationships/hyperlink" Target="https://docs.inecelectionresults.net/elections_prod/1292/state/1/lga/3682/ward/24146/pu/166399/166399-1677621175.pdf" TargetMode="External"/><Relationship Id="rId2603" Type="http://schemas.openxmlformats.org/officeDocument/2006/relationships/hyperlink" Target="https://docs.inecelectionresults.net/elections_prod/1292/state/1/lga/3666/ward/23953/pu/164751/164751-1677471526.pdf" TargetMode="External"/><Relationship Id="rId3935" Type="http://schemas.openxmlformats.org/officeDocument/2006/relationships/hyperlink" Target="https://docs.inecelectionresults.net/elections_prod/1292/state/01/lga/17/ward/15/pu/010/010-1677365202.pdf" TargetMode="External"/><Relationship Id="rId2604" Type="http://schemas.openxmlformats.org/officeDocument/2006/relationships/hyperlink" Target="https://docs.inecelectionresults.net/elections_prod/1292/state/1/lga/3666/ward/23953/pu/164752/164752-1677472006.pdf" TargetMode="External"/><Relationship Id="rId3934" Type="http://schemas.openxmlformats.org/officeDocument/2006/relationships/hyperlink" Target="https://docs.inecelectionresults.net/elections_prod/1292/state/1/lga/3682/ward/24150/pu/166404/166404-1677593706.pdf" TargetMode="External"/><Relationship Id="rId2605" Type="http://schemas.openxmlformats.org/officeDocument/2006/relationships/hyperlink" Target="https://docs.inecelectionresults.net/elections_prod/1292/state/1/lga/3666/ward/23953/pu/164753/164753-1677472439.pdf" TargetMode="External"/><Relationship Id="rId3937" Type="http://schemas.openxmlformats.org/officeDocument/2006/relationships/hyperlink" Target="https://docs.inecelectionresults.net/elections_prod/1292/state/01/lga/17/ward/15/pu/013/013-1677366163.pdf" TargetMode="External"/><Relationship Id="rId2606" Type="http://schemas.openxmlformats.org/officeDocument/2006/relationships/hyperlink" Target="https://docs.inecelectionresults.net/elections_prod/1292/state/1/lga/3666/ward/23953/pu/164754/164754-1677472801.pdf" TargetMode="External"/><Relationship Id="rId3936" Type="http://schemas.openxmlformats.org/officeDocument/2006/relationships/hyperlink" Target="https://docs.inecelectionresults.net/elections_prod/1292/state/01/lga/17/ward/15/pu/012/012-1677365325.pdf" TargetMode="External"/><Relationship Id="rId808" Type="http://schemas.openxmlformats.org/officeDocument/2006/relationships/hyperlink" Target="https://docs.inecelectionresults.net/elections_prod/1292/state/01/lga/04/ward/11/pu/019/019-1677383558.pdf" TargetMode="External"/><Relationship Id="rId2607" Type="http://schemas.openxmlformats.org/officeDocument/2006/relationships/hyperlink" Target="https://docs.inecelectionresults.net/elections_prod/1292/state/1/lga/3666/ward/23955/pu/164770/164770-1677470850.pdf" TargetMode="External"/><Relationship Id="rId3939" Type="http://schemas.openxmlformats.org/officeDocument/2006/relationships/hyperlink" Target="https://inec-cvr-cache.s3.eu-west-1.amazonaws.com/cached/results/661699/result_80449_1677528264_thumb.jpg" TargetMode="External"/><Relationship Id="rId807" Type="http://schemas.openxmlformats.org/officeDocument/2006/relationships/hyperlink" Target="https://docs.inecelectionresults.net/elections_prod/1292/state/01/lga/04/ward/11/pu/018/018-1677379678.pdf" TargetMode="External"/><Relationship Id="rId2608" Type="http://schemas.openxmlformats.org/officeDocument/2006/relationships/hyperlink" Target="https://docs.inecelectionresults.net/elections_prod/1292/state/1/lga/3666/ward/23955/pu/164771/164771-1677471038.pdf" TargetMode="External"/><Relationship Id="rId3938" Type="http://schemas.openxmlformats.org/officeDocument/2006/relationships/hyperlink" Target="https://docs.inecelectionresults.net/elections_prod/1292/state/01/lga/17/ward/03/pu/011/011-1677392010.pdf" TargetMode="External"/><Relationship Id="rId806" Type="http://schemas.openxmlformats.org/officeDocument/2006/relationships/hyperlink" Target="https://docs.inecelectionresults.net/elections_prod/1292/state/01/lga/04/ward/11/pu/016/016-1677379096.pdf" TargetMode="External"/><Relationship Id="rId2609" Type="http://schemas.openxmlformats.org/officeDocument/2006/relationships/hyperlink" Target="https://docs.inecelectionresults.net/elections_prod/1292/state/01/lga/01/ward/16/pu/017/017-1677413704.pdf" TargetMode="External"/><Relationship Id="rId805" Type="http://schemas.openxmlformats.org/officeDocument/2006/relationships/hyperlink" Target="https://docs.inecelectionresults.net/elections_prod/1292/state/01/lga/04/ward/11/pu/015/015-1677379098.pdf" TargetMode="External"/><Relationship Id="rId809" Type="http://schemas.openxmlformats.org/officeDocument/2006/relationships/hyperlink" Target="https://docs.inecelectionresults.net/elections_prod/1292/state/01/lga/04/ward/11/pu/020/020-1677379977.pdf" TargetMode="External"/><Relationship Id="rId800" Type="http://schemas.openxmlformats.org/officeDocument/2006/relationships/hyperlink" Target="https://docs.inecelectionresults.net/elections_prod/1292/state/01/lga/04/ward/11/pu/009/009-1677381109.pdf" TargetMode="External"/><Relationship Id="rId804" Type="http://schemas.openxmlformats.org/officeDocument/2006/relationships/hyperlink" Target="https://docs.inecelectionresults.net/elections_prod/1292/state/01/lga/04/ward/11/pu/013/013-1677378634.pdf" TargetMode="External"/><Relationship Id="rId803" Type="http://schemas.openxmlformats.org/officeDocument/2006/relationships/hyperlink" Target="https://docs.inecelectionresults.net/elections_prod/1292/state/01/lga/04/ward/11/pu/012/012-1677378739.pdf" TargetMode="External"/><Relationship Id="rId802" Type="http://schemas.openxmlformats.org/officeDocument/2006/relationships/hyperlink" Target="https://docs.inecelectionresults.net/elections_prod/1292/state/01/lga/04/ward/11/pu/011/011-1677379615.pdf" TargetMode="External"/><Relationship Id="rId801" Type="http://schemas.openxmlformats.org/officeDocument/2006/relationships/hyperlink" Target="https://docs.inecelectionresults.net/elections_prod/1292/state/01/lga/04/ward/11/pu/010/010-1677380349.pdf" TargetMode="External"/><Relationship Id="rId3920" Type="http://schemas.openxmlformats.org/officeDocument/2006/relationships/hyperlink" Target="https://docs.inecelectionresults.net/elections_prod/1292/state/01/lga/17/ward/11/pu/015/015-1677362016.pdf" TargetMode="External"/><Relationship Id="rId3922" Type="http://schemas.openxmlformats.org/officeDocument/2006/relationships/hyperlink" Target="https://docs.inecelectionresults.net/elections_prod/1292/state/1/lga/3682/ward/24146/pu/166389/166389-1677622069.pdf" TargetMode="External"/><Relationship Id="rId3921" Type="http://schemas.openxmlformats.org/officeDocument/2006/relationships/hyperlink" Target="https://docs.inecelectionresults.net/elections_prod/1292/state/1/lga/3682/ward/24146/pu/166388/166388-1677621987.pdf" TargetMode="External"/><Relationship Id="rId3924" Type="http://schemas.openxmlformats.org/officeDocument/2006/relationships/hyperlink" Target="https://docs.inecelectionresults.net/elections_prod/1292/state/1/lga/3682/ward/24146/pu/166391/166391-1677622828.pdf" TargetMode="External"/><Relationship Id="rId3923" Type="http://schemas.openxmlformats.org/officeDocument/2006/relationships/hyperlink" Target="https://docs.inecelectionresults.net/elections_prod/1292/state/1/lga/3682/ward/24146/pu/166390/166390-1677622641.pdf" TargetMode="External"/><Relationship Id="rId3926" Type="http://schemas.openxmlformats.org/officeDocument/2006/relationships/hyperlink" Target="https://docs.inecelectionresults.net/elections_prod/1292/state/1/lga/3682/ward/24146/pu/166393/166393-1677622484.pdf" TargetMode="External"/><Relationship Id="rId3925" Type="http://schemas.openxmlformats.org/officeDocument/2006/relationships/hyperlink" Target="https://docs.inecelectionresults.net/elections_prod/1292/state/1/lga/3682/ward/24146/pu/166392/166392-1677622857.pdf" TargetMode="External"/><Relationship Id="rId3928" Type="http://schemas.openxmlformats.org/officeDocument/2006/relationships/hyperlink" Target="https://docs.inecelectionresults.net/elections_prod/1292/state/1/lga/3682/ward/24146/pu/166395/166395-1677623256.pdf" TargetMode="External"/><Relationship Id="rId3927" Type="http://schemas.openxmlformats.org/officeDocument/2006/relationships/hyperlink" Target="https://docs.inecelectionresults.net/elections_prod/1292/state/1/lga/3682/ward/24146/pu/166394/166394-1677622843.pdf" TargetMode="External"/><Relationship Id="rId3929" Type="http://schemas.openxmlformats.org/officeDocument/2006/relationships/hyperlink" Target="https://docs.inecelectionresults.net/elections_prod/1292/state/1/lga/3682/ward/24146/pu/166396/166396-1677623454.pdf" TargetMode="External"/><Relationship Id="rId1334" Type="http://schemas.openxmlformats.org/officeDocument/2006/relationships/hyperlink" Target="https://docs.inecelectionresults.net/elections_prod/1292/state/01/lga/09/ward/02/pu/009/009-1677392905.pdf" TargetMode="External"/><Relationship Id="rId2665" Type="http://schemas.openxmlformats.org/officeDocument/2006/relationships/hyperlink" Target="https://docs.inecelectionresults.net/elections_prod/1292/state/01/lga/01/ward/10/pu/017/017-1677423205.pdf" TargetMode="External"/><Relationship Id="rId3997" Type="http://schemas.openxmlformats.org/officeDocument/2006/relationships/hyperlink" Target="https://docs.inecelectionresults.net/elections_prod/1292/state/01/lga/20/ward/10/pu/029/029-1677374733.pdf" TargetMode="External"/><Relationship Id="rId1335" Type="http://schemas.openxmlformats.org/officeDocument/2006/relationships/hyperlink" Target="https://docs.inecelectionresults.net/elections_prod/1292/state/01/lga/09/ward/02/pu/010/010-1677398519.pdf" TargetMode="External"/><Relationship Id="rId2666" Type="http://schemas.openxmlformats.org/officeDocument/2006/relationships/hyperlink" Target="https://docs.inecelectionresults.net/elections_prod/1292/state/1/lga/3666/ward/23958/pu/164787/164787-1677492398.pdf" TargetMode="External"/><Relationship Id="rId3996" Type="http://schemas.openxmlformats.org/officeDocument/2006/relationships/hyperlink" Target="https://docs.inecelectionresults.net/elections_prod/1292/state/01/lga/20/ward/10/pu/027/027-1677369393.pdf" TargetMode="External"/><Relationship Id="rId1336" Type="http://schemas.openxmlformats.org/officeDocument/2006/relationships/hyperlink" Target="https://docs.inecelectionresults.net/elections_prod/1292/state/01/lga/09/ward/02/pu/011/011-1677396449.pdf" TargetMode="External"/><Relationship Id="rId2667" Type="http://schemas.openxmlformats.org/officeDocument/2006/relationships/hyperlink" Target="https://docs.inecelectionresults.net/elections_prod/1292/state/1/lga/3666/ward/23958/pu/164788/164788-1677498618.pdf" TargetMode="External"/><Relationship Id="rId3999" Type="http://schemas.openxmlformats.org/officeDocument/2006/relationships/hyperlink" Target="https://docs.inecelectionresults.net/elections_prod/1292/state/01/lga/20/ward/10/pu/032/032-1677359998.pdf" TargetMode="External"/><Relationship Id="rId1337" Type="http://schemas.openxmlformats.org/officeDocument/2006/relationships/hyperlink" Target="https://docs.inecelectionresults.net/elections_prod/1292/state/01/lga/09/ward/02/pu/012/012-1677398374.pdf" TargetMode="External"/><Relationship Id="rId2668" Type="http://schemas.openxmlformats.org/officeDocument/2006/relationships/hyperlink" Target="https://docs.inecelectionresults.net/elections_prod/1292/state/1/lga/3666/ward/23958/pu/164789/164789-1677484744.pdf" TargetMode="External"/><Relationship Id="rId3998" Type="http://schemas.openxmlformats.org/officeDocument/2006/relationships/hyperlink" Target="https://inec-cvr-cache.s3.eu-west-1.amazonaws.com/cached/results/661773/result_80905_1677518282_thumb.jpg" TargetMode="External"/><Relationship Id="rId1338" Type="http://schemas.openxmlformats.org/officeDocument/2006/relationships/hyperlink" Target="https://docs.inecelectionresults.net/elections_prod/1292/state/01/lga/09/ward/02/pu/013/013-1677397563.pdf" TargetMode="External"/><Relationship Id="rId2669" Type="http://schemas.openxmlformats.org/officeDocument/2006/relationships/hyperlink" Target="https://docs.inecelectionresults.net/elections_prod/1292/state/1/lga/3666/ward/23958/pu/164790/164790-1677478763.pdf" TargetMode="External"/><Relationship Id="rId1339" Type="http://schemas.openxmlformats.org/officeDocument/2006/relationships/hyperlink" Target="https://docs.inecelectionresults.net/elections_prod/1292/state/01/lga/09/ward/02/pu/014/014-1677399538.pdf" TargetMode="External"/><Relationship Id="rId745" Type="http://schemas.openxmlformats.org/officeDocument/2006/relationships/hyperlink" Target="https://docs.inecelectionresults.net/elections_prod/1292/state/01/lga/04/ward/08/pu/014/014-1677385029.pdf" TargetMode="External"/><Relationship Id="rId744" Type="http://schemas.openxmlformats.org/officeDocument/2006/relationships/hyperlink" Target="https://docs.inecelectionresults.net/elections_prod/1292/state/01/lga/04/ward/08/pu/013/013-1677387654.pdf" TargetMode="External"/><Relationship Id="rId743" Type="http://schemas.openxmlformats.org/officeDocument/2006/relationships/hyperlink" Target="https://docs.inecelectionresults.net/elections_prod/1292/state/01/lga/04/ward/08/pu/012/012-1677387995.pdf" TargetMode="External"/><Relationship Id="rId742" Type="http://schemas.openxmlformats.org/officeDocument/2006/relationships/hyperlink" Target="https://docs.inecelectionresults.net/elections_prod/1292/state/01/lga/04/ward/08/pu/011/011-1677386773.pdf" TargetMode="External"/><Relationship Id="rId749" Type="http://schemas.openxmlformats.org/officeDocument/2006/relationships/hyperlink" Target="https://docs.inecelectionresults.net/elections_prod/1292/state/01/lga/04/ward/09/pu/002/002-1677392708.pdf" TargetMode="External"/><Relationship Id="rId748" Type="http://schemas.openxmlformats.org/officeDocument/2006/relationships/hyperlink" Target="https://docs.inecelectionresults.net/elections_prod/1292/state/01/lga/04/ward/09/pu/001/001-1677374656.pdf" TargetMode="External"/><Relationship Id="rId747" Type="http://schemas.openxmlformats.org/officeDocument/2006/relationships/hyperlink" Target="https://docs.inecelectionresults.net/elections_prod/1292/state/1/lga/3669/ward/24004/pu/91718/91718-1677511286.pdf" TargetMode="External"/><Relationship Id="rId746" Type="http://schemas.openxmlformats.org/officeDocument/2006/relationships/hyperlink" Target="https://docs.inecelectionresults.net/elections_prod/1292/state/1/lga/3669/ward/24004/pu/91715/91715-1677511011.pdf" TargetMode="External"/><Relationship Id="rId3991" Type="http://schemas.openxmlformats.org/officeDocument/2006/relationships/hyperlink" Target="https://docs.inecelectionresults.net/elections_prod/1292/state/01/lga/20/ward/09/pu/015/015-1677377542.pdf" TargetMode="External"/><Relationship Id="rId2660" Type="http://schemas.openxmlformats.org/officeDocument/2006/relationships/hyperlink" Target="https://docs.inecelectionresults.net/elections_prod/1292/state/01/lga/01/ward/08/pu/011/011-1677389425.pdf" TargetMode="External"/><Relationship Id="rId3990" Type="http://schemas.openxmlformats.org/officeDocument/2006/relationships/hyperlink" Target="https://docs.inecelectionresults.net/elections_prod/1292/state/01/lga/20/ward/09/pu/014/014-1677375086.pdf" TargetMode="External"/><Relationship Id="rId741" Type="http://schemas.openxmlformats.org/officeDocument/2006/relationships/hyperlink" Target="https://docs.inecelectionresults.net/elections_prod/1292/state/01/lga/04/ward/08/pu/010/010-1677391346.pdf" TargetMode="External"/><Relationship Id="rId1330" Type="http://schemas.openxmlformats.org/officeDocument/2006/relationships/hyperlink" Target="https://docs.inecelectionresults.net/elections_prod/1292/state/01/lga/09/ward/02/pu/005/005-1677386612.pdf" TargetMode="External"/><Relationship Id="rId2661" Type="http://schemas.openxmlformats.org/officeDocument/2006/relationships/hyperlink" Target="https://docs.inecelectionresults.net/elections_prod/1292/state/01/lga/01/ward/08/pu/012/012-1677389927.pdf" TargetMode="External"/><Relationship Id="rId3993" Type="http://schemas.openxmlformats.org/officeDocument/2006/relationships/hyperlink" Target="https://docs.inecelectionresults.net/elections_prod/1292/state/01/lga/20/ward/10/pu/021/021-1677399515.pdf" TargetMode="External"/><Relationship Id="rId740" Type="http://schemas.openxmlformats.org/officeDocument/2006/relationships/hyperlink" Target="https://docs.inecelectionresults.net/elections_prod/1292/state/1/lga/3669/ward/24004/pu/91704/91704-1677510112.pdf" TargetMode="External"/><Relationship Id="rId1331" Type="http://schemas.openxmlformats.org/officeDocument/2006/relationships/hyperlink" Target="https://docs.inecelectionresults.net/elections_prod/1292/state/01/lga/09/ward/02/pu/006/006-1677387616.pdf" TargetMode="External"/><Relationship Id="rId2662" Type="http://schemas.openxmlformats.org/officeDocument/2006/relationships/hyperlink" Target="https://docs.inecelectionresults.net/elections_prod/1292/state/01/lga/01/ward/08/pu/013/013-1677390356.pdf" TargetMode="External"/><Relationship Id="rId3992" Type="http://schemas.openxmlformats.org/officeDocument/2006/relationships/hyperlink" Target="https://docs.inecelectionresults.net/elections_prod/1292/state/1/lga/3685/ward/24180/pu/166490/166490-1677509915.pdf" TargetMode="External"/><Relationship Id="rId1332" Type="http://schemas.openxmlformats.org/officeDocument/2006/relationships/hyperlink" Target="https://docs.inecelectionresults.net/elections_prod/1292/state/01/lga/09/ward/02/pu/007/007-1677388148.pdf" TargetMode="External"/><Relationship Id="rId2663" Type="http://schemas.openxmlformats.org/officeDocument/2006/relationships/hyperlink" Target="https://docs.inecelectionresults.net/elections_prod/1292/state/01/lga/01/ward/08/pu/014/014-1677394291.pdf" TargetMode="External"/><Relationship Id="rId3995" Type="http://schemas.openxmlformats.org/officeDocument/2006/relationships/hyperlink" Target="https://docs.inecelectionresults.net/elections_prod/1292/state/01/lga/20/ward/10/pu/025/025-1677359812.pdf" TargetMode="External"/><Relationship Id="rId1333" Type="http://schemas.openxmlformats.org/officeDocument/2006/relationships/hyperlink" Target="https://docs.inecelectionresults.net/elections_prod/1292/state/01/lga/09/ward/02/pu/008/008-1677392617.pdf" TargetMode="External"/><Relationship Id="rId2664" Type="http://schemas.openxmlformats.org/officeDocument/2006/relationships/hyperlink" Target="https://docs.inecelectionresults.net/elections_prod/1292/state/01/lga/01/ward/10/pu/016/016-1677422265.pdf" TargetMode="External"/><Relationship Id="rId3994" Type="http://schemas.openxmlformats.org/officeDocument/2006/relationships/hyperlink" Target="https://docs.inecelectionresults.net/elections_prod/1292/state/1/lga/3685/ward/24180/pu/166493/166493-1677514232.pdf" TargetMode="External"/><Relationship Id="rId1323" Type="http://schemas.openxmlformats.org/officeDocument/2006/relationships/hyperlink" Target="https://docs.inecelectionresults.net/elections_prod/1292/state/01/lga/09/ward/01/pu/015/015-1677396802.pdf" TargetMode="External"/><Relationship Id="rId2654" Type="http://schemas.openxmlformats.org/officeDocument/2006/relationships/hyperlink" Target="https://docs.inecelectionresults.net/elections_prod/1292/state/01/lga/01/ward/12/pu/017/017-1677417625.pdf" TargetMode="External"/><Relationship Id="rId3986" Type="http://schemas.openxmlformats.org/officeDocument/2006/relationships/hyperlink" Target="https://docs.inecelectionresults.net/elections_prod/1292/state/01/lga/20/ward/15/pu/008/008-1677398403.pdf" TargetMode="External"/><Relationship Id="rId1324" Type="http://schemas.openxmlformats.org/officeDocument/2006/relationships/hyperlink" Target="https://docs.inecelectionresults.net/elections_prod/1292/state/01/lga/09/ward/01/pu/016/016-1677408451.pdf" TargetMode="External"/><Relationship Id="rId2655" Type="http://schemas.openxmlformats.org/officeDocument/2006/relationships/hyperlink" Target="https://docs.inecelectionresults.net/elections_prod/1292/state/01/lga/01/ward/12/pu/018/018-1677418691.pdf" TargetMode="External"/><Relationship Id="rId3985" Type="http://schemas.openxmlformats.org/officeDocument/2006/relationships/hyperlink" Target="https://docs.inecelectionresults.net/elections_prod/1292/state/1/lga/3685/ward/24173/pu/166446/166446-1677503881.pdf" TargetMode="External"/><Relationship Id="rId1325" Type="http://schemas.openxmlformats.org/officeDocument/2006/relationships/hyperlink" Target="https://docs.inecelectionresults.net/elections_prod/1292/state/01/lga/09/ward/01/pu/017/017-1677404189.pdf" TargetMode="External"/><Relationship Id="rId2656" Type="http://schemas.openxmlformats.org/officeDocument/2006/relationships/hyperlink" Target="https://docs.inecelectionresults.net/elections_prod/1292/state/01/lga/01/ward/12/pu/019/019-1677417054.pdf" TargetMode="External"/><Relationship Id="rId3988" Type="http://schemas.openxmlformats.org/officeDocument/2006/relationships/hyperlink" Target="https://docs.inecelectionresults.net/elections_prod/1292/state/1/lga/3685/ward/24177/pu/166485/166485-1677528367.pdf" TargetMode="External"/><Relationship Id="rId1326" Type="http://schemas.openxmlformats.org/officeDocument/2006/relationships/hyperlink" Target="https://docs.inecelectionresults.net/elections_prod/1292/state/01/lga/09/ward/02/pu/001/001-1677383301.pdf" TargetMode="External"/><Relationship Id="rId2657" Type="http://schemas.openxmlformats.org/officeDocument/2006/relationships/hyperlink" Target="https://docs.inecelectionresults.net/elections_prod/1292/state/1/lga/3666/ward/23961/pu/164826/164826-1677478144.pdf" TargetMode="External"/><Relationship Id="rId3987" Type="http://schemas.openxmlformats.org/officeDocument/2006/relationships/hyperlink" Target="https://docs.inecelectionresults.net/elections_prod/1292/state/01/lga/20/ward/15/pu/009/009-1677396956.pdf" TargetMode="External"/><Relationship Id="rId1327" Type="http://schemas.openxmlformats.org/officeDocument/2006/relationships/hyperlink" Target="https://docs.inecelectionresults.net/elections_prod/1292/state/01/lga/09/ward/02/pu/002/002-1677383971.pdf" TargetMode="External"/><Relationship Id="rId2658" Type="http://schemas.openxmlformats.org/officeDocument/2006/relationships/hyperlink" Target="https://docs.inecelectionresults.net/elections_prod/1292/state/01/lga/01/ward/12/pu/021/021-1677425820.pdf" TargetMode="External"/><Relationship Id="rId1328" Type="http://schemas.openxmlformats.org/officeDocument/2006/relationships/hyperlink" Target="https://docs.inecelectionresults.net/elections_prod/1292/state/01/lga/09/ward/02/pu/003/003-1677384582.pdf" TargetMode="External"/><Relationship Id="rId2659" Type="http://schemas.openxmlformats.org/officeDocument/2006/relationships/hyperlink" Target="https://docs.inecelectionresults.net/elections_prod/1292/state/01/lga/01/ward/08/pu/010/010-1677389062.pdf" TargetMode="External"/><Relationship Id="rId3989" Type="http://schemas.openxmlformats.org/officeDocument/2006/relationships/hyperlink" Target="https://docs.inecelectionresults.net/elections_prod/1292/state/01/lga/20/ward/09/pu/013/013-1677389490.pdf" TargetMode="External"/><Relationship Id="rId1329" Type="http://schemas.openxmlformats.org/officeDocument/2006/relationships/hyperlink" Target="https://docs.inecelectionresults.net/elections_prod/1292/state/01/lga/09/ward/02/pu/004/004-1677385414.pdf" TargetMode="External"/><Relationship Id="rId739" Type="http://schemas.openxmlformats.org/officeDocument/2006/relationships/hyperlink" Target="https://docs.inecelectionresults.net/elections_prod/1292/state/01/lga/04/ward/08/pu/003/003-1677388267.pdf" TargetMode="External"/><Relationship Id="rId734" Type="http://schemas.openxmlformats.org/officeDocument/2006/relationships/hyperlink" Target="https://docs.inecelectionresults.net/elections_prod/1292/state/01/lga/04/ward/07/pu/013/013-1677386719.pdf" TargetMode="External"/><Relationship Id="rId733" Type="http://schemas.openxmlformats.org/officeDocument/2006/relationships/hyperlink" Target="https://docs.inecelectionresults.net/elections_prod/1292/state/01/lga/04/ward/07/pu/012/012-1677392878.pdf" TargetMode="External"/><Relationship Id="rId732" Type="http://schemas.openxmlformats.org/officeDocument/2006/relationships/hyperlink" Target="https://docs.inecelectionresults.net/elections_prod/1292/state/01/lga/04/ward/07/pu/011/011-1677381878.pdf" TargetMode="External"/><Relationship Id="rId731" Type="http://schemas.openxmlformats.org/officeDocument/2006/relationships/hyperlink" Target="https://docs.inecelectionresults.net/elections_prod/1292/state/01/lga/04/ward/07/pu/010/010-1677382454.pdf" TargetMode="External"/><Relationship Id="rId738" Type="http://schemas.openxmlformats.org/officeDocument/2006/relationships/hyperlink" Target="https://docs.inecelectionresults.net/elections_prod/1292/state/01/lga/04/ward/08/pu/002/002-1677386811.pdf" TargetMode="External"/><Relationship Id="rId737" Type="http://schemas.openxmlformats.org/officeDocument/2006/relationships/hyperlink" Target="https://docs.inecelectionresults.net/elections_prod/1292/state/01/lga/04/ward/07/pu/018/018-1677382523.pdf" TargetMode="External"/><Relationship Id="rId736" Type="http://schemas.openxmlformats.org/officeDocument/2006/relationships/hyperlink" Target="https://docs.inecelectionresults.net/elections_prod/1292/state/01/lga/04/ward/07/pu/017/017-1677383285.pdf" TargetMode="External"/><Relationship Id="rId735" Type="http://schemas.openxmlformats.org/officeDocument/2006/relationships/hyperlink" Target="https://docs.inecelectionresults.net/elections_prod/1292/state/01/lga/04/ward/07/pu/016/016-1677380730.pdf" TargetMode="External"/><Relationship Id="rId3980" Type="http://schemas.openxmlformats.org/officeDocument/2006/relationships/hyperlink" Target="https://docs.inecelectionresults.net/elections_prod/1292/state/01/lga/20/ward/03/pu/010/010-1677413399.pdf" TargetMode="External"/><Relationship Id="rId730" Type="http://schemas.openxmlformats.org/officeDocument/2006/relationships/hyperlink" Target="https://docs.inecelectionresults.net/elections_prod/1292/state/01/lga/04/ward/07/pu/009/009-1677382042.pdf" TargetMode="External"/><Relationship Id="rId2650" Type="http://schemas.openxmlformats.org/officeDocument/2006/relationships/hyperlink" Target="https://docs.inecelectionresults.net/elections_prod/1292/state/01/lga/01/ward/12/pu/013/013-1677428290.pdf" TargetMode="External"/><Relationship Id="rId3982" Type="http://schemas.openxmlformats.org/officeDocument/2006/relationships/hyperlink" Target="https://docs.inecelectionresults.net/elections_prod/1292/state/01/lga/20/ward/03/pu/012/012-1677406771.pdf" TargetMode="External"/><Relationship Id="rId1320" Type="http://schemas.openxmlformats.org/officeDocument/2006/relationships/hyperlink" Target="https://docs.inecelectionresults.net/elections_prod/1292/state/01/lga/09/ward/01/pu/011/011-1677408221.pdf" TargetMode="External"/><Relationship Id="rId2651" Type="http://schemas.openxmlformats.org/officeDocument/2006/relationships/hyperlink" Target="https://docs.inecelectionresults.net/elections_prod/1292/state/01/lga/01/ward/12/pu/014/014-1677421593.pdf" TargetMode="External"/><Relationship Id="rId3981" Type="http://schemas.openxmlformats.org/officeDocument/2006/relationships/hyperlink" Target="https://docs.inecelectionresults.net/elections_prod/1292/state/01/lga/20/ward/03/pu/011/011-1677415226.pdf" TargetMode="External"/><Relationship Id="rId1321" Type="http://schemas.openxmlformats.org/officeDocument/2006/relationships/hyperlink" Target="https://docs.inecelectionresults.net/elections_prod/1292/state/01/lga/09/ward/01/pu/012/012-1677398344.pdf" TargetMode="External"/><Relationship Id="rId2652" Type="http://schemas.openxmlformats.org/officeDocument/2006/relationships/hyperlink" Target="https://docs.inecelectionresults.net/elections_prod/1292/state/1/lga/3666/ward/23961/pu/164821/164821-1677479587.pdf" TargetMode="External"/><Relationship Id="rId3984" Type="http://schemas.openxmlformats.org/officeDocument/2006/relationships/hyperlink" Target="https://docs.inecelectionresults.net/elections_prod/1292/state/01/lga/20/ward/03/pu/014/014-1677416667.pdf" TargetMode="External"/><Relationship Id="rId1322" Type="http://schemas.openxmlformats.org/officeDocument/2006/relationships/hyperlink" Target="https://docs.inecelectionresults.net/elections_prod/1292/state/01/lga/09/ward/01/pu/014/014-1677388979.pdf" TargetMode="External"/><Relationship Id="rId2653" Type="http://schemas.openxmlformats.org/officeDocument/2006/relationships/hyperlink" Target="https://docs.inecelectionresults.net/elections_prod/1292/state/01/lga/01/ward/12/pu/016/016-1677423200.pdf" TargetMode="External"/><Relationship Id="rId3983" Type="http://schemas.openxmlformats.org/officeDocument/2006/relationships/hyperlink" Target="https://docs.inecelectionresults.net/elections_prod/1292/state/01/lga/20/ward/03/pu/013/013-1677411004.pdf" TargetMode="External"/><Relationship Id="rId1356" Type="http://schemas.openxmlformats.org/officeDocument/2006/relationships/hyperlink" Target="https://docs.inecelectionresults.net/elections_prod/1292/state/01/lga/09/ward/03/pu/015/015-1677403240.pdf" TargetMode="External"/><Relationship Id="rId2687" Type="http://schemas.openxmlformats.org/officeDocument/2006/relationships/hyperlink" Target="https://docs.inecelectionresults.net/elections_prod/1292/state/1/lga/3666/ward/23960/pu/164813/164813-1677478196.pdf" TargetMode="External"/><Relationship Id="rId1357" Type="http://schemas.openxmlformats.org/officeDocument/2006/relationships/hyperlink" Target="https://docs.inecelectionresults.net/elections_prod/1292/state/01/lga/09/ward/03/pu/016/016-1677383504.pdf" TargetMode="External"/><Relationship Id="rId2688" Type="http://schemas.openxmlformats.org/officeDocument/2006/relationships/hyperlink" Target="https://docs.inecelectionresults.net/elections_prod/1292/state/1/lga/3666/ward/23960/pu/164814/164814-1677478829.pdf" TargetMode="External"/><Relationship Id="rId1358" Type="http://schemas.openxmlformats.org/officeDocument/2006/relationships/hyperlink" Target="https://docs.inecelectionresults.net/elections_prod/1292/state/01/lga/09/ward/03/pu/017/017-1677384286.pdf" TargetMode="External"/><Relationship Id="rId2689" Type="http://schemas.openxmlformats.org/officeDocument/2006/relationships/hyperlink" Target="https://docs.inecelectionresults.net/elections_prod/1292/state/1/lga/3666/ward/23960/pu/164815/164815-1677478575.pdf" TargetMode="External"/><Relationship Id="rId1359" Type="http://schemas.openxmlformats.org/officeDocument/2006/relationships/hyperlink" Target="https://docs.inecelectionresults.net/elections_prod/1292/state/01/lga/09/ward/03/pu/018/018-1677382864.pdf" TargetMode="External"/><Relationship Id="rId767" Type="http://schemas.openxmlformats.org/officeDocument/2006/relationships/hyperlink" Target="https://docs.inecelectionresults.net/elections_prod/1292/state/01/lga/04/ward/09/pu/020/020-1677384890.pdf" TargetMode="External"/><Relationship Id="rId766" Type="http://schemas.openxmlformats.org/officeDocument/2006/relationships/hyperlink" Target="https://docs.inecelectionresults.net/elections_prod/1292/state/01/lga/04/ward/09/pu/019/019-1677385358.pdf" TargetMode="External"/><Relationship Id="rId765" Type="http://schemas.openxmlformats.org/officeDocument/2006/relationships/hyperlink" Target="https://docs.inecelectionresults.net/elections_prod/1292/state/01/lga/04/ward/09/pu/018/018-1677387157.pdf" TargetMode="External"/><Relationship Id="rId764" Type="http://schemas.openxmlformats.org/officeDocument/2006/relationships/hyperlink" Target="https://docs.inecelectionresults.net/elections_prod/1292/state/01/lga/04/ward/09/pu/017/017-1677394900.pdf" TargetMode="External"/><Relationship Id="rId769" Type="http://schemas.openxmlformats.org/officeDocument/2006/relationships/hyperlink" Target="https://docs.inecelectionresults.net/elections_prod/1292/state/01/lga/04/ward/09/pu/022/022-1677382426.pdf" TargetMode="External"/><Relationship Id="rId768" Type="http://schemas.openxmlformats.org/officeDocument/2006/relationships/hyperlink" Target="https://docs.inecelectionresults.net/elections_prod/1292/state/01/lga/04/ward/09/pu/021/021-1677383792.pdf" TargetMode="External"/><Relationship Id="rId2680" Type="http://schemas.openxmlformats.org/officeDocument/2006/relationships/hyperlink" Target="https://docs.inecelectionresults.net/elections_prod/1292/state/1/lga/3666/ward/23958/pu/164804/164804-1677482285.pdf" TargetMode="External"/><Relationship Id="rId1350" Type="http://schemas.openxmlformats.org/officeDocument/2006/relationships/hyperlink" Target="https://docs.inecelectionresults.net/elections_prod/1292/state/01/lga/09/ward/03/pu/009/009-1677384059.pdf" TargetMode="External"/><Relationship Id="rId2681" Type="http://schemas.openxmlformats.org/officeDocument/2006/relationships/hyperlink" Target="https://docs.inecelectionresults.net/elections_prod/1292/state/01/lga/01/ward/11/pu/028/028-1677420581.pdf" TargetMode="External"/><Relationship Id="rId1351" Type="http://schemas.openxmlformats.org/officeDocument/2006/relationships/hyperlink" Target="https://docs.inecelectionresults.net/elections_prod/1292/state/01/lga/09/ward/03/pu/010/010-1677385153.pdf" TargetMode="External"/><Relationship Id="rId2682" Type="http://schemas.openxmlformats.org/officeDocument/2006/relationships/hyperlink" Target="https://docs.inecelectionresults.net/elections_prod/1292/state/01/lga/01/ward/11/pu/029/029-1677426843.pdf" TargetMode="External"/><Relationship Id="rId763" Type="http://schemas.openxmlformats.org/officeDocument/2006/relationships/hyperlink" Target="https://docs.inecelectionresults.net/elections_prod/1292/state/01/lga/04/ward/09/pu/016/016-1677379276.pdf" TargetMode="External"/><Relationship Id="rId1352" Type="http://schemas.openxmlformats.org/officeDocument/2006/relationships/hyperlink" Target="https://docs.inecelectionresults.net/elections_prod/1292/state/01/lga/09/ward/03/pu/011/011-1677384242.pdf" TargetMode="External"/><Relationship Id="rId2683" Type="http://schemas.openxmlformats.org/officeDocument/2006/relationships/hyperlink" Target="https://docs.inecelectionresults.net/elections_prod/1292/state/01/lga/01/ward/11/pu/030/030-1677428279.pdf" TargetMode="External"/><Relationship Id="rId762" Type="http://schemas.openxmlformats.org/officeDocument/2006/relationships/hyperlink" Target="https://docs.inecelectionresults.net/elections_prod/1292/state/01/lga/04/ward/09/pu/015/015-1677386308.pdf" TargetMode="External"/><Relationship Id="rId1353" Type="http://schemas.openxmlformats.org/officeDocument/2006/relationships/hyperlink" Target="https://docs.inecelectionresults.net/elections_prod/1292/state/01/lga/09/ward/03/pu/012/012-1677383881.pdf" TargetMode="External"/><Relationship Id="rId2684" Type="http://schemas.openxmlformats.org/officeDocument/2006/relationships/hyperlink" Target="https://docs.inecelectionresults.net/elections_prod/1292/state/01/lga/01/ward/11/pu/031/031-1677416664.pdf" TargetMode="External"/><Relationship Id="rId761" Type="http://schemas.openxmlformats.org/officeDocument/2006/relationships/hyperlink" Target="https://docs.inecelectionresults.net/elections_prod/1292/state/1/lga/3669/ward/24005/pu/91732/91732-1677507986.pdf" TargetMode="External"/><Relationship Id="rId1354" Type="http://schemas.openxmlformats.org/officeDocument/2006/relationships/hyperlink" Target="https://docs.inecelectionresults.net/elections_prod/1292/state/01/lga/09/ward/03/pu/013/013-1677395814.pdf" TargetMode="External"/><Relationship Id="rId2685" Type="http://schemas.openxmlformats.org/officeDocument/2006/relationships/hyperlink" Target="https://docs.inecelectionresults.net/elections_prod/1292/state/01/lga/01/ward/11/pu/032/032-1677420959.pdf" TargetMode="External"/><Relationship Id="rId760" Type="http://schemas.openxmlformats.org/officeDocument/2006/relationships/hyperlink" Target="https://docs.inecelectionresults.net/elections_prod/1292/state/01/lga/04/ward/09/pu/013/013-1677386568.pdf" TargetMode="External"/><Relationship Id="rId1355" Type="http://schemas.openxmlformats.org/officeDocument/2006/relationships/hyperlink" Target="https://docs.inecelectionresults.net/elections_prod/1292/state/01/lga/09/ward/03/pu/014/014-1677383657.pdf" TargetMode="External"/><Relationship Id="rId2686" Type="http://schemas.openxmlformats.org/officeDocument/2006/relationships/hyperlink" Target="https://docs.inecelectionresults.net/elections_prod/1292/state/01/lga/01/ward/11/pu/033/033-1677361281.pdf" TargetMode="External"/><Relationship Id="rId1345" Type="http://schemas.openxmlformats.org/officeDocument/2006/relationships/hyperlink" Target="https://docs.inecelectionresults.net/elections_prod/1292/state/01/lga/09/ward/03/pu/004/004-1677384076.pdf" TargetMode="External"/><Relationship Id="rId2676" Type="http://schemas.openxmlformats.org/officeDocument/2006/relationships/hyperlink" Target="https://docs.inecelectionresults.net/elections_prod/1292/state/1/lga/3666/ward/23958/pu/164800/164800-1677500060.pdf" TargetMode="External"/><Relationship Id="rId1346" Type="http://schemas.openxmlformats.org/officeDocument/2006/relationships/hyperlink" Target="https://docs.inecelectionresults.net/elections_prod/1292/state/01/lga/09/ward/03/pu/005/005-1677383640.pdf" TargetMode="External"/><Relationship Id="rId2677" Type="http://schemas.openxmlformats.org/officeDocument/2006/relationships/hyperlink" Target="https://docs.inecelectionresults.net/elections_prod/1292/state/1/lga/3666/ward/23958/pu/164801/164801-1677483460.pdf" TargetMode="External"/><Relationship Id="rId1347" Type="http://schemas.openxmlformats.org/officeDocument/2006/relationships/hyperlink" Target="https://docs.inecelectionresults.net/elections_prod/1292/state/01/lga/09/ward/03/pu/006/006-1677382885.pdf" TargetMode="External"/><Relationship Id="rId2678" Type="http://schemas.openxmlformats.org/officeDocument/2006/relationships/hyperlink" Target="https://docs.inecelectionresults.net/elections_prod/1292/state/1/lga/3666/ward/23958/pu/164802/164802-1677484442.pdf" TargetMode="External"/><Relationship Id="rId1348" Type="http://schemas.openxmlformats.org/officeDocument/2006/relationships/hyperlink" Target="https://docs.inecelectionresults.net/elections_prod/1292/state/01/lga/09/ward/03/pu/007/007-1677384068.pdf" TargetMode="External"/><Relationship Id="rId2679" Type="http://schemas.openxmlformats.org/officeDocument/2006/relationships/hyperlink" Target="https://docs.inecelectionresults.net/elections_prod/1292/state/1/lga/3666/ward/23958/pu/164803/164803-1677484008.pdf" TargetMode="External"/><Relationship Id="rId1349" Type="http://schemas.openxmlformats.org/officeDocument/2006/relationships/hyperlink" Target="https://docs.inecelectionresults.net/elections_prod/1292/state/01/lga/09/ward/03/pu/008/008-1677383462.pdf" TargetMode="External"/><Relationship Id="rId756" Type="http://schemas.openxmlformats.org/officeDocument/2006/relationships/hyperlink" Target="https://docs.inecelectionresults.net/elections_prod/1292/state/01/lga/04/ward/09/pu/009/009-1677393702.pdf" TargetMode="External"/><Relationship Id="rId755" Type="http://schemas.openxmlformats.org/officeDocument/2006/relationships/hyperlink" Target="https://docs.inecelectionresults.net/elections_prod/1292/state/01/lga/04/ward/09/pu/008/008-1677378440.pdf" TargetMode="External"/><Relationship Id="rId754" Type="http://schemas.openxmlformats.org/officeDocument/2006/relationships/hyperlink" Target="https://docs.inecelectionresults.net/elections_prod/1292/state/01/lga/04/ward/09/pu/007/007-1677377823.pdf" TargetMode="External"/><Relationship Id="rId753" Type="http://schemas.openxmlformats.org/officeDocument/2006/relationships/hyperlink" Target="https://docs.inecelectionresults.net/elections_prod/1292/state/01/lga/04/ward/09/pu/006/006-1677377252.pdf" TargetMode="External"/><Relationship Id="rId759" Type="http://schemas.openxmlformats.org/officeDocument/2006/relationships/hyperlink" Target="https://docs.inecelectionresults.net/elections_prod/1292/state/01/lga/04/ward/09/pu/012/012-1677380411.pdf" TargetMode="External"/><Relationship Id="rId758" Type="http://schemas.openxmlformats.org/officeDocument/2006/relationships/hyperlink" Target="https://docs.inecelectionresults.net/elections_prod/1292/state/01/lga/04/ward/09/pu/011/011-1677394206.pdf" TargetMode="External"/><Relationship Id="rId757" Type="http://schemas.openxmlformats.org/officeDocument/2006/relationships/hyperlink" Target="https://docs.inecelectionresults.net/elections_prod/1292/state/01/lga/04/ward/09/pu/010/010-1677372922.pdf" TargetMode="External"/><Relationship Id="rId2670" Type="http://schemas.openxmlformats.org/officeDocument/2006/relationships/hyperlink" Target="https://docs.inecelectionresults.net/elections_prod/1292/state/1/lga/3666/ward/23958/pu/164791/164791-1677480431.pdf" TargetMode="External"/><Relationship Id="rId1340" Type="http://schemas.openxmlformats.org/officeDocument/2006/relationships/hyperlink" Target="https://docs.inecelectionresults.net/elections_prod/1292/state/01/lga/09/ward/02/pu/015/015-1677400099.pdf" TargetMode="External"/><Relationship Id="rId2671" Type="http://schemas.openxmlformats.org/officeDocument/2006/relationships/hyperlink" Target="https://docs.inecelectionresults.net/elections_prod/1292/state/1/lga/3666/ward/23958/pu/164792/164792-1677481079.pdf" TargetMode="External"/><Relationship Id="rId752" Type="http://schemas.openxmlformats.org/officeDocument/2006/relationships/hyperlink" Target="https://docs.inecelectionresults.net/elections_prod/1292/state/01/lga/04/ward/09/pu/005/005-1677376149.pdf" TargetMode="External"/><Relationship Id="rId1341" Type="http://schemas.openxmlformats.org/officeDocument/2006/relationships/hyperlink" Target="https://docs.inecelectionresults.net/elections_prod/1292/state/01/lga/09/ward/02/pu/017/017-1677401404.pdf" TargetMode="External"/><Relationship Id="rId2672" Type="http://schemas.openxmlformats.org/officeDocument/2006/relationships/hyperlink" Target="https://docs.inecelectionresults.net/elections_prod/1292/state/1/lga/3666/ward/23958/pu/164794/164794-1677483147.pdf" TargetMode="External"/><Relationship Id="rId751" Type="http://schemas.openxmlformats.org/officeDocument/2006/relationships/hyperlink" Target="https://docs.inecelectionresults.net/elections_prod/1292/state/01/lga/04/ward/09/pu/004/004-1677375556.pdf" TargetMode="External"/><Relationship Id="rId1342" Type="http://schemas.openxmlformats.org/officeDocument/2006/relationships/hyperlink" Target="https://docs.inecelectionresults.net/elections_prod/1292/state/01/lga/09/ward/03/pu/001/001-1677382655.pdf" TargetMode="External"/><Relationship Id="rId2673" Type="http://schemas.openxmlformats.org/officeDocument/2006/relationships/hyperlink" Target="https://docs.inecelectionresults.net/elections_prod/1292/state/1/lga/3666/ward/23958/pu/164796/164796-1677482737.pdf" TargetMode="External"/><Relationship Id="rId750" Type="http://schemas.openxmlformats.org/officeDocument/2006/relationships/hyperlink" Target="https://docs.inecelectionresults.net/elections_prod/1292/state/01/lga/04/ward/09/pu/003/003-1677375408.pdf" TargetMode="External"/><Relationship Id="rId1343" Type="http://schemas.openxmlformats.org/officeDocument/2006/relationships/hyperlink" Target="https://docs.inecelectionresults.net/elections_prod/1292/state/01/lga/09/ward/03/pu/002/002-1677384242.pdf" TargetMode="External"/><Relationship Id="rId2674" Type="http://schemas.openxmlformats.org/officeDocument/2006/relationships/hyperlink" Target="https://docs.inecelectionresults.net/elections_prod/1292/state/1/lga/3666/ward/23958/pu/164798/164798-1677499405.pdf" TargetMode="External"/><Relationship Id="rId1344" Type="http://schemas.openxmlformats.org/officeDocument/2006/relationships/hyperlink" Target="https://docs.inecelectionresults.net/elections_prod/1292/state/01/lga/09/ward/03/pu/003/003-1677384819.pdf" TargetMode="External"/><Relationship Id="rId2675" Type="http://schemas.openxmlformats.org/officeDocument/2006/relationships/hyperlink" Target="https://docs.inecelectionresults.net/elections_prod/1292/state/1/lga/3666/ward/23958/pu/164799/164799-1677481434.pdf" TargetMode="External"/><Relationship Id="rId2621" Type="http://schemas.openxmlformats.org/officeDocument/2006/relationships/hyperlink" Target="https://docs.inecelectionresults.net/elections_prod/1292/state/01/lga/01/ward/07/pu/016/016-1677425733.pdf" TargetMode="External"/><Relationship Id="rId3953" Type="http://schemas.openxmlformats.org/officeDocument/2006/relationships/hyperlink" Target="https://docs.inecelectionresults.net/elections_prod/1292/state/1/lga/3683/ward/24159/pu/166421/166421-1677584088.pdf" TargetMode="External"/><Relationship Id="rId2622" Type="http://schemas.openxmlformats.org/officeDocument/2006/relationships/hyperlink" Target="https://docs.inecelectionresults.net/elections_prod/1292/state/01/lga/01/ward/07/pu/017/017-1677420155.pdf" TargetMode="External"/><Relationship Id="rId3952" Type="http://schemas.openxmlformats.org/officeDocument/2006/relationships/hyperlink" Target="https://docs.inecelectionresults.net/elections_prod/1292/state/01/lga/18/ward/04/pu/016/016-1677402750.pdf" TargetMode="External"/><Relationship Id="rId2623" Type="http://schemas.openxmlformats.org/officeDocument/2006/relationships/hyperlink" Target="https://docs.inecelectionresults.net/elections_prod/1292/state/01/lga/01/ward/07/pu/018/018-1677425742.pdf" TargetMode="External"/><Relationship Id="rId3955" Type="http://schemas.openxmlformats.org/officeDocument/2006/relationships/hyperlink" Target="https://docs.inecelectionresults.net/elections_prod/1292/state/01/lga/18/ward/10/pu/011/011-1677394842.pdf" TargetMode="External"/><Relationship Id="rId2624" Type="http://schemas.openxmlformats.org/officeDocument/2006/relationships/hyperlink" Target="https://docs.inecelectionresults.net/elections_prod/1292/state/01/lga/01/ward/07/pu/019/019-1677417562.pdf" TargetMode="External"/><Relationship Id="rId3954" Type="http://schemas.openxmlformats.org/officeDocument/2006/relationships/hyperlink" Target="https://docs.inecelectionresults.net/elections_prod/1292/state/01/lga/18/ward/10/pu/010/010-1677377256.pdf" TargetMode="External"/><Relationship Id="rId2625" Type="http://schemas.openxmlformats.org/officeDocument/2006/relationships/hyperlink" Target="https://docs.inecelectionresults.net/elections_prod/1292/state/01/lga/01/ward/07/pu/020/020-1677424220.pdf" TargetMode="External"/><Relationship Id="rId3957" Type="http://schemas.openxmlformats.org/officeDocument/2006/relationships/hyperlink" Target="https://docs.inecelectionresults.net/elections_prod/1292/state/01/lga/19/ward/05/pu/007/007-1677399488.pdf" TargetMode="External"/><Relationship Id="rId2626" Type="http://schemas.openxmlformats.org/officeDocument/2006/relationships/hyperlink" Target="https://docs.inecelectionresults.net/elections_prod/1292/state/1/lga/3666/ward/23950/pu/164733/164733-1677482679.pdf" TargetMode="External"/><Relationship Id="rId3956" Type="http://schemas.openxmlformats.org/officeDocument/2006/relationships/hyperlink" Target="https://docs.inecelectionresults.net/elections_prod/1292/state/01/lga/19/ward/01/pu/017/017-1677373118.pdf" TargetMode="External"/><Relationship Id="rId2627" Type="http://schemas.openxmlformats.org/officeDocument/2006/relationships/hyperlink" Target="https://docs.inecelectionresults.net/elections_prod/1292/state/1/lga/3666/ward/23950/pu/164734/164734-1677482936.pdf" TargetMode="External"/><Relationship Id="rId3959" Type="http://schemas.openxmlformats.org/officeDocument/2006/relationships/hyperlink" Target="https://docs.inecelectionresults.net/elections_prod/1292/state/01/lga/19/ward/05/pu/009/009-1677397252.pdf" TargetMode="External"/><Relationship Id="rId2628" Type="http://schemas.openxmlformats.org/officeDocument/2006/relationships/hyperlink" Target="https://docs.inecelectionresults.net/elections_prod/1292/state/1/lga/3666/ward/23950/pu/164734/164734-1677482936.pdf" TargetMode="External"/><Relationship Id="rId3958" Type="http://schemas.openxmlformats.org/officeDocument/2006/relationships/hyperlink" Target="https://docs.inecelectionresults.net/elections_prod/1292/state/01/lga/19/ward/05/pu/008/008-1677395416.pdf" TargetMode="External"/><Relationship Id="rId709" Type="http://schemas.openxmlformats.org/officeDocument/2006/relationships/hyperlink" Target="https://docs.inecelectionresults.net/elections_prod/1292/state/01/lga/04/ward/04/pu/017/017-1677388850.pdf" TargetMode="External"/><Relationship Id="rId2629" Type="http://schemas.openxmlformats.org/officeDocument/2006/relationships/hyperlink" Target="https://docs.inecelectionresults.net/elections_prod/1292/state/01/lga/01/ward/02/pu/007/007-1677415762.pdf" TargetMode="External"/><Relationship Id="rId708" Type="http://schemas.openxmlformats.org/officeDocument/2006/relationships/hyperlink" Target="https://docs.inecelectionresults.net/elections_prod/1292/state/01/lga/04/ward/04/pu/016/016-1677389532.pdf" TargetMode="External"/><Relationship Id="rId707" Type="http://schemas.openxmlformats.org/officeDocument/2006/relationships/hyperlink" Target="https://docs.inecelectionresults.net/elections_prod/1292/state/01/lga/04/ward/04/pu/015/015-1677397399.pdf" TargetMode="External"/><Relationship Id="rId706" Type="http://schemas.openxmlformats.org/officeDocument/2006/relationships/hyperlink" Target="https://docs.inecelectionresults.net/elections_prod/1292/state/01/lga/04/ward/04/pu/014/014-1677395681.pdf" TargetMode="External"/><Relationship Id="rId701" Type="http://schemas.openxmlformats.org/officeDocument/2006/relationships/hyperlink" Target="https://docs.inecelectionresults.net/elections_prod/1292/state/01/lga/04/ward/04/pu/009/009-1677397079.pdf" TargetMode="External"/><Relationship Id="rId700" Type="http://schemas.openxmlformats.org/officeDocument/2006/relationships/hyperlink" Target="https://docs.inecelectionresults.net/elections_prod/1292/state/01/lga/04/ward/04/pu/008/008-1677388964.pdf" TargetMode="External"/><Relationship Id="rId705" Type="http://schemas.openxmlformats.org/officeDocument/2006/relationships/hyperlink" Target="https://docs.inecelectionresults.net/elections_prod/1292/state/01/lga/04/ward/04/pu/013/013-1677396997.pdf" TargetMode="External"/><Relationship Id="rId704" Type="http://schemas.openxmlformats.org/officeDocument/2006/relationships/hyperlink" Target="https://docs.inecelectionresults.net/elections_prod/1292/state/01/lga/04/ward/04/pu/012/012-1677397737.pdf" TargetMode="External"/><Relationship Id="rId703" Type="http://schemas.openxmlformats.org/officeDocument/2006/relationships/hyperlink" Target="https://docs.inecelectionresults.net/elections_prod/1292/state/01/lga/04/ward/04/pu/011/011-1677397025.pdf" TargetMode="External"/><Relationship Id="rId702" Type="http://schemas.openxmlformats.org/officeDocument/2006/relationships/hyperlink" Target="https://docs.inecelectionresults.net/elections_prod/1292/state/01/lga/04/ward/04/pu/010/010-1677395075.pdf" TargetMode="External"/><Relationship Id="rId3951" Type="http://schemas.openxmlformats.org/officeDocument/2006/relationships/hyperlink" Target="https://docs.inecelectionresults.net/elections_prod/1292/state/01/lga/18/ward/01/pu/011/011-1677405806.pdf" TargetMode="External"/><Relationship Id="rId2620" Type="http://schemas.openxmlformats.org/officeDocument/2006/relationships/hyperlink" Target="https://docs.inecelectionresults.net/elections_prod/1292/state/01/lga/01/ward/07/pu/013/013-1677420184.pdf" TargetMode="External"/><Relationship Id="rId3950" Type="http://schemas.openxmlformats.org/officeDocument/2006/relationships/hyperlink" Target="https://docs.inecelectionresults.net/elections_prod/1292/state/01/lga/18/ward/01/pu/009/009-1677402753.pdf" TargetMode="External"/><Relationship Id="rId2610" Type="http://schemas.openxmlformats.org/officeDocument/2006/relationships/hyperlink" Target="https://docs.inecelectionresults.net/elections_prod/1292/state/01/lga/01/ward/16/pu/018/018-1677413931.pdf" TargetMode="External"/><Relationship Id="rId3942" Type="http://schemas.openxmlformats.org/officeDocument/2006/relationships/hyperlink" Target="https://inec-cvr-cache.s3.eu-west-1.amazonaws.com/cached/results/661703/result_80371_1677527224_thumb.jpg" TargetMode="External"/><Relationship Id="rId2611" Type="http://schemas.openxmlformats.org/officeDocument/2006/relationships/hyperlink" Target="https://docs.inecelectionresults.net/elections_prod/1292/state/01/lga/01/ward/16/pu/019/019-1677413434.pdf" TargetMode="External"/><Relationship Id="rId3941" Type="http://schemas.openxmlformats.org/officeDocument/2006/relationships/hyperlink" Target="https://inec-cvr-cache.s3.eu-west-1.amazonaws.com/cached/results/661702/result_80370_1677527394_thumb.jpg" TargetMode="External"/><Relationship Id="rId2612" Type="http://schemas.openxmlformats.org/officeDocument/2006/relationships/hyperlink" Target="https://docs.inecelectionresults.net/elections_prod/1292/state/01/lga/01/ward/16/pu/020/020-1677416151.pdf" TargetMode="External"/><Relationship Id="rId3944" Type="http://schemas.openxmlformats.org/officeDocument/2006/relationships/hyperlink" Target="https://inec-cvr-cache.s3.eu-west-1.amazonaws.com/cached/results/661705/result_80373_1677526518_thumb.jpg" TargetMode="External"/><Relationship Id="rId2613" Type="http://schemas.openxmlformats.org/officeDocument/2006/relationships/hyperlink" Target="https://docs.inecelectionresults.net/elections_prod/1292/state/01/lga/01/ward/16/pu/021/021-1677417224.pdf" TargetMode="External"/><Relationship Id="rId3943" Type="http://schemas.openxmlformats.org/officeDocument/2006/relationships/hyperlink" Target="https://inec-cvr-cache.s3.eu-west-1.amazonaws.com/cached/results/661704/result_80372_1677527029_thumb.jpg" TargetMode="External"/><Relationship Id="rId2614" Type="http://schemas.openxmlformats.org/officeDocument/2006/relationships/hyperlink" Target="https://docs.inecelectionresults.net/elections_prod/1292/state/01/lga/01/ward/16/pu/022/022-1677416184.pdf" TargetMode="External"/><Relationship Id="rId3946" Type="http://schemas.openxmlformats.org/officeDocument/2006/relationships/hyperlink" Target="https://inec-cvr-cache.s3.eu-west-1.amazonaws.com/cached/results/661707/result_80375_1677524650_thumb.jpg" TargetMode="External"/><Relationship Id="rId2615" Type="http://schemas.openxmlformats.org/officeDocument/2006/relationships/hyperlink" Target="https://docs.inecelectionresults.net/elections_prod/1292/state/01/lga/01/ward/16/pu/023/023-1677416331.pdf" TargetMode="External"/><Relationship Id="rId3945" Type="http://schemas.openxmlformats.org/officeDocument/2006/relationships/hyperlink" Target="https://inec-cvr-cache.s3.eu-west-1.amazonaws.com/cached/results/661706/result_80374_1677525482_thumb.jpg" TargetMode="External"/><Relationship Id="rId2616" Type="http://schemas.openxmlformats.org/officeDocument/2006/relationships/hyperlink" Target="https://docs.inecelectionresults.net/elections_prod/1292/state/01/lga/01/ward/16/pu/024/024-1677416770.pdf" TargetMode="External"/><Relationship Id="rId3948" Type="http://schemas.openxmlformats.org/officeDocument/2006/relationships/hyperlink" Target="https://docs.inecelectionresults.net/elections_prod/1292/state/1/lga/3683/ward/24157/pu/166418/166418-1677514259.pdf" TargetMode="External"/><Relationship Id="rId2617" Type="http://schemas.openxmlformats.org/officeDocument/2006/relationships/hyperlink" Target="https://docs.inecelectionresults.net/elections_prod/1292/state/01/lga/01/ward/16/pu/025/025-1677416699.pdf" TargetMode="External"/><Relationship Id="rId3947" Type="http://schemas.openxmlformats.org/officeDocument/2006/relationships/hyperlink" Target="https://docs.inecelectionresults.net/elections_prod/1292/state/01/lga/18/ward/02/pu/012/012-1677409736.pdf" TargetMode="External"/><Relationship Id="rId2618" Type="http://schemas.openxmlformats.org/officeDocument/2006/relationships/hyperlink" Target="https://docs.inecelectionresults.net/elections_prod/1292/state/01/lga/01/ward/16/pu/026/026-1677418378.pdf" TargetMode="External"/><Relationship Id="rId2619" Type="http://schemas.openxmlformats.org/officeDocument/2006/relationships/hyperlink" Target="https://docs.inecelectionresults.net/elections_prod/1292/state/01/lga/01/ward/16/pu/027/027-1677418361.pdf" TargetMode="External"/><Relationship Id="rId3949" Type="http://schemas.openxmlformats.org/officeDocument/2006/relationships/hyperlink" Target="https://docs.inecelectionresults.net/elections_prod/1292/state/1/lga/3683/ward/24157/pu/166420/166420-1677513923.pdf" TargetMode="External"/><Relationship Id="rId3940" Type="http://schemas.openxmlformats.org/officeDocument/2006/relationships/hyperlink" Target="https://inec-cvr-cache.s3.eu-west-1.amazonaws.com/cached/results/661701/result_80369_1677526220_thumb.jpg" TargetMode="External"/><Relationship Id="rId1312" Type="http://schemas.openxmlformats.org/officeDocument/2006/relationships/hyperlink" Target="https://docs.inecelectionresults.net/elections_prod/1292/state/01/lga/08/ward/11/pu/007/007-1677419129.pdf" TargetMode="External"/><Relationship Id="rId2643" Type="http://schemas.openxmlformats.org/officeDocument/2006/relationships/hyperlink" Target="https://docs.inecelectionresults.net/elections_prod/1292/state/01/lga/01/ward/05/pu/030/030-1677411389.pdf" TargetMode="External"/><Relationship Id="rId3975" Type="http://schemas.openxmlformats.org/officeDocument/2006/relationships/hyperlink" Target="https://docs.inecelectionresults.net/elections_prod/1292/state/01/lga/20/ward/14/pu/025/025-1677416940.pdf" TargetMode="External"/><Relationship Id="rId1313" Type="http://schemas.openxmlformats.org/officeDocument/2006/relationships/hyperlink" Target="https://docs.inecelectionresults.net/elections_prod/1292/state/01/lga/08/ward/11/pu/009/009-1677419455.pdf" TargetMode="External"/><Relationship Id="rId2644" Type="http://schemas.openxmlformats.org/officeDocument/2006/relationships/hyperlink" Target="https://docs.inecelectionresults.net/elections_prod/1292/state/01/lga/01/ward/05/pu/031/031-1677416506.pdf" TargetMode="External"/><Relationship Id="rId3974" Type="http://schemas.openxmlformats.org/officeDocument/2006/relationships/hyperlink" Target="https://docs.inecelectionresults.net/elections_prod/1292/state/01/lga/20/ward/14/pu/024/024-1677416312.pdf" TargetMode="External"/><Relationship Id="rId1314" Type="http://schemas.openxmlformats.org/officeDocument/2006/relationships/hyperlink" Target="https://docs.inecelectionresults.net/elections_prod/1292/state/01/lga/08/ward/11/pu/010/010-1677420058.pdf" TargetMode="External"/><Relationship Id="rId2645" Type="http://schemas.openxmlformats.org/officeDocument/2006/relationships/hyperlink" Target="https://docs.inecelectionresults.net/elections_prod/1292/state/01/lga/01/ward/05/pu/032/032-1677420372.pdf" TargetMode="External"/><Relationship Id="rId3977" Type="http://schemas.openxmlformats.org/officeDocument/2006/relationships/hyperlink" Target="https://docs.inecelectionresults.net/elections_prod/1292/state/01/lga/20/ward/14/pu/027/027-1677417396.pdf" TargetMode="External"/><Relationship Id="rId1315" Type="http://schemas.openxmlformats.org/officeDocument/2006/relationships/hyperlink" Target="https://docs.inecelectionresults.net/elections_prod/1292/state/01/lga/09/ward/01/pu/004/004-1677394961.pdf" TargetMode="External"/><Relationship Id="rId2646" Type="http://schemas.openxmlformats.org/officeDocument/2006/relationships/hyperlink" Target="https://docs.inecelectionresults.net/elections_prod/1292/state/01/lga/01/ward/05/pu/033/033-1677415592.pdf" TargetMode="External"/><Relationship Id="rId3976" Type="http://schemas.openxmlformats.org/officeDocument/2006/relationships/hyperlink" Target="https://docs.inecelectionresults.net/elections_prod/1292/state/01/lga/20/ward/14/pu/026/026-1677417215.pdf" TargetMode="External"/><Relationship Id="rId1316" Type="http://schemas.openxmlformats.org/officeDocument/2006/relationships/hyperlink" Target="https://docs.inecelectionresults.net/elections_prod/1292/state/01/lga/09/ward/01/pu/005/005-1677394136.pdf" TargetMode="External"/><Relationship Id="rId2647" Type="http://schemas.openxmlformats.org/officeDocument/2006/relationships/hyperlink" Target="https://docs.inecelectionresults.net/elections_prod/1292/state/01/lga/01/ward/05/pu/034/034-1677421636.pdf" TargetMode="External"/><Relationship Id="rId3979" Type="http://schemas.openxmlformats.org/officeDocument/2006/relationships/hyperlink" Target="https://docs.inecelectionresults.net/elections_prod/1292/state/01/lga/20/ward/14/pu/029/029-1677418602.pdf" TargetMode="External"/><Relationship Id="rId1317" Type="http://schemas.openxmlformats.org/officeDocument/2006/relationships/hyperlink" Target="https://docs.inecelectionresults.net/elections_prod/1292/state/01/lga/09/ward/01/pu/006/006-1677405277.pdf" TargetMode="External"/><Relationship Id="rId2648" Type="http://schemas.openxmlformats.org/officeDocument/2006/relationships/hyperlink" Target="https://docs.inecelectionresults.net/elections_prod/1292/state/01/lga/01/ward/14/pu/024/024-1677428771.pdf" TargetMode="External"/><Relationship Id="rId3978" Type="http://schemas.openxmlformats.org/officeDocument/2006/relationships/hyperlink" Target="https://docs.inecelectionresults.net/elections_prod/1292/state/01/lga/20/ward/14/pu/028/028-1677417580.pdf" TargetMode="External"/><Relationship Id="rId1318" Type="http://schemas.openxmlformats.org/officeDocument/2006/relationships/hyperlink" Target="https://docs.inecelectionresults.net/elections_prod/1292/state/01/lga/09/ward/01/pu/007/007-1677401698.pdf" TargetMode="External"/><Relationship Id="rId2649" Type="http://schemas.openxmlformats.org/officeDocument/2006/relationships/hyperlink" Target="https://docs.inecelectionresults.net/elections_prod/1292/state/1/lga/3666/ward/23964/pu/164829/164829-1677490744.pdf" TargetMode="External"/><Relationship Id="rId1319" Type="http://schemas.openxmlformats.org/officeDocument/2006/relationships/hyperlink" Target="https://docs.inecelectionresults.net/elections_prod/1292/state/01/lga/09/ward/01/pu/009/009-1677408330.pdf" TargetMode="External"/><Relationship Id="rId729" Type="http://schemas.openxmlformats.org/officeDocument/2006/relationships/hyperlink" Target="https://docs.inecelectionresults.net/elections_prod/1292/state/01/lga/04/ward/07/pu/008/008-1677382765.pdf" TargetMode="External"/><Relationship Id="rId728" Type="http://schemas.openxmlformats.org/officeDocument/2006/relationships/hyperlink" Target="https://docs.inecelectionresults.net/elections_prod/1292/state/01/lga/04/ward/07/pu/007/007-1677393773.pdf" TargetMode="External"/><Relationship Id="rId723" Type="http://schemas.openxmlformats.org/officeDocument/2006/relationships/hyperlink" Target="https://docs.inecelectionresults.net/elections_prod/1292/state/01/lga/04/ward/07/pu/002/002-1677382220.pdf" TargetMode="External"/><Relationship Id="rId722" Type="http://schemas.openxmlformats.org/officeDocument/2006/relationships/hyperlink" Target="https://docs.inecelectionresults.net/elections_prod/1292/state/01/lga/04/ward/07/pu/001/001-1677372817.pdf" TargetMode="External"/><Relationship Id="rId721" Type="http://schemas.openxmlformats.org/officeDocument/2006/relationships/hyperlink" Target="https://docs.inecelectionresults.net/elections_prod/1292/state/01/lga/04/ward/06/pu/007/007-1677375084.pdf" TargetMode="External"/><Relationship Id="rId720" Type="http://schemas.openxmlformats.org/officeDocument/2006/relationships/hyperlink" Target="https://docs.inecelectionresults.net/elections_prod/1292/state/01/lga/04/ward/06/pu/006/006-1677372895.pdf" TargetMode="External"/><Relationship Id="rId727" Type="http://schemas.openxmlformats.org/officeDocument/2006/relationships/hyperlink" Target="https://docs.inecelectionresults.net/elections_prod/1292/state/01/lga/04/ward/07/pu/006/006-1677381731.pdf" TargetMode="External"/><Relationship Id="rId726" Type="http://schemas.openxmlformats.org/officeDocument/2006/relationships/hyperlink" Target="https://docs.inecelectionresults.net/elections_prod/1292/state/01/lga/04/ward/07/pu/005/005-1677383139.pdf" TargetMode="External"/><Relationship Id="rId725" Type="http://schemas.openxmlformats.org/officeDocument/2006/relationships/hyperlink" Target="https://docs.inecelectionresults.net/elections_prod/1292/state/01/lga/04/ward/07/pu/004/004-1677382039.pdf" TargetMode="External"/><Relationship Id="rId724" Type="http://schemas.openxmlformats.org/officeDocument/2006/relationships/hyperlink" Target="https://docs.inecelectionresults.net/elections_prod/1292/state/01/lga/04/ward/07/pu/003/003-1677382854.pdf" TargetMode="External"/><Relationship Id="rId3971" Type="http://schemas.openxmlformats.org/officeDocument/2006/relationships/hyperlink" Target="https://docs.inecelectionresults.net/elections_prod/1292/state/01/lga/20/ward/14/pu/020/020-1677421178.pdf" TargetMode="External"/><Relationship Id="rId2640" Type="http://schemas.openxmlformats.org/officeDocument/2006/relationships/hyperlink" Target="https://docs.inecelectionresults.net/elections_prod/1292/state/01/lga/01/ward/05/pu/027/027-1677407699.pdf" TargetMode="External"/><Relationship Id="rId3970" Type="http://schemas.openxmlformats.org/officeDocument/2006/relationships/hyperlink" Target="https://docs.inecelectionresults.net/elections_prod/1292/state/01/lga/20/ward/14/pu/019/019-1677420450.pdf" TargetMode="External"/><Relationship Id="rId1310" Type="http://schemas.openxmlformats.org/officeDocument/2006/relationships/hyperlink" Target="https://docs.inecelectionresults.net/elections_prod/1292/state/01/lga/08/ward/11/pu/005/005-1677418817.pdf" TargetMode="External"/><Relationship Id="rId2641" Type="http://schemas.openxmlformats.org/officeDocument/2006/relationships/hyperlink" Target="https://docs.inecelectionresults.net/elections_prod/1292/state/01/lga/01/ward/05/pu/028/028-1677419155.pdf" TargetMode="External"/><Relationship Id="rId3973" Type="http://schemas.openxmlformats.org/officeDocument/2006/relationships/hyperlink" Target="https://docs.inecelectionresults.net/elections_prod/1292/state/1/lga/3685/ward/24184/pu/166552/166552-1677478052.pdf" TargetMode="External"/><Relationship Id="rId1311" Type="http://schemas.openxmlformats.org/officeDocument/2006/relationships/hyperlink" Target="https://docs.inecelectionresults.net/elections_prod/1292/state/01/lga/08/ward/11/pu/006/006-1677418814.pdf" TargetMode="External"/><Relationship Id="rId2642" Type="http://schemas.openxmlformats.org/officeDocument/2006/relationships/hyperlink" Target="https://docs.inecelectionresults.net/elections_prod/1292/state/01/lga/01/ward/05/pu/029/029-1677419704.pdf" TargetMode="External"/><Relationship Id="rId3972" Type="http://schemas.openxmlformats.org/officeDocument/2006/relationships/hyperlink" Target="https://docs.inecelectionresults.net/elections_prod/1292/state/1/lga/3685/ward/24184/pu/166551/166551-1677477904.pdf" TargetMode="External"/><Relationship Id="rId1301" Type="http://schemas.openxmlformats.org/officeDocument/2006/relationships/hyperlink" Target="https://docs.inecelectionresults.net/elections_prod/1292/state/01/lga/08/ward/10/pu/003/003-1677400896.pdf" TargetMode="External"/><Relationship Id="rId2632" Type="http://schemas.openxmlformats.org/officeDocument/2006/relationships/hyperlink" Target="https://docs.inecelectionresults.net/elections_prod/1292/state/01/lga/01/ward/02/pu/010/010-1677411516.pdf" TargetMode="External"/><Relationship Id="rId3964" Type="http://schemas.openxmlformats.org/officeDocument/2006/relationships/hyperlink" Target="https://docs.inecelectionresults.net/elections_prod/1292/state/01/lga/20/ward/06/pu/010/010-1677392671.pdf" TargetMode="External"/><Relationship Id="rId1302" Type="http://schemas.openxmlformats.org/officeDocument/2006/relationships/hyperlink" Target="https://docs.inecelectionresults.net/elections_prod/1292/state/01/lga/08/ward/10/pu/004/004-1677402689.pdf" TargetMode="External"/><Relationship Id="rId2633" Type="http://schemas.openxmlformats.org/officeDocument/2006/relationships/hyperlink" Target="https://docs.inecelectionresults.net/elections_prod/1292/state/01/lga/01/ward/05/pu/020/020-1677421251.pdf" TargetMode="External"/><Relationship Id="rId3963" Type="http://schemas.openxmlformats.org/officeDocument/2006/relationships/hyperlink" Target="https://docs.inecelectionresults.net/elections_prod/1292/state/01/lga/20/ward/06/pu/009/009-1677393511.pdf" TargetMode="External"/><Relationship Id="rId1303" Type="http://schemas.openxmlformats.org/officeDocument/2006/relationships/hyperlink" Target="https://docs.inecelectionresults.net/elections_prod/1292/state/01/lga/08/ward/10/pu/005/005-1677403600.pdf" TargetMode="External"/><Relationship Id="rId2634" Type="http://schemas.openxmlformats.org/officeDocument/2006/relationships/hyperlink" Target="https://docs.inecelectionresults.net/elections_prod/1292/state/01/lga/01/ward/05/pu/021/021-1677417955.pdf" TargetMode="External"/><Relationship Id="rId3966" Type="http://schemas.openxmlformats.org/officeDocument/2006/relationships/hyperlink" Target="https://docs.inecelectionresults.net/elections_prod/1292/state/01/lga/20/ward/06/pu/012/012-1677391382.pdf" TargetMode="External"/><Relationship Id="rId1304" Type="http://schemas.openxmlformats.org/officeDocument/2006/relationships/hyperlink" Target="https://docs.inecelectionresults.net/elections_prod/1292/state/01/lga/08/ward/10/pu/006/006-1677404452.pdf" TargetMode="External"/><Relationship Id="rId2635" Type="http://schemas.openxmlformats.org/officeDocument/2006/relationships/hyperlink" Target="https://docs.inecelectionresults.net/elections_prod/1292/state/01/lga/01/ward/05/pu/022/022-1677418358.pdf" TargetMode="External"/><Relationship Id="rId3965" Type="http://schemas.openxmlformats.org/officeDocument/2006/relationships/hyperlink" Target="https://docs.inecelectionresults.net/elections_prod/1292/state/01/lga/20/ward/06/pu/011/011-1677393217.pdf" TargetMode="External"/><Relationship Id="rId1305" Type="http://schemas.openxmlformats.org/officeDocument/2006/relationships/hyperlink" Target="https://docs.inecelectionresults.net/elections_prod/1292/state/01/lga/08/ward/10/pu/007/007-1677405291.pdf" TargetMode="External"/><Relationship Id="rId2636" Type="http://schemas.openxmlformats.org/officeDocument/2006/relationships/hyperlink" Target="https://docs.inecelectionresults.net/elections_prod/1292/state/01/lga/01/ward/05/pu/023/023-1677409705.pdf" TargetMode="External"/><Relationship Id="rId3968" Type="http://schemas.openxmlformats.org/officeDocument/2006/relationships/hyperlink" Target="https://docs.inecelectionresults.net/elections_prod/1292/state/01/lga/20/ward/06/pu/014/014-1677392417.pdf" TargetMode="External"/><Relationship Id="rId1306" Type="http://schemas.openxmlformats.org/officeDocument/2006/relationships/hyperlink" Target="https://docs.inecelectionresults.net/elections_prod/1292/state/01/lga/08/ward/10/pu/008/008-1677404888.pdf" TargetMode="External"/><Relationship Id="rId2637" Type="http://schemas.openxmlformats.org/officeDocument/2006/relationships/hyperlink" Target="https://docs.inecelectionresults.net/elections_prod/1292/state/01/lga/01/ward/05/pu/024/024-1677414346.pdf" TargetMode="External"/><Relationship Id="rId3967" Type="http://schemas.openxmlformats.org/officeDocument/2006/relationships/hyperlink" Target="https://docs.inecelectionresults.net/elections_prod/1292/state/01/lga/20/ward/06/pu/013/013-1677390882.pdf" TargetMode="External"/><Relationship Id="rId1307" Type="http://schemas.openxmlformats.org/officeDocument/2006/relationships/hyperlink" Target="https://docs.inecelectionresults.net/elections_prod/1292/state/01/lga/08/ward/11/pu/001/001-1677418422.pdf" TargetMode="External"/><Relationship Id="rId2638" Type="http://schemas.openxmlformats.org/officeDocument/2006/relationships/hyperlink" Target="https://docs.inecelectionresults.net/elections_prod/1292/state/01/lga/01/ward/05/pu/025/025-1677413335.pdf" TargetMode="External"/><Relationship Id="rId1308" Type="http://schemas.openxmlformats.org/officeDocument/2006/relationships/hyperlink" Target="https://docs.inecelectionresults.net/elections_prod/1292/state/01/lga/08/ward/11/pu/002/002-1677417831.pdf" TargetMode="External"/><Relationship Id="rId2639" Type="http://schemas.openxmlformats.org/officeDocument/2006/relationships/hyperlink" Target="https://docs.inecelectionresults.net/elections_prod/1292/state/01/lga/01/ward/05/pu/026/026-1677411911.pdf" TargetMode="External"/><Relationship Id="rId3969" Type="http://schemas.openxmlformats.org/officeDocument/2006/relationships/hyperlink" Target="https://docs.inecelectionresults.net/elections_prod/1292/state/01/lga/20/ward/14/pu/016/016-1677420898.pdf" TargetMode="External"/><Relationship Id="rId1309" Type="http://schemas.openxmlformats.org/officeDocument/2006/relationships/hyperlink" Target="https://docs.inecelectionresults.net/elections_prod/1292/state/01/lga/08/ward/11/pu/003/003-1677418388.pdf" TargetMode="External"/><Relationship Id="rId719" Type="http://schemas.openxmlformats.org/officeDocument/2006/relationships/hyperlink" Target="https://docs.inecelectionresults.net/elections_prod/1292/state/01/lga/04/ward/06/pu/005/005-1677376604.pdf" TargetMode="External"/><Relationship Id="rId718" Type="http://schemas.openxmlformats.org/officeDocument/2006/relationships/hyperlink" Target="https://docs.inecelectionresults.net/elections_prod/1292/state/01/lga/04/ward/06/pu/004/004-1677376383.pdf" TargetMode="External"/><Relationship Id="rId717" Type="http://schemas.openxmlformats.org/officeDocument/2006/relationships/hyperlink" Target="https://docs.inecelectionresults.net/elections_prod/1292/state/01/lga/04/ward/06/pu/003/003-1677373095.pdf" TargetMode="External"/><Relationship Id="rId712" Type="http://schemas.openxmlformats.org/officeDocument/2006/relationships/hyperlink" Target="https://docs.inecelectionresults.net/elections_prod/1292/state/01/lga/04/ward/05/pu/005/005-1677373727.pdf" TargetMode="External"/><Relationship Id="rId711" Type="http://schemas.openxmlformats.org/officeDocument/2006/relationships/hyperlink" Target="https://docs.inecelectionresults.net/elections_prod/1292/state/01/lga/04/ward/05/pu/003/003-1677379923.pdf" TargetMode="External"/><Relationship Id="rId710" Type="http://schemas.openxmlformats.org/officeDocument/2006/relationships/hyperlink" Target="https://docs.inecelectionresults.net/elections_prod/1292/state/01/lga/04/ward/05/pu/001/001-1677375955.pdf" TargetMode="External"/><Relationship Id="rId716" Type="http://schemas.openxmlformats.org/officeDocument/2006/relationships/hyperlink" Target="https://docs.inecelectionresults.net/elections_prod/1292/state/01/lga/04/ward/06/pu/002/002-1677380000.pdf" TargetMode="External"/><Relationship Id="rId715" Type="http://schemas.openxmlformats.org/officeDocument/2006/relationships/hyperlink" Target="https://docs.inecelectionresults.net/elections_prod/1292/state/01/lga/04/ward/06/pu/001/001-1677374618.pdf" TargetMode="External"/><Relationship Id="rId714" Type="http://schemas.openxmlformats.org/officeDocument/2006/relationships/hyperlink" Target="https://docs.inecelectionresults.net/elections_prod/1292/state/01/lga/04/ward/05/pu/007/007-1677391305.pdf" TargetMode="External"/><Relationship Id="rId713" Type="http://schemas.openxmlformats.org/officeDocument/2006/relationships/hyperlink" Target="https://docs.inecelectionresults.net/elections_prod/1292/state/01/lga/04/ward/05/pu/006/006-1677391111.pdf" TargetMode="External"/><Relationship Id="rId3960" Type="http://schemas.openxmlformats.org/officeDocument/2006/relationships/hyperlink" Target="https://docs.inecelectionresults.net/elections_prod/1292/state/01/lga/19/ward/07/pu/010/010-1677370984.pdf" TargetMode="External"/><Relationship Id="rId2630" Type="http://schemas.openxmlformats.org/officeDocument/2006/relationships/hyperlink" Target="https://docs.inecelectionresults.net/elections_prod/1292/state/01/lga/01/ward/02/pu/008/008-1677417722.pdf" TargetMode="External"/><Relationship Id="rId3962" Type="http://schemas.openxmlformats.org/officeDocument/2006/relationships/hyperlink" Target="https://docs.inecelectionresults.net/elections_prod/1292/state/01/lga/19/ward/10/pu/017/017-1677401424.pdf" TargetMode="External"/><Relationship Id="rId1300" Type="http://schemas.openxmlformats.org/officeDocument/2006/relationships/hyperlink" Target="https://docs.inecelectionresults.net/elections_prod/1292/state/01/lga/08/ward/10/pu/002/002-1677401443.pdf" TargetMode="External"/><Relationship Id="rId2631" Type="http://schemas.openxmlformats.org/officeDocument/2006/relationships/hyperlink" Target="https://docs.inecelectionresults.net/elections_prod/1292/state/01/lga/01/ward/02/pu/009/009-1677412462.pdf" TargetMode="External"/><Relationship Id="rId3961" Type="http://schemas.openxmlformats.org/officeDocument/2006/relationships/hyperlink" Target="https://docs.inecelectionresults.net/elections_prod/1292/state/01/lga/19/ward/03/pu/010/010-1677396886.pdf" TargetMode="External"/><Relationship Id="rId3117" Type="http://schemas.openxmlformats.org/officeDocument/2006/relationships/hyperlink" Target="https://docs.inecelectionresults.net/elections_prod/1292/state/01/lga/03/ward/04/pu/045/045-1677363989.pdf" TargetMode="External"/><Relationship Id="rId3116" Type="http://schemas.openxmlformats.org/officeDocument/2006/relationships/hyperlink" Target="https://docs.inecelectionresults.net/elections_prod/1292/state/01/lga/03/ward/04/pu/044/044-1677385052.pdf" TargetMode="External"/><Relationship Id="rId3119" Type="http://schemas.openxmlformats.org/officeDocument/2006/relationships/hyperlink" Target="https://docs.inecelectionresults.net/elections_prod/1292/state/01/lga/04/ward/10/pu/024/024-1677382317.pdf" TargetMode="External"/><Relationship Id="rId3118" Type="http://schemas.openxmlformats.org/officeDocument/2006/relationships/hyperlink" Target="https://docs.inecelectionresults.net/elections_prod/1292/state/01/lga/04/ward/10/pu/023/023-1677384406.pdf" TargetMode="External"/><Relationship Id="rId3111" Type="http://schemas.openxmlformats.org/officeDocument/2006/relationships/hyperlink" Target="https://docs.inecelectionresults.net/elections_prod/1292/state/01/lga/03/ward/04/pu/037/037-1677367671.pdf" TargetMode="External"/><Relationship Id="rId3110" Type="http://schemas.openxmlformats.org/officeDocument/2006/relationships/hyperlink" Target="https://docs.inecelectionresults.net/elections_prod/1292/state/01/lga/03/ward/04/pu/036/036-1677360425.pdf" TargetMode="External"/><Relationship Id="rId3113" Type="http://schemas.openxmlformats.org/officeDocument/2006/relationships/hyperlink" Target="https://docs.inecelectionresults.net/elections_prod/1292/state/01/lga/03/ward/04/pu/039/039-1677361451.pdf" TargetMode="External"/><Relationship Id="rId3112" Type="http://schemas.openxmlformats.org/officeDocument/2006/relationships/hyperlink" Target="https://docs.inecelectionresults.net/elections_prod/1292/state/01/lga/03/ward/04/pu/038/038-1677358670.pdf" TargetMode="External"/><Relationship Id="rId3115" Type="http://schemas.openxmlformats.org/officeDocument/2006/relationships/hyperlink" Target="https://docs.inecelectionresults.net/elections_prod/1292/state/01/lga/03/ward/04/pu/042/042-1677360185.pdf" TargetMode="External"/><Relationship Id="rId3114" Type="http://schemas.openxmlformats.org/officeDocument/2006/relationships/hyperlink" Target="https://docs.inecelectionresults.net/elections_prod/1292/state/01/lga/03/ward/04/pu/041/041-1677360484.pdf" TargetMode="External"/><Relationship Id="rId3106" Type="http://schemas.openxmlformats.org/officeDocument/2006/relationships/hyperlink" Target="https://docs.inecelectionresults.net/elections_prod/1292/state/01/lga/03/ward/04/pu/032/032-1677360257.pdf" TargetMode="External"/><Relationship Id="rId3105" Type="http://schemas.openxmlformats.org/officeDocument/2006/relationships/hyperlink" Target="https://docs.inecelectionresults.net/elections_prod/1292/state/01/lga/03/ward/04/pu/031/031-1677359892.pdf" TargetMode="External"/><Relationship Id="rId3108" Type="http://schemas.openxmlformats.org/officeDocument/2006/relationships/hyperlink" Target="https://docs.inecelectionresults.net/elections_prod/1292/state/01/lga/03/ward/04/pu/034/034-1677371778.pdf" TargetMode="External"/><Relationship Id="rId3107" Type="http://schemas.openxmlformats.org/officeDocument/2006/relationships/hyperlink" Target="https://docs.inecelectionresults.net/elections_prod/1292/state/01/lga/03/ward/04/pu/033/033-1677359301.pdf" TargetMode="External"/><Relationship Id="rId3109" Type="http://schemas.openxmlformats.org/officeDocument/2006/relationships/hyperlink" Target="https://docs.inecelectionresults.net/elections_prod/1292/state/01/lga/03/ward/04/pu/035/035-1677359810.pdf" TargetMode="External"/><Relationship Id="rId3100" Type="http://schemas.openxmlformats.org/officeDocument/2006/relationships/hyperlink" Target="https://docs.inecelectionresults.net/elections_prod/1292/state/01/lga/03/ward/04/pu/024/024-1677406448.pdf" TargetMode="External"/><Relationship Id="rId3102" Type="http://schemas.openxmlformats.org/officeDocument/2006/relationships/hyperlink" Target="https://docs.inecelectionresults.net/elections_prod/1292/state/01/lga/03/ward/04/pu/026/026-1677374428.pdf" TargetMode="External"/><Relationship Id="rId3101" Type="http://schemas.openxmlformats.org/officeDocument/2006/relationships/hyperlink" Target="https://docs.inecelectionresults.net/elections_prod/1292/state/01/lga/03/ward/04/pu/025/025-1677367896.pdf" TargetMode="External"/><Relationship Id="rId3104" Type="http://schemas.openxmlformats.org/officeDocument/2006/relationships/hyperlink" Target="https://docs.inecelectionresults.net/elections_prod/1292/state/01/lga/03/ward/04/pu/030/030-1677366623.pdf" TargetMode="External"/><Relationship Id="rId3103" Type="http://schemas.openxmlformats.org/officeDocument/2006/relationships/hyperlink" Target="https://docs.inecelectionresults.net/elections_prod/1292/state/01/lga/03/ward/04/pu/027/027-1677363170.pdf" TargetMode="External"/><Relationship Id="rId3139" Type="http://schemas.openxmlformats.org/officeDocument/2006/relationships/hyperlink" Target="https://docs.inecelectionresults.net/elections_prod/1292/state/01/lga/04/ward/07/pu/021/021-1677392996.pdf" TargetMode="External"/><Relationship Id="rId3138" Type="http://schemas.openxmlformats.org/officeDocument/2006/relationships/hyperlink" Target="https://docs.inecelectionresults.net/elections_prod/1292/state/01/lga/04/ward/07/pu/020/020-1677383206.pdf" TargetMode="External"/><Relationship Id="rId3131" Type="http://schemas.openxmlformats.org/officeDocument/2006/relationships/hyperlink" Target="https://docs.inecelectionresults.net/elections_prod/1292/state/01/lga/04/ward/03/pu/015/015-1677368799.pdf" TargetMode="External"/><Relationship Id="rId3130" Type="http://schemas.openxmlformats.org/officeDocument/2006/relationships/hyperlink" Target="https://docs.inecelectionresults.net/elections_prod/1292/state/01/lga/04/ward/02/pu/023/023-1677375470.pdf" TargetMode="External"/><Relationship Id="rId3133" Type="http://schemas.openxmlformats.org/officeDocument/2006/relationships/hyperlink" Target="https://docs.inecelectionresults.net/elections_prod/1292/state/01/lga/04/ward/03/pu/017/017-1677372498.pdf" TargetMode="External"/><Relationship Id="rId3132" Type="http://schemas.openxmlformats.org/officeDocument/2006/relationships/hyperlink" Target="https://docs.inecelectionresults.net/elections_prod/1292/state/01/lga/04/ward/03/pu/016/016-1677376291.pdf" TargetMode="External"/><Relationship Id="rId3135" Type="http://schemas.openxmlformats.org/officeDocument/2006/relationships/hyperlink" Target="https://docs.inecelectionresults.net/elections_prod/1292/state/01/lga/04/ward/03/pu/019/019-1677390237.pdf" TargetMode="External"/><Relationship Id="rId3134" Type="http://schemas.openxmlformats.org/officeDocument/2006/relationships/hyperlink" Target="https://docs.inecelectionresults.net/elections_prod/1292/state/01/lga/04/ward/03/pu/018/018-1677372262.pdf" TargetMode="External"/><Relationship Id="rId3137" Type="http://schemas.openxmlformats.org/officeDocument/2006/relationships/hyperlink" Target="https://docs.inecelectionresults.net/elections_prod/1292/state/01/lga/04/ward/07/pu/019/019-1677383751.pdf" TargetMode="External"/><Relationship Id="rId3136" Type="http://schemas.openxmlformats.org/officeDocument/2006/relationships/hyperlink" Target="https://docs.inecelectionresults.net/elections_prod/1292/state/01/lga/04/ward/03/pu/020/020-1677370432.pdf" TargetMode="External"/><Relationship Id="rId3128" Type="http://schemas.openxmlformats.org/officeDocument/2006/relationships/hyperlink" Target="https://docs.inecelectionresults.net/elections_prod/1292/state/01/lga/04/ward/02/pu/021/021-1677380110.pdf" TargetMode="External"/><Relationship Id="rId3127" Type="http://schemas.openxmlformats.org/officeDocument/2006/relationships/hyperlink" Target="https://docs.inecelectionresults.net/elections_prod/1292/state/01/lga/04/ward/02/pu/020/020-1677380589.pdf" TargetMode="External"/><Relationship Id="rId3129" Type="http://schemas.openxmlformats.org/officeDocument/2006/relationships/hyperlink" Target="https://docs.inecelectionresults.net/elections_prod/1292/state/01/lga/04/ward/02/pu/022/022-1677376977.pdf" TargetMode="External"/><Relationship Id="rId3120" Type="http://schemas.openxmlformats.org/officeDocument/2006/relationships/hyperlink" Target="https://docs.inecelectionresults.net/elections_prod/1292/state/01/lga/04/ward/10/pu/025/025-1677384421.pdf" TargetMode="External"/><Relationship Id="rId3122" Type="http://schemas.openxmlformats.org/officeDocument/2006/relationships/hyperlink" Target="https://docs.inecelectionresults.net/elections_prod/1292/state/01/lga/04/ward/10/pu/027/027-1677385326.pdf" TargetMode="External"/><Relationship Id="rId3121" Type="http://schemas.openxmlformats.org/officeDocument/2006/relationships/hyperlink" Target="https://docs.inecelectionresults.net/elections_prod/1292/state/01/lga/04/ward/10/pu/026/026-1677383655.pdf" TargetMode="External"/><Relationship Id="rId3124" Type="http://schemas.openxmlformats.org/officeDocument/2006/relationships/hyperlink" Target="https://docs.inecelectionresults.net/elections_prod/1292/state/01/lga/04/ward/10/pu/029/029-1677380290.pdf" TargetMode="External"/><Relationship Id="rId3123" Type="http://schemas.openxmlformats.org/officeDocument/2006/relationships/hyperlink" Target="https://docs.inecelectionresults.net/elections_prod/1292/state/01/lga/04/ward/10/pu/028/028-1677373887.pdf" TargetMode="External"/><Relationship Id="rId3126" Type="http://schemas.openxmlformats.org/officeDocument/2006/relationships/hyperlink" Target="https://docs.inecelectionresults.net/elections_prod/1292/state/01/lga/04/ward/10/pu/031/031-1677396895.pdf" TargetMode="External"/><Relationship Id="rId3125" Type="http://schemas.openxmlformats.org/officeDocument/2006/relationships/hyperlink" Target="https://docs.inecelectionresults.net/elections_prod/1292/state/01/lga/04/ward/10/pu/030/030-1677372682.pdf" TargetMode="External"/><Relationship Id="rId1378" Type="http://schemas.openxmlformats.org/officeDocument/2006/relationships/hyperlink" Target="https://inec-cvr-cache.s3.eu-west-1.amazonaws.com/cached/results/91410/result_78794_1677532756_thumb.jpg" TargetMode="External"/><Relationship Id="rId1379" Type="http://schemas.openxmlformats.org/officeDocument/2006/relationships/hyperlink" Target="https://inec-cvr-cache.s3.eu-west-1.amazonaws.com/cached/results/91411/result_78795_1677533228_thumb.jpg" TargetMode="External"/><Relationship Id="rId789" Type="http://schemas.openxmlformats.org/officeDocument/2006/relationships/hyperlink" Target="https://docs.inecelectionresults.net/elections_prod/1292/state/01/lga/04/ward/10/pu/017/017-1677394849.pdf" TargetMode="External"/><Relationship Id="rId788" Type="http://schemas.openxmlformats.org/officeDocument/2006/relationships/hyperlink" Target="https://docs.inecelectionresults.net/elections_prod/1292/state/01/lga/04/ward/10/pu/016/016-1677384674.pdf" TargetMode="External"/><Relationship Id="rId787" Type="http://schemas.openxmlformats.org/officeDocument/2006/relationships/hyperlink" Target="https://docs.inecelectionresults.net/elections_prod/1292/state/01/lga/04/ward/10/pu/015/015-1677384580.pdf" TargetMode="External"/><Relationship Id="rId786" Type="http://schemas.openxmlformats.org/officeDocument/2006/relationships/hyperlink" Target="https://docs.inecelectionresults.net/elections_prod/1292/state/01/lga/04/ward/10/pu/013/013-1677382968.pdf" TargetMode="External"/><Relationship Id="rId781" Type="http://schemas.openxmlformats.org/officeDocument/2006/relationships/hyperlink" Target="https://docs.inecelectionresults.net/elections_prod/1292/state/01/lga/04/ward/10/pu/008/008-1677373674.pdf" TargetMode="External"/><Relationship Id="rId1370" Type="http://schemas.openxmlformats.org/officeDocument/2006/relationships/hyperlink" Target="https://docs.inecelectionresults.net/elections_prod/1292/state/01/lga/09/ward/04/pu/007/007-1677390332.pdf" TargetMode="External"/><Relationship Id="rId780" Type="http://schemas.openxmlformats.org/officeDocument/2006/relationships/hyperlink" Target="https://docs.inecelectionresults.net/elections_prod/1292/state/01/lga/04/ward/10/pu/007/007-1677384083.pdf" TargetMode="External"/><Relationship Id="rId1371" Type="http://schemas.openxmlformats.org/officeDocument/2006/relationships/hyperlink" Target="https://docs.inecelectionresults.net/elections_prod/1292/state/01/lga/09/ward/04/pu/008/008-1677397116.pdf" TargetMode="External"/><Relationship Id="rId1372" Type="http://schemas.openxmlformats.org/officeDocument/2006/relationships/hyperlink" Target="https://docs.inecelectionresults.net/elections_prod/1292/state/01/lga/09/ward/04/pu/010/010-1677388938.pdf" TargetMode="External"/><Relationship Id="rId1373" Type="http://schemas.openxmlformats.org/officeDocument/2006/relationships/hyperlink" Target="https://docs.inecelectionresults.net/elections_prod/1292/state/01/lga/09/ward/04/pu/011/011-1677388062.pdf" TargetMode="External"/><Relationship Id="rId785" Type="http://schemas.openxmlformats.org/officeDocument/2006/relationships/hyperlink" Target="https://docs.inecelectionresults.net/elections_prod/1292/state/01/lga/04/ward/10/pu/012/012-1677386549.pdf" TargetMode="External"/><Relationship Id="rId1374" Type="http://schemas.openxmlformats.org/officeDocument/2006/relationships/hyperlink" Target="https://docs.inecelectionresults.net/elections_prod/1292/state/01/lga/09/ward/04/pu/012/012-1677396259.pdf" TargetMode="External"/><Relationship Id="rId784" Type="http://schemas.openxmlformats.org/officeDocument/2006/relationships/hyperlink" Target="https://docs.inecelectionresults.net/elections_prod/1292/state/01/lga/04/ward/10/pu/011/011-1677392259.pdf" TargetMode="External"/><Relationship Id="rId1375" Type="http://schemas.openxmlformats.org/officeDocument/2006/relationships/hyperlink" Target="https://docs.inecelectionresults.net/elections_prod/1292/state/01/lga/09/ward/04/pu/013/013-1677398426.pdf" TargetMode="External"/><Relationship Id="rId783" Type="http://schemas.openxmlformats.org/officeDocument/2006/relationships/hyperlink" Target="https://docs.inecelectionresults.net/elections_prod/1292/state/01/lga/04/ward/10/pu/010/010-1677383043.pdf" TargetMode="External"/><Relationship Id="rId1376" Type="http://schemas.openxmlformats.org/officeDocument/2006/relationships/hyperlink" Target="https://docs.inecelectionresults.net/elections_prod/1292/state/01/lga/09/ward/04/pu/014/014-1677392063.pdf" TargetMode="External"/><Relationship Id="rId782" Type="http://schemas.openxmlformats.org/officeDocument/2006/relationships/hyperlink" Target="https://docs.inecelectionresults.net/elections_prod/1292/state/01/lga/04/ward/10/pu/009/009-1677384594.pdf" TargetMode="External"/><Relationship Id="rId1377" Type="http://schemas.openxmlformats.org/officeDocument/2006/relationships/hyperlink" Target="https://docs.inecelectionresults.net/elections_prod/1292/state/01/lga/09/ward/04/pu/015/015-1677402096.pdf" TargetMode="External"/><Relationship Id="rId1367" Type="http://schemas.openxmlformats.org/officeDocument/2006/relationships/hyperlink" Target="https://docs.inecelectionresults.net/elections_prod/1292/state/01/lga/09/ward/04/pu/004/004-1677395402.pdf" TargetMode="External"/><Relationship Id="rId2698" Type="http://schemas.openxmlformats.org/officeDocument/2006/relationships/hyperlink" Target="https://docs.inecelectionresults.net/elections_prod/1292/state/01/lga/02/ward/09/pu/028/028-1677411479.pdf" TargetMode="External"/><Relationship Id="rId1368" Type="http://schemas.openxmlformats.org/officeDocument/2006/relationships/hyperlink" Target="https://docs.inecelectionresults.net/elections_prod/1292/state/01/lga/09/ward/04/pu/005/005-1677399402.pdf" TargetMode="External"/><Relationship Id="rId2699" Type="http://schemas.openxmlformats.org/officeDocument/2006/relationships/hyperlink" Target="https://docs.inecelectionresults.net/elections_prod/1292/state/01/lga/02/ward/09/pu/029/029-1677426937.pdf" TargetMode="External"/><Relationship Id="rId1369" Type="http://schemas.openxmlformats.org/officeDocument/2006/relationships/hyperlink" Target="https://docs.inecelectionresults.net/elections_prod/1292/state/01/lga/09/ward/04/pu/006/006-1677393075.pdf" TargetMode="External"/><Relationship Id="rId778" Type="http://schemas.openxmlformats.org/officeDocument/2006/relationships/hyperlink" Target="https://docs.inecelectionresults.net/elections_prod/1292/state/01/lga/04/ward/10/pu/005/005-1677382700.pdf" TargetMode="External"/><Relationship Id="rId777" Type="http://schemas.openxmlformats.org/officeDocument/2006/relationships/hyperlink" Target="https://docs.inecelectionresults.net/elections_prod/1292/state/01/lga/04/ward/10/pu/004/004-1677398421.pdf" TargetMode="External"/><Relationship Id="rId776" Type="http://schemas.openxmlformats.org/officeDocument/2006/relationships/hyperlink" Target="https://docs.inecelectionresults.net/elections_prod/1292/state/01/lga/04/ward/10/pu/003/003-1677384120.pdf" TargetMode="External"/><Relationship Id="rId775" Type="http://schemas.openxmlformats.org/officeDocument/2006/relationships/hyperlink" Target="https://docs.inecelectionresults.net/elections_prod/1292/state/01/lga/04/ward/10/pu/002/002-1677395222.pdf" TargetMode="External"/><Relationship Id="rId779" Type="http://schemas.openxmlformats.org/officeDocument/2006/relationships/hyperlink" Target="https://docs.inecelectionresults.net/elections_prod/1292/state/01/lga/04/ward/10/pu/006/006-1677384387.pdf" TargetMode="External"/><Relationship Id="rId770" Type="http://schemas.openxmlformats.org/officeDocument/2006/relationships/hyperlink" Target="https://docs.inecelectionresults.net/elections_prod/1292/state/01/lga/04/ward/09/pu/023/023-1677381904.pdf" TargetMode="External"/><Relationship Id="rId2690" Type="http://schemas.openxmlformats.org/officeDocument/2006/relationships/hyperlink" Target="https://docs.inecelectionresults.net/elections_prod/1292/state/1/lga/3666/ward/23960/pu/164816/164816-1677478721.pdf" TargetMode="External"/><Relationship Id="rId1360" Type="http://schemas.openxmlformats.org/officeDocument/2006/relationships/hyperlink" Target="https://docs.inecelectionresults.net/elections_prod/1292/state/01/lga/09/ward/03/pu/019/019-1677394940.pdf" TargetMode="External"/><Relationship Id="rId2691" Type="http://schemas.openxmlformats.org/officeDocument/2006/relationships/hyperlink" Target="https://docs.inecelectionresults.net/elections_prod/1292/state/01/lga/01/ward/11/pu/038/038-1677424732.pdf" TargetMode="External"/><Relationship Id="rId1361" Type="http://schemas.openxmlformats.org/officeDocument/2006/relationships/hyperlink" Target="https://docs.inecelectionresults.net/elections_prod/1292/state/01/lga/09/ward/03/pu/020/020-1677390349.pdf" TargetMode="External"/><Relationship Id="rId2692" Type="http://schemas.openxmlformats.org/officeDocument/2006/relationships/hyperlink" Target="https://docs.inecelectionresults.net/elections_prod/1292/state/01/lga/02/ward/09/pu/022/022-1677423545.pdf" TargetMode="External"/><Relationship Id="rId1362" Type="http://schemas.openxmlformats.org/officeDocument/2006/relationships/hyperlink" Target="https://docs.inecelectionresults.net/elections_prod/1292/state/01/lga/09/ward/03/pu/021/021-1677382591.pdf" TargetMode="External"/><Relationship Id="rId2693" Type="http://schemas.openxmlformats.org/officeDocument/2006/relationships/hyperlink" Target="https://docs.inecelectionresults.net/elections_prod/1292/state/01/lga/02/ward/09/pu/023/023-1677426483.pdf" TargetMode="External"/><Relationship Id="rId774" Type="http://schemas.openxmlformats.org/officeDocument/2006/relationships/hyperlink" Target="https://docs.inecelectionresults.net/elections_prod/1292/state/01/lga/04/ward/10/pu/001/001-1677397254.pdf" TargetMode="External"/><Relationship Id="rId1363" Type="http://schemas.openxmlformats.org/officeDocument/2006/relationships/hyperlink" Target="https://docs.inecelectionresults.net/elections_prod/1292/state/01/lga/09/ward/03/pu/022/022-1677383319.pdf" TargetMode="External"/><Relationship Id="rId2694" Type="http://schemas.openxmlformats.org/officeDocument/2006/relationships/hyperlink" Target="https://docs.inecelectionresults.net/elections_prod/1292/state/1/lga/3667/ward/23974/pu/164924/164924-1677490285.pdf" TargetMode="External"/><Relationship Id="rId773" Type="http://schemas.openxmlformats.org/officeDocument/2006/relationships/hyperlink" Target="https://docs.inecelectionresults.net/elections_prod/1292/state/01/lga/04/ward/09/pu/026/026-1677387947.pdf" TargetMode="External"/><Relationship Id="rId1364" Type="http://schemas.openxmlformats.org/officeDocument/2006/relationships/hyperlink" Target="https://docs.inecelectionresults.net/elections_prod/1292/state/01/lga/09/ward/04/pu/001/001-1677394944.pdf" TargetMode="External"/><Relationship Id="rId2695" Type="http://schemas.openxmlformats.org/officeDocument/2006/relationships/hyperlink" Target="https://docs.inecelectionresults.net/elections_prod/1292/state/01/lga/02/ward/09/pu/025/025-1677427133.pdf" TargetMode="External"/><Relationship Id="rId772" Type="http://schemas.openxmlformats.org/officeDocument/2006/relationships/hyperlink" Target="https://docs.inecelectionresults.net/elections_prod/1292/state/01/lga/04/ward/09/pu/025/025-1677380845.pdf" TargetMode="External"/><Relationship Id="rId1365" Type="http://schemas.openxmlformats.org/officeDocument/2006/relationships/hyperlink" Target="https://docs.inecelectionresults.net/elections_prod/1292/state/01/lga/09/ward/04/pu/002/002-1677391044.pdf" TargetMode="External"/><Relationship Id="rId2696" Type="http://schemas.openxmlformats.org/officeDocument/2006/relationships/hyperlink" Target="https://docs.inecelectionresults.net/elections_prod/1292/state/01/lga/02/ward/09/pu/026/026-1677406421.pdf" TargetMode="External"/><Relationship Id="rId771" Type="http://schemas.openxmlformats.org/officeDocument/2006/relationships/hyperlink" Target="https://docs.inecelectionresults.net/elections_prod/1292/state/01/lga/04/ward/09/pu/024/024-1677395062.pdf" TargetMode="External"/><Relationship Id="rId1366" Type="http://schemas.openxmlformats.org/officeDocument/2006/relationships/hyperlink" Target="https://docs.inecelectionresults.net/elections_prod/1292/state/01/lga/09/ward/04/pu/003/003-1677399972.pdf" TargetMode="External"/><Relationship Id="rId2697" Type="http://schemas.openxmlformats.org/officeDocument/2006/relationships/hyperlink" Target="https://docs.inecelectionresults.net/elections_prod/1292/state/01/lga/02/ward/09/pu/027/027-1677409871.pdf" TargetMode="External"/><Relationship Id="rId1390" Type="http://schemas.openxmlformats.org/officeDocument/2006/relationships/hyperlink" Target="https://docs.inecelectionresults.net/elections_prod/1292/state/01/lga/09/ward/05/pu/002/002-1677400833.pdf" TargetMode="External"/><Relationship Id="rId1391" Type="http://schemas.openxmlformats.org/officeDocument/2006/relationships/hyperlink" Target="https://docs.inecelectionresults.net/elections_prod/1292/state/01/lga/09/ward/05/pu/004/004-1677401208.pdf" TargetMode="External"/><Relationship Id="rId1392" Type="http://schemas.openxmlformats.org/officeDocument/2006/relationships/hyperlink" Target="https://docs.inecelectionresults.net/elections_prod/1292/state/01/lga/09/ward/05/pu/005/005-1677401424.pdf" TargetMode="External"/><Relationship Id="rId1393" Type="http://schemas.openxmlformats.org/officeDocument/2006/relationships/hyperlink" Target="https://docs.inecelectionresults.net/elections_prod/1292/state/01/lga/09/ward/05/pu/006/006-1677398423.pdf" TargetMode="External"/><Relationship Id="rId1394" Type="http://schemas.openxmlformats.org/officeDocument/2006/relationships/hyperlink" Target="https://docs.inecelectionresults.net/elections_prod/1292/state/01/lga/09/ward/05/pu/007/007-1677398687.pdf" TargetMode="External"/><Relationship Id="rId1395" Type="http://schemas.openxmlformats.org/officeDocument/2006/relationships/hyperlink" Target="https://docs.inecelectionresults.net/elections_prod/1292/state/01/lga/09/ward/05/pu/008/008-1677397559.pdf" TargetMode="External"/><Relationship Id="rId1396" Type="http://schemas.openxmlformats.org/officeDocument/2006/relationships/hyperlink" Target="https://docs.inecelectionresults.net/elections_prod/1292/state/01/lga/09/ward/05/pu/009/009-1677399070.pdf" TargetMode="External"/><Relationship Id="rId1397" Type="http://schemas.openxmlformats.org/officeDocument/2006/relationships/hyperlink" Target="https://docs.inecelectionresults.net/elections_prod/1292/state/01/lga/09/ward/05/pu/010/010-1677397676.pdf" TargetMode="External"/><Relationship Id="rId1398" Type="http://schemas.openxmlformats.org/officeDocument/2006/relationships/hyperlink" Target="https://docs.inecelectionresults.net/elections_prod/1292/state/01/lga/09/ward/05/pu/011/011-1677398236.pdf" TargetMode="External"/><Relationship Id="rId1399" Type="http://schemas.openxmlformats.org/officeDocument/2006/relationships/hyperlink" Target="https://docs.inecelectionresults.net/elections_prod/1292/state/01/lga/09/ward/05/pu/012/012-1677395386.pdf" TargetMode="External"/><Relationship Id="rId1389" Type="http://schemas.openxmlformats.org/officeDocument/2006/relationships/hyperlink" Target="https://inec-cvr-cache.s3.eu-west-1.amazonaws.com/cached/results/91421/result_78808_1677513702_thumb.jpg" TargetMode="External"/><Relationship Id="rId799" Type="http://schemas.openxmlformats.org/officeDocument/2006/relationships/hyperlink" Target="https://docs.inecelectionresults.net/elections_prod/1292/state/01/lga/04/ward/11/pu/008/008-1677377973.pdf" TargetMode="External"/><Relationship Id="rId798" Type="http://schemas.openxmlformats.org/officeDocument/2006/relationships/hyperlink" Target="https://docs.inecelectionresults.net/elections_prod/1292/state/01/lga/04/ward/11/pu/007/007-1677379501.pdf" TargetMode="External"/><Relationship Id="rId797" Type="http://schemas.openxmlformats.org/officeDocument/2006/relationships/hyperlink" Target="https://docs.inecelectionresults.net/elections_prod/1292/state/01/lga/04/ward/11/pu/006/006-1677381023.pdf" TargetMode="External"/><Relationship Id="rId1380" Type="http://schemas.openxmlformats.org/officeDocument/2006/relationships/hyperlink" Target="https://inec-cvr-cache.s3.eu-west-1.amazonaws.com/cached/results/91412/result_78796_1677533788_thumb.jpg" TargetMode="External"/><Relationship Id="rId792" Type="http://schemas.openxmlformats.org/officeDocument/2006/relationships/hyperlink" Target="https://docs.inecelectionresults.net/elections_prod/1292/state/01/lga/04/ward/10/pu/022/022-1677387164.pdf" TargetMode="External"/><Relationship Id="rId1381" Type="http://schemas.openxmlformats.org/officeDocument/2006/relationships/hyperlink" Target="https://inec-cvr-cache.s3.eu-west-1.amazonaws.com/cached/results/91413/result_78797_1677534983_thumb.jpg" TargetMode="External"/><Relationship Id="rId791" Type="http://schemas.openxmlformats.org/officeDocument/2006/relationships/hyperlink" Target="https://docs.inecelectionresults.net/elections_prod/1292/state/01/lga/04/ward/10/pu/020/020-1677385084.pdf" TargetMode="External"/><Relationship Id="rId1382" Type="http://schemas.openxmlformats.org/officeDocument/2006/relationships/hyperlink" Target="https://inec-cvr-cache.s3.eu-west-1.amazonaws.com/cached/results/91414/result_78798_1677534797_thumb.jpg" TargetMode="External"/><Relationship Id="rId790" Type="http://schemas.openxmlformats.org/officeDocument/2006/relationships/hyperlink" Target="https://docs.inecelectionresults.net/elections_prod/1292/state/01/lga/04/ward/10/pu/019/019-1677384890.pdf" TargetMode="External"/><Relationship Id="rId1383" Type="http://schemas.openxmlformats.org/officeDocument/2006/relationships/hyperlink" Target="https://inec-cvr-cache.s3.eu-west-1.amazonaws.com/cached/results/91415/result_78799_1677537127_thumb.jpg" TargetMode="External"/><Relationship Id="rId1384" Type="http://schemas.openxmlformats.org/officeDocument/2006/relationships/hyperlink" Target="https://docs.inecelectionresults.net/elections_prod/1292/state/1/lga/3674/ward/24053/pu/92502/92502-1677578688.pdf" TargetMode="External"/><Relationship Id="rId796" Type="http://schemas.openxmlformats.org/officeDocument/2006/relationships/hyperlink" Target="https://docs.inecelectionresults.net/elections_prod/1292/state/01/lga/04/ward/11/pu/005/005-1677381598.pdf" TargetMode="External"/><Relationship Id="rId1385" Type="http://schemas.openxmlformats.org/officeDocument/2006/relationships/hyperlink" Target="https://inec-cvr-cache.s3.eu-west-1.amazonaws.com/cached/results/91417/result_78801_1677534147_thumb.jpg" TargetMode="External"/><Relationship Id="rId795" Type="http://schemas.openxmlformats.org/officeDocument/2006/relationships/hyperlink" Target="https://docs.inecelectionresults.net/elections_prod/1292/state/01/lga/04/ward/11/pu/004/004-1677379348.pdf" TargetMode="External"/><Relationship Id="rId1386" Type="http://schemas.openxmlformats.org/officeDocument/2006/relationships/hyperlink" Target="https://docs.inecelectionresults.net/elections_prod/1292/state/1/lga/3674/ward/24053/pu/92504/92504-1677578839.pdf" TargetMode="External"/><Relationship Id="rId794" Type="http://schemas.openxmlformats.org/officeDocument/2006/relationships/hyperlink" Target="https://docs.inecelectionresults.net/elections_prod/1292/state/01/lga/04/ward/11/pu/003/003-1677379158.pdf" TargetMode="External"/><Relationship Id="rId1387" Type="http://schemas.openxmlformats.org/officeDocument/2006/relationships/hyperlink" Target="https://inec-cvr-cache.s3.eu-west-1.amazonaws.com/cached/results/91419/result_78803_1677535730_thumb.jpg" TargetMode="External"/><Relationship Id="rId793" Type="http://schemas.openxmlformats.org/officeDocument/2006/relationships/hyperlink" Target="https://docs.inecelectionresults.net/elections_prod/1292/state/01/lga/04/ward/11/pu/002/002-1677377882.pdf" TargetMode="External"/><Relationship Id="rId1388" Type="http://schemas.openxmlformats.org/officeDocument/2006/relationships/hyperlink" Target="https://docs.inecelectionresults.net/elections_prod/1292/state/01/lga/09/ward/04/pu/026/026-1677408518.pdf" TargetMode="External"/><Relationship Id="rId3191" Type="http://schemas.openxmlformats.org/officeDocument/2006/relationships/hyperlink" Target="https://docs.inecelectionresults.net/elections_prod/1292/state/01/lga/05/ward/03/pu/029/029-1677361698.pdf" TargetMode="External"/><Relationship Id="rId3190" Type="http://schemas.openxmlformats.org/officeDocument/2006/relationships/hyperlink" Target="https://docs.inecelectionresults.net/elections_prod/1292/state/01/lga/05/ward/03/pu/028/028-1677367587.pdf" TargetMode="External"/><Relationship Id="rId3193" Type="http://schemas.openxmlformats.org/officeDocument/2006/relationships/hyperlink" Target="https://docs.inecelectionresults.net/elections_prod/1292/state/01/lga/05/ward/09/pu/011/011-1677405317.pdf" TargetMode="External"/><Relationship Id="rId3192" Type="http://schemas.openxmlformats.org/officeDocument/2006/relationships/hyperlink" Target="https://docs.inecelectionresults.net/elections_prod/1292/state/01/lga/05/ward/03/pu/030/030-1677361152.pdf" TargetMode="External"/><Relationship Id="rId3195" Type="http://schemas.openxmlformats.org/officeDocument/2006/relationships/hyperlink" Target="https://docs.inecelectionresults.net/elections_prod/1292/state/01/lga/05/ward/09/pu/013/013-1677403956.pdf" TargetMode="External"/><Relationship Id="rId3194" Type="http://schemas.openxmlformats.org/officeDocument/2006/relationships/hyperlink" Target="https://docs.inecelectionresults.net/elections_prod/1292/state/01/lga/05/ward/09/pu/012/012-1677405901.pdf" TargetMode="External"/><Relationship Id="rId3197" Type="http://schemas.openxmlformats.org/officeDocument/2006/relationships/hyperlink" Target="https://docs.inecelectionresults.net/elections_prod/1292/state/01/lga/05/ward/09/pu/016/016-1677398851.pdf" TargetMode="External"/><Relationship Id="rId3196" Type="http://schemas.openxmlformats.org/officeDocument/2006/relationships/hyperlink" Target="https://docs.inecelectionresults.net/elections_prod/1292/state/01/lga/05/ward/09/pu/014/014-1677402758.pdf" TargetMode="External"/><Relationship Id="rId3199" Type="http://schemas.openxmlformats.org/officeDocument/2006/relationships/hyperlink" Target="https://docs.inecelectionresults.net/elections_prod/1292/state/01/lga/05/ward/09/pu/018/018-1677403467.pdf" TargetMode="External"/><Relationship Id="rId3198" Type="http://schemas.openxmlformats.org/officeDocument/2006/relationships/hyperlink" Target="https://docs.inecelectionresults.net/elections_prod/1292/state/01/lga/05/ward/09/pu/017/017-1677405705.pdf" TargetMode="External"/><Relationship Id="rId3180" Type="http://schemas.openxmlformats.org/officeDocument/2006/relationships/hyperlink" Target="https://docs.inecelectionresults.net/elections_prod/1292/state/01/lga/05/ward/01/pu/036/036-1677373268.pdf" TargetMode="External"/><Relationship Id="rId3182" Type="http://schemas.openxmlformats.org/officeDocument/2006/relationships/hyperlink" Target="https://docs.inecelectionresults.net/elections_prod/1292/state/01/lga/05/ward/02/pu/018/018-1677393896.pdf" TargetMode="External"/><Relationship Id="rId3181" Type="http://schemas.openxmlformats.org/officeDocument/2006/relationships/hyperlink" Target="https://docs.inecelectionresults.net/elections_prod/1292/state/01/lga/05/ward/02/pu/016/016-1677391020.pdf" TargetMode="External"/><Relationship Id="rId3184" Type="http://schemas.openxmlformats.org/officeDocument/2006/relationships/hyperlink" Target="https://inec-cvr-cache.s3.eu-west-1.amazonaws.com/cached/results/660757/result_77723_1677532552_thumb.jpg" TargetMode="External"/><Relationship Id="rId3183" Type="http://schemas.openxmlformats.org/officeDocument/2006/relationships/hyperlink" Target="https://docs.inecelectionresults.net/elections_prod/1292/state/01/lga/05/ward/02/pu/019/019-1677404798.pdf" TargetMode="External"/><Relationship Id="rId3186" Type="http://schemas.openxmlformats.org/officeDocument/2006/relationships/hyperlink" Target="https://docs.inecelectionresults.net/elections_prod/1292/state/01/lga/05/ward/02/pu/022/022-1677367608.pdf" TargetMode="External"/><Relationship Id="rId3185" Type="http://schemas.openxmlformats.org/officeDocument/2006/relationships/hyperlink" Target="https://docs.inecelectionresults.net/elections_prod/1292/state/01/lga/05/ward/02/pu/021/021-1677392443.pdf" TargetMode="External"/><Relationship Id="rId3188" Type="http://schemas.openxmlformats.org/officeDocument/2006/relationships/hyperlink" Target="https://docs.inecelectionresults.net/elections_prod/1292/state/01/lga/05/ward/03/pu/026/026-1677368236.pdf" TargetMode="External"/><Relationship Id="rId3187" Type="http://schemas.openxmlformats.org/officeDocument/2006/relationships/hyperlink" Target="https://docs.inecelectionresults.net/elections_prod/1292/state/01/lga/05/ward/02/pu/023/023-1677387385.pdf" TargetMode="External"/><Relationship Id="rId3189" Type="http://schemas.openxmlformats.org/officeDocument/2006/relationships/hyperlink" Target="https://docs.inecelectionresults.net/elections_prod/1292/state/01/lga/05/ward/03/pu/027/027-1677365089.pdf" TargetMode="External"/><Relationship Id="rId3151" Type="http://schemas.openxmlformats.org/officeDocument/2006/relationships/hyperlink" Target="https://docs.inecelectionresults.net/elections_prod/1292/state/01/lga/04/ward/11/pu/026/026-1677379614.pdf" TargetMode="External"/><Relationship Id="rId3150" Type="http://schemas.openxmlformats.org/officeDocument/2006/relationships/hyperlink" Target="https://docs.inecelectionresults.net/elections_prod/1292/state/01/lga/04/ward/11/pu/025/025-1677380810.pdf" TargetMode="External"/><Relationship Id="rId3153" Type="http://schemas.openxmlformats.org/officeDocument/2006/relationships/hyperlink" Target="https://docs.inecelectionresults.net/elections_prod/1292/state/01/lga/04/ward/05/pu/011/011-1677373631.pdf" TargetMode="External"/><Relationship Id="rId3152" Type="http://schemas.openxmlformats.org/officeDocument/2006/relationships/hyperlink" Target="https://docs.inecelectionresults.net/elections_prod/1292/state/01/lga/04/ward/05/pu/010/010-1677372440.pdf" TargetMode="External"/><Relationship Id="rId3155" Type="http://schemas.openxmlformats.org/officeDocument/2006/relationships/hyperlink" Target="https://docs.inecelectionresults.net/elections_prod/1292/state/01/lga/04/ward/01/pu/029/029-1677377060.pdf" TargetMode="External"/><Relationship Id="rId3154" Type="http://schemas.openxmlformats.org/officeDocument/2006/relationships/hyperlink" Target="https://docs.inecelectionresults.net/elections_prod/1292/state/01/lga/04/ward/01/pu/028/028-1677373707.pdf" TargetMode="External"/><Relationship Id="rId3157" Type="http://schemas.openxmlformats.org/officeDocument/2006/relationships/hyperlink" Target="https://docs.inecelectionresults.net/elections_prod/1292/state/01/lga/04/ward/06/pu/008/008-1677374988.pdf" TargetMode="External"/><Relationship Id="rId3156" Type="http://schemas.openxmlformats.org/officeDocument/2006/relationships/hyperlink" Target="https://docs.inecelectionresults.net/elections_prod/1292/state/01/lga/04/ward/01/pu/030/030-1677393994.pdf" TargetMode="External"/><Relationship Id="rId3159" Type="http://schemas.openxmlformats.org/officeDocument/2006/relationships/hyperlink" Target="https://docs.inecelectionresults.net/elections_prod/1292/state/01/lga/04/ward/06/pu/010/010-1677377465.pdf" TargetMode="External"/><Relationship Id="rId3158" Type="http://schemas.openxmlformats.org/officeDocument/2006/relationships/hyperlink" Target="https://docs.inecelectionresults.net/elections_prod/1292/state/01/lga/04/ward/06/pu/009/009-1677382756.pdf" TargetMode="External"/><Relationship Id="rId3149" Type="http://schemas.openxmlformats.org/officeDocument/2006/relationships/hyperlink" Target="https://docs.inecelectionresults.net/elections_prod/1292/state/01/lga/04/ward/11/pu/024/024-1677378446.pdf" TargetMode="External"/><Relationship Id="rId3140" Type="http://schemas.openxmlformats.org/officeDocument/2006/relationships/hyperlink" Target="https://docs.inecelectionresults.net/elections_prod/1292/state/01/lga/04/ward/07/pu/022/022-1677382684.pdf" TargetMode="External"/><Relationship Id="rId3142" Type="http://schemas.openxmlformats.org/officeDocument/2006/relationships/hyperlink" Target="https://docs.inecelectionresults.net/elections_prod/1292/state/01/lga/04/ward/07/pu/024/024-1677392002.pdf" TargetMode="External"/><Relationship Id="rId3141" Type="http://schemas.openxmlformats.org/officeDocument/2006/relationships/hyperlink" Target="https://docs.inecelectionresults.net/elections_prod/1292/state/01/lga/04/ward/07/pu/023/023-1677378489.pdf" TargetMode="External"/><Relationship Id="rId3144" Type="http://schemas.openxmlformats.org/officeDocument/2006/relationships/hyperlink" Target="https://docs.inecelectionresults.net/elections_prod/1292/state/01/lga/04/ward/07/pu/026/026-1677382463.pdf" TargetMode="External"/><Relationship Id="rId3143" Type="http://schemas.openxmlformats.org/officeDocument/2006/relationships/hyperlink" Target="https://docs.inecelectionresults.net/elections_prod/1292/state/01/lga/04/ward/07/pu/025/025-1677381511.pdf" TargetMode="External"/><Relationship Id="rId3146" Type="http://schemas.openxmlformats.org/officeDocument/2006/relationships/hyperlink" Target="https://docs.inecelectionresults.net/elections_prod/1292/state/01/lga/04/ward/07/pu/028/028-1677385277.pdf" TargetMode="External"/><Relationship Id="rId3145" Type="http://schemas.openxmlformats.org/officeDocument/2006/relationships/hyperlink" Target="https://docs.inecelectionresults.net/elections_prod/1292/state/01/lga/04/ward/07/pu/027/027-1677381909.pdf" TargetMode="External"/><Relationship Id="rId3148" Type="http://schemas.openxmlformats.org/officeDocument/2006/relationships/hyperlink" Target="https://docs.inecelectionresults.net/elections_prod/1292/state/01/lga/04/ward/11/pu/023/023-1677378894.pdf" TargetMode="External"/><Relationship Id="rId3147" Type="http://schemas.openxmlformats.org/officeDocument/2006/relationships/hyperlink" Target="https://docs.inecelectionresults.net/elections_prod/1292/state/01/lga/04/ward/11/pu/021/021-1677380644.pdf" TargetMode="External"/><Relationship Id="rId3171" Type="http://schemas.openxmlformats.org/officeDocument/2006/relationships/hyperlink" Target="https://inec-cvr-cache.s3.eu-west-1.amazonaws.com/cached/results/660737/result_77688_1677524988_thumb.jpg" TargetMode="External"/><Relationship Id="rId3170" Type="http://schemas.openxmlformats.org/officeDocument/2006/relationships/hyperlink" Target="https://docs.inecelectionresults.net/elections_prod/1292/state/1/lga/3670/ward/24008/pu/165432/165432-1677521537.pdf" TargetMode="External"/><Relationship Id="rId3173" Type="http://schemas.openxmlformats.org/officeDocument/2006/relationships/hyperlink" Target="https://inec-cvr-cache.s3.eu-west-1.amazonaws.com/cached/results/660740/result_77691_1677521261_thumb.jpg" TargetMode="External"/><Relationship Id="rId3172" Type="http://schemas.openxmlformats.org/officeDocument/2006/relationships/hyperlink" Target="https://docs.inecelectionresults.net/elections_prod/1292/state/1/lga/3670/ward/24008/pu/165435/165435-1677519984.pdf" TargetMode="External"/><Relationship Id="rId3175" Type="http://schemas.openxmlformats.org/officeDocument/2006/relationships/hyperlink" Target="https://docs.inecelectionresults.net/elections_prod/1292/state/01/lga/05/ward/01/pu/028/028-1677366557.pdf" TargetMode="External"/><Relationship Id="rId3174" Type="http://schemas.openxmlformats.org/officeDocument/2006/relationships/hyperlink" Target="https://docs.inecelectionresults.net/elections_prod/1292/state/1/lga/3670/ward/24008/pu/165438/165438-1677523270.pdf" TargetMode="External"/><Relationship Id="rId3177" Type="http://schemas.openxmlformats.org/officeDocument/2006/relationships/hyperlink" Target="https://docs.inecelectionresults.net/elections_prod/1292/state/01/lga/05/ward/01/pu/030/030-1677372998.pdf" TargetMode="External"/><Relationship Id="rId3176" Type="http://schemas.openxmlformats.org/officeDocument/2006/relationships/hyperlink" Target="https://docs.inecelectionresults.net/elections_prod/1292/state/01/lga/05/ward/01/pu/029/029-1677365294.pdf" TargetMode="External"/><Relationship Id="rId3179" Type="http://schemas.openxmlformats.org/officeDocument/2006/relationships/hyperlink" Target="https://docs.inecelectionresults.net/elections_prod/1292/state/01/lga/05/ward/01/pu/034/034-1677369372.pdf" TargetMode="External"/><Relationship Id="rId3178" Type="http://schemas.openxmlformats.org/officeDocument/2006/relationships/hyperlink" Target="https://inec-cvr-cache.s3.eu-west-1.amazonaws.com/cached/results/660747/result_77698_1677525486_thumb.jpg" TargetMode="External"/><Relationship Id="rId3160" Type="http://schemas.openxmlformats.org/officeDocument/2006/relationships/hyperlink" Target="https://docs.inecelectionresults.net/elections_prod/1292/state/01/lga/04/ward/04/pu/018/018-1677394811.pdf" TargetMode="External"/><Relationship Id="rId3162" Type="http://schemas.openxmlformats.org/officeDocument/2006/relationships/hyperlink" Target="https://docs.inecelectionresults.net/elections_prod/1292/state/01/lga/04/ward/04/pu/020/020-1677398377.pdf" TargetMode="External"/><Relationship Id="rId3161" Type="http://schemas.openxmlformats.org/officeDocument/2006/relationships/hyperlink" Target="https://docs.inecelectionresults.net/elections_prod/1292/state/01/lga/04/ward/04/pu/019/019-1677394954.pdf" TargetMode="External"/><Relationship Id="rId3164" Type="http://schemas.openxmlformats.org/officeDocument/2006/relationships/hyperlink" Target="https://docs.inecelectionresults.net/elections_prod/1292/state/01/lga/05/ward/10/pu/019/019-1677371634.pdf" TargetMode="External"/><Relationship Id="rId3163" Type="http://schemas.openxmlformats.org/officeDocument/2006/relationships/hyperlink" Target="https://docs.inecelectionresults.net/elections_prod/1292/state/01/lga/04/ward/04/pu/021/021-1677395441.pdf" TargetMode="External"/><Relationship Id="rId3166" Type="http://schemas.openxmlformats.org/officeDocument/2006/relationships/hyperlink" Target="https://docs.inecelectionresults.net/elections_prod/1292/state/01/lga/05/ward/10/pu/021/021-1677370723.pdf" TargetMode="External"/><Relationship Id="rId3165" Type="http://schemas.openxmlformats.org/officeDocument/2006/relationships/hyperlink" Target="https://docs.inecelectionresults.net/elections_prod/1292/state/01/lga/05/ward/10/pu/020/020-1677372631.pdf" TargetMode="External"/><Relationship Id="rId3168" Type="http://schemas.openxmlformats.org/officeDocument/2006/relationships/hyperlink" Target="https://docs.inecelectionresults.net/elections_prod/1292/state/01/lga/05/ward/05/pu/017/017-1677364522.pdf" TargetMode="External"/><Relationship Id="rId3167" Type="http://schemas.openxmlformats.org/officeDocument/2006/relationships/hyperlink" Target="https://inec-cvr-cache.s3.eu-west-1.amazonaws.com/cached/results/660730/result_77923_1677512920_thumb.jpg" TargetMode="External"/><Relationship Id="rId3169" Type="http://schemas.openxmlformats.org/officeDocument/2006/relationships/hyperlink" Target="https://docs.inecelectionresults.net/elections_prod/1292/state/01/lga/05/ward/05/pu/018/018-1677359468.pdf" TargetMode="External"/><Relationship Id="rId2700" Type="http://schemas.openxmlformats.org/officeDocument/2006/relationships/hyperlink" Target="https://docs.inecelectionresults.net/elections_prod/1292/state/01/lga/02/ward/09/pu/030/030-1677419467.pdf" TargetMode="External"/><Relationship Id="rId2701" Type="http://schemas.openxmlformats.org/officeDocument/2006/relationships/hyperlink" Target="https://docs.inecelectionresults.net/elections_prod/1292/state/01/lga/02/ward/09/pu/031/031-1677405810.pdf" TargetMode="External"/><Relationship Id="rId2702" Type="http://schemas.openxmlformats.org/officeDocument/2006/relationships/hyperlink" Target="https://docs.inecelectionresults.net/elections_prod/1292/state/01/lga/02/ward/09/pu/032/032-1677425760.pdf" TargetMode="External"/><Relationship Id="rId2703" Type="http://schemas.openxmlformats.org/officeDocument/2006/relationships/hyperlink" Target="https://docs.inecelectionresults.net/elections_prod/1292/state/01/lga/02/ward/09/pu/033/033-1677424789.pdf" TargetMode="External"/><Relationship Id="rId2704" Type="http://schemas.openxmlformats.org/officeDocument/2006/relationships/hyperlink" Target="https://docs.inecelectionresults.net/elections_prod/1292/state/01/lga/02/ward/09/pu/034/034-1677424367.pdf" TargetMode="External"/><Relationship Id="rId2705" Type="http://schemas.openxmlformats.org/officeDocument/2006/relationships/hyperlink" Target="https://docs.inecelectionresults.net/elections_prod/1292/state/01/lga/02/ward/09/pu/036/036-1677405253.pdf" TargetMode="External"/><Relationship Id="rId2706" Type="http://schemas.openxmlformats.org/officeDocument/2006/relationships/hyperlink" Target="https://docs.inecelectionresults.net/elections_prod/1292/state/1/lga/3667/ward/23974/pu/164937/164937-1677496956.pdf" TargetMode="External"/><Relationship Id="rId2707" Type="http://schemas.openxmlformats.org/officeDocument/2006/relationships/hyperlink" Target="https://docs.inecelectionresults.net/elections_prod/1292/state/01/lga/02/ward/09/pu/038/038-1677427200.pdf" TargetMode="External"/><Relationship Id="rId2708" Type="http://schemas.openxmlformats.org/officeDocument/2006/relationships/hyperlink" Target="https://docs.inecelectionresults.net/elections_prod/1292/state/01/lga/02/ward/01/pu/017/017-1677417585.pdf" TargetMode="External"/><Relationship Id="rId2709" Type="http://schemas.openxmlformats.org/officeDocument/2006/relationships/hyperlink" Target="https://docs.inecelectionresults.net/elections_prod/1292/state/01/lga/02/ward/02/pu/019/019-1677413750.pdf" TargetMode="External"/><Relationship Id="rId2720" Type="http://schemas.openxmlformats.org/officeDocument/2006/relationships/hyperlink" Target="https://docs.inecelectionresults.net/elections_prod/1292/state/01/lga/02/ward/08/pu/025/025-1677424683.pdf" TargetMode="External"/><Relationship Id="rId2721" Type="http://schemas.openxmlformats.org/officeDocument/2006/relationships/hyperlink" Target="https://docs.inecelectionresults.net/elections_prod/1292/state/01/lga/02/ward/08/pu/026/026-1677419941.pdf" TargetMode="External"/><Relationship Id="rId2722" Type="http://schemas.openxmlformats.org/officeDocument/2006/relationships/hyperlink" Target="https://docs.inecelectionresults.net/elections_prod/1292/state/01/lga/02/ward/14/pu/018/018-1677369956.pdf" TargetMode="External"/><Relationship Id="rId2723" Type="http://schemas.openxmlformats.org/officeDocument/2006/relationships/hyperlink" Target="https://docs.inecelectionresults.net/elections_prod/1292/state/01/lga/02/ward/14/pu/019/019-1677388926.pdf" TargetMode="External"/><Relationship Id="rId2724" Type="http://schemas.openxmlformats.org/officeDocument/2006/relationships/hyperlink" Target="https://docs.inecelectionresults.net/elections_prod/1292/state/01/lga/02/ward/14/pu/020/020-1677416173.pdf" TargetMode="External"/><Relationship Id="rId2725" Type="http://schemas.openxmlformats.org/officeDocument/2006/relationships/hyperlink" Target="https://docs.inecelectionresults.net/elections_prod/1292/state/01/lga/02/ward/14/pu/021/021-1677364787.pdf" TargetMode="External"/><Relationship Id="rId2726" Type="http://schemas.openxmlformats.org/officeDocument/2006/relationships/hyperlink" Target="https://docs.inecelectionresults.net/elections_prod/1292/state/01/lga/02/ward/14/pu/022/022-1677369333.pdf" TargetMode="External"/><Relationship Id="rId2727" Type="http://schemas.openxmlformats.org/officeDocument/2006/relationships/hyperlink" Target="https://docs.inecelectionresults.net/elections_prod/1292/state/01/lga/02/ward/14/pu/023/023-1677389451.pdf" TargetMode="External"/><Relationship Id="rId2728" Type="http://schemas.openxmlformats.org/officeDocument/2006/relationships/hyperlink" Target="https://docs.inecelectionresults.net/elections_prod/1292/state/01/lga/02/ward/14/pu/024/024-1677394289.pdf" TargetMode="External"/><Relationship Id="rId2729" Type="http://schemas.openxmlformats.org/officeDocument/2006/relationships/hyperlink" Target="https://docs.inecelectionresults.net/elections_prod/1292/state/01/lga/02/ward/14/pu/025/025-1677401800.pdf" TargetMode="External"/><Relationship Id="rId2710" Type="http://schemas.openxmlformats.org/officeDocument/2006/relationships/hyperlink" Target="https://docs.inecelectionresults.net/elections_prod/1292/state/01/lga/02/ward/02/pu/022/022-1677423847.pdf" TargetMode="External"/><Relationship Id="rId2711" Type="http://schemas.openxmlformats.org/officeDocument/2006/relationships/hyperlink" Target="https://docs.inecelectionresults.net/elections_prod/1292/state/01/lga/02/ward/02/pu/023/023-1677426047.pdf" TargetMode="External"/><Relationship Id="rId2712" Type="http://schemas.openxmlformats.org/officeDocument/2006/relationships/hyperlink" Target="https://docs.inecelectionresults.net/elections_prod/1292/state/01/lga/02/ward/02/pu/025/025-1677426128.pdf" TargetMode="External"/><Relationship Id="rId2713" Type="http://schemas.openxmlformats.org/officeDocument/2006/relationships/hyperlink" Target="https://docs.inecelectionresults.net/elections_prod/1292/state/01/lga/02/ward/02/pu/032/032-1677421067.pdf" TargetMode="External"/><Relationship Id="rId2714" Type="http://schemas.openxmlformats.org/officeDocument/2006/relationships/hyperlink" Target="https://docs.inecelectionresults.net/elections_prod/1292/state/01/lga/02/ward/02/pu/033/033-1677416190.pdf" TargetMode="External"/><Relationship Id="rId2715" Type="http://schemas.openxmlformats.org/officeDocument/2006/relationships/hyperlink" Target="https://docs.inecelectionresults.net/elections_prod/1292/state/01/lga/02/ward/02/pu/034/034-1677427700.pdf" TargetMode="External"/><Relationship Id="rId2716" Type="http://schemas.openxmlformats.org/officeDocument/2006/relationships/hyperlink" Target="https://docs.inecelectionresults.net/elections_prod/1292/state/01/lga/02/ward/02/pu/035/035-1677423986.pdf" TargetMode="External"/><Relationship Id="rId2717" Type="http://schemas.openxmlformats.org/officeDocument/2006/relationships/hyperlink" Target="https://docs.inecelectionresults.net/elections_prod/1292/state/01/lga/02/ward/03/pu/028/028-1677418663.pdf" TargetMode="External"/><Relationship Id="rId2718" Type="http://schemas.openxmlformats.org/officeDocument/2006/relationships/hyperlink" Target="https://docs.inecelectionresults.net/elections_prod/1292/state/01/lga/02/ward/08/pu/023/023-1677417261.pdf" TargetMode="External"/><Relationship Id="rId2719" Type="http://schemas.openxmlformats.org/officeDocument/2006/relationships/hyperlink" Target="https://docs.inecelectionresults.net/elections_prod/1292/state/01/lga/02/ward/08/pu/024/024-1677427573.pdf" TargetMode="External"/><Relationship Id="rId1455" Type="http://schemas.openxmlformats.org/officeDocument/2006/relationships/hyperlink" Target="https://docs.inecelectionresults.net/elections_prod/1292/state/01/lga/09/ward/08/pu/005/005-1677382323.pdf" TargetMode="External"/><Relationship Id="rId2786" Type="http://schemas.openxmlformats.org/officeDocument/2006/relationships/hyperlink" Target="https://docs.inecelectionresults.net/elections_prod/1292/state/01/lga/02/ward/06/pu/016/016-1677421286.pdf" TargetMode="External"/><Relationship Id="rId1456" Type="http://schemas.openxmlformats.org/officeDocument/2006/relationships/hyperlink" Target="https://docs.inecelectionresults.net/elections_prod/1292/state/01/lga/09/ward/08/pu/006/006-1677382595.pdf" TargetMode="External"/><Relationship Id="rId2787" Type="http://schemas.openxmlformats.org/officeDocument/2006/relationships/hyperlink" Target="https://docs.inecelectionresults.net/elections_prod/1292/state/01/lga/02/ward/04/pu/027/027-1677395447.pdf" TargetMode="External"/><Relationship Id="rId1457" Type="http://schemas.openxmlformats.org/officeDocument/2006/relationships/hyperlink" Target="https://docs.inecelectionresults.net/elections_prod/1292/state/01/lga/09/ward/08/pu/007/007-1677383181.pdf" TargetMode="External"/><Relationship Id="rId2788" Type="http://schemas.openxmlformats.org/officeDocument/2006/relationships/hyperlink" Target="https://docs.inecelectionresults.net/elections_prod/1292/state/01/lga/02/ward/04/pu/028/028-1677406245.pdf" TargetMode="External"/><Relationship Id="rId1458" Type="http://schemas.openxmlformats.org/officeDocument/2006/relationships/hyperlink" Target="https://docs.inecelectionresults.net/elections_prod/1292/state/01/lga/09/ward/08/pu/008/008-1677383001.pdf" TargetMode="External"/><Relationship Id="rId2789" Type="http://schemas.openxmlformats.org/officeDocument/2006/relationships/hyperlink" Target="https://docs.inecelectionresults.net/elections_prod/1292/state/01/lga/02/ward/04/pu/029/029-1677399706.pdf" TargetMode="External"/><Relationship Id="rId1459" Type="http://schemas.openxmlformats.org/officeDocument/2006/relationships/hyperlink" Target="https://docs.inecelectionresults.net/elections_prod/1292/state/01/lga/09/ward/08/pu/009/009-1677383461.pdf" TargetMode="External"/><Relationship Id="rId629" Type="http://schemas.openxmlformats.org/officeDocument/2006/relationships/hyperlink" Target="https://docs.inecelectionresults.net/elections_prod/1292/state/01/lga/03/ward/15/pu/004/004-1677375596.pdf" TargetMode="External"/><Relationship Id="rId624" Type="http://schemas.openxmlformats.org/officeDocument/2006/relationships/hyperlink" Target="https://docs.inecelectionresults.net/elections_prod/1292/state/01/lga/03/ward/14/pu/010/010-1677389848.pdf" TargetMode="External"/><Relationship Id="rId623" Type="http://schemas.openxmlformats.org/officeDocument/2006/relationships/hyperlink" Target="https://docs.inecelectionresults.net/elections_prod/1292/state/01/lga/03/ward/14/pu/008/008-1677390806.pdf" TargetMode="External"/><Relationship Id="rId622" Type="http://schemas.openxmlformats.org/officeDocument/2006/relationships/hyperlink" Target="https://docs.inecelectionresults.net/elections_prod/1292/state/01/lga/03/ward/14/pu/007/007-1677387984.pdf" TargetMode="External"/><Relationship Id="rId621" Type="http://schemas.openxmlformats.org/officeDocument/2006/relationships/hyperlink" Target="https://docs.inecelectionresults.net/elections_prod/1292/state/01/lga/03/ward/14/pu/006/006-1677392363.pdf" TargetMode="External"/><Relationship Id="rId628" Type="http://schemas.openxmlformats.org/officeDocument/2006/relationships/hyperlink" Target="https://docs.inecelectionresults.net/elections_prod/1292/state/01/lga/03/ward/15/pu/003/003-1677376543.pdf" TargetMode="External"/><Relationship Id="rId627" Type="http://schemas.openxmlformats.org/officeDocument/2006/relationships/hyperlink" Target="https://docs.inecelectionresults.net/elections_prod/1292/state/01/lga/03/ward/15/pu/001/001-1677409474.pdf" TargetMode="External"/><Relationship Id="rId626" Type="http://schemas.openxmlformats.org/officeDocument/2006/relationships/hyperlink" Target="https://docs.inecelectionresults.net/elections_prod/1292/state/01/lga/03/ward/14/pu/012/012-1677389258.pdf" TargetMode="External"/><Relationship Id="rId625" Type="http://schemas.openxmlformats.org/officeDocument/2006/relationships/hyperlink" Target="https://docs.inecelectionresults.net/elections_prod/1292/state/01/lga/03/ward/14/pu/011/011-1677390161.pdf" TargetMode="External"/><Relationship Id="rId2780" Type="http://schemas.openxmlformats.org/officeDocument/2006/relationships/hyperlink" Target="https://docs.inecelectionresults.net/elections_prod/1292/state/01/lga/02/ward/12/pu/036/036-1677398178.pdf" TargetMode="External"/><Relationship Id="rId1450" Type="http://schemas.openxmlformats.org/officeDocument/2006/relationships/hyperlink" Target="https://docs.inecelectionresults.net/elections_prod/1292/state/01/lga/09/ward/07/pu/017/017-1677414770.pdf" TargetMode="External"/><Relationship Id="rId2781" Type="http://schemas.openxmlformats.org/officeDocument/2006/relationships/hyperlink" Target="https://docs.inecelectionresults.net/elections_prod/1292/state/01/lga/02/ward/12/pu/037/037-1677397654.pdf" TargetMode="External"/><Relationship Id="rId620" Type="http://schemas.openxmlformats.org/officeDocument/2006/relationships/hyperlink" Target="https://docs.inecelectionresults.net/elections_prod/1292/state/01/lga/03/ward/14/pu/005/005-1677394709.pdf" TargetMode="External"/><Relationship Id="rId1451" Type="http://schemas.openxmlformats.org/officeDocument/2006/relationships/hyperlink" Target="https://docs.inecelectionresults.net/elections_prod/1292/state/01/lga/09/ward/08/pu/001/001-1677380764.pdf" TargetMode="External"/><Relationship Id="rId2782" Type="http://schemas.openxmlformats.org/officeDocument/2006/relationships/hyperlink" Target="https://docs.inecelectionresults.net/elections_prod/1292/state/01/lga/02/ward/12/pu/039/039-1677399630.pdf" TargetMode="External"/><Relationship Id="rId1452" Type="http://schemas.openxmlformats.org/officeDocument/2006/relationships/hyperlink" Target="https://docs.inecelectionresults.net/elections_prod/1292/state/01/lga/09/ward/08/pu/002/002-1677381177.pdf" TargetMode="External"/><Relationship Id="rId2783" Type="http://schemas.openxmlformats.org/officeDocument/2006/relationships/hyperlink" Target="https://docs.inecelectionresults.net/elections_prod/1292/state/01/lga/02/ward/12/pu/040/040-1677399955.pdf" TargetMode="External"/><Relationship Id="rId1453" Type="http://schemas.openxmlformats.org/officeDocument/2006/relationships/hyperlink" Target="https://docs.inecelectionresults.net/elections_prod/1292/state/01/lga/09/ward/08/pu/003/003-1677381740.pdf" TargetMode="External"/><Relationship Id="rId2784" Type="http://schemas.openxmlformats.org/officeDocument/2006/relationships/hyperlink" Target="https://docs.inecelectionresults.net/elections_prod/1292/state/1/lga/3667/ward/23971/pu/164895/164895-1677488735.pdf" TargetMode="External"/><Relationship Id="rId1454" Type="http://schemas.openxmlformats.org/officeDocument/2006/relationships/hyperlink" Target="https://docs.inecelectionresults.net/elections_prod/1292/state/01/lga/09/ward/08/pu/004/004-1677382028.pdf" TargetMode="External"/><Relationship Id="rId2785" Type="http://schemas.openxmlformats.org/officeDocument/2006/relationships/hyperlink" Target="https://docs.inecelectionresults.net/elections_prod/1292/state/01/lga/02/ward/06/pu/015/015-1677428449.pdf" TargetMode="External"/><Relationship Id="rId1444" Type="http://schemas.openxmlformats.org/officeDocument/2006/relationships/hyperlink" Target="https://docs.inecelectionresults.net/elections_prod/1292/state/1/lga/3674/ward/24056/pu/92573/92573-1677479946.pdf" TargetMode="External"/><Relationship Id="rId2775" Type="http://schemas.openxmlformats.org/officeDocument/2006/relationships/hyperlink" Target="https://docs.inecelectionresults.net/elections_prod/1292/state/01/lga/02/ward/05/pu/023/023-1677418119.pdf" TargetMode="External"/><Relationship Id="rId1445" Type="http://schemas.openxmlformats.org/officeDocument/2006/relationships/hyperlink" Target="https://docs.inecelectionresults.net/elections_prod/1292/state/01/lga/09/ward/07/pu/012/012-1677412190.pdf" TargetMode="External"/><Relationship Id="rId2776" Type="http://schemas.openxmlformats.org/officeDocument/2006/relationships/hyperlink" Target="https://docs.inecelectionresults.net/elections_prod/1292/state/01/lga/02/ward/12/pu/030/030-1677403725.pdf" TargetMode="External"/><Relationship Id="rId1446" Type="http://schemas.openxmlformats.org/officeDocument/2006/relationships/hyperlink" Target="https://docs.inecelectionresults.net/elections_prod/1292/state/01/lga/09/ward/07/pu/013/013-1677414130.pdf" TargetMode="External"/><Relationship Id="rId2777" Type="http://schemas.openxmlformats.org/officeDocument/2006/relationships/hyperlink" Target="https://docs.inecelectionresults.net/elections_prod/1292/state/01/lga/02/ward/12/pu/031/031-1677402331.pdf" TargetMode="External"/><Relationship Id="rId1447" Type="http://schemas.openxmlformats.org/officeDocument/2006/relationships/hyperlink" Target="https://docs.inecelectionresults.net/elections_prod/1292/state/1/lga/3674/ward/24056/pu/92576/92576-1677478934.pdf" TargetMode="External"/><Relationship Id="rId2778" Type="http://schemas.openxmlformats.org/officeDocument/2006/relationships/hyperlink" Target="https://docs.inecelectionresults.net/elections_prod/1292/state/01/lga/02/ward/12/pu/032/032-1677400874.pdf" TargetMode="External"/><Relationship Id="rId1448" Type="http://schemas.openxmlformats.org/officeDocument/2006/relationships/hyperlink" Target="https://docs.inecelectionresults.net/elections_prod/1292/state/01/lga/09/ward/07/pu/015/015-1677414312.pdf" TargetMode="External"/><Relationship Id="rId2779" Type="http://schemas.openxmlformats.org/officeDocument/2006/relationships/hyperlink" Target="https://docs.inecelectionresults.net/elections_prod/1292/state/01/lga/02/ward/12/pu/033/033-1677401284.pdf" TargetMode="External"/><Relationship Id="rId1449" Type="http://schemas.openxmlformats.org/officeDocument/2006/relationships/hyperlink" Target="https://docs.inecelectionresults.net/elections_prod/1292/state/01/lga/09/ward/07/pu/016/016-1677422289.pdf" TargetMode="External"/><Relationship Id="rId619" Type="http://schemas.openxmlformats.org/officeDocument/2006/relationships/hyperlink" Target="https://docs.inecelectionresults.net/elections_prod/1292/state/01/lga/03/ward/14/pu/004/004-1677417618.pdf" TargetMode="External"/><Relationship Id="rId618" Type="http://schemas.openxmlformats.org/officeDocument/2006/relationships/hyperlink" Target="https://docs.inecelectionresults.net/elections_prod/1292/state/01/lga/03/ward/14/pu/003/003-1677392317.pdf" TargetMode="External"/><Relationship Id="rId613" Type="http://schemas.openxmlformats.org/officeDocument/2006/relationships/hyperlink" Target="https://docs.inecelectionresults.net/elections_prod/1292/state/1/lga/3668/ward/23993/pu/91551/91551-1677579886.pdf" TargetMode="External"/><Relationship Id="rId612" Type="http://schemas.openxmlformats.org/officeDocument/2006/relationships/hyperlink" Target="https://docs.inecelectionresults.net/elections_prod/1292/state/01/lga/03/ward/13/pu/012/012-1677421570.pdf" TargetMode="External"/><Relationship Id="rId611" Type="http://schemas.openxmlformats.org/officeDocument/2006/relationships/hyperlink" Target="https://docs.inecelectionresults.net/elections_prod/1292/state/01/lga/03/ward/13/pu/011/011-1677426511.pdf" TargetMode="External"/><Relationship Id="rId610" Type="http://schemas.openxmlformats.org/officeDocument/2006/relationships/hyperlink" Target="https://docs.inecelectionresults.net/elections_prod/1292/state/01/lga/03/ward/13/pu/010/010-1677428727.pdf" TargetMode="External"/><Relationship Id="rId617" Type="http://schemas.openxmlformats.org/officeDocument/2006/relationships/hyperlink" Target="https://docs.inecelectionresults.net/elections_prod/1292/state/01/lga/03/ward/14/pu/002/002-1677404567.pdf" TargetMode="External"/><Relationship Id="rId616" Type="http://schemas.openxmlformats.org/officeDocument/2006/relationships/hyperlink" Target="https://docs.inecelectionresults.net/elections_prod/1292/state/01/lga/03/ward/14/pu/001/001-1677389156.pdf" TargetMode="External"/><Relationship Id="rId615" Type="http://schemas.openxmlformats.org/officeDocument/2006/relationships/hyperlink" Target="https://docs.inecelectionresults.net/elections_prod/1292/state/01/lga/03/ward/13/pu/015/015-1677424165.pdf" TargetMode="External"/><Relationship Id="rId614" Type="http://schemas.openxmlformats.org/officeDocument/2006/relationships/hyperlink" Target="https://docs.inecelectionresults.net/elections_prod/1292/state/01/lga/03/ward/13/pu/014/014-1677427863.pdf" TargetMode="External"/><Relationship Id="rId2770" Type="http://schemas.openxmlformats.org/officeDocument/2006/relationships/hyperlink" Target="https://docs.inecelectionresults.net/elections_prod/1292/state/01/lga/02/ward/05/pu/019/019-1677416428.pdf" TargetMode="External"/><Relationship Id="rId1440" Type="http://schemas.openxmlformats.org/officeDocument/2006/relationships/hyperlink" Target="https://docs.inecelectionresults.net/elections_prod/1292/state/01/lga/09/ward/07/pu/005/005-1677409097.pdf" TargetMode="External"/><Relationship Id="rId2771" Type="http://schemas.openxmlformats.org/officeDocument/2006/relationships/hyperlink" Target="https://docs.inecelectionresults.net/elections_prod/1292/state/01/lga/02/ward/05/pu/020/020-1677416754.pdf" TargetMode="External"/><Relationship Id="rId1441" Type="http://schemas.openxmlformats.org/officeDocument/2006/relationships/hyperlink" Target="https://docs.inecelectionresults.net/elections_prod/1292/state/01/lga/09/ward/07/pu/007/007-1677409434.pdf" TargetMode="External"/><Relationship Id="rId2772" Type="http://schemas.openxmlformats.org/officeDocument/2006/relationships/hyperlink" Target="https://docs.inecelectionresults.net/elections_prod/1292/state/01/lga/02/ward/05/pu/021/021-1677417522.pdf" TargetMode="External"/><Relationship Id="rId1442" Type="http://schemas.openxmlformats.org/officeDocument/2006/relationships/hyperlink" Target="https://docs.inecelectionresults.net/elections_prod/1292/state/1/lga/3674/ward/24056/pu/92570/92570-1677516166.pdf" TargetMode="External"/><Relationship Id="rId2773" Type="http://schemas.openxmlformats.org/officeDocument/2006/relationships/hyperlink" Target="https://docs.inecelectionresults.net/elections_prod/1292/state/01/lga/02/ward/05/pu/022/022-1677417847.pdf" TargetMode="External"/><Relationship Id="rId1443" Type="http://schemas.openxmlformats.org/officeDocument/2006/relationships/hyperlink" Target="https://docs.inecelectionresults.net/elections_prod/1292/state/01/lga/09/ward/07/pu/010/010-1677411564.pdf" TargetMode="External"/><Relationship Id="rId2774" Type="http://schemas.openxmlformats.org/officeDocument/2006/relationships/hyperlink" Target="https://docs.inecelectionresults.net/elections_prod/1292/state/01/lga/02/ward/05/pu/023/023-1677418119.pdf" TargetMode="External"/><Relationship Id="rId1477" Type="http://schemas.openxmlformats.org/officeDocument/2006/relationships/hyperlink" Target="https://docs.inecelectionresults.net/elections_prod/1292/state/01/lga/09/ward/09/pu/015/015-1677368236.pdf" TargetMode="External"/><Relationship Id="rId1478" Type="http://schemas.openxmlformats.org/officeDocument/2006/relationships/hyperlink" Target="https://docs.inecelectionresults.net/elections_prod/1292/state/01/lga/09/ward/09/pu/016/016-1677359974.pdf" TargetMode="External"/><Relationship Id="rId1479" Type="http://schemas.openxmlformats.org/officeDocument/2006/relationships/hyperlink" Target="https://docs.inecelectionresults.net/elections_prod/1292/state/01/lga/09/ward/09/pu/017/017-1677362250.pdf" TargetMode="External"/><Relationship Id="rId646" Type="http://schemas.openxmlformats.org/officeDocument/2006/relationships/hyperlink" Target="https://docs.inecelectionresults.net/elections_prod/1292/state/01/lga/03/ward/16/pu/010/010-1677404707.pdf" TargetMode="External"/><Relationship Id="rId645" Type="http://schemas.openxmlformats.org/officeDocument/2006/relationships/hyperlink" Target="https://docs.inecelectionresults.net/elections_prod/1292/state/01/lga/03/ward/16/pu/008/008-1677393322.pdf" TargetMode="External"/><Relationship Id="rId644" Type="http://schemas.openxmlformats.org/officeDocument/2006/relationships/hyperlink" Target="https://docs.inecelectionresults.net/elections_prod/1292/state/01/lga/03/ward/16/pu/006/006-1677398999.pdf" TargetMode="External"/><Relationship Id="rId643" Type="http://schemas.openxmlformats.org/officeDocument/2006/relationships/hyperlink" Target="https://docs.inecelectionresults.net/elections_prod/1292/state/01/lga/03/ward/16/pu/005/005-1677401282.pdf" TargetMode="External"/><Relationship Id="rId649" Type="http://schemas.openxmlformats.org/officeDocument/2006/relationships/hyperlink" Target="https://docs.inecelectionresults.net/elections_prod/1292/state/01/lga/04/ward/01/pu/003/003-1677378565.pdf" TargetMode="External"/><Relationship Id="rId648" Type="http://schemas.openxmlformats.org/officeDocument/2006/relationships/hyperlink" Target="https://docs.inecelectionresults.net/elections_prod/1292/state/01/lga/04/ward/01/pu/002/002-1677369505.pdf" TargetMode="External"/><Relationship Id="rId647" Type="http://schemas.openxmlformats.org/officeDocument/2006/relationships/hyperlink" Target="https://docs.inecelectionresults.net/elections_prod/1292/state/01/lga/03/ward/16/pu/010/010-1677404707.pdf" TargetMode="External"/><Relationship Id="rId1470" Type="http://schemas.openxmlformats.org/officeDocument/2006/relationships/hyperlink" Target="https://docs.inecelectionresults.net/elections_prod/1292/state/01/lga/09/ward/09/pu/004/004-1677375056.pdf" TargetMode="External"/><Relationship Id="rId1471" Type="http://schemas.openxmlformats.org/officeDocument/2006/relationships/hyperlink" Target="https://docs.inecelectionresults.net/elections_prod/1292/state/01/lga/09/ward/09/pu/006/006-1677360528.pdf" TargetMode="External"/><Relationship Id="rId1472" Type="http://schemas.openxmlformats.org/officeDocument/2006/relationships/hyperlink" Target="https://docs.inecelectionresults.net/elections_prod/1292/state/01/lga/09/ward/09/pu/007/007-1677362329.pdf" TargetMode="External"/><Relationship Id="rId642" Type="http://schemas.openxmlformats.org/officeDocument/2006/relationships/hyperlink" Target="https://docs.inecelectionresults.net/elections_prod/1292/state/01/lga/03/ward/16/pu/004/004-1677399622.pdf" TargetMode="External"/><Relationship Id="rId1473" Type="http://schemas.openxmlformats.org/officeDocument/2006/relationships/hyperlink" Target="https://docs.inecelectionresults.net/elections_prod/1292/state/01/lga/09/ward/09/pu/008/008-1677359484.pdf" TargetMode="External"/><Relationship Id="rId641" Type="http://schemas.openxmlformats.org/officeDocument/2006/relationships/hyperlink" Target="https://docs.inecelectionresults.net/elections_prod/1292/state/01/lga/03/ward/16/pu/003/003-1677378700.pdf" TargetMode="External"/><Relationship Id="rId1474" Type="http://schemas.openxmlformats.org/officeDocument/2006/relationships/hyperlink" Target="https://docs.inecelectionresults.net/elections_prod/1292/state/01/lga/09/ward/09/pu/009/009-1677372305.pdf" TargetMode="External"/><Relationship Id="rId640" Type="http://schemas.openxmlformats.org/officeDocument/2006/relationships/hyperlink" Target="https://docs.inecelectionresults.net/elections_prod/1292/state/01/lga/03/ward/16/pu/002/002-1677382259.pdf" TargetMode="External"/><Relationship Id="rId1475" Type="http://schemas.openxmlformats.org/officeDocument/2006/relationships/hyperlink" Target="https://docs.inecelectionresults.net/elections_prod/1292/state/1/lga/3674/ward/24058/pu/92610/92610-1677520518.pdf" TargetMode="External"/><Relationship Id="rId1476" Type="http://schemas.openxmlformats.org/officeDocument/2006/relationships/hyperlink" Target="https://docs.inecelectionresults.net/elections_prod/1292/state/01/lga/09/ward/09/pu/014/014-1677361287.pdf" TargetMode="External"/><Relationship Id="rId1466" Type="http://schemas.openxmlformats.org/officeDocument/2006/relationships/hyperlink" Target="https://docs.inecelectionresults.net/elections_prod/1292/state/01/lga/09/ward/08/pu/016/016-1677388134.pdf" TargetMode="External"/><Relationship Id="rId2797" Type="http://schemas.openxmlformats.org/officeDocument/2006/relationships/hyperlink" Target="https://docs.inecelectionresults.net/elections_prod/1292/state/01/lga/03/ward/10/pu/016/016-1677358746.pdf" TargetMode="External"/><Relationship Id="rId1467" Type="http://schemas.openxmlformats.org/officeDocument/2006/relationships/hyperlink" Target="https://docs.inecelectionresults.net/elections_prod/1292/state/01/lga/09/ward/08/pu/018/018-1677388339.pdf" TargetMode="External"/><Relationship Id="rId2798" Type="http://schemas.openxmlformats.org/officeDocument/2006/relationships/hyperlink" Target="https://docs.inecelectionresults.net/elections_prod/1292/state/01/lga/03/ward/10/pu/018/018-1677366294.pdf" TargetMode="External"/><Relationship Id="rId1468" Type="http://schemas.openxmlformats.org/officeDocument/2006/relationships/hyperlink" Target="https://docs.inecelectionresults.net/elections_prod/1292/state/01/lga/09/ward/08/pu/020/020-1677388745.pdf" TargetMode="External"/><Relationship Id="rId2799" Type="http://schemas.openxmlformats.org/officeDocument/2006/relationships/hyperlink" Target="https://docs.inecelectionresults.net/elections_prod/1292/state/01/lga/03/ward/10/pu/019/019-1677378039.pdf" TargetMode="External"/><Relationship Id="rId1469" Type="http://schemas.openxmlformats.org/officeDocument/2006/relationships/hyperlink" Target="https://docs.inecelectionresults.net/elections_prod/1292/state/01/lga/09/ward/09/pu/002/002-1677376804.pdf" TargetMode="External"/><Relationship Id="rId635" Type="http://schemas.openxmlformats.org/officeDocument/2006/relationships/hyperlink" Target="https://docs.inecelectionresults.net/elections_prod/1292/state/01/lga/03/ward/15/pu/011/011-1677394617.pdf" TargetMode="External"/><Relationship Id="rId634" Type="http://schemas.openxmlformats.org/officeDocument/2006/relationships/hyperlink" Target="https://docs.inecelectionresults.net/elections_prod/1292/state/01/lga/03/ward/15/pu/010/010-1677422244.pdf" TargetMode="External"/><Relationship Id="rId633" Type="http://schemas.openxmlformats.org/officeDocument/2006/relationships/hyperlink" Target="https://docs.inecelectionresults.net/elections_prod/1292/state/01/lga/03/ward/15/pu/009/009-1677421509.pdf" TargetMode="External"/><Relationship Id="rId632" Type="http://schemas.openxmlformats.org/officeDocument/2006/relationships/hyperlink" Target="https://docs.inecelectionresults.net/elections_prod/1292/state/01/lga/03/ward/15/pu/008/008-1677388353.pdf" TargetMode="External"/><Relationship Id="rId639" Type="http://schemas.openxmlformats.org/officeDocument/2006/relationships/hyperlink" Target="https://docs.inecelectionresults.net/elections_prod/1292/state/01/lga/03/ward/16/pu/001/001-1677383949.pdf" TargetMode="External"/><Relationship Id="rId638" Type="http://schemas.openxmlformats.org/officeDocument/2006/relationships/hyperlink" Target="https://docs.inecelectionresults.net/elections_prod/1292/state/01/lga/03/ward/15/pu/014/014-1677392590.pdf" TargetMode="External"/><Relationship Id="rId637" Type="http://schemas.openxmlformats.org/officeDocument/2006/relationships/hyperlink" Target="https://docs.inecelectionresults.net/elections_prod/1292/state/01/lga/03/ward/15/pu/013/013-1677422651.pdf" TargetMode="External"/><Relationship Id="rId636" Type="http://schemas.openxmlformats.org/officeDocument/2006/relationships/hyperlink" Target="https://docs.inecelectionresults.net/elections_prod/1292/state/01/lga/03/ward/15/pu/012/012-1677390108.pdf" TargetMode="External"/><Relationship Id="rId2790" Type="http://schemas.openxmlformats.org/officeDocument/2006/relationships/hyperlink" Target="https://docs.inecelectionresults.net/elections_prod/1292/state/01/lga/02/ward/04/pu/030/030-1677414264.pdf" TargetMode="External"/><Relationship Id="rId1460" Type="http://schemas.openxmlformats.org/officeDocument/2006/relationships/hyperlink" Target="https://docs.inecelectionresults.net/elections_prod/1292/state/01/lga/09/ward/08/pu/010/010-1677383605.pdf" TargetMode="External"/><Relationship Id="rId2791" Type="http://schemas.openxmlformats.org/officeDocument/2006/relationships/hyperlink" Target="https://docs.inecelectionresults.net/elections_prod/1292/state/01/lga/02/ward/04/pu/031/031-1677391941.pdf" TargetMode="External"/><Relationship Id="rId1461" Type="http://schemas.openxmlformats.org/officeDocument/2006/relationships/hyperlink" Target="https://docs.inecelectionresults.net/elections_prod/1292/state/01/lga/09/ward/08/pu/011/011-1677383852.pdf" TargetMode="External"/><Relationship Id="rId2792" Type="http://schemas.openxmlformats.org/officeDocument/2006/relationships/hyperlink" Target="https://docs.inecelectionresults.net/elections_prod/1292/state/01/lga/02/ward/11/pu/026/026-1677418163.pdf" TargetMode="External"/><Relationship Id="rId631" Type="http://schemas.openxmlformats.org/officeDocument/2006/relationships/hyperlink" Target="https://docs.inecelectionresults.net/elections_prod/1292/state/01/lga/03/ward/15/pu/007/007-1677400135.pdf" TargetMode="External"/><Relationship Id="rId1462" Type="http://schemas.openxmlformats.org/officeDocument/2006/relationships/hyperlink" Target="https://docs.inecelectionresults.net/elections_prod/1292/state/01/lga/09/ward/08/pu/012/012-1677384008.pdf" TargetMode="External"/><Relationship Id="rId2793" Type="http://schemas.openxmlformats.org/officeDocument/2006/relationships/hyperlink" Target="https://docs.inecelectionresults.net/elections_prod/1292/state/1/lga/3668/ward/23991/pu/165310/165310-1677465212.pdf" TargetMode="External"/><Relationship Id="rId630" Type="http://schemas.openxmlformats.org/officeDocument/2006/relationships/hyperlink" Target="https://docs.inecelectionresults.net/elections_prod/1292/state/01/lga/03/ward/15/pu/006/006-1677387598.pdf" TargetMode="External"/><Relationship Id="rId1463" Type="http://schemas.openxmlformats.org/officeDocument/2006/relationships/hyperlink" Target="https://docs.inecelectionresults.net/elections_prod/1292/state/01/lga/09/ward/08/pu/013/013-1677384389.pdf" TargetMode="External"/><Relationship Id="rId2794" Type="http://schemas.openxmlformats.org/officeDocument/2006/relationships/hyperlink" Target="https://docs.inecelectionresults.net/elections_prod/1292/state/1/lga/3668/ward/23991/pu/165311/165311-1677458392.pdf" TargetMode="External"/><Relationship Id="rId1464" Type="http://schemas.openxmlformats.org/officeDocument/2006/relationships/hyperlink" Target="https://docs.inecelectionresults.net/elections_prod/1292/state/01/lga/09/ward/08/pu/014/014-1677384677.pdf" TargetMode="External"/><Relationship Id="rId2795" Type="http://schemas.openxmlformats.org/officeDocument/2006/relationships/hyperlink" Target="https://docs.inecelectionresults.net/elections_prod/1292/state/1/lga/3668/ward/23991/pu/165313/165313-1677457846.pdf" TargetMode="External"/><Relationship Id="rId1465" Type="http://schemas.openxmlformats.org/officeDocument/2006/relationships/hyperlink" Target="https://docs.inecelectionresults.net/elections_prod/1292/state/01/lga/09/ward/08/pu/015/015-1677384879.pdf" TargetMode="External"/><Relationship Id="rId2796" Type="http://schemas.openxmlformats.org/officeDocument/2006/relationships/hyperlink" Target="https://docs.inecelectionresults.net/elections_prod/1292/state/01/lga/03/ward/09/pu/021/021-1677408979.pdf" TargetMode="External"/><Relationship Id="rId1411" Type="http://schemas.openxmlformats.org/officeDocument/2006/relationships/hyperlink" Target="https://inec-cvr-cache.s3.eu-west-1.amazonaws.com/cached/results/91445/result_78834_1677533837_thumb.jpg" TargetMode="External"/><Relationship Id="rId2742" Type="http://schemas.openxmlformats.org/officeDocument/2006/relationships/hyperlink" Target="https://docs.inecelectionresults.net/elections_prod/1292/state/01/lga/02/ward/14/pu/038/038-1677390180.pdf" TargetMode="External"/><Relationship Id="rId1412" Type="http://schemas.openxmlformats.org/officeDocument/2006/relationships/hyperlink" Target="https://inec-cvr-cache.s3.eu-west-1.amazonaws.com/cached/results/91446/result_78835_1677534840_thumb.jpg" TargetMode="External"/><Relationship Id="rId2743" Type="http://schemas.openxmlformats.org/officeDocument/2006/relationships/hyperlink" Target="https://docs.inecelectionresults.net/elections_prod/1292/state/01/lga/02/ward/14/pu/039/039-1677401378.pdf" TargetMode="External"/><Relationship Id="rId1413" Type="http://schemas.openxmlformats.org/officeDocument/2006/relationships/hyperlink" Target="https://inec-cvr-cache.s3.eu-west-1.amazonaws.com/cached/results/91447/result_78836_1677534956_thumb.jpg" TargetMode="External"/><Relationship Id="rId2744" Type="http://schemas.openxmlformats.org/officeDocument/2006/relationships/hyperlink" Target="https://docs.inecelectionresults.net/elections_prod/1292/state/01/lga/02/ward/15/pu/019/019-1677417055.pdf" TargetMode="External"/><Relationship Id="rId1414" Type="http://schemas.openxmlformats.org/officeDocument/2006/relationships/hyperlink" Target="https://docs.inecelectionresults.net/elections_prod/1292/state/01/lga/09/ward/06/pu/004/004-1677396799.pdf" TargetMode="External"/><Relationship Id="rId2745" Type="http://schemas.openxmlformats.org/officeDocument/2006/relationships/hyperlink" Target="https://docs.inecelectionresults.net/elections_prod/1292/state/01/lga/02/ward/15/pu/021/021-1677419642.pdf" TargetMode="External"/><Relationship Id="rId1415" Type="http://schemas.openxmlformats.org/officeDocument/2006/relationships/hyperlink" Target="https://inec-cvr-cache.s3.eu-west-1.amazonaws.com/cached/results/91449/result_78838_1677540534_thumb.jpg" TargetMode="External"/><Relationship Id="rId2746" Type="http://schemas.openxmlformats.org/officeDocument/2006/relationships/hyperlink" Target="https://docs.inecelectionresults.net/elections_prod/1292/state/01/lga/02/ward/15/pu/022/022-1677419212.pdf" TargetMode="External"/><Relationship Id="rId1416" Type="http://schemas.openxmlformats.org/officeDocument/2006/relationships/hyperlink" Target="https://inec-cvr-cache.s3.eu-west-1.amazonaws.com/cached/results/91451/result_78840_1677539090_thumb.jpg" TargetMode="External"/><Relationship Id="rId2747" Type="http://schemas.openxmlformats.org/officeDocument/2006/relationships/hyperlink" Target="https://docs.inecelectionresults.net/elections_prod/1292/state/01/lga/02/ward/15/pu/024/024-1677420110.pdf" TargetMode="External"/><Relationship Id="rId1417" Type="http://schemas.openxmlformats.org/officeDocument/2006/relationships/hyperlink" Target="https://inec-cvr-cache.s3.eu-west-1.amazonaws.com/cached/results/91453/result_78842_1677539992_thumb.jpg" TargetMode="External"/><Relationship Id="rId2748" Type="http://schemas.openxmlformats.org/officeDocument/2006/relationships/hyperlink" Target="https://docs.inecelectionresults.net/elections_prod/1292/state/01/lga/02/ward/15/pu/025/025-1677420152.pdf" TargetMode="External"/><Relationship Id="rId1418" Type="http://schemas.openxmlformats.org/officeDocument/2006/relationships/hyperlink" Target="https://inec-cvr-cache.s3.eu-west-1.amazonaws.com/cached/results/91456/result_78845_1677539284_thumb.jpg" TargetMode="External"/><Relationship Id="rId2749" Type="http://schemas.openxmlformats.org/officeDocument/2006/relationships/hyperlink" Target="https://docs.inecelectionresults.net/elections_prod/1292/state/01/lga/02/ward/15/pu/026/026-1677420938.pdf" TargetMode="External"/><Relationship Id="rId1419" Type="http://schemas.openxmlformats.org/officeDocument/2006/relationships/hyperlink" Target="https://inec-cvr-cache.s3.eu-west-1.amazonaws.com/cached/results/91457/result_78846_1677538508_thumb.jpg" TargetMode="External"/><Relationship Id="rId2740" Type="http://schemas.openxmlformats.org/officeDocument/2006/relationships/hyperlink" Target="https://docs.inecelectionresults.net/elections_prod/1292/state/01/lga/02/ward/14/pu/036/036-1677415502.pdf" TargetMode="External"/><Relationship Id="rId1410" Type="http://schemas.openxmlformats.org/officeDocument/2006/relationships/hyperlink" Target="https://docs.inecelectionresults.net/elections_prod/1292/state/01/lga/09/ward/05/pu/024/024-1677400026.pdf" TargetMode="External"/><Relationship Id="rId2741" Type="http://schemas.openxmlformats.org/officeDocument/2006/relationships/hyperlink" Target="https://docs.inecelectionresults.net/elections_prod/1292/state/01/lga/02/ward/14/pu/037/037-1677392696.pdf" TargetMode="External"/><Relationship Id="rId1400" Type="http://schemas.openxmlformats.org/officeDocument/2006/relationships/hyperlink" Target="https://docs.inecelectionresults.net/elections_prod/1292/state/01/lga/09/ward/05/pu/014/014-1677399641.pdf" TargetMode="External"/><Relationship Id="rId2731" Type="http://schemas.openxmlformats.org/officeDocument/2006/relationships/hyperlink" Target="https://docs.inecelectionresults.net/elections_prod/1292/state/01/lga/02/ward/14/pu/027/027-1677365945.pdf" TargetMode="External"/><Relationship Id="rId1401" Type="http://schemas.openxmlformats.org/officeDocument/2006/relationships/hyperlink" Target="https://docs.inecelectionresults.net/elections_prod/1292/state/01/lga/09/ward/05/pu/015/015-1677389537.pdf" TargetMode="External"/><Relationship Id="rId2732" Type="http://schemas.openxmlformats.org/officeDocument/2006/relationships/hyperlink" Target="https://docs.inecelectionresults.net/elections_prod/1292/state/01/lga/02/ward/14/pu/028/028-1677413625.pdf" TargetMode="External"/><Relationship Id="rId1402" Type="http://schemas.openxmlformats.org/officeDocument/2006/relationships/hyperlink" Target="https://docs.inecelectionresults.net/elections_prod/1292/state/01/lga/09/ward/05/pu/016/016-1677396252.pdf" TargetMode="External"/><Relationship Id="rId2733" Type="http://schemas.openxmlformats.org/officeDocument/2006/relationships/hyperlink" Target="https://docs.inecelectionresults.net/elections_prod/1292/state/01/lga/02/ward/14/pu/029/029-1677399333.pdf" TargetMode="External"/><Relationship Id="rId1403" Type="http://schemas.openxmlformats.org/officeDocument/2006/relationships/hyperlink" Target="https://docs.inecelectionresults.net/elections_prod/1292/state/01/lga/09/ward/05/pu/017/017-1677400353.pdf" TargetMode="External"/><Relationship Id="rId2734" Type="http://schemas.openxmlformats.org/officeDocument/2006/relationships/hyperlink" Target="https://docs.inecelectionresults.net/elections_prod/1292/state/01/lga/02/ward/14/pu/030/030-1677398382.pdf" TargetMode="External"/><Relationship Id="rId1404" Type="http://schemas.openxmlformats.org/officeDocument/2006/relationships/hyperlink" Target="https://docs.inecelectionresults.net/elections_prod/1292/state/01/lga/09/ward/05/pu/018/018-1677399889.pdf" TargetMode="External"/><Relationship Id="rId2735" Type="http://schemas.openxmlformats.org/officeDocument/2006/relationships/hyperlink" Target="https://docs.inecelectionresults.net/elections_prod/1292/state/01/lga/02/ward/14/pu/031/031-1677395341.pdf" TargetMode="External"/><Relationship Id="rId1405" Type="http://schemas.openxmlformats.org/officeDocument/2006/relationships/hyperlink" Target="https://docs.inecelectionresults.net/elections_prod/1292/state/01/lga/09/ward/05/pu/019/019-1677387611.pdf" TargetMode="External"/><Relationship Id="rId2736" Type="http://schemas.openxmlformats.org/officeDocument/2006/relationships/hyperlink" Target="https://docs.inecelectionresults.net/elections_prod/1292/state/01/lga/02/ward/14/pu/032/032-1677388245.pdf" TargetMode="External"/><Relationship Id="rId1406" Type="http://schemas.openxmlformats.org/officeDocument/2006/relationships/hyperlink" Target="https://docs.inecelectionresults.net/elections_prod/1292/state/01/lga/09/ward/05/pu/020/020-1677399470.pdf" TargetMode="External"/><Relationship Id="rId2737" Type="http://schemas.openxmlformats.org/officeDocument/2006/relationships/hyperlink" Target="https://docs.inecelectionresults.net/elections_prod/1292/state/01/lga/02/ward/14/pu/033/033-1677387343.pdf" TargetMode="External"/><Relationship Id="rId1407" Type="http://schemas.openxmlformats.org/officeDocument/2006/relationships/hyperlink" Target="https://docs.inecelectionresults.net/elections_prod/1292/state/01/lga/09/ward/05/pu/021/021-1677400255.pdf" TargetMode="External"/><Relationship Id="rId2738" Type="http://schemas.openxmlformats.org/officeDocument/2006/relationships/hyperlink" Target="https://docs.inecelectionresults.net/elections_prod/1292/state/01/lga/02/ward/14/pu/034/034-1677387678.pdf" TargetMode="External"/><Relationship Id="rId1408" Type="http://schemas.openxmlformats.org/officeDocument/2006/relationships/hyperlink" Target="https://docs.inecelectionresults.net/elections_prod/1292/state/01/lga/09/ward/05/pu/022/022-1677390293.pdf" TargetMode="External"/><Relationship Id="rId2739" Type="http://schemas.openxmlformats.org/officeDocument/2006/relationships/hyperlink" Target="https://docs.inecelectionresults.net/elections_prod/1292/state/01/lga/02/ward/14/pu/035/035-1677391479.pdf" TargetMode="External"/><Relationship Id="rId1409" Type="http://schemas.openxmlformats.org/officeDocument/2006/relationships/hyperlink" Target="https://docs.inecelectionresults.net/elections_prod/1292/state/01/lga/09/ward/05/pu/023/023-1677396630.pdf" TargetMode="External"/><Relationship Id="rId2730" Type="http://schemas.openxmlformats.org/officeDocument/2006/relationships/hyperlink" Target="https://docs.inecelectionresults.net/elections_prod/1292/state/01/lga/02/ward/14/pu/026/026-1677400378.pdf" TargetMode="External"/><Relationship Id="rId1433" Type="http://schemas.openxmlformats.org/officeDocument/2006/relationships/hyperlink" Target="https://inec-cvr-cache.s3.eu-west-1.amazonaws.com/cached/results/91472/result_78861_1677539166_thumb.jpg" TargetMode="External"/><Relationship Id="rId2764" Type="http://schemas.openxmlformats.org/officeDocument/2006/relationships/hyperlink" Target="https://docs.inecelectionresults.net/elections_prod/1292/state/1/lga/3667/ward/23972/pu/164911/164911-1677493473.pdf" TargetMode="External"/><Relationship Id="rId1434" Type="http://schemas.openxmlformats.org/officeDocument/2006/relationships/hyperlink" Target="https://inec-cvr-cache.s3.eu-west-1.amazonaws.com/cached/results/91474/result_78863_1677540927_thumb.jpg" TargetMode="External"/><Relationship Id="rId2765" Type="http://schemas.openxmlformats.org/officeDocument/2006/relationships/hyperlink" Target="https://docs.inecelectionresults.net/elections_prod/1292/state/1/lga/3667/ward/23972/pu/164913/164913-1677490639.pdf" TargetMode="External"/><Relationship Id="rId1435" Type="http://schemas.openxmlformats.org/officeDocument/2006/relationships/hyperlink" Target="https://inec-cvr-cache.s3.eu-west-1.amazonaws.com/cached/results/91475/result_78864_1677538351_thumb.jpg" TargetMode="External"/><Relationship Id="rId2766" Type="http://schemas.openxmlformats.org/officeDocument/2006/relationships/hyperlink" Target="https://docs.inecelectionresults.net/elections_prod/1292/state/1/lga/3667/ward/23972/pu/164915/164915-1677496833.pdf" TargetMode="External"/><Relationship Id="rId1436" Type="http://schemas.openxmlformats.org/officeDocument/2006/relationships/hyperlink" Target="https://docs.inecelectionresults.net/elections_prod/1292/state/01/lga/09/ward/07/pu/001/001-1677405111.pdf" TargetMode="External"/><Relationship Id="rId2767" Type="http://schemas.openxmlformats.org/officeDocument/2006/relationships/hyperlink" Target="https://docs.inecelectionresults.net/elections_prod/1292/state/01/lga/02/ward/07/pu/044/044-1677388135.pdf" TargetMode="External"/><Relationship Id="rId1437" Type="http://schemas.openxmlformats.org/officeDocument/2006/relationships/hyperlink" Target="https://docs.inecelectionresults.net/elections_prod/1292/state/01/lga/09/ward/07/pu/002/002-1677406107.pdf" TargetMode="External"/><Relationship Id="rId2768" Type="http://schemas.openxmlformats.org/officeDocument/2006/relationships/hyperlink" Target="https://docs.inecelectionresults.net/elections_prod/1292/state/1/lga/3667/ward/23972/pu/164917/164917-1677503264.pdf" TargetMode="External"/><Relationship Id="rId1438" Type="http://schemas.openxmlformats.org/officeDocument/2006/relationships/hyperlink" Target="https://inec-cvr-cache.s3.eu-west-1.amazonaws.com/cached/results/91479/result_78875_1677507793_thumb.jpg" TargetMode="External"/><Relationship Id="rId2769" Type="http://schemas.openxmlformats.org/officeDocument/2006/relationships/hyperlink" Target="https://docs.inecelectionresults.net/elections_prod/1292/state/01/lga/02/ward/05/pu/018/018-1677424100.pdf" TargetMode="External"/><Relationship Id="rId1439" Type="http://schemas.openxmlformats.org/officeDocument/2006/relationships/hyperlink" Target="https://docs.inecelectionresults.net/elections_prod/1292/state/01/lga/09/ward/07/pu/004/004-1677402310.pdf" TargetMode="External"/><Relationship Id="rId609" Type="http://schemas.openxmlformats.org/officeDocument/2006/relationships/hyperlink" Target="https://docs.inecelectionresults.net/elections_prod/1292/state/01/lga/03/ward/13/pu/009/009-1677420601.pdf" TargetMode="External"/><Relationship Id="rId608" Type="http://schemas.openxmlformats.org/officeDocument/2006/relationships/hyperlink" Target="https://docs.inecelectionresults.net/elections_prod/1292/state/01/lga/03/ward/13/pu/008/008-1677392861.pdf" TargetMode="External"/><Relationship Id="rId607" Type="http://schemas.openxmlformats.org/officeDocument/2006/relationships/hyperlink" Target="https://docs.inecelectionresults.net/elections_prod/1292/state/01/lga/03/ward/13/pu/007/007-1677419593.pdf" TargetMode="External"/><Relationship Id="rId602" Type="http://schemas.openxmlformats.org/officeDocument/2006/relationships/hyperlink" Target="https://docs.inecelectionresults.net/elections_prod/1292/state/1/lga/3668/ward/23993/pu/91540/91540-1677474472.pdf" TargetMode="External"/><Relationship Id="rId601" Type="http://schemas.openxmlformats.org/officeDocument/2006/relationships/hyperlink" Target="https://docs.inecelectionresults.net/elections_prod/1292/state/01/lga/03/ward/13/pu/001/001-1677425299.pdf" TargetMode="External"/><Relationship Id="rId600" Type="http://schemas.openxmlformats.org/officeDocument/2006/relationships/hyperlink" Target="https://docs.inecelectionresults.net/elections_prod/1292/state/01/lga/03/ward/12/pu/016/016-1677365755.pdf" TargetMode="External"/><Relationship Id="rId606" Type="http://schemas.openxmlformats.org/officeDocument/2006/relationships/hyperlink" Target="https://docs.inecelectionresults.net/elections_prod/1292/state/1/lga/3668/ward/23993/pu/91544/91544-1677473096.pdf" TargetMode="External"/><Relationship Id="rId605" Type="http://schemas.openxmlformats.org/officeDocument/2006/relationships/hyperlink" Target="https://docs.inecelectionresults.net/elections_prod/1292/state/01/lga/03/ward/13/pu/005/005-1677417641.pdf" TargetMode="External"/><Relationship Id="rId604" Type="http://schemas.openxmlformats.org/officeDocument/2006/relationships/hyperlink" Target="https://docs.inecelectionresults.net/elections_prod/1292/state/01/lga/03/ward/13/pu/004/004-1677422098.pdf" TargetMode="External"/><Relationship Id="rId603" Type="http://schemas.openxmlformats.org/officeDocument/2006/relationships/hyperlink" Target="https://docs.inecelectionresults.net/elections_prod/1292/state/01/lga/03/ward/13/pu/003/003-1677422861.pdf" TargetMode="External"/><Relationship Id="rId2760" Type="http://schemas.openxmlformats.org/officeDocument/2006/relationships/hyperlink" Target="https://docs.inecelectionresults.net/elections_prod/1292/state/1/lga/3667/ward/23972/pu/164904/164904-1677502795.pdf" TargetMode="External"/><Relationship Id="rId1430" Type="http://schemas.openxmlformats.org/officeDocument/2006/relationships/hyperlink" Target="https://inec-cvr-cache.s3.eu-west-1.amazonaws.com/cached/results/91468/result_78857_1677540280_thumb.jpg" TargetMode="External"/><Relationship Id="rId2761" Type="http://schemas.openxmlformats.org/officeDocument/2006/relationships/hyperlink" Target="https://docs.inecelectionresults.net/elections_prod/1292/state/1/lga/3667/ward/23972/pu/164905/164905-1677495189.pdf" TargetMode="External"/><Relationship Id="rId1431" Type="http://schemas.openxmlformats.org/officeDocument/2006/relationships/hyperlink" Target="https://docs.inecelectionresults.net/elections_prod/1292/state/01/lga/09/ward/06/pu/026/026-1677395511.pdf" TargetMode="External"/><Relationship Id="rId2762" Type="http://schemas.openxmlformats.org/officeDocument/2006/relationships/hyperlink" Target="https://docs.inecelectionresults.net/elections_prod/1292/state/1/lga/3667/ward/23972/pu/164907/164907-1677492519.pdf" TargetMode="External"/><Relationship Id="rId1432" Type="http://schemas.openxmlformats.org/officeDocument/2006/relationships/hyperlink" Target="https://inec-cvr-cache.s3.eu-west-1.amazonaws.com/cached/results/91471/result_78860_1677539716_thumb.jpg" TargetMode="External"/><Relationship Id="rId2763" Type="http://schemas.openxmlformats.org/officeDocument/2006/relationships/hyperlink" Target="https://docs.inecelectionresults.net/elections_prod/1292/state/1/lga/3667/ward/23972/pu/164909/164909-1677496380.pdf" TargetMode="External"/><Relationship Id="rId1422" Type="http://schemas.openxmlformats.org/officeDocument/2006/relationships/hyperlink" Target="https://docs.inecelectionresults.net/elections_prod/1292/state/01/lga/09/ward/06/pu/016/016-1677397817.pdf" TargetMode="External"/><Relationship Id="rId2753" Type="http://schemas.openxmlformats.org/officeDocument/2006/relationships/hyperlink" Target="https://docs.inecelectionresults.net/elections_prod/1292/state/01/lga/02/ward/15/pu/030/030-1677423004.pdf" TargetMode="External"/><Relationship Id="rId1423" Type="http://schemas.openxmlformats.org/officeDocument/2006/relationships/hyperlink" Target="https://inec-cvr-cache.s3.eu-west-1.amazonaws.com/cached/results/91461/result_78850_1677539388_thumb.jpg" TargetMode="External"/><Relationship Id="rId2754" Type="http://schemas.openxmlformats.org/officeDocument/2006/relationships/hyperlink" Target="https://docs.inecelectionresults.net/elections_prod/1292/state/01/lga/02/ward/15/pu/031/031-1677423738.pdf" TargetMode="External"/><Relationship Id="rId1424" Type="http://schemas.openxmlformats.org/officeDocument/2006/relationships/hyperlink" Target="https://inec-cvr-cache.s3.eu-west-1.amazonaws.com/cached/results/91462/result_78851_1677538604_thumb.jpg" TargetMode="External"/><Relationship Id="rId2755" Type="http://schemas.openxmlformats.org/officeDocument/2006/relationships/hyperlink" Target="https://docs.inecelectionresults.net/elections_prod/1292/state/01/lga/02/ward/13/pu/024/024-1677398167.pdf" TargetMode="External"/><Relationship Id="rId1425" Type="http://schemas.openxmlformats.org/officeDocument/2006/relationships/hyperlink" Target="https://docs.inecelectionresults.net/elections_prod/1292/state/01/lga/09/ward/06/pu/019/019-1677394690.pdf" TargetMode="External"/><Relationship Id="rId2756" Type="http://schemas.openxmlformats.org/officeDocument/2006/relationships/hyperlink" Target="https://docs.inecelectionresults.net/elections_prod/1292/state/01/lga/02/ward/13/pu/026/026-1677392758.pdf" TargetMode="External"/><Relationship Id="rId1426" Type="http://schemas.openxmlformats.org/officeDocument/2006/relationships/hyperlink" Target="https://docs.inecelectionresults.net/elections_prod/1292/state/01/lga/09/ward/06/pu/020/020-1677399402.pdf" TargetMode="External"/><Relationship Id="rId2757" Type="http://schemas.openxmlformats.org/officeDocument/2006/relationships/hyperlink" Target="https://docs.inecelectionresults.net/elections_prod/1292/state/01/lga/02/ward/13/pu/027/027-1677396525.pdf" TargetMode="External"/><Relationship Id="rId1427" Type="http://schemas.openxmlformats.org/officeDocument/2006/relationships/hyperlink" Target="https://docs.inecelectionresults.net/elections_prod/1292/state/01/lga/09/ward/06/pu/021/021-1677389223.pdf" TargetMode="External"/><Relationship Id="rId2758" Type="http://schemas.openxmlformats.org/officeDocument/2006/relationships/hyperlink" Target="https://docs.inecelectionresults.net/elections_prod/1292/state/1/lga/3667/ward/23972/pu/164901/164901-1677507125.pdf" TargetMode="External"/><Relationship Id="rId1428" Type="http://schemas.openxmlformats.org/officeDocument/2006/relationships/hyperlink" Target="https://inec-cvr-cache.s3.eu-west-1.amazonaws.com/cached/results/91466/result_78855_1677539590_thumb.jpg" TargetMode="External"/><Relationship Id="rId2759" Type="http://schemas.openxmlformats.org/officeDocument/2006/relationships/hyperlink" Target="https://docs.inecelectionresults.net/elections_prod/1292/state/1/lga/3667/ward/23972/pu/164903/164903-1677501443.pdf" TargetMode="External"/><Relationship Id="rId1429" Type="http://schemas.openxmlformats.org/officeDocument/2006/relationships/hyperlink" Target="https://inec-cvr-cache.s3.eu-west-1.amazonaws.com/cached/results/91467/result_78856_1677538926_thumb.jpg" TargetMode="External"/><Relationship Id="rId2750" Type="http://schemas.openxmlformats.org/officeDocument/2006/relationships/hyperlink" Target="https://docs.inecelectionresults.net/elections_prod/1292/state/01/lga/02/ward/15/pu/027/027-1677421240.pdf" TargetMode="External"/><Relationship Id="rId1420" Type="http://schemas.openxmlformats.org/officeDocument/2006/relationships/hyperlink" Target="https://inec-cvr-cache.s3.eu-west-1.amazonaws.com/cached/results/91458/result_78847_1677540171_thumb.jpg" TargetMode="External"/><Relationship Id="rId2751" Type="http://schemas.openxmlformats.org/officeDocument/2006/relationships/hyperlink" Target="https://docs.inecelectionresults.net/elections_prod/1292/state/01/lga/02/ward/15/pu/028/028-1677421571.pdf" TargetMode="External"/><Relationship Id="rId1421" Type="http://schemas.openxmlformats.org/officeDocument/2006/relationships/hyperlink" Target="https://docs.inecelectionresults.net/elections_prod/1292/state/01/lga/09/ward/06/pu/015/015-1677397116.pdf" TargetMode="External"/><Relationship Id="rId2752" Type="http://schemas.openxmlformats.org/officeDocument/2006/relationships/hyperlink" Target="https://docs.inecelectionresults.net/elections_prod/1292/state/01/lga/02/ward/15/pu/029/029-1677422307.pdf" TargetMode="External"/><Relationship Id="rId3238" Type="http://schemas.openxmlformats.org/officeDocument/2006/relationships/hyperlink" Target="https://docs.inecelectionresults.net/elections_prod/1292/state/01/lga/06/ward/05/pu/014/014-1677390648.pdf" TargetMode="External"/><Relationship Id="rId3237" Type="http://schemas.openxmlformats.org/officeDocument/2006/relationships/hyperlink" Target="https://docs.inecelectionresults.net/elections_prod/1292/state/01/lga/06/ward/05/pu/013/013-1677393267.pdf" TargetMode="External"/><Relationship Id="rId3239" Type="http://schemas.openxmlformats.org/officeDocument/2006/relationships/hyperlink" Target="https://docs.inecelectionresults.net/elections_prod/1292/state/01/lga/06/ward/05/pu/015/015-1677389405.pdf" TargetMode="External"/><Relationship Id="rId3230" Type="http://schemas.openxmlformats.org/officeDocument/2006/relationships/hyperlink" Target="https://docs.inecelectionresults.net/elections_prod/1292/state/01/lga/06/ward/03/pu/012/012-1677395004.pdf" TargetMode="External"/><Relationship Id="rId3232" Type="http://schemas.openxmlformats.org/officeDocument/2006/relationships/hyperlink" Target="https://docs.inecelectionresults.net/elections_prod/1292/state/01/lga/06/ward/03/pu/014/014-1677395989.pdf" TargetMode="External"/><Relationship Id="rId3231" Type="http://schemas.openxmlformats.org/officeDocument/2006/relationships/hyperlink" Target="https://docs.inecelectionresults.net/elections_prod/1292/state/01/lga/06/ward/03/pu/013/013-1677393034.pdf" TargetMode="External"/><Relationship Id="rId3234" Type="http://schemas.openxmlformats.org/officeDocument/2006/relationships/hyperlink" Target="https://docs.inecelectionresults.net/elections_prod/1292/state/01/lga/06/ward/03/pu/016/016-1677397585.pdf" TargetMode="External"/><Relationship Id="rId3233" Type="http://schemas.openxmlformats.org/officeDocument/2006/relationships/hyperlink" Target="https://docs.inecelectionresults.net/elections_prod/1292/state/01/lga/06/ward/03/pu/015/015-1677398200.pdf" TargetMode="External"/><Relationship Id="rId3236" Type="http://schemas.openxmlformats.org/officeDocument/2006/relationships/hyperlink" Target="https://docs.inecelectionresults.net/elections_prod/1292/state/01/lga/06/ward/02/pu/012/012-1677392175.pdf" TargetMode="External"/><Relationship Id="rId3235" Type="http://schemas.openxmlformats.org/officeDocument/2006/relationships/hyperlink" Target="https://docs.inecelectionresults.net/elections_prod/1292/state/01/lga/06/ward/03/pu/017/017-1677394399.pdf" TargetMode="External"/><Relationship Id="rId3227" Type="http://schemas.openxmlformats.org/officeDocument/2006/relationships/hyperlink" Target="https://docs.inecelectionresults.net/elections_prod/1292/state/01/lga/06/ward/01/pu/021/021-1677392539.pdf" TargetMode="External"/><Relationship Id="rId3226" Type="http://schemas.openxmlformats.org/officeDocument/2006/relationships/hyperlink" Target="https://docs.inecelectionresults.net/elections_prod/1292/state/01/lga/06/ward/01/pu/020/020-1677398989.pdf" TargetMode="External"/><Relationship Id="rId3229" Type="http://schemas.openxmlformats.org/officeDocument/2006/relationships/hyperlink" Target="https://docs.inecelectionresults.net/elections_prod/1292/state/01/lga/06/ward/03/pu/010/010-1677396171.pdf" TargetMode="External"/><Relationship Id="rId3228" Type="http://schemas.openxmlformats.org/officeDocument/2006/relationships/hyperlink" Target="https://docs.inecelectionresults.net/elections_prod/1292/state/01/lga/06/ward/01/pu/022/022-1677398213.pdf" TargetMode="External"/><Relationship Id="rId699" Type="http://schemas.openxmlformats.org/officeDocument/2006/relationships/hyperlink" Target="https://docs.inecelectionresults.net/elections_prod/1292/state/1/lga/3669/ward/24000/pu/91657/91657-1677504601.pdf" TargetMode="External"/><Relationship Id="rId698" Type="http://schemas.openxmlformats.org/officeDocument/2006/relationships/hyperlink" Target="https://docs.inecelectionresults.net/elections_prod/1292/state/01/lga/04/ward/04/pu/006/006-1677395428.pdf" TargetMode="External"/><Relationship Id="rId693" Type="http://schemas.openxmlformats.org/officeDocument/2006/relationships/hyperlink" Target="https://docs.inecelectionresults.net/elections_prod/1292/state/01/lga/04/ward/04/pu/001/001-1677391706.pdf" TargetMode="External"/><Relationship Id="rId692" Type="http://schemas.openxmlformats.org/officeDocument/2006/relationships/hyperlink" Target="https://docs.inecelectionresults.net/elections_prod/1292/state/01/lga/04/ward/03/pu/014/014-1677370952.pdf" TargetMode="External"/><Relationship Id="rId691" Type="http://schemas.openxmlformats.org/officeDocument/2006/relationships/hyperlink" Target="https://docs.inecelectionresults.net/elections_prod/1292/state/01/lga/04/ward/03/pu/013/013-1677375745.pdf" TargetMode="External"/><Relationship Id="rId3221" Type="http://schemas.openxmlformats.org/officeDocument/2006/relationships/hyperlink" Target="https://docs.inecelectionresults.net/elections_prod/1292/state/01/lga/05/ward/08/pu/021/021-1677378288.pdf" TargetMode="External"/><Relationship Id="rId690" Type="http://schemas.openxmlformats.org/officeDocument/2006/relationships/hyperlink" Target="https://docs.inecelectionresults.net/elections_prod/1292/state/01/lga/04/ward/03/pu/012/012-1677390020.pdf" TargetMode="External"/><Relationship Id="rId3220" Type="http://schemas.openxmlformats.org/officeDocument/2006/relationships/hyperlink" Target="https://docs.inecelectionresults.net/elections_prod/1292/state/01/lga/05/ward/08/pu/020/020-1677379556.pdf" TargetMode="External"/><Relationship Id="rId697" Type="http://schemas.openxmlformats.org/officeDocument/2006/relationships/hyperlink" Target="https://docs.inecelectionresults.net/elections_prod/1292/state/01/lga/04/ward/04/pu/005/005-1677396227.pdf" TargetMode="External"/><Relationship Id="rId3223" Type="http://schemas.openxmlformats.org/officeDocument/2006/relationships/hyperlink" Target="https://docs.inecelectionresults.net/elections_prod/1292/state/01/lga/05/ward/08/pu/023/023-1677375309.pdf" TargetMode="External"/><Relationship Id="rId696" Type="http://schemas.openxmlformats.org/officeDocument/2006/relationships/hyperlink" Target="https://docs.inecelectionresults.net/elections_prod/1292/state/01/lga/04/ward/04/pu/004/004-1677396875.pdf" TargetMode="External"/><Relationship Id="rId3222" Type="http://schemas.openxmlformats.org/officeDocument/2006/relationships/hyperlink" Target="https://docs.inecelectionresults.net/elections_prod/1292/state/01/lga/05/ward/08/pu/022/022-1677379714.pdf" TargetMode="External"/><Relationship Id="rId695" Type="http://schemas.openxmlformats.org/officeDocument/2006/relationships/hyperlink" Target="https://docs.inecelectionresults.net/elections_prod/1292/state/01/lga/04/ward/04/pu/003/003-1677396119.pdf" TargetMode="External"/><Relationship Id="rId3225" Type="http://schemas.openxmlformats.org/officeDocument/2006/relationships/hyperlink" Target="https://docs.inecelectionresults.net/elections_prod/1292/state/01/lga/05/ward/08/pu/025/025-1677371695.pdf" TargetMode="External"/><Relationship Id="rId694" Type="http://schemas.openxmlformats.org/officeDocument/2006/relationships/hyperlink" Target="https://docs.inecelectionresults.net/elections_prod/1292/state/01/lga/04/ward/04/pu/002/002-1677397048.pdf" TargetMode="External"/><Relationship Id="rId3224" Type="http://schemas.openxmlformats.org/officeDocument/2006/relationships/hyperlink" Target="https://docs.inecelectionresults.net/elections_prod/1292/state/01/lga/05/ward/08/pu/024/024-1677380256.pdf" TargetMode="External"/><Relationship Id="rId3259" Type="http://schemas.openxmlformats.org/officeDocument/2006/relationships/hyperlink" Target="https://docs.inecelectionresults.net/elections_prod/1292/state/01/lga/06/ward/04/pu/046/046-1677399772.pdf" TargetMode="External"/><Relationship Id="rId3250" Type="http://schemas.openxmlformats.org/officeDocument/2006/relationships/hyperlink" Target="https://docs.inecelectionresults.net/elections_prod/1292/state/01/lga/06/ward/04/pu/037/037-1677398612.pdf" TargetMode="External"/><Relationship Id="rId3252" Type="http://schemas.openxmlformats.org/officeDocument/2006/relationships/hyperlink" Target="https://docs.inecelectionresults.net/elections_prod/1292/state/01/lga/06/ward/04/pu/039/039-1677404483.pdf" TargetMode="External"/><Relationship Id="rId3251" Type="http://schemas.openxmlformats.org/officeDocument/2006/relationships/hyperlink" Target="https://docs.inecelectionresults.net/elections_prod/1292/state/01/lga/06/ward/04/pu/038/038-1677394898.pdf" TargetMode="External"/><Relationship Id="rId3254" Type="http://schemas.openxmlformats.org/officeDocument/2006/relationships/hyperlink" Target="https://docs.inecelectionresults.net/elections_prod/1292/state/01/lga/06/ward/04/pu/041/041-1677403388.pdf" TargetMode="External"/><Relationship Id="rId3253" Type="http://schemas.openxmlformats.org/officeDocument/2006/relationships/hyperlink" Target="https://docs.inecelectionresults.net/elections_prod/1292/state/01/lga/06/ward/04/pu/040/040-1677393121.pdf" TargetMode="External"/><Relationship Id="rId3256" Type="http://schemas.openxmlformats.org/officeDocument/2006/relationships/hyperlink" Target="https://docs.inecelectionresults.net/elections_prod/1292/state/01/lga/06/ward/04/pu/043/043-1677399638.pdf" TargetMode="External"/><Relationship Id="rId3255" Type="http://schemas.openxmlformats.org/officeDocument/2006/relationships/hyperlink" Target="https://docs.inecelectionresults.net/elections_prod/1292/state/01/lga/06/ward/04/pu/042/042-1677399012.pdf" TargetMode="External"/><Relationship Id="rId3258" Type="http://schemas.openxmlformats.org/officeDocument/2006/relationships/hyperlink" Target="https://docs.inecelectionresults.net/elections_prod/1292/state/01/lga/06/ward/04/pu/045/045-1677394127.pdf" TargetMode="External"/><Relationship Id="rId3257" Type="http://schemas.openxmlformats.org/officeDocument/2006/relationships/hyperlink" Target="https://docs.inecelectionresults.net/elections_prod/1292/state/01/lga/06/ward/04/pu/044/044-1677398117.pdf" TargetMode="External"/><Relationship Id="rId3249" Type="http://schemas.openxmlformats.org/officeDocument/2006/relationships/hyperlink" Target="https://docs.inecelectionresults.net/elections_prod/1292/state/01/lga/06/ward/04/pu/036/036-1677402172.pdf" TargetMode="External"/><Relationship Id="rId3248" Type="http://schemas.openxmlformats.org/officeDocument/2006/relationships/hyperlink" Target="https://docs.inecelectionresults.net/elections_prod/1292/state/01/lga/06/ward/04/pu/035/035-1677396434.pdf" TargetMode="External"/><Relationship Id="rId3241" Type="http://schemas.openxmlformats.org/officeDocument/2006/relationships/hyperlink" Target="https://docs.inecelectionresults.net/elections_prod/1292/state/01/lga/06/ward/04/pu/028/028-1677403897.pdf" TargetMode="External"/><Relationship Id="rId3240" Type="http://schemas.openxmlformats.org/officeDocument/2006/relationships/hyperlink" Target="https://docs.inecelectionresults.net/elections_prod/1292/state/01/lga/06/ward/04/pu/027/027-1677397461.pdf" TargetMode="External"/><Relationship Id="rId3243" Type="http://schemas.openxmlformats.org/officeDocument/2006/relationships/hyperlink" Target="https://docs.inecelectionresults.net/elections_prod/1292/state/01/lga/06/ward/04/pu/030/030-1677400151.pdf" TargetMode="External"/><Relationship Id="rId3242" Type="http://schemas.openxmlformats.org/officeDocument/2006/relationships/hyperlink" Target="https://docs.inecelectionresults.net/elections_prod/1292/state/01/lga/06/ward/04/pu/029/029-1677404438.pdf" TargetMode="External"/><Relationship Id="rId3245" Type="http://schemas.openxmlformats.org/officeDocument/2006/relationships/hyperlink" Target="https://docs.inecelectionresults.net/elections_prod/1292/state/01/lga/06/ward/04/pu/032/032-1677400625.pdf" TargetMode="External"/><Relationship Id="rId3244" Type="http://schemas.openxmlformats.org/officeDocument/2006/relationships/hyperlink" Target="https://docs.inecelectionresults.net/elections_prod/1292/state/01/lga/06/ward/04/pu/031/031-1677396252.pdf" TargetMode="External"/><Relationship Id="rId3247" Type="http://schemas.openxmlformats.org/officeDocument/2006/relationships/hyperlink" Target="https://docs.inecelectionresults.net/elections_prod/1292/state/01/lga/06/ward/04/pu/034/034-1677402425.pdf" TargetMode="External"/><Relationship Id="rId3246" Type="http://schemas.openxmlformats.org/officeDocument/2006/relationships/hyperlink" Target="https://docs.inecelectionresults.net/elections_prod/1292/state/01/lga/06/ward/04/pu/033/033-1677402821.pdf" TargetMode="External"/><Relationship Id="rId1499" Type="http://schemas.openxmlformats.org/officeDocument/2006/relationships/hyperlink" Target="https://docs.inecelectionresults.net/elections_prod/1292/state/01/lga/09/ward/11/pu/015/015-1677423147.pdf" TargetMode="External"/><Relationship Id="rId668" Type="http://schemas.openxmlformats.org/officeDocument/2006/relationships/hyperlink" Target="https://docs.inecelectionresults.net/elections_prod/1292/state/01/lga/04/ward/02/pu/004/004-1677375964.pdf" TargetMode="External"/><Relationship Id="rId667" Type="http://schemas.openxmlformats.org/officeDocument/2006/relationships/hyperlink" Target="https://docs.inecelectionresults.net/elections_prod/1292/state/01/lga/04/ward/02/pu/002/002-1677375199.pdf" TargetMode="External"/><Relationship Id="rId666" Type="http://schemas.openxmlformats.org/officeDocument/2006/relationships/hyperlink" Target="https://docs.inecelectionresults.net/elections_prod/1292/state/01/lga/04/ward/02/pu/001/001-1677373483.pdf" TargetMode="External"/><Relationship Id="rId665" Type="http://schemas.openxmlformats.org/officeDocument/2006/relationships/hyperlink" Target="https://docs.inecelectionresults.net/elections_prod/1292/state/01/lga/04/ward/01/pu/026/026-1677373571.pdf" TargetMode="External"/><Relationship Id="rId669" Type="http://schemas.openxmlformats.org/officeDocument/2006/relationships/hyperlink" Target="https://docs.inecelectionresults.net/elections_prod/1292/state/01/lga/04/ward/02/pu/006/006-1677376591.pdf" TargetMode="External"/><Relationship Id="rId1490" Type="http://schemas.openxmlformats.org/officeDocument/2006/relationships/hyperlink" Target="https://docs.inecelectionresults.net/elections_prod/1292/state/01/lga/09/ward/10/pu/014/014-1677406262.pdf" TargetMode="External"/><Relationship Id="rId660" Type="http://schemas.openxmlformats.org/officeDocument/2006/relationships/hyperlink" Target="https://docs.inecelectionresults.net/elections_prod/1292/state/01/lga/04/ward/01/pu/021/021-1677370125.pdf" TargetMode="External"/><Relationship Id="rId1491" Type="http://schemas.openxmlformats.org/officeDocument/2006/relationships/hyperlink" Target="https://docs.inecelectionresults.net/elections_prod/1292/state/01/lga/09/ward/10/pu/017/017-1677403415.pdf" TargetMode="External"/><Relationship Id="rId1492" Type="http://schemas.openxmlformats.org/officeDocument/2006/relationships/hyperlink" Target="https://docs.inecelectionresults.net/elections_prod/1292/state/01/lga/09/ward/11/pu/001/001-1677408720.pdf" TargetMode="External"/><Relationship Id="rId1493" Type="http://schemas.openxmlformats.org/officeDocument/2006/relationships/hyperlink" Target="https://docs.inecelectionresults.net/elections_prod/1292/state/01/lga/09/ward/11/pu/002/002-1677407833.pdf" TargetMode="External"/><Relationship Id="rId1494" Type="http://schemas.openxmlformats.org/officeDocument/2006/relationships/hyperlink" Target="https://docs.inecelectionresults.net/elections_prod/1292/state/01/lga/09/ward/11/pu/004/004-1677413496.pdf" TargetMode="External"/><Relationship Id="rId664" Type="http://schemas.openxmlformats.org/officeDocument/2006/relationships/hyperlink" Target="https://docs.inecelectionresults.net/elections_prod/1292/state/01/lga/04/ward/01/pu/025/025-1677370870.pdf" TargetMode="External"/><Relationship Id="rId1495" Type="http://schemas.openxmlformats.org/officeDocument/2006/relationships/hyperlink" Target="https://docs.inecelectionresults.net/elections_prod/1292/state/01/lga/09/ward/11/pu/008/008-1677416679.pdf" TargetMode="External"/><Relationship Id="rId663" Type="http://schemas.openxmlformats.org/officeDocument/2006/relationships/hyperlink" Target="https://docs.inecelectionresults.net/elections_prod/1292/state/1/lga/3669/ward/23997/pu/91614/91614-1677506123.pdf" TargetMode="External"/><Relationship Id="rId1496" Type="http://schemas.openxmlformats.org/officeDocument/2006/relationships/hyperlink" Target="https://docs.inecelectionresults.net/elections_prod/1292/state/01/lga/09/ward/11/pu/009/009-1677425801.pdf" TargetMode="External"/><Relationship Id="rId662" Type="http://schemas.openxmlformats.org/officeDocument/2006/relationships/hyperlink" Target="https://docs.inecelectionresults.net/elections_prod/1292/state/01/lga/04/ward/01/pu/023/023-1677373260.pdf" TargetMode="External"/><Relationship Id="rId1497" Type="http://schemas.openxmlformats.org/officeDocument/2006/relationships/hyperlink" Target="https://docs.inecelectionresults.net/elections_prod/1292/state/01/lga/09/ward/11/pu/011/011-1677420663.pdf" TargetMode="External"/><Relationship Id="rId661" Type="http://schemas.openxmlformats.org/officeDocument/2006/relationships/hyperlink" Target="https://docs.inecelectionresults.net/elections_prod/1292/state/1/lga/3669/ward/23997/pu/91612/91612-1677498164.pdf" TargetMode="External"/><Relationship Id="rId1498" Type="http://schemas.openxmlformats.org/officeDocument/2006/relationships/hyperlink" Target="https://docs.inecelectionresults.net/elections_prod/1292/state/01/lga/09/ward/11/pu/014/014-1677421730.pdf" TargetMode="External"/><Relationship Id="rId1488" Type="http://schemas.openxmlformats.org/officeDocument/2006/relationships/hyperlink" Target="https://docs.inecelectionresults.net/elections_prod/1292/state/01/lga/09/ward/10/pu/011/011-1677406578.pdf" TargetMode="External"/><Relationship Id="rId1489" Type="http://schemas.openxmlformats.org/officeDocument/2006/relationships/hyperlink" Target="https://docs.inecelectionresults.net/elections_prod/1292/state/01/lga/09/ward/10/pu/013/013-1677405262.pdf" TargetMode="External"/><Relationship Id="rId657" Type="http://schemas.openxmlformats.org/officeDocument/2006/relationships/hyperlink" Target="https://docs.inecelectionresults.net/elections_prod/1292/state/01/lga/04/ward/01/pu/016/016-1677392124.pdf" TargetMode="External"/><Relationship Id="rId656" Type="http://schemas.openxmlformats.org/officeDocument/2006/relationships/hyperlink" Target="https://docs.inecelectionresults.net/elections_prod/1292/state/1/lga/3669/ward/23997/pu/91605/91605-1677497695.pdf" TargetMode="External"/><Relationship Id="rId655" Type="http://schemas.openxmlformats.org/officeDocument/2006/relationships/hyperlink" Target="https://docs.inecelectionresults.net/elections_prod/1292/state/01/lga/04/ward/01/pu/014/014-1677392730.pdf" TargetMode="External"/><Relationship Id="rId654" Type="http://schemas.openxmlformats.org/officeDocument/2006/relationships/hyperlink" Target="https://docs.inecelectionresults.net/elections_prod/1292/state/1/lga/3669/ward/23997/pu/91602/91602-1677502294.pdf" TargetMode="External"/><Relationship Id="rId659" Type="http://schemas.openxmlformats.org/officeDocument/2006/relationships/hyperlink" Target="https://docs.inecelectionresults.net/elections_prod/1292/state/01/lga/04/ward/01/pu/020/020-1677371789.pdf" TargetMode="External"/><Relationship Id="rId658" Type="http://schemas.openxmlformats.org/officeDocument/2006/relationships/hyperlink" Target="https://docs.inecelectionresults.net/elections_prod/1292/state/1/lga/3669/ward/23997/pu/91609/91609-1677505660.pdf" TargetMode="External"/><Relationship Id="rId1480" Type="http://schemas.openxmlformats.org/officeDocument/2006/relationships/hyperlink" Target="https://docs.inecelectionresults.net/elections_prod/1292/state/01/lga/09/ward/09/pu/018/018-1677361808.pdf" TargetMode="External"/><Relationship Id="rId1481" Type="http://schemas.openxmlformats.org/officeDocument/2006/relationships/hyperlink" Target="https://docs.inecelectionresults.net/elections_prod/1292/state/01/lga/09/ward/10/pu/002/002-1677406536.pdf" TargetMode="External"/><Relationship Id="rId1482" Type="http://schemas.openxmlformats.org/officeDocument/2006/relationships/hyperlink" Target="https://docs.inecelectionresults.net/elections_prod/1292/state/01/lga/09/ward/10/pu/004/004-1677408125.pdf" TargetMode="External"/><Relationship Id="rId1483" Type="http://schemas.openxmlformats.org/officeDocument/2006/relationships/hyperlink" Target="https://docs.inecelectionresults.net/elections_prod/1292/state/01/lga/09/ward/10/pu/005/005-1677405427.pdf" TargetMode="External"/><Relationship Id="rId653" Type="http://schemas.openxmlformats.org/officeDocument/2006/relationships/hyperlink" Target="https://docs.inecelectionresults.net/elections_prod/1292/state/01/lga/04/ward/01/pu/010/010-1677370069.pdf" TargetMode="External"/><Relationship Id="rId1484" Type="http://schemas.openxmlformats.org/officeDocument/2006/relationships/hyperlink" Target="https://docs.inecelectionresults.net/elections_prod/1292/state/01/lga/09/ward/10/pu/006/006-1677404360.pdf" TargetMode="External"/><Relationship Id="rId652" Type="http://schemas.openxmlformats.org/officeDocument/2006/relationships/hyperlink" Target="https://docs.inecelectionresults.net/elections_prod/1292/state/01/lga/04/ward/01/pu/009/009-1677376089.pdf" TargetMode="External"/><Relationship Id="rId1485" Type="http://schemas.openxmlformats.org/officeDocument/2006/relationships/hyperlink" Target="https://docs.inecelectionresults.net/elections_prod/1292/state/01/lga/09/ward/10/pu/007/007-1677403721.pdf" TargetMode="External"/><Relationship Id="rId651" Type="http://schemas.openxmlformats.org/officeDocument/2006/relationships/hyperlink" Target="https://docs.inecelectionresults.net/elections_prod/1292/state/01/lga/04/ward/01/pu/007/007-1677369736.pdf" TargetMode="External"/><Relationship Id="rId1486" Type="http://schemas.openxmlformats.org/officeDocument/2006/relationships/hyperlink" Target="https://docs.inecelectionresults.net/elections_prod/1292/state/01/lga/09/ward/10/pu/009/009-1677404843.pdf" TargetMode="External"/><Relationship Id="rId650" Type="http://schemas.openxmlformats.org/officeDocument/2006/relationships/hyperlink" Target="https://docs.inecelectionresults.net/elections_prod/1292/state/01/lga/04/ward/01/pu/005/005-1677372531.pdf" TargetMode="External"/><Relationship Id="rId1487" Type="http://schemas.openxmlformats.org/officeDocument/2006/relationships/hyperlink" Target="https://docs.inecelectionresults.net/elections_prod/1292/state/01/lga/09/ward/10/pu/010/010-1677403526.pdf" TargetMode="External"/><Relationship Id="rId3216" Type="http://schemas.openxmlformats.org/officeDocument/2006/relationships/hyperlink" Target="https://inec-cvr-cache.s3.eu-west-1.amazonaws.com/cached/results/660796/result_77854_1677534946_thumb.jpg" TargetMode="External"/><Relationship Id="rId3215" Type="http://schemas.openxmlformats.org/officeDocument/2006/relationships/hyperlink" Target="https://docs.inecelectionresults.net/elections_prod/1292/state/01/lga/05/ward/07/pu/031/031-1677401041.pdf" TargetMode="External"/><Relationship Id="rId3218" Type="http://schemas.openxmlformats.org/officeDocument/2006/relationships/hyperlink" Target="https://docs.inecelectionresults.net/elections_prod/1292/state/01/lga/05/ward/08/pu/018/018-1677372684.pdf" TargetMode="External"/><Relationship Id="rId3217" Type="http://schemas.openxmlformats.org/officeDocument/2006/relationships/hyperlink" Target="https://docs.inecelectionresults.net/elections_prod/1292/state/01/lga/05/ward/07/pu/033/033-1677401514.pdf" TargetMode="External"/><Relationship Id="rId3219" Type="http://schemas.openxmlformats.org/officeDocument/2006/relationships/hyperlink" Target="https://docs.inecelectionresults.net/elections_prod/1292/state/01/lga/05/ward/08/pu/019/019-1677379930.pdf" TargetMode="External"/><Relationship Id="rId689" Type="http://schemas.openxmlformats.org/officeDocument/2006/relationships/hyperlink" Target="https://docs.inecelectionresults.net/elections_prod/1292/state/01/lga/04/ward/03/pu/011/011-1677392252.pdf" TargetMode="External"/><Relationship Id="rId688" Type="http://schemas.openxmlformats.org/officeDocument/2006/relationships/hyperlink" Target="https://docs.inecelectionresults.net/elections_prod/1292/state/01/lga/04/ward/03/pu/009/009-1677377405.pdf" TargetMode="External"/><Relationship Id="rId687" Type="http://schemas.openxmlformats.org/officeDocument/2006/relationships/hyperlink" Target="https://docs.inecelectionresults.net/elections_prod/1292/state/01/lga/04/ward/03/pu/007/007-1677395621.pdf" TargetMode="External"/><Relationship Id="rId682" Type="http://schemas.openxmlformats.org/officeDocument/2006/relationships/hyperlink" Target="https://docs.inecelectionresults.net/elections_prod/1292/state/01/lga/04/ward/03/pu/002/002-1677373576.pdf" TargetMode="External"/><Relationship Id="rId681" Type="http://schemas.openxmlformats.org/officeDocument/2006/relationships/hyperlink" Target="https://docs.inecelectionresults.net/elections_prod/1292/state/01/lga/04/ward/03/pu/001/001-1677370311.pdf" TargetMode="External"/><Relationship Id="rId680" Type="http://schemas.openxmlformats.org/officeDocument/2006/relationships/hyperlink" Target="https://docs.inecelectionresults.net/elections_prod/1292/state/01/lga/04/ward/02/pu/019/019-1677381467.pdf" TargetMode="External"/><Relationship Id="rId3210" Type="http://schemas.openxmlformats.org/officeDocument/2006/relationships/hyperlink" Target="https://docs.inecelectionresults.net/elections_prod/1292/state/01/lga/05/ward/07/pu/024/024-1677400368.pdf" TargetMode="External"/><Relationship Id="rId686" Type="http://schemas.openxmlformats.org/officeDocument/2006/relationships/hyperlink" Target="https://docs.inecelectionresults.net/elections_prod/1292/state/01/lga/04/ward/03/pu/006/006-1677399510.pdf" TargetMode="External"/><Relationship Id="rId3212" Type="http://schemas.openxmlformats.org/officeDocument/2006/relationships/hyperlink" Target="https://docs.inecelectionresults.net/elections_prod/1292/state/01/lga/05/ward/07/pu/026/026-1677402233.pdf" TargetMode="External"/><Relationship Id="rId685" Type="http://schemas.openxmlformats.org/officeDocument/2006/relationships/hyperlink" Target="https://docs.inecelectionresults.net/elections_prod/1292/state/01/lga/04/ward/03/pu/005/005-1677371454.pdf" TargetMode="External"/><Relationship Id="rId3211" Type="http://schemas.openxmlformats.org/officeDocument/2006/relationships/hyperlink" Target="https://docs.inecelectionresults.net/elections_prod/1292/state/01/lga/05/ward/07/pu/025/025-1677400947.pdf" TargetMode="External"/><Relationship Id="rId684" Type="http://schemas.openxmlformats.org/officeDocument/2006/relationships/hyperlink" Target="https://docs.inecelectionresults.net/elections_prod/1292/state/01/lga/04/ward/03/pu/004/004-1677374258.pdf" TargetMode="External"/><Relationship Id="rId3214" Type="http://schemas.openxmlformats.org/officeDocument/2006/relationships/hyperlink" Target="https://docs.inecelectionresults.net/elections_prod/1292/state/01/lga/05/ward/07/pu/030/030-1677399998.pdf" TargetMode="External"/><Relationship Id="rId683" Type="http://schemas.openxmlformats.org/officeDocument/2006/relationships/hyperlink" Target="https://docs.inecelectionresults.net/elections_prod/1292/state/01/lga/04/ward/03/pu/003/003-1677372709.pdf" TargetMode="External"/><Relationship Id="rId3213" Type="http://schemas.openxmlformats.org/officeDocument/2006/relationships/hyperlink" Target="https://docs.inecelectionresults.net/elections_prod/1292/state/01/lga/05/ward/07/pu/027/027-1677388571.pdf" TargetMode="External"/><Relationship Id="rId3205" Type="http://schemas.openxmlformats.org/officeDocument/2006/relationships/hyperlink" Target="https://docs.inecelectionresults.net/elections_prod/1292/state/01/lga/05/ward/04/pu/019/019-1677361407.pdf" TargetMode="External"/><Relationship Id="rId3204" Type="http://schemas.openxmlformats.org/officeDocument/2006/relationships/hyperlink" Target="https://docs.inecelectionresults.net/elections_prod/1292/state/01/lga/05/ward/04/pu/018/018-1677361846.pdf" TargetMode="External"/><Relationship Id="rId3207" Type="http://schemas.openxmlformats.org/officeDocument/2006/relationships/hyperlink" Target="https://docs.inecelectionresults.net/elections_prod/1292/state/01/lga/05/ward/06/pu/027/027-1677380278.pdf" TargetMode="External"/><Relationship Id="rId3206" Type="http://schemas.openxmlformats.org/officeDocument/2006/relationships/hyperlink" Target="https://docs.inecelectionresults.net/elections_prod/1292/state/01/lga/05/ward/06/pu/026/026-1677386418.pdf" TargetMode="External"/><Relationship Id="rId3209" Type="http://schemas.openxmlformats.org/officeDocument/2006/relationships/hyperlink" Target="https://docs.inecelectionresults.net/elections_prod/1292/state/01/lga/05/ward/07/pu/023/023-1677385150.pdf" TargetMode="External"/><Relationship Id="rId3208" Type="http://schemas.openxmlformats.org/officeDocument/2006/relationships/hyperlink" Target="https://docs.inecelectionresults.net/elections_prod/1292/state/01/lga/05/ward/07/pu/021/021-1677400533.pdf" TargetMode="External"/><Relationship Id="rId679" Type="http://schemas.openxmlformats.org/officeDocument/2006/relationships/hyperlink" Target="https://docs.inecelectionresults.net/elections_prod/1292/state/01/lga/04/ward/02/pu/018/018-1677382236.pdf" TargetMode="External"/><Relationship Id="rId678" Type="http://schemas.openxmlformats.org/officeDocument/2006/relationships/hyperlink" Target="https://docs.inecelectionresults.net/elections_prod/1292/state/01/lga/04/ward/02/pu/016/016-1677382570.pdf" TargetMode="External"/><Relationship Id="rId677" Type="http://schemas.openxmlformats.org/officeDocument/2006/relationships/hyperlink" Target="https://docs.inecelectionresults.net/elections_prod/1292/state/01/lga/04/ward/02/pu/015/015-1677382541.pdf" TargetMode="External"/><Relationship Id="rId676" Type="http://schemas.openxmlformats.org/officeDocument/2006/relationships/hyperlink" Target="https://docs.inecelectionresults.net/elections_prod/1292/state/01/lga/04/ward/02/pu/014/014-1677381757.pdf" TargetMode="External"/><Relationship Id="rId671" Type="http://schemas.openxmlformats.org/officeDocument/2006/relationships/hyperlink" Target="https://docs.inecelectionresults.net/elections_prod/1292/state/01/lga/04/ward/02/pu/008/008-1677377453.pdf" TargetMode="External"/><Relationship Id="rId670" Type="http://schemas.openxmlformats.org/officeDocument/2006/relationships/hyperlink" Target="https://docs.inecelectionresults.net/elections_prod/1292/state/01/lga/04/ward/02/pu/007/007-1677378606.pdf" TargetMode="External"/><Relationship Id="rId675" Type="http://schemas.openxmlformats.org/officeDocument/2006/relationships/hyperlink" Target="https://docs.inecelectionresults.net/elections_prod/1292/state/01/lga/04/ward/02/pu/013/013-1677381207.pdf" TargetMode="External"/><Relationship Id="rId3201" Type="http://schemas.openxmlformats.org/officeDocument/2006/relationships/hyperlink" Target="https://docs.inecelectionresults.net/elections_prod/1292/state/01/lga/05/ward/09/pu/020/020-1677404447.pdf" TargetMode="External"/><Relationship Id="rId674" Type="http://schemas.openxmlformats.org/officeDocument/2006/relationships/hyperlink" Target="https://docs.inecelectionresults.net/elections_prod/1292/state/01/lga/04/ward/02/pu/012/012-1677379377.pdf" TargetMode="External"/><Relationship Id="rId3200" Type="http://schemas.openxmlformats.org/officeDocument/2006/relationships/hyperlink" Target="https://docs.inecelectionresults.net/elections_prod/1292/state/01/lga/05/ward/09/pu/019/019-1677399770.pdf" TargetMode="External"/><Relationship Id="rId673" Type="http://schemas.openxmlformats.org/officeDocument/2006/relationships/hyperlink" Target="https://docs.inecelectionresults.net/elections_prod/1292/state/01/lga/04/ward/02/pu/011/011-1677379008.pdf" TargetMode="External"/><Relationship Id="rId3203" Type="http://schemas.openxmlformats.org/officeDocument/2006/relationships/hyperlink" Target="https://docs.inecelectionresults.net/elections_prod/1292/state/01/lga/05/ward/04/pu/017/017-1677361248.pdf" TargetMode="External"/><Relationship Id="rId672" Type="http://schemas.openxmlformats.org/officeDocument/2006/relationships/hyperlink" Target="https://docs.inecelectionresults.net/elections_prod/1292/state/01/lga/04/ward/02/pu/009/009-1677376754.pdf" TargetMode="External"/><Relationship Id="rId3202" Type="http://schemas.openxmlformats.org/officeDocument/2006/relationships/hyperlink" Target="https://docs.inecelectionresults.net/elections_prod/1292/state/01/lga/05/ward/09/pu/021/021-1677406154.pdf" TargetMode="External"/><Relationship Id="rId190" Type="http://schemas.openxmlformats.org/officeDocument/2006/relationships/hyperlink" Target="https://docs.inecelectionresults.net/elections_prod/1292/state/01/lga/01/ward/15/pu/013/013-1677428652.pdf" TargetMode="External"/><Relationship Id="rId194" Type="http://schemas.openxmlformats.org/officeDocument/2006/relationships/hyperlink" Target="https://docs.inecelectionresults.net/elections_prod/1292/state/01/lga/01/ward/16/pu/001/001-1677405825.pdf" TargetMode="External"/><Relationship Id="rId193" Type="http://schemas.openxmlformats.org/officeDocument/2006/relationships/hyperlink" Target="https://docs.inecelectionresults.net/elections_prod/1292/state/1/lga/3666/ward/23964/pu/91007/91007-1677489699.pdf" TargetMode="External"/><Relationship Id="rId192" Type="http://schemas.openxmlformats.org/officeDocument/2006/relationships/hyperlink" Target="https://docs.inecelectionresults.net/elections_prod/1292/state/1/lga/3666/ward/23964/pu/91006/91006-1677491655.pdf" TargetMode="External"/><Relationship Id="rId191" Type="http://schemas.openxmlformats.org/officeDocument/2006/relationships/hyperlink" Target="https://docs.inecelectionresults.net/elections_prod/1292/state/01/lga/01/ward/15/pu/014/014-1677428568.pdf" TargetMode="External"/><Relationship Id="rId187" Type="http://schemas.openxmlformats.org/officeDocument/2006/relationships/hyperlink" Target="https://docs.inecelectionresults.net/elections_prod/1292/state/01/lga/01/ward/15/pu/010/010-1677427488.pdf" TargetMode="External"/><Relationship Id="rId186" Type="http://schemas.openxmlformats.org/officeDocument/2006/relationships/hyperlink" Target="https://docs.inecelectionresults.net/elections_prod/1292/state/01/lga/01/ward/15/pu/009/009-1677427456.pdf" TargetMode="External"/><Relationship Id="rId185" Type="http://schemas.openxmlformats.org/officeDocument/2006/relationships/hyperlink" Target="https://docs.inecelectionresults.net/elections_prod/1292/state/01/lga/01/ward/15/pu/008/008-1677426719.pdf" TargetMode="External"/><Relationship Id="rId184" Type="http://schemas.openxmlformats.org/officeDocument/2006/relationships/hyperlink" Target="https://docs.inecelectionresults.net/elections_prod/1292/state/01/lga/01/ward/15/pu/007/007-1677425963.pdf" TargetMode="External"/><Relationship Id="rId189" Type="http://schemas.openxmlformats.org/officeDocument/2006/relationships/hyperlink" Target="https://docs.inecelectionresults.net/elections_prod/1292/state/01/lga/01/ward/15/pu/012/012-1677428017.pdf" TargetMode="External"/><Relationship Id="rId188" Type="http://schemas.openxmlformats.org/officeDocument/2006/relationships/hyperlink" Target="https://docs.inecelectionresults.net/elections_prod/1292/state/01/lga/01/ward/15/pu/011/011-1677428029.pdf" TargetMode="External"/><Relationship Id="rId183" Type="http://schemas.openxmlformats.org/officeDocument/2006/relationships/hyperlink" Target="https://docs.inecelectionresults.net/elections_prod/1292/state/01/lga/01/ward/15/pu/006/006-1677426142.pdf" TargetMode="External"/><Relationship Id="rId182" Type="http://schemas.openxmlformats.org/officeDocument/2006/relationships/hyperlink" Target="https://docs.inecelectionresults.net/elections_prod/1292/state/01/lga/01/ward/15/pu/005/005-1677425394.pdf" TargetMode="External"/><Relationship Id="rId181" Type="http://schemas.openxmlformats.org/officeDocument/2006/relationships/hyperlink" Target="https://docs.inecelectionresults.net/elections_prod/1292/state/01/lga/01/ward/15/pu/004/004-1677424594.pdf" TargetMode="External"/><Relationship Id="rId180" Type="http://schemas.openxmlformats.org/officeDocument/2006/relationships/hyperlink" Target="https://docs.inecelectionresults.net/elections_prod/1292/state/01/lga/01/ward/15/pu/003/003-1677424250.pdf" TargetMode="External"/><Relationship Id="rId176" Type="http://schemas.openxmlformats.org/officeDocument/2006/relationships/hyperlink" Target="https://docs.inecelectionresults.net/elections_prod/1292/state/01/lga/01/ward/14/pu/022/022-1677415817.pdf" TargetMode="External"/><Relationship Id="rId175" Type="http://schemas.openxmlformats.org/officeDocument/2006/relationships/hyperlink" Target="https://docs.inecelectionresults.net/elections_prod/1292/state/01/lga/01/ward/14/pu/021/021-1677418509.pdf" TargetMode="External"/><Relationship Id="rId174" Type="http://schemas.openxmlformats.org/officeDocument/2006/relationships/hyperlink" Target="https://docs.inecelectionresults.net/elections_prod/1292/state/1/lga/3666/ward/23963/pu/90988/90988-1677466539.pdf" TargetMode="External"/><Relationship Id="rId173" Type="http://schemas.openxmlformats.org/officeDocument/2006/relationships/hyperlink" Target="https://docs.inecelectionresults.net/elections_prod/1292/state/1/lga/3666/ward/23963/pu/90987/90987-1677467030.pdf" TargetMode="External"/><Relationship Id="rId179" Type="http://schemas.openxmlformats.org/officeDocument/2006/relationships/hyperlink" Target="https://docs.inecelectionresults.net/elections_prod/1292/state/01/lga/01/ward/15/pu/002/002-1677423294.pdf" TargetMode="External"/><Relationship Id="rId178" Type="http://schemas.openxmlformats.org/officeDocument/2006/relationships/hyperlink" Target="https://docs.inecelectionresults.net/elections_prod/1292/state/01/lga/01/ward/15/pu/001/001-1677413860.pdf" TargetMode="External"/><Relationship Id="rId177" Type="http://schemas.openxmlformats.org/officeDocument/2006/relationships/hyperlink" Target="https://docs.inecelectionresults.net/elections_prod/1292/state/1/lga/3666/ward/23963/pu/90991/90991-1677465514.pdf" TargetMode="External"/><Relationship Id="rId198" Type="http://schemas.openxmlformats.org/officeDocument/2006/relationships/hyperlink" Target="https://docs.inecelectionresults.net/elections_prod/1292/state/01/lga/01/ward/16/pu/005/005-1677407740.pdf" TargetMode="External"/><Relationship Id="rId197" Type="http://schemas.openxmlformats.org/officeDocument/2006/relationships/hyperlink" Target="https://docs.inecelectionresults.net/elections_prod/1292/state/01/lga/01/ward/16/pu/004/004-1677406493.pdf" TargetMode="External"/><Relationship Id="rId196" Type="http://schemas.openxmlformats.org/officeDocument/2006/relationships/hyperlink" Target="https://docs.inecelectionresults.net/elections_prod/1292/state/01/lga/01/ward/16/pu/003/003-1677407825.pdf" TargetMode="External"/><Relationship Id="rId195" Type="http://schemas.openxmlformats.org/officeDocument/2006/relationships/hyperlink" Target="https://docs.inecelectionresults.net/elections_prod/1292/state/01/lga/01/ward/16/pu/002/002-1677406042.pdf" TargetMode="External"/><Relationship Id="rId199" Type="http://schemas.openxmlformats.org/officeDocument/2006/relationships/hyperlink" Target="https://docs.inecelectionresults.net/elections_prod/1292/state/01/lga/01/ward/16/pu/006/006-1677408528.pdf" TargetMode="External"/><Relationship Id="rId150" Type="http://schemas.openxmlformats.org/officeDocument/2006/relationships/hyperlink" Target="https://docs.inecelectionresults.net/elections_prod/1292/state/01/lga/01/ward/13/pu/012/012-1677425013.pdf" TargetMode="External"/><Relationship Id="rId149" Type="http://schemas.openxmlformats.org/officeDocument/2006/relationships/hyperlink" Target="https://docs.inecelectionresults.net/elections_prod/1292/state/01/lga/01/ward/13/pu/011/011-1677427290.pdf" TargetMode="External"/><Relationship Id="rId148" Type="http://schemas.openxmlformats.org/officeDocument/2006/relationships/hyperlink" Target="https://docs.inecelectionresults.net/elections_prod/1292/state/01/lga/01/ward/13/pu/010/010-1677426439.pdf" TargetMode="External"/><Relationship Id="rId3270" Type="http://schemas.openxmlformats.org/officeDocument/2006/relationships/hyperlink" Target="https://docs.inecelectionresults.net/elections_prod/1292/state/01/lga/06/ward/06/pu/020/020-1677385647.pdf" TargetMode="External"/><Relationship Id="rId3272" Type="http://schemas.openxmlformats.org/officeDocument/2006/relationships/hyperlink" Target="https://docs.inecelectionresults.net/elections_prod/1292/state/01/lga/06/ward/06/pu/022/022-1677384875.pdf" TargetMode="External"/><Relationship Id="rId3271" Type="http://schemas.openxmlformats.org/officeDocument/2006/relationships/hyperlink" Target="https://docs.inecelectionresults.net/elections_prod/1292/state/01/lga/06/ward/06/pu/021/021-1677395780.pdf" TargetMode="External"/><Relationship Id="rId143" Type="http://schemas.openxmlformats.org/officeDocument/2006/relationships/hyperlink" Target="https://docs.inecelectionresults.net/elections_prod/1292/state/01/lga/01/ward/13/pu/005/005-1677405129.pdf" TargetMode="External"/><Relationship Id="rId3274" Type="http://schemas.openxmlformats.org/officeDocument/2006/relationships/hyperlink" Target="https://docs.inecelectionresults.net/elections_prod/1292/state/01/lga/06/ward/06/pu/027/027-1677387309.pdf" TargetMode="External"/><Relationship Id="rId142" Type="http://schemas.openxmlformats.org/officeDocument/2006/relationships/hyperlink" Target="https://docs.inecelectionresults.net/elections_prod/1292/state/01/lga/01/ward/13/pu/004/004-1677423759.pdf" TargetMode="External"/><Relationship Id="rId3273" Type="http://schemas.openxmlformats.org/officeDocument/2006/relationships/hyperlink" Target="https://docs.inecelectionresults.net/elections_prod/1292/state/01/lga/06/ward/06/pu/025/025-1677382988.pdf" TargetMode="External"/><Relationship Id="rId141" Type="http://schemas.openxmlformats.org/officeDocument/2006/relationships/hyperlink" Target="https://docs.inecelectionresults.net/elections_prod/1292/state/01/lga/01/ward/13/pu/003/003-1677422156.pdf" TargetMode="External"/><Relationship Id="rId3276" Type="http://schemas.openxmlformats.org/officeDocument/2006/relationships/hyperlink" Target="https://docs.inecelectionresults.net/elections_prod/1292/state/01/lga/06/ward/07/pu/010/010-1677393668.pdf" TargetMode="External"/><Relationship Id="rId140" Type="http://schemas.openxmlformats.org/officeDocument/2006/relationships/hyperlink" Target="https://docs.inecelectionresults.net/elections_prod/1292/state/01/lga/01/ward/13/pu/002/002-1677427416.pdf" TargetMode="External"/><Relationship Id="rId3275" Type="http://schemas.openxmlformats.org/officeDocument/2006/relationships/hyperlink" Target="https://docs.inecelectionresults.net/elections_prod/1292/state/01/lga/06/ward/06/pu/028/028-1677382280.pdf" TargetMode="External"/><Relationship Id="rId147" Type="http://schemas.openxmlformats.org/officeDocument/2006/relationships/hyperlink" Target="https://docs.inecelectionresults.net/elections_prod/1292/state/01/lga/01/ward/13/pu/009/009-1677426224.pdf" TargetMode="External"/><Relationship Id="rId3278" Type="http://schemas.openxmlformats.org/officeDocument/2006/relationships/hyperlink" Target="https://docs.inecelectionresults.net/elections_prod/1292/state/01/lga/06/ward/07/pu/012/012-1677394265.pdf" TargetMode="External"/><Relationship Id="rId146" Type="http://schemas.openxmlformats.org/officeDocument/2006/relationships/hyperlink" Target="https://docs.inecelectionresults.net/elections_prod/1292/state/01/lga/01/ward/13/pu/008/008-1677422978.pdf" TargetMode="External"/><Relationship Id="rId3277" Type="http://schemas.openxmlformats.org/officeDocument/2006/relationships/hyperlink" Target="https://docs.inecelectionresults.net/elections_prod/1292/state/01/lga/06/ward/07/pu/011/011-1677393326.pdf" TargetMode="External"/><Relationship Id="rId145" Type="http://schemas.openxmlformats.org/officeDocument/2006/relationships/hyperlink" Target="https://docs.inecelectionresults.net/elections_prod/1292/state/01/lga/01/ward/13/pu/007/007-1677424161.pdf" TargetMode="External"/><Relationship Id="rId144" Type="http://schemas.openxmlformats.org/officeDocument/2006/relationships/hyperlink" Target="https://docs.inecelectionresults.net/elections_prod/1292/state/01/lga/01/ward/13/pu/006/006-1677408249.pdf" TargetMode="External"/><Relationship Id="rId3279" Type="http://schemas.openxmlformats.org/officeDocument/2006/relationships/hyperlink" Target="https://docs.inecelectionresults.net/elections_prod/1292/state/1/lga/3672/ward/24031/pu/165613/165613-1677542667.pdf" TargetMode="External"/><Relationship Id="rId139" Type="http://schemas.openxmlformats.org/officeDocument/2006/relationships/hyperlink" Target="https://docs.inecelectionresults.net/elections_prod/1292/state/1/lga/3666/ward/23962/pu/90952/90952-1677476215.pdf" TargetMode="External"/><Relationship Id="rId138" Type="http://schemas.openxmlformats.org/officeDocument/2006/relationships/hyperlink" Target="https://docs.inecelectionresults.net/elections_prod/1292/state/01/lga/01/ward/12/pu/012/012-1677426623.pdf" TargetMode="External"/><Relationship Id="rId137" Type="http://schemas.openxmlformats.org/officeDocument/2006/relationships/hyperlink" Target="https://docs.inecelectionresults.net/elections_prod/1292/state/1/lga/3666/ward/23961/pu/90950/90950-1677478703.pdf" TargetMode="External"/><Relationship Id="rId3261" Type="http://schemas.openxmlformats.org/officeDocument/2006/relationships/hyperlink" Target="https://docs.inecelectionresults.net/elections_prod/1292/state/01/lga/06/ward/10/pu/013/013-1677396919.pdf" TargetMode="External"/><Relationship Id="rId3260" Type="http://schemas.openxmlformats.org/officeDocument/2006/relationships/hyperlink" Target="https://docs.inecelectionresults.net/elections_prod/1292/state/01/lga/06/ward/10/pu/010/010-1677390392.pdf" TargetMode="External"/><Relationship Id="rId132" Type="http://schemas.openxmlformats.org/officeDocument/2006/relationships/hyperlink" Target="https://docs.inecelectionresults.net/elections_prod/1292/state/01/lga/01/ward/12/pu/005/005-1677424538.pdf" TargetMode="External"/><Relationship Id="rId3263" Type="http://schemas.openxmlformats.org/officeDocument/2006/relationships/hyperlink" Target="https://docs.inecelectionresults.net/elections_prod/1292/state/01/lga/06/ward/10/pu/016/016-1677395197.pdf" TargetMode="External"/><Relationship Id="rId131" Type="http://schemas.openxmlformats.org/officeDocument/2006/relationships/hyperlink" Target="https://docs.inecelectionresults.net/elections_prod/1292/state/01/lga/01/ward/12/pu/004/004-1677418117.pdf" TargetMode="External"/><Relationship Id="rId3262" Type="http://schemas.openxmlformats.org/officeDocument/2006/relationships/hyperlink" Target="https://inec-cvr-cache.s3.eu-west-1.amazonaws.com/cached/results/660847/result_78110_1677517065_thumb.jpg" TargetMode="External"/><Relationship Id="rId130" Type="http://schemas.openxmlformats.org/officeDocument/2006/relationships/hyperlink" Target="https://docs.inecelectionresults.net/elections_prod/1292/state/01/lga/01/ward/12/pu/003/003-1677419652.pdf" TargetMode="External"/><Relationship Id="rId3265" Type="http://schemas.openxmlformats.org/officeDocument/2006/relationships/hyperlink" Target="https://docs.inecelectionresults.net/elections_prod/1292/state/01/lga/06/ward/09/pu/008/008-1677388246.pdf" TargetMode="External"/><Relationship Id="rId3264" Type="http://schemas.openxmlformats.org/officeDocument/2006/relationships/hyperlink" Target="https://docs.inecelectionresults.net/elections_prod/1292/state/01/lga/06/ward/10/pu/017/017-1677394627.pdf" TargetMode="External"/><Relationship Id="rId136" Type="http://schemas.openxmlformats.org/officeDocument/2006/relationships/hyperlink" Target="https://docs.inecelectionresults.net/elections_prod/1292/state/1/lga/3666/ward/23961/pu/90949/90949-1677477720.pdf" TargetMode="External"/><Relationship Id="rId3267" Type="http://schemas.openxmlformats.org/officeDocument/2006/relationships/hyperlink" Target="https://docs.inecelectionresults.net/elections_prod/1292/state/01/lga/06/ward/06/pu/017/017-1677387130.pdf" TargetMode="External"/><Relationship Id="rId135" Type="http://schemas.openxmlformats.org/officeDocument/2006/relationships/hyperlink" Target="https://docs.inecelectionresults.net/elections_prod/1292/state/01/lga/01/ward/12/pu/008/008-1677420449.pdf" TargetMode="External"/><Relationship Id="rId3266" Type="http://schemas.openxmlformats.org/officeDocument/2006/relationships/hyperlink" Target="https://docs.inecelectionresults.net/elections_prod/1292/state/01/lga/06/ward/06/pu/016/016-1677387840.pdf" TargetMode="External"/><Relationship Id="rId134" Type="http://schemas.openxmlformats.org/officeDocument/2006/relationships/hyperlink" Target="https://docs.inecelectionresults.net/elections_prod/1292/state/01/lga/01/ward/12/pu/007/007-1677422254.pdf" TargetMode="External"/><Relationship Id="rId3269" Type="http://schemas.openxmlformats.org/officeDocument/2006/relationships/hyperlink" Target="https://docs.inecelectionresults.net/elections_prod/1292/state/01/lga/06/ward/06/pu/019/019-1677386197.pdf" TargetMode="External"/><Relationship Id="rId133" Type="http://schemas.openxmlformats.org/officeDocument/2006/relationships/hyperlink" Target="https://docs.inecelectionresults.net/elections_prod/1292/state/01/lga/01/ward/12/pu/006/006-1677416324.pdf" TargetMode="External"/><Relationship Id="rId3268" Type="http://schemas.openxmlformats.org/officeDocument/2006/relationships/hyperlink" Target="https://docs.inecelectionresults.net/elections_prod/1292/state/01/lga/06/ward/06/pu/018/018-1677386432.pdf" TargetMode="External"/><Relationship Id="rId172" Type="http://schemas.openxmlformats.org/officeDocument/2006/relationships/hyperlink" Target="https://docs.inecelectionresults.net/elections_prod/1292/state/01/lga/01/ward/14/pu/018/018-1677426668.pdf" TargetMode="External"/><Relationship Id="rId171" Type="http://schemas.openxmlformats.org/officeDocument/2006/relationships/hyperlink" Target="https://docs.inecelectionresults.net/elections_prod/1292/state/1/lga/3666/ward/23963/pu/90985/90985-1677467345.pdf" TargetMode="External"/><Relationship Id="rId170" Type="http://schemas.openxmlformats.org/officeDocument/2006/relationships/hyperlink" Target="https://docs.inecelectionresults.net/elections_prod/1292/state/1/lga/3666/ward/23963/pu/90984/90984-1677468019.pdf" TargetMode="External"/><Relationship Id="rId3290" Type="http://schemas.openxmlformats.org/officeDocument/2006/relationships/hyperlink" Target="https://docs.inecelectionresults.net/elections_prod/1292/state/1/lga/3672/ward/24033/pu/165681/165681-1677531361.pdf" TargetMode="External"/><Relationship Id="rId3292" Type="http://schemas.openxmlformats.org/officeDocument/2006/relationships/hyperlink" Target="https://docs.inecelectionresults.net/elections_prod/1292/state/1/lga/3672/ward/24033/pu/165684/165684-1677541686.pdf" TargetMode="External"/><Relationship Id="rId3291" Type="http://schemas.openxmlformats.org/officeDocument/2006/relationships/hyperlink" Target="https://docs.inecelectionresults.net/elections_prod/1292/state/1/lga/3672/ward/24033/pu/165682/165682-1677540864.pdf" TargetMode="External"/><Relationship Id="rId3294" Type="http://schemas.openxmlformats.org/officeDocument/2006/relationships/hyperlink" Target="https://docs.inecelectionresults.net/elections_prod/1292/state/1/lga/3672/ward/24033/pu/165688/165688-1677542981.pdf" TargetMode="External"/><Relationship Id="rId3293" Type="http://schemas.openxmlformats.org/officeDocument/2006/relationships/hyperlink" Target="https://docs.inecelectionresults.net/elections_prod/1292/state/1/lga/3672/ward/24033/pu/165686/165686-1677534541.pdf" TargetMode="External"/><Relationship Id="rId165" Type="http://schemas.openxmlformats.org/officeDocument/2006/relationships/hyperlink" Target="https://docs.inecelectionresults.net/elections_prod/1292/state/1/lga/3666/ward/23963/pu/90978/90978-1677469207.pdf" TargetMode="External"/><Relationship Id="rId3296" Type="http://schemas.openxmlformats.org/officeDocument/2006/relationships/hyperlink" Target="https://docs.inecelectionresults.net/elections_prod/1292/state/1/lga/3672/ward/24033/pu/165690/165690-1677541177.pdf" TargetMode="External"/><Relationship Id="rId164" Type="http://schemas.openxmlformats.org/officeDocument/2006/relationships/hyperlink" Target="https://docs.inecelectionresults.net/elections_prod/1292/state/1/lga/3666/ward/23963/pu/90977/90977-1677469418.pdf" TargetMode="External"/><Relationship Id="rId3295" Type="http://schemas.openxmlformats.org/officeDocument/2006/relationships/hyperlink" Target="https://docs.inecelectionresults.net/elections_prod/1292/state/1/lga/3672/ward/24033/pu/165689/165689-1677537347.pdf" TargetMode="External"/><Relationship Id="rId163" Type="http://schemas.openxmlformats.org/officeDocument/2006/relationships/hyperlink" Target="https://docs.inecelectionresults.net/elections_prod/1292/state/1/lga/3666/ward/23963/pu/90976/90976-1677469664.pdf" TargetMode="External"/><Relationship Id="rId3298" Type="http://schemas.openxmlformats.org/officeDocument/2006/relationships/hyperlink" Target="https://docs.inecelectionresults.net/elections_prod/1292/state/1/lga/3672/ward/24033/pu/165694/165694-1677540596.pdf" TargetMode="External"/><Relationship Id="rId162" Type="http://schemas.openxmlformats.org/officeDocument/2006/relationships/hyperlink" Target="https://docs.inecelectionresults.net/elections_prod/1292/state/01/lga/01/ward/14/pu/007/007-1677417846.pdf" TargetMode="External"/><Relationship Id="rId3297" Type="http://schemas.openxmlformats.org/officeDocument/2006/relationships/hyperlink" Target="https://docs.inecelectionresults.net/elections_prod/1292/state/1/lga/3672/ward/24033/pu/165692/165692-1677547921.pdf" TargetMode="External"/><Relationship Id="rId169" Type="http://schemas.openxmlformats.org/officeDocument/2006/relationships/hyperlink" Target="https://docs.inecelectionresults.net/elections_prod/1292/state/01/lga/01/ward/14/pu/015/015-1677428389.pdf" TargetMode="External"/><Relationship Id="rId168" Type="http://schemas.openxmlformats.org/officeDocument/2006/relationships/hyperlink" Target="https://docs.inecelectionresults.net/elections_prod/1292/state/1/lga/3666/ward/23963/pu/90982/90982-1677468347.pdf" TargetMode="External"/><Relationship Id="rId3299" Type="http://schemas.openxmlformats.org/officeDocument/2006/relationships/hyperlink" Target="https://docs.inecelectionresults.net/elections_prod/1292/state/1/lga/3672/ward/24033/pu/165695/165695-1677544680.pdf" TargetMode="External"/><Relationship Id="rId167" Type="http://schemas.openxmlformats.org/officeDocument/2006/relationships/hyperlink" Target="https://docs.inecelectionresults.net/elections_prod/1292/state/1/lga/3666/ward/23963/pu/90980/90980-1677468920.pdf" TargetMode="External"/><Relationship Id="rId166" Type="http://schemas.openxmlformats.org/officeDocument/2006/relationships/hyperlink" Target="https://docs.inecelectionresults.net/elections_prod/1292/state/1/lga/3666/ward/23963/pu/90979/90979-1677467751.pdf" TargetMode="External"/><Relationship Id="rId161" Type="http://schemas.openxmlformats.org/officeDocument/2006/relationships/hyperlink" Target="https://docs.inecelectionresults.net/elections_prod/1292/state/01/lga/01/ward/14/pu/006/006-1677419268.pdf" TargetMode="External"/><Relationship Id="rId160" Type="http://schemas.openxmlformats.org/officeDocument/2006/relationships/hyperlink" Target="https://docs.inecelectionresults.net/elections_prod/1292/state/01/lga/01/ward/14/pu/005/005-1677427337.pdf" TargetMode="External"/><Relationship Id="rId159" Type="http://schemas.openxmlformats.org/officeDocument/2006/relationships/hyperlink" Target="https://docs.inecelectionresults.net/elections_prod/1292/state/1/lga/3666/ward/23963/pu/90972/90972-1677469858.pdf" TargetMode="External"/><Relationship Id="rId3281" Type="http://schemas.openxmlformats.org/officeDocument/2006/relationships/hyperlink" Target="https://docs.inecelectionresults.net/elections_prod/1292/state/1/lga/3672/ward/24031/pu/165615/165615-1677541640.pdf" TargetMode="External"/><Relationship Id="rId3280" Type="http://schemas.openxmlformats.org/officeDocument/2006/relationships/hyperlink" Target="https://docs.inecelectionresults.net/elections_prod/1292/state/1/lga/3672/ward/24031/pu/165614/165614-1677533746.pdf" TargetMode="External"/><Relationship Id="rId3283" Type="http://schemas.openxmlformats.org/officeDocument/2006/relationships/hyperlink" Target="https://docs.inecelectionresults.net/elections_prod/1292/state/01/lga/07/ward/04/pu/043/043-1677367998.pdf" TargetMode="External"/><Relationship Id="rId3282" Type="http://schemas.openxmlformats.org/officeDocument/2006/relationships/hyperlink" Target="https://docs.inecelectionresults.net/elections_prod/1292/state/1/lga/3672/ward/24031/pu/165616/165616-1677538966.pdf" TargetMode="External"/><Relationship Id="rId154" Type="http://schemas.openxmlformats.org/officeDocument/2006/relationships/hyperlink" Target="https://docs.inecelectionresults.net/elections_prod/1292/state/01/lga/01/ward/13/pu/016/016-1677428491.pdf" TargetMode="External"/><Relationship Id="rId3285" Type="http://schemas.openxmlformats.org/officeDocument/2006/relationships/hyperlink" Target="https://docs.inecelectionresults.net/elections_prod/1292/state/1/lga/3672/ward/24031/pu/165629/165629-1677542649.pdf" TargetMode="External"/><Relationship Id="rId153" Type="http://schemas.openxmlformats.org/officeDocument/2006/relationships/hyperlink" Target="https://docs.inecelectionresults.net/elections_prod/1292/state/01/lga/01/ward/13/pu/015/015-1677423299.pdf" TargetMode="External"/><Relationship Id="rId3284" Type="http://schemas.openxmlformats.org/officeDocument/2006/relationships/hyperlink" Target="https://docs.inecelectionresults.net/elections_prod/1292/state/1/lga/3672/ward/24031/pu/165627/165627-1677543575.pdf" TargetMode="External"/><Relationship Id="rId152" Type="http://schemas.openxmlformats.org/officeDocument/2006/relationships/hyperlink" Target="https://docs.inecelectionresults.net/elections_prod/1292/state/01/lga/01/ward/13/pu/014/014-1677424892.pdf" TargetMode="External"/><Relationship Id="rId3287" Type="http://schemas.openxmlformats.org/officeDocument/2006/relationships/hyperlink" Target="https://docs.inecelectionresults.net/elections_prod/1292/state/1/lga/3672/ward/24033/pu/165678/165678-1677543092.pdf" TargetMode="External"/><Relationship Id="rId151" Type="http://schemas.openxmlformats.org/officeDocument/2006/relationships/hyperlink" Target="https://docs.inecelectionresults.net/elections_prod/1292/state/1/lga/3666/ward/23962/pu/90964/90964-1677475862.pdf" TargetMode="External"/><Relationship Id="rId3286" Type="http://schemas.openxmlformats.org/officeDocument/2006/relationships/hyperlink" Target="https://docs.inecelectionresults.net/elections_prod/1292/state/01/lga/07/ward/04/pu/061/061-1677379974.pdf" TargetMode="External"/><Relationship Id="rId158" Type="http://schemas.openxmlformats.org/officeDocument/2006/relationships/hyperlink" Target="https://docs.inecelectionresults.net/elections_prod/1292/state/01/lga/01/ward/14/pu/003/003-1677426199.pdf" TargetMode="External"/><Relationship Id="rId3289" Type="http://schemas.openxmlformats.org/officeDocument/2006/relationships/hyperlink" Target="https://docs.inecelectionresults.net/elections_prod/1292/state/1/lga/3672/ward/24033/pu/165680/165680-1677532596.pdf" TargetMode="External"/><Relationship Id="rId157" Type="http://schemas.openxmlformats.org/officeDocument/2006/relationships/hyperlink" Target="https://docs.inecelectionresults.net/elections_prod/1292/state/1/lga/3666/ward/23963/pu/90970/90970-1677470106.pdf" TargetMode="External"/><Relationship Id="rId3288" Type="http://schemas.openxmlformats.org/officeDocument/2006/relationships/hyperlink" Target="https://docs.inecelectionresults.net/elections_prod/1292/state/1/lga/3672/ward/24033/pu/165679/165679-1677507202.pdf" TargetMode="External"/><Relationship Id="rId156" Type="http://schemas.openxmlformats.org/officeDocument/2006/relationships/hyperlink" Target="https://docs.inecelectionresults.net/elections_prod/1292/state/1/lga/3666/ward/23963/pu/90969/90969-1677470262.pdf" TargetMode="External"/><Relationship Id="rId155" Type="http://schemas.openxmlformats.org/officeDocument/2006/relationships/hyperlink" Target="https://docs.inecelectionresults.net/elections_prod/1292/state/01/lga/01/ward/13/pu/017/017-1677428642.pdf" TargetMode="External"/><Relationship Id="rId2820" Type="http://schemas.openxmlformats.org/officeDocument/2006/relationships/hyperlink" Target="https://docs.inecelectionresults.net/elections_prod/1292/state/01/lga/03/ward/16/pu/023/023-1677380310.pdf" TargetMode="External"/><Relationship Id="rId2821" Type="http://schemas.openxmlformats.org/officeDocument/2006/relationships/hyperlink" Target="https://docs.inecelectionresults.net/elections_prod/1292/state/01/lga/03/ward/16/pu/024/024-1677381269.pdf" TargetMode="External"/><Relationship Id="rId2822" Type="http://schemas.openxmlformats.org/officeDocument/2006/relationships/hyperlink" Target="https://docs.inecelectionresults.net/elections_prod/1292/state/01/lga/03/ward/16/pu/025/025-1677395541.pdf" TargetMode="External"/><Relationship Id="rId2823" Type="http://schemas.openxmlformats.org/officeDocument/2006/relationships/hyperlink" Target="https://docs.inecelectionresults.net/elections_prod/1292/state/01/lga/03/ward/12/pu/018/018-1677365678.pdf" TargetMode="External"/><Relationship Id="rId2824" Type="http://schemas.openxmlformats.org/officeDocument/2006/relationships/hyperlink" Target="https://docs.inecelectionresults.net/elections_prod/1292/state/01/lga/03/ward/12/pu/019/019-1677358566.pdf" TargetMode="External"/><Relationship Id="rId2825" Type="http://schemas.openxmlformats.org/officeDocument/2006/relationships/hyperlink" Target="https://docs.inecelectionresults.net/elections_prod/1292/state/01/lga/03/ward/12/pu/020/020-1677361253.pdf" TargetMode="External"/><Relationship Id="rId2826" Type="http://schemas.openxmlformats.org/officeDocument/2006/relationships/hyperlink" Target="https://docs.inecelectionresults.net/elections_prod/1292/state/01/lga/03/ward/12/pu/022/022-1677359968.pdf" TargetMode="External"/><Relationship Id="rId2827" Type="http://schemas.openxmlformats.org/officeDocument/2006/relationships/hyperlink" Target="https://docs.inecelectionresults.net/elections_prod/1292/state/01/lga/03/ward/12/pu/024/024-1677369100.pdf" TargetMode="External"/><Relationship Id="rId2828" Type="http://schemas.openxmlformats.org/officeDocument/2006/relationships/hyperlink" Target="https://docs.inecelectionresults.net/elections_prod/1292/state/01/lga/03/ward/12/pu/025/025-1677359610.pdf" TargetMode="External"/><Relationship Id="rId2829" Type="http://schemas.openxmlformats.org/officeDocument/2006/relationships/hyperlink" Target="https://docs.inecelectionresults.net/elections_prod/1292/state/01/lga/03/ward/06/pu/021/021-1677406601.pdf" TargetMode="External"/><Relationship Id="rId2810" Type="http://schemas.openxmlformats.org/officeDocument/2006/relationships/hyperlink" Target="https://docs.inecelectionresults.net/elections_prod/1292/state/01/lga/03/ward/16/pu/013/013-1677397474.pdf" TargetMode="External"/><Relationship Id="rId2811" Type="http://schemas.openxmlformats.org/officeDocument/2006/relationships/hyperlink" Target="https://docs.inecelectionresults.net/elections_prod/1292/state/01/lga/03/ward/16/pu/014/014-1677392069.pdf" TargetMode="External"/><Relationship Id="rId2812" Type="http://schemas.openxmlformats.org/officeDocument/2006/relationships/hyperlink" Target="https://docs.inecelectionresults.net/elections_prod/1292/state/01/lga/03/ward/16/pu/015/015-1677403203.pdf" TargetMode="External"/><Relationship Id="rId2813" Type="http://schemas.openxmlformats.org/officeDocument/2006/relationships/hyperlink" Target="https://docs.inecelectionresults.net/elections_prod/1292/state/01/lga/03/ward/16/pu/016/016-1677393973.pdf" TargetMode="External"/><Relationship Id="rId2814" Type="http://schemas.openxmlformats.org/officeDocument/2006/relationships/hyperlink" Target="https://docs.inecelectionresults.net/elections_prod/1292/state/01/lga/03/ward/16/pu/017/017-1677400411.pdf" TargetMode="External"/><Relationship Id="rId2815" Type="http://schemas.openxmlformats.org/officeDocument/2006/relationships/hyperlink" Target="https://docs.inecelectionresults.net/elections_prod/1292/state/01/lga/03/ward/16/pu/018/018-1677405243.pdf" TargetMode="External"/><Relationship Id="rId2816" Type="http://schemas.openxmlformats.org/officeDocument/2006/relationships/hyperlink" Target="https://docs.inecelectionresults.net/elections_prod/1292/state/01/lga/03/ward/16/pu/019/019-1677413908.pdf" TargetMode="External"/><Relationship Id="rId2817" Type="http://schemas.openxmlformats.org/officeDocument/2006/relationships/hyperlink" Target="https://docs.inecelectionresults.net/elections_prod/1292/state/01/lga/03/ward/16/pu/020/020-1677402597.pdf" TargetMode="External"/><Relationship Id="rId2818" Type="http://schemas.openxmlformats.org/officeDocument/2006/relationships/hyperlink" Target="https://docs.inecelectionresults.net/elections_prod/1292/state/01/lga/03/ward/16/pu/021/021-1677386463.pdf" TargetMode="External"/><Relationship Id="rId2819" Type="http://schemas.openxmlformats.org/officeDocument/2006/relationships/hyperlink" Target="https://docs.inecelectionresults.net/elections_prod/1292/state/01/lga/03/ward/16/pu/022/022-1677394766.pdf" TargetMode="External"/><Relationship Id="rId1510" Type="http://schemas.openxmlformats.org/officeDocument/2006/relationships/hyperlink" Target="https://docs.inecelectionresults.net/elections_prod/1292/state/01/lga/10/ward/02/pu/008/008-1677398967.pdf" TargetMode="External"/><Relationship Id="rId2841" Type="http://schemas.openxmlformats.org/officeDocument/2006/relationships/hyperlink" Target="https://docs.inecelectionresults.net/elections_prod/1292/state/1/lga/3668/ward/23986/pu/165203/165203-1677473677.pdf" TargetMode="External"/><Relationship Id="rId1511" Type="http://schemas.openxmlformats.org/officeDocument/2006/relationships/hyperlink" Target="https://docs.inecelectionresults.net/elections_prod/1292/state/01/lga/10/ward/02/pu/009/009-1677360510.pdf" TargetMode="External"/><Relationship Id="rId2842" Type="http://schemas.openxmlformats.org/officeDocument/2006/relationships/hyperlink" Target="https://docs.inecelectionresults.net/elections_prod/1292/state/1/lga/3668/ward/23986/pu/165205/165205-1677470732.pdf" TargetMode="External"/><Relationship Id="rId1512" Type="http://schemas.openxmlformats.org/officeDocument/2006/relationships/hyperlink" Target="https://docs.inecelectionresults.net/elections_prod/1292/state/01/lga/10/ward/02/pu/011/011-1677400535.pdf" TargetMode="External"/><Relationship Id="rId2843" Type="http://schemas.openxmlformats.org/officeDocument/2006/relationships/hyperlink" Target="https://docs.inecelectionresults.net/elections_prod/1292/state/01/lga/03/ward/06/pu/039/039-1677412757.pdf" TargetMode="External"/><Relationship Id="rId1513" Type="http://schemas.openxmlformats.org/officeDocument/2006/relationships/hyperlink" Target="https://docs.inecelectionresults.net/elections_prod/1292/state/01/lga/10/ward/02/pu/012/012-1677393807.pdf" TargetMode="External"/><Relationship Id="rId2844" Type="http://schemas.openxmlformats.org/officeDocument/2006/relationships/hyperlink" Target="https://docs.inecelectionresults.net/elections_prod/1292/state/01/lga/03/ward/06/pu/040/040-1677416778.pdf" TargetMode="External"/><Relationship Id="rId1514" Type="http://schemas.openxmlformats.org/officeDocument/2006/relationships/hyperlink" Target="https://docs.inecelectionresults.net/elections_prod/1292/state/01/lga/10/ward/02/pu/015/015-1677398422.pdf" TargetMode="External"/><Relationship Id="rId2845" Type="http://schemas.openxmlformats.org/officeDocument/2006/relationships/hyperlink" Target="https://docs.inecelectionresults.net/elections_prod/1292/state/1/lga/3668/ward/23986/pu/165208/165208-1677469083.pdf" TargetMode="External"/><Relationship Id="rId1515" Type="http://schemas.openxmlformats.org/officeDocument/2006/relationships/hyperlink" Target="https://docs.inecelectionresults.net/elections_prod/1292/state/01/lga/10/ward/02/pu/016/016-1677399598.pdf" TargetMode="External"/><Relationship Id="rId2846" Type="http://schemas.openxmlformats.org/officeDocument/2006/relationships/hyperlink" Target="https://docs.inecelectionresults.net/elections_prod/1292/state/01/lga/03/ward/14/pu/013/013-1677389659.pdf" TargetMode="External"/><Relationship Id="rId1516" Type="http://schemas.openxmlformats.org/officeDocument/2006/relationships/hyperlink" Target="https://docs.inecelectionresults.net/elections_prod/1292/state/01/lga/10/ward/03/pu/002/002-1677361505.pdf" TargetMode="External"/><Relationship Id="rId2847" Type="http://schemas.openxmlformats.org/officeDocument/2006/relationships/hyperlink" Target="https://docs.inecelectionresults.net/elections_prod/1292/state/01/lga/03/ward/14/pu/014/014-1677387976.pdf" TargetMode="External"/><Relationship Id="rId1517" Type="http://schemas.openxmlformats.org/officeDocument/2006/relationships/hyperlink" Target="https://docs.inecelectionresults.net/elections_prod/1292/state/01/lga/10/ward/03/pu/003/003-1677359576.pdf" TargetMode="External"/><Relationship Id="rId2848" Type="http://schemas.openxmlformats.org/officeDocument/2006/relationships/hyperlink" Target="https://docs.inecelectionresults.net/elections_prod/1292/state/01/lga/03/ward/14/pu/015/015-1677388197.pdf" TargetMode="External"/><Relationship Id="rId1518" Type="http://schemas.openxmlformats.org/officeDocument/2006/relationships/hyperlink" Target="https://docs.inecelectionresults.net/elections_prod/1292/state/1/lga/3675/ward/24063/pu/92685/92685-1677502532.pdf" TargetMode="External"/><Relationship Id="rId2849" Type="http://schemas.openxmlformats.org/officeDocument/2006/relationships/hyperlink" Target="https://docs.inecelectionresults.net/elections_prod/1292/state/01/lga/03/ward/14/pu/017/017-1677389493.pdf" TargetMode="External"/><Relationship Id="rId1519" Type="http://schemas.openxmlformats.org/officeDocument/2006/relationships/hyperlink" Target="https://docs.inecelectionresults.net/elections_prod/1292/state/01/lga/10/ward/03/pu/006/006-1677363058.pdf" TargetMode="External"/><Relationship Id="rId2840" Type="http://schemas.openxmlformats.org/officeDocument/2006/relationships/hyperlink" Target="https://docs.inecelectionresults.net/elections_prod/1292/state/1/lga/3668/ward/23986/pu/165202/165202-1677464859.pdf" TargetMode="External"/><Relationship Id="rId2830" Type="http://schemas.openxmlformats.org/officeDocument/2006/relationships/hyperlink" Target="https://docs.inecelectionresults.net/elections_prod/1292/state/01/lga/03/ward/06/pu/022/022-1677421708.pdf" TargetMode="External"/><Relationship Id="rId1500" Type="http://schemas.openxmlformats.org/officeDocument/2006/relationships/hyperlink" Target="https://docs.inecelectionresults.net/elections_prod/1292/state/01/lga/09/ward/11/pu/016/016-1677425240.pdf" TargetMode="External"/><Relationship Id="rId2831" Type="http://schemas.openxmlformats.org/officeDocument/2006/relationships/hyperlink" Target="https://docs.inecelectionresults.net/elections_prod/1292/state/01/lga/03/ward/06/pu/023/023-1677400696.pdf" TargetMode="External"/><Relationship Id="rId1501" Type="http://schemas.openxmlformats.org/officeDocument/2006/relationships/hyperlink" Target="https://docs.inecelectionresults.net/elections_prod/1292/state/01/lga/09/ward/11/pu/020/020-1677426719.pdf" TargetMode="External"/><Relationship Id="rId2832" Type="http://schemas.openxmlformats.org/officeDocument/2006/relationships/hyperlink" Target="https://docs.inecelectionresults.net/elections_prod/1292/state/1/lga/3668/ward/23986/pu/165192/165192-1677467211.pdf" TargetMode="External"/><Relationship Id="rId1502" Type="http://schemas.openxmlformats.org/officeDocument/2006/relationships/hyperlink" Target="https://docs.inecelectionresults.net/elections_prod/1292/state/01/lga/10/ward/01/pu/001/001-1677370942.pdf" TargetMode="External"/><Relationship Id="rId2833" Type="http://schemas.openxmlformats.org/officeDocument/2006/relationships/hyperlink" Target="https://docs.inecelectionresults.net/elections_prod/1292/state/1/lga/3668/ward/23986/pu/165193/165193-1677469656.pdf" TargetMode="External"/><Relationship Id="rId1503" Type="http://schemas.openxmlformats.org/officeDocument/2006/relationships/hyperlink" Target="https://docs.inecelectionresults.net/elections_prod/1292/state/01/lga/10/ward/01/pu/007/007-1677374038.pdf" TargetMode="External"/><Relationship Id="rId2834" Type="http://schemas.openxmlformats.org/officeDocument/2006/relationships/hyperlink" Target="https://docs.inecelectionresults.net/elections_prod/1292/state/1/lga/3668/ward/23986/pu/165194/165194-1677471952.pdf" TargetMode="External"/><Relationship Id="rId1504" Type="http://schemas.openxmlformats.org/officeDocument/2006/relationships/hyperlink" Target="https://docs.inecelectionresults.net/elections_prod/1292/state/01/lga/10/ward/01/pu/008/008-1677373198.pdf" TargetMode="External"/><Relationship Id="rId2835" Type="http://schemas.openxmlformats.org/officeDocument/2006/relationships/hyperlink" Target="https://docs.inecelectionresults.net/elections_prod/1292/state/1/lga/3668/ward/23986/pu/165195/165195-1677472322.pdf" TargetMode="External"/><Relationship Id="rId1505" Type="http://schemas.openxmlformats.org/officeDocument/2006/relationships/hyperlink" Target="https://docs.inecelectionresults.net/elections_prod/1292/state/01/lga/10/ward/01/pu/010/010-1677372431.pdf" TargetMode="External"/><Relationship Id="rId2836" Type="http://schemas.openxmlformats.org/officeDocument/2006/relationships/hyperlink" Target="https://docs.inecelectionresults.net/elections_prod/1292/state/1/lga/3668/ward/23986/pu/165196/165196-1677464174.pdf" TargetMode="External"/><Relationship Id="rId1506" Type="http://schemas.openxmlformats.org/officeDocument/2006/relationships/hyperlink" Target="https://docs.inecelectionresults.net/elections_prod/1292/state/1/lga/3675/ward/24062/pu/92668/92668-1677508241.pdf" TargetMode="External"/><Relationship Id="rId2837" Type="http://schemas.openxmlformats.org/officeDocument/2006/relationships/hyperlink" Target="https://docs.inecelectionresults.net/elections_prod/1292/state/1/lga/3668/ward/23986/pu/165197/165197-1677463535.pdf" TargetMode="External"/><Relationship Id="rId1507" Type="http://schemas.openxmlformats.org/officeDocument/2006/relationships/hyperlink" Target="https://docs.inecelectionresults.net/elections_prod/1292/state/01/lga/10/ward/02/pu/004/004-1677365455.pdf" TargetMode="External"/><Relationship Id="rId2838" Type="http://schemas.openxmlformats.org/officeDocument/2006/relationships/hyperlink" Target="https://docs.inecelectionresults.net/elections_prod/1292/state/1/lga/3668/ward/23986/pu/165199/165199-1677465417.pdf" TargetMode="External"/><Relationship Id="rId1508" Type="http://schemas.openxmlformats.org/officeDocument/2006/relationships/hyperlink" Target="https://docs.inecelectionresults.net/elections_prod/1292/state/1/lga/3675/ward/24062/pu/92670/92670-1677509480.pdf" TargetMode="External"/><Relationship Id="rId2839" Type="http://schemas.openxmlformats.org/officeDocument/2006/relationships/hyperlink" Target="https://docs.inecelectionresults.net/elections_prod/1292/state/1/lga/3668/ward/23986/pu/165200/165200-1677466714.pdf" TargetMode="External"/><Relationship Id="rId1509" Type="http://schemas.openxmlformats.org/officeDocument/2006/relationships/hyperlink" Target="https://docs.inecelectionresults.net/elections_prod/1292/state/1/lga/3675/ward/24062/pu/92672/92672-1677510327.pdf" TargetMode="External"/><Relationship Id="rId2800" Type="http://schemas.openxmlformats.org/officeDocument/2006/relationships/hyperlink" Target="https://docs.inecelectionresults.net/elections_prod/1292/state/01/lga/03/ward/10/pu/020/020-1677365083.pdf" TargetMode="External"/><Relationship Id="rId2801" Type="http://schemas.openxmlformats.org/officeDocument/2006/relationships/hyperlink" Target="https://docs.inecelectionresults.net/elections_prod/1292/state/01/lga/03/ward/15/pu/015/015-1677401224.pdf" TargetMode="External"/><Relationship Id="rId2802" Type="http://schemas.openxmlformats.org/officeDocument/2006/relationships/hyperlink" Target="https://docs.inecelectionresults.net/elections_prod/1292/state/01/lga/03/ward/15/pu/017/017-1677421220.pdf" TargetMode="External"/><Relationship Id="rId2803" Type="http://schemas.openxmlformats.org/officeDocument/2006/relationships/hyperlink" Target="https://docs.inecelectionresults.net/elections_prod/1292/state/01/lga/03/ward/15/pu/018/018-1677395578.pdf" TargetMode="External"/><Relationship Id="rId2804" Type="http://schemas.openxmlformats.org/officeDocument/2006/relationships/hyperlink" Target="https://docs.inecelectionresults.net/elections_prod/1292/state/01/lga/03/ward/15/pu/019/019-1677411926.pdf" TargetMode="External"/><Relationship Id="rId2805" Type="http://schemas.openxmlformats.org/officeDocument/2006/relationships/hyperlink" Target="https://docs.inecelectionresults.net/elections_prod/1292/state/01/lga/03/ward/15/pu/020/020-1677390915.pdf" TargetMode="External"/><Relationship Id="rId2806" Type="http://schemas.openxmlformats.org/officeDocument/2006/relationships/hyperlink" Target="https://docs.inecelectionresults.net/elections_prod/1292/state/01/lga/03/ward/15/pu/023/023-1677396773.pdf" TargetMode="External"/><Relationship Id="rId2807" Type="http://schemas.openxmlformats.org/officeDocument/2006/relationships/hyperlink" Target="https://docs.inecelectionresults.net/elections_prod/1292/state/01/lga/03/ward/15/pu/025/025-1677392066.pdf" TargetMode="External"/><Relationship Id="rId2808" Type="http://schemas.openxmlformats.org/officeDocument/2006/relationships/hyperlink" Target="https://docs.inecelectionresults.net/elections_prod/1292/state/01/lga/03/ward/15/pu/026/026-1677397554.pdf" TargetMode="External"/><Relationship Id="rId2809" Type="http://schemas.openxmlformats.org/officeDocument/2006/relationships/hyperlink" Target="https://docs.inecelectionresults.net/elections_prod/1292/state/01/lga/03/ward/16/pu/012/012-1677411456.pdf" TargetMode="External"/><Relationship Id="rId1576" Type="http://schemas.openxmlformats.org/officeDocument/2006/relationships/hyperlink" Target="https://docs.inecelectionresults.net/elections_prod/1292/state/01/lga/11/ward/01/pu/008/008-1677358612.pdf" TargetMode="External"/><Relationship Id="rId1577" Type="http://schemas.openxmlformats.org/officeDocument/2006/relationships/hyperlink" Target="https://docs.inecelectionresults.net/elections_prod/1292/state/01/lga/11/ward/02/pu/003/003-1677374018.pdf" TargetMode="External"/><Relationship Id="rId1578" Type="http://schemas.openxmlformats.org/officeDocument/2006/relationships/hyperlink" Target="https://docs.inecelectionresults.net/elections_prod/1292/state/01/lga/11/ward/02/pu/004/004-1677376847.pdf" TargetMode="External"/><Relationship Id="rId1579" Type="http://schemas.openxmlformats.org/officeDocument/2006/relationships/hyperlink" Target="https://docs.inecelectionresults.net/elections_prod/1292/state/01/lga/11/ward/02/pu/005/005-1677376796.pdf" TargetMode="External"/><Relationship Id="rId987" Type="http://schemas.openxmlformats.org/officeDocument/2006/relationships/hyperlink" Target="https://docs.inecelectionresults.net/elections_prod/1292/state/01/lga/06/ward/04/pu/006/006-1677397155.pdf" TargetMode="External"/><Relationship Id="rId986" Type="http://schemas.openxmlformats.org/officeDocument/2006/relationships/hyperlink" Target="https://docs.inecelectionresults.net/elections_prod/1292/state/01/lga/06/ward/04/pu/005/005-1677401685.pdf" TargetMode="External"/><Relationship Id="rId985" Type="http://schemas.openxmlformats.org/officeDocument/2006/relationships/hyperlink" Target="https://docs.inecelectionresults.net/elections_prod/1292/state/01/lga/06/ward/04/pu/004/004-1677398127.pdf" TargetMode="External"/><Relationship Id="rId984" Type="http://schemas.openxmlformats.org/officeDocument/2006/relationships/hyperlink" Target="https://docs.inecelectionresults.net/elections_prod/1292/state/01/lga/06/ward/04/pu/003/003-1677400437.pdf" TargetMode="External"/><Relationship Id="rId989" Type="http://schemas.openxmlformats.org/officeDocument/2006/relationships/hyperlink" Target="https://docs.inecelectionresults.net/elections_prod/1292/state/01/lga/06/ward/04/pu/008/008-1677397582.pdf" TargetMode="External"/><Relationship Id="rId988" Type="http://schemas.openxmlformats.org/officeDocument/2006/relationships/hyperlink" Target="https://docs.inecelectionresults.net/elections_prod/1292/state/01/lga/06/ward/04/pu/007/007-1677399330.pdf" TargetMode="External"/><Relationship Id="rId1570" Type="http://schemas.openxmlformats.org/officeDocument/2006/relationships/hyperlink" Target="https://docs.inecelectionresults.net/elections_prod/1292/state/01/lga/10/ward/10/pu/004/004-1677391699.pdf" TargetMode="External"/><Relationship Id="rId1571" Type="http://schemas.openxmlformats.org/officeDocument/2006/relationships/hyperlink" Target="https://docs.inecelectionresults.net/elections_prod/1292/state/1/lga/3676/ward/24071/pu/92754/92754-1677523763.pdf" TargetMode="External"/><Relationship Id="rId983" Type="http://schemas.openxmlformats.org/officeDocument/2006/relationships/hyperlink" Target="https://docs.inecelectionresults.net/elections_prod/1292/state/01/lga/06/ward/04/pu/002/002-1677401540.pdf" TargetMode="External"/><Relationship Id="rId1572" Type="http://schemas.openxmlformats.org/officeDocument/2006/relationships/hyperlink" Target="https://docs.inecelectionresults.net/elections_prod/1292/state/01/lga/11/ward/01/pu/002/002-1677372486.pdf" TargetMode="External"/><Relationship Id="rId982" Type="http://schemas.openxmlformats.org/officeDocument/2006/relationships/hyperlink" Target="https://docs.inecelectionresults.net/elections_prod/1292/state/01/lga/06/ward/04/pu/001/001-1677402451.pdf" TargetMode="External"/><Relationship Id="rId1573" Type="http://schemas.openxmlformats.org/officeDocument/2006/relationships/hyperlink" Target="https://docs.inecelectionresults.net/elections_prod/1292/state/1/lga/3676/ward/24071/pu/92757/92757-1677524250.pdf" TargetMode="External"/><Relationship Id="rId981" Type="http://schemas.openxmlformats.org/officeDocument/2006/relationships/hyperlink" Target="https://docs.inecelectionresults.net/elections_prod/1292/state/01/lga/06/ward/03/pu/008/008-1677397722.pdf" TargetMode="External"/><Relationship Id="rId1574" Type="http://schemas.openxmlformats.org/officeDocument/2006/relationships/hyperlink" Target="https://docs.inecelectionresults.net/elections_prod/1292/state/01/lga/11/ward/01/pu/006/006-1677378727.pdf" TargetMode="External"/><Relationship Id="rId980" Type="http://schemas.openxmlformats.org/officeDocument/2006/relationships/hyperlink" Target="https://docs.inecelectionresults.net/elections_prod/1292/state/01/lga/06/ward/03/pu/007/007-1677391487.pdf" TargetMode="External"/><Relationship Id="rId1575" Type="http://schemas.openxmlformats.org/officeDocument/2006/relationships/hyperlink" Target="https://docs.inecelectionresults.net/elections_prod/1292/state/01/lga/11/ward/01/pu/006/006-1677378727.pdf" TargetMode="External"/><Relationship Id="rId1565" Type="http://schemas.openxmlformats.org/officeDocument/2006/relationships/hyperlink" Target="https://docs.inecelectionresults.net/elections_prod/1292/state/01/lga/10/ward/09/pu/003/003-1677371206.pdf" TargetMode="External"/><Relationship Id="rId2896" Type="http://schemas.openxmlformats.org/officeDocument/2006/relationships/hyperlink" Target="https://docs.inecelectionresults.net/elections_prod/1292/state/01/lga/03/ward/07/pu/019/019-1677412220.pdf" TargetMode="External"/><Relationship Id="rId1566" Type="http://schemas.openxmlformats.org/officeDocument/2006/relationships/hyperlink" Target="https://docs.inecelectionresults.net/elections_prod/1292/state/01/lga/10/ward/09/pu/005/005-1677373976.pdf" TargetMode="External"/><Relationship Id="rId2897" Type="http://schemas.openxmlformats.org/officeDocument/2006/relationships/hyperlink" Target="https://docs.inecelectionresults.net/elections_prod/1292/state/01/lga/03/ward/07/pu/020/020-1677408506.pdf" TargetMode="External"/><Relationship Id="rId1567" Type="http://schemas.openxmlformats.org/officeDocument/2006/relationships/hyperlink" Target="https://docs.inecelectionresults.net/elections_prod/1292/state/01/lga/10/ward/09/pu/006/006-1677368041.pdf" TargetMode="External"/><Relationship Id="rId2898" Type="http://schemas.openxmlformats.org/officeDocument/2006/relationships/hyperlink" Target="https://docs.inecelectionresults.net/elections_prod/1292/state/01/lga/03/ward/07/pu/021/021-1677381710.pdf" TargetMode="External"/><Relationship Id="rId1568" Type="http://schemas.openxmlformats.org/officeDocument/2006/relationships/hyperlink" Target="https://docs.inecelectionresults.net/elections_prod/1292/state/01/lga/10/ward/10/pu/001/001-1677388731.pdf" TargetMode="External"/><Relationship Id="rId2899" Type="http://schemas.openxmlformats.org/officeDocument/2006/relationships/hyperlink" Target="https://docs.inecelectionresults.net/elections_prod/1292/state/01/lga/03/ward/07/pu/022/022-1677404993.pdf" TargetMode="External"/><Relationship Id="rId1569" Type="http://schemas.openxmlformats.org/officeDocument/2006/relationships/hyperlink" Target="https://docs.inecelectionresults.net/elections_prod/1292/state/01/lga/10/ward/10/pu/003/003-1677390348.pdf" TargetMode="External"/><Relationship Id="rId976" Type="http://schemas.openxmlformats.org/officeDocument/2006/relationships/hyperlink" Target="https://docs.inecelectionresults.net/elections_prod/1292/state/01/lga/06/ward/03/pu/003/003-1677393778.pdf" TargetMode="External"/><Relationship Id="rId975" Type="http://schemas.openxmlformats.org/officeDocument/2006/relationships/hyperlink" Target="https://docs.inecelectionresults.net/elections_prod/1292/state/01/lga/06/ward/03/pu/002/002-1677397733.pdf" TargetMode="External"/><Relationship Id="rId974" Type="http://schemas.openxmlformats.org/officeDocument/2006/relationships/hyperlink" Target="https://docs.inecelectionresults.net/elections_prod/1292/state/01/lga/06/ward/03/pu/001/001-1677392527.pdf" TargetMode="External"/><Relationship Id="rId973" Type="http://schemas.openxmlformats.org/officeDocument/2006/relationships/hyperlink" Target="https://docs.inecelectionresults.net/elections_prod/1292/state/01/lga/06/ward/02/pu/010/010-1677391403.pdf" TargetMode="External"/><Relationship Id="rId979" Type="http://schemas.openxmlformats.org/officeDocument/2006/relationships/hyperlink" Target="https://docs.inecelectionresults.net/elections_prod/1292/state/01/lga/06/ward/03/pu/006/006-1677396702.pdf" TargetMode="External"/><Relationship Id="rId978" Type="http://schemas.openxmlformats.org/officeDocument/2006/relationships/hyperlink" Target="https://docs.inecelectionresults.net/elections_prod/1292/state/01/lga/06/ward/03/pu/005/005-1677391966.pdf" TargetMode="External"/><Relationship Id="rId977" Type="http://schemas.openxmlformats.org/officeDocument/2006/relationships/hyperlink" Target="https://docs.inecelectionresults.net/elections_prod/1292/state/01/lga/06/ward/03/pu/004/004-1677395224.pdf" TargetMode="External"/><Relationship Id="rId2890" Type="http://schemas.openxmlformats.org/officeDocument/2006/relationships/hyperlink" Target="https://docs.inecelectionresults.net/elections_prod/1292/state/1/lga/3668/ward/23985/pu/165182/165182-1677482666.pdf" TargetMode="External"/><Relationship Id="rId1560" Type="http://schemas.openxmlformats.org/officeDocument/2006/relationships/hyperlink" Target="https://docs.inecelectionresults.net/elections_prod/1292/state/01/lga/10/ward/08/pu/008/008-1677373177.pdf" TargetMode="External"/><Relationship Id="rId2891" Type="http://schemas.openxmlformats.org/officeDocument/2006/relationships/hyperlink" Target="https://docs.inecelectionresults.net/elections_prod/1292/state/01/lga/03/ward/05/pu/056/056-1677404113.pdf" TargetMode="External"/><Relationship Id="rId972" Type="http://schemas.openxmlformats.org/officeDocument/2006/relationships/hyperlink" Target="https://docs.inecelectionresults.net/elections_prod/1292/state/01/lga/06/ward/02/pu/009/009-1677392292.pdf" TargetMode="External"/><Relationship Id="rId1561" Type="http://schemas.openxmlformats.org/officeDocument/2006/relationships/hyperlink" Target="https://docs.inecelectionresults.net/elections_prod/1292/state/01/lga/10/ward/08/pu/009/009-1677381997.pdf" TargetMode="External"/><Relationship Id="rId2892" Type="http://schemas.openxmlformats.org/officeDocument/2006/relationships/hyperlink" Target="https://docs.inecelectionresults.net/elections_prod/1292/state/01/lga/03/ward/05/pu/057/057-1677404901.pdf" TargetMode="External"/><Relationship Id="rId971" Type="http://schemas.openxmlformats.org/officeDocument/2006/relationships/hyperlink" Target="https://docs.inecelectionresults.net/elections_prod/1292/state/01/lga/06/ward/02/pu/006/006-1677395973.pdf" TargetMode="External"/><Relationship Id="rId1562" Type="http://schemas.openxmlformats.org/officeDocument/2006/relationships/hyperlink" Target="https://docs.inecelectionresults.net/elections_prod/1292/state/01/lga/10/ward/08/pu/010/010-1677389084.pdf" TargetMode="External"/><Relationship Id="rId2893" Type="http://schemas.openxmlformats.org/officeDocument/2006/relationships/hyperlink" Target="https://docs.inecelectionresults.net/elections_prod/1292/state/01/lga/03/ward/05/pu/058/058-1677407127.pdf" TargetMode="External"/><Relationship Id="rId970" Type="http://schemas.openxmlformats.org/officeDocument/2006/relationships/hyperlink" Target="https://docs.inecelectionresults.net/elections_prod/1292/state/01/lga/06/ward/02/pu/003/003-1677390874.pdf" TargetMode="External"/><Relationship Id="rId1563" Type="http://schemas.openxmlformats.org/officeDocument/2006/relationships/hyperlink" Target="https://docs.inecelectionresults.net/elections_prod/1292/state/01/lga/10/ward/08/pu/011/011-1677382623.pdf" TargetMode="External"/><Relationship Id="rId2894" Type="http://schemas.openxmlformats.org/officeDocument/2006/relationships/hyperlink" Target="https://docs.inecelectionresults.net/elections_prod/1292/state/01/lga/03/ward/05/pu/059/059-1677411347.pdf" TargetMode="External"/><Relationship Id="rId1564" Type="http://schemas.openxmlformats.org/officeDocument/2006/relationships/hyperlink" Target="https://docs.inecelectionresults.net/elections_prod/1292/state/01/lga/10/ward/09/pu/002/002-1677387206.pdf" TargetMode="External"/><Relationship Id="rId2895" Type="http://schemas.openxmlformats.org/officeDocument/2006/relationships/hyperlink" Target="https://docs.inecelectionresults.net/elections_prod/1292/state/01/lga/03/ward/07/pu/018/018-1677383002.pdf" TargetMode="External"/><Relationship Id="rId1598" Type="http://schemas.openxmlformats.org/officeDocument/2006/relationships/hyperlink" Target="https://docs.inecelectionresults.net/elections_prod/1292/state/01/lga/11/ward/05/pu/009/009-1677372653.pdf" TargetMode="External"/><Relationship Id="rId1599" Type="http://schemas.openxmlformats.org/officeDocument/2006/relationships/hyperlink" Target="https://docs.inecelectionresults.net/elections_prod/1292/state/01/lga/11/ward/05/pu/010/010-1677372382.pdf" TargetMode="External"/><Relationship Id="rId1590" Type="http://schemas.openxmlformats.org/officeDocument/2006/relationships/hyperlink" Target="https://docs.inecelectionresults.net/elections_prod/1292/state/01/lga/11/ward/04/pu/005/005-1677401491.pdf" TargetMode="External"/><Relationship Id="rId1591" Type="http://schemas.openxmlformats.org/officeDocument/2006/relationships/hyperlink" Target="https://docs.inecelectionresults.net/elections_prod/1292/state/01/lga/11/ward/05/pu/001/001-1677370667.pdf" TargetMode="External"/><Relationship Id="rId1592" Type="http://schemas.openxmlformats.org/officeDocument/2006/relationships/hyperlink" Target="https://docs.inecelectionresults.net/elections_prod/1292/state/01/lga/11/ward/05/pu/002/002-1677371702.pdf" TargetMode="External"/><Relationship Id="rId1593" Type="http://schemas.openxmlformats.org/officeDocument/2006/relationships/hyperlink" Target="https://docs.inecelectionresults.net/elections_prod/1292/state/01/lga/11/ward/05/pu/003/003-1677370700.pdf" TargetMode="External"/><Relationship Id="rId1594" Type="http://schemas.openxmlformats.org/officeDocument/2006/relationships/hyperlink" Target="https://docs.inecelectionresults.net/elections_prod/1292/state/01/lga/11/ward/05/pu/004/004-1677371120.pdf" TargetMode="External"/><Relationship Id="rId1595" Type="http://schemas.openxmlformats.org/officeDocument/2006/relationships/hyperlink" Target="https://docs.inecelectionresults.net/elections_prod/1292/state/01/lga/11/ward/05/pu/005/005-1677371321.pdf" TargetMode="External"/><Relationship Id="rId1596" Type="http://schemas.openxmlformats.org/officeDocument/2006/relationships/hyperlink" Target="https://docs.inecelectionresults.net/elections_prod/1292/state/01/lga/11/ward/05/pu/006/006-1677371655.pdf" TargetMode="External"/><Relationship Id="rId1597" Type="http://schemas.openxmlformats.org/officeDocument/2006/relationships/hyperlink" Target="https://docs.inecelectionresults.net/elections_prod/1292/state/01/lga/11/ward/05/pu/007/007-1677372163.pdf" TargetMode="External"/><Relationship Id="rId1587" Type="http://schemas.openxmlformats.org/officeDocument/2006/relationships/hyperlink" Target="https://docs.inecelectionresults.net/elections_prod/1292/state/01/lga/11/ward/04/pu/001/001-1677392591.pdf" TargetMode="External"/><Relationship Id="rId1588" Type="http://schemas.openxmlformats.org/officeDocument/2006/relationships/hyperlink" Target="https://docs.inecelectionresults.net/elections_prod/1292/state/01/lga/11/ward/04/pu/002/002-1677394614.pdf" TargetMode="External"/><Relationship Id="rId1589" Type="http://schemas.openxmlformats.org/officeDocument/2006/relationships/hyperlink" Target="https://docs.inecelectionresults.net/elections_prod/1292/state/01/lga/11/ward/04/pu/003/003-1677400884.pdf" TargetMode="External"/><Relationship Id="rId998" Type="http://schemas.openxmlformats.org/officeDocument/2006/relationships/hyperlink" Target="https://docs.inecelectionresults.net/elections_prod/1292/state/01/lga/06/ward/04/pu/018/018-1677396066.pdf" TargetMode="External"/><Relationship Id="rId997" Type="http://schemas.openxmlformats.org/officeDocument/2006/relationships/hyperlink" Target="https://docs.inecelectionresults.net/elections_prod/1292/state/01/lga/06/ward/04/pu/017/017-1677402883.pdf" TargetMode="External"/><Relationship Id="rId996" Type="http://schemas.openxmlformats.org/officeDocument/2006/relationships/hyperlink" Target="https://docs.inecelectionresults.net/elections_prod/1292/state/01/lga/06/ward/04/pu/016/016-1677395366.pdf" TargetMode="External"/><Relationship Id="rId995" Type="http://schemas.openxmlformats.org/officeDocument/2006/relationships/hyperlink" Target="https://docs.inecelectionresults.net/elections_prod/1292/state/01/lga/06/ward/04/pu/015/015-1677403677.pdf" TargetMode="External"/><Relationship Id="rId999" Type="http://schemas.openxmlformats.org/officeDocument/2006/relationships/hyperlink" Target="https://docs.inecelectionresults.net/elections_prod/1292/state/01/lga/06/ward/04/pu/019/019-1677406043.pdf" TargetMode="External"/><Relationship Id="rId990" Type="http://schemas.openxmlformats.org/officeDocument/2006/relationships/hyperlink" Target="https://docs.inecelectionresults.net/elections_prod/1292/state/01/lga/06/ward/04/pu/009/009-1677403282.pdf" TargetMode="External"/><Relationship Id="rId1580" Type="http://schemas.openxmlformats.org/officeDocument/2006/relationships/hyperlink" Target="https://docs.inecelectionresults.net/elections_prod/1292/state/01/lga/11/ward/02/pu/006/006-1677376526.pdf" TargetMode="External"/><Relationship Id="rId1581" Type="http://schemas.openxmlformats.org/officeDocument/2006/relationships/hyperlink" Target="https://docs.inecelectionresults.net/elections_prod/1292/state/01/lga/11/ward/03/pu/001/001-1677373326.pdf" TargetMode="External"/><Relationship Id="rId1582" Type="http://schemas.openxmlformats.org/officeDocument/2006/relationships/hyperlink" Target="https://docs.inecelectionresults.net/elections_prod/1292/state/01/lga/11/ward/03/pu/002/002-1677373790.pdf" TargetMode="External"/><Relationship Id="rId994" Type="http://schemas.openxmlformats.org/officeDocument/2006/relationships/hyperlink" Target="https://docs.inecelectionresults.net/elections_prod/1292/state/01/lga/06/ward/04/pu/014/014-1677404261.pdf" TargetMode="External"/><Relationship Id="rId1583" Type="http://schemas.openxmlformats.org/officeDocument/2006/relationships/hyperlink" Target="https://docs.inecelectionresults.net/elections_prod/1292/state/01/lga/11/ward/03/pu/003/003-1677374358.pdf" TargetMode="External"/><Relationship Id="rId993" Type="http://schemas.openxmlformats.org/officeDocument/2006/relationships/hyperlink" Target="https://docs.inecelectionresults.net/elections_prod/1292/state/01/lga/06/ward/04/pu/013/013-1677398033.pdf" TargetMode="External"/><Relationship Id="rId1584" Type="http://schemas.openxmlformats.org/officeDocument/2006/relationships/hyperlink" Target="https://docs.inecelectionresults.net/elections_prod/1292/state/01/lga/11/ward/03/pu/004/004-1677374763.pdf" TargetMode="External"/><Relationship Id="rId992" Type="http://schemas.openxmlformats.org/officeDocument/2006/relationships/hyperlink" Target="https://docs.inecelectionresults.net/elections_prod/1292/state/01/lga/06/ward/04/pu/011/011-1677396820.pdf" TargetMode="External"/><Relationship Id="rId1585" Type="http://schemas.openxmlformats.org/officeDocument/2006/relationships/hyperlink" Target="https://docs.inecelectionresults.net/elections_prod/1292/state/01/lga/11/ward/03/pu/005/005-1677375128.pdf" TargetMode="External"/><Relationship Id="rId991" Type="http://schemas.openxmlformats.org/officeDocument/2006/relationships/hyperlink" Target="https://docs.inecelectionresults.net/elections_prod/1292/state/01/lga/06/ward/04/pu/010/010-1677402716.pdf" TargetMode="External"/><Relationship Id="rId1586" Type="http://schemas.openxmlformats.org/officeDocument/2006/relationships/hyperlink" Target="https://docs.inecelectionresults.net/elections_prod/1292/state/01/lga/11/ward/03/pu/006/006-1677375601.pdf" TargetMode="External"/><Relationship Id="rId1532" Type="http://schemas.openxmlformats.org/officeDocument/2006/relationships/hyperlink" Target="https://docs.inecelectionresults.net/elections_prod/1292/state/01/lga/10/ward/05/pu/002/002-1677372483.pdf" TargetMode="External"/><Relationship Id="rId2863" Type="http://schemas.openxmlformats.org/officeDocument/2006/relationships/hyperlink" Target="https://docs.inecelectionresults.net/elections_prod/1292/state/1/lga/3668/ward/23985/pu/165152/165152-1677485194.pdf" TargetMode="External"/><Relationship Id="rId1533" Type="http://schemas.openxmlformats.org/officeDocument/2006/relationships/hyperlink" Target="https://docs.inecelectionresults.net/elections_prod/1292/state/01/lga/10/ward/05/pu/003/003-1677375769.pdf" TargetMode="External"/><Relationship Id="rId2864" Type="http://schemas.openxmlformats.org/officeDocument/2006/relationships/hyperlink" Target="https://docs.inecelectionresults.net/elections_prod/1292/state/1/lga/3668/ward/23985/pu/165153/165153-1677482349.pdf" TargetMode="External"/><Relationship Id="rId1534" Type="http://schemas.openxmlformats.org/officeDocument/2006/relationships/hyperlink" Target="https://docs.inecelectionresults.net/elections_prod/1292/state/01/lga/10/ward/05/pu/004/004-1677375247.pdf" TargetMode="External"/><Relationship Id="rId2865" Type="http://schemas.openxmlformats.org/officeDocument/2006/relationships/hyperlink" Target="https://docs.inecelectionresults.net/elections_prod/1292/state/1/lga/3668/ward/23985/pu/165154/165154-1677481391.pdf" TargetMode="External"/><Relationship Id="rId1535" Type="http://schemas.openxmlformats.org/officeDocument/2006/relationships/hyperlink" Target="https://docs.inecelectionresults.net/elections_prod/1292/state/01/lga/10/ward/05/pu/005/005-1677374819.pdf" TargetMode="External"/><Relationship Id="rId2866" Type="http://schemas.openxmlformats.org/officeDocument/2006/relationships/hyperlink" Target="https://docs.inecelectionresults.net/elections_prod/1292/state/1/lga/3668/ward/23985/pu/165157/165157-1677479413.pdf" TargetMode="External"/><Relationship Id="rId1536" Type="http://schemas.openxmlformats.org/officeDocument/2006/relationships/hyperlink" Target="https://docs.inecelectionresults.net/elections_prod/1292/state/01/lga/10/ward/05/pu/006/006-1677375407.pdf" TargetMode="External"/><Relationship Id="rId2867" Type="http://schemas.openxmlformats.org/officeDocument/2006/relationships/hyperlink" Target="https://docs.inecelectionresults.net/elections_prod/1292/state/01/lga/03/ward/05/pu/030/030-1677399386.pdf" TargetMode="External"/><Relationship Id="rId1537" Type="http://schemas.openxmlformats.org/officeDocument/2006/relationships/hyperlink" Target="https://docs.inecelectionresults.net/elections_prod/1292/state/01/lga/10/ward/06/pu/001/001-1677377806.pdf" TargetMode="External"/><Relationship Id="rId2868" Type="http://schemas.openxmlformats.org/officeDocument/2006/relationships/hyperlink" Target="https://docs.inecelectionresults.net/elections_prod/1292/state/01/lga/03/ward/05/pu/031/031-1677395269.pdf" TargetMode="External"/><Relationship Id="rId1538" Type="http://schemas.openxmlformats.org/officeDocument/2006/relationships/hyperlink" Target="https://docs.inecelectionresults.net/elections_prod/1292/state/01/lga/10/ward/06/pu/002/002-1677377136.pdf" TargetMode="External"/><Relationship Id="rId2869" Type="http://schemas.openxmlformats.org/officeDocument/2006/relationships/hyperlink" Target="https://docs.inecelectionresults.net/elections_prod/1292/state/01/lga/03/ward/05/pu/032/032-1677405873.pdf" TargetMode="External"/><Relationship Id="rId1539" Type="http://schemas.openxmlformats.org/officeDocument/2006/relationships/hyperlink" Target="https://docs.inecelectionresults.net/elections_prod/1292/state/01/lga/10/ward/06/pu/003/003-1677368479.pdf" TargetMode="External"/><Relationship Id="rId949" Type="http://schemas.openxmlformats.org/officeDocument/2006/relationships/hyperlink" Target="https://docs.inecelectionresults.net/elections_prod/1292/state/01/lga/05/ward/10/pu/013/013-1677371509.pdf" TargetMode="External"/><Relationship Id="rId948" Type="http://schemas.openxmlformats.org/officeDocument/2006/relationships/hyperlink" Target="https://docs.inecelectionresults.net/elections_prod/1292/state/01/lga/05/ward/10/pu/012/012-1677370781.pdf" TargetMode="External"/><Relationship Id="rId943" Type="http://schemas.openxmlformats.org/officeDocument/2006/relationships/hyperlink" Target="https://docs.inecelectionresults.net/elections_prod/1292/state/01/lga/05/ward/10/pu/005/005-1677371742.pdf" TargetMode="External"/><Relationship Id="rId942" Type="http://schemas.openxmlformats.org/officeDocument/2006/relationships/hyperlink" Target="https://docs.inecelectionresults.net/elections_prod/1292/state/01/lga/05/ward/10/pu/004/004-1677378609.pdf" TargetMode="External"/><Relationship Id="rId941" Type="http://schemas.openxmlformats.org/officeDocument/2006/relationships/hyperlink" Target="https://docs.inecelectionresults.net/elections_prod/1292/state/01/lga/05/ward/10/pu/003/003-1677371185.pdf" TargetMode="External"/><Relationship Id="rId940" Type="http://schemas.openxmlformats.org/officeDocument/2006/relationships/hyperlink" Target="https://docs.inecelectionresults.net/elections_prod/1292/state/01/lga/05/ward/10/pu/001/001-1677370669.pdf" TargetMode="External"/><Relationship Id="rId947" Type="http://schemas.openxmlformats.org/officeDocument/2006/relationships/hyperlink" Target="https://docs.inecelectionresults.net/elections_prod/1292/state/01/lga/05/ward/10/pu/011/011-1677378082.pdf" TargetMode="External"/><Relationship Id="rId946" Type="http://schemas.openxmlformats.org/officeDocument/2006/relationships/hyperlink" Target="https://docs.inecelectionresults.net/elections_prod/1292/state/01/lga/05/ward/10/pu/010/010-1677372817.pdf" TargetMode="External"/><Relationship Id="rId945" Type="http://schemas.openxmlformats.org/officeDocument/2006/relationships/hyperlink" Target="https://inec-cvr-cache.s3.eu-west-1.amazonaws.com/cached/results/90869/result_77910_1677514888_thumb.jpg" TargetMode="External"/><Relationship Id="rId944" Type="http://schemas.openxmlformats.org/officeDocument/2006/relationships/hyperlink" Target="https://docs.inecelectionresults.net/elections_prod/1292/state/01/lga/05/ward/10/pu/008/008-1677370723.pdf" TargetMode="External"/><Relationship Id="rId2860" Type="http://schemas.openxmlformats.org/officeDocument/2006/relationships/hyperlink" Target="https://docs.inecelectionresults.net/elections_prod/1292/state/1/lga/3668/ward/23985/pu/165149/165149-1677478996.pdf" TargetMode="External"/><Relationship Id="rId1530" Type="http://schemas.openxmlformats.org/officeDocument/2006/relationships/hyperlink" Target="https://docs.inecelectionresults.net/elections_prod/1292/state/01/lga/10/ward/04/pu/007/007-1677361756.pdf" TargetMode="External"/><Relationship Id="rId2861" Type="http://schemas.openxmlformats.org/officeDocument/2006/relationships/hyperlink" Target="https://docs.inecelectionresults.net/elections_prod/1292/state/1/lga/3668/ward/23985/pu/165150/165150-1677482183.pdf" TargetMode="External"/><Relationship Id="rId1531" Type="http://schemas.openxmlformats.org/officeDocument/2006/relationships/hyperlink" Target="https://docs.inecelectionresults.net/elections_prod/1292/state/01/lga/10/ward/05/pu/001/001-1677374143.pdf" TargetMode="External"/><Relationship Id="rId2862" Type="http://schemas.openxmlformats.org/officeDocument/2006/relationships/hyperlink" Target="https://docs.inecelectionresults.net/elections_prod/1292/state/1/lga/3668/ward/23985/pu/165151/165151-1677481761.pdf" TargetMode="External"/><Relationship Id="rId1521" Type="http://schemas.openxmlformats.org/officeDocument/2006/relationships/hyperlink" Target="https://docs.inecelectionresults.net/elections_prod/1292/state/01/lga/10/ward/03/pu/009/009-1677358768.pdf" TargetMode="External"/><Relationship Id="rId2852" Type="http://schemas.openxmlformats.org/officeDocument/2006/relationships/hyperlink" Target="https://docs.inecelectionresults.net/elections_prod/1292/state/01/lga/03/ward/14/pu/020/020-1677393393.pdf" TargetMode="External"/><Relationship Id="rId1522" Type="http://schemas.openxmlformats.org/officeDocument/2006/relationships/hyperlink" Target="https://docs.inecelectionresults.net/elections_prod/1292/state/01/lga/10/ward/03/pu/011/011-1677358890.pdf" TargetMode="External"/><Relationship Id="rId2853" Type="http://schemas.openxmlformats.org/officeDocument/2006/relationships/hyperlink" Target="https://docs.inecelectionresults.net/elections_prod/1292/state/01/lga/03/ward/14/pu/021/021-1677386391.pdf" TargetMode="External"/><Relationship Id="rId1523" Type="http://schemas.openxmlformats.org/officeDocument/2006/relationships/hyperlink" Target="https://docs.inecelectionresults.net/elections_prod/1292/state/01/lga/10/ward/03/pu/013/013-1677359228.pdf" TargetMode="External"/><Relationship Id="rId2854" Type="http://schemas.openxmlformats.org/officeDocument/2006/relationships/hyperlink" Target="https://docs.inecelectionresults.net/elections_prod/1292/state/01/lga/03/ward/14/pu/022/022-1677391601.pdf" TargetMode="External"/><Relationship Id="rId1524" Type="http://schemas.openxmlformats.org/officeDocument/2006/relationships/hyperlink" Target="https://docs.inecelectionresults.net/elections_prod/1292/state/01/lga/10/ward/03/pu/014/014-1677364584.pdf" TargetMode="External"/><Relationship Id="rId2855" Type="http://schemas.openxmlformats.org/officeDocument/2006/relationships/hyperlink" Target="https://docs.inecelectionresults.net/elections_prod/1292/state/01/lga/03/ward/14/pu/023/023-1677392926.pdf" TargetMode="External"/><Relationship Id="rId1525" Type="http://schemas.openxmlformats.org/officeDocument/2006/relationships/hyperlink" Target="https://docs.inecelectionresults.net/elections_prod/1292/state/01/lga/10/ward/04/pu/001/001-1677359185.pdf" TargetMode="External"/><Relationship Id="rId2856" Type="http://schemas.openxmlformats.org/officeDocument/2006/relationships/hyperlink" Target="https://docs.inecelectionresults.net/elections_prod/1292/state/1/lga/3668/ward/23985/pu/165145/165145-1677478008.pdf" TargetMode="External"/><Relationship Id="rId1526" Type="http://schemas.openxmlformats.org/officeDocument/2006/relationships/hyperlink" Target="https://docs.inecelectionresults.net/elections_prod/1292/state/01/lga/10/ward/04/pu/002/002-1677360006.pdf" TargetMode="External"/><Relationship Id="rId2857" Type="http://schemas.openxmlformats.org/officeDocument/2006/relationships/hyperlink" Target="https://docs.inecelectionresults.net/elections_prod/1292/state/1/lga/3668/ward/23985/pu/165146/165146-1677485465.pdf" TargetMode="External"/><Relationship Id="rId1527" Type="http://schemas.openxmlformats.org/officeDocument/2006/relationships/hyperlink" Target="https://docs.inecelectionresults.net/elections_prod/1292/state/01/lga/10/ward/04/pu/003/003-1677360221.pdf" TargetMode="External"/><Relationship Id="rId2858" Type="http://schemas.openxmlformats.org/officeDocument/2006/relationships/hyperlink" Target="https://docs.inecelectionresults.net/elections_prod/1292/state/01/lga/03/ward/05/pu/019/019-1677405433.pdf" TargetMode="External"/><Relationship Id="rId1528" Type="http://schemas.openxmlformats.org/officeDocument/2006/relationships/hyperlink" Target="https://docs.inecelectionresults.net/elections_prod/1292/state/01/lga/10/ward/04/pu/004/004-1677362553.pdf" TargetMode="External"/><Relationship Id="rId2859" Type="http://schemas.openxmlformats.org/officeDocument/2006/relationships/hyperlink" Target="https://docs.inecelectionresults.net/elections_prod/1292/state/01/lga/03/ward/05/pu/020/020-1677406427.pdf" TargetMode="External"/><Relationship Id="rId1529" Type="http://schemas.openxmlformats.org/officeDocument/2006/relationships/hyperlink" Target="https://docs.inecelectionresults.net/elections_prod/1292/state/01/lga/10/ward/04/pu/006/006-1677361689.pdf" TargetMode="External"/><Relationship Id="rId939" Type="http://schemas.openxmlformats.org/officeDocument/2006/relationships/hyperlink" Target="https://docs.inecelectionresults.net/elections_prod/1292/state/01/lga/05/ward/09/pu/010/010-1677405655.pdf" TargetMode="External"/><Relationship Id="rId938" Type="http://schemas.openxmlformats.org/officeDocument/2006/relationships/hyperlink" Target="https://inec-cvr-cache.s3.eu-west-1.amazonaws.com/cached/results/90859/result_77889_1677529009_thumb.jpg" TargetMode="External"/><Relationship Id="rId937" Type="http://schemas.openxmlformats.org/officeDocument/2006/relationships/hyperlink" Target="https://docs.inecelectionresults.net/elections_prod/1292/state/01/lga/05/ward/09/pu/007/007-1677405552.pdf" TargetMode="External"/><Relationship Id="rId932" Type="http://schemas.openxmlformats.org/officeDocument/2006/relationships/hyperlink" Target="https://docs.inecelectionresults.net/elections_prod/1292/state/01/lga/05/ward/09/pu/001/001-1677403777.pdf" TargetMode="External"/><Relationship Id="rId931" Type="http://schemas.openxmlformats.org/officeDocument/2006/relationships/hyperlink" Target="https://docs.inecelectionresults.net/elections_prod/1292/state/01/lga/05/ward/08/pu/017/017-1677376618.pdf" TargetMode="External"/><Relationship Id="rId930" Type="http://schemas.openxmlformats.org/officeDocument/2006/relationships/hyperlink" Target="https://docs.inecelectionresults.net/elections_prod/1292/state/01/lga/05/ward/08/pu/016/016-1677372285.pdf" TargetMode="External"/><Relationship Id="rId936" Type="http://schemas.openxmlformats.org/officeDocument/2006/relationships/hyperlink" Target="https://docs.inecelectionresults.net/elections_prod/1292/state/01/lga/05/ward/09/pu/006/006-1677387309.pdf" TargetMode="External"/><Relationship Id="rId935" Type="http://schemas.openxmlformats.org/officeDocument/2006/relationships/hyperlink" Target="https://docs.inecelectionresults.net/elections_prod/1292/state/01/lga/05/ward/09/pu/005/005-1677406372.pdf" TargetMode="External"/><Relationship Id="rId934" Type="http://schemas.openxmlformats.org/officeDocument/2006/relationships/hyperlink" Target="https://docs.inecelectionresults.net/elections_prod/1292/state/01/lga/05/ward/09/pu/004/004-1677385540.pdf" TargetMode="External"/><Relationship Id="rId933" Type="http://schemas.openxmlformats.org/officeDocument/2006/relationships/hyperlink" Target="https://docs.inecelectionresults.net/elections_prod/1292/state/01/lga/05/ward/09/pu/002/002-1677405768.pdf" TargetMode="External"/><Relationship Id="rId2850" Type="http://schemas.openxmlformats.org/officeDocument/2006/relationships/hyperlink" Target="https://docs.inecelectionresults.net/elections_prod/1292/state/01/lga/03/ward/14/pu/018/018-1677384612.pdf" TargetMode="External"/><Relationship Id="rId1520" Type="http://schemas.openxmlformats.org/officeDocument/2006/relationships/hyperlink" Target="https://docs.inecelectionresults.net/elections_prod/1292/state/01/lga/10/ward/03/pu/007/007-1677360955.pdf" TargetMode="External"/><Relationship Id="rId2851" Type="http://schemas.openxmlformats.org/officeDocument/2006/relationships/hyperlink" Target="https://docs.inecelectionresults.net/elections_prod/1292/state/01/lga/03/ward/14/pu/019/019-1677387826.pdf" TargetMode="External"/><Relationship Id="rId1554" Type="http://schemas.openxmlformats.org/officeDocument/2006/relationships/hyperlink" Target="https://docs.inecelectionresults.net/elections_prod/1292/state/01/lga/10/ward/08/pu/002/002-1677392491.pdf" TargetMode="External"/><Relationship Id="rId2885" Type="http://schemas.openxmlformats.org/officeDocument/2006/relationships/hyperlink" Target="https://docs.inecelectionresults.net/elections_prod/1292/state/01/lga/03/ward/05/pu/049/049-1677400289.pdf" TargetMode="External"/><Relationship Id="rId1555" Type="http://schemas.openxmlformats.org/officeDocument/2006/relationships/hyperlink" Target="https://docs.inecelectionresults.net/elections_prod/1292/state/01/lga/10/ward/08/pu/003/003-1677394030.pdf" TargetMode="External"/><Relationship Id="rId2886" Type="http://schemas.openxmlformats.org/officeDocument/2006/relationships/hyperlink" Target="https://docs.inecelectionresults.net/elections_prod/1292/state/1/lga/3668/ward/23985/pu/165178/165178-1677480024.pdf" TargetMode="External"/><Relationship Id="rId1556" Type="http://schemas.openxmlformats.org/officeDocument/2006/relationships/hyperlink" Target="https://docs.inecelectionresults.net/elections_prod/1292/state/01/lga/10/ward/08/pu/004/004-1677375505.pdf" TargetMode="External"/><Relationship Id="rId2887" Type="http://schemas.openxmlformats.org/officeDocument/2006/relationships/hyperlink" Target="https://docs.inecelectionresults.net/elections_prod/1292/state/01/lga/03/ward/05/pu/051/051-1677408627.pdf" TargetMode="External"/><Relationship Id="rId1557" Type="http://schemas.openxmlformats.org/officeDocument/2006/relationships/hyperlink" Target="https://docs.inecelectionresults.net/elections_prod/1292/state/01/lga/10/ward/08/pu/005/005-1677372996.pdf" TargetMode="External"/><Relationship Id="rId2888" Type="http://schemas.openxmlformats.org/officeDocument/2006/relationships/hyperlink" Target="https://docs.inecelectionresults.net/elections_prod/1292/state/01/lga/03/ward/05/pu/052/052-1677407702.pdf" TargetMode="External"/><Relationship Id="rId1558" Type="http://schemas.openxmlformats.org/officeDocument/2006/relationships/hyperlink" Target="https://docs.inecelectionresults.net/elections_prod/1292/state/01/lga/10/ward/08/pu/006/006-1677377972.pdf" TargetMode="External"/><Relationship Id="rId2889" Type="http://schemas.openxmlformats.org/officeDocument/2006/relationships/hyperlink" Target="https://docs.inecelectionresults.net/elections_prod/1292/state/01/lga/03/ward/05/pu/053/053-1677412343.pdf" TargetMode="External"/><Relationship Id="rId1559" Type="http://schemas.openxmlformats.org/officeDocument/2006/relationships/hyperlink" Target="https://docs.inecelectionresults.net/elections_prod/1292/state/01/lga/10/ward/08/pu/007/007-1677375294.pdf" TargetMode="External"/><Relationship Id="rId965" Type="http://schemas.openxmlformats.org/officeDocument/2006/relationships/hyperlink" Target="https://docs.inecelectionresults.net/elections_prod/1292/state/01/lga/06/ward/01/pu/012/012-1677395825.pdf" TargetMode="External"/><Relationship Id="rId964" Type="http://schemas.openxmlformats.org/officeDocument/2006/relationships/hyperlink" Target="https://docs.inecelectionresults.net/elections_prod/1292/state/01/lga/06/ward/01/pu/011/011-1677400076.pdf" TargetMode="External"/><Relationship Id="rId963" Type="http://schemas.openxmlformats.org/officeDocument/2006/relationships/hyperlink" Target="https://docs.inecelectionresults.net/elections_prod/1292/state/01/lga/06/ward/01/pu/010/010-1677398847.pdf" TargetMode="External"/><Relationship Id="rId962" Type="http://schemas.openxmlformats.org/officeDocument/2006/relationships/hyperlink" Target="https://docs.inecelectionresults.net/elections_prod/1292/state/01/lga/06/ward/01/pu/009/009-1677388141.pdf" TargetMode="External"/><Relationship Id="rId969" Type="http://schemas.openxmlformats.org/officeDocument/2006/relationships/hyperlink" Target="https://docs.inecelectionresults.net/elections_prod/1292/state/01/lga/06/ward/01/pu/019/019-1677391853.pdf" TargetMode="External"/><Relationship Id="rId968" Type="http://schemas.openxmlformats.org/officeDocument/2006/relationships/hyperlink" Target="https://docs.inecelectionresults.net/elections_prod/1292/state/01/lga/06/ward/01/pu/018/018-1677399404.pdf" TargetMode="External"/><Relationship Id="rId967" Type="http://schemas.openxmlformats.org/officeDocument/2006/relationships/hyperlink" Target="https://docs.inecelectionresults.net/elections_prod/1292/state/01/lga/06/ward/01/pu/016/016-1677390649.pdf" TargetMode="External"/><Relationship Id="rId966" Type="http://schemas.openxmlformats.org/officeDocument/2006/relationships/hyperlink" Target="https://docs.inecelectionresults.net/elections_prod/1292/state/01/lga/06/ward/01/pu/015/015-1677392947.pdf" TargetMode="External"/><Relationship Id="rId2880" Type="http://schemas.openxmlformats.org/officeDocument/2006/relationships/hyperlink" Target="https://docs.inecelectionresults.net/elections_prod/1292/state/1/lga/3668/ward/23985/pu/165172/165172-1677483453.pdf" TargetMode="External"/><Relationship Id="rId961" Type="http://schemas.openxmlformats.org/officeDocument/2006/relationships/hyperlink" Target="https://docs.inecelectionresults.net/elections_prod/1292/state/01/lga/06/ward/01/pu/008/008-1677390025.pdf" TargetMode="External"/><Relationship Id="rId1550" Type="http://schemas.openxmlformats.org/officeDocument/2006/relationships/hyperlink" Target="https://docs.inecelectionresults.net/elections_prod/1292/state/01/lga/10/ward/07/pu/007/007-1677367926.pdf" TargetMode="External"/><Relationship Id="rId2881" Type="http://schemas.openxmlformats.org/officeDocument/2006/relationships/hyperlink" Target="https://docs.inecelectionresults.net/elections_prod/1292/state/01/lga/03/ward/05/pu/045/045-1677406575.pdf" TargetMode="External"/><Relationship Id="rId960" Type="http://schemas.openxmlformats.org/officeDocument/2006/relationships/hyperlink" Target="https://docs.inecelectionresults.net/elections_prod/1292/state/01/lga/06/ward/01/pu/007/007-1677399482.pdf" TargetMode="External"/><Relationship Id="rId1551" Type="http://schemas.openxmlformats.org/officeDocument/2006/relationships/hyperlink" Target="https://docs.inecelectionresults.net/elections_prod/1292/state/01/lga/10/ward/07/pu/008/008-1677361426.pdf" TargetMode="External"/><Relationship Id="rId2882" Type="http://schemas.openxmlformats.org/officeDocument/2006/relationships/hyperlink" Target="https://docs.inecelectionresults.net/elections_prod/1292/state/01/lga/03/ward/05/pu/046/046-1677397452.pdf" TargetMode="External"/><Relationship Id="rId1552" Type="http://schemas.openxmlformats.org/officeDocument/2006/relationships/hyperlink" Target="https://docs.inecelectionresults.net/elections_prod/1292/state/01/lga/10/ward/07/pu/009/009-1677371994.pdf" TargetMode="External"/><Relationship Id="rId2883" Type="http://schemas.openxmlformats.org/officeDocument/2006/relationships/hyperlink" Target="https://docs.inecelectionresults.net/elections_prod/1292/state/1/lga/3668/ward/23985/pu/165175/165175-1677488759.pdf" TargetMode="External"/><Relationship Id="rId1553" Type="http://schemas.openxmlformats.org/officeDocument/2006/relationships/hyperlink" Target="https://docs.inecelectionresults.net/elections_prod/1292/state/01/lga/10/ward/08/pu/001/001-1677374255.pdf" TargetMode="External"/><Relationship Id="rId2884" Type="http://schemas.openxmlformats.org/officeDocument/2006/relationships/hyperlink" Target="https://docs.inecelectionresults.net/elections_prod/1292/state/01/lga/03/ward/05/pu/048/048-1677401861.pdf" TargetMode="External"/><Relationship Id="rId1543" Type="http://schemas.openxmlformats.org/officeDocument/2006/relationships/hyperlink" Target="https://docs.inecelectionresults.net/elections_prod/1292/state/01/lga/10/ward/06/pu/008/008-1677372866.pdf" TargetMode="External"/><Relationship Id="rId2874" Type="http://schemas.openxmlformats.org/officeDocument/2006/relationships/hyperlink" Target="https://docs.inecelectionresults.net/elections_prod/1292/state/1/lga/3668/ward/23985/pu/165165/165165-1677483737.pdf" TargetMode="External"/><Relationship Id="rId1544" Type="http://schemas.openxmlformats.org/officeDocument/2006/relationships/hyperlink" Target="https://docs.inecelectionresults.net/elections_prod/1292/state/01/lga/10/ward/07/pu/001/001-1677362909.pdf" TargetMode="External"/><Relationship Id="rId2875" Type="http://schemas.openxmlformats.org/officeDocument/2006/relationships/hyperlink" Target="https://docs.inecelectionresults.net/elections_prod/1292/state/01/lga/03/ward/05/pu/038/038-1677398630.pdf" TargetMode="External"/><Relationship Id="rId1545" Type="http://schemas.openxmlformats.org/officeDocument/2006/relationships/hyperlink" Target="https://docs.inecelectionresults.net/elections_prod/1292/state/01/lga/10/ward/07/pu/002/002-1677365333.pdf" TargetMode="External"/><Relationship Id="rId2876" Type="http://schemas.openxmlformats.org/officeDocument/2006/relationships/hyperlink" Target="https://docs.inecelectionresults.net/elections_prod/1292/state/01/lga/03/ward/05/pu/039/039-1677407201.pdf" TargetMode="External"/><Relationship Id="rId1546" Type="http://schemas.openxmlformats.org/officeDocument/2006/relationships/hyperlink" Target="https://docs.inecelectionresults.net/elections_prod/1292/state/01/lga/10/ward/07/pu/003/003-1677388446.pdf" TargetMode="External"/><Relationship Id="rId2877" Type="http://schemas.openxmlformats.org/officeDocument/2006/relationships/hyperlink" Target="https://docs.inecelectionresults.net/elections_prod/1292/state/01/lga/03/ward/05/pu/040/040-1677398356.pdf" TargetMode="External"/><Relationship Id="rId1547" Type="http://schemas.openxmlformats.org/officeDocument/2006/relationships/hyperlink" Target="https://docs.inecelectionresults.net/elections_prod/1292/state/01/lga/10/ward/07/pu/004/004-1677386981.pdf" TargetMode="External"/><Relationship Id="rId2878" Type="http://schemas.openxmlformats.org/officeDocument/2006/relationships/hyperlink" Target="https://docs.inecelectionresults.net/elections_prod/1292/state/1/lga/3668/ward/23985/pu/165169/165169-1677494752.pdf" TargetMode="External"/><Relationship Id="rId1548" Type="http://schemas.openxmlformats.org/officeDocument/2006/relationships/hyperlink" Target="https://docs.inecelectionresults.net/elections_prod/1292/state/01/lga/10/ward/07/pu/005/005-1677365490.pdf" TargetMode="External"/><Relationship Id="rId2879" Type="http://schemas.openxmlformats.org/officeDocument/2006/relationships/hyperlink" Target="https://docs.inecelectionresults.net/elections_prod/1292/state/1/lga/3668/ward/23985/pu/165170/165170-1677481968.pdf" TargetMode="External"/><Relationship Id="rId1549" Type="http://schemas.openxmlformats.org/officeDocument/2006/relationships/hyperlink" Target="https://docs.inecelectionresults.net/elections_prod/1292/state/01/lga/10/ward/07/pu/006/006-1677365634.pdf" TargetMode="External"/><Relationship Id="rId959" Type="http://schemas.openxmlformats.org/officeDocument/2006/relationships/hyperlink" Target="https://docs.inecelectionresults.net/elections_prod/1292/state/01/lga/06/ward/01/pu/006/006-1677397149.pdf" TargetMode="External"/><Relationship Id="rId954" Type="http://schemas.openxmlformats.org/officeDocument/2006/relationships/hyperlink" Target="https://docs.inecelectionresults.net/elections_prod/1292/state/01/lga/06/ward/01/pu/001/001-1677399681.pdf" TargetMode="External"/><Relationship Id="rId953" Type="http://schemas.openxmlformats.org/officeDocument/2006/relationships/hyperlink" Target="https://docs.inecelectionresults.net/elections_prod/1292/state/01/lga/05/ward/10/pu/018/018-1677373513.pdf" TargetMode="External"/><Relationship Id="rId952" Type="http://schemas.openxmlformats.org/officeDocument/2006/relationships/hyperlink" Target="https://docs.inecelectionresults.net/elections_prod/1292/state/01/lga/05/ward/10/pu/017/017-1677371032.pdf" TargetMode="External"/><Relationship Id="rId951" Type="http://schemas.openxmlformats.org/officeDocument/2006/relationships/hyperlink" Target="https://docs.inecelectionresults.net/elections_prod/1292/state/01/lga/05/ward/10/pu/015/015-1677381499.pdf" TargetMode="External"/><Relationship Id="rId958" Type="http://schemas.openxmlformats.org/officeDocument/2006/relationships/hyperlink" Target="https://docs.inecelectionresults.net/elections_prod/1292/state/01/lga/06/ward/01/pu/005/005-1677398602.pdf" TargetMode="External"/><Relationship Id="rId957" Type="http://schemas.openxmlformats.org/officeDocument/2006/relationships/hyperlink" Target="https://docs.inecelectionresults.net/elections_prod/1292/state/01/lga/06/ward/01/pu/004/004-1677397612.pdf" TargetMode="External"/><Relationship Id="rId956" Type="http://schemas.openxmlformats.org/officeDocument/2006/relationships/hyperlink" Target="https://docs.inecelectionresults.net/elections_prod/1292/state/01/lga/06/ward/01/pu/003/003-1677396421.pdf" TargetMode="External"/><Relationship Id="rId955" Type="http://schemas.openxmlformats.org/officeDocument/2006/relationships/hyperlink" Target="https://docs.inecelectionresults.net/elections_prod/1292/state/01/lga/06/ward/01/pu/002/002-1677393486.pdf" TargetMode="External"/><Relationship Id="rId950" Type="http://schemas.openxmlformats.org/officeDocument/2006/relationships/hyperlink" Target="https://docs.inecelectionresults.net/elections_prod/1292/state/01/lga/05/ward/10/pu/014/014-1677372222.pdf" TargetMode="External"/><Relationship Id="rId2870" Type="http://schemas.openxmlformats.org/officeDocument/2006/relationships/hyperlink" Target="https://docs.inecelectionresults.net/elections_prod/1292/state/01/lga/03/ward/05/pu/033/033-1677375282.pdf" TargetMode="External"/><Relationship Id="rId1540" Type="http://schemas.openxmlformats.org/officeDocument/2006/relationships/hyperlink" Target="https://docs.inecelectionresults.net/elections_prod/1292/state/01/lga/10/ward/06/pu/004/004-1677375818.pdf" TargetMode="External"/><Relationship Id="rId2871" Type="http://schemas.openxmlformats.org/officeDocument/2006/relationships/hyperlink" Target="https://docs.inecelectionresults.net/elections_prod/1292/state/1/lga/3668/ward/23985/pu/165162/165162-1677479777.pdf" TargetMode="External"/><Relationship Id="rId1541" Type="http://schemas.openxmlformats.org/officeDocument/2006/relationships/hyperlink" Target="https://docs.inecelectionresults.net/elections_prod/1292/state/01/lga/10/ward/06/pu/006/006-1677359536.pdf" TargetMode="External"/><Relationship Id="rId2872" Type="http://schemas.openxmlformats.org/officeDocument/2006/relationships/hyperlink" Target="https://docs.inecelectionresults.net/elections_prod/1292/state/01/lga/03/ward/05/pu/035/035-1677400520.pdf" TargetMode="External"/><Relationship Id="rId1542" Type="http://schemas.openxmlformats.org/officeDocument/2006/relationships/hyperlink" Target="https://docs.inecelectionresults.net/elections_prod/1292/state/01/lga/10/ward/06/pu/007/007-1677373606.pdf" TargetMode="External"/><Relationship Id="rId2873" Type="http://schemas.openxmlformats.org/officeDocument/2006/relationships/hyperlink" Target="https://docs.inecelectionresults.net/elections_prod/1292/state/1/lga/3668/ward/23985/pu/165164/165164-1677480985.pdf" TargetMode="External"/><Relationship Id="rId2027" Type="http://schemas.openxmlformats.org/officeDocument/2006/relationships/hyperlink" Target="https://inec-cvr-cache.s3.eu-west-1.amazonaws.com/cached/results/92232/result_80038_1677488251_thumb.jpg" TargetMode="External"/><Relationship Id="rId3359" Type="http://schemas.openxmlformats.org/officeDocument/2006/relationships/hyperlink" Target="https://docs.inecelectionresults.net/elections_prod/1292/state/01/lga/07/ward/03/pu/040/040-1677390370.pdf" TargetMode="External"/><Relationship Id="rId2028" Type="http://schemas.openxmlformats.org/officeDocument/2006/relationships/hyperlink" Target="https://inec-cvr-cache.s3.eu-west-1.amazonaws.com/cached/results/92233/result_80039_1677489653_thumb.jpg" TargetMode="External"/><Relationship Id="rId3358" Type="http://schemas.openxmlformats.org/officeDocument/2006/relationships/hyperlink" Target="https://docs.inecelectionresults.net/elections_prod/1292/state/01/lga/07/ward/03/pu/039/039-1677391446.pdf" TargetMode="External"/><Relationship Id="rId2029" Type="http://schemas.openxmlformats.org/officeDocument/2006/relationships/hyperlink" Target="https://inec-cvr-cache.s3.eu-west-1.amazonaws.com/cached/results/92234/result_80040_1677490554_thumb.jpg" TargetMode="External"/><Relationship Id="rId107" Type="http://schemas.openxmlformats.org/officeDocument/2006/relationships/hyperlink" Target="https://docs.inecelectionresults.net/elections_prod/1292/state/1/lga/3666/ward/23960/pu/90916/90916-1677477876.pdf" TargetMode="External"/><Relationship Id="rId106" Type="http://schemas.openxmlformats.org/officeDocument/2006/relationships/hyperlink" Target="https://docs.inecelectionresults.net/elections_prod/1292/state/01/lga/01/ward/11/pu/003/003-1677428638.pdf" TargetMode="External"/><Relationship Id="rId105" Type="http://schemas.openxmlformats.org/officeDocument/2006/relationships/hyperlink" Target="https://docs.inecelectionresults.net/elections_prod/1292/state/01/lga/01/ward/11/pu/002/002-1677410414.pdf" TargetMode="External"/><Relationship Id="rId104" Type="http://schemas.openxmlformats.org/officeDocument/2006/relationships/hyperlink" Target="https://docs.inecelectionresults.net/elections_prod/1292/state/01/lga/01/ward/11/pu/001/001-1677426927.pdf" TargetMode="External"/><Relationship Id="rId109" Type="http://schemas.openxmlformats.org/officeDocument/2006/relationships/hyperlink" Target="https://docs.inecelectionresults.net/elections_prod/1292/state/01/lga/01/ward/11/pu/006/006-1677417814.pdf" TargetMode="External"/><Relationship Id="rId108" Type="http://schemas.openxmlformats.org/officeDocument/2006/relationships/hyperlink" Target="https://docs.inecelectionresults.net/elections_prod/1292/state/01/lga/01/ward/11/pu/005/005-1677409172.pdf" TargetMode="External"/><Relationship Id="rId3351" Type="http://schemas.openxmlformats.org/officeDocument/2006/relationships/hyperlink" Target="https://docs.inecelectionresults.net/elections_prod/1292/state/01/lga/07/ward/03/pu/032/032-1677388938.pdf" TargetMode="External"/><Relationship Id="rId2020" Type="http://schemas.openxmlformats.org/officeDocument/2006/relationships/hyperlink" Target="https://docs.inecelectionresults.net/elections_prod/1292/state/01/lga/15/ward/07/pu/016/016-1677422597.pdf" TargetMode="External"/><Relationship Id="rId3350" Type="http://schemas.openxmlformats.org/officeDocument/2006/relationships/hyperlink" Target="https://docs.inecelectionresults.net/elections_prod/1292/state/1/lga/3672/ward/24030/pu/165602/165602-1677492346.pdf" TargetMode="External"/><Relationship Id="rId2021" Type="http://schemas.openxmlformats.org/officeDocument/2006/relationships/hyperlink" Target="https://docs.inecelectionresults.net/elections_prod/1292/state/01/lga/15/ward/07/pu/017/017-1677417346.pdf" TargetMode="External"/><Relationship Id="rId3353" Type="http://schemas.openxmlformats.org/officeDocument/2006/relationships/hyperlink" Target="https://docs.inecelectionresults.net/elections_prod/1292/state/1/lga/3672/ward/24030/pu/165605/165605-1677492704.pdf" TargetMode="External"/><Relationship Id="rId2022" Type="http://schemas.openxmlformats.org/officeDocument/2006/relationships/hyperlink" Target="https://docs.inecelectionresults.net/elections_prod/1292/state/01/lga/15/ward/07/pu/018/018-1677424145.pdf" TargetMode="External"/><Relationship Id="rId3352" Type="http://schemas.openxmlformats.org/officeDocument/2006/relationships/hyperlink" Target="https://docs.inecelectionresults.net/elections_prod/1292/state/1/lga/3672/ward/24030/pu/165604/165604-1677492561.pdf" TargetMode="External"/><Relationship Id="rId103" Type="http://schemas.openxmlformats.org/officeDocument/2006/relationships/hyperlink" Target="https://docs.inecelectionresults.net/elections_prod/1292/state/01/lga/01/ward/10/pu/015/015-1677421772.pdf" TargetMode="External"/><Relationship Id="rId2023" Type="http://schemas.openxmlformats.org/officeDocument/2006/relationships/hyperlink" Target="https://docs.inecelectionresults.net/elections_prod/1292/state/01/lga/15/ward/07/pu/019/019-1677423784.pdf" TargetMode="External"/><Relationship Id="rId3355" Type="http://schemas.openxmlformats.org/officeDocument/2006/relationships/hyperlink" Target="https://docs.inecelectionresults.net/elections_prod/1292/state/01/lga/07/ward/03/pu/036/036-1677391871.pdf" TargetMode="External"/><Relationship Id="rId102" Type="http://schemas.openxmlformats.org/officeDocument/2006/relationships/hyperlink" Target="https://docs.inecelectionresults.net/elections_prod/1292/state/01/lga/01/ward/10/pu/013/013-1677420952.pdf" TargetMode="External"/><Relationship Id="rId2024" Type="http://schemas.openxmlformats.org/officeDocument/2006/relationships/hyperlink" Target="https://docs.inecelectionresults.net/elections_prod/1292/state/01/lga/15/ward/07/pu/020/020-1677420882.pdf" TargetMode="External"/><Relationship Id="rId3354" Type="http://schemas.openxmlformats.org/officeDocument/2006/relationships/hyperlink" Target="https://docs.inecelectionresults.net/elections_prod/1292/state/01/lga/07/ward/03/pu/035/035-1677391404.pdf" TargetMode="External"/><Relationship Id="rId101" Type="http://schemas.openxmlformats.org/officeDocument/2006/relationships/hyperlink" Target="https://docs.inecelectionresults.net/elections_prod/1292/state/01/lga/01/ward/10/pu/012/012-1677420444.pdf" TargetMode="External"/><Relationship Id="rId2025" Type="http://schemas.openxmlformats.org/officeDocument/2006/relationships/hyperlink" Target="https://docs.inecelectionresults.net/elections_prod/1292/state/01/lga/15/ward/07/pu/021/021-1677420127.pdf" TargetMode="External"/><Relationship Id="rId3357" Type="http://schemas.openxmlformats.org/officeDocument/2006/relationships/hyperlink" Target="https://docs.inecelectionresults.net/elections_prod/1292/state/01/lga/07/ward/03/pu/038/038-1677390603.pdf" TargetMode="External"/><Relationship Id="rId100" Type="http://schemas.openxmlformats.org/officeDocument/2006/relationships/hyperlink" Target="https://docs.inecelectionresults.net/elections_prod/1292/state/01/lga/01/ward/10/pu/011/011-1677420001.pdf" TargetMode="External"/><Relationship Id="rId2026" Type="http://schemas.openxmlformats.org/officeDocument/2006/relationships/hyperlink" Target="https://docs.inecelectionresults.net/elections_prod/1292/state/01/lga/15/ward/07/pu/022/022-1677424956.pdf" TargetMode="External"/><Relationship Id="rId3356" Type="http://schemas.openxmlformats.org/officeDocument/2006/relationships/hyperlink" Target="https://docs.inecelectionresults.net/elections_prod/1292/state/01/lga/07/ward/03/pu/037/037-1677391303.pdf" TargetMode="External"/><Relationship Id="rId2016" Type="http://schemas.openxmlformats.org/officeDocument/2006/relationships/hyperlink" Target="https://docs.inecelectionresults.net/elections_prod/1292/state/01/lga/15/ward/07/pu/011/011-1677414384.pdf" TargetMode="External"/><Relationship Id="rId3348" Type="http://schemas.openxmlformats.org/officeDocument/2006/relationships/hyperlink" Target="https://docs.inecelectionresults.net/elections_prod/1292/state/1/lga/3672/ward/24030/pu/165600/165600-1677491898.pdf" TargetMode="External"/><Relationship Id="rId2017" Type="http://schemas.openxmlformats.org/officeDocument/2006/relationships/hyperlink" Target="https://docs.inecelectionresults.net/elections_prod/1292/state/01/lga/15/ward/07/pu/012/012-1677424778.pdf" TargetMode="External"/><Relationship Id="rId3347" Type="http://schemas.openxmlformats.org/officeDocument/2006/relationships/hyperlink" Target="https://docs.inecelectionresults.net/elections_prod/1292/state/01/lga/07/ward/03/pu/028/028-1677390470.pdf" TargetMode="External"/><Relationship Id="rId2018" Type="http://schemas.openxmlformats.org/officeDocument/2006/relationships/hyperlink" Target="https://docs.inecelectionresults.net/elections_prod/1292/state/01/lga/15/ward/07/pu/013/013-1677419204.pdf" TargetMode="External"/><Relationship Id="rId2019" Type="http://schemas.openxmlformats.org/officeDocument/2006/relationships/hyperlink" Target="https://docs.inecelectionresults.net/elections_prod/1292/state/01/lga/15/ward/07/pu/014/014-1677426534.pdf" TargetMode="External"/><Relationship Id="rId3349" Type="http://schemas.openxmlformats.org/officeDocument/2006/relationships/hyperlink" Target="https://docs.inecelectionresults.net/elections_prod/1292/state/1/lga/3672/ward/24030/pu/165601/165601-1677492046.pdf" TargetMode="External"/><Relationship Id="rId3340" Type="http://schemas.openxmlformats.org/officeDocument/2006/relationships/hyperlink" Target="https://docs.inecelectionresults.net/elections_prod/1292/state/01/lga/07/ward/02/pu/022/022-1677403023.pdf" TargetMode="External"/><Relationship Id="rId2010" Type="http://schemas.openxmlformats.org/officeDocument/2006/relationships/hyperlink" Target="https://docs.inecelectionresults.net/elections_prod/1292/state/01/lga/15/ward/07/pu/005/005-1677424262.pdf" TargetMode="External"/><Relationship Id="rId3342" Type="http://schemas.openxmlformats.org/officeDocument/2006/relationships/hyperlink" Target="https://docs.inecelectionresults.net/elections_prod/1292/state/1/lga/3672/ward/24029/pu/165593/165593-1677506069.pdf" TargetMode="External"/><Relationship Id="rId2011" Type="http://schemas.openxmlformats.org/officeDocument/2006/relationships/hyperlink" Target="https://docs.inecelectionresults.net/elections_prod/1292/state/01/lga/15/ward/07/pu/006/006-1677422795.pdf" TargetMode="External"/><Relationship Id="rId3341" Type="http://schemas.openxmlformats.org/officeDocument/2006/relationships/hyperlink" Target="https://docs.inecelectionresults.net/elections_prod/1292/state/01/lga/07/ward/02/pu/023/023-1677381566.pdf" TargetMode="External"/><Relationship Id="rId2012" Type="http://schemas.openxmlformats.org/officeDocument/2006/relationships/hyperlink" Target="https://docs.inecelectionresults.net/elections_prod/1292/state/01/lga/15/ward/07/pu/007/007-1677421119.pdf" TargetMode="External"/><Relationship Id="rId3344" Type="http://schemas.openxmlformats.org/officeDocument/2006/relationships/hyperlink" Target="https://docs.inecelectionresults.net/elections_prod/1292/state/01/lga/07/ward/03/pu/025/025-1677386865.pdf" TargetMode="External"/><Relationship Id="rId2013" Type="http://schemas.openxmlformats.org/officeDocument/2006/relationships/hyperlink" Target="https://docs.inecelectionresults.net/elections_prod/1292/state/01/lga/15/ward/07/pu/008/008-1677420163.pdf" TargetMode="External"/><Relationship Id="rId3343" Type="http://schemas.openxmlformats.org/officeDocument/2006/relationships/hyperlink" Target="https://docs.inecelectionresults.net/elections_prod/1292/state/1/lga/3672/ward/24029/pu/165594/165594-1677511990.pdf" TargetMode="External"/><Relationship Id="rId2014" Type="http://schemas.openxmlformats.org/officeDocument/2006/relationships/hyperlink" Target="https://docs.inecelectionresults.net/elections_prod/1292/state/01/lga/15/ward/07/pu/009/009-1677425366.pdf" TargetMode="External"/><Relationship Id="rId3346" Type="http://schemas.openxmlformats.org/officeDocument/2006/relationships/hyperlink" Target="https://docs.inecelectionresults.net/elections_prod/1292/state/1/lga/3672/ward/24030/pu/165598/165598-1677491506.pdf" TargetMode="External"/><Relationship Id="rId2015" Type="http://schemas.openxmlformats.org/officeDocument/2006/relationships/hyperlink" Target="https://docs.inecelectionresults.net/elections_prod/1292/state/01/lga/15/ward/07/pu/010/010-1677404710.pdf" TargetMode="External"/><Relationship Id="rId3345" Type="http://schemas.openxmlformats.org/officeDocument/2006/relationships/hyperlink" Target="https://docs.inecelectionresults.net/elections_prod/1292/state/1/lga/3672/ward/24030/pu/165597/165597-1677491322.pdf" TargetMode="External"/><Relationship Id="rId2049" Type="http://schemas.openxmlformats.org/officeDocument/2006/relationships/hyperlink" Target="https://docs.inecelectionresults.net/elections_prod/1292/state/01/lga/15/ward/10/pu/003/003-1677413720.pdf" TargetMode="External"/><Relationship Id="rId129" Type="http://schemas.openxmlformats.org/officeDocument/2006/relationships/hyperlink" Target="https://docs.inecelectionresults.net/elections_prod/1292/state/01/lga/01/ward/12/pu/002/002-1677425870.pdf" TargetMode="External"/><Relationship Id="rId128" Type="http://schemas.openxmlformats.org/officeDocument/2006/relationships/hyperlink" Target="https://docs.inecelectionresults.net/elections_prod/1292/state/01/lga/01/ward/12/pu/001/001-1677427397.pdf" TargetMode="External"/><Relationship Id="rId127" Type="http://schemas.openxmlformats.org/officeDocument/2006/relationships/hyperlink" Target="https://docs.inecelectionresults.net/elections_prod/1292/state/01/lga/01/ward/11/pu/027/027-1677427286.pdf" TargetMode="External"/><Relationship Id="rId126" Type="http://schemas.openxmlformats.org/officeDocument/2006/relationships/hyperlink" Target="https://docs.inecelectionresults.net/elections_prod/1292/state/01/lga/01/ward/11/pu/026/026-1677423524.pdf" TargetMode="External"/><Relationship Id="rId3371" Type="http://schemas.openxmlformats.org/officeDocument/2006/relationships/hyperlink" Target="https://docs.inecelectionresults.net/elections_prod/1292/state/1/lga/3672/ward/24032/pu/165666/165666-1677537956.pdf" TargetMode="External"/><Relationship Id="rId2040" Type="http://schemas.openxmlformats.org/officeDocument/2006/relationships/hyperlink" Target="https://inec-cvr-cache.s3.eu-west-1.amazonaws.com/cached/results/92246/result_80055_1677505877_thumb.jpg" TargetMode="External"/><Relationship Id="rId3370" Type="http://schemas.openxmlformats.org/officeDocument/2006/relationships/hyperlink" Target="https://docs.inecelectionresults.net/elections_prod/1292/state/1/lga/3672/ward/24032/pu/165665/165665-1677537858.pdf" TargetMode="External"/><Relationship Id="rId121" Type="http://schemas.openxmlformats.org/officeDocument/2006/relationships/hyperlink" Target="https://docs.inecelectionresults.net/elections_prod/1292/state/01/lga/01/ward/11/pu/021/021-1677428307.pdf" TargetMode="External"/><Relationship Id="rId2041" Type="http://schemas.openxmlformats.org/officeDocument/2006/relationships/hyperlink" Target="https://inec-cvr-cache.s3.eu-west-1.amazonaws.com/cached/results/92248/result_80057_1677618904_thumb.jpg" TargetMode="External"/><Relationship Id="rId3373" Type="http://schemas.openxmlformats.org/officeDocument/2006/relationships/hyperlink" Target="https://docs.inecelectionresults.net/elections_prod/1292/state/1/lga/3672/ward/24032/pu/165668/165668-1677538104.pdf" TargetMode="External"/><Relationship Id="rId120" Type="http://schemas.openxmlformats.org/officeDocument/2006/relationships/hyperlink" Target="https://docs.inecelectionresults.net/elections_prod/1292/state/01/lga/01/ward/11/pu/020/020-1677421525.pdf" TargetMode="External"/><Relationship Id="rId2042" Type="http://schemas.openxmlformats.org/officeDocument/2006/relationships/hyperlink" Target="https://inec-cvr-cache.s3.eu-west-1.amazonaws.com/cached/results/92249/result_80058_1677508956_thumb.jpg" TargetMode="External"/><Relationship Id="rId3372" Type="http://schemas.openxmlformats.org/officeDocument/2006/relationships/hyperlink" Target="https://docs.inecelectionresults.net/elections_prod/1292/state/1/lga/3672/ward/24032/pu/165667/165667-1677537750.pdf" TargetMode="External"/><Relationship Id="rId2043" Type="http://schemas.openxmlformats.org/officeDocument/2006/relationships/hyperlink" Target="https://inec-cvr-cache.s3.eu-west-1.amazonaws.com/cached/results/92251/result_80060_1677507968_thumb.jpg" TargetMode="External"/><Relationship Id="rId3375" Type="http://schemas.openxmlformats.org/officeDocument/2006/relationships/hyperlink" Target="https://docs.inecelectionresults.net/elections_prod/1292/state/1/lga/3672/ward/24032/pu/165670/165670-1677539596.pdf" TargetMode="External"/><Relationship Id="rId2044" Type="http://schemas.openxmlformats.org/officeDocument/2006/relationships/hyperlink" Target="https://inec-cvr-cache.s3.eu-west-1.amazonaws.com/cached/results/92252/result_80061_1677508219_thumb.jpg" TargetMode="External"/><Relationship Id="rId3374" Type="http://schemas.openxmlformats.org/officeDocument/2006/relationships/hyperlink" Target="https://docs.inecelectionresults.net/elections_prod/1292/state/1/lga/3672/ward/24032/pu/165669/165669-1677538235.pdf" TargetMode="External"/><Relationship Id="rId125" Type="http://schemas.openxmlformats.org/officeDocument/2006/relationships/hyperlink" Target="https://docs.inecelectionresults.net/elections_prod/1292/state/01/lga/01/ward/11/pu/025/025-1677427975.pdf" TargetMode="External"/><Relationship Id="rId2045" Type="http://schemas.openxmlformats.org/officeDocument/2006/relationships/hyperlink" Target="https://inec-cvr-cache.s3.eu-west-1.amazonaws.com/cached/results/92253/result_80062_1677508481_thumb.jpg" TargetMode="External"/><Relationship Id="rId3377" Type="http://schemas.openxmlformats.org/officeDocument/2006/relationships/hyperlink" Target="https://docs.inecelectionresults.net/elections_prod/1292/state/1/lga/3672/ward/24032/pu/165672/165672-1677538457.pdf" TargetMode="External"/><Relationship Id="rId124" Type="http://schemas.openxmlformats.org/officeDocument/2006/relationships/hyperlink" Target="https://docs.inecelectionresults.net/elections_prod/1292/state/01/lga/01/ward/11/pu/024/024-1677424060.pdf" TargetMode="External"/><Relationship Id="rId2046" Type="http://schemas.openxmlformats.org/officeDocument/2006/relationships/hyperlink" Target="https://inec-cvr-cache.s3.eu-west-1.amazonaws.com/cached/results/92254/result_80063_1677508760_thumb.jpg" TargetMode="External"/><Relationship Id="rId3376" Type="http://schemas.openxmlformats.org/officeDocument/2006/relationships/hyperlink" Target="https://docs.inecelectionresults.net/elections_prod/1292/state/1/lga/3672/ward/24032/pu/165671/165671-1677537246.pdf" TargetMode="External"/><Relationship Id="rId123" Type="http://schemas.openxmlformats.org/officeDocument/2006/relationships/hyperlink" Target="https://docs.inecelectionresults.net/elections_prod/1292/state/1/lga/3666/ward/23960/pu/90935/90935-1677479497.pdf" TargetMode="External"/><Relationship Id="rId2047" Type="http://schemas.openxmlformats.org/officeDocument/2006/relationships/hyperlink" Target="https://docs.inecelectionresults.net/elections_prod/1292/state/01/lga/15/ward/10/pu/001/001-1677408772.pdf" TargetMode="External"/><Relationship Id="rId3379" Type="http://schemas.openxmlformats.org/officeDocument/2006/relationships/hyperlink" Target="https://docs.inecelectionresults.net/elections_prod/1292/state/1/lga/3672/ward/24032/pu/165674/165674-1677538162.pdf" TargetMode="External"/><Relationship Id="rId122" Type="http://schemas.openxmlformats.org/officeDocument/2006/relationships/hyperlink" Target="https://docs.inecelectionresults.net/elections_prod/1292/state/01/lga/01/ward/11/pu/022/022-1677361842.pdf" TargetMode="External"/><Relationship Id="rId2048" Type="http://schemas.openxmlformats.org/officeDocument/2006/relationships/hyperlink" Target="https://inec-cvr-cache.s3.eu-west-1.amazonaws.com/cached/results/92256/result_80066_1677571875_thumb.jpg" TargetMode="External"/><Relationship Id="rId3378" Type="http://schemas.openxmlformats.org/officeDocument/2006/relationships/hyperlink" Target="https://docs.inecelectionresults.net/elections_prod/1292/state/1/lga/3672/ward/24032/pu/165673/165673-1677538556.pdf" TargetMode="External"/><Relationship Id="rId2038" Type="http://schemas.openxmlformats.org/officeDocument/2006/relationships/hyperlink" Target="https://inec-cvr-cache.s3.eu-west-1.amazonaws.com/cached/results/92244/result_80053_1677666083_thumb.jpg" TargetMode="External"/><Relationship Id="rId2039" Type="http://schemas.openxmlformats.org/officeDocument/2006/relationships/hyperlink" Target="https://inec-cvr-cache.s3.eu-west-1.amazonaws.com/cached/results/92245/result_80054_1677494984_thumb.jpg" TargetMode="External"/><Relationship Id="rId3369" Type="http://schemas.openxmlformats.org/officeDocument/2006/relationships/hyperlink" Target="https://docs.inecelectionresults.net/elections_prod/1292/state/1/lga/3672/ward/24032/pu/165663/165663-1677537695.pdf" TargetMode="External"/><Relationship Id="rId118" Type="http://schemas.openxmlformats.org/officeDocument/2006/relationships/hyperlink" Target="https://docs.inecelectionresults.net/elections_prod/1292/state/1/lga/3666/ward/23960/pu/90930/90930-1677479244.pdf" TargetMode="External"/><Relationship Id="rId117" Type="http://schemas.openxmlformats.org/officeDocument/2006/relationships/hyperlink" Target="https://docs.inecelectionresults.net/elections_prod/1292/state/01/lga/01/ward/11/pu/017/017-1677360575.pdf" TargetMode="External"/><Relationship Id="rId116" Type="http://schemas.openxmlformats.org/officeDocument/2006/relationships/hyperlink" Target="https://docs.inecelectionresults.net/elections_prod/1292/state/01/lga/01/ward/11/pu/016/016-1677419310.pdf" TargetMode="External"/><Relationship Id="rId115" Type="http://schemas.openxmlformats.org/officeDocument/2006/relationships/hyperlink" Target="https://docs.inecelectionresults.net/elections_prod/1292/state/1/lga/3666/ward/23960/pu/90926/90926-1677478041.pdf" TargetMode="External"/><Relationship Id="rId3360" Type="http://schemas.openxmlformats.org/officeDocument/2006/relationships/hyperlink" Target="https://docs.inecelectionresults.net/elections_prod/1292/state/1/lga/3672/ward/24032/pu/165651/165651-1677536341.pdf" TargetMode="External"/><Relationship Id="rId119" Type="http://schemas.openxmlformats.org/officeDocument/2006/relationships/hyperlink" Target="https://docs.inecelectionresults.net/elections_prod/1292/state/01/lga/01/ward/11/pu/019/019-1677426050.pdf" TargetMode="External"/><Relationship Id="rId110" Type="http://schemas.openxmlformats.org/officeDocument/2006/relationships/hyperlink" Target="https://docs.inecelectionresults.net/elections_prod/1292/state/01/lga/01/ward/11/pu/007/007-1677410746.pdf" TargetMode="External"/><Relationship Id="rId2030" Type="http://schemas.openxmlformats.org/officeDocument/2006/relationships/hyperlink" Target="https://inec-cvr-cache.s3.eu-west-1.amazonaws.com/cached/results/92236/result_80042_1677618551_thumb.jpg" TargetMode="External"/><Relationship Id="rId3362" Type="http://schemas.openxmlformats.org/officeDocument/2006/relationships/hyperlink" Target="https://docs.inecelectionresults.net/elections_prod/1292/state/1/lga/3672/ward/24032/pu/165653/165653-1677536632.pdf" TargetMode="External"/><Relationship Id="rId2031" Type="http://schemas.openxmlformats.org/officeDocument/2006/relationships/hyperlink" Target="https://inec-cvr-cache.s3.eu-west-1.amazonaws.com/cached/results/92237/result_80043_1677491494_thumb.jpg" TargetMode="External"/><Relationship Id="rId3361" Type="http://schemas.openxmlformats.org/officeDocument/2006/relationships/hyperlink" Target="https://docs.inecelectionresults.net/elections_prod/1292/state/1/lga/3672/ward/24032/pu/165652/165652-1677541234.pdf" TargetMode="External"/><Relationship Id="rId2032" Type="http://schemas.openxmlformats.org/officeDocument/2006/relationships/hyperlink" Target="https://inec-cvr-cache.s3.eu-west-1.amazonaws.com/cached/results/92238/result_80044_1677491705_thumb.jpg" TargetMode="External"/><Relationship Id="rId3364" Type="http://schemas.openxmlformats.org/officeDocument/2006/relationships/hyperlink" Target="https://docs.inecelectionresults.net/elections_prod/1292/state/1/lga/3672/ward/24032/pu/165655/165655-1677536912.pdf" TargetMode="External"/><Relationship Id="rId2033" Type="http://schemas.openxmlformats.org/officeDocument/2006/relationships/hyperlink" Target="https://inec-cvr-cache.s3.eu-west-1.amazonaws.com/cached/results/92239/result_80045_1677492100_thumb.jpg" TargetMode="External"/><Relationship Id="rId3363" Type="http://schemas.openxmlformats.org/officeDocument/2006/relationships/hyperlink" Target="https://docs.inecelectionresults.net/elections_prod/1292/state/1/lga/3672/ward/24032/pu/165654/165654-1677536777.pdf" TargetMode="External"/><Relationship Id="rId114" Type="http://schemas.openxmlformats.org/officeDocument/2006/relationships/hyperlink" Target="https://docs.inecelectionresults.net/elections_prod/1292/state/01/lga/01/ward/11/pu/013/013-1677425100.pdf" TargetMode="External"/><Relationship Id="rId2034" Type="http://schemas.openxmlformats.org/officeDocument/2006/relationships/hyperlink" Target="https://inec-cvr-cache.s3.eu-west-1.amazonaws.com/cached/results/92240/result_80046_1677494489_thumb.jpg" TargetMode="External"/><Relationship Id="rId3366" Type="http://schemas.openxmlformats.org/officeDocument/2006/relationships/hyperlink" Target="https://docs.inecelectionresults.net/elections_prod/1292/state/1/lga/3672/ward/24032/pu/165658/165658-1677537234.pdf" TargetMode="External"/><Relationship Id="rId113" Type="http://schemas.openxmlformats.org/officeDocument/2006/relationships/hyperlink" Target="https://docs.inecelectionresults.net/elections_prod/1292/state/1/lga/3666/ward/23960/pu/90924/90924-1677478481.pdf" TargetMode="External"/><Relationship Id="rId2035" Type="http://schemas.openxmlformats.org/officeDocument/2006/relationships/hyperlink" Target="https://inec-cvr-cache.s3.eu-west-1.amazonaws.com/cached/results/92241/result_80047_1677620263_thumb.jpg" TargetMode="External"/><Relationship Id="rId3365" Type="http://schemas.openxmlformats.org/officeDocument/2006/relationships/hyperlink" Target="https://docs.inecelectionresults.net/elections_prod/1292/state/1/lga/3672/ward/24032/pu/165656/165656-1677540538.pdf" TargetMode="External"/><Relationship Id="rId112" Type="http://schemas.openxmlformats.org/officeDocument/2006/relationships/hyperlink" Target="https://docs.inecelectionresults.net/elections_prod/1292/state/01/lga/01/ward/11/pu/011/011-1677427860.pdf" TargetMode="External"/><Relationship Id="rId2036" Type="http://schemas.openxmlformats.org/officeDocument/2006/relationships/hyperlink" Target="https://inec-cvr-cache.s3.eu-west-1.amazonaws.com/cached/results/92242/result_80048_1677495255_thumb.jpg" TargetMode="External"/><Relationship Id="rId3368" Type="http://schemas.openxmlformats.org/officeDocument/2006/relationships/hyperlink" Target="https://docs.inecelectionresults.net/elections_prod/1292/state/1/lga/3672/ward/24032/pu/165661/165661-1677517301.pdf" TargetMode="External"/><Relationship Id="rId111" Type="http://schemas.openxmlformats.org/officeDocument/2006/relationships/hyperlink" Target="https://docs.inecelectionresults.net/elections_prod/1292/state/01/lga/01/ward/11/pu/010/010-1677360597.pdf" TargetMode="External"/><Relationship Id="rId2037" Type="http://schemas.openxmlformats.org/officeDocument/2006/relationships/hyperlink" Target="https://inec-cvr-cache.s3.eu-west-1.amazonaws.com/cached/results/92243/result_80049_1677495898_thumb.jpg" TargetMode="External"/><Relationship Id="rId3367" Type="http://schemas.openxmlformats.org/officeDocument/2006/relationships/hyperlink" Target="https://docs.inecelectionresults.net/elections_prod/1292/state/1/lga/3672/ward/24032/pu/165659/165659-1677537356.pdf" TargetMode="External"/><Relationship Id="rId3315" Type="http://schemas.openxmlformats.org/officeDocument/2006/relationships/hyperlink" Target="https://docs.inecelectionresults.net/elections_prod/1292/state/1/lga/3672/ward/24037/pu/165783/165783-1677475715.pdf" TargetMode="External"/><Relationship Id="rId3314" Type="http://schemas.openxmlformats.org/officeDocument/2006/relationships/hyperlink" Target="https://docs.inecelectionresults.net/elections_prod/1292/state/1/lga/3672/ward/24037/pu/165782/165782-1677478065.pdf" TargetMode="External"/><Relationship Id="rId3317" Type="http://schemas.openxmlformats.org/officeDocument/2006/relationships/hyperlink" Target="https://docs.inecelectionresults.net/elections_prod/1292/state/1/lga/3672/ward/24037/pu/165785/165785-1677479230.pdf" TargetMode="External"/><Relationship Id="rId3316" Type="http://schemas.openxmlformats.org/officeDocument/2006/relationships/hyperlink" Target="https://docs.inecelectionresults.net/elections_prod/1292/state/1/lga/3672/ward/24037/pu/165784/165784-1677476550.pdf" TargetMode="External"/><Relationship Id="rId3319" Type="http://schemas.openxmlformats.org/officeDocument/2006/relationships/hyperlink" Target="https://docs.inecelectionresults.net/elections_prod/1292/state/01/lga/07/ward/10/pu/039/039-1677423328.pdf" TargetMode="External"/><Relationship Id="rId3318" Type="http://schemas.openxmlformats.org/officeDocument/2006/relationships/hyperlink" Target="https://docs.inecelectionresults.net/elections_prod/1292/state/1/lga/3672/ward/24037/pu/165787/165787-1677491609.pdf" TargetMode="External"/><Relationship Id="rId3311" Type="http://schemas.openxmlformats.org/officeDocument/2006/relationships/hyperlink" Target="https://docs.inecelectionresults.net/elections_prod/1292/state/1/lga/3672/ward/24037/pu/165777/165777-1677519799.pdf" TargetMode="External"/><Relationship Id="rId3310" Type="http://schemas.openxmlformats.org/officeDocument/2006/relationships/hyperlink" Target="https://docs.inecelectionresults.net/elections_prod/1292/state/1/lga/3672/ward/24037/pu/165776/165776-1677474502.pdf" TargetMode="External"/><Relationship Id="rId3313" Type="http://schemas.openxmlformats.org/officeDocument/2006/relationships/hyperlink" Target="https://docs.inecelectionresults.net/elections_prod/1292/state/01/lga/07/ward/10/pu/030/030-1677424253.pdf" TargetMode="External"/><Relationship Id="rId3312" Type="http://schemas.openxmlformats.org/officeDocument/2006/relationships/hyperlink" Target="https://docs.inecelectionresults.net/elections_prod/1292/state/01/lga/07/ward/10/pu/029/029-1677408942.pdf" TargetMode="External"/><Relationship Id="rId3304" Type="http://schemas.openxmlformats.org/officeDocument/2006/relationships/hyperlink" Target="https://docs.inecelectionresults.net/elections_prod/1292/state/1/lga/3672/ward/24037/pu/165766/165766-1677490358.pdf" TargetMode="External"/><Relationship Id="rId3303" Type="http://schemas.openxmlformats.org/officeDocument/2006/relationships/hyperlink" Target="https://docs.inecelectionresults.net/elections_prod/1292/state/01/lga/07/ward/10/pu/014/014-1677410926.pdf" TargetMode="External"/><Relationship Id="rId3306" Type="http://schemas.openxmlformats.org/officeDocument/2006/relationships/hyperlink" Target="https://docs.inecelectionresults.net/elections_prod/1292/state/1/lga/3672/ward/24037/pu/165768/165768-1677473863.pdf" TargetMode="External"/><Relationship Id="rId3305" Type="http://schemas.openxmlformats.org/officeDocument/2006/relationships/hyperlink" Target="https://docs.inecelectionresults.net/elections_prod/1292/state/01/lga/07/ward/10/pu/018/018-1677417888.pdf" TargetMode="External"/><Relationship Id="rId3308" Type="http://schemas.openxmlformats.org/officeDocument/2006/relationships/hyperlink" Target="https://docs.inecelectionresults.net/elections_prod/1292/state/1/lga/3672/ward/24037/pu/165771/165771-1677481960.pdf" TargetMode="External"/><Relationship Id="rId3307" Type="http://schemas.openxmlformats.org/officeDocument/2006/relationships/hyperlink" Target="https://docs.inecelectionresults.net/elections_prod/1292/state/1/lga/3672/ward/24037/pu/165769/165769-1677517095.pdf" TargetMode="External"/><Relationship Id="rId3309" Type="http://schemas.openxmlformats.org/officeDocument/2006/relationships/hyperlink" Target="https://docs.inecelectionresults.net/elections_prod/1292/state/1/lga/3672/ward/24037/pu/165774/165774-1677479639.pdf" TargetMode="External"/><Relationship Id="rId3300" Type="http://schemas.openxmlformats.org/officeDocument/2006/relationships/hyperlink" Target="https://docs.inecelectionresults.net/elections_prod/1292/state/1/lga/3672/ward/24033/pu/165697/165697-1677541747.pdf" TargetMode="External"/><Relationship Id="rId3302" Type="http://schemas.openxmlformats.org/officeDocument/2006/relationships/hyperlink" Target="https://docs.inecelectionresults.net/elections_prod/1292/state/01/lga/07/ward/06/pu/060/060-1677424070.pdf" TargetMode="External"/><Relationship Id="rId3301" Type="http://schemas.openxmlformats.org/officeDocument/2006/relationships/hyperlink" Target="https://docs.inecelectionresults.net/elections_prod/1292/state/1/lga/3672/ward/24033/pu/165698/165698-1677500376.pdf" TargetMode="External"/><Relationship Id="rId2005" Type="http://schemas.openxmlformats.org/officeDocument/2006/relationships/hyperlink" Target="https://inec-cvr-cache.s3.eu-west-1.amazonaws.com/cached/results/92207/result_79999_1677497287_thumb.jpg" TargetMode="External"/><Relationship Id="rId3337" Type="http://schemas.openxmlformats.org/officeDocument/2006/relationships/hyperlink" Target="https://docs.inecelectionresults.net/elections_prod/1292/state/1/lga/3672/ward/24029/pu/165588/165588-1677507487.pdf" TargetMode="External"/><Relationship Id="rId2006" Type="http://schemas.openxmlformats.org/officeDocument/2006/relationships/hyperlink" Target="https://docs.inecelectionresults.net/elections_prod/1292/state/01/lga/15/ward/07/pu/001/001-1677426072.pdf" TargetMode="External"/><Relationship Id="rId3336" Type="http://schemas.openxmlformats.org/officeDocument/2006/relationships/hyperlink" Target="https://docs.inecelectionresults.net/elections_prod/1292/state/1/lga/3672/ward/24029/pu/165587/165587-1677509311.pdf" TargetMode="External"/><Relationship Id="rId2007" Type="http://schemas.openxmlformats.org/officeDocument/2006/relationships/hyperlink" Target="https://docs.inecelectionresults.net/elections_prod/1292/state/01/lga/15/ward/07/pu/002/002-1677421854.pdf" TargetMode="External"/><Relationship Id="rId3339" Type="http://schemas.openxmlformats.org/officeDocument/2006/relationships/hyperlink" Target="https://docs.inecelectionresults.net/elections_prod/1292/state/01/lga/07/ward/02/pu/021/021-1677393918.pdf" TargetMode="External"/><Relationship Id="rId2008" Type="http://schemas.openxmlformats.org/officeDocument/2006/relationships/hyperlink" Target="https://docs.inecelectionresults.net/elections_prod/1292/state/01/lga/15/ward/07/pu/003/003-1677426151.pdf" TargetMode="External"/><Relationship Id="rId3338" Type="http://schemas.openxmlformats.org/officeDocument/2006/relationships/hyperlink" Target="https://docs.inecelectionresults.net/elections_prod/1292/state/1/lga/3672/ward/24029/pu/165589/165589-1677521181.pdf" TargetMode="External"/><Relationship Id="rId2009" Type="http://schemas.openxmlformats.org/officeDocument/2006/relationships/hyperlink" Target="https://docs.inecelectionresults.net/elections_prod/1292/state/01/lga/15/ward/07/pu/004/004-1677424550.pdf" TargetMode="External"/><Relationship Id="rId3331" Type="http://schemas.openxmlformats.org/officeDocument/2006/relationships/hyperlink" Target="https://docs.inecelectionresults.net/elections_prod/1292/state/01/lga/07/ward/01/pu/026/026-1677397485.pdf" TargetMode="External"/><Relationship Id="rId2000" Type="http://schemas.openxmlformats.org/officeDocument/2006/relationships/hyperlink" Target="https://inec-cvr-cache.s3.eu-west-1.amazonaws.com/cached/results/92202/result_79994_1677510107_thumb.jpg" TargetMode="External"/><Relationship Id="rId3330" Type="http://schemas.openxmlformats.org/officeDocument/2006/relationships/hyperlink" Target="https://docs.inecelectionresults.net/elections_prod/1292/state/01/lga/07/ward/01/pu/022/022-1677380342.pdf" TargetMode="External"/><Relationship Id="rId2001" Type="http://schemas.openxmlformats.org/officeDocument/2006/relationships/hyperlink" Target="https://inec-cvr-cache.s3.eu-west-1.amazonaws.com/cached/results/92203/result_79995_1677496265_thumb.jpg" TargetMode="External"/><Relationship Id="rId3333" Type="http://schemas.openxmlformats.org/officeDocument/2006/relationships/hyperlink" Target="https://docs.inecelectionresults.net/elections_prod/1292/state/01/lga/07/ward/02/pu/015/015-1677393900.pdf" TargetMode="External"/><Relationship Id="rId2002" Type="http://schemas.openxmlformats.org/officeDocument/2006/relationships/hyperlink" Target="https://inec-cvr-cache.s3.eu-west-1.amazonaws.com/cached/results/92204/result_79996_1677510122_thumb.jpg" TargetMode="External"/><Relationship Id="rId3332" Type="http://schemas.openxmlformats.org/officeDocument/2006/relationships/hyperlink" Target="https://docs.inecelectionresults.net/elections_prod/1292/state/1/lga/3672/ward/24029/pu/165583/165583-1677520288.pdf" TargetMode="External"/><Relationship Id="rId2003" Type="http://schemas.openxmlformats.org/officeDocument/2006/relationships/hyperlink" Target="https://inec-cvr-cache.s3.eu-west-1.amazonaws.com/cached/results/92205/result_79997_1677497699_thumb.jpg" TargetMode="External"/><Relationship Id="rId3335" Type="http://schemas.openxmlformats.org/officeDocument/2006/relationships/hyperlink" Target="https://docs.inecelectionresults.net/elections_prod/1292/state/01/lga/07/ward/02/pu/017/017-1677408432.pdf" TargetMode="External"/><Relationship Id="rId2004" Type="http://schemas.openxmlformats.org/officeDocument/2006/relationships/hyperlink" Target="https://inec-cvr-cache.s3.eu-west-1.amazonaws.com/cached/results/92206/result_79998_1677498153_thumb.jpg" TargetMode="External"/><Relationship Id="rId3334" Type="http://schemas.openxmlformats.org/officeDocument/2006/relationships/hyperlink" Target="https://docs.inecelectionresults.net/elections_prod/1292/state/01/lga/07/ward/02/pu/016/016-1677394021.pdf" TargetMode="External"/><Relationship Id="rId3326" Type="http://schemas.openxmlformats.org/officeDocument/2006/relationships/hyperlink" Target="https://docs.inecelectionresults.net/elections_prod/1292/state/01/lga/07/ward/01/pu/016/016-1677381833.pdf" TargetMode="External"/><Relationship Id="rId3325" Type="http://schemas.openxmlformats.org/officeDocument/2006/relationships/hyperlink" Target="https://docs.inecelectionresults.net/elections_prod/1292/state/01/lga/07/ward/01/pu/015/015-1677373200.pdf" TargetMode="External"/><Relationship Id="rId3328" Type="http://schemas.openxmlformats.org/officeDocument/2006/relationships/hyperlink" Target="https://docs.inecelectionresults.net/elections_prod/1292/state/01/lga/07/ward/01/pu/020/020-1677397904.pdf" TargetMode="External"/><Relationship Id="rId3327" Type="http://schemas.openxmlformats.org/officeDocument/2006/relationships/hyperlink" Target="https://docs.inecelectionresults.net/elections_prod/1292/state/01/lga/07/ward/01/pu/019/019-1677392910.pdf" TargetMode="External"/><Relationship Id="rId3329" Type="http://schemas.openxmlformats.org/officeDocument/2006/relationships/hyperlink" Target="https://docs.inecelectionresults.net/elections_prod/1292/state/01/lga/07/ward/01/pu/021/021-1677388201.pdf" TargetMode="External"/><Relationship Id="rId3320" Type="http://schemas.openxmlformats.org/officeDocument/2006/relationships/hyperlink" Target="https://docs.inecelectionresults.net/elections_prod/1292/state/01/lga/07/ward/10/pu/040/040-1677426208.pdf" TargetMode="External"/><Relationship Id="rId3322" Type="http://schemas.openxmlformats.org/officeDocument/2006/relationships/hyperlink" Target="https://docs.inecelectionresults.net/elections_prod/1292/state/1/lga/3672/ward/24038/pu/165794/165794-1677512257.pdf" TargetMode="External"/><Relationship Id="rId3321" Type="http://schemas.openxmlformats.org/officeDocument/2006/relationships/hyperlink" Target="https://docs.inecelectionresults.net/elections_prod/1292/state/1/lga/3672/ward/24038/pu/165793/165793-1677507331.pdf" TargetMode="External"/><Relationship Id="rId3324" Type="http://schemas.openxmlformats.org/officeDocument/2006/relationships/hyperlink" Target="https://docs.inecelectionresults.net/elections_prod/1292/state/01/lga/07/ward/01/pu/013/013-1677400306.pdf" TargetMode="External"/><Relationship Id="rId3323" Type="http://schemas.openxmlformats.org/officeDocument/2006/relationships/hyperlink" Target="https://docs.inecelectionresults.net/elections_prod/1292/state/1/lga/3672/ward/24038/pu/165795/165795-1677509993.pdf" TargetMode="External"/><Relationship Id="rId2090" Type="http://schemas.openxmlformats.org/officeDocument/2006/relationships/hyperlink" Target="https://docs.inecelectionresults.net/elections_prod/1292/state/01/lga/16/ward/01/pu/015/015-1677359846.pdf" TargetMode="External"/><Relationship Id="rId2091" Type="http://schemas.openxmlformats.org/officeDocument/2006/relationships/hyperlink" Target="https://docs.inecelectionresults.net/elections_prod/1292/state/01/lga/16/ward/02/pu/001/001-1677395735.pdf" TargetMode="External"/><Relationship Id="rId2092" Type="http://schemas.openxmlformats.org/officeDocument/2006/relationships/hyperlink" Target="https://docs.inecelectionresults.net/elections_prod/1292/state/01/lga/16/ward/02/pu/002/002-1677397093.pdf" TargetMode="External"/><Relationship Id="rId2093" Type="http://schemas.openxmlformats.org/officeDocument/2006/relationships/hyperlink" Target="https://docs.inecelectionresults.net/elections_prod/1292/state/01/lga/16/ward/02/pu/004/004-1677398460.pdf" TargetMode="External"/><Relationship Id="rId2094" Type="http://schemas.openxmlformats.org/officeDocument/2006/relationships/hyperlink" Target="https://docs.inecelectionresults.net/elections_prod/1292/state/01/lga/16/ward/02/pu/006/006-1677399886.pdf" TargetMode="External"/><Relationship Id="rId2095" Type="http://schemas.openxmlformats.org/officeDocument/2006/relationships/hyperlink" Target="https://docs.inecelectionresults.net/elections_prod/1292/state/01/lga/16/ward/02/pu/007/007-1677400986.pdf" TargetMode="External"/><Relationship Id="rId2096" Type="http://schemas.openxmlformats.org/officeDocument/2006/relationships/hyperlink" Target="https://docs.inecelectionresults.net/elections_prod/1292/state/01/lga/16/ward/02/pu/008/008-1677401745.pdf" TargetMode="External"/><Relationship Id="rId2097" Type="http://schemas.openxmlformats.org/officeDocument/2006/relationships/hyperlink" Target="https://docs.inecelectionresults.net/elections_prod/1292/state/01/lga/16/ward/03/pu/001/001-1677391646.pdf" TargetMode="External"/><Relationship Id="rId2098" Type="http://schemas.openxmlformats.org/officeDocument/2006/relationships/hyperlink" Target="https://docs.inecelectionresults.net/elections_prod/1292/state/01/lga/16/ward/03/pu/002/002-1677386980.pdf" TargetMode="External"/><Relationship Id="rId2099" Type="http://schemas.openxmlformats.org/officeDocument/2006/relationships/hyperlink" Target="https://docs.inecelectionresults.net/elections_prod/1292/state/01/lga/16/ward/03/pu/003/003-1677388133.pdf" TargetMode="External"/><Relationship Id="rId3391" Type="http://schemas.openxmlformats.org/officeDocument/2006/relationships/hyperlink" Target="https://docs.inecelectionresults.net/elections_prod/1292/state/01/lga/07/ward/07/pu/047/047-1677382977.pdf" TargetMode="External"/><Relationship Id="rId2060" Type="http://schemas.openxmlformats.org/officeDocument/2006/relationships/hyperlink" Target="https://docs.inecelectionresults.net/elections_prod/1292/state/01/lga/15/ward/11/pu/003/003-1677401796.pdf" TargetMode="External"/><Relationship Id="rId3390" Type="http://schemas.openxmlformats.org/officeDocument/2006/relationships/hyperlink" Target="https://docs.inecelectionresults.net/elections_prod/1292/state/01/lga/07/ward/07/pu/045/045-1677373365.pdf" TargetMode="External"/><Relationship Id="rId2061" Type="http://schemas.openxmlformats.org/officeDocument/2006/relationships/hyperlink" Target="https://docs.inecelectionresults.net/elections_prod/1292/state/01/lga/15/ward/11/pu/006/006-1677404980.pdf" TargetMode="External"/><Relationship Id="rId3393" Type="http://schemas.openxmlformats.org/officeDocument/2006/relationships/hyperlink" Target="https://docs.inecelectionresults.net/elections_prod/1292/state/01/lga/07/ward/07/pu/049/049-1677378723.pdf" TargetMode="External"/><Relationship Id="rId2062" Type="http://schemas.openxmlformats.org/officeDocument/2006/relationships/hyperlink" Target="https://docs.inecelectionresults.net/elections_prod/1292/state/01/lga/15/ward/11/pu/007/007-1677406076.pdf" TargetMode="External"/><Relationship Id="rId3392" Type="http://schemas.openxmlformats.org/officeDocument/2006/relationships/hyperlink" Target="https://docs.inecelectionresults.net/elections_prod/1292/state/01/lga/07/ward/07/pu/048/048-1677376918.pdf" TargetMode="External"/><Relationship Id="rId2063" Type="http://schemas.openxmlformats.org/officeDocument/2006/relationships/hyperlink" Target="https://docs.inecelectionresults.net/elections_prod/1292/state/01/lga/15/ward/11/pu/009/009-1677408396.pdf" TargetMode="External"/><Relationship Id="rId3395" Type="http://schemas.openxmlformats.org/officeDocument/2006/relationships/hyperlink" Target="https://docs.inecelectionresults.net/elections_prod/1292/state/01/lga/07/ward/07/pu/051/051-1677390638.pdf" TargetMode="External"/><Relationship Id="rId2064" Type="http://schemas.openxmlformats.org/officeDocument/2006/relationships/hyperlink" Target="https://docs.inecelectionresults.net/elections_prod/1292/state/01/lga/15/ward/11/pu/010/010-1677409545.pdf" TargetMode="External"/><Relationship Id="rId3394" Type="http://schemas.openxmlformats.org/officeDocument/2006/relationships/hyperlink" Target="https://docs.inecelectionresults.net/elections_prod/1292/state/01/lga/07/ward/07/pu/050/050-1677378776.pdf" TargetMode="External"/><Relationship Id="rId2065" Type="http://schemas.openxmlformats.org/officeDocument/2006/relationships/hyperlink" Target="https://docs.inecelectionresults.net/elections_prod/1292/state/01/lga/15/ward/11/pu/011/011-1677412450.pdf" TargetMode="External"/><Relationship Id="rId3397" Type="http://schemas.openxmlformats.org/officeDocument/2006/relationships/hyperlink" Target="https://docs.inecelectionresults.net/elections_prod/1292/state/1/lga/3672/ward/24034/pu/165720/165720-1677505182.pdf" TargetMode="External"/><Relationship Id="rId2066" Type="http://schemas.openxmlformats.org/officeDocument/2006/relationships/hyperlink" Target="https://docs.inecelectionresults.net/elections_prod/1292/state/01/lga/15/ward/11/pu/012/012-1677410813.pdf" TargetMode="External"/><Relationship Id="rId3396" Type="http://schemas.openxmlformats.org/officeDocument/2006/relationships/hyperlink" Target="https://docs.inecelectionresults.net/elections_prod/1292/state/01/lga/07/ward/07/pu/052/052-1677382969.pdf" TargetMode="External"/><Relationship Id="rId2067" Type="http://schemas.openxmlformats.org/officeDocument/2006/relationships/hyperlink" Target="https://docs.inecelectionresults.net/elections_prod/1292/state/1/lga/3680/ward/24125/pu/93380/93380-1677596541.pdf" TargetMode="External"/><Relationship Id="rId3399" Type="http://schemas.openxmlformats.org/officeDocument/2006/relationships/hyperlink" Target="https://docs.inecelectionresults.net/elections_prod/1292/state/01/lga/07/ward/07/pu/055/055-1677376583.pdf" TargetMode="External"/><Relationship Id="rId2068" Type="http://schemas.openxmlformats.org/officeDocument/2006/relationships/hyperlink" Target="https://inec-cvr-cache.s3.eu-west-1.amazonaws.com/cached/results/92280/result_80093_1677502394_thumb.jpg" TargetMode="External"/><Relationship Id="rId3398" Type="http://schemas.openxmlformats.org/officeDocument/2006/relationships/hyperlink" Target="https://docs.inecelectionresults.net/elections_prod/1292/state/01/lga/07/ward/07/pu/054/054-1677383766.pdf" TargetMode="External"/><Relationship Id="rId2069" Type="http://schemas.openxmlformats.org/officeDocument/2006/relationships/hyperlink" Target="https://inec-cvr-cache.s3.eu-west-1.amazonaws.com/cached/results/92281/result_80094_1677502672_thumb.jpg" TargetMode="External"/><Relationship Id="rId3380" Type="http://schemas.openxmlformats.org/officeDocument/2006/relationships/hyperlink" Target="https://docs.inecelectionresults.net/elections_prod/1292/state/1/lga/3672/ward/24032/pu/165676/165676-1677538823.pdf" TargetMode="External"/><Relationship Id="rId2050" Type="http://schemas.openxmlformats.org/officeDocument/2006/relationships/hyperlink" Target="https://docs.inecelectionresults.net/elections_prod/1292/state/1/lga/3680/ward/24123/pu/93359/93359-1677596047.pdf" TargetMode="External"/><Relationship Id="rId3382" Type="http://schemas.openxmlformats.org/officeDocument/2006/relationships/hyperlink" Target="https://docs.inecelectionresults.net/elections_prod/1292/state/01/lga/07/ward/07/pu/035/035-1677381167.pdf" TargetMode="External"/><Relationship Id="rId2051" Type="http://schemas.openxmlformats.org/officeDocument/2006/relationships/hyperlink" Target="https://docs.inecelectionresults.net/elections_prod/1292/state/01/lga/15/ward/10/pu/005/005-1677415180.pdf" TargetMode="External"/><Relationship Id="rId3381" Type="http://schemas.openxmlformats.org/officeDocument/2006/relationships/hyperlink" Target="https://docs.inecelectionresults.net/elections_prod/1292/state/01/lga/07/ward/07/pu/033/033-1677374551.pdf" TargetMode="External"/><Relationship Id="rId2052" Type="http://schemas.openxmlformats.org/officeDocument/2006/relationships/hyperlink" Target="https://docs.inecelectionresults.net/elections_prod/1292/state/1/lga/3680/ward/24123/pu/93361/93361-1677596679.pdf" TargetMode="External"/><Relationship Id="rId3384" Type="http://schemas.openxmlformats.org/officeDocument/2006/relationships/hyperlink" Target="https://docs.inecelectionresults.net/elections_prod/1292/state/01/lga/07/ward/07/pu/038/038-1677385298.pdf" TargetMode="External"/><Relationship Id="rId2053" Type="http://schemas.openxmlformats.org/officeDocument/2006/relationships/hyperlink" Target="https://docs.inecelectionresults.net/elections_prod/1292/state/01/lga/15/ward/10/pu/007/007-1677411030.pdf" TargetMode="External"/><Relationship Id="rId3383" Type="http://schemas.openxmlformats.org/officeDocument/2006/relationships/hyperlink" Target="https://docs.inecelectionresults.net/elections_prod/1292/state/01/lga/07/ward/07/pu/036/036-1677377867.pdf" TargetMode="External"/><Relationship Id="rId2054" Type="http://schemas.openxmlformats.org/officeDocument/2006/relationships/hyperlink" Target="https://docs.inecelectionresults.net/elections_prod/1292/state/1/lga/3680/ward/24123/pu/93363/93363-1677597085.pdf" TargetMode="External"/><Relationship Id="rId3386" Type="http://schemas.openxmlformats.org/officeDocument/2006/relationships/hyperlink" Target="https://docs.inecelectionresults.net/elections_prod/1292/state/01/lga/07/ward/07/pu/040/040-1677381597.pdf" TargetMode="External"/><Relationship Id="rId2055" Type="http://schemas.openxmlformats.org/officeDocument/2006/relationships/hyperlink" Target="https://docs.inecelectionresults.net/elections_prod/1292/state/1/lga/3680/ward/24123/pu/93364/93364-1677597589.pdf" TargetMode="External"/><Relationship Id="rId3385" Type="http://schemas.openxmlformats.org/officeDocument/2006/relationships/hyperlink" Target="https://docs.inecelectionresults.net/elections_prod/1292/state/01/lga/07/ward/07/pu/039/039-1677395233.pdf" TargetMode="External"/><Relationship Id="rId2056" Type="http://schemas.openxmlformats.org/officeDocument/2006/relationships/hyperlink" Target="https://docs.inecelectionresults.net/elections_prod/1292/state/1/lga/3680/ward/24123/pu/93365/93365-1677599431.pdf" TargetMode="External"/><Relationship Id="rId3388" Type="http://schemas.openxmlformats.org/officeDocument/2006/relationships/hyperlink" Target="https://docs.inecelectionresults.net/elections_prod/1292/state/01/lga/07/ward/07/pu/043/043-1677378630.pdf" TargetMode="External"/><Relationship Id="rId2057" Type="http://schemas.openxmlformats.org/officeDocument/2006/relationships/hyperlink" Target="https://docs.inecelectionresults.net/elections_prod/1292/state/1/lga/3680/ward/24123/pu/93366/93366-1677594871.pdf" TargetMode="External"/><Relationship Id="rId3387" Type="http://schemas.openxmlformats.org/officeDocument/2006/relationships/hyperlink" Target="https://docs.inecelectionresults.net/elections_prod/1292/state/01/lga/07/ward/07/pu/041/041-1677379295.pdf" TargetMode="External"/><Relationship Id="rId2058" Type="http://schemas.openxmlformats.org/officeDocument/2006/relationships/hyperlink" Target="https://docs.inecelectionresults.net/elections_prod/1292/state/1/lga/3680/ward/24123/pu/93367/93367-1677599113.pdf" TargetMode="External"/><Relationship Id="rId2059" Type="http://schemas.openxmlformats.org/officeDocument/2006/relationships/hyperlink" Target="https://inec-cvr-cache.s3.eu-west-1.amazonaws.com/cached/results/92267/result_80079_1677511783_thumb.jpg" TargetMode="External"/><Relationship Id="rId3389" Type="http://schemas.openxmlformats.org/officeDocument/2006/relationships/hyperlink" Target="https://docs.inecelectionresults.net/elections_prod/1292/state/01/lga/07/ward/07/pu/044/044-1677387925.pdf" TargetMode="External"/><Relationship Id="rId2080" Type="http://schemas.openxmlformats.org/officeDocument/2006/relationships/hyperlink" Target="https://docs.inecelectionresults.net/elections_prod/1292/state/01/lga/16/ward/01/pu/004/004-1677362440.pdf" TargetMode="External"/><Relationship Id="rId2081" Type="http://schemas.openxmlformats.org/officeDocument/2006/relationships/hyperlink" Target="https://docs.inecelectionresults.net/elections_prod/1292/state/01/lga/16/ward/01/pu/005/005-1677386118.pdf" TargetMode="External"/><Relationship Id="rId2082" Type="http://schemas.openxmlformats.org/officeDocument/2006/relationships/hyperlink" Target="https://docs.inecelectionresults.net/elections_prod/1292/state/01/lga/16/ward/01/pu/006/006-1677360287.pdf" TargetMode="External"/><Relationship Id="rId2083" Type="http://schemas.openxmlformats.org/officeDocument/2006/relationships/hyperlink" Target="https://docs.inecelectionresults.net/elections_prod/1292/state/01/lga/16/ward/01/pu/008/008-1677360338.pdf" TargetMode="External"/><Relationship Id="rId2084" Type="http://schemas.openxmlformats.org/officeDocument/2006/relationships/hyperlink" Target="https://docs.inecelectionresults.net/elections_prod/1292/state/1/lga/3681/ward/24126/pu/93399/93399-1677584010.pdf" TargetMode="External"/><Relationship Id="rId2085" Type="http://schemas.openxmlformats.org/officeDocument/2006/relationships/hyperlink" Target="https://docs.inecelectionresults.net/elections_prod/1292/state/01/lga/16/ward/01/pu/010/010-1677359357.pdf" TargetMode="External"/><Relationship Id="rId2086" Type="http://schemas.openxmlformats.org/officeDocument/2006/relationships/hyperlink" Target="https://docs.inecelectionresults.net/elections_prod/1292/state/01/lga/16/ward/01/pu/011/011-1677368230.pdf" TargetMode="External"/><Relationship Id="rId2087" Type="http://schemas.openxmlformats.org/officeDocument/2006/relationships/hyperlink" Target="https://docs.inecelectionresults.net/elections_prod/1292/state/01/lga/16/ward/01/pu/012/012-1677359341.pdf" TargetMode="External"/><Relationship Id="rId2088" Type="http://schemas.openxmlformats.org/officeDocument/2006/relationships/hyperlink" Target="https://docs.inecelectionresults.net/elections_prod/1292/state/01/lga/16/ward/01/pu/013/013-1677391535.pdf" TargetMode="External"/><Relationship Id="rId2089" Type="http://schemas.openxmlformats.org/officeDocument/2006/relationships/hyperlink" Target="https://docs.inecelectionresults.net/elections_prod/1292/state/01/lga/16/ward/01/pu/014/014-1677359324.pdf" TargetMode="External"/><Relationship Id="rId2070" Type="http://schemas.openxmlformats.org/officeDocument/2006/relationships/hyperlink" Target="https://inec-cvr-cache.s3.eu-west-1.amazonaws.com/cached/results/92282/result_80095_1677502857_thumb.jpg" TargetMode="External"/><Relationship Id="rId2071" Type="http://schemas.openxmlformats.org/officeDocument/2006/relationships/hyperlink" Target="https://inec-cvr-cache.s3.eu-west-1.amazonaws.com/cached/results/92283/result_80096_1677505306_thumb.jpg" TargetMode="External"/><Relationship Id="rId2072" Type="http://schemas.openxmlformats.org/officeDocument/2006/relationships/hyperlink" Target="https://inec-cvr-cache.s3.eu-west-1.amazonaws.com/cached/results/92284/result_80097_1677505444_thumb.jpg" TargetMode="External"/><Relationship Id="rId2073" Type="http://schemas.openxmlformats.org/officeDocument/2006/relationships/hyperlink" Target="https://inec-cvr-cache.s3.eu-west-1.amazonaws.com/cached/results/92285/result_80098_1677505604_thumb.jpg" TargetMode="External"/><Relationship Id="rId2074" Type="http://schemas.openxmlformats.org/officeDocument/2006/relationships/hyperlink" Target="https://inec-cvr-cache.s3.eu-west-1.amazonaws.com/cached/results/92286/result_80099_1677505793_thumb.jpg" TargetMode="External"/><Relationship Id="rId2075" Type="http://schemas.openxmlformats.org/officeDocument/2006/relationships/hyperlink" Target="https://inec-cvr-cache.s3.eu-west-1.amazonaws.com/cached/results/92287/result_80100_1677505957_thumb.jpg" TargetMode="External"/><Relationship Id="rId2076" Type="http://schemas.openxmlformats.org/officeDocument/2006/relationships/hyperlink" Target="https://inec-cvr-cache.s3.eu-west-1.amazonaws.com/cached/results/92288/result_80101_1677506606_thumb.jpg" TargetMode="External"/><Relationship Id="rId2077" Type="http://schemas.openxmlformats.org/officeDocument/2006/relationships/hyperlink" Target="https://docs.inecelectionresults.net/elections_prod/1292/state/01/lga/16/ward/01/pu/001/001-1677362324.pdf" TargetMode="External"/><Relationship Id="rId2078" Type="http://schemas.openxmlformats.org/officeDocument/2006/relationships/hyperlink" Target="https://docs.inecelectionresults.net/elections_prod/1292/state/01/lga/16/ward/01/pu/002/002-1677365738.pdf" TargetMode="External"/><Relationship Id="rId2079" Type="http://schemas.openxmlformats.org/officeDocument/2006/relationships/hyperlink" Target="https://docs.inecelectionresults.net/elections_prod/1292/state/01/lga/16/ward/01/pu/003/003-1677362502.pdf" TargetMode="External"/><Relationship Id="rId2940" Type="http://schemas.openxmlformats.org/officeDocument/2006/relationships/hyperlink" Target="https://docs.inecelectionresults.net/elections_prod/1292/state/01/lga/03/ward/07/pu/074/074-1677408552.pdf" TargetMode="External"/><Relationship Id="rId1610" Type="http://schemas.openxmlformats.org/officeDocument/2006/relationships/hyperlink" Target="https://docs.inecelectionresults.net/elections_prod/1292/state/1/lga/3676/ward/24076/pu/92801/92801-1677579431.pdf" TargetMode="External"/><Relationship Id="rId2941" Type="http://schemas.openxmlformats.org/officeDocument/2006/relationships/hyperlink" Target="https://docs.inecelectionresults.net/elections_prod/1292/state/01/lga/03/ward/07/pu/075/075-1677404164.pdf" TargetMode="External"/><Relationship Id="rId1611" Type="http://schemas.openxmlformats.org/officeDocument/2006/relationships/hyperlink" Target="https://docs.inecelectionresults.net/elections_prod/1292/state/01/lga/11/ward/07/pu/001/001-1677378034.pdf" TargetMode="External"/><Relationship Id="rId2942" Type="http://schemas.openxmlformats.org/officeDocument/2006/relationships/hyperlink" Target="https://docs.inecelectionresults.net/elections_prod/1292/state/01/lga/03/ward/07/pu/076/076-1677407728.pdf" TargetMode="External"/><Relationship Id="rId1612" Type="http://schemas.openxmlformats.org/officeDocument/2006/relationships/hyperlink" Target="https://docs.inecelectionresults.net/elections_prod/1292/state/01/lga/11/ward/07/pu/004/004-1677381390.pdf" TargetMode="External"/><Relationship Id="rId2943" Type="http://schemas.openxmlformats.org/officeDocument/2006/relationships/hyperlink" Target="https://docs.inecelectionresults.net/elections_prod/1292/state/01/lga/03/ward/08/pu/021/021-1677419035.pdf" TargetMode="External"/><Relationship Id="rId1613" Type="http://schemas.openxmlformats.org/officeDocument/2006/relationships/hyperlink" Target="https://docs.inecelectionresults.net/elections_prod/1292/state/01/lga/11/ward/07/pu/005/005-1677381708.pdf" TargetMode="External"/><Relationship Id="rId2944" Type="http://schemas.openxmlformats.org/officeDocument/2006/relationships/hyperlink" Target="https://docs.inecelectionresults.net/elections_prod/1292/state/01/lga/03/ward/08/pu/022/022-1677409851.pdf" TargetMode="External"/><Relationship Id="rId1614" Type="http://schemas.openxmlformats.org/officeDocument/2006/relationships/hyperlink" Target="https://docs.inecelectionresults.net/elections_prod/1292/state/01/lga/11/ward/07/pu/006/006-1677384478.pdf" TargetMode="External"/><Relationship Id="rId2945" Type="http://schemas.openxmlformats.org/officeDocument/2006/relationships/hyperlink" Target="https://docs.inecelectionresults.net/elections_prod/1292/state/01/lga/03/ward/08/pu/023/023-1677423303.pdf" TargetMode="External"/><Relationship Id="rId1615" Type="http://schemas.openxmlformats.org/officeDocument/2006/relationships/hyperlink" Target="https://docs.inecelectionresults.net/elections_prod/1292/state/01/lga/11/ward/07/pu/007/007-1677385062.pdf" TargetMode="External"/><Relationship Id="rId2946" Type="http://schemas.openxmlformats.org/officeDocument/2006/relationships/hyperlink" Target="https://docs.inecelectionresults.net/elections_prod/1292/state/01/lga/03/ward/08/pu/026/026-1677424681.pdf" TargetMode="External"/><Relationship Id="rId1616" Type="http://schemas.openxmlformats.org/officeDocument/2006/relationships/hyperlink" Target="https://docs.inecelectionresults.net/elections_prod/1292/state/01/lga/11/ward/07/pu/009/009-1677386238.pdf" TargetMode="External"/><Relationship Id="rId2947" Type="http://schemas.openxmlformats.org/officeDocument/2006/relationships/hyperlink" Target="https://docs.inecelectionresults.net/elections_prod/1292/state/01/lga/03/ward/08/pu/028/028-1677415375.pdf" TargetMode="External"/><Relationship Id="rId907" Type="http://schemas.openxmlformats.org/officeDocument/2006/relationships/hyperlink" Target="https://docs.inecelectionresults.net/elections_prod/1292/state/01/lga/05/ward/07/pu/009/009-1677399168.pdf" TargetMode="External"/><Relationship Id="rId1617" Type="http://schemas.openxmlformats.org/officeDocument/2006/relationships/hyperlink" Target="https://docs.inecelectionresults.net/elections_prod/1292/state/01/lga/11/ward/08/pu/001/001-1677384238.pdf" TargetMode="External"/><Relationship Id="rId2948" Type="http://schemas.openxmlformats.org/officeDocument/2006/relationships/hyperlink" Target="https://docs.inecelectionresults.net/elections_prod/1292/state/1/lga/3668/ward/23988/pu/165276/165276-1677467152.pdf" TargetMode="External"/><Relationship Id="rId906" Type="http://schemas.openxmlformats.org/officeDocument/2006/relationships/hyperlink" Target="https://docs.inecelectionresults.net/elections_prod/1292/state/01/lga/05/ward/07/pu/008/008-1677401337.pdf" TargetMode="External"/><Relationship Id="rId1618" Type="http://schemas.openxmlformats.org/officeDocument/2006/relationships/hyperlink" Target="https://docs.inecelectionresults.net/elections_prod/1292/state/1/lga/3676/ward/24078/pu/92812/92812-1677513140.pdf" TargetMode="External"/><Relationship Id="rId2949" Type="http://schemas.openxmlformats.org/officeDocument/2006/relationships/hyperlink" Target="https://docs.inecelectionresults.net/elections_prod/1292/state/1/lga/3668/ward/23988/pu/165277/165277-1677457473.pdf" TargetMode="External"/><Relationship Id="rId905" Type="http://schemas.openxmlformats.org/officeDocument/2006/relationships/hyperlink" Target="https://docs.inecelectionresults.net/elections_prod/1292/state/01/lga/05/ward/07/pu/007/007-1677389556.pdf" TargetMode="External"/><Relationship Id="rId1619" Type="http://schemas.openxmlformats.org/officeDocument/2006/relationships/hyperlink" Target="https://docs.inecelectionresults.net/elections_prod/1292/state/01/lga/11/ward/08/pu/003/003-1677381984.pdf" TargetMode="External"/><Relationship Id="rId904" Type="http://schemas.openxmlformats.org/officeDocument/2006/relationships/hyperlink" Target="https://docs.inecelectionresults.net/elections_prod/1292/state/01/lga/05/ward/07/pu/006/006-1677401309.pdf" TargetMode="External"/><Relationship Id="rId909" Type="http://schemas.openxmlformats.org/officeDocument/2006/relationships/hyperlink" Target="https://docs.inecelectionresults.net/elections_prod/1292/state/01/lga/05/ward/07/pu/013/013-1677400926.pdf" TargetMode="External"/><Relationship Id="rId908" Type="http://schemas.openxmlformats.org/officeDocument/2006/relationships/hyperlink" Target="https://docs.inecelectionresults.net/elections_prod/1292/state/01/lga/05/ward/07/pu/012/012-1677379407.pdf" TargetMode="External"/><Relationship Id="rId903" Type="http://schemas.openxmlformats.org/officeDocument/2006/relationships/hyperlink" Target="https://docs.inecelectionresults.net/elections_prod/1292/state/01/lga/05/ward/07/pu/004/004-1677398830.pdf" TargetMode="External"/><Relationship Id="rId902" Type="http://schemas.openxmlformats.org/officeDocument/2006/relationships/hyperlink" Target="https://docs.inecelectionresults.net/elections_prod/1292/state/01/lga/05/ward/07/pu/003/003-1677390387.pdf" TargetMode="External"/><Relationship Id="rId901" Type="http://schemas.openxmlformats.org/officeDocument/2006/relationships/hyperlink" Target="https://docs.inecelectionresults.net/elections_prod/1292/state/01/lga/05/ward/06/pu/024/024-1677386485.pdf" TargetMode="External"/><Relationship Id="rId900" Type="http://schemas.openxmlformats.org/officeDocument/2006/relationships/hyperlink" Target="https://docs.inecelectionresults.net/elections_prod/1292/state/01/lga/05/ward/06/pu/023/023-1677379448.pdf" TargetMode="External"/><Relationship Id="rId2930" Type="http://schemas.openxmlformats.org/officeDocument/2006/relationships/hyperlink" Target="https://docs.inecelectionresults.net/elections_prod/1292/state/01/lga/03/ward/07/pu/057/057-1677412546.pdf" TargetMode="External"/><Relationship Id="rId1600" Type="http://schemas.openxmlformats.org/officeDocument/2006/relationships/hyperlink" Target="https://docs.inecelectionresults.net/elections_prod/1292/state/01/lga/11/ward/05/pu/011/011-1677374016.pdf" TargetMode="External"/><Relationship Id="rId2931" Type="http://schemas.openxmlformats.org/officeDocument/2006/relationships/hyperlink" Target="https://docs.inecelectionresults.net/elections_prod/1292/state/01/lga/03/ward/07/pu/061/061-1677403480.pdf" TargetMode="External"/><Relationship Id="rId1601" Type="http://schemas.openxmlformats.org/officeDocument/2006/relationships/hyperlink" Target="https://docs.inecelectionresults.net/elections_prod/1292/state/01/lga/11/ward/05/pu/012/012-1677373159.pdf" TargetMode="External"/><Relationship Id="rId2932" Type="http://schemas.openxmlformats.org/officeDocument/2006/relationships/hyperlink" Target="https://docs.inecelectionresults.net/elections_prod/1292/state/01/lga/03/ward/07/pu/063/063-1677403489.pdf" TargetMode="External"/><Relationship Id="rId1602" Type="http://schemas.openxmlformats.org/officeDocument/2006/relationships/hyperlink" Target="https://docs.inecelectionresults.net/elections_prod/1292/state/01/lga/11/ward/06/pu/001/001-1677388255.pdf" TargetMode="External"/><Relationship Id="rId2933" Type="http://schemas.openxmlformats.org/officeDocument/2006/relationships/hyperlink" Target="https://docs.inecelectionresults.net/elections_prod/1292/state/1/lga/3668/ward/23987/pu/165255/165255-1677457375.pdf" TargetMode="External"/><Relationship Id="rId1603" Type="http://schemas.openxmlformats.org/officeDocument/2006/relationships/hyperlink" Target="https://docs.inecelectionresults.net/elections_prod/1292/state/01/lga/11/ward/06/pu/002/002-1677390181.pdf" TargetMode="External"/><Relationship Id="rId2934" Type="http://schemas.openxmlformats.org/officeDocument/2006/relationships/hyperlink" Target="https://docs.inecelectionresults.net/elections_prod/1292/state/01/lga/03/ward/07/pu/066/066-1677398748.pdf" TargetMode="External"/><Relationship Id="rId1604" Type="http://schemas.openxmlformats.org/officeDocument/2006/relationships/hyperlink" Target="https://docs.inecelectionresults.net/elections_prod/1292/state/01/lga/11/ward/06/pu/003/003-1677390809.pdf" TargetMode="External"/><Relationship Id="rId2935" Type="http://schemas.openxmlformats.org/officeDocument/2006/relationships/hyperlink" Target="https://docs.inecelectionresults.net/elections_prod/1292/state/01/lga/03/ward/07/pu/068/068-1677387878.pdf" TargetMode="External"/><Relationship Id="rId1605" Type="http://schemas.openxmlformats.org/officeDocument/2006/relationships/hyperlink" Target="https://docs.inecelectionresults.net/elections_prod/1292/state/01/lga/11/ward/06/pu/004/004-1677391879.pdf" TargetMode="External"/><Relationship Id="rId2936" Type="http://schemas.openxmlformats.org/officeDocument/2006/relationships/hyperlink" Target="https://docs.inecelectionresults.net/elections_prod/1292/state/01/lga/03/ward/07/pu/070/070-1677413072.pdf" TargetMode="External"/><Relationship Id="rId1606" Type="http://schemas.openxmlformats.org/officeDocument/2006/relationships/hyperlink" Target="https://docs.inecelectionresults.net/elections_prod/1292/state/1/lga/3676/ward/24076/pu/92796/92796-1677579183.pdf" TargetMode="External"/><Relationship Id="rId2937" Type="http://schemas.openxmlformats.org/officeDocument/2006/relationships/hyperlink" Target="https://docs.inecelectionresults.net/elections_prod/1292/state/01/lga/03/ward/07/pu/071/071-1677417227.pdf" TargetMode="External"/><Relationship Id="rId1607" Type="http://schemas.openxmlformats.org/officeDocument/2006/relationships/hyperlink" Target="https://docs.inecelectionresults.net/elections_prod/1292/state/01/lga/11/ward/06/pu/006/006-1677392755.pdf" TargetMode="External"/><Relationship Id="rId2938" Type="http://schemas.openxmlformats.org/officeDocument/2006/relationships/hyperlink" Target="https://docs.inecelectionresults.net/elections_prod/1292/state/01/lga/03/ward/07/pu/072/072-1677411462.pdf" TargetMode="External"/><Relationship Id="rId1608" Type="http://schemas.openxmlformats.org/officeDocument/2006/relationships/hyperlink" Target="https://docs.inecelectionresults.net/elections_prod/1292/state/01/lga/11/ward/06/pu/007/007-1677407423.pdf" TargetMode="External"/><Relationship Id="rId2939" Type="http://schemas.openxmlformats.org/officeDocument/2006/relationships/hyperlink" Target="https://docs.inecelectionresults.net/elections_prod/1292/state/01/lga/03/ward/07/pu/073/073-1677406908.pdf" TargetMode="External"/><Relationship Id="rId1609" Type="http://schemas.openxmlformats.org/officeDocument/2006/relationships/hyperlink" Target="https://docs.inecelectionresults.net/elections_prod/1292/state/01/lga/11/ward/06/pu/008/008-1677415276.pdf" TargetMode="External"/><Relationship Id="rId1631" Type="http://schemas.openxmlformats.org/officeDocument/2006/relationships/hyperlink" Target="https://docs.inecelectionresults.net/elections_prod/1292/state/01/lga/11/ward/09/pu/005/005-1677380870.pdf" TargetMode="External"/><Relationship Id="rId2962" Type="http://schemas.openxmlformats.org/officeDocument/2006/relationships/hyperlink" Target="https://docs.inecelectionresults.net/elections_prod/1292/state/01/lga/03/ward/08/pu/046/046-1677421069.pdf" TargetMode="External"/><Relationship Id="rId1632" Type="http://schemas.openxmlformats.org/officeDocument/2006/relationships/hyperlink" Target="https://docs.inecelectionresults.net/elections_prod/1292/state/01/lga/11/ward/09/pu/006/006-1677382036.pdf" TargetMode="External"/><Relationship Id="rId2963" Type="http://schemas.openxmlformats.org/officeDocument/2006/relationships/hyperlink" Target="https://docs.inecelectionresults.net/elections_prod/1292/state/01/lga/03/ward/08/pu/047/047-1677426048.pdf" TargetMode="External"/><Relationship Id="rId1633" Type="http://schemas.openxmlformats.org/officeDocument/2006/relationships/hyperlink" Target="https://docs.inecelectionresults.net/elections_prod/1292/state/01/lga/11/ward/09/pu/007/007-1677382368.pdf" TargetMode="External"/><Relationship Id="rId2964" Type="http://schemas.openxmlformats.org/officeDocument/2006/relationships/hyperlink" Target="https://docs.inecelectionresults.net/elections_prod/1292/state/01/lga/03/ward/08/pu/048/048-1677365715.pdf" TargetMode="External"/><Relationship Id="rId1634" Type="http://schemas.openxmlformats.org/officeDocument/2006/relationships/hyperlink" Target="https://docs.inecelectionresults.net/elections_prod/1292/state/01/lga/11/ward/09/pu/008/008-1677382869.pdf" TargetMode="External"/><Relationship Id="rId2965" Type="http://schemas.openxmlformats.org/officeDocument/2006/relationships/hyperlink" Target="https://docs.inecelectionresults.net/elections_prod/1292/state/01/lga/03/ward/08/pu/049/049-1677414993.pdf" TargetMode="External"/><Relationship Id="rId1635" Type="http://schemas.openxmlformats.org/officeDocument/2006/relationships/hyperlink" Target="https://docs.inecelectionresults.net/elections_prod/1292/state/01/lga/11/ward/09/pu/009/009-1677383597.pdf" TargetMode="External"/><Relationship Id="rId2966" Type="http://schemas.openxmlformats.org/officeDocument/2006/relationships/hyperlink" Target="https://docs.inecelectionresults.net/elections_prod/1292/state/1/lga/3668/ward/23988/pu/165297/165297-1677457836.pdf" TargetMode="External"/><Relationship Id="rId1636" Type="http://schemas.openxmlformats.org/officeDocument/2006/relationships/hyperlink" Target="https://docs.inecelectionresults.net/elections_prod/1292/state/01/lga/11/ward/09/pu/010/010-1677383842.pdf" TargetMode="External"/><Relationship Id="rId2967" Type="http://schemas.openxmlformats.org/officeDocument/2006/relationships/hyperlink" Target="https://docs.inecelectionresults.net/elections_prod/1292/state/1/lga/3668/ward/23988/pu/165298/165298-1677463320.pdf" TargetMode="External"/><Relationship Id="rId1637" Type="http://schemas.openxmlformats.org/officeDocument/2006/relationships/hyperlink" Target="https://docs.inecelectionresults.net/elections_prod/1292/state/01/lga/11/ward/09/pu/012/012-1677384391.pdf" TargetMode="External"/><Relationship Id="rId2968" Type="http://schemas.openxmlformats.org/officeDocument/2006/relationships/hyperlink" Target="https://docs.inecelectionresults.net/elections_prod/1292/state/01/lga/03/ward/08/pu/052/052-1677422097.pdf" TargetMode="External"/><Relationship Id="rId1638" Type="http://schemas.openxmlformats.org/officeDocument/2006/relationships/hyperlink" Target="https://docs.inecelectionresults.net/elections_prod/1292/state/01/lga/11/ward/09/pu/013/013-1677384981.pdf" TargetMode="External"/><Relationship Id="rId2969" Type="http://schemas.openxmlformats.org/officeDocument/2006/relationships/hyperlink" Target="https://docs.inecelectionresults.net/elections_prod/1292/state/01/lga/03/ward/08/pu/053/053-1677420229.pdf" TargetMode="External"/><Relationship Id="rId929" Type="http://schemas.openxmlformats.org/officeDocument/2006/relationships/hyperlink" Target="https://docs.inecelectionresults.net/elections_prod/1292/state/01/lga/05/ward/08/pu/015/015-1677378599.pdf" TargetMode="External"/><Relationship Id="rId1639" Type="http://schemas.openxmlformats.org/officeDocument/2006/relationships/hyperlink" Target="https://docs.inecelectionresults.net/elections_prod/1292/state/01/lga/11/ward/10/pu/001/001-1677362844.pdf" TargetMode="External"/><Relationship Id="rId928" Type="http://schemas.openxmlformats.org/officeDocument/2006/relationships/hyperlink" Target="https://docs.inecelectionresults.net/elections_prod/1292/state/01/lga/05/ward/08/pu/013/013-1677375503.pdf" TargetMode="External"/><Relationship Id="rId927" Type="http://schemas.openxmlformats.org/officeDocument/2006/relationships/hyperlink" Target="https://docs.inecelectionresults.net/elections_prod/1292/state/01/lga/05/ward/08/pu/012/012-1677376180.pdf" TargetMode="External"/><Relationship Id="rId926" Type="http://schemas.openxmlformats.org/officeDocument/2006/relationships/hyperlink" Target="https://docs.inecelectionresults.net/elections_prod/1292/state/01/lga/05/ward/08/pu/011/011-1677379465.pdf" TargetMode="External"/><Relationship Id="rId921" Type="http://schemas.openxmlformats.org/officeDocument/2006/relationships/hyperlink" Target="https://docs.inecelectionresults.net/elections_prod/1292/state/01/lga/05/ward/08/pu/006/006-1677378990.pdf" TargetMode="External"/><Relationship Id="rId920" Type="http://schemas.openxmlformats.org/officeDocument/2006/relationships/hyperlink" Target="https://docs.inecelectionresults.net/elections_prod/1292/state/01/lga/05/ward/08/pu/005/005-1677373099.pdf" TargetMode="External"/><Relationship Id="rId925" Type="http://schemas.openxmlformats.org/officeDocument/2006/relationships/hyperlink" Target="https://docs.inecelectionresults.net/elections_prod/1292/state/01/lga/05/ward/08/pu/010/010-1677371609.pdf" TargetMode="External"/><Relationship Id="rId924" Type="http://schemas.openxmlformats.org/officeDocument/2006/relationships/hyperlink" Target="https://docs.inecelectionresults.net/elections_prod/1292/state/01/lga/05/ward/08/pu/009/009-1677374735.pdf" TargetMode="External"/><Relationship Id="rId923" Type="http://schemas.openxmlformats.org/officeDocument/2006/relationships/hyperlink" Target="https://docs.inecelectionresults.net/elections_prod/1292/state/01/lga/05/ward/08/pu/008/008-1677378873.pdf" TargetMode="External"/><Relationship Id="rId922" Type="http://schemas.openxmlformats.org/officeDocument/2006/relationships/hyperlink" Target="https://docs.inecelectionresults.net/elections_prod/1292/state/01/lga/05/ward/08/pu/007/007-1677370613.pdf" TargetMode="External"/><Relationship Id="rId2960" Type="http://schemas.openxmlformats.org/officeDocument/2006/relationships/hyperlink" Target="https://docs.inecelectionresults.net/elections_prod/1292/state/1/lga/3668/ward/23988/pu/165290/165290-1677466208.pdf" TargetMode="External"/><Relationship Id="rId1630" Type="http://schemas.openxmlformats.org/officeDocument/2006/relationships/hyperlink" Target="https://docs.inecelectionresults.net/elections_prod/1292/state/01/lga/11/ward/09/pu/004/004-1677380480.pdf" TargetMode="External"/><Relationship Id="rId2961" Type="http://schemas.openxmlformats.org/officeDocument/2006/relationships/hyperlink" Target="https://docs.inecelectionresults.net/elections_prod/1292/state/01/lga/03/ward/08/pu/045/045-1677426804.pdf" TargetMode="External"/><Relationship Id="rId1620" Type="http://schemas.openxmlformats.org/officeDocument/2006/relationships/hyperlink" Target="https://docs.inecelectionresults.net/elections_prod/1292/state/01/lga/11/ward/08/pu/004/004-1677379400.pdf" TargetMode="External"/><Relationship Id="rId2951" Type="http://schemas.openxmlformats.org/officeDocument/2006/relationships/hyperlink" Target="https://docs.inecelectionresults.net/elections_prod/1292/state/01/lga/03/ward/08/pu/032/032-1677412668.pdf" TargetMode="External"/><Relationship Id="rId1621" Type="http://schemas.openxmlformats.org/officeDocument/2006/relationships/hyperlink" Target="https://docs.inecelectionresults.net/elections_prod/1292/state/01/lga/11/ward/08/pu/005/005-1677378115.pdf" TargetMode="External"/><Relationship Id="rId2952" Type="http://schemas.openxmlformats.org/officeDocument/2006/relationships/hyperlink" Target="https://docs.inecelectionresults.net/elections_prod/1292/state/01/lga/03/ward/08/pu/033/033-1677425620.pdf" TargetMode="External"/><Relationship Id="rId1622" Type="http://schemas.openxmlformats.org/officeDocument/2006/relationships/hyperlink" Target="https://docs.inecelectionresults.net/elections_prod/1292/state/01/lga/11/ward/08/pu/006/006-1677383665.pdf" TargetMode="External"/><Relationship Id="rId2953" Type="http://schemas.openxmlformats.org/officeDocument/2006/relationships/hyperlink" Target="https://docs.inecelectionresults.net/elections_prod/1292/state/01/lga/03/ward/08/pu/034/034-1677414868.pdf" TargetMode="External"/><Relationship Id="rId1623" Type="http://schemas.openxmlformats.org/officeDocument/2006/relationships/hyperlink" Target="https://docs.inecelectionresults.net/elections_prod/1292/state/1/lga/3676/ward/24078/pu/92817/92817-1677509795.pdf" TargetMode="External"/><Relationship Id="rId2954" Type="http://schemas.openxmlformats.org/officeDocument/2006/relationships/hyperlink" Target="https://docs.inecelectionresults.net/elections_prod/1292/state/1/lga/3668/ward/23988/pu/165283/165283-1677466646.pdf" TargetMode="External"/><Relationship Id="rId1624" Type="http://schemas.openxmlformats.org/officeDocument/2006/relationships/hyperlink" Target="https://docs.inecelectionresults.net/elections_prod/1292/state/01/lga/11/ward/08/pu/008/008-1677383893.pdf" TargetMode="External"/><Relationship Id="rId2955" Type="http://schemas.openxmlformats.org/officeDocument/2006/relationships/hyperlink" Target="https://docs.inecelectionresults.net/elections_prod/1292/state/01/lga/03/ward/08/pu/037/037-1677417354.pdf" TargetMode="External"/><Relationship Id="rId1625" Type="http://schemas.openxmlformats.org/officeDocument/2006/relationships/hyperlink" Target="https://docs.inecelectionresults.net/elections_prod/1292/state/01/lga/11/ward/08/pu/009/009-1677378514.pdf" TargetMode="External"/><Relationship Id="rId2956" Type="http://schemas.openxmlformats.org/officeDocument/2006/relationships/hyperlink" Target="https://docs.inecelectionresults.net/elections_prod/1292/state/01/lga/03/ward/08/pu/038/038-1677418242.pdf" TargetMode="External"/><Relationship Id="rId1626" Type="http://schemas.openxmlformats.org/officeDocument/2006/relationships/hyperlink" Target="https://docs.inecelectionresults.net/elections_prod/1292/state/1/lga/3676/ward/24078/pu/92820/92820-1677509498.pdf" TargetMode="External"/><Relationship Id="rId2957" Type="http://schemas.openxmlformats.org/officeDocument/2006/relationships/hyperlink" Target="https://docs.inecelectionresults.net/elections_prod/1292/state/1/lga/3668/ward/23988/pu/165286/165286-1677465593.pdf" TargetMode="External"/><Relationship Id="rId1627" Type="http://schemas.openxmlformats.org/officeDocument/2006/relationships/hyperlink" Target="https://docs.inecelectionresults.net/elections_prod/1292/state/01/lga/11/ward/08/pu/011/011-1677382640.pdf" TargetMode="External"/><Relationship Id="rId2958" Type="http://schemas.openxmlformats.org/officeDocument/2006/relationships/hyperlink" Target="https://docs.inecelectionresults.net/elections_prod/1292/state/01/lga/03/ward/08/pu/040/040-1677418289.pdf" TargetMode="External"/><Relationship Id="rId918" Type="http://schemas.openxmlformats.org/officeDocument/2006/relationships/hyperlink" Target="https://docs.inecelectionresults.net/elections_prod/1292/state/01/lga/05/ward/08/pu/002/002-1677373456.pdf" TargetMode="External"/><Relationship Id="rId1628" Type="http://schemas.openxmlformats.org/officeDocument/2006/relationships/hyperlink" Target="https://docs.inecelectionresults.net/elections_prod/1292/state/01/lga/11/ward/09/pu/001/001-1677378776.pdf" TargetMode="External"/><Relationship Id="rId2959" Type="http://schemas.openxmlformats.org/officeDocument/2006/relationships/hyperlink" Target="https://docs.inecelectionresults.net/elections_prod/1292/state/01/lga/03/ward/08/pu/042/042-1677413608.pdf" TargetMode="External"/><Relationship Id="rId917" Type="http://schemas.openxmlformats.org/officeDocument/2006/relationships/hyperlink" Target="https://docs.inecelectionresults.net/elections_prod/1292/state/01/lga/05/ward/08/pu/001/001-1677376470.pdf" TargetMode="External"/><Relationship Id="rId1629" Type="http://schemas.openxmlformats.org/officeDocument/2006/relationships/hyperlink" Target="https://docs.inecelectionresults.net/elections_prod/1292/state/01/lga/11/ward/09/pu/002/002-1677379692.pdf" TargetMode="External"/><Relationship Id="rId916" Type="http://schemas.openxmlformats.org/officeDocument/2006/relationships/hyperlink" Target="https://docs.inecelectionresults.net/elections_prod/1292/state/01/lga/05/ward/07/pu/020/020-1677400847.pdf" TargetMode="External"/><Relationship Id="rId915" Type="http://schemas.openxmlformats.org/officeDocument/2006/relationships/hyperlink" Target="https://docs.inecelectionresults.net/elections_prod/1292/state/01/lga/05/ward/07/pu/019/019-1677386567.pdf" TargetMode="External"/><Relationship Id="rId919" Type="http://schemas.openxmlformats.org/officeDocument/2006/relationships/hyperlink" Target="https://docs.inecelectionresults.net/elections_prod/1292/state/01/lga/05/ward/08/pu/003/003-1677373624.pdf" TargetMode="External"/><Relationship Id="rId910" Type="http://schemas.openxmlformats.org/officeDocument/2006/relationships/hyperlink" Target="https://docs.inecelectionresults.net/elections_prod/1292/state/01/lga/05/ward/07/pu/014/014-1677397973.pdf" TargetMode="External"/><Relationship Id="rId914" Type="http://schemas.openxmlformats.org/officeDocument/2006/relationships/hyperlink" Target="https://docs.inecelectionresults.net/elections_prod/1292/state/01/lga/05/ward/07/pu/018/018-1677384233.pdf" TargetMode="External"/><Relationship Id="rId913" Type="http://schemas.openxmlformats.org/officeDocument/2006/relationships/hyperlink" Target="https://docs.inecelectionresults.net/elections_prod/1292/state/01/lga/05/ward/07/pu/017/017-1677400338.pdf" TargetMode="External"/><Relationship Id="rId912" Type="http://schemas.openxmlformats.org/officeDocument/2006/relationships/hyperlink" Target="https://docs.inecelectionresults.net/elections_prod/1292/state/01/lga/05/ward/07/pu/016/016-1677393063.pdf" TargetMode="External"/><Relationship Id="rId911" Type="http://schemas.openxmlformats.org/officeDocument/2006/relationships/hyperlink" Target="https://docs.inecelectionresults.net/elections_prod/1292/state/01/lga/05/ward/07/pu/015/015-1677394337.pdf" TargetMode="External"/><Relationship Id="rId2950" Type="http://schemas.openxmlformats.org/officeDocument/2006/relationships/hyperlink" Target="https://docs.inecelectionresults.net/elections_prod/1292/state/01/lga/03/ward/08/pu/031/031-1677426230.pdf" TargetMode="External"/><Relationship Id="rId2900" Type="http://schemas.openxmlformats.org/officeDocument/2006/relationships/hyperlink" Target="https://docs.inecelectionresults.net/elections_prod/1292/state/01/lga/03/ward/07/pu/023/023-1677424482.pdf" TargetMode="External"/><Relationship Id="rId2901" Type="http://schemas.openxmlformats.org/officeDocument/2006/relationships/hyperlink" Target="https://docs.inecelectionresults.net/elections_prod/1292/state/01/lga/03/ward/07/pu/024/024-1677399369.pdf" TargetMode="External"/><Relationship Id="rId2902" Type="http://schemas.openxmlformats.org/officeDocument/2006/relationships/hyperlink" Target="https://docs.inecelectionresults.net/elections_prod/1292/state/1/lga/3668/ward/23987/pu/165216/165216-1677458433.pdf" TargetMode="External"/><Relationship Id="rId2903" Type="http://schemas.openxmlformats.org/officeDocument/2006/relationships/hyperlink" Target="https://docs.inecelectionresults.net/elections_prod/1292/state/01/lga/03/ward/07/pu/026/026-1677409542.pdf" TargetMode="External"/><Relationship Id="rId2904" Type="http://schemas.openxmlformats.org/officeDocument/2006/relationships/hyperlink" Target="https://docs.inecelectionresults.net/elections_prod/1292/state/01/lga/03/ward/07/pu/027/027-1677413522.pdf" TargetMode="External"/><Relationship Id="rId2905" Type="http://schemas.openxmlformats.org/officeDocument/2006/relationships/hyperlink" Target="https://docs.inecelectionresults.net/elections_prod/1292/state/01/lga/03/ward/07/pu/028/028-1677415440.pdf" TargetMode="External"/><Relationship Id="rId2906" Type="http://schemas.openxmlformats.org/officeDocument/2006/relationships/hyperlink" Target="https://docs.inecelectionresults.net/elections_prod/1292/state/01/lga/03/ward/07/pu/031/031-1677379112.pdf" TargetMode="External"/><Relationship Id="rId2907" Type="http://schemas.openxmlformats.org/officeDocument/2006/relationships/hyperlink" Target="https://docs.inecelectionresults.net/elections_prod/1292/state/01/lga/03/ward/07/pu/032/032-1677385661.pdf" TargetMode="External"/><Relationship Id="rId2908" Type="http://schemas.openxmlformats.org/officeDocument/2006/relationships/hyperlink" Target="https://docs.inecelectionresults.net/elections_prod/1292/state/01/lga/03/ward/07/pu/033/033-1677385415.pdf" TargetMode="External"/><Relationship Id="rId2909" Type="http://schemas.openxmlformats.org/officeDocument/2006/relationships/hyperlink" Target="https://docs.inecelectionresults.net/elections_prod/1292/state/01/lga/03/ward/07/pu/034/034-1677388187.pdf" TargetMode="External"/><Relationship Id="rId2920" Type="http://schemas.openxmlformats.org/officeDocument/2006/relationships/hyperlink" Target="https://docs.inecelectionresults.net/elections_prod/1292/state/01/lga/03/ward/07/pu/046/046-1677391172.pdf" TargetMode="External"/><Relationship Id="rId2921" Type="http://schemas.openxmlformats.org/officeDocument/2006/relationships/hyperlink" Target="https://docs.inecelectionresults.net/elections_prod/1292/state/01/lga/03/ward/07/pu/047/047-1677376539.pdf" TargetMode="External"/><Relationship Id="rId2922" Type="http://schemas.openxmlformats.org/officeDocument/2006/relationships/hyperlink" Target="https://docs.inecelectionresults.net/elections_prod/1292/state/01/lga/03/ward/07/pu/048/048-1677407197.pdf" TargetMode="External"/><Relationship Id="rId2923" Type="http://schemas.openxmlformats.org/officeDocument/2006/relationships/hyperlink" Target="https://docs.inecelectionresults.net/elections_prod/1292/state/01/lga/03/ward/07/pu/049/049-1677407658.pdf" TargetMode="External"/><Relationship Id="rId2924" Type="http://schemas.openxmlformats.org/officeDocument/2006/relationships/hyperlink" Target="https://docs.inecelectionresults.net/elections_prod/1292/state/01/lga/03/ward/07/pu/051/051-1677395351.pdf" TargetMode="External"/><Relationship Id="rId2925" Type="http://schemas.openxmlformats.org/officeDocument/2006/relationships/hyperlink" Target="https://docs.inecelectionresults.net/elections_prod/1292/state/01/lga/03/ward/07/pu/052/052-1677386684.pdf" TargetMode="External"/><Relationship Id="rId2926" Type="http://schemas.openxmlformats.org/officeDocument/2006/relationships/hyperlink" Target="https://docs.inecelectionresults.net/elections_prod/1292/state/01/lga/03/ward/07/pu/053/053-1677400016.pdf" TargetMode="External"/><Relationship Id="rId2927" Type="http://schemas.openxmlformats.org/officeDocument/2006/relationships/hyperlink" Target="https://docs.inecelectionresults.net/elections_prod/1292/state/01/lga/03/ward/07/pu/054/054-1677411996.pdf" TargetMode="External"/><Relationship Id="rId2928" Type="http://schemas.openxmlformats.org/officeDocument/2006/relationships/hyperlink" Target="https://docs.inecelectionresults.net/elections_prod/1292/state/01/lga/03/ward/07/pu/055/055-1677392120.pdf" TargetMode="External"/><Relationship Id="rId2929" Type="http://schemas.openxmlformats.org/officeDocument/2006/relationships/hyperlink" Target="https://docs.inecelectionresults.net/elections_prod/1292/state/01/lga/03/ward/07/pu/056/056-1677379158.pdf" TargetMode="External"/><Relationship Id="rId2910" Type="http://schemas.openxmlformats.org/officeDocument/2006/relationships/hyperlink" Target="https://docs.inecelectionresults.net/elections_prod/1292/state/01/lga/03/ward/07/pu/035/035-1677385709.pdf" TargetMode="External"/><Relationship Id="rId2911" Type="http://schemas.openxmlformats.org/officeDocument/2006/relationships/hyperlink" Target="https://docs.inecelectionresults.net/elections_prod/1292/state/01/lga/03/ward/07/pu/036/036-1677414216.pdf" TargetMode="External"/><Relationship Id="rId2912" Type="http://schemas.openxmlformats.org/officeDocument/2006/relationships/hyperlink" Target="https://docs.inecelectionresults.net/elections_prod/1292/state/01/lga/03/ward/07/pu/038/038-1677410633.pdf" TargetMode="External"/><Relationship Id="rId2913" Type="http://schemas.openxmlformats.org/officeDocument/2006/relationships/hyperlink" Target="https://docs.inecelectionresults.net/elections_prod/1292/state/01/lga/03/ward/07/pu/039/039-1677411162.pdf" TargetMode="External"/><Relationship Id="rId2914" Type="http://schemas.openxmlformats.org/officeDocument/2006/relationships/hyperlink" Target="https://docs.inecelectionresults.net/elections_prod/1292/state/01/lga/03/ward/07/pu/040/040-1677390757.pdf" TargetMode="External"/><Relationship Id="rId2915" Type="http://schemas.openxmlformats.org/officeDocument/2006/relationships/hyperlink" Target="https://docs.inecelectionresults.net/elections_prod/1292/state/01/lga/03/ward/07/pu/041/041-1677400152.pdf" TargetMode="External"/><Relationship Id="rId2916" Type="http://schemas.openxmlformats.org/officeDocument/2006/relationships/hyperlink" Target="https://docs.inecelectionresults.net/elections_prod/1292/state/01/lga/03/ward/07/pu/042/042-1677379951.pdf" TargetMode="External"/><Relationship Id="rId2917" Type="http://schemas.openxmlformats.org/officeDocument/2006/relationships/hyperlink" Target="https://docs.inecelectionresults.net/elections_prod/1292/state/01/lga/03/ward/07/pu/043/043-1677406819.pdf" TargetMode="External"/><Relationship Id="rId2918" Type="http://schemas.openxmlformats.org/officeDocument/2006/relationships/hyperlink" Target="https://docs.inecelectionresults.net/elections_prod/1292/state/01/lga/03/ward/07/pu/044/044-1677388861.pdf" TargetMode="External"/><Relationship Id="rId2919" Type="http://schemas.openxmlformats.org/officeDocument/2006/relationships/hyperlink" Target="https://docs.inecelectionresults.net/elections_prod/1292/state/01/lga/03/ward/07/pu/045/045-1677391985.pdf" TargetMode="External"/><Relationship Id="rId1697" Type="http://schemas.openxmlformats.org/officeDocument/2006/relationships/hyperlink" Target="https://docs.inecelectionresults.net/elections_prod/1292/state/01/lga/12/ward/06/pu/006/006-1677396832.pdf" TargetMode="External"/><Relationship Id="rId1698" Type="http://schemas.openxmlformats.org/officeDocument/2006/relationships/hyperlink" Target="https://docs.inecelectionresults.net/elections_prod/1292/state/01/lga/12/ward/07/pu/001/001-1677391658.pdf" TargetMode="External"/><Relationship Id="rId1699" Type="http://schemas.openxmlformats.org/officeDocument/2006/relationships/hyperlink" Target="https://docs.inecelectionresults.net/elections_prod/1292/state/01/lga/12/ward/07/pu/002/002-1677391131.pdf" TargetMode="External"/><Relationship Id="rId866" Type="http://schemas.openxmlformats.org/officeDocument/2006/relationships/hyperlink" Target="https://docs.inecelectionresults.net/elections_prod/1292/state/01/lga/05/ward/04/pu/014/014-1677362325.pdf" TargetMode="External"/><Relationship Id="rId865" Type="http://schemas.openxmlformats.org/officeDocument/2006/relationships/hyperlink" Target="https://docs.inecelectionresults.net/elections_prod/1292/state/01/lga/05/ward/04/pu/013/013-1677360869.pdf" TargetMode="External"/><Relationship Id="rId864" Type="http://schemas.openxmlformats.org/officeDocument/2006/relationships/hyperlink" Target="https://docs.inecelectionresults.net/elections_prod/1292/state/01/lga/05/ward/04/pu/012/012-1677361629.pdf" TargetMode="External"/><Relationship Id="rId863" Type="http://schemas.openxmlformats.org/officeDocument/2006/relationships/hyperlink" Target="https://docs.inecelectionresults.net/elections_prod/1292/state/01/lga/05/ward/04/pu/011/011-1677361805.pdf" TargetMode="External"/><Relationship Id="rId869" Type="http://schemas.openxmlformats.org/officeDocument/2006/relationships/hyperlink" Target="https://docs.inecelectionresults.net/elections_prod/1292/state/01/lga/05/ward/05/pu/001/001-1677373133.pdf" TargetMode="External"/><Relationship Id="rId868" Type="http://schemas.openxmlformats.org/officeDocument/2006/relationships/hyperlink" Target="https://docs.inecelectionresults.net/elections_prod/1292/state/01/lga/05/ward/04/pu/016/016-1677361397.pdf" TargetMode="External"/><Relationship Id="rId867" Type="http://schemas.openxmlformats.org/officeDocument/2006/relationships/hyperlink" Target="https://docs.inecelectionresults.net/elections_prod/1292/state/01/lga/05/ward/04/pu/015/015-1677361082.pdf" TargetMode="External"/><Relationship Id="rId1690" Type="http://schemas.openxmlformats.org/officeDocument/2006/relationships/hyperlink" Target="https://docs.inecelectionresults.net/elections_prod/1292/state/01/lga/12/ward/05/pu/006/006-1677394372.pdf" TargetMode="External"/><Relationship Id="rId1691" Type="http://schemas.openxmlformats.org/officeDocument/2006/relationships/hyperlink" Target="https://docs.inecelectionresults.net/elections_prod/1292/state/01/lga/12/ward/05/pu/007/007-1677394071.pdf" TargetMode="External"/><Relationship Id="rId1692" Type="http://schemas.openxmlformats.org/officeDocument/2006/relationships/hyperlink" Target="https://docs.inecelectionresults.net/elections_prod/1292/state/01/lga/12/ward/05/pu/008/008-1677396560.pdf" TargetMode="External"/><Relationship Id="rId862" Type="http://schemas.openxmlformats.org/officeDocument/2006/relationships/hyperlink" Target="https://docs.inecelectionresults.net/elections_prod/1292/state/01/lga/05/ward/04/pu/010/010-1677361375.pdf" TargetMode="External"/><Relationship Id="rId1693" Type="http://schemas.openxmlformats.org/officeDocument/2006/relationships/hyperlink" Target="https://docs.inecelectionresults.net/elections_prod/1292/state/01/lga/12/ward/06/pu/002/002-1677393489.pdf" TargetMode="External"/><Relationship Id="rId861" Type="http://schemas.openxmlformats.org/officeDocument/2006/relationships/hyperlink" Target="https://docs.inecelectionresults.net/elections_prod/1292/state/01/lga/05/ward/04/pu/009/009-1677361622.pdf" TargetMode="External"/><Relationship Id="rId1694" Type="http://schemas.openxmlformats.org/officeDocument/2006/relationships/hyperlink" Target="https://docs.inecelectionresults.net/elections_prod/1292/state/01/lga/12/ward/06/pu/003/003-1677394697.pdf" TargetMode="External"/><Relationship Id="rId860" Type="http://schemas.openxmlformats.org/officeDocument/2006/relationships/hyperlink" Target="https://inec-cvr-cache.s3.eu-west-1.amazonaws.com/cached/results/90765/result_77764_1677532876_thumb.jpg" TargetMode="External"/><Relationship Id="rId1695" Type="http://schemas.openxmlformats.org/officeDocument/2006/relationships/hyperlink" Target="https://docs.inecelectionresults.net/elections_prod/1292/state/01/lga/12/ward/06/pu/004/004-1677395290.pdf" TargetMode="External"/><Relationship Id="rId1696" Type="http://schemas.openxmlformats.org/officeDocument/2006/relationships/hyperlink" Target="https://docs.inecelectionresults.net/elections_prod/1292/state/01/lga/12/ward/06/pu/005/005-1677390723.pdf" TargetMode="External"/><Relationship Id="rId1686" Type="http://schemas.openxmlformats.org/officeDocument/2006/relationships/hyperlink" Target="https://docs.inecelectionresults.net/elections_prod/1292/state/01/lga/12/ward/05/pu/001/001-1677391883.pdf" TargetMode="External"/><Relationship Id="rId1687" Type="http://schemas.openxmlformats.org/officeDocument/2006/relationships/hyperlink" Target="https://docs.inecelectionresults.net/elections_prod/1292/state/01/lga/12/ward/05/pu/002/002-1677389774.pdf" TargetMode="External"/><Relationship Id="rId1688" Type="http://schemas.openxmlformats.org/officeDocument/2006/relationships/hyperlink" Target="https://docs.inecelectionresults.net/elections_prod/1292/state/01/lga/12/ward/05/pu/003/003-1677395004.pdf" TargetMode="External"/><Relationship Id="rId1689" Type="http://schemas.openxmlformats.org/officeDocument/2006/relationships/hyperlink" Target="https://docs.inecelectionresults.net/elections_prod/1292/state/01/lga/12/ward/05/pu/005/005-1677393188.pdf" TargetMode="External"/><Relationship Id="rId855" Type="http://schemas.openxmlformats.org/officeDocument/2006/relationships/hyperlink" Target="https://docs.inecelectionresults.net/elections_prod/1292/state/01/lga/05/ward/04/pu/001/001-1677361261.pdf" TargetMode="External"/><Relationship Id="rId854" Type="http://schemas.openxmlformats.org/officeDocument/2006/relationships/hyperlink" Target="https://docs.inecelectionresults.net/elections_prod/1292/state/01/lga/05/ward/03/pu/024/024-1677361171.pdf" TargetMode="External"/><Relationship Id="rId853" Type="http://schemas.openxmlformats.org/officeDocument/2006/relationships/hyperlink" Target="https://docs.inecelectionresults.net/elections_prod/1292/state/01/lga/05/ward/03/pu/023/023-1677363821.pdf" TargetMode="External"/><Relationship Id="rId852" Type="http://schemas.openxmlformats.org/officeDocument/2006/relationships/hyperlink" Target="https://docs.inecelectionresults.net/elections_prod/1292/state/01/lga/05/ward/03/pu/022/022-1677371002.pdf" TargetMode="External"/><Relationship Id="rId859" Type="http://schemas.openxmlformats.org/officeDocument/2006/relationships/hyperlink" Target="https://docs.inecelectionresults.net/elections_prod/1292/state/01/lga/05/ward/04/pu/006/006-1677361868.pdf" TargetMode="External"/><Relationship Id="rId858" Type="http://schemas.openxmlformats.org/officeDocument/2006/relationships/hyperlink" Target="https://docs.inecelectionresults.net/elections_prod/1292/state/01/lga/05/ward/04/pu/005/005-1677362670.pdf" TargetMode="External"/><Relationship Id="rId857" Type="http://schemas.openxmlformats.org/officeDocument/2006/relationships/hyperlink" Target="https://docs.inecelectionresults.net/elections_prod/1292/state/01/lga/05/ward/04/pu/004/004-1677362794.pdf" TargetMode="External"/><Relationship Id="rId856" Type="http://schemas.openxmlformats.org/officeDocument/2006/relationships/hyperlink" Target="https://docs.inecelectionresults.net/elections_prod/1292/state/01/lga/05/ward/04/pu/002/002-1677387530.pdf" TargetMode="External"/><Relationship Id="rId1680" Type="http://schemas.openxmlformats.org/officeDocument/2006/relationships/hyperlink" Target="https://docs.inecelectionresults.net/elections_prod/1292/state/01/lga/12/ward/04/pu/002/002-1677392358.pdf" TargetMode="External"/><Relationship Id="rId1681" Type="http://schemas.openxmlformats.org/officeDocument/2006/relationships/hyperlink" Target="https://docs.inecelectionresults.net/elections_prod/1292/state/01/lga/12/ward/04/pu/003/003-1677394767.pdf" TargetMode="External"/><Relationship Id="rId851" Type="http://schemas.openxmlformats.org/officeDocument/2006/relationships/hyperlink" Target="https://docs.inecelectionresults.net/elections_prod/1292/state/01/lga/05/ward/03/pu/021/021-1677362623.pdf" TargetMode="External"/><Relationship Id="rId1682" Type="http://schemas.openxmlformats.org/officeDocument/2006/relationships/hyperlink" Target="https://docs.inecelectionresults.net/elections_prod/1292/state/01/lga/12/ward/04/pu/004/004-1677395349.pdf" TargetMode="External"/><Relationship Id="rId850" Type="http://schemas.openxmlformats.org/officeDocument/2006/relationships/hyperlink" Target="https://docs.inecelectionresults.net/elections_prod/1292/state/01/lga/05/ward/03/pu/020/020-1677367358.pdf" TargetMode="External"/><Relationship Id="rId1683" Type="http://schemas.openxmlformats.org/officeDocument/2006/relationships/hyperlink" Target="https://docs.inecelectionresults.net/elections_prod/1292/state/01/lga/12/ward/04/pu/005/005-1677397312.pdf" TargetMode="External"/><Relationship Id="rId1684" Type="http://schemas.openxmlformats.org/officeDocument/2006/relationships/hyperlink" Target="https://docs.inecelectionresults.net/elections_prod/1292/state/01/lga/12/ward/04/pu/006/006-1677398909.pdf" TargetMode="External"/><Relationship Id="rId1685" Type="http://schemas.openxmlformats.org/officeDocument/2006/relationships/hyperlink" Target="https://docs.inecelectionresults.net/elections_prod/1292/state/01/lga/12/ward/04/pu/007/007-1677399266.pdf" TargetMode="External"/><Relationship Id="rId3414" Type="http://schemas.openxmlformats.org/officeDocument/2006/relationships/hyperlink" Target="https://docs.inecelectionresults.net/elections_prod/1292/state/1/lga/3672/ward/24035/pu/165740/165740-1677523730.pdf" TargetMode="External"/><Relationship Id="rId3413" Type="http://schemas.openxmlformats.org/officeDocument/2006/relationships/hyperlink" Target="https://docs.inecelectionresults.net/elections_prod/1292/state/01/lga/07/ward/08/pu/031/031-1677382638.pdf" TargetMode="External"/><Relationship Id="rId3416" Type="http://schemas.openxmlformats.org/officeDocument/2006/relationships/hyperlink" Target="https://docs.inecelectionresults.net/elections_prod/1292/state/1/lga/3672/ward/24035/pu/165742/165742-1677528156.pdf" TargetMode="External"/><Relationship Id="rId3415" Type="http://schemas.openxmlformats.org/officeDocument/2006/relationships/hyperlink" Target="https://docs.inecelectionresults.net/elections_prod/1292/state/1/lga/3672/ward/24035/pu/165741/165741-1677527716.pdf" TargetMode="External"/><Relationship Id="rId3418" Type="http://schemas.openxmlformats.org/officeDocument/2006/relationships/hyperlink" Target="https://docs.inecelectionresults.net/elections_prod/1292/state/01/lga/07/ward/08/pu/036/036-1677372124.pdf" TargetMode="External"/><Relationship Id="rId3417" Type="http://schemas.openxmlformats.org/officeDocument/2006/relationships/hyperlink" Target="https://docs.inecelectionresults.net/elections_prod/1292/state/1/lga/3672/ward/24035/pu/165743/165743-1677519695.pdf" TargetMode="External"/><Relationship Id="rId3419" Type="http://schemas.openxmlformats.org/officeDocument/2006/relationships/hyperlink" Target="https://docs.inecelectionresults.net/elections_prod/1292/state/1/lga/3672/ward/24035/pu/165746/165746-1677521350.pdf" TargetMode="External"/><Relationship Id="rId888" Type="http://schemas.openxmlformats.org/officeDocument/2006/relationships/hyperlink" Target="https://docs.inecelectionresults.net/elections_prod/1292/state/01/lga/05/ward/06/pu/009/009-1677380999.pdf" TargetMode="External"/><Relationship Id="rId887" Type="http://schemas.openxmlformats.org/officeDocument/2006/relationships/hyperlink" Target="https://docs.inecelectionresults.net/elections_prod/1292/state/01/lga/05/ward/06/pu/006/006-1677381936.pdf" TargetMode="External"/><Relationship Id="rId886" Type="http://schemas.openxmlformats.org/officeDocument/2006/relationships/hyperlink" Target="https://docs.inecelectionresults.net/elections_prod/1292/state/01/lga/05/ward/06/pu/005/005-1677375348.pdf" TargetMode="External"/><Relationship Id="rId885" Type="http://schemas.openxmlformats.org/officeDocument/2006/relationships/hyperlink" Target="https://docs.inecelectionresults.net/elections_prod/1292/state/01/lga/05/ward/06/pu/004/004-1677379983.pdf" TargetMode="External"/><Relationship Id="rId889" Type="http://schemas.openxmlformats.org/officeDocument/2006/relationships/hyperlink" Target="https://docs.inecelectionresults.net/elections_prod/1292/state/01/lga/05/ward/06/pu/010/010-1677389284.pdf" TargetMode="External"/><Relationship Id="rId880" Type="http://schemas.openxmlformats.org/officeDocument/2006/relationships/hyperlink" Target="https://docs.inecelectionresults.net/elections_prod/1292/state/01/lga/05/ward/05/pu/014/014-1677366446.pdf" TargetMode="External"/><Relationship Id="rId884" Type="http://schemas.openxmlformats.org/officeDocument/2006/relationships/hyperlink" Target="https://docs.inecelectionresults.net/elections_prod/1292/state/01/lga/05/ward/06/pu/002/002-1677383873.pdf" TargetMode="External"/><Relationship Id="rId3410" Type="http://schemas.openxmlformats.org/officeDocument/2006/relationships/hyperlink" Target="https://docs.inecelectionresults.net/elections_prod/1292/state/1/lga/3672/ward/24035/pu/165736/165736-1677530592.pdf" TargetMode="External"/><Relationship Id="rId883" Type="http://schemas.openxmlformats.org/officeDocument/2006/relationships/hyperlink" Target="https://docs.inecelectionresults.net/elections_prod/1292/state/01/lga/05/ward/06/pu/001/001-1677385151.pdf" TargetMode="External"/><Relationship Id="rId882" Type="http://schemas.openxmlformats.org/officeDocument/2006/relationships/hyperlink" Target="https://docs.inecelectionresults.net/elections_prod/1292/state/01/lga/05/ward/05/pu/016/016-1677370469.pdf" TargetMode="External"/><Relationship Id="rId3412" Type="http://schemas.openxmlformats.org/officeDocument/2006/relationships/hyperlink" Target="https://docs.inecelectionresults.net/elections_prod/1292/state/1/lga/3672/ward/24035/pu/165738/165738-1677518800.pdf" TargetMode="External"/><Relationship Id="rId881" Type="http://schemas.openxmlformats.org/officeDocument/2006/relationships/hyperlink" Target="https://docs.inecelectionresults.net/elections_prod/1292/state/01/lga/05/ward/05/pu/015/015-1677369144.pdf" TargetMode="External"/><Relationship Id="rId3411" Type="http://schemas.openxmlformats.org/officeDocument/2006/relationships/hyperlink" Target="https://docs.inecelectionresults.net/elections_prod/1292/state/1/lga/3672/ward/24035/pu/165737/165737-1677517865.pdf" TargetMode="External"/><Relationship Id="rId3403" Type="http://schemas.openxmlformats.org/officeDocument/2006/relationships/hyperlink" Target="https://docs.inecelectionresults.net/elections_prod/1292/state/1/lga/3672/ward/24035/pu/165726/165726-1677520400.pdf" TargetMode="External"/><Relationship Id="rId3402" Type="http://schemas.openxmlformats.org/officeDocument/2006/relationships/hyperlink" Target="https://docs.inecelectionresults.net/elections_prod/1292/state/01/lga/07/ward/07/pu/058/058-1677377950.pdf" TargetMode="External"/><Relationship Id="rId3405" Type="http://schemas.openxmlformats.org/officeDocument/2006/relationships/hyperlink" Target="https://docs.inecelectionresults.net/elections_prod/1292/state/1/lga/3672/ward/24035/pu/165729/165729-1677536492.pdf" TargetMode="External"/><Relationship Id="rId3404" Type="http://schemas.openxmlformats.org/officeDocument/2006/relationships/hyperlink" Target="https://docs.inecelectionresults.net/elections_prod/1292/state/01/lga/07/ward/08/pu/020/020-1677378480.pdf" TargetMode="External"/><Relationship Id="rId3407" Type="http://schemas.openxmlformats.org/officeDocument/2006/relationships/hyperlink" Target="https://docs.inecelectionresults.net/elections_prod/1292/state/01/lga/07/ward/08/pu/023/023-1677365129.pdf" TargetMode="External"/><Relationship Id="rId3406" Type="http://schemas.openxmlformats.org/officeDocument/2006/relationships/hyperlink" Target="https://docs.inecelectionresults.net/elections_prod/1292/state/1/lga/3672/ward/24035/pu/165730/165730-1677521449.pdf" TargetMode="External"/><Relationship Id="rId3409" Type="http://schemas.openxmlformats.org/officeDocument/2006/relationships/hyperlink" Target="https://docs.inecelectionresults.net/elections_prod/1292/state/1/lga/3672/ward/24035/pu/165733/165733-1677512403.pdf" TargetMode="External"/><Relationship Id="rId3408" Type="http://schemas.openxmlformats.org/officeDocument/2006/relationships/hyperlink" Target="https://docs.inecelectionresults.net/elections_prod/1292/state/1/lga/3672/ward/24035/pu/165732/165732-1677517663.pdf" TargetMode="External"/><Relationship Id="rId877" Type="http://schemas.openxmlformats.org/officeDocument/2006/relationships/hyperlink" Target="https://docs.inecelectionresults.net/elections_prod/1292/state/01/lga/05/ward/05/pu/011/011-1677361242.pdf" TargetMode="External"/><Relationship Id="rId876" Type="http://schemas.openxmlformats.org/officeDocument/2006/relationships/hyperlink" Target="https://docs.inecelectionresults.net/elections_prod/1292/state/01/lga/05/ward/05/pu/009/009-1677368339.pdf" TargetMode="External"/><Relationship Id="rId875" Type="http://schemas.openxmlformats.org/officeDocument/2006/relationships/hyperlink" Target="https://docs.inecelectionresults.net/elections_prod/1292/state/01/lga/05/ward/05/pu/008/008-1677371701.pdf" TargetMode="External"/><Relationship Id="rId874" Type="http://schemas.openxmlformats.org/officeDocument/2006/relationships/hyperlink" Target="https://docs.inecelectionresults.net/elections_prod/1292/state/01/lga/05/ward/05/pu/006/006-1677369858.pdf" TargetMode="External"/><Relationship Id="rId879" Type="http://schemas.openxmlformats.org/officeDocument/2006/relationships/hyperlink" Target="https://docs.inecelectionresults.net/elections_prod/1292/state/01/lga/05/ward/05/pu/013/013-1677367382.pdf" TargetMode="External"/><Relationship Id="rId878" Type="http://schemas.openxmlformats.org/officeDocument/2006/relationships/hyperlink" Target="https://docs.inecelectionresults.net/elections_prod/1292/state/01/lga/05/ward/05/pu/012/012-1677362706.pdf" TargetMode="External"/><Relationship Id="rId873" Type="http://schemas.openxmlformats.org/officeDocument/2006/relationships/hyperlink" Target="https://docs.inecelectionresults.net/elections_prod/1292/state/01/lga/05/ward/05/pu/005/005-1677372566.pdf" TargetMode="External"/><Relationship Id="rId872" Type="http://schemas.openxmlformats.org/officeDocument/2006/relationships/hyperlink" Target="https://docs.inecelectionresults.net/elections_prod/1292/state/01/lga/05/ward/05/pu/004/004-1677363899.pdf" TargetMode="External"/><Relationship Id="rId871" Type="http://schemas.openxmlformats.org/officeDocument/2006/relationships/hyperlink" Target="https://docs.inecelectionresults.net/elections_prod/1292/state/01/lga/05/ward/05/pu/003/003-1677365259.pdf" TargetMode="External"/><Relationship Id="rId3401" Type="http://schemas.openxmlformats.org/officeDocument/2006/relationships/hyperlink" Target="https://docs.inecelectionresults.net/elections_prod/1292/state/01/lga/07/ward/07/pu/057/057-1677378537.pdf" TargetMode="External"/><Relationship Id="rId870" Type="http://schemas.openxmlformats.org/officeDocument/2006/relationships/hyperlink" Target="https://docs.inecelectionresults.net/elections_prod/1292/state/01/lga/05/ward/05/pu/002/002-1677372075.pdf" TargetMode="External"/><Relationship Id="rId3400" Type="http://schemas.openxmlformats.org/officeDocument/2006/relationships/hyperlink" Target="https://docs.inecelectionresults.net/elections_prod/1292/state/01/lga/07/ward/07/pu/056/056-1677376657.pdf" TargetMode="External"/><Relationship Id="rId1653" Type="http://schemas.openxmlformats.org/officeDocument/2006/relationships/hyperlink" Target="https://docs.inecelectionresults.net/elections_prod/1292/state/01/lga/11/ward/11/pu/010/010-1677393787.pdf" TargetMode="External"/><Relationship Id="rId2984" Type="http://schemas.openxmlformats.org/officeDocument/2006/relationships/hyperlink" Target="https://docs.inecelectionresults.net/elections_prod/1292/state/01/lga/03/ward/13/pu/029/029-1677393990.pdf" TargetMode="External"/><Relationship Id="rId1654" Type="http://schemas.openxmlformats.org/officeDocument/2006/relationships/hyperlink" Target="https://docs.inecelectionresults.net/elections_prod/1292/state/01/lga/12/ward/01/pu/001/001-1677386743.pdf" TargetMode="External"/><Relationship Id="rId2985" Type="http://schemas.openxmlformats.org/officeDocument/2006/relationships/hyperlink" Target="https://docs.inecelectionresults.net/elections_prod/1292/state/01/lga/03/ward/13/pu/030/030-1677383447.pdf" TargetMode="External"/><Relationship Id="rId1655" Type="http://schemas.openxmlformats.org/officeDocument/2006/relationships/hyperlink" Target="https://docs.inecelectionresults.net/elections_prod/1292/state/01/lga/12/ward/01/pu/002/002-1677400915.pdf" TargetMode="External"/><Relationship Id="rId2986" Type="http://schemas.openxmlformats.org/officeDocument/2006/relationships/hyperlink" Target="https://docs.inecelectionresults.net/elections_prod/1292/state/01/lga/03/ward/01/pu/019/019-1677397021.pdf" TargetMode="External"/><Relationship Id="rId1656" Type="http://schemas.openxmlformats.org/officeDocument/2006/relationships/hyperlink" Target="https://docs.inecelectionresults.net/elections_prod/1292/state/01/lga/12/ward/01/pu/003/003-1677404522.pdf" TargetMode="External"/><Relationship Id="rId2987" Type="http://schemas.openxmlformats.org/officeDocument/2006/relationships/hyperlink" Target="https://docs.inecelectionresults.net/elections_prod/1292/state/01/lga/03/ward/01/pu/020/020-1677376865.pdf" TargetMode="External"/><Relationship Id="rId1657" Type="http://schemas.openxmlformats.org/officeDocument/2006/relationships/hyperlink" Target="https://docs.inecelectionresults.net/elections_prod/1292/state/01/lga/12/ward/01/pu/004/004-1677403283.pdf" TargetMode="External"/><Relationship Id="rId2988" Type="http://schemas.openxmlformats.org/officeDocument/2006/relationships/hyperlink" Target="https://docs.inecelectionresults.net/elections_prod/1292/state/1/lga/3668/ward/23981/pu/164999/164999-1677470620.pdf" TargetMode="External"/><Relationship Id="rId1658" Type="http://schemas.openxmlformats.org/officeDocument/2006/relationships/hyperlink" Target="https://docs.inecelectionresults.net/elections_prod/1292/state/01/lga/12/ward/01/pu/005/005-1677396083.pdf" TargetMode="External"/><Relationship Id="rId2989" Type="http://schemas.openxmlformats.org/officeDocument/2006/relationships/hyperlink" Target="https://docs.inecelectionresults.net/elections_prod/1292/state/01/lga/03/ward/01/pu/022/022-1677405381.pdf" TargetMode="External"/><Relationship Id="rId1659" Type="http://schemas.openxmlformats.org/officeDocument/2006/relationships/hyperlink" Target="https://docs.inecelectionresults.net/elections_prod/1292/state/01/lga/12/ward/01/pu/006/006-1677398094.pdf" TargetMode="External"/><Relationship Id="rId829" Type="http://schemas.openxmlformats.org/officeDocument/2006/relationships/hyperlink" Target="https://docs.inecelectionresults.net/elections_prod/1292/state/01/lga/05/ward/02/pu/010/010-1677403389.pdf" TargetMode="External"/><Relationship Id="rId828" Type="http://schemas.openxmlformats.org/officeDocument/2006/relationships/hyperlink" Target="https://docs.inecelectionresults.net/elections_prod/1292/state/01/lga/05/ward/02/pu/007/007-1677388110.pdf" TargetMode="External"/><Relationship Id="rId827" Type="http://schemas.openxmlformats.org/officeDocument/2006/relationships/hyperlink" Target="https://docs.inecelectionresults.net/elections_prod/1292/state/01/lga/05/ward/02/pu/005/005-1677369177.pdf" TargetMode="External"/><Relationship Id="rId822" Type="http://schemas.openxmlformats.org/officeDocument/2006/relationships/hyperlink" Target="https://docs.inecelectionresults.net/elections_prod/1292/state/1/lga/3670/ward/24008/pu/91801/91801-1677526406.pdf" TargetMode="External"/><Relationship Id="rId821" Type="http://schemas.openxmlformats.org/officeDocument/2006/relationships/hyperlink" Target="https://docs.inecelectionresults.net/elections_prod/1292/state/1/lga/3670/ward/24008/pu/91800/91800-1677523765.pdf" TargetMode="External"/><Relationship Id="rId820" Type="http://schemas.openxmlformats.org/officeDocument/2006/relationships/hyperlink" Target="https://docs.inecelectionresults.net/elections_prod/1292/state/01/lga/05/ward/01/pu/013/013-1677364968.pdf" TargetMode="External"/><Relationship Id="rId826" Type="http://schemas.openxmlformats.org/officeDocument/2006/relationships/hyperlink" Target="https://docs.inecelectionresults.net/elections_prod/1292/state/01/lga/05/ward/02/pu/004/004-1677387168.pdf" TargetMode="External"/><Relationship Id="rId825" Type="http://schemas.openxmlformats.org/officeDocument/2006/relationships/hyperlink" Target="https://docs.inecelectionresults.net/elections_prod/1292/state/01/lga/05/ward/02/pu/003/003-1677387020.pdf" TargetMode="External"/><Relationship Id="rId824" Type="http://schemas.openxmlformats.org/officeDocument/2006/relationships/hyperlink" Target="https://docs.inecelectionresults.net/elections_prod/1292/state/01/lga/05/ward/02/pu/002/002-1677394976.pdf" TargetMode="External"/><Relationship Id="rId823" Type="http://schemas.openxmlformats.org/officeDocument/2006/relationships/hyperlink" Target="https://docs.inecelectionresults.net/elections_prod/1292/state/1/lga/3670/ward/24008/pu/91803/91803-1677525187.pdf" TargetMode="External"/><Relationship Id="rId2980" Type="http://schemas.openxmlformats.org/officeDocument/2006/relationships/hyperlink" Target="https://docs.inecelectionresults.net/elections_prod/1292/state/01/lga/03/ward/13/pu/024/024-1677404750.pdf" TargetMode="External"/><Relationship Id="rId1650" Type="http://schemas.openxmlformats.org/officeDocument/2006/relationships/hyperlink" Target="https://docs.inecelectionresults.net/elections_prod/1292/state/01/lga/11/ward/11/pu/007/007-1677392421.pdf" TargetMode="External"/><Relationship Id="rId2981" Type="http://schemas.openxmlformats.org/officeDocument/2006/relationships/hyperlink" Target="https://docs.inecelectionresults.net/elections_prod/1292/state/01/lga/03/ward/13/pu/025/025-1677395094.pdf" TargetMode="External"/><Relationship Id="rId1651" Type="http://schemas.openxmlformats.org/officeDocument/2006/relationships/hyperlink" Target="https://docs.inecelectionresults.net/elections_prod/1292/state/01/lga/11/ward/11/pu/008/008-1677393218.pdf" TargetMode="External"/><Relationship Id="rId2982" Type="http://schemas.openxmlformats.org/officeDocument/2006/relationships/hyperlink" Target="https://docs.inecelectionresults.net/elections_prod/1292/state/01/lga/03/ward/13/pu/027/027-1677396562.pdf" TargetMode="External"/><Relationship Id="rId1652" Type="http://schemas.openxmlformats.org/officeDocument/2006/relationships/hyperlink" Target="https://docs.inecelectionresults.net/elections_prod/1292/state/01/lga/11/ward/11/pu/009/009-1677393220.pdf" TargetMode="External"/><Relationship Id="rId2983" Type="http://schemas.openxmlformats.org/officeDocument/2006/relationships/hyperlink" Target="https://docs.inecelectionresults.net/elections_prod/1292/state/01/lga/03/ward/13/pu/028/028-1677425325.pdf" TargetMode="External"/><Relationship Id="rId1642" Type="http://schemas.openxmlformats.org/officeDocument/2006/relationships/hyperlink" Target="https://docs.inecelectionresults.net/elections_prod/1292/state/01/lga/11/ward/10/pu/004/004-1677364014.pdf" TargetMode="External"/><Relationship Id="rId2973" Type="http://schemas.openxmlformats.org/officeDocument/2006/relationships/hyperlink" Target="https://docs.inecelectionresults.net/elections_prod/1292/state/1/lga/3668/ward/23993/pu/165323/165323-1677472758.pdf" TargetMode="External"/><Relationship Id="rId1643" Type="http://schemas.openxmlformats.org/officeDocument/2006/relationships/hyperlink" Target="https://docs.inecelectionresults.net/elections_prod/1292/state/01/lga/11/ward/10/pu/007/007-1677363859.pdf" TargetMode="External"/><Relationship Id="rId2974" Type="http://schemas.openxmlformats.org/officeDocument/2006/relationships/hyperlink" Target="https://docs.inecelectionresults.net/elections_prod/1292/state/01/lga/03/ward/13/pu/017/017-1677424359.pdf" TargetMode="External"/><Relationship Id="rId1644" Type="http://schemas.openxmlformats.org/officeDocument/2006/relationships/hyperlink" Target="https://docs.inecelectionresults.net/elections_prod/1292/state/01/lga/11/ward/11/pu/001/001-1677389704.pdf" TargetMode="External"/><Relationship Id="rId2975" Type="http://schemas.openxmlformats.org/officeDocument/2006/relationships/hyperlink" Target="https://docs.inecelectionresults.net/elections_prod/1292/state/01/lga/03/ward/13/pu/018/018-1677418812.pdf" TargetMode="External"/><Relationship Id="rId1645" Type="http://schemas.openxmlformats.org/officeDocument/2006/relationships/hyperlink" Target="https://docs.inecelectionresults.net/elections_prod/1292/state/01/lga/11/ward/11/pu/002/002-1677389837.pdf" TargetMode="External"/><Relationship Id="rId2976" Type="http://schemas.openxmlformats.org/officeDocument/2006/relationships/hyperlink" Target="https://docs.inecelectionresults.net/elections_prod/1292/state/01/lga/03/ward/13/pu/019/019-1677400092.pdf" TargetMode="External"/><Relationship Id="rId1646" Type="http://schemas.openxmlformats.org/officeDocument/2006/relationships/hyperlink" Target="https://docs.inecelectionresults.net/elections_prod/1292/state/01/lga/11/ward/11/pu/003/003-1677390501.pdf" TargetMode="External"/><Relationship Id="rId2977" Type="http://schemas.openxmlformats.org/officeDocument/2006/relationships/hyperlink" Target="https://docs.inecelectionresults.net/elections_prod/1292/state/01/lga/03/ward/13/pu/020/020-1677418309.pdf" TargetMode="External"/><Relationship Id="rId1647" Type="http://schemas.openxmlformats.org/officeDocument/2006/relationships/hyperlink" Target="https://docs.inecelectionresults.net/elections_prod/1292/state/01/lga/11/ward/11/pu/004/004-1677390918.pdf" TargetMode="External"/><Relationship Id="rId2978" Type="http://schemas.openxmlformats.org/officeDocument/2006/relationships/hyperlink" Target="https://docs.inecelectionresults.net/elections_prod/1292/state/01/lga/03/ward/13/pu/021/021-1677424587.pdf" TargetMode="External"/><Relationship Id="rId1648" Type="http://schemas.openxmlformats.org/officeDocument/2006/relationships/hyperlink" Target="https://docs.inecelectionresults.net/elections_prod/1292/state/01/lga/11/ward/11/pu/005/005-1677392831.pdf" TargetMode="External"/><Relationship Id="rId2979" Type="http://schemas.openxmlformats.org/officeDocument/2006/relationships/hyperlink" Target="https://docs.inecelectionresults.net/elections_prod/1292/state/01/lga/03/ward/13/pu/023/023-1677422157.pdf" TargetMode="External"/><Relationship Id="rId1649" Type="http://schemas.openxmlformats.org/officeDocument/2006/relationships/hyperlink" Target="https://docs.inecelectionresults.net/elections_prod/1292/state/01/lga/11/ward/11/pu/006/006-1677391336.pdf" TargetMode="External"/><Relationship Id="rId819" Type="http://schemas.openxmlformats.org/officeDocument/2006/relationships/hyperlink" Target="https://inec-cvr-cache.s3.eu-west-1.amazonaws.com/cached/results/90712/result_77679_1677523394_thumb.jpg" TargetMode="External"/><Relationship Id="rId818" Type="http://schemas.openxmlformats.org/officeDocument/2006/relationships/hyperlink" Target="https://inec-cvr-cache.s3.eu-west-1.amazonaws.com/cached/results/90711/result_77678_1677524956_thumb.jpg" TargetMode="External"/><Relationship Id="rId817" Type="http://schemas.openxmlformats.org/officeDocument/2006/relationships/hyperlink" Target="https://docs.inecelectionresults.net/elections_prod/1292/state/1/lga/3670/ward/24008/pu/91795/91795-1677527707.pdf" TargetMode="External"/><Relationship Id="rId816" Type="http://schemas.openxmlformats.org/officeDocument/2006/relationships/hyperlink" Target="https://docs.inecelectionresults.net/elections_prod/1292/state/01/lga/05/ward/01/pu/008/008-1677366606.pdf" TargetMode="External"/><Relationship Id="rId811" Type="http://schemas.openxmlformats.org/officeDocument/2006/relationships/hyperlink" Target="https://docs.inecelectionresults.net/elections_prod/1292/state/1/lga/3670/ward/24008/pu/91789/91789-1677525042.pdf" TargetMode="External"/><Relationship Id="rId810" Type="http://schemas.openxmlformats.org/officeDocument/2006/relationships/hyperlink" Target="https://docs.inecelectionresults.net/elections_prod/1292/state/01/lga/05/ward/01/pu/002/002-1677386089.pdf" TargetMode="External"/><Relationship Id="rId815" Type="http://schemas.openxmlformats.org/officeDocument/2006/relationships/hyperlink" Target="https://docs.inecelectionresults.net/elections_prod/1292/state/01/lga/05/ward/01/pu/007/007-1677366222.pdf" TargetMode="External"/><Relationship Id="rId814" Type="http://schemas.openxmlformats.org/officeDocument/2006/relationships/hyperlink" Target="https://docs.inecelectionresults.net/elections_prod/1292/state/01/lga/05/ward/01/pu/006/006-1677367459.pdf" TargetMode="External"/><Relationship Id="rId813" Type="http://schemas.openxmlformats.org/officeDocument/2006/relationships/hyperlink" Target="https://docs.inecelectionresults.net/elections_prod/1292/state/01/lga/05/ward/01/pu/005/005-1677397930.pdf" TargetMode="External"/><Relationship Id="rId812" Type="http://schemas.openxmlformats.org/officeDocument/2006/relationships/hyperlink" Target="https://docs.inecelectionresults.net/elections_prod/1292/state/01/lga/05/ward/01/pu/004/004-1677366608.pdf" TargetMode="External"/><Relationship Id="rId2970" Type="http://schemas.openxmlformats.org/officeDocument/2006/relationships/hyperlink" Target="https://docs.inecelectionresults.net/elections_prod/1292/state/1/lga/3668/ward/23988/pu/165301/165301-1677456603.pdf" TargetMode="External"/><Relationship Id="rId1640" Type="http://schemas.openxmlformats.org/officeDocument/2006/relationships/hyperlink" Target="https://docs.inecelectionresults.net/elections_prod/1292/state/01/lga/11/ward/10/pu/002/002-1677362816.pdf" TargetMode="External"/><Relationship Id="rId2971" Type="http://schemas.openxmlformats.org/officeDocument/2006/relationships/hyperlink" Target="https://docs.inecelectionresults.net/elections_prod/1292/state/01/lga/03/ward/08/pu/055/055-1677421628.pdf" TargetMode="External"/><Relationship Id="rId1641" Type="http://schemas.openxmlformats.org/officeDocument/2006/relationships/hyperlink" Target="https://docs.inecelectionresults.net/elections_prod/1292/state/01/lga/11/ward/10/pu/003/003-1677362482.pdf" TargetMode="External"/><Relationship Id="rId2972" Type="http://schemas.openxmlformats.org/officeDocument/2006/relationships/hyperlink" Target="https://docs.inecelectionresults.net/elections_prod/1292/state/01/lga/03/ward/08/pu/056/056-1677422390.pdf" TargetMode="External"/><Relationship Id="rId1675" Type="http://schemas.openxmlformats.org/officeDocument/2006/relationships/hyperlink" Target="https://docs.inecelectionresults.net/elections_prod/1292/state/01/lga/12/ward/02/pu/012/012-1677398823.pdf" TargetMode="External"/><Relationship Id="rId1676" Type="http://schemas.openxmlformats.org/officeDocument/2006/relationships/hyperlink" Target="https://docs.inecelectionresults.net/elections_prod/1292/state/01/lga/12/ward/03/pu/002/002-1677394784.pdf" TargetMode="External"/><Relationship Id="rId1677" Type="http://schemas.openxmlformats.org/officeDocument/2006/relationships/hyperlink" Target="https://docs.inecelectionresults.net/elections_prod/1292/state/01/lga/12/ward/03/pu/004/004-1677395839.pdf" TargetMode="External"/><Relationship Id="rId1678" Type="http://schemas.openxmlformats.org/officeDocument/2006/relationships/hyperlink" Target="https://docs.inecelectionresults.net/elections_prod/1292/state/01/lga/12/ward/03/pu/006/006-1677398445.pdf" TargetMode="External"/><Relationship Id="rId1679" Type="http://schemas.openxmlformats.org/officeDocument/2006/relationships/hyperlink" Target="https://docs.inecelectionresults.net/elections_prod/1292/state/01/lga/12/ward/04/pu/001/001-1677389977.pdf" TargetMode="External"/><Relationship Id="rId849" Type="http://schemas.openxmlformats.org/officeDocument/2006/relationships/hyperlink" Target="https://docs.inecelectionresults.net/elections_prod/1292/state/01/lga/05/ward/03/pu/019/019-1677363029.pdf" TargetMode="External"/><Relationship Id="rId844" Type="http://schemas.openxmlformats.org/officeDocument/2006/relationships/hyperlink" Target="https://docs.inecelectionresults.net/elections_prod/1292/state/01/lga/05/ward/03/pu/012/012-1677361246.pdf" TargetMode="External"/><Relationship Id="rId843" Type="http://schemas.openxmlformats.org/officeDocument/2006/relationships/hyperlink" Target="https://docs.inecelectionresults.net/elections_prod/1292/state/01/lga/05/ward/03/pu/011/011-1677362742.pdf" TargetMode="External"/><Relationship Id="rId842" Type="http://schemas.openxmlformats.org/officeDocument/2006/relationships/hyperlink" Target="https://docs.inecelectionresults.net/elections_prod/1292/state/01/lga/05/ward/03/pu/010/010-1677364561.pdf" TargetMode="External"/><Relationship Id="rId841" Type="http://schemas.openxmlformats.org/officeDocument/2006/relationships/hyperlink" Target="https://docs.inecelectionresults.net/elections_prod/1292/state/01/lga/05/ward/03/pu/009/009-1677364163.pdf" TargetMode="External"/><Relationship Id="rId848" Type="http://schemas.openxmlformats.org/officeDocument/2006/relationships/hyperlink" Target="https://docs.inecelectionresults.net/elections_prod/1292/state/01/lga/05/ward/03/pu/018/018-1677362009.pdf" TargetMode="External"/><Relationship Id="rId847" Type="http://schemas.openxmlformats.org/officeDocument/2006/relationships/hyperlink" Target="https://docs.inecelectionresults.net/elections_prod/1292/state/01/lga/05/ward/03/pu/017/017-1677365816.pdf" TargetMode="External"/><Relationship Id="rId846" Type="http://schemas.openxmlformats.org/officeDocument/2006/relationships/hyperlink" Target="https://docs.inecelectionresults.net/elections_prod/1292/state/01/lga/05/ward/03/pu/016/016-1677361109.pdf" TargetMode="External"/><Relationship Id="rId845" Type="http://schemas.openxmlformats.org/officeDocument/2006/relationships/hyperlink" Target="https://docs.inecelectionresults.net/elections_prod/1292/state/01/lga/05/ward/03/pu/013/013-1677363445.pdf" TargetMode="External"/><Relationship Id="rId1670" Type="http://schemas.openxmlformats.org/officeDocument/2006/relationships/hyperlink" Target="https://docs.inecelectionresults.net/elections_prod/1292/state/01/lga/12/ward/02/pu/006/006-1677394596.pdf" TargetMode="External"/><Relationship Id="rId840" Type="http://schemas.openxmlformats.org/officeDocument/2006/relationships/hyperlink" Target="https://docs.inecelectionresults.net/elections_prod/1292/state/01/lga/05/ward/03/pu/007/007-1677360913.pdf" TargetMode="External"/><Relationship Id="rId1671" Type="http://schemas.openxmlformats.org/officeDocument/2006/relationships/hyperlink" Target="https://docs.inecelectionresults.net/elections_prod/1292/state/01/lga/12/ward/02/pu/007/007-1677396253.pdf" TargetMode="External"/><Relationship Id="rId1672" Type="http://schemas.openxmlformats.org/officeDocument/2006/relationships/hyperlink" Target="https://docs.inecelectionresults.net/elections_prod/1292/state/01/lga/12/ward/02/pu/008/008-1677397076.pdf" TargetMode="External"/><Relationship Id="rId1673" Type="http://schemas.openxmlformats.org/officeDocument/2006/relationships/hyperlink" Target="https://docs.inecelectionresults.net/elections_prod/1292/state/01/lga/12/ward/02/pu/009/009-1677397669.pdf" TargetMode="External"/><Relationship Id="rId1674" Type="http://schemas.openxmlformats.org/officeDocument/2006/relationships/hyperlink" Target="https://docs.inecelectionresults.net/elections_prod/1292/state/01/lga/12/ward/02/pu/010/010-1677398073.pdf" TargetMode="External"/><Relationship Id="rId1664" Type="http://schemas.openxmlformats.org/officeDocument/2006/relationships/hyperlink" Target="https://docs.inecelectionresults.net/elections_prod/1292/state/01/lga/12/ward/01/pu/011/011-1677394211.pdf" TargetMode="External"/><Relationship Id="rId2995" Type="http://schemas.openxmlformats.org/officeDocument/2006/relationships/hyperlink" Target="https://docs.inecelectionresults.net/elections_prod/1292/state/01/lga/03/ward/01/pu/031/031-1677400304.pdf" TargetMode="External"/><Relationship Id="rId1665" Type="http://schemas.openxmlformats.org/officeDocument/2006/relationships/hyperlink" Target="https://docs.inecelectionresults.net/elections_prod/1292/state/01/lga/12/ward/02/pu/001/001-1677390554.pdf" TargetMode="External"/><Relationship Id="rId2996" Type="http://schemas.openxmlformats.org/officeDocument/2006/relationships/hyperlink" Target="https://docs.inecelectionresults.net/elections_prod/1292/state/01/lga/03/ward/01/pu/032/032-1677404071.pdf" TargetMode="External"/><Relationship Id="rId1666" Type="http://schemas.openxmlformats.org/officeDocument/2006/relationships/hyperlink" Target="https://docs.inecelectionresults.net/elections_prod/1292/state/01/lga/12/ward/02/pu/002/002-1677391443.pdf" TargetMode="External"/><Relationship Id="rId2997" Type="http://schemas.openxmlformats.org/officeDocument/2006/relationships/hyperlink" Target="https://docs.inecelectionresults.net/elections_prod/1292/state/01/lga/03/ward/01/pu/033/033-1677396301.pdf" TargetMode="External"/><Relationship Id="rId1667" Type="http://schemas.openxmlformats.org/officeDocument/2006/relationships/hyperlink" Target="https://docs.inecelectionresults.net/elections_prod/1292/state/01/lga/12/ward/02/pu/003/003-1677392574.pdf" TargetMode="External"/><Relationship Id="rId2998" Type="http://schemas.openxmlformats.org/officeDocument/2006/relationships/hyperlink" Target="https://docs.inecelectionresults.net/elections_prod/1292/state/01/lga/03/ward/01/pu/034/034-1677392214.pdf" TargetMode="External"/><Relationship Id="rId1668" Type="http://schemas.openxmlformats.org/officeDocument/2006/relationships/hyperlink" Target="https://docs.inecelectionresults.net/elections_prod/1292/state/01/lga/12/ward/02/pu/004/004-1677393263.pdf" TargetMode="External"/><Relationship Id="rId2999" Type="http://schemas.openxmlformats.org/officeDocument/2006/relationships/hyperlink" Target="https://docs.inecelectionresults.net/elections_prod/1292/state/01/lga/03/ward/01/pu/035/035-1677391249.pdf" TargetMode="External"/><Relationship Id="rId1669" Type="http://schemas.openxmlformats.org/officeDocument/2006/relationships/hyperlink" Target="https://docs.inecelectionresults.net/elections_prod/1292/state/01/lga/12/ward/02/pu/005/005-1677393865.pdf" TargetMode="External"/><Relationship Id="rId839" Type="http://schemas.openxmlformats.org/officeDocument/2006/relationships/hyperlink" Target="https://docs.inecelectionresults.net/elections_prod/1292/state/01/lga/05/ward/03/pu/006/006-1677362530.pdf" TargetMode="External"/><Relationship Id="rId838" Type="http://schemas.openxmlformats.org/officeDocument/2006/relationships/hyperlink" Target="https://docs.inecelectionresults.net/elections_prod/1292/state/01/lga/05/ward/03/pu/005/005-1677362056.pdf" TargetMode="External"/><Relationship Id="rId833" Type="http://schemas.openxmlformats.org/officeDocument/2006/relationships/hyperlink" Target="https://docs.inecelectionresults.net/elections_prod/1292/state/01/lga/05/ward/02/pu/014/014-1677403773.pdf" TargetMode="External"/><Relationship Id="rId832" Type="http://schemas.openxmlformats.org/officeDocument/2006/relationships/hyperlink" Target="https://docs.inecelectionresults.net/elections_prod/1292/state/01/lga/05/ward/02/pu/013/013-1677405040.pdf" TargetMode="External"/><Relationship Id="rId831" Type="http://schemas.openxmlformats.org/officeDocument/2006/relationships/hyperlink" Target="https://docs.inecelectionresults.net/elections_prod/1292/state/01/lga/05/ward/02/pu/012/012-1677403472.pdf" TargetMode="External"/><Relationship Id="rId830" Type="http://schemas.openxmlformats.org/officeDocument/2006/relationships/hyperlink" Target="https://docs.inecelectionresults.net/elections_prod/1292/state/01/lga/05/ward/02/pu/011/011-1677404308.pdf" TargetMode="External"/><Relationship Id="rId837" Type="http://schemas.openxmlformats.org/officeDocument/2006/relationships/hyperlink" Target="https://docs.inecelectionresults.net/elections_prod/1292/state/01/lga/05/ward/03/pu/004/004-1677372795.pdf" TargetMode="External"/><Relationship Id="rId836" Type="http://schemas.openxmlformats.org/officeDocument/2006/relationships/hyperlink" Target="https://docs.inecelectionresults.net/elections_prod/1292/state/01/lga/05/ward/03/pu/003/003-1677362594.pdf" TargetMode="External"/><Relationship Id="rId835" Type="http://schemas.openxmlformats.org/officeDocument/2006/relationships/hyperlink" Target="https://docs.inecelectionresults.net/elections_prod/1292/state/01/lga/05/ward/03/pu/001/001-1677363444.pdf" TargetMode="External"/><Relationship Id="rId834" Type="http://schemas.openxmlformats.org/officeDocument/2006/relationships/hyperlink" Target="https://docs.inecelectionresults.net/elections_prod/1292/state/01/lga/05/ward/02/pu/015/015-1677392053.pdf" TargetMode="External"/><Relationship Id="rId2990" Type="http://schemas.openxmlformats.org/officeDocument/2006/relationships/hyperlink" Target="https://docs.inecelectionresults.net/elections_prod/1292/state/01/lga/03/ward/01/pu/024/024-1677386787.pdf" TargetMode="External"/><Relationship Id="rId1660" Type="http://schemas.openxmlformats.org/officeDocument/2006/relationships/hyperlink" Target="https://docs.inecelectionresults.net/elections_prod/1292/state/01/lga/12/ward/01/pu/007/007-1677392775.pdf" TargetMode="External"/><Relationship Id="rId2991" Type="http://schemas.openxmlformats.org/officeDocument/2006/relationships/hyperlink" Target="https://docs.inecelectionresults.net/elections_prod/1292/state/01/lga/03/ward/01/pu/025/025-1677377152.pdf" TargetMode="External"/><Relationship Id="rId1661" Type="http://schemas.openxmlformats.org/officeDocument/2006/relationships/hyperlink" Target="https://docs.inecelectionresults.net/elections_prod/1292/state/01/lga/12/ward/01/pu/008/008-1677400429.pdf" TargetMode="External"/><Relationship Id="rId2992" Type="http://schemas.openxmlformats.org/officeDocument/2006/relationships/hyperlink" Target="https://docs.inecelectionresults.net/elections_prod/1292/state/01/lga/03/ward/01/pu/027/027-1677374682.pdf" TargetMode="External"/><Relationship Id="rId1662" Type="http://schemas.openxmlformats.org/officeDocument/2006/relationships/hyperlink" Target="https://docs.inecelectionresults.net/elections_prod/1292/state/01/lga/12/ward/01/pu/009/009-1677401831.pdf" TargetMode="External"/><Relationship Id="rId2993" Type="http://schemas.openxmlformats.org/officeDocument/2006/relationships/hyperlink" Target="https://docs.inecelectionresults.net/elections_prod/1292/state/01/lga/03/ward/01/pu/028/028-1677400525.pdf" TargetMode="External"/><Relationship Id="rId1663" Type="http://schemas.openxmlformats.org/officeDocument/2006/relationships/hyperlink" Target="https://docs.inecelectionresults.net/elections_prod/1292/state/01/lga/12/ward/01/pu/010/010-1677387793.pdf" TargetMode="External"/><Relationship Id="rId2994" Type="http://schemas.openxmlformats.org/officeDocument/2006/relationships/hyperlink" Target="https://docs.inecelectionresults.net/elections_prod/1292/state/01/lga/03/ward/01/pu/030/030-1677406777.pdf" TargetMode="External"/><Relationship Id="rId2148" Type="http://schemas.openxmlformats.org/officeDocument/2006/relationships/hyperlink" Target="https://docs.inecelectionresults.net/elections_prod/1292/state/01/lga/16/ward/07/pu/008/008-1677404467.pdf" TargetMode="External"/><Relationship Id="rId2149" Type="http://schemas.openxmlformats.org/officeDocument/2006/relationships/hyperlink" Target="https://docs.inecelectionresults.net/elections_prod/1292/state/01/lga/16/ward/07/pu/010/010-1677404166.pdf" TargetMode="External"/><Relationship Id="rId3479" Type="http://schemas.openxmlformats.org/officeDocument/2006/relationships/hyperlink" Target="https://docs.inecelectionresults.net/elections_prod/1292/state/01/lga/09/ward/09/pu/020/020-1677362315.pdf" TargetMode="External"/><Relationship Id="rId3470" Type="http://schemas.openxmlformats.org/officeDocument/2006/relationships/hyperlink" Target="https://docs.inecelectionresults.net/elections_prod/1292/state/01/lga/08/ward/05/pu/015/015-1677411118.pdf" TargetMode="External"/><Relationship Id="rId2140" Type="http://schemas.openxmlformats.org/officeDocument/2006/relationships/hyperlink" Target="https://docs.inecelectionresults.net/elections_prod/1292/state/01/lga/16/ward/06/pu/008/008-1677398850.pdf" TargetMode="External"/><Relationship Id="rId3472" Type="http://schemas.openxmlformats.org/officeDocument/2006/relationships/hyperlink" Target="https://docs.inecelectionresults.net/elections_prod/1292/state/01/lga/09/ward/08/pu/022/022-1677389148.pdf" TargetMode="External"/><Relationship Id="rId2141" Type="http://schemas.openxmlformats.org/officeDocument/2006/relationships/hyperlink" Target="https://docs.inecelectionresults.net/elections_prod/1292/state/01/lga/16/ward/06/pu/009/009-1677404019.pdf" TargetMode="External"/><Relationship Id="rId3471" Type="http://schemas.openxmlformats.org/officeDocument/2006/relationships/hyperlink" Target="https://docs.inecelectionresults.net/elections_prod/1292/state/01/lga/08/ward/05/pu/016/016-1677411625.pdf" TargetMode="External"/><Relationship Id="rId2142" Type="http://schemas.openxmlformats.org/officeDocument/2006/relationships/hyperlink" Target="https://docs.inecelectionresults.net/elections_prod/1292/state/01/lga/16/ward/07/pu/001/001-1677401564.pdf" TargetMode="External"/><Relationship Id="rId3474" Type="http://schemas.openxmlformats.org/officeDocument/2006/relationships/hyperlink" Target="https://docs.inecelectionresults.net/elections_prod/1292/state/01/lga/09/ward/08/pu/024/024-1677389990.pdf" TargetMode="External"/><Relationship Id="rId2143" Type="http://schemas.openxmlformats.org/officeDocument/2006/relationships/hyperlink" Target="https://docs.inecelectionresults.net/elections_prod/1292/state/01/lga/16/ward/07/pu/002/002-1677404629.pdf" TargetMode="External"/><Relationship Id="rId3473" Type="http://schemas.openxmlformats.org/officeDocument/2006/relationships/hyperlink" Target="https://docs.inecelectionresults.net/elections_prod/1292/state/01/lga/09/ward/08/pu/023/023-1677389592.pdf" TargetMode="External"/><Relationship Id="rId2144" Type="http://schemas.openxmlformats.org/officeDocument/2006/relationships/hyperlink" Target="https://docs.inecelectionresults.net/elections_prod/1292/state/01/lga/16/ward/07/pu/004/004-1677385676.pdf" TargetMode="External"/><Relationship Id="rId3476" Type="http://schemas.openxmlformats.org/officeDocument/2006/relationships/hyperlink" Target="https://docs.inecelectionresults.net/elections_prod/1292/state/01/lga/09/ward/08/pu/026/026-1677390538.pdf" TargetMode="External"/><Relationship Id="rId2145" Type="http://schemas.openxmlformats.org/officeDocument/2006/relationships/hyperlink" Target="https://docs.inecelectionresults.net/elections_prod/1292/state/01/lga/16/ward/07/pu/005/005-1677392758.pdf" TargetMode="External"/><Relationship Id="rId3475" Type="http://schemas.openxmlformats.org/officeDocument/2006/relationships/hyperlink" Target="https://docs.inecelectionresults.net/elections_prod/1292/state/01/lga/09/ward/08/pu/025/025-1677390240.pdf" TargetMode="External"/><Relationship Id="rId2146" Type="http://schemas.openxmlformats.org/officeDocument/2006/relationships/hyperlink" Target="https://docs.inecelectionresults.net/elections_prod/1292/state/01/lga/16/ward/07/pu/006/006-1677360393.pdf" TargetMode="External"/><Relationship Id="rId3478" Type="http://schemas.openxmlformats.org/officeDocument/2006/relationships/hyperlink" Target="https://docs.inecelectionresults.net/elections_prod/1292/state/01/lga/09/ward/09/pu/019/019-1677376169.pdf" TargetMode="External"/><Relationship Id="rId2147" Type="http://schemas.openxmlformats.org/officeDocument/2006/relationships/hyperlink" Target="https://docs.inecelectionresults.net/elections_prod/1292/state/01/lga/16/ward/07/pu/007/007-1677367081.pdf" TargetMode="External"/><Relationship Id="rId3477" Type="http://schemas.openxmlformats.org/officeDocument/2006/relationships/hyperlink" Target="https://docs.inecelectionresults.net/elections_prod/1292/state/01/lga/09/ward/08/pu/021/021-1677389009.pdf" TargetMode="External"/><Relationship Id="rId2137" Type="http://schemas.openxmlformats.org/officeDocument/2006/relationships/hyperlink" Target="https://docs.inecelectionresults.net/elections_prod/1292/state/01/lga/16/ward/06/pu/005/005-1677405718.pdf" TargetMode="External"/><Relationship Id="rId3469" Type="http://schemas.openxmlformats.org/officeDocument/2006/relationships/hyperlink" Target="https://docs.inecelectionresults.net/elections_prod/1292/state/01/lga/08/ward/05/pu/014/014-1677403827.pdf" TargetMode="External"/><Relationship Id="rId2138" Type="http://schemas.openxmlformats.org/officeDocument/2006/relationships/hyperlink" Target="https://docs.inecelectionresults.net/elections_prod/1292/state/01/lga/16/ward/06/pu/006/006-1677409876.pdf" TargetMode="External"/><Relationship Id="rId3468" Type="http://schemas.openxmlformats.org/officeDocument/2006/relationships/hyperlink" Target="https://docs.inecelectionresults.net/elections_prod/1292/state/01/lga/08/ward/05/pu/013/013-1677410366.pdf" TargetMode="External"/><Relationship Id="rId2139" Type="http://schemas.openxmlformats.org/officeDocument/2006/relationships/hyperlink" Target="https://docs.inecelectionresults.net/elections_prod/1292/state/01/lga/16/ward/06/pu/007/007-1677417388.pdf" TargetMode="External"/><Relationship Id="rId3461" Type="http://schemas.openxmlformats.org/officeDocument/2006/relationships/hyperlink" Target="https://docs.inecelectionresults.net/elections_prod/1292/state/01/lga/08/ward/08/pu/016/016-1677416197.pdf" TargetMode="External"/><Relationship Id="rId2130" Type="http://schemas.openxmlformats.org/officeDocument/2006/relationships/hyperlink" Target="https://docs.inecelectionresults.net/elections_prod/1292/state/01/lga/16/ward/05/pu/014/014-1677417364.pdf" TargetMode="External"/><Relationship Id="rId3460" Type="http://schemas.openxmlformats.org/officeDocument/2006/relationships/hyperlink" Target="https://docs.inecelectionresults.net/elections_prod/1292/state/01/lga/08/ward/08/pu/014/014-1677415959.pdf" TargetMode="External"/><Relationship Id="rId2131" Type="http://schemas.openxmlformats.org/officeDocument/2006/relationships/hyperlink" Target="https://docs.inecelectionresults.net/elections_prod/1292/state/01/lga/16/ward/05/pu/015/015-1677387221.pdf" TargetMode="External"/><Relationship Id="rId3463" Type="http://schemas.openxmlformats.org/officeDocument/2006/relationships/hyperlink" Target="https://docs.inecelectionresults.net/elections_prod/1292/state/01/lga/08/ward/08/pu/018/018-1677416186.pdf" TargetMode="External"/><Relationship Id="rId2132" Type="http://schemas.openxmlformats.org/officeDocument/2006/relationships/hyperlink" Target="https://docs.inecelectionresults.net/elections_prod/1292/state/01/lga/16/ward/05/pu/016/016-1677393658.pdf" TargetMode="External"/><Relationship Id="rId3462" Type="http://schemas.openxmlformats.org/officeDocument/2006/relationships/hyperlink" Target="https://docs.inecelectionresults.net/elections_prod/1292/state/01/lga/08/ward/08/pu/017/017-1677415858.pdf" TargetMode="External"/><Relationship Id="rId2133" Type="http://schemas.openxmlformats.org/officeDocument/2006/relationships/hyperlink" Target="https://docs.inecelectionresults.net/elections_prod/1292/state/01/lga/16/ward/06/pu/001/001-1677410601.pdf" TargetMode="External"/><Relationship Id="rId3465" Type="http://schemas.openxmlformats.org/officeDocument/2006/relationships/hyperlink" Target="https://docs.inecelectionresults.net/elections_prod/1292/state/1/lga/3673/ward/24046/pu/165822/165822-1677502755.pdf" TargetMode="External"/><Relationship Id="rId2134" Type="http://schemas.openxmlformats.org/officeDocument/2006/relationships/hyperlink" Target="https://docs.inecelectionresults.net/elections_prod/1292/state/01/lga/16/ward/06/pu/002/002-1677397010.pdf" TargetMode="External"/><Relationship Id="rId3464" Type="http://schemas.openxmlformats.org/officeDocument/2006/relationships/hyperlink" Target="https://docs.inecelectionresults.net/elections_prod/1292/state/01/lga/08/ward/08/pu/019/019-1677415090.pdf" TargetMode="External"/><Relationship Id="rId2135" Type="http://schemas.openxmlformats.org/officeDocument/2006/relationships/hyperlink" Target="https://docs.inecelectionresults.net/elections_prod/1292/state/01/lga/16/ward/06/pu/003/003-1677402015.pdf" TargetMode="External"/><Relationship Id="rId3467" Type="http://schemas.openxmlformats.org/officeDocument/2006/relationships/hyperlink" Target="https://docs.inecelectionresults.net/elections_prod/1292/state/01/lga/08/ward/05/pu/012/012-1677409688.pdf" TargetMode="External"/><Relationship Id="rId2136" Type="http://schemas.openxmlformats.org/officeDocument/2006/relationships/hyperlink" Target="https://docs.inecelectionresults.net/elections_prod/1292/state/01/lga/16/ward/06/pu/004/004-1677408409.pdf" TargetMode="External"/><Relationship Id="rId3466" Type="http://schemas.openxmlformats.org/officeDocument/2006/relationships/hyperlink" Target="https://docs.inecelectionresults.net/elections_prod/1292/state/01/lga/08/ward/08/pu/021/021-1677416983.pdf" TargetMode="External"/><Relationship Id="rId3490" Type="http://schemas.openxmlformats.org/officeDocument/2006/relationships/hyperlink" Target="https://inec-cvr-cache.s3.eu-west-1.amazonaws.com/cached/results/661158/result_78866_1677537631_thumb.jpg" TargetMode="External"/><Relationship Id="rId2160" Type="http://schemas.openxmlformats.org/officeDocument/2006/relationships/hyperlink" Target="https://docs.inecelectionresults.net/elections_prod/1292/state/01/lga/16/ward/09/pu/004/004-1677408619.pdf" TargetMode="External"/><Relationship Id="rId3492" Type="http://schemas.openxmlformats.org/officeDocument/2006/relationships/hyperlink" Target="https://inec-cvr-cache.s3.eu-west-1.amazonaws.com/cached/results/661161/result_78869_1677537490_thumb.jpg" TargetMode="External"/><Relationship Id="rId2161" Type="http://schemas.openxmlformats.org/officeDocument/2006/relationships/hyperlink" Target="https://docs.inecelectionresults.net/elections_prod/1292/state/01/lga/16/ward/09/pu/005/005-1677406590.pdf" TargetMode="External"/><Relationship Id="rId3491" Type="http://schemas.openxmlformats.org/officeDocument/2006/relationships/hyperlink" Target="https://inec-cvr-cache.s3.eu-west-1.amazonaws.com/cached/results/661159/result_78867_1677537817_thumb.jpg" TargetMode="External"/><Relationship Id="rId2162" Type="http://schemas.openxmlformats.org/officeDocument/2006/relationships/hyperlink" Target="https://docs.inecelectionresults.net/elections_prod/1292/state/01/lga/16/ward/09/pu/006/006-1677405991.pdf" TargetMode="External"/><Relationship Id="rId3494" Type="http://schemas.openxmlformats.org/officeDocument/2006/relationships/hyperlink" Target="https://docs.inecelectionresults.net/elections_prod/1292/state/01/lga/09/ward/06/pu/038/038-1677396380.pdf" TargetMode="External"/><Relationship Id="rId2163" Type="http://schemas.openxmlformats.org/officeDocument/2006/relationships/hyperlink" Target="https://docs.inecelectionresults.net/elections_prod/1292/state/01/lga/16/ward/09/pu/007/007-1677407851.pdf" TargetMode="External"/><Relationship Id="rId3493" Type="http://schemas.openxmlformats.org/officeDocument/2006/relationships/hyperlink" Target="https://docs.inecelectionresults.net/elections_prod/1292/state/01/lga/09/ward/06/pu/037/037-1677379303.pdf" TargetMode="External"/><Relationship Id="rId2164" Type="http://schemas.openxmlformats.org/officeDocument/2006/relationships/hyperlink" Target="https://docs.inecelectionresults.net/elections_prod/1292/state/01/lga/16/ward/09/pu/008/008-1677406900.pdf" TargetMode="External"/><Relationship Id="rId3496" Type="http://schemas.openxmlformats.org/officeDocument/2006/relationships/hyperlink" Target="https://docs.inecelectionresults.net/elections_prod/1292/state/01/lga/09/ward/07/pu/019/019-1677417926.pdf" TargetMode="External"/><Relationship Id="rId2165" Type="http://schemas.openxmlformats.org/officeDocument/2006/relationships/hyperlink" Target="https://docs.inecelectionresults.net/elections_prod/1292/state/01/lga/16/ward/10/pu/001/001-1677371795.pdf" TargetMode="External"/><Relationship Id="rId3495" Type="http://schemas.openxmlformats.org/officeDocument/2006/relationships/hyperlink" Target="https://inec-cvr-cache.s3.eu-west-1.amazonaws.com/cached/results/661164/result_78872_1677537971_thumb.jpg" TargetMode="External"/><Relationship Id="rId2166" Type="http://schemas.openxmlformats.org/officeDocument/2006/relationships/hyperlink" Target="https://docs.inecelectionresults.net/elections_prod/1292/state/01/lga/16/ward/10/pu/002/002-1677384051.pdf" TargetMode="External"/><Relationship Id="rId3498" Type="http://schemas.openxmlformats.org/officeDocument/2006/relationships/hyperlink" Target="https://docs.inecelectionresults.net/elections_prod/1292/state/01/lga/09/ward/07/pu/021/021-1677400139.pdf" TargetMode="External"/><Relationship Id="rId2167" Type="http://schemas.openxmlformats.org/officeDocument/2006/relationships/hyperlink" Target="https://docs.inecelectionresults.net/elections_prod/1292/state/01/lga/16/ward/10/pu/004/004-1677374660.pdf" TargetMode="External"/><Relationship Id="rId3497" Type="http://schemas.openxmlformats.org/officeDocument/2006/relationships/hyperlink" Target="https://docs.inecelectionresults.net/elections_prod/1292/state/01/lga/09/ward/07/pu/020/020-1677401776.pdf" TargetMode="External"/><Relationship Id="rId2168" Type="http://schemas.openxmlformats.org/officeDocument/2006/relationships/hyperlink" Target="https://docs.inecelectionresults.net/elections_prod/1292/state/01/lga/16/ward/10/pu/005/005-1677371313.pdf" TargetMode="External"/><Relationship Id="rId2169" Type="http://schemas.openxmlformats.org/officeDocument/2006/relationships/hyperlink" Target="https://docs.inecelectionresults.net/elections_prod/1292/state/01/lga/16/ward/10/pu/006/006-1677373916.pdf" TargetMode="External"/><Relationship Id="rId3499" Type="http://schemas.openxmlformats.org/officeDocument/2006/relationships/hyperlink" Target="https://docs.inecelectionresults.net/elections_prod/1292/state/01/lga/09/ward/07/pu/022/022-1677419592.pdf" TargetMode="External"/><Relationship Id="rId2159" Type="http://schemas.openxmlformats.org/officeDocument/2006/relationships/hyperlink" Target="https://docs.inecelectionresults.net/elections_prod/1292/state/01/lga/16/ward/09/pu/002/002-1677410999.pdf" TargetMode="External"/><Relationship Id="rId3481" Type="http://schemas.openxmlformats.org/officeDocument/2006/relationships/hyperlink" Target="https://docs.inecelectionresults.net/elections_prod/1292/state/01/lga/09/ward/10/pu/019/019-1677402902.pdf" TargetMode="External"/><Relationship Id="rId2150" Type="http://schemas.openxmlformats.org/officeDocument/2006/relationships/hyperlink" Target="https://docs.inecelectionresults.net/elections_prod/1292/state/01/lga/16/ward/07/pu/011/011-1677386146.pdf" TargetMode="External"/><Relationship Id="rId3480" Type="http://schemas.openxmlformats.org/officeDocument/2006/relationships/hyperlink" Target="https://docs.inecelectionresults.net/elections_prod/1292/state/01/lga/09/ward/10/pu/018/018-1677403748.pdf" TargetMode="External"/><Relationship Id="rId2151" Type="http://schemas.openxmlformats.org/officeDocument/2006/relationships/hyperlink" Target="https://docs.inecelectionresults.net/elections_prod/1292/state/01/lga/16/ward/07/pu/013/013-1677368861.pdf" TargetMode="External"/><Relationship Id="rId3483" Type="http://schemas.openxmlformats.org/officeDocument/2006/relationships/hyperlink" Target="https://docs.inecelectionresults.net/elections_prod/1292/state/01/lga/09/ward/01/pu/020/020-1677403946.pdf" TargetMode="External"/><Relationship Id="rId2152" Type="http://schemas.openxmlformats.org/officeDocument/2006/relationships/hyperlink" Target="https://docs.inecelectionresults.net/elections_prod/1292/state/01/lga/16/ward/08/pu/002/002-1677363189.pdf" TargetMode="External"/><Relationship Id="rId3482" Type="http://schemas.openxmlformats.org/officeDocument/2006/relationships/hyperlink" Target="https://docs.inecelectionresults.net/elections_prod/1292/state/01/lga/09/ward/01/pu/018/018-1677405887.pdf" TargetMode="External"/><Relationship Id="rId2153" Type="http://schemas.openxmlformats.org/officeDocument/2006/relationships/hyperlink" Target="https://docs.inecelectionresults.net/elections_prod/1292/state/1/lga/3681/ward/24133/pu/93479/93479-1677583071.pdf" TargetMode="External"/><Relationship Id="rId3485" Type="http://schemas.openxmlformats.org/officeDocument/2006/relationships/hyperlink" Target="https://docs.inecelectionresults.net/elections_prod/1292/state/01/lga/09/ward/01/pu/022/022-1677398736.pdf" TargetMode="External"/><Relationship Id="rId2154" Type="http://schemas.openxmlformats.org/officeDocument/2006/relationships/hyperlink" Target="https://docs.inecelectionresults.net/elections_prod/1292/state/01/lga/16/ward/08/pu/004/004-1677362940.pdf" TargetMode="External"/><Relationship Id="rId3484" Type="http://schemas.openxmlformats.org/officeDocument/2006/relationships/hyperlink" Target="https://docs.inecelectionresults.net/elections_prod/1292/state/01/lga/09/ward/01/pu/021/021-1677388256.pdf" TargetMode="External"/><Relationship Id="rId2155" Type="http://schemas.openxmlformats.org/officeDocument/2006/relationships/hyperlink" Target="https://docs.inecelectionresults.net/elections_prod/1292/state/01/lga/16/ward/08/pu/005/005-1677363147.pdf" TargetMode="External"/><Relationship Id="rId3487" Type="http://schemas.openxmlformats.org/officeDocument/2006/relationships/hyperlink" Target="https://docs.inecelectionresults.net/elections_prod/1292/state/01/lga/09/ward/02/pu/019/019-1677402531.pdf" TargetMode="External"/><Relationship Id="rId2156" Type="http://schemas.openxmlformats.org/officeDocument/2006/relationships/hyperlink" Target="https://docs.inecelectionresults.net/elections_prod/1292/state/01/lga/16/ward/08/pu/006/006-1677364426.pdf" TargetMode="External"/><Relationship Id="rId3486" Type="http://schemas.openxmlformats.org/officeDocument/2006/relationships/hyperlink" Target="https://docs.inecelectionresults.net/elections_prod/1292/state/01/lga/09/ward/02/pu/018/018-1677401497.pdf" TargetMode="External"/><Relationship Id="rId2157" Type="http://schemas.openxmlformats.org/officeDocument/2006/relationships/hyperlink" Target="https://docs.inecelectionresults.net/elections_prod/1292/state/01/lga/16/ward/08/pu/007/007-1677363788.pdf" TargetMode="External"/><Relationship Id="rId3489" Type="http://schemas.openxmlformats.org/officeDocument/2006/relationships/hyperlink" Target="https://docs.inecelectionresults.net/elections_prod/1292/state/01/lga/09/ward/05/pu/025/025-1677395515.pdf" TargetMode="External"/><Relationship Id="rId2158" Type="http://schemas.openxmlformats.org/officeDocument/2006/relationships/hyperlink" Target="https://docs.inecelectionresults.net/elections_prod/1292/state/01/lga/16/ward/09/pu/001/001-1677405486.pdf" TargetMode="External"/><Relationship Id="rId3488" Type="http://schemas.openxmlformats.org/officeDocument/2006/relationships/hyperlink" Target="https://docs.inecelectionresults.net/elections_prod/1292/state/01/lga/09/ward/02/pu/020/020-1677402942.pdf" TargetMode="External"/><Relationship Id="rId2104" Type="http://schemas.openxmlformats.org/officeDocument/2006/relationships/hyperlink" Target="https://docs.inecelectionresults.net/elections_prod/1292/state/01/lga/16/ward/03/pu/008/008-1677389586.pdf" TargetMode="External"/><Relationship Id="rId3436" Type="http://schemas.openxmlformats.org/officeDocument/2006/relationships/hyperlink" Target="https://docs.inecelectionresults.net/elections_prod/1292/state/01/lga/08/ward/11/pu/016/016-1677420403.pdf" TargetMode="External"/><Relationship Id="rId2105" Type="http://schemas.openxmlformats.org/officeDocument/2006/relationships/hyperlink" Target="https://docs.inecelectionresults.net/elections_prod/1292/state/01/lga/16/ward/03/pu/009/009-1677387651.pdf" TargetMode="External"/><Relationship Id="rId3435" Type="http://schemas.openxmlformats.org/officeDocument/2006/relationships/hyperlink" Target="https://inec-cvr-cache.s3.eu-west-1.amazonaws.com/cached/results/661098/result_78704_1677504117_thumb.jpg" TargetMode="External"/><Relationship Id="rId2106" Type="http://schemas.openxmlformats.org/officeDocument/2006/relationships/hyperlink" Target="https://docs.inecelectionresults.net/elections_prod/1292/state/01/lga/16/ward/03/pu/010/010-1677387280.pdf" TargetMode="External"/><Relationship Id="rId3438" Type="http://schemas.openxmlformats.org/officeDocument/2006/relationships/hyperlink" Target="https://docs.inecelectionresults.net/elections_prod/1292/state/01/lga/08/ward/11/pu/018/018-1677418045.pdf" TargetMode="External"/><Relationship Id="rId2107" Type="http://schemas.openxmlformats.org/officeDocument/2006/relationships/hyperlink" Target="https://docs.inecelectionresults.net/elections_prod/1292/state/01/lga/16/ward/03/pu/011/011-1677388984.pdf" TargetMode="External"/><Relationship Id="rId3437" Type="http://schemas.openxmlformats.org/officeDocument/2006/relationships/hyperlink" Target="https://docs.inecelectionresults.net/elections_prod/1292/state/01/lga/08/ward/11/pu/017/017-1677420453.pdf" TargetMode="External"/><Relationship Id="rId2108" Type="http://schemas.openxmlformats.org/officeDocument/2006/relationships/hyperlink" Target="https://docs.inecelectionresults.net/elections_prod/1292/state/01/lga/16/ward/03/pu/012/012-1677359413.pdf" TargetMode="External"/><Relationship Id="rId2109" Type="http://schemas.openxmlformats.org/officeDocument/2006/relationships/hyperlink" Target="https://docs.inecelectionresults.net/elections_prod/1292/state/01/lga/16/ward/04/pu/001/001-1677359573.pdf" TargetMode="External"/><Relationship Id="rId3439" Type="http://schemas.openxmlformats.org/officeDocument/2006/relationships/hyperlink" Target="https://inec-cvr-cache.s3.eu-west-1.amazonaws.com/cached/results/661102/result_78708_1677505917_thumb.jpg" TargetMode="External"/><Relationship Id="rId3430" Type="http://schemas.openxmlformats.org/officeDocument/2006/relationships/hyperlink" Target="https://docs.inecelectionresults.net/elections_prod/1292/state/01/lga/07/ward/09/pu/010/010-1677392021.pdf" TargetMode="External"/><Relationship Id="rId2100" Type="http://schemas.openxmlformats.org/officeDocument/2006/relationships/hyperlink" Target="https://docs.inecelectionresults.net/elections_prod/1292/state/01/lga/16/ward/03/pu/004/004-1677391124.pdf" TargetMode="External"/><Relationship Id="rId3432" Type="http://schemas.openxmlformats.org/officeDocument/2006/relationships/hyperlink" Target="https://docs.inecelectionresults.net/elections_prod/1292/state/01/lga/08/ward/11/pu/012/012-1677419956.pdf" TargetMode="External"/><Relationship Id="rId2101" Type="http://schemas.openxmlformats.org/officeDocument/2006/relationships/hyperlink" Target="https://docs.inecelectionresults.net/elections_prod/1292/state/01/lga/16/ward/03/pu/005/005-1677387839.pdf" TargetMode="External"/><Relationship Id="rId3431" Type="http://schemas.openxmlformats.org/officeDocument/2006/relationships/hyperlink" Target="https://docs.inecelectionresults.net/elections_prod/1292/state/01/lga/08/ward/11/pu/011/011-1677419553.pdf" TargetMode="External"/><Relationship Id="rId2102" Type="http://schemas.openxmlformats.org/officeDocument/2006/relationships/hyperlink" Target="https://docs.inecelectionresults.net/elections_prod/1292/state/01/lga/16/ward/03/pu/006/006-1677388406.pdf" TargetMode="External"/><Relationship Id="rId3434" Type="http://schemas.openxmlformats.org/officeDocument/2006/relationships/hyperlink" Target="https://docs.inecelectionresults.net/elections_prod/1292/state/01/lga/08/ward/11/pu/014/014-1677420781.pdf" TargetMode="External"/><Relationship Id="rId2103" Type="http://schemas.openxmlformats.org/officeDocument/2006/relationships/hyperlink" Target="https://docs.inecelectionresults.net/elections_prod/1292/state/01/lga/16/ward/03/pu/007/007-1677389309.pdf" TargetMode="External"/><Relationship Id="rId3433" Type="http://schemas.openxmlformats.org/officeDocument/2006/relationships/hyperlink" Target="https://docs.inecelectionresults.net/elections_prod/1292/state/01/lga/08/ward/11/pu/013/013-1677419923.pdf" TargetMode="External"/><Relationship Id="rId3425" Type="http://schemas.openxmlformats.org/officeDocument/2006/relationships/hyperlink" Target="https://docs.inecelectionresults.net/elections_prod/1292/state/01/lga/07/ward/08/pu/045/045-1677361461.pdf" TargetMode="External"/><Relationship Id="rId3424" Type="http://schemas.openxmlformats.org/officeDocument/2006/relationships/hyperlink" Target="https://docs.inecelectionresults.net/elections_prod/1292/state/1/lga/3672/ward/24035/pu/165752/165752-1677513859.pdf" TargetMode="External"/><Relationship Id="rId3427" Type="http://schemas.openxmlformats.org/officeDocument/2006/relationships/hyperlink" Target="https://docs.inecelectionresults.net/elections_prod/1292/state/01/lga/07/ward/08/pu/048/048-1677371134.pdf" TargetMode="External"/><Relationship Id="rId3426" Type="http://schemas.openxmlformats.org/officeDocument/2006/relationships/hyperlink" Target="https://docs.inecelectionresults.net/elections_prod/1292/state/1/lga/3672/ward/24035/pu/165754/165754-1677519716.pdf" TargetMode="External"/><Relationship Id="rId3429" Type="http://schemas.openxmlformats.org/officeDocument/2006/relationships/hyperlink" Target="https://docs.inecelectionresults.net/elections_prod/1292/state/01/lga/07/ward/09/pu/009/009-1677394826.pdf" TargetMode="External"/><Relationship Id="rId3428" Type="http://schemas.openxmlformats.org/officeDocument/2006/relationships/hyperlink" Target="https://docs.inecelectionresults.net/elections_prod/1292/state/1/lga/3672/ward/24035/pu/165757/165757-1677523122.pdf" TargetMode="External"/><Relationship Id="rId899" Type="http://schemas.openxmlformats.org/officeDocument/2006/relationships/hyperlink" Target="https://docs.inecelectionresults.net/elections_prod/1292/state/01/lga/05/ward/06/pu/022/022-1677385275.pdf" TargetMode="External"/><Relationship Id="rId898" Type="http://schemas.openxmlformats.org/officeDocument/2006/relationships/hyperlink" Target="https://inec-cvr-cache.s3.eu-west-1.amazonaws.com/cached/results/90809/result_77814_1677519034_thumb.jpg" TargetMode="External"/><Relationship Id="rId897" Type="http://schemas.openxmlformats.org/officeDocument/2006/relationships/hyperlink" Target="https://docs.inecelectionresults.net/elections_prod/1292/state/01/lga/05/ward/06/pu/019/019-1677377969.pdf" TargetMode="External"/><Relationship Id="rId896" Type="http://schemas.openxmlformats.org/officeDocument/2006/relationships/hyperlink" Target="https://docs.inecelectionresults.net/elections_prod/1292/state/01/lga/05/ward/06/pu/018/018-1677377407.pdf" TargetMode="External"/><Relationship Id="rId891" Type="http://schemas.openxmlformats.org/officeDocument/2006/relationships/hyperlink" Target="https://docs.inecelectionresults.net/elections_prod/1292/state/01/lga/05/ward/06/pu/012/012-1677377250.pdf" TargetMode="External"/><Relationship Id="rId890" Type="http://schemas.openxmlformats.org/officeDocument/2006/relationships/hyperlink" Target="https://docs.inecelectionresults.net/elections_prod/1292/state/01/lga/05/ward/06/pu/011/011-1677385975.pdf" TargetMode="External"/><Relationship Id="rId895" Type="http://schemas.openxmlformats.org/officeDocument/2006/relationships/hyperlink" Target="https://docs.inecelectionresults.net/elections_prod/1292/state/01/lga/05/ward/06/pu/017/017-1677379193.pdf" TargetMode="External"/><Relationship Id="rId3421" Type="http://schemas.openxmlformats.org/officeDocument/2006/relationships/hyperlink" Target="https://docs.inecelectionresults.net/elections_prod/1292/state/1/lga/3672/ward/24035/pu/165749/165749-1677516318.pdf" TargetMode="External"/><Relationship Id="rId894" Type="http://schemas.openxmlformats.org/officeDocument/2006/relationships/hyperlink" Target="https://docs.inecelectionresults.net/elections_prod/1292/state/01/lga/05/ward/06/pu/016/016-1677388219.pdf" TargetMode="External"/><Relationship Id="rId3420" Type="http://schemas.openxmlformats.org/officeDocument/2006/relationships/hyperlink" Target="https://docs.inecelectionresults.net/elections_prod/1292/state/01/lga/07/ward/08/pu/039/039-1677389463.pdf" TargetMode="External"/><Relationship Id="rId893" Type="http://schemas.openxmlformats.org/officeDocument/2006/relationships/hyperlink" Target="https://docs.inecelectionresults.net/elections_prod/1292/state/01/lga/05/ward/06/pu/014/014-1677389267.pdf" TargetMode="External"/><Relationship Id="rId3423" Type="http://schemas.openxmlformats.org/officeDocument/2006/relationships/hyperlink" Target="https://docs.inecelectionresults.net/elections_prod/1292/state/1/lga/3672/ward/24035/pu/165751/165751-1677523693.pdf" TargetMode="External"/><Relationship Id="rId892" Type="http://schemas.openxmlformats.org/officeDocument/2006/relationships/hyperlink" Target="https://docs.inecelectionresults.net/elections_prod/1292/state/01/lga/05/ward/06/pu/013/013-1677387251.pdf" TargetMode="External"/><Relationship Id="rId3422" Type="http://schemas.openxmlformats.org/officeDocument/2006/relationships/hyperlink" Target="https://docs.inecelectionresults.net/elections_prod/1292/state/01/lga/07/ward/08/pu/042/042-1677375761.pdf" TargetMode="External"/><Relationship Id="rId2126" Type="http://schemas.openxmlformats.org/officeDocument/2006/relationships/hyperlink" Target="https://docs.inecelectionresults.net/elections_prod/1292/state/01/lga/16/ward/05/pu/010/010-1677422506.pdf" TargetMode="External"/><Relationship Id="rId3458" Type="http://schemas.openxmlformats.org/officeDocument/2006/relationships/hyperlink" Target="https://docs.inecelectionresults.net/elections_prod/1292/state/01/lga/08/ward/07/pu/016/016-1677404569.pdf" TargetMode="External"/><Relationship Id="rId2127" Type="http://schemas.openxmlformats.org/officeDocument/2006/relationships/hyperlink" Target="https://docs.inecelectionresults.net/elections_prod/1292/state/01/lga/16/ward/05/pu/011/011-1677421930.pdf" TargetMode="External"/><Relationship Id="rId3457" Type="http://schemas.openxmlformats.org/officeDocument/2006/relationships/hyperlink" Target="https://docs.inecelectionresults.net/elections_prod/1292/state/01/lga/08/ward/07/pu/015/015-1677409291.pdf" TargetMode="External"/><Relationship Id="rId2128" Type="http://schemas.openxmlformats.org/officeDocument/2006/relationships/hyperlink" Target="https://docs.inecelectionresults.net/elections_prod/1292/state/01/lga/16/ward/05/pu/012/012-1677421364.pdf" TargetMode="External"/><Relationship Id="rId2129" Type="http://schemas.openxmlformats.org/officeDocument/2006/relationships/hyperlink" Target="https://docs.inecelectionresults.net/elections_prod/1292/state/01/lga/16/ward/05/pu/013/013-1677420737.pdf" TargetMode="External"/><Relationship Id="rId3459" Type="http://schemas.openxmlformats.org/officeDocument/2006/relationships/hyperlink" Target="https://docs.inecelectionresults.net/elections_prod/1292/state/01/lga/08/ward/07/pu/017/017-1677408935.pdf" TargetMode="External"/><Relationship Id="rId3450" Type="http://schemas.openxmlformats.org/officeDocument/2006/relationships/hyperlink" Target="https://docs.inecelectionresults.net/elections_prod/1292/state/01/lga/08/ward/01/pu/012/012-1677408046.pdf" TargetMode="External"/><Relationship Id="rId2120" Type="http://schemas.openxmlformats.org/officeDocument/2006/relationships/hyperlink" Target="https://docs.inecelectionresults.net/elections_prod/1292/state/01/lga/16/ward/05/pu/003/003-1677427466.pdf" TargetMode="External"/><Relationship Id="rId3452" Type="http://schemas.openxmlformats.org/officeDocument/2006/relationships/hyperlink" Target="https://docs.inecelectionresults.net/elections_prod/1292/state/01/lga/08/ward/02/pu/013/013-1677410239.pdf" TargetMode="External"/><Relationship Id="rId2121" Type="http://schemas.openxmlformats.org/officeDocument/2006/relationships/hyperlink" Target="https://docs.inecelectionresults.net/elections_prod/1292/state/01/lga/16/ward/05/pu/004/004-1677426759.pdf" TargetMode="External"/><Relationship Id="rId3451" Type="http://schemas.openxmlformats.org/officeDocument/2006/relationships/hyperlink" Target="https://docs.inecelectionresults.net/elections_prod/1292/state/01/lga/08/ward/02/pu/012/012-1677409993.pdf" TargetMode="External"/><Relationship Id="rId2122" Type="http://schemas.openxmlformats.org/officeDocument/2006/relationships/hyperlink" Target="https://docs.inecelectionresults.net/elections_prod/1292/state/01/lga/16/ward/05/pu/006/006-1677425233.pdf" TargetMode="External"/><Relationship Id="rId3454" Type="http://schemas.openxmlformats.org/officeDocument/2006/relationships/hyperlink" Target="https://docs.inecelectionresults.net/elections_prod/1292/state/1/lga/3673/ward/24044/pu/165809/165809-1677531516.pdf" TargetMode="External"/><Relationship Id="rId2123" Type="http://schemas.openxmlformats.org/officeDocument/2006/relationships/hyperlink" Target="https://docs.inecelectionresults.net/elections_prod/1292/state/01/lga/16/ward/05/pu/007/007-1677424835.pdf" TargetMode="External"/><Relationship Id="rId3453" Type="http://schemas.openxmlformats.org/officeDocument/2006/relationships/hyperlink" Target="https://docs.inecelectionresults.net/elections_prod/1292/state/1/lga/3673/ward/24044/pu/165808/165808-1677528427.pdf" TargetMode="External"/><Relationship Id="rId2124" Type="http://schemas.openxmlformats.org/officeDocument/2006/relationships/hyperlink" Target="https://docs.inecelectionresults.net/elections_prod/1292/state/01/lga/16/ward/05/pu/008/008-1677424177.pdf" TargetMode="External"/><Relationship Id="rId3456" Type="http://schemas.openxmlformats.org/officeDocument/2006/relationships/hyperlink" Target="https://docs.inecelectionresults.net/elections_prod/1292/state/01/lga/08/ward/07/pu/014/014-1677402376.pdf" TargetMode="External"/><Relationship Id="rId2125" Type="http://schemas.openxmlformats.org/officeDocument/2006/relationships/hyperlink" Target="https://docs.inecelectionresults.net/elections_prod/1292/state/01/lga/16/ward/05/pu/009/009-1677422953.pdf" TargetMode="External"/><Relationship Id="rId3455" Type="http://schemas.openxmlformats.org/officeDocument/2006/relationships/hyperlink" Target="https://docs.inecelectionresults.net/elections_prod/1292/state/01/lga/08/ward/07/pu/012/012-1677406597.pdf" TargetMode="External"/><Relationship Id="rId2115" Type="http://schemas.openxmlformats.org/officeDocument/2006/relationships/hyperlink" Target="https://docs.inecelectionresults.net/elections_prod/1292/state/01/lga/16/ward/04/pu/010/010-1677358697.pdf" TargetMode="External"/><Relationship Id="rId3447" Type="http://schemas.openxmlformats.org/officeDocument/2006/relationships/hyperlink" Target="https://docs.inecelectionresults.net/elections_prod/1292/state/01/lga/08/ward/03/pu/013/013-1677413568.pdf" TargetMode="External"/><Relationship Id="rId2116" Type="http://schemas.openxmlformats.org/officeDocument/2006/relationships/hyperlink" Target="https://docs.inecelectionresults.net/elections_prod/1292/state/01/lga/16/ward/04/pu/011/011-1677361032.pdf" TargetMode="External"/><Relationship Id="rId3446" Type="http://schemas.openxmlformats.org/officeDocument/2006/relationships/hyperlink" Target="https://docs.inecelectionresults.net/elections_prod/1292/state/01/lga/08/ward/03/pu/012/012-1677413223.pdf" TargetMode="External"/><Relationship Id="rId2117" Type="http://schemas.openxmlformats.org/officeDocument/2006/relationships/hyperlink" Target="https://docs.inecelectionresults.net/elections_prod/1292/state/01/lga/16/ward/04/pu/012/012-1677360514.pdf" TargetMode="External"/><Relationship Id="rId3449" Type="http://schemas.openxmlformats.org/officeDocument/2006/relationships/hyperlink" Target="https://docs.inecelectionresults.net/elections_prod/1292/state/01/lga/08/ward/01/pu/011/011-1677407807.pdf" TargetMode="External"/><Relationship Id="rId2118" Type="http://schemas.openxmlformats.org/officeDocument/2006/relationships/hyperlink" Target="https://docs.inecelectionresults.net/elections_prod/1292/state/01/lga/16/ward/05/pu/001/001-1677416157.pdf" TargetMode="External"/><Relationship Id="rId3448" Type="http://schemas.openxmlformats.org/officeDocument/2006/relationships/hyperlink" Target="https://docs.inecelectionresults.net/elections_prod/1292/state/1/lga/3673/ward/24041/pu/165802/165802-1677497489.pdf" TargetMode="External"/><Relationship Id="rId2119" Type="http://schemas.openxmlformats.org/officeDocument/2006/relationships/hyperlink" Target="https://docs.inecelectionresults.net/elections_prod/1292/state/01/lga/16/ward/05/pu/002/002-1677428157.pdf" TargetMode="External"/><Relationship Id="rId3441" Type="http://schemas.openxmlformats.org/officeDocument/2006/relationships/hyperlink" Target="https://inec-cvr-cache.s3.eu-west-1.amazonaws.com/cached/results/661104/result_78710_1677506040_thumb.jpg" TargetMode="External"/><Relationship Id="rId2110" Type="http://schemas.openxmlformats.org/officeDocument/2006/relationships/hyperlink" Target="https://docs.inecelectionresults.net/elections_prod/1292/state/01/lga/16/ward/04/pu/002/002-1677359434.pdf" TargetMode="External"/><Relationship Id="rId3440" Type="http://schemas.openxmlformats.org/officeDocument/2006/relationships/hyperlink" Target="https://inec-cvr-cache.s3.eu-west-1.amazonaws.com/cached/results/661103/result_78709_1677505811_thumb.jpg" TargetMode="External"/><Relationship Id="rId2111" Type="http://schemas.openxmlformats.org/officeDocument/2006/relationships/hyperlink" Target="https://docs.inecelectionresults.net/elections_prod/1292/state/01/lga/16/ward/04/pu/003/003-1677361641.pdf" TargetMode="External"/><Relationship Id="rId3443" Type="http://schemas.openxmlformats.org/officeDocument/2006/relationships/hyperlink" Target="https://docs.inecelectionresults.net/elections_prod/1292/state/01/lga/08/ward/11/pu/023/023-1677421134.pdf" TargetMode="External"/><Relationship Id="rId2112" Type="http://schemas.openxmlformats.org/officeDocument/2006/relationships/hyperlink" Target="https://docs.inecelectionresults.net/elections_prod/1292/state/01/lga/16/ward/04/pu/005/005-1677358596.pdf" TargetMode="External"/><Relationship Id="rId3442" Type="http://schemas.openxmlformats.org/officeDocument/2006/relationships/hyperlink" Target="https://docs.inecelectionresults.net/elections_prod/1292/state/01/lga/08/ward/11/pu/022/022-1677417711.pdf" TargetMode="External"/><Relationship Id="rId2113" Type="http://schemas.openxmlformats.org/officeDocument/2006/relationships/hyperlink" Target="https://docs.inecelectionresults.net/elections_prod/1292/state/01/lga/16/ward/04/pu/006/006-1677360049.pdf" TargetMode="External"/><Relationship Id="rId3445" Type="http://schemas.openxmlformats.org/officeDocument/2006/relationships/hyperlink" Target="https://docs.inecelectionresults.net/elections_prod/1292/state/01/lga/08/ward/11/pu/025/025-1677421392.pdf" TargetMode="External"/><Relationship Id="rId2114" Type="http://schemas.openxmlformats.org/officeDocument/2006/relationships/hyperlink" Target="https://docs.inecelectionresults.net/elections_prod/1292/state/01/lga/16/ward/04/pu/009/009-1677359294.pdf" TargetMode="External"/><Relationship Id="rId3444" Type="http://schemas.openxmlformats.org/officeDocument/2006/relationships/hyperlink" Target="https://docs.inecelectionresults.net/elections_prod/1292/state/01/lga/08/ward/11/pu/024/024-167742119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25"/>
    <col customWidth="1" min="7" max="7" width="14.5"/>
    <col customWidth="1" min="9" max="9" width="17.88"/>
    <col customWidth="1" min="10" max="10" width="19.13"/>
    <col customWidth="1" min="11" max="11" width="17.5"/>
    <col customWidth="1" min="19" max="19" width="11.0"/>
    <col customWidth="1" min="21" max="21" width="23.25"/>
    <col customWidth="1" min="28" max="28" width="17.25"/>
    <col customWidth="1" min="29" max="29" width="14.88"/>
    <col customWidth="1" min="30" max="30" width="14.13"/>
    <col customWidth="1" min="31" max="31" width="14.88"/>
    <col customWidth="1" min="32" max="32" width="16.5"/>
    <col customWidth="1" min="33" max="33" width="11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/>
    </row>
    <row r="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>
        <v>64.0</v>
      </c>
      <c r="G2" s="2">
        <v>607.0</v>
      </c>
      <c r="H2" s="2" t="b">
        <v>1</v>
      </c>
      <c r="I2" s="2">
        <v>-1.0</v>
      </c>
      <c r="J2" s="2" t="b">
        <v>0</v>
      </c>
      <c r="K2" s="2" t="b">
        <v>0</v>
      </c>
      <c r="L2" s="2" t="b">
        <v>0</v>
      </c>
      <c r="M2" s="2" t="b">
        <v>0</v>
      </c>
      <c r="N2" s="2" t="s">
        <v>33</v>
      </c>
      <c r="O2" s="2">
        <v>0.0</v>
      </c>
      <c r="P2" s="2">
        <v>0.0</v>
      </c>
      <c r="Q2" s="2">
        <v>0.0</v>
      </c>
      <c r="R2" s="2">
        <v>0.0</v>
      </c>
      <c r="S2" s="3" t="s">
        <v>34</v>
      </c>
      <c r="T2" s="2" t="s">
        <v>35</v>
      </c>
      <c r="Y2" s="4" t="str">
        <f>IFERROR(__xludf.DUMMYFUNCTION("IMPORTRANGE(""https://docs.google.com/spreadsheets/d/14qG0xaPD00NcZPiDG1jkym4fLr7aLs2koCHa_wAEDZo/edit?usp=sharing"", 
""Copy of OGUN_crosschecked!G2:G"")
"),"7.1703029")</f>
        <v>7.1703029</v>
      </c>
      <c r="Z2" s="4" t="str">
        <f>IFERROR(__xludf.DUMMYFUNCTION("IMPORTRANGE(""https://docs.google.com/spreadsheets/d/14qG0xaPD00NcZPiDG1jkym4fLr7aLs2koCHa_wAEDZo/edit?usp=sharing"", 
""Copy of OGUN_crosschecked!H2:H"")
"),"3.3415604")</f>
        <v>3.3415604</v>
      </c>
      <c r="AA2" s="4" t="str">
        <f t="shared" ref="AA2:AA4070" si="1">IF(AND(ABS(Y2-Y3)&lt;=0.01, ABS(Z2-Z3)&lt;=0.01), "Neighbor", "Not Neighbor")
</f>
        <v>Neighbor</v>
      </c>
      <c r="AB2" s="2" t="s">
        <v>36</v>
      </c>
      <c r="AC2" s="4">
        <f>IFERROR(__xludf.DUMMYFUNCTION("IFERROR(ABS(O2-AVERAGE(FILTER(O2:O4070,AA2:AA4070=""Neighbor""))) / STDEV(FILTER(O2:O4070, AA2:AA4070 =""Neighbor"")), """")"),1.5691092194772447)</f>
        <v>1.569109219</v>
      </c>
      <c r="AD2" s="4">
        <f>IFERROR(__xludf.DUMMYFUNCTION("IFERROR(ABS(P2-AVERAGE(FILTER(O2:P4070,AA2:AA4070=""Neighbor""))) / STDEV(FILTER(P2:P4070, AA2:AA4070 =""Neighbor"")), """")"),1.637247635425881)</f>
        <v>1.637247635</v>
      </c>
      <c r="AE2" s="2">
        <f>IFERROR(__xludf.DUMMYFUNCTION("IFERROR(ABS(Q2-AVERAGE(FILTER(Q2:Q4070,AA2:AA4070=""Neighbor""))) / STDEV(FILTER(Q2:Q4070, AA2:AA4070 =""Neighbor"")), """")"),1.0542733300975207)</f>
        <v>1.05427333</v>
      </c>
      <c r="AF2" s="2">
        <f>IFERROR(__xludf.DUMMYFUNCTION("IFERROR(ABS(R2-AVERAGE(FILTER(R2:R4070,AA2:AA4070=""Neighbor""))) / STDEV(FILTER(R2:R4070, AA2:AA4070 =""Neighbor"")), """")"),0.10298270535882655)</f>
        <v>0.1029827054</v>
      </c>
      <c r="AG2" s="2"/>
    </row>
    <row r="3">
      <c r="A3" s="2" t="s">
        <v>28</v>
      </c>
      <c r="B3" s="2" t="s">
        <v>29</v>
      </c>
      <c r="C3" s="2" t="s">
        <v>30</v>
      </c>
      <c r="D3" s="2" t="s">
        <v>37</v>
      </c>
      <c r="E3" s="2" t="s">
        <v>38</v>
      </c>
      <c r="F3" s="2">
        <v>137.0</v>
      </c>
      <c r="G3" s="2">
        <v>775.0</v>
      </c>
      <c r="H3" s="2" t="b">
        <v>1</v>
      </c>
      <c r="I3" s="2">
        <v>-1.0</v>
      </c>
      <c r="J3" s="2" t="b">
        <v>1</v>
      </c>
      <c r="K3" s="2" t="b">
        <v>0</v>
      </c>
      <c r="L3" s="2" t="b">
        <v>0</v>
      </c>
      <c r="M3" s="2" t="b">
        <v>0</v>
      </c>
      <c r="N3" s="2" t="s">
        <v>33</v>
      </c>
      <c r="O3" s="2">
        <v>40.0</v>
      </c>
      <c r="P3" s="2">
        <v>3.0</v>
      </c>
      <c r="Q3" s="2">
        <v>7.0</v>
      </c>
      <c r="R3" s="2">
        <v>0.0</v>
      </c>
      <c r="S3" s="3" t="s">
        <v>39</v>
      </c>
      <c r="T3" s="2" t="s">
        <v>40</v>
      </c>
      <c r="Y3" s="4" t="str">
        <f>IFERROR(__xludf.DUMMYFUNCTION("""COMPUTED_VALUE"""),"7.1703029")</f>
        <v>7.1703029</v>
      </c>
      <c r="Z3" s="4" t="str">
        <f>IFERROR(__xludf.DUMMYFUNCTION("""COMPUTED_VALUE"""),"3.3415604")</f>
        <v>3.3415604</v>
      </c>
      <c r="AA3" s="4" t="str">
        <f t="shared" si="1"/>
        <v>Neighbor</v>
      </c>
      <c r="AB3" s="4">
        <f>IFERROR(__xludf.DUMMYFUNCTION("AVERAGE(FILTER(O2:O4070, AA2:AA4070 =""Neighbor""))"),66.0707182320442)</f>
        <v>66.07071823</v>
      </c>
      <c r="AC3" s="4">
        <f>IFERROR(__xludf.DUMMYFUNCTION("IFERROR(ABS(O3-AVERAGE(FILTER(O3:O4071,AA3:AA4071=""Neighbor""))) / STDEV(FILTER(O3:O4071, AA3:AA4071 =""Neighbor"")), """")"),0.6202702797922304)</f>
        <v>0.6202702798</v>
      </c>
      <c r="AD3" s="4">
        <f>IFERROR(__xludf.DUMMYFUNCTION("IFERROR(ABS(P3-AVERAGE(FILTER(O3:P4071,AA3:AA4071=""Neighbor""))) / STDEV(FILTER(P3:P4071, AA3:AA4071 =""Neighbor"")), """")"),1.5186003347557413)</f>
        <v>1.518600335</v>
      </c>
      <c r="AE3" s="2">
        <f>IFERROR(__xludf.DUMMYFUNCTION("IFERROR(ABS(Q3-AVERAGE(FILTER(Q3:Q4071,AA3:AA4071=""Neighbor""))) / STDEV(FILTER(Q3:Q4071, AA3:AA4071 =""Neighbor"")), """")"),0.747997537375852)</f>
        <v>0.7479975374</v>
      </c>
      <c r="AF3" s="2">
        <f>IFERROR(__xludf.DUMMYFUNCTION("IFERROR(ABS(R3-AVERAGE(FILTER(R3:R4071,AA3:AA4071=""Neighbor""))) / STDEV(FILTER(R3:R4071, AA3:AA4071 =""Neighbor"")), """")"),0.10301145179902234)</f>
        <v>0.1030114518</v>
      </c>
    </row>
    <row r="4">
      <c r="A4" s="2" t="s">
        <v>28</v>
      </c>
      <c r="B4" s="2" t="s">
        <v>29</v>
      </c>
      <c r="C4" s="2" t="s">
        <v>30</v>
      </c>
      <c r="D4" s="2" t="s">
        <v>41</v>
      </c>
      <c r="E4" s="2" t="s">
        <v>42</v>
      </c>
      <c r="F4" s="2">
        <v>114.0</v>
      </c>
      <c r="G4" s="2">
        <v>776.0</v>
      </c>
      <c r="H4" s="2" t="b">
        <v>1</v>
      </c>
      <c r="I4" s="2">
        <v>-1.0</v>
      </c>
      <c r="J4" s="2" t="b">
        <v>0</v>
      </c>
      <c r="K4" s="2" t="b">
        <v>1</v>
      </c>
      <c r="L4" s="2" t="b">
        <v>0</v>
      </c>
      <c r="M4" s="2" t="b">
        <v>0</v>
      </c>
      <c r="N4" s="2" t="s">
        <v>33</v>
      </c>
      <c r="O4" s="2">
        <v>66.0</v>
      </c>
      <c r="P4" s="2">
        <v>1.0</v>
      </c>
      <c r="Q4" s="2">
        <v>28.0</v>
      </c>
      <c r="R4" s="2">
        <v>0.0</v>
      </c>
      <c r="S4" s="3" t="s">
        <v>43</v>
      </c>
      <c r="T4" s="2" t="s">
        <v>44</v>
      </c>
      <c r="Y4" s="4" t="str">
        <f>IFERROR(__xludf.DUMMYFUNCTION("""COMPUTED_VALUE"""),"7.1729589")</f>
        <v>7.1729589</v>
      </c>
      <c r="Z4" s="4" t="str">
        <f>IFERROR(__xludf.DUMMYFUNCTION("""COMPUTED_VALUE"""),"3.3470778")</f>
        <v>3.3470778</v>
      </c>
      <c r="AA4" s="4" t="str">
        <f t="shared" si="1"/>
        <v>Neighbor</v>
      </c>
      <c r="AB4" s="2" t="s">
        <v>45</v>
      </c>
      <c r="AC4" s="4">
        <f>IFERROR(__xludf.DUMMYFUNCTION("IFERROR(ABS(O4-AVERAGE(FILTER(O4:O4072,AA4:AA4072=""Neighbor""))) / STDEV(FILTER(O4:O4072, AA4:AA4072 =""Neighbor"")), """")"),0.002890482479118184)</f>
        <v>0.002890482479</v>
      </c>
      <c r="AD4" s="4">
        <f>IFERROR(__xludf.DUMMYFUNCTION("IFERROR(ABS(P4-AVERAGE(FILTER(O4:P4072,AA4:AA4072=""Neighbor""))) / STDEV(FILTER(P4:P4072, AA4:AA4072 =""Neighbor"")), """")"),1.5982405448694483)</f>
        <v>1.598240545</v>
      </c>
      <c r="AE4" s="2">
        <f>IFERROR(__xludf.DUMMYFUNCTION("IFERROR(ABS(Q4-AVERAGE(FILTER(Q4:Q4072,AA4:AA4072=""Neighbor""))) / STDEV(FILTER(Q4:Q4072, AA4:AA4072 =""Neighbor"")), """")"),0.17224164318550406)</f>
        <v>0.1722416432</v>
      </c>
      <c r="AF4" s="2">
        <f>IFERROR(__xludf.DUMMYFUNCTION("IFERROR(ABS(R4-AVERAGE(FILTER(R4:R4072,AA4:AA4072=""Neighbor""))) / STDEV(FILTER(R4:R4072, AA4:AA4072 =""Neighbor"")), """")"),0.10304022232555722)</f>
        <v>0.1030402223</v>
      </c>
      <c r="AG4" s="2"/>
    </row>
    <row r="5">
      <c r="A5" s="2" t="s">
        <v>28</v>
      </c>
      <c r="B5" s="2" t="s">
        <v>29</v>
      </c>
      <c r="C5" s="2" t="s">
        <v>30</v>
      </c>
      <c r="D5" s="2" t="s">
        <v>46</v>
      </c>
      <c r="E5" s="2" t="s">
        <v>47</v>
      </c>
      <c r="F5" s="2">
        <v>94.0</v>
      </c>
      <c r="G5" s="2">
        <v>635.0</v>
      </c>
      <c r="H5" s="2" t="b">
        <v>1</v>
      </c>
      <c r="I5" s="2">
        <v>-1.0</v>
      </c>
      <c r="J5" s="2" t="b">
        <v>0</v>
      </c>
      <c r="K5" s="2" t="b">
        <v>1</v>
      </c>
      <c r="L5" s="2" t="b">
        <v>0</v>
      </c>
      <c r="M5" s="2" t="b">
        <v>0</v>
      </c>
      <c r="N5" s="2" t="s">
        <v>33</v>
      </c>
      <c r="O5" s="2">
        <v>58.0</v>
      </c>
      <c r="P5" s="2">
        <v>2.0</v>
      </c>
      <c r="Q5" s="2">
        <v>13.0</v>
      </c>
      <c r="R5" s="2">
        <v>0.0</v>
      </c>
      <c r="S5" s="3" t="s">
        <v>48</v>
      </c>
      <c r="T5" s="2" t="s">
        <v>49</v>
      </c>
      <c r="Y5" s="4" t="str">
        <f>IFERROR(__xludf.DUMMYFUNCTION("""COMPUTED_VALUE"""),"7.1729589")</f>
        <v>7.1729589</v>
      </c>
      <c r="Z5" s="4" t="str">
        <f>IFERROR(__xludf.DUMMYFUNCTION("""COMPUTED_VALUE"""),"3.3470778")</f>
        <v>3.3470778</v>
      </c>
      <c r="AA5" s="4" t="str">
        <f t="shared" si="1"/>
        <v>Neighbor</v>
      </c>
      <c r="AB5" s="4">
        <f>IFERROR(__xludf.DUMMYFUNCTION("STDEV(FILTER(O2:O4070, AA2:AA4070 = ""Neighbor""))"),42.10715061253412)</f>
        <v>42.10715061</v>
      </c>
      <c r="AC5" s="4">
        <f>IFERROR(__xludf.DUMMYFUNCTION("IFERROR(ABS(O5-AVERAGE(FILTER(O5:O4073,AA5:AA4073=""Neighbor""))) / STDEV(FILTER(O5:O4073, AA5:AA4073 =""Neighbor"")), """")"),0.19287477603111397)</f>
        <v>0.192874776</v>
      </c>
      <c r="AD5" s="4">
        <f>IFERROR(__xludf.DUMMYFUNCTION("IFERROR(ABS(P5-AVERAGE(FILTER(O5:P4073,AA5:AA4073=""Neighbor""))) / STDEV(FILTER(P5:P4073, AA5:AA4073 =""Neighbor"")), """")"),1.5583828292291286)</f>
        <v>1.558382829</v>
      </c>
      <c r="AE5" s="2">
        <f>IFERROR(__xludf.DUMMYFUNCTION("IFERROR(ABS(Q5-AVERAGE(FILTER(Q5:Q4073,AA5:AA4073=""Neighbor""))) / STDEV(FILTER(Q5:Q4073, AA5:AA4073 =""Neighbor"")), """")"),0.4850768564743218)</f>
        <v>0.4850768565</v>
      </c>
      <c r="AF5" s="2">
        <f>IFERROR(__xludf.DUMMYFUNCTION("IFERROR(ABS(R5-AVERAGE(FILTER(R5:R4073,AA5:AA4073=""Neighbor""))) / STDEV(FILTER(R5:R4073, AA5:AA4073 =""Neighbor"")), """")"),0.10306901697208608)</f>
        <v>0.103069017</v>
      </c>
    </row>
    <row r="6">
      <c r="A6" s="2" t="s">
        <v>28</v>
      </c>
      <c r="B6" s="2" t="s">
        <v>29</v>
      </c>
      <c r="C6" s="2" t="s">
        <v>30</v>
      </c>
      <c r="D6" s="2" t="s">
        <v>50</v>
      </c>
      <c r="E6" s="2" t="s">
        <v>51</v>
      </c>
      <c r="F6" s="2">
        <v>149.0</v>
      </c>
      <c r="G6" s="2">
        <v>750.0</v>
      </c>
      <c r="H6" s="2" t="b">
        <v>1</v>
      </c>
      <c r="I6" s="2">
        <v>-1.0</v>
      </c>
      <c r="J6" s="2" t="b">
        <v>0</v>
      </c>
      <c r="K6" s="2" t="b">
        <v>1</v>
      </c>
      <c r="L6" s="2" t="b">
        <v>0</v>
      </c>
      <c r="M6" s="2" t="b">
        <v>0</v>
      </c>
      <c r="N6" s="2" t="s">
        <v>33</v>
      </c>
      <c r="O6" s="2">
        <v>80.0</v>
      </c>
      <c r="P6" s="2">
        <v>1.0</v>
      </c>
      <c r="Q6" s="2">
        <v>54.0</v>
      </c>
      <c r="R6" s="2">
        <v>0.0</v>
      </c>
      <c r="S6" s="3" t="s">
        <v>52</v>
      </c>
      <c r="T6" s="2" t="s">
        <v>53</v>
      </c>
      <c r="Y6" s="4" t="str">
        <f>IFERROR(__xludf.DUMMYFUNCTION("""COMPUTED_VALUE"""),"7.1716687")</f>
        <v>7.1716687</v>
      </c>
      <c r="Z6" s="4" t="str">
        <f>IFERROR(__xludf.DUMMYFUNCTION("""COMPUTED_VALUE"""),"3.3395213")</f>
        <v>3.3395213</v>
      </c>
      <c r="AA6" s="4" t="str">
        <f t="shared" si="1"/>
        <v>Neighbor</v>
      </c>
      <c r="AC6" s="4">
        <f>IFERROR(__xludf.DUMMYFUNCTION("IFERROR(ABS(O6-AVERAGE(FILTER(O6:O4074,AA6:AA4074=""Neighbor""))) / STDEV(FILTER(O6:O4074, AA6:AA4074 =""Neighbor"")), """")"),0.32938520205468963)</f>
        <v>0.3293852021</v>
      </c>
      <c r="AD6" s="4">
        <f>IFERROR(__xludf.DUMMYFUNCTION("IFERROR(ABS(P6-AVERAGE(FILTER(O6:P4074,AA6:AA4074=""Neighbor""))) / STDEV(FILTER(P6:P4074, AA6:AA4074 =""Neighbor"")), """")"),1.5980778936388336)</f>
        <v>1.598077894</v>
      </c>
      <c r="AE6" s="2">
        <f>IFERROR(__xludf.DUMMYFUNCTION("IFERROR(ABS(Q6-AVERAGE(FILTER(Q6:Q4074,AA6:AA4074=""Neighbor""))) / STDEV(FILTER(Q6:Q4074, AA6:AA4074 =""Neighbor"")), """")"),1.3111814960126968)</f>
        <v>1.311181496</v>
      </c>
      <c r="AF6" s="2">
        <f>IFERROR(__xludf.DUMMYFUNCTION("IFERROR(ABS(R6-AVERAGE(FILTER(R6:R4074,AA6:AA4074=""Neighbor""))) / STDEV(FILTER(R6:R4074, AA6:AA4074 =""Neighbor"")), """")"),0.10309783577233023)</f>
        <v>0.1030978358</v>
      </c>
    </row>
    <row r="7">
      <c r="A7" s="2" t="s">
        <v>28</v>
      </c>
      <c r="B7" s="2" t="s">
        <v>29</v>
      </c>
      <c r="C7" s="2" t="s">
        <v>30</v>
      </c>
      <c r="D7" s="2" t="s">
        <v>54</v>
      </c>
      <c r="E7" s="2" t="s">
        <v>55</v>
      </c>
      <c r="F7" s="2">
        <v>163.0</v>
      </c>
      <c r="G7" s="2">
        <v>885.0</v>
      </c>
      <c r="H7" s="2" t="b">
        <v>1</v>
      </c>
      <c r="I7" s="2">
        <v>-1.0</v>
      </c>
      <c r="J7" s="2" t="b">
        <v>0</v>
      </c>
      <c r="K7" s="2" t="b">
        <v>0</v>
      </c>
      <c r="L7" s="2" t="b">
        <v>0</v>
      </c>
      <c r="M7" s="2" t="b">
        <v>0</v>
      </c>
      <c r="N7" s="2" t="s">
        <v>33</v>
      </c>
      <c r="O7" s="2">
        <v>0.0</v>
      </c>
      <c r="P7" s="2">
        <v>0.0</v>
      </c>
      <c r="Q7" s="2">
        <v>0.0</v>
      </c>
      <c r="R7" s="2">
        <v>0.0</v>
      </c>
      <c r="S7" s="3" t="s">
        <v>56</v>
      </c>
      <c r="T7" s="2" t="s">
        <v>57</v>
      </c>
      <c r="Y7" s="4" t="str">
        <f>IFERROR(__xludf.DUMMYFUNCTION("""COMPUTED_VALUE"""),"7.1716687")</f>
        <v>7.1716687</v>
      </c>
      <c r="Z7" s="4" t="str">
        <f>IFERROR(__xludf.DUMMYFUNCTION("""COMPUTED_VALUE"""),"3.3395213")</f>
        <v>3.3395213</v>
      </c>
      <c r="AA7" s="4" t="str">
        <f t="shared" si="1"/>
        <v>Neighbor</v>
      </c>
      <c r="AB7" s="2" t="s">
        <v>58</v>
      </c>
      <c r="AC7" s="4">
        <f>IFERROR(__xludf.DUMMYFUNCTION("IFERROR(ABS(O7-AVERAGE(FILTER(O7:O4075,AA7:AA4075=""Neighbor""))) / STDEV(FILTER(O7:O4075, AA7:AA4075 =""Neighbor"")), """")"),1.5693730726359443)</f>
        <v>1.569373073</v>
      </c>
      <c r="AD7" s="4">
        <f>IFERROR(__xludf.DUMMYFUNCTION("IFERROR(ABS(P7-AVERAGE(FILTER(O7:P4075,AA7:AA4075=""Neighbor""))) / STDEV(FILTER(P7:P4075, AA7:AA4075 =""Neighbor"")), """")"),1.6375483106710567)</f>
        <v>1.637548311</v>
      </c>
      <c r="AE7" s="2">
        <f>IFERROR(__xludf.DUMMYFUNCTION("IFERROR(ABS(Q7-AVERAGE(FILTER(Q7:Q4075,AA7:AA4075=""Neighbor""))) / STDEV(FILTER(Q7:Q4075, AA7:AA4075 =""Neighbor"")), """")"),1.0543246464012572)</f>
        <v>1.054324646</v>
      </c>
      <c r="AF7" s="2">
        <f>IFERROR(__xludf.DUMMYFUNCTION("IFERROR(ABS(R7-AVERAGE(FILTER(R7:R4075,AA7:AA4075=""Neighbor""))) / STDEV(FILTER(R7:R4075, AA7:AA4075 =""Neighbor"")), """")"),0.10312667876007664)</f>
        <v>0.1031266788</v>
      </c>
      <c r="AG7" s="2"/>
    </row>
    <row r="8">
      <c r="A8" s="2" t="s">
        <v>28</v>
      </c>
      <c r="B8" s="2" t="s">
        <v>29</v>
      </c>
      <c r="C8" s="2" t="s">
        <v>30</v>
      </c>
      <c r="D8" s="2" t="s">
        <v>59</v>
      </c>
      <c r="E8" s="2" t="s">
        <v>60</v>
      </c>
      <c r="F8" s="2">
        <v>71.0</v>
      </c>
      <c r="G8" s="2">
        <v>537.0</v>
      </c>
      <c r="H8" s="2" t="b">
        <v>1</v>
      </c>
      <c r="I8" s="2">
        <v>-1.0</v>
      </c>
      <c r="J8" s="2" t="b">
        <v>0</v>
      </c>
      <c r="K8" s="2" t="b">
        <v>1</v>
      </c>
      <c r="L8" s="2" t="b">
        <v>0</v>
      </c>
      <c r="M8" s="2" t="b">
        <v>0</v>
      </c>
      <c r="N8" s="2" t="s">
        <v>33</v>
      </c>
      <c r="O8" s="2">
        <v>53.0</v>
      </c>
      <c r="P8" s="2">
        <v>1.0</v>
      </c>
      <c r="Q8" s="2">
        <v>8.0</v>
      </c>
      <c r="R8" s="2">
        <v>0.0</v>
      </c>
      <c r="S8" s="3" t="s">
        <v>61</v>
      </c>
      <c r="T8" s="2" t="s">
        <v>62</v>
      </c>
      <c r="Y8" s="4" t="str">
        <f>IFERROR(__xludf.DUMMYFUNCTION("""COMPUTED_VALUE"""),"7.1729589")</f>
        <v>7.1729589</v>
      </c>
      <c r="Z8" s="4" t="str">
        <f>IFERROR(__xludf.DUMMYFUNCTION("""COMPUTED_VALUE"""),"3.3470778")</f>
        <v>3.3470778</v>
      </c>
      <c r="AA8" s="4" t="str">
        <f t="shared" si="1"/>
        <v>Neighbor</v>
      </c>
      <c r="AB8" s="4">
        <f>IFERROR(__xludf.DUMMYFUNCTION("AVERAGE(FILTER(P2:P4070, AA2:AA4070 =""Neighbor""))"),16.266298342541436)</f>
        <v>16.26629834</v>
      </c>
      <c r="AC8" s="4">
        <f>IFERROR(__xludf.DUMMYFUNCTION("IFERROR(ABS(O8-AVERAGE(FILTER(O8:O4076,AA8:AA4076=""Neighbor""))) / STDEV(FILTER(O8:O4076, AA8:AA4076 =""Neighbor"")), """")"),0.31237555895390373)</f>
        <v>0.312375559</v>
      </c>
      <c r="AD8" s="4">
        <f>IFERROR(__xludf.DUMMYFUNCTION("IFERROR(ABS(P8-AVERAGE(FILTER(O8:P4076,AA8:AA4076=""Neighbor""))) / STDEV(FILTER(P8:P4076, AA8:AA4076 =""Neighbor"")), """")"),1.5984652352398154)</f>
        <v>1.598465235</v>
      </c>
      <c r="AE8" s="2">
        <f>IFERROR(__xludf.DUMMYFUNCTION("IFERROR(ABS(Q8-AVERAGE(FILTER(Q8:Q4076,AA8:AA4076=""Neighbor""))) / STDEV(FILTER(Q8:Q4076, AA8:AA4076 =""Neighbor"")), """")"),0.704339226050455)</f>
        <v>0.7043392261</v>
      </c>
      <c r="AF8" s="2">
        <f>IFERROR(__xludf.DUMMYFUNCTION("IFERROR(ABS(R8-AVERAGE(FILTER(R8:R4076,AA8:AA4076=""Neighbor""))) / STDEV(FILTER(R8:R4076, AA8:AA4076 =""Neighbor"")), """")"),0.10315554596917872)</f>
        <v>0.103155546</v>
      </c>
    </row>
    <row r="9">
      <c r="A9" s="2" t="s">
        <v>28</v>
      </c>
      <c r="B9" s="2" t="s">
        <v>29</v>
      </c>
      <c r="C9" s="2" t="s">
        <v>30</v>
      </c>
      <c r="D9" s="2" t="s">
        <v>63</v>
      </c>
      <c r="E9" s="2" t="s">
        <v>64</v>
      </c>
      <c r="F9" s="2">
        <v>116.0</v>
      </c>
      <c r="G9" s="2">
        <v>500.0</v>
      </c>
      <c r="H9" s="2" t="b">
        <v>1</v>
      </c>
      <c r="I9" s="2">
        <v>-1.0</v>
      </c>
      <c r="J9" s="2" t="b">
        <v>0</v>
      </c>
      <c r="K9" s="2" t="b">
        <v>1</v>
      </c>
      <c r="L9" s="2" t="b">
        <v>0</v>
      </c>
      <c r="M9" s="2" t="b">
        <v>0</v>
      </c>
      <c r="N9" s="2" t="s">
        <v>33</v>
      </c>
      <c r="O9" s="2">
        <v>85.0</v>
      </c>
      <c r="P9" s="2">
        <v>4.0</v>
      </c>
      <c r="Q9" s="2">
        <v>17.0</v>
      </c>
      <c r="R9" s="2">
        <v>0.0</v>
      </c>
      <c r="S9" s="3" t="s">
        <v>65</v>
      </c>
      <c r="T9" s="2" t="s">
        <v>66</v>
      </c>
      <c r="Y9" s="4" t="str">
        <f>IFERROR(__xludf.DUMMYFUNCTION("""COMPUTED_VALUE"""),"7.1729589")</f>
        <v>7.1729589</v>
      </c>
      <c r="Z9" s="4" t="str">
        <f>IFERROR(__xludf.DUMMYFUNCTION("""COMPUTED_VALUE"""),"3.3470778")</f>
        <v>3.3470778</v>
      </c>
      <c r="AA9" s="4" t="str">
        <f t="shared" si="1"/>
        <v>Neighbor</v>
      </c>
      <c r="AB9" s="2" t="s">
        <v>67</v>
      </c>
      <c r="AC9" s="4">
        <f>IFERROR(__xludf.DUMMYFUNCTION("IFERROR(ABS(O9-AVERAGE(FILTER(O9:O4077,AA9:AA4077=""Neighbor""))) / STDEV(FILTER(O9:O4077, AA9:AA4077 =""Neighbor"")), """")"),0.44719159678880716)</f>
        <v>0.4471915968</v>
      </c>
      <c r="AD9" s="4">
        <f>IFERROR(__xludf.DUMMYFUNCTION("IFERROR(ABS(P9-AVERAGE(FILTER(O9:P4077,AA9:AA4077=""Neighbor""))) / STDEV(FILTER(P9:P4077, AA9:AA4077 =""Neighbor"")), """")"),1.4793384019806928)</f>
        <v>1.479338402</v>
      </c>
      <c r="AE9" s="2">
        <f>IFERROR(__xludf.DUMMYFUNCTION("IFERROR(ABS(Q9-AVERAGE(FILTER(Q9:Q4077,AA9:AA4077=""Neighbor""))) / STDEV(FILTER(Q9:Q4077, AA9:AA4077 =""Neighbor"")), """")"),0.3102584982304392)</f>
        <v>0.3102584982</v>
      </c>
      <c r="AF9" s="2">
        <f>IFERROR(__xludf.DUMMYFUNCTION("IFERROR(ABS(R9-AVERAGE(FILTER(R9:R4077,AA9:AA4077=""Neighbor""))) / STDEV(FILTER(R9:R4077, AA9:AA4077 =""Neighbor"")), """")"),0.10318443743355603)</f>
        <v>0.1031844374</v>
      </c>
      <c r="AG9" s="2"/>
    </row>
    <row r="10">
      <c r="A10" s="2" t="s">
        <v>28</v>
      </c>
      <c r="B10" s="2" t="s">
        <v>29</v>
      </c>
      <c r="C10" s="2" t="s">
        <v>30</v>
      </c>
      <c r="D10" s="2" t="s">
        <v>68</v>
      </c>
      <c r="E10" s="2" t="s">
        <v>69</v>
      </c>
      <c r="F10" s="2">
        <v>120.0</v>
      </c>
      <c r="G10" s="2">
        <v>646.0</v>
      </c>
      <c r="H10" s="2" t="b">
        <v>1</v>
      </c>
      <c r="I10" s="2">
        <v>-1.0</v>
      </c>
      <c r="J10" s="2" t="b">
        <v>0</v>
      </c>
      <c r="K10" s="2" t="b">
        <v>0</v>
      </c>
      <c r="L10" s="2" t="b">
        <v>0</v>
      </c>
      <c r="M10" s="2" t="b">
        <v>0</v>
      </c>
      <c r="N10" s="2" t="s">
        <v>33</v>
      </c>
      <c r="O10" s="2">
        <v>76.0</v>
      </c>
      <c r="P10" s="2">
        <v>12.0</v>
      </c>
      <c r="Q10" s="2">
        <v>15.0</v>
      </c>
      <c r="R10" s="2">
        <v>0.0</v>
      </c>
      <c r="S10" s="3" t="s">
        <v>70</v>
      </c>
      <c r="T10" s="2" t="s">
        <v>71</v>
      </c>
      <c r="Y10" s="4" t="str">
        <f>IFERROR(__xludf.DUMMYFUNCTION("""COMPUTED_VALUE"""),"7.1729589")</f>
        <v>7.1729589</v>
      </c>
      <c r="Z10" s="4" t="str">
        <f>IFERROR(__xludf.DUMMYFUNCTION("""COMPUTED_VALUE"""),"3.3470778")</f>
        <v>3.3470778</v>
      </c>
      <c r="AA10" s="4" t="str">
        <f t="shared" si="1"/>
        <v>Neighbor</v>
      </c>
      <c r="AB10" s="4">
        <f>IFERROR(__xludf.DUMMYFUNCTION("STDEV(FILTER(P2:P4070, AA2:AA4070 = ""Neighbor""))"),25.144948996419874)</f>
        <v>25.144949</v>
      </c>
      <c r="AC10" s="4">
        <f>IFERROR(__xludf.DUMMYFUNCTION("IFERROR(ABS(O10-AVERAGE(FILTER(O10:O4078,AA10:AA4078=""Neighbor""))) / STDEV(FILTER(O10:O4078, AA10:AA4078 =""Neighbor"")), """")"),0.23373287187152678)</f>
        <v>0.2337328719</v>
      </c>
      <c r="AD10" s="4">
        <f>IFERROR(__xludf.DUMMYFUNCTION("IFERROR(ABS(P10-AVERAGE(FILTER(O10:P4078,AA10:AA4078=""Neighbor""))) / STDEV(FILTER(P10:P4078, AA10:AA4078 =""Neighbor"")), """")"),1.1612580805075903)</f>
        <v>1.161258081</v>
      </c>
      <c r="AE10" s="2">
        <f>IFERROR(__xludf.DUMMYFUNCTION("IFERROR(ABS(Q10-AVERAGE(FILTER(Q10:Q4078,AA10:AA4078=""Neighbor""))) / STDEV(FILTER(Q10:Q4078, AA10:AA4078 =""Neighbor"")), """")"),0.3979692667953052)</f>
        <v>0.3979692668</v>
      </c>
      <c r="AF10" s="2">
        <f>IFERROR(__xludf.DUMMYFUNCTION("IFERROR(ABS(R10-AVERAGE(FILTER(R10:R4078,AA10:AA4078=""Neighbor""))) / STDEV(FILTER(R10:R4078, AA10:AA4078 =""Neighbor"")), """")"),0.10321335318719486)</f>
        <v>0.1032133532</v>
      </c>
    </row>
    <row r="11">
      <c r="A11" s="2" t="s">
        <v>28</v>
      </c>
      <c r="B11" s="2" t="s">
        <v>29</v>
      </c>
      <c r="C11" s="2" t="s">
        <v>30</v>
      </c>
      <c r="D11" s="2" t="s">
        <v>72</v>
      </c>
      <c r="E11" s="2" t="s">
        <v>73</v>
      </c>
      <c r="F11" s="2">
        <v>54.0</v>
      </c>
      <c r="G11" s="2">
        <v>379.0</v>
      </c>
      <c r="H11" s="2" t="b">
        <v>1</v>
      </c>
      <c r="I11" s="2">
        <v>-1.0</v>
      </c>
      <c r="J11" s="2" t="b">
        <v>1</v>
      </c>
      <c r="K11" s="2" t="b">
        <v>0</v>
      </c>
      <c r="L11" s="2" t="b">
        <v>0</v>
      </c>
      <c r="M11" s="2" t="b">
        <v>0</v>
      </c>
      <c r="N11" s="2" t="s">
        <v>33</v>
      </c>
      <c r="O11" s="2">
        <v>40.0</v>
      </c>
      <c r="P11" s="2">
        <v>3.0</v>
      </c>
      <c r="Q11" s="2">
        <v>7.0</v>
      </c>
      <c r="R11" s="2">
        <v>0.0</v>
      </c>
      <c r="S11" s="3" t="s">
        <v>74</v>
      </c>
      <c r="T11" s="2" t="s">
        <v>75</v>
      </c>
      <c r="Y11" s="4" t="str">
        <f>IFERROR(__xludf.DUMMYFUNCTION("""COMPUTED_VALUE"""),"7.1729589")</f>
        <v>7.1729589</v>
      </c>
      <c r="Z11" s="4" t="str">
        <f>IFERROR(__xludf.DUMMYFUNCTION("""COMPUTED_VALUE"""),"3.3470778")</f>
        <v>3.3470778</v>
      </c>
      <c r="AA11" s="4" t="str">
        <f t="shared" si="1"/>
        <v>Not Neighbor</v>
      </c>
      <c r="AC11" s="4">
        <f>IFERROR(__xludf.DUMMYFUNCTION("IFERROR(ABS(O11-AVERAGE(FILTER(O11:O4079,AA11:AA4079=""Neighbor""))) / STDEV(FILTER(O11:O4079, AA11:AA4079 =""Neighbor"")), """")"),0.6204046855721203)</f>
        <v>0.6204046856</v>
      </c>
      <c r="AD11" s="4">
        <f>IFERROR(__xludf.DUMMYFUNCTION("IFERROR(ABS(P11-AVERAGE(FILTER(O11:P4079,AA11:AA4079=""Neighbor""))) / STDEV(FILTER(P11:P4079, AA11:AA4079 =""Neighbor"")), """")"),1.5181965874196672)</f>
        <v>1.518196587</v>
      </c>
      <c r="AE11" s="2">
        <f>IFERROR(__xludf.DUMMYFUNCTION("IFERROR(ABS(Q11-AVERAGE(FILTER(Q11:Q4079,AA11:AA4079=""Neighbor""))) / STDEV(FILTER(Q11:Q4079, AA11:AA4079 =""Neighbor"")), """")"),0.7484810823349451)</f>
        <v>0.7484810823</v>
      </c>
      <c r="AF11" s="2">
        <f>IFERROR(__xludf.DUMMYFUNCTION("IFERROR(ABS(R11-AVERAGE(FILTER(R11:R4079,AA11:AA4079=""Neighbor""))) / STDEV(FILTER(R11:R4079, AA11:AA4079 =""Neighbor"")), """")"),0.10324229326414823)</f>
        <v>0.1032422933</v>
      </c>
    </row>
    <row r="12">
      <c r="A12" s="2" t="s">
        <v>28</v>
      </c>
      <c r="B12" s="2" t="s">
        <v>29</v>
      </c>
      <c r="C12" s="2" t="s">
        <v>30</v>
      </c>
      <c r="D12" s="2" t="s">
        <v>76</v>
      </c>
      <c r="E12" s="2" t="s">
        <v>77</v>
      </c>
      <c r="F12" s="2">
        <v>63.0</v>
      </c>
      <c r="G12" s="2">
        <v>260.0</v>
      </c>
      <c r="H12" s="2" t="b">
        <v>1</v>
      </c>
      <c r="I12" s="2">
        <v>-1.0</v>
      </c>
      <c r="J12" s="2" t="b">
        <v>0</v>
      </c>
      <c r="K12" s="2" t="b">
        <v>1</v>
      </c>
      <c r="L12" s="2" t="b">
        <v>0</v>
      </c>
      <c r="M12" s="2" t="b">
        <v>0</v>
      </c>
      <c r="N12" s="2" t="s">
        <v>33</v>
      </c>
      <c r="O12" s="2">
        <v>22.0</v>
      </c>
      <c r="P12" s="2">
        <v>7.0</v>
      </c>
      <c r="Q12" s="2">
        <v>3.0</v>
      </c>
      <c r="R12" s="2">
        <v>0.0</v>
      </c>
      <c r="S12" s="3" t="s">
        <v>78</v>
      </c>
      <c r="T12" s="2" t="s">
        <v>79</v>
      </c>
      <c r="Y12" s="4" t="str">
        <f>IFERROR(__xludf.DUMMYFUNCTION("""COMPUTED_VALUE"""),"7.1301138")</f>
        <v>7.1301138</v>
      </c>
      <c r="Z12" s="4" t="str">
        <f>IFERROR(__xludf.DUMMYFUNCTION("""COMPUTED_VALUE"""),"3.2029187")</f>
        <v>3.2029187</v>
      </c>
      <c r="AA12" s="4" t="str">
        <f t="shared" si="1"/>
        <v>Not Neighbor</v>
      </c>
      <c r="AB12" s="2" t="s">
        <v>80</v>
      </c>
      <c r="AC12" s="4">
        <f>IFERROR(__xludf.DUMMYFUNCTION("IFERROR(ABS(O12-AVERAGE(FILTER(O12:O4080,AA12:AA4080=""Neighbor""))) / STDEV(FILTER(O12:O4080, AA12:AA4080 =""Neighbor"")), """")"),1.0475076606597606)</f>
        <v>1.047507661</v>
      </c>
      <c r="AD12" s="4">
        <f>IFERROR(__xludf.DUMMYFUNCTION("IFERROR(ABS(P12-AVERAGE(FILTER(O12:P4080,AA12:AA4080=""Neighbor""))) / STDEV(FILTER(P12:P4080, AA12:AA4080 =""Neighbor"")), """")"),1.359391165460188)</f>
        <v>1.359391165</v>
      </c>
      <c r="AE12" s="2">
        <f>IFERROR(__xludf.DUMMYFUNCTION("IFERROR(ABS(Q12-AVERAGE(FILTER(Q12:Q4080,AA12:AA4080=""Neighbor""))) / STDEV(FILTER(Q12:Q4080, AA12:AA4080 =""Neighbor"")), """")"),0.9236730284373866)</f>
        <v>0.9236730284</v>
      </c>
      <c r="AF12" s="2">
        <f>IFERROR(__xludf.DUMMYFUNCTION("IFERROR(ABS(R12-AVERAGE(FILTER(R12:R4080,AA12:AA4080=""Neighbor""))) / STDEV(FILTER(R12:R4080, AA12:AA4080 =""Neighbor"")), """")"),0.10324229326414823)</f>
        <v>0.1032422933</v>
      </c>
      <c r="AG12" s="2"/>
    </row>
    <row r="13">
      <c r="A13" s="2" t="s">
        <v>28</v>
      </c>
      <c r="B13" s="2" t="s">
        <v>29</v>
      </c>
      <c r="C13" s="2" t="s">
        <v>81</v>
      </c>
      <c r="D13" s="2" t="s">
        <v>82</v>
      </c>
      <c r="E13" s="2" t="s">
        <v>83</v>
      </c>
      <c r="F13" s="2">
        <v>189.0</v>
      </c>
      <c r="G13" s="2">
        <v>950.0</v>
      </c>
      <c r="H13" s="2" t="b">
        <v>1</v>
      </c>
      <c r="I13" s="2">
        <v>-1.0</v>
      </c>
      <c r="J13" s="2" t="b">
        <v>1</v>
      </c>
      <c r="K13" s="2" t="b">
        <v>0</v>
      </c>
      <c r="L13" s="2" t="b">
        <v>0</v>
      </c>
      <c r="M13" s="2" t="b">
        <v>0</v>
      </c>
      <c r="N13" s="2" t="s">
        <v>33</v>
      </c>
      <c r="O13" s="2">
        <v>0.0</v>
      </c>
      <c r="P13" s="2">
        <v>0.0</v>
      </c>
      <c r="Q13" s="2">
        <v>0.0</v>
      </c>
      <c r="R13" s="2">
        <v>0.0</v>
      </c>
      <c r="S13" s="3" t="s">
        <v>84</v>
      </c>
      <c r="T13" s="2" t="s">
        <v>85</v>
      </c>
      <c r="Y13" s="4" t="str">
        <f>IFERROR(__xludf.DUMMYFUNCTION("""COMPUTED_VALUE"""),"7.1676253")</f>
        <v>7.1676253</v>
      </c>
      <c r="Z13" s="4" t="str">
        <f>IFERROR(__xludf.DUMMYFUNCTION("""COMPUTED_VALUE"""),"3.3407807")</f>
        <v>3.3407807</v>
      </c>
      <c r="AA13" s="4" t="str">
        <f t="shared" si="1"/>
        <v>Neighbor</v>
      </c>
      <c r="AB13" s="4">
        <f>IFERROR(__xludf.DUMMYFUNCTION("AVERAGE(FILTER(Q2:Q4070, AA2:AA4070 =""Neighbor""))"),24.04806629834254)</f>
        <v>24.0480663</v>
      </c>
      <c r="AC13" s="4">
        <f>IFERROR(__xludf.DUMMYFUNCTION("IFERROR(ABS(O13-AVERAGE(FILTER(O13:O4081,AA13:AA4081=""Neighbor""))) / STDEV(FILTER(O13:O4081, AA13:AA4081 =""Neighbor"")), """")"),1.569522407989099)</f>
        <v>1.569522408</v>
      </c>
      <c r="AD13" s="4">
        <f>IFERROR(__xludf.DUMMYFUNCTION("IFERROR(ABS(P13-AVERAGE(FILTER(O13:P4081,AA13:AA4081=""Neighbor""))) / STDEV(FILTER(P13:P4081, AA13:AA4081 =""Neighbor"")), """")"),1.6373006538892765)</f>
        <v>1.637300654</v>
      </c>
      <c r="AE13" s="2">
        <f>IFERROR(__xludf.DUMMYFUNCTION("IFERROR(ABS(Q13-AVERAGE(FILTER(Q13:Q4081,AA13:AA4081=""Neighbor""))) / STDEV(FILTER(Q13:Q4081, AA13:AA4081 =""Neighbor"")), """")"),1.0550669880142176)</f>
        <v>1.055066988</v>
      </c>
      <c r="AF13" s="2">
        <f>IFERROR(__xludf.DUMMYFUNCTION("IFERROR(ABS(R13-AVERAGE(FILTER(R13:R4081,AA13:AA4081=""Neighbor""))) / STDEV(FILTER(R13:R4081, AA13:AA4081 =""Neighbor"")), """")"),0.10324229326414823)</f>
        <v>0.1032422933</v>
      </c>
    </row>
    <row r="14">
      <c r="A14" s="2" t="s">
        <v>28</v>
      </c>
      <c r="B14" s="2" t="s">
        <v>29</v>
      </c>
      <c r="C14" s="2" t="s">
        <v>81</v>
      </c>
      <c r="D14" s="2" t="s">
        <v>86</v>
      </c>
      <c r="E14" s="2" t="s">
        <v>87</v>
      </c>
      <c r="F14" s="2">
        <v>150.0</v>
      </c>
      <c r="G14" s="2">
        <v>750.0</v>
      </c>
      <c r="H14" s="2" t="b">
        <v>1</v>
      </c>
      <c r="I14" s="2">
        <v>-1.0</v>
      </c>
      <c r="J14" s="2" t="b">
        <v>0</v>
      </c>
      <c r="K14" s="2" t="b">
        <v>0</v>
      </c>
      <c r="L14" s="2" t="b">
        <v>0</v>
      </c>
      <c r="M14" s="2" t="b">
        <v>0</v>
      </c>
      <c r="N14" s="2" t="s">
        <v>33</v>
      </c>
      <c r="O14" s="2">
        <v>104.0</v>
      </c>
      <c r="P14" s="2">
        <v>5.0</v>
      </c>
      <c r="Q14" s="2">
        <v>14.0</v>
      </c>
      <c r="R14" s="2">
        <v>0.0</v>
      </c>
      <c r="S14" s="3" t="s">
        <v>88</v>
      </c>
      <c r="T14" s="2" t="s">
        <v>89</v>
      </c>
      <c r="Y14" s="4" t="str">
        <f>IFERROR(__xludf.DUMMYFUNCTION("""COMPUTED_VALUE"""),"7.1676253")</f>
        <v>7.1676253</v>
      </c>
      <c r="Z14" s="4" t="str">
        <f>IFERROR(__xludf.DUMMYFUNCTION("""COMPUTED_VALUE"""),"3.3407807")</f>
        <v>3.3407807</v>
      </c>
      <c r="AA14" s="4" t="str">
        <f t="shared" si="1"/>
        <v>Not Neighbor</v>
      </c>
      <c r="AB14" s="2" t="s">
        <v>90</v>
      </c>
      <c r="AC14" s="4">
        <f>IFERROR(__xludf.DUMMYFUNCTION("IFERROR(ABS(O14-AVERAGE(FILTER(O14:O4082,AA14:AA4082=""Neighbor""))) / STDEV(FILTER(O14:O4082, AA14:AA4082 =""Neighbor"")), """")"),0.8976772380486446)</f>
        <v>0.897677238</v>
      </c>
      <c r="AD14" s="4">
        <f>IFERROR(__xludf.DUMMYFUNCTION("IFERROR(ABS(P14-AVERAGE(FILTER(O14:P4082,AA14:AA4082=""Neighbor""))) / STDEV(FILTER(P14:P4082, AA14:AA4082 =""Neighbor"")), """")"),1.4394717731267)</f>
        <v>1.439471773</v>
      </c>
      <c r="AE14" s="2">
        <f>IFERROR(__xludf.DUMMYFUNCTION("IFERROR(ABS(Q14-AVERAGE(FILTER(Q14:Q4082,AA14:AA4082=""Neighbor""))) / STDEV(FILTER(Q14:Q4082, AA14:AA4082 =""Neighbor"")), """")"),0.4424953188751849)</f>
        <v>0.4424953189</v>
      </c>
      <c r="AF14" s="2">
        <f>IFERROR(__xludf.DUMMYFUNCTION("IFERROR(ABS(R14-AVERAGE(FILTER(R14:R4082,AA14:AA4082=""Neighbor""))) / STDEV(FILTER(R14:R4082, AA14:AA4082 =""Neighbor"")), """")"),0.10327125769853575)</f>
        <v>0.1032712577</v>
      </c>
      <c r="AG14" s="2"/>
    </row>
    <row r="15">
      <c r="A15" s="2" t="s">
        <v>28</v>
      </c>
      <c r="B15" s="2" t="s">
        <v>29</v>
      </c>
      <c r="C15" s="2" t="s">
        <v>81</v>
      </c>
      <c r="D15" s="2" t="s">
        <v>91</v>
      </c>
      <c r="E15" s="2" t="s">
        <v>92</v>
      </c>
      <c r="F15" s="2">
        <v>99.0</v>
      </c>
      <c r="G15" s="2">
        <v>435.0</v>
      </c>
      <c r="H15" s="2" t="b">
        <v>1</v>
      </c>
      <c r="I15" s="2">
        <v>-1.0</v>
      </c>
      <c r="J15" s="2" t="b">
        <v>0</v>
      </c>
      <c r="K15" s="2" t="b">
        <v>0</v>
      </c>
      <c r="L15" s="2" t="b">
        <v>0</v>
      </c>
      <c r="M15" s="2" t="b">
        <v>0</v>
      </c>
      <c r="N15" s="2" t="s">
        <v>33</v>
      </c>
      <c r="O15" s="2">
        <v>60.0</v>
      </c>
      <c r="P15" s="2">
        <v>2.0</v>
      </c>
      <c r="Q15" s="2">
        <v>22.0</v>
      </c>
      <c r="R15" s="2">
        <v>1.0</v>
      </c>
      <c r="S15" s="3" t="s">
        <v>93</v>
      </c>
      <c r="T15" s="2" t="s">
        <v>94</v>
      </c>
      <c r="Y15" s="4" t="str">
        <f>IFERROR(__xludf.DUMMYFUNCTION("""COMPUTED_VALUE"""),"7.1851548")</f>
        <v>7.1851548</v>
      </c>
      <c r="Z15" s="4" t="str">
        <f>IFERROR(__xludf.DUMMYFUNCTION("""COMPUTED_VALUE"""),"3.3344843")</f>
        <v>3.3344843</v>
      </c>
      <c r="AA15" s="4" t="str">
        <f t="shared" si="1"/>
        <v>Neighbor</v>
      </c>
      <c r="AB15" s="4">
        <f>IFERROR(__xludf.DUMMYFUNCTION("STDEV(FILTER(Q2:Q4070, AA2:AA4070 = ""Neighbor""))"),22.81008692130919)</f>
        <v>22.81008692</v>
      </c>
      <c r="AC15" s="4">
        <f>IFERROR(__xludf.DUMMYFUNCTION("IFERROR(ABS(O15-AVERAGE(FILTER(O15:O4083,AA15:AA4083=""Neighbor""))) / STDEV(FILTER(O15:O4083, AA15:AA4083 =""Neighbor"")), """")"),0.1467775475169887)</f>
        <v>0.1467775475</v>
      </c>
      <c r="AD15" s="4">
        <f>IFERROR(__xludf.DUMMYFUNCTION("IFERROR(ABS(P15-AVERAGE(FILTER(O15:P4083,AA15:AA4083=""Neighbor""))) / STDEV(FILTER(P15:P4083, AA15:AA4083 =""Neighbor"")), """")"),1.5585566702508868)</f>
        <v>1.55855667</v>
      </c>
      <c r="AE15" s="2">
        <f>IFERROR(__xludf.DUMMYFUNCTION("IFERROR(ABS(Q15-AVERAGE(FILTER(Q15:Q4083,AA15:AA4083=""Neighbor""))) / STDEV(FILTER(Q15:Q4083, AA15:AA4083 =""Neighbor"")), """")"),0.09210034544638851)</f>
        <v>0.09210034545</v>
      </c>
      <c r="AF15" s="2">
        <f>IFERROR(__xludf.DUMMYFUNCTION("IFERROR(ABS(R15-AVERAGE(FILTER(R15:R4083,AA15:AA4083=""Neighbor""))) / STDEV(FILTER(R15:R4083, AA15:AA4083 =""Neighbor"")), """")"),0.1003303456501656)</f>
        <v>0.1003303457</v>
      </c>
    </row>
    <row r="16">
      <c r="A16" s="2" t="s">
        <v>28</v>
      </c>
      <c r="B16" s="2" t="s">
        <v>29</v>
      </c>
      <c r="C16" s="2" t="s">
        <v>81</v>
      </c>
      <c r="D16" s="2" t="s">
        <v>95</v>
      </c>
      <c r="E16" s="2" t="s">
        <v>96</v>
      </c>
      <c r="F16" s="2">
        <v>193.0</v>
      </c>
      <c r="G16" s="2">
        <v>820.0</v>
      </c>
      <c r="H16" s="2" t="b">
        <v>1</v>
      </c>
      <c r="I16" s="2">
        <v>-1.0</v>
      </c>
      <c r="J16" s="2" t="b">
        <v>0</v>
      </c>
      <c r="K16" s="2" t="b">
        <v>0</v>
      </c>
      <c r="L16" s="2" t="b">
        <v>0</v>
      </c>
      <c r="M16" s="2" t="b">
        <v>0</v>
      </c>
      <c r="N16" s="2" t="s">
        <v>33</v>
      </c>
      <c r="O16" s="2">
        <v>113.0</v>
      </c>
      <c r="P16" s="2">
        <v>6.0</v>
      </c>
      <c r="Q16" s="2">
        <v>47.0</v>
      </c>
      <c r="R16" s="2">
        <v>0.0</v>
      </c>
      <c r="S16" s="3" t="s">
        <v>97</v>
      </c>
      <c r="T16" s="2" t="s">
        <v>98</v>
      </c>
      <c r="Y16" s="4" t="str">
        <f>IFERROR(__xludf.DUMMYFUNCTION("""COMPUTED_VALUE"""),"7.1851548")</f>
        <v>7.1851548</v>
      </c>
      <c r="Z16" s="4" t="str">
        <f>IFERROR(__xludf.DUMMYFUNCTION("""COMPUTED_VALUE"""),"3.3344843")</f>
        <v>3.3344843</v>
      </c>
      <c r="AA16" s="4" t="str">
        <f t="shared" si="1"/>
        <v>Not Neighbor</v>
      </c>
      <c r="AC16" s="4">
        <f>IFERROR(__xludf.DUMMYFUNCTION("IFERROR(ABS(O16-AVERAGE(FILTER(O16:O4084,AA16:AA4084=""Neighbor""))) / STDEV(FILTER(O16:O4084, AA16:AA4084 =""Neighbor"")), """")"),1.1109318934600243)</f>
        <v>1.110931893</v>
      </c>
      <c r="AD16" s="4">
        <f>IFERROR(__xludf.DUMMYFUNCTION("IFERROR(ABS(P16-AVERAGE(FILTER(O16:P4084,AA16:AA4084=""Neighbor""))) / STDEV(FILTER(P16:P4084, AA16:AA4084 =""Neighbor"")), """")"),1.399740296051314)</f>
        <v>1.399740296</v>
      </c>
      <c r="AE16" s="2">
        <f>IFERROR(__xludf.DUMMYFUNCTION("IFERROR(ABS(Q16-AVERAGE(FILTER(Q16:Q4084,AA16:AA4084=""Neighbor""))) / STDEV(FILTER(Q16:Q4084, AA16:AA4084 =""Neighbor"")), """")"),1.00255635787337)</f>
        <v>1.002556358</v>
      </c>
      <c r="AF16" s="2">
        <f>IFERROR(__xludf.DUMMYFUNCTION("IFERROR(ABS(R16-AVERAGE(FILTER(R16:R4084,AA16:AA4084=""Neighbor""))) / STDEV(FILTER(R16:R4084, AA16:AA4084 =""Neighbor"")), """")"),0.10318708558960088)</f>
        <v>0.1031870856</v>
      </c>
    </row>
    <row r="17">
      <c r="A17" s="2" t="s">
        <v>28</v>
      </c>
      <c r="B17" s="2" t="s">
        <v>29</v>
      </c>
      <c r="C17" s="2" t="s">
        <v>99</v>
      </c>
      <c r="D17" s="2" t="s">
        <v>100</v>
      </c>
      <c r="E17" s="2" t="s">
        <v>101</v>
      </c>
      <c r="F17" s="2">
        <v>131.0</v>
      </c>
      <c r="G17" s="2">
        <v>715.0</v>
      </c>
      <c r="H17" s="2" t="b">
        <v>1</v>
      </c>
      <c r="I17" s="2">
        <v>-1.0</v>
      </c>
      <c r="J17" s="2" t="b">
        <v>0</v>
      </c>
      <c r="K17" s="2" t="b">
        <v>0</v>
      </c>
      <c r="L17" s="2" t="b">
        <v>0</v>
      </c>
      <c r="M17" s="2" t="b">
        <v>0</v>
      </c>
      <c r="N17" s="2" t="s">
        <v>33</v>
      </c>
      <c r="O17" s="2">
        <v>15.0</v>
      </c>
      <c r="P17" s="2">
        <v>66.0</v>
      </c>
      <c r="Q17" s="2">
        <v>3.0</v>
      </c>
      <c r="R17" s="2">
        <v>0.0</v>
      </c>
      <c r="S17" s="3" t="s">
        <v>102</v>
      </c>
      <c r="T17" s="2" t="s">
        <v>103</v>
      </c>
      <c r="Y17" s="4" t="str">
        <f>IFERROR(__xludf.DUMMYFUNCTION("""COMPUTED_VALUE"""),"7.1562333")</f>
        <v>7.1562333</v>
      </c>
      <c r="Z17" s="4" t="str">
        <f>IFERROR(__xludf.DUMMYFUNCTION("""COMPUTED_VALUE"""),"3.3466901")</f>
        <v>3.3466901</v>
      </c>
      <c r="AA17" s="4" t="str">
        <f t="shared" si="1"/>
        <v>Neighbor</v>
      </c>
      <c r="AB17" s="2" t="s">
        <v>104</v>
      </c>
      <c r="AC17" s="4">
        <f>IFERROR(__xludf.DUMMYFUNCTION("IFERROR(ABS(O17-AVERAGE(FILTER(O17:O4085,AA17:AA4085=""Neighbor""))) / STDEV(FILTER(O17:O4085, AA17:AA4085 =""Neighbor"")), """")"),1.2147210588036421)</f>
        <v>1.214721059</v>
      </c>
      <c r="AD17" s="4">
        <f>IFERROR(__xludf.DUMMYFUNCTION("IFERROR(ABS(P17-AVERAGE(FILTER(O17:P4085,AA17:AA4085=""Neighbor""))) / STDEV(FILTER(P17:P4085, AA17:AA4085 =""Neighbor"")), """")"),0.9815102761528001)</f>
        <v>0.9815102762</v>
      </c>
      <c r="AE17" s="2">
        <f>IFERROR(__xludf.DUMMYFUNCTION("IFERROR(ABS(Q17-AVERAGE(FILTER(Q17:Q4085,AA17:AA4085=""Neighbor""))) / STDEV(FILTER(Q17:Q4085, AA17:AA4085 =""Neighbor"")), """")"),0.9240848429963673)</f>
        <v>0.924084843</v>
      </c>
      <c r="AF17" s="2">
        <f>IFERROR(__xludf.DUMMYFUNCTION("IFERROR(ABS(R17-AVERAGE(FILTER(R17:R4085,AA17:AA4085=""Neighbor""))) / STDEV(FILTER(R17:R4085, AA17:AA4085 =""Neighbor"")), """")"),0.10318708558960088)</f>
        <v>0.1031870856</v>
      </c>
      <c r="AG17" s="2"/>
    </row>
    <row r="18">
      <c r="A18" s="2" t="s">
        <v>28</v>
      </c>
      <c r="B18" s="2" t="s">
        <v>29</v>
      </c>
      <c r="C18" s="2" t="s">
        <v>99</v>
      </c>
      <c r="D18" s="2" t="s">
        <v>105</v>
      </c>
      <c r="E18" s="2" t="s">
        <v>106</v>
      </c>
      <c r="F18" s="2">
        <v>120.0</v>
      </c>
      <c r="G18" s="2">
        <v>579.0</v>
      </c>
      <c r="H18" s="2" t="b">
        <v>1</v>
      </c>
      <c r="I18" s="2">
        <v>-1.0</v>
      </c>
      <c r="J18" s="2" t="b">
        <v>0</v>
      </c>
      <c r="K18" s="2" t="b">
        <v>1</v>
      </c>
      <c r="L18" s="2" t="b">
        <v>0</v>
      </c>
      <c r="M18" s="2" t="b">
        <v>0</v>
      </c>
      <c r="N18" s="2" t="s">
        <v>33</v>
      </c>
      <c r="O18" s="2">
        <v>64.0</v>
      </c>
      <c r="P18" s="2">
        <v>1.0</v>
      </c>
      <c r="Q18" s="2">
        <v>49.0</v>
      </c>
      <c r="R18" s="2">
        <v>0.0</v>
      </c>
      <c r="S18" s="3" t="s">
        <v>107</v>
      </c>
      <c r="T18" s="2" t="s">
        <v>108</v>
      </c>
      <c r="Y18" s="4" t="str">
        <f>IFERROR(__xludf.DUMMYFUNCTION("""COMPUTED_VALUE"""),"7.1562333")</f>
        <v>7.1562333</v>
      </c>
      <c r="Z18" s="4" t="str">
        <f>IFERROR(__xludf.DUMMYFUNCTION("""COMPUTED_VALUE"""),"3.3466901")</f>
        <v>3.3466901</v>
      </c>
      <c r="AA18" s="4" t="str">
        <f t="shared" si="1"/>
        <v>Neighbor</v>
      </c>
      <c r="AB18" s="4">
        <f>IFERROR(__xludf.DUMMYFUNCTION("AVERAGE(FILTER(R2:R4070, AA2:AA4070 =""Neighbor""))"),0.5044198895027624)</f>
        <v>0.5044198895</v>
      </c>
      <c r="AC18" s="4">
        <f>IFERROR(__xludf.DUMMYFUNCTION("IFERROR(ABS(O18-AVERAGE(FILTER(O18:O4086,AA18:AA4086=""Neighbor""))) / STDEV(FILTER(O18:O4086, AA18:AA4086 =""Neighbor"")), """")"),0.052577147683583396)</f>
        <v>0.05257714768</v>
      </c>
      <c r="AD18" s="4">
        <f>IFERROR(__xludf.DUMMYFUNCTION("IFERROR(ABS(P18-AVERAGE(FILTER(O18:P4086,AA18:AA4086=""Neighbor""))) / STDEV(FILTER(P18:P4086, AA18:AA4086 =""Neighbor"")), """")"),1.5994791749296717)</f>
        <v>1.599479175</v>
      </c>
      <c r="AE18" s="2">
        <f>IFERROR(__xludf.DUMMYFUNCTION("IFERROR(ABS(Q18-AVERAGE(FILTER(Q18:Q4086,AA18:AA4086=""Neighbor""))) / STDEV(FILTER(Q18:Q4086, AA18:AA4086 =""Neighbor"")), """")"),1.089572868888073)</f>
        <v>1.089572869</v>
      </c>
      <c r="AF18" s="2">
        <f>IFERROR(__xludf.DUMMYFUNCTION("IFERROR(ABS(R18-AVERAGE(FILTER(R18:R4086,AA18:AA4086=""Neighbor""))) / STDEV(FILTER(R18:R4086, AA18:AA4086 =""Neighbor"")), """")"),0.10321606638766649)</f>
        <v>0.1032160664</v>
      </c>
    </row>
    <row r="19">
      <c r="A19" s="2" t="s">
        <v>28</v>
      </c>
      <c r="B19" s="2" t="s">
        <v>29</v>
      </c>
      <c r="C19" s="2" t="s">
        <v>99</v>
      </c>
      <c r="D19" s="2" t="s">
        <v>109</v>
      </c>
      <c r="E19" s="2" t="s">
        <v>110</v>
      </c>
      <c r="F19" s="2">
        <v>101.0</v>
      </c>
      <c r="G19" s="2">
        <v>591.0</v>
      </c>
      <c r="H19" s="2" t="b">
        <v>1</v>
      </c>
      <c r="I19" s="2">
        <v>-1.0</v>
      </c>
      <c r="J19" s="2" t="b">
        <v>0</v>
      </c>
      <c r="K19" s="2" t="b">
        <v>0</v>
      </c>
      <c r="L19" s="2" t="b">
        <v>0</v>
      </c>
      <c r="M19" s="2" t="b">
        <v>0</v>
      </c>
      <c r="N19" s="2" t="s">
        <v>33</v>
      </c>
      <c r="O19" s="2">
        <v>53.0</v>
      </c>
      <c r="P19" s="2">
        <v>1.0</v>
      </c>
      <c r="Q19" s="2">
        <v>41.0</v>
      </c>
      <c r="R19" s="2">
        <v>0.0</v>
      </c>
      <c r="S19" s="3" t="s">
        <v>111</v>
      </c>
      <c r="T19" s="2" t="s">
        <v>112</v>
      </c>
      <c r="Y19" s="4" t="str">
        <f>IFERROR(__xludf.DUMMYFUNCTION("""COMPUTED_VALUE"""),"7.1562333")</f>
        <v>7.1562333</v>
      </c>
      <c r="Z19" s="4" t="str">
        <f>IFERROR(__xludf.DUMMYFUNCTION("""COMPUTED_VALUE"""),"3.3466901")</f>
        <v>3.3466901</v>
      </c>
      <c r="AA19" s="4" t="str">
        <f t="shared" si="1"/>
        <v>Neighbor</v>
      </c>
      <c r="AB19" s="2" t="s">
        <v>113</v>
      </c>
      <c r="AC19" s="4">
        <f>IFERROR(__xludf.DUMMYFUNCTION("IFERROR(ABS(O19-AVERAGE(FILTER(O19:O4087,AA19:AA4087=""Neighbor""))) / STDEV(FILTER(O19:O4087, AA19:AA4087 =""Neighbor"")), """")"),0.31359664052646635)</f>
        <v>0.3135966405</v>
      </c>
      <c r="AD19" s="4">
        <f>IFERROR(__xludf.DUMMYFUNCTION("IFERROR(ABS(P19-AVERAGE(FILTER(O19:P4087,AA19:AA4087=""Neighbor""))) / STDEV(FILTER(P19:P4087, AA19:AA4087 =""Neighbor"")), """")"),1.5993928085901883)</f>
        <v>1.599392809</v>
      </c>
      <c r="AE19" s="2">
        <f>IFERROR(__xludf.DUMMYFUNCTION("IFERROR(ABS(Q19-AVERAGE(FILTER(Q19:Q4087,AA19:AA4087=""Neighbor""))) / STDEV(FILTER(Q19:Q4087, AA19:AA4087 =""Neighbor"")), """")"),0.7399336801659007)</f>
        <v>0.7399336802</v>
      </c>
      <c r="AF19" s="2">
        <f>IFERROR(__xludf.DUMMYFUNCTION("IFERROR(ABS(R19-AVERAGE(FILTER(R19:R4087,AA19:AA4087=""Neighbor""))) / STDEV(FILTER(R19:R4087, AA19:AA4087 =""Neighbor"")), """")"),0.10324507161800138)</f>
        <v>0.1032450716</v>
      </c>
      <c r="AG19" s="2"/>
    </row>
    <row r="20">
      <c r="A20" s="2" t="s">
        <v>28</v>
      </c>
      <c r="B20" s="2" t="s">
        <v>29</v>
      </c>
      <c r="C20" s="2" t="s">
        <v>99</v>
      </c>
      <c r="D20" s="2" t="s">
        <v>114</v>
      </c>
      <c r="E20" s="2" t="s">
        <v>115</v>
      </c>
      <c r="F20" s="2">
        <v>147.0</v>
      </c>
      <c r="G20" s="2">
        <v>886.0</v>
      </c>
      <c r="H20" s="2" t="b">
        <v>1</v>
      </c>
      <c r="I20" s="2">
        <v>-1.0</v>
      </c>
      <c r="J20" s="2" t="b">
        <v>0</v>
      </c>
      <c r="K20" s="2" t="b">
        <v>1</v>
      </c>
      <c r="L20" s="2" t="b">
        <v>0</v>
      </c>
      <c r="M20" s="2" t="b">
        <v>0</v>
      </c>
      <c r="N20" s="2" t="s">
        <v>33</v>
      </c>
      <c r="O20" s="2">
        <v>69.0</v>
      </c>
      <c r="P20" s="2">
        <v>8.0</v>
      </c>
      <c r="Q20" s="2">
        <v>59.0</v>
      </c>
      <c r="R20" s="2">
        <v>0.0</v>
      </c>
      <c r="S20" s="3" t="s">
        <v>116</v>
      </c>
      <c r="T20" s="2" t="s">
        <v>117</v>
      </c>
      <c r="Y20" s="4" t="str">
        <f>IFERROR(__xludf.DUMMYFUNCTION("""COMPUTED_VALUE"""),"7.1562333")</f>
        <v>7.1562333</v>
      </c>
      <c r="Z20" s="4" t="str">
        <f>IFERROR(__xludf.DUMMYFUNCTION("""COMPUTED_VALUE"""),"3.3466901")</f>
        <v>3.3466901</v>
      </c>
      <c r="AA20" s="4" t="str">
        <f t="shared" si="1"/>
        <v>Not Neighbor</v>
      </c>
      <c r="AB20" s="4">
        <f>IFERROR(__xludf.DUMMYFUNCTION("STDEV(FILTER(R2:R4070, AA2:AA4070 = ""Neighbor""))"),4.898102916846018)</f>
        <v>4.898102917</v>
      </c>
      <c r="AC20" s="4">
        <f>IFERROR(__xludf.DUMMYFUNCTION("IFERROR(ABS(O20-AVERAGE(FILTER(O20:O4088,AA20:AA4088=""Neighbor""))) / STDEV(FILTER(O20:O4088, AA20:AA4088 =""Neighbor"")), """")"),0.06585560805700236)</f>
        <v>0.06585560806</v>
      </c>
      <c r="AD20" s="4">
        <f>IFERROR(__xludf.DUMMYFUNCTION("IFERROR(ABS(P20-AVERAGE(FILTER(O20:P4088,AA20:AA4088=""Neighbor""))) / STDEV(FILTER(P20:P4088, AA20:AA4088 =""Neighbor"")), """")"),1.3214897749997714)</f>
        <v>1.321489775</v>
      </c>
      <c r="AE20" s="2">
        <f>IFERROR(__xludf.DUMMYFUNCTION("IFERROR(ABS(Q20-AVERAGE(FILTER(Q20:Q4088,AA20:AA4088=""Neighbor""))) / STDEV(FILTER(Q20:Q4088, AA20:AA4088 =""Neighbor"")), """")"),1.5283338640151136)</f>
        <v>1.528333864</v>
      </c>
      <c r="AF20" s="2">
        <f>IFERROR(__xludf.DUMMYFUNCTION("IFERROR(ABS(R20-AVERAGE(FILTER(R20:R4088,AA20:AA4088=""Neighbor""))) / STDEV(FILTER(R20:R4088, AA20:AA4088 =""Neighbor"")), """")"),0.10327410131495458)</f>
        <v>0.1032741013</v>
      </c>
    </row>
    <row r="21">
      <c r="A21" s="2" t="s">
        <v>28</v>
      </c>
      <c r="B21" s="2" t="s">
        <v>29</v>
      </c>
      <c r="C21" s="2" t="s">
        <v>99</v>
      </c>
      <c r="D21" s="2" t="s">
        <v>118</v>
      </c>
      <c r="E21" s="2" t="s">
        <v>119</v>
      </c>
      <c r="F21" s="2">
        <v>144.0</v>
      </c>
      <c r="G21" s="2">
        <v>786.0</v>
      </c>
      <c r="H21" s="2" t="b">
        <v>1</v>
      </c>
      <c r="I21" s="2">
        <v>-1.0</v>
      </c>
      <c r="J21" s="2" t="b">
        <v>0</v>
      </c>
      <c r="K21" s="2" t="b">
        <v>0</v>
      </c>
      <c r="L21" s="2" t="b">
        <v>0</v>
      </c>
      <c r="M21" s="2" t="b">
        <v>0</v>
      </c>
      <c r="N21" s="2" t="s">
        <v>33</v>
      </c>
      <c r="O21" s="2">
        <v>59.0</v>
      </c>
      <c r="P21" s="2">
        <v>0.0</v>
      </c>
      <c r="Q21" s="2">
        <v>59.0</v>
      </c>
      <c r="R21" s="2">
        <v>0.0</v>
      </c>
      <c r="S21" s="3" t="s">
        <v>120</v>
      </c>
      <c r="T21" s="2" t="s">
        <v>121</v>
      </c>
      <c r="Y21" s="4" t="str">
        <f>IFERROR(__xludf.DUMMYFUNCTION("""COMPUTED_VALUE"""),"7.2114285")</f>
        <v>7.2114285</v>
      </c>
      <c r="Z21" s="4" t="str">
        <f>IFERROR(__xludf.DUMMYFUNCTION("""COMPUTED_VALUE"""),"3.1378173")</f>
        <v>3.1378173</v>
      </c>
      <c r="AA21" s="4" t="str">
        <f t="shared" si="1"/>
        <v>Neighbor</v>
      </c>
      <c r="AC21" s="4">
        <f>IFERROR(__xludf.DUMMYFUNCTION("IFERROR(ABS(O21-AVERAGE(FILTER(O21:O4089,AA21:AA4089=""Neighbor""))) / STDEV(FILTER(O21:O4089, AA21:AA4089 =""Neighbor"")), """")"),0.17136194523296241)</f>
        <v>0.1713619452</v>
      </c>
      <c r="AD21" s="4">
        <f>IFERROR(__xludf.DUMMYFUNCTION("IFERROR(ABS(P21-AVERAGE(FILTER(O21:P4089,AA21:AA4089=""Neighbor""))) / STDEV(FILTER(P21:P4089, AA21:AA4089 =""Neighbor"")), """")"),1.6391336911385703)</f>
        <v>1.639133691</v>
      </c>
      <c r="AE21" s="2">
        <f>IFERROR(__xludf.DUMMYFUNCTION("IFERROR(ABS(Q21-AVERAGE(FILTER(Q21:Q4089,AA21:AA4089=""Neighbor""))) / STDEV(FILTER(Q21:Q4089, AA21:AA4089 =""Neighbor"")), """")"),1.5283338640151136)</f>
        <v>1.528333864</v>
      </c>
      <c r="AF21" s="2">
        <f>IFERROR(__xludf.DUMMYFUNCTION("IFERROR(ABS(R21-AVERAGE(FILTER(R21:R4089,AA21:AA4089=""Neighbor""))) / STDEV(FILTER(R21:R4089, AA21:AA4089 =""Neighbor"")), """")"),0.10327410131495458)</f>
        <v>0.1032741013</v>
      </c>
    </row>
    <row r="22">
      <c r="A22" s="2" t="s">
        <v>28</v>
      </c>
      <c r="B22" s="2" t="s">
        <v>29</v>
      </c>
      <c r="C22" s="2" t="s">
        <v>99</v>
      </c>
      <c r="D22" s="2" t="s">
        <v>122</v>
      </c>
      <c r="E22" s="2" t="s">
        <v>123</v>
      </c>
      <c r="F22" s="2">
        <v>118.0</v>
      </c>
      <c r="G22" s="2">
        <v>781.0</v>
      </c>
      <c r="H22" s="2" t="b">
        <v>1</v>
      </c>
      <c r="I22" s="2">
        <v>-1.0</v>
      </c>
      <c r="J22" s="2" t="b">
        <v>0</v>
      </c>
      <c r="K22" s="2" t="b">
        <v>0</v>
      </c>
      <c r="L22" s="2" t="b">
        <v>0</v>
      </c>
      <c r="M22" s="2" t="b">
        <v>0</v>
      </c>
      <c r="N22" s="2" t="s">
        <v>33</v>
      </c>
      <c r="O22" s="2">
        <v>61.0</v>
      </c>
      <c r="P22" s="2">
        <v>10.0</v>
      </c>
      <c r="Q22" s="2">
        <v>39.0</v>
      </c>
      <c r="R22" s="2">
        <v>0.0</v>
      </c>
      <c r="S22" s="3" t="s">
        <v>124</v>
      </c>
      <c r="T22" s="2" t="s">
        <v>125</v>
      </c>
      <c r="Y22" s="4" t="str">
        <f>IFERROR(__xludf.DUMMYFUNCTION("""COMPUTED_VALUE"""),"7.2114285")</f>
        <v>7.2114285</v>
      </c>
      <c r="Z22" s="4" t="str">
        <f>IFERROR(__xludf.DUMMYFUNCTION("""COMPUTED_VALUE"""),"3.1378173")</f>
        <v>3.1378173</v>
      </c>
      <c r="AA22" s="4" t="str">
        <f t="shared" si="1"/>
        <v>Not Neighbor</v>
      </c>
      <c r="AC22" s="4">
        <f>IFERROR(__xludf.DUMMYFUNCTION("IFERROR(ABS(O22-AVERAGE(FILTER(O22:O4090,AA22:AA4090=""Neighbor""))) / STDEV(FILTER(O22:O4090, AA22:AA4090 =""Neighbor"")), """")"),0.12398036644931425)</f>
        <v>0.1239803664</v>
      </c>
      <c r="AD22" s="4">
        <f>IFERROR(__xludf.DUMMYFUNCTION("IFERROR(ABS(P22-AVERAGE(FILTER(O22:P4090,AA22:AA4090=""Neighbor""))) / STDEV(FILTER(P22:P4090, AA22:AA4090 =""Neighbor"")), """")"),1.242139060434574)</f>
        <v>1.24213906</v>
      </c>
      <c r="AE22" s="2">
        <f>IFERROR(__xludf.DUMMYFUNCTION("IFERROR(ABS(Q22-AVERAGE(FILTER(Q22:Q4090,AA22:AA4090=""Neighbor""))) / STDEV(FILTER(Q22:Q4090, AA22:AA4090 =""Neighbor"")), """")"),0.6537829549159009)</f>
        <v>0.6537829549</v>
      </c>
      <c r="AF22" s="2">
        <f>IFERROR(__xludf.DUMMYFUNCTION("IFERROR(ABS(R22-AVERAGE(FILTER(R22:R4090,AA22:AA4090=""Neighbor""))) / STDEV(FILTER(R22:R4090, AA22:AA4090 =""Neighbor"")), """")"),0.10330315551294275)</f>
        <v>0.1033031555</v>
      </c>
    </row>
    <row r="23">
      <c r="A23" s="2" t="s">
        <v>28</v>
      </c>
      <c r="B23" s="2" t="s">
        <v>29</v>
      </c>
      <c r="C23" s="2" t="s">
        <v>99</v>
      </c>
      <c r="D23" s="2" t="s">
        <v>126</v>
      </c>
      <c r="E23" s="2" t="s">
        <v>127</v>
      </c>
      <c r="F23" s="2">
        <v>65.0</v>
      </c>
      <c r="G23" s="2">
        <v>616.0</v>
      </c>
      <c r="H23" s="2" t="b">
        <v>1</v>
      </c>
      <c r="I23" s="2">
        <v>-1.0</v>
      </c>
      <c r="J23" s="2" t="b">
        <v>0</v>
      </c>
      <c r="K23" s="2" t="b">
        <v>1</v>
      </c>
      <c r="L23" s="2" t="b">
        <v>0</v>
      </c>
      <c r="M23" s="2" t="b">
        <v>0</v>
      </c>
      <c r="N23" s="2" t="s">
        <v>33</v>
      </c>
      <c r="O23" s="2">
        <v>45.0</v>
      </c>
      <c r="P23" s="2">
        <v>2.0</v>
      </c>
      <c r="Q23" s="2">
        <v>14.0</v>
      </c>
      <c r="R23" s="2">
        <v>0.0</v>
      </c>
      <c r="S23" s="3" t="s">
        <v>128</v>
      </c>
      <c r="T23" s="2" t="s">
        <v>129</v>
      </c>
      <c r="Y23" s="4" t="str">
        <f>IFERROR(__xludf.DUMMYFUNCTION("""COMPUTED_VALUE"""),"7.147502")</f>
        <v>7.147502</v>
      </c>
      <c r="Z23" s="4" t="str">
        <f>IFERROR(__xludf.DUMMYFUNCTION("""COMPUTED_VALUE"""),"3.3619356")</f>
        <v>3.3619356</v>
      </c>
      <c r="AA23" s="4" t="str">
        <f t="shared" si="1"/>
        <v>Neighbor</v>
      </c>
      <c r="AC23" s="4">
        <f>IFERROR(__xludf.DUMMYFUNCTION("IFERROR(ABS(O23-AVERAGE(FILTER(O23:O4091,AA23:AA4091=""Neighbor""))) / STDEV(FILTER(O23:O4091, AA23:AA4091 =""Neighbor"")), """")"),0.5034258187536951)</f>
        <v>0.5034258188</v>
      </c>
      <c r="AD23" s="4">
        <f>IFERROR(__xludf.DUMMYFUNCTION("IFERROR(ABS(P23-AVERAGE(FILTER(O23:P4091,AA23:AA4091=""Neighbor""))) / STDEV(FILTER(P23:P4091, AA23:AA4091 =""Neighbor"")), """")"),1.5597317479957211)</f>
        <v>1.559731748</v>
      </c>
      <c r="AE23" s="2">
        <f>IFERROR(__xludf.DUMMYFUNCTION("IFERROR(ABS(Q23-AVERAGE(FILTER(Q23:Q4091,AA23:AA4091=""Neighbor""))) / STDEV(FILTER(Q23:Q4091, AA23:AA4091 =""Neighbor"")), """")"),0.4411827128399791)</f>
        <v>0.4411827128</v>
      </c>
      <c r="AF23" s="2">
        <f>IFERROR(__xludf.DUMMYFUNCTION("IFERROR(ABS(R23-AVERAGE(FILTER(R23:R4091,AA23:AA4091=""Neighbor""))) / STDEV(FILTER(R23:R4091, AA23:AA4091 =""Neighbor"")), """")"),0.10330315551294275)</f>
        <v>0.1033031555</v>
      </c>
    </row>
    <row r="24">
      <c r="A24" s="2" t="s">
        <v>28</v>
      </c>
      <c r="B24" s="2" t="s">
        <v>29</v>
      </c>
      <c r="C24" s="2" t="s">
        <v>99</v>
      </c>
      <c r="D24" s="2" t="s">
        <v>130</v>
      </c>
      <c r="E24" s="2" t="s">
        <v>131</v>
      </c>
      <c r="F24" s="2">
        <v>129.0</v>
      </c>
      <c r="G24" s="2">
        <v>713.0</v>
      </c>
      <c r="H24" s="2" t="b">
        <v>1</v>
      </c>
      <c r="I24" s="2">
        <v>-1.0</v>
      </c>
      <c r="J24" s="2" t="b">
        <v>0</v>
      </c>
      <c r="K24" s="2" t="b">
        <v>1</v>
      </c>
      <c r="L24" s="2" t="b">
        <v>0</v>
      </c>
      <c r="M24" s="2" t="b">
        <v>0</v>
      </c>
      <c r="N24" s="2" t="s">
        <v>33</v>
      </c>
      <c r="O24" s="2">
        <v>89.0</v>
      </c>
      <c r="P24" s="2">
        <v>2.0</v>
      </c>
      <c r="Q24" s="2">
        <v>31.0</v>
      </c>
      <c r="R24" s="2">
        <v>0.0</v>
      </c>
      <c r="S24" s="3" t="s">
        <v>132</v>
      </c>
      <c r="T24" s="2" t="s">
        <v>133</v>
      </c>
      <c r="Y24" s="4" t="str">
        <f>IFERROR(__xludf.DUMMYFUNCTION("""COMPUTED_VALUE"""),"7.147502")</f>
        <v>7.147502</v>
      </c>
      <c r="Z24" s="4" t="str">
        <f>IFERROR(__xludf.DUMMYFUNCTION("""COMPUTED_VALUE"""),"3.3619356")</f>
        <v>3.3619356</v>
      </c>
      <c r="AA24" s="4" t="str">
        <f t="shared" si="1"/>
        <v>Neighbor</v>
      </c>
      <c r="AC24" s="4">
        <f>IFERROR(__xludf.DUMMYFUNCTION("IFERROR(ABS(O24-AVERAGE(FILTER(O24:O4092,AA24:AA4092=""Neighbor""))) / STDEV(FILTER(O24:O4092, AA24:AA4092 =""Neighbor"")), """")"),0.5396562416373416)</f>
        <v>0.5396562416</v>
      </c>
      <c r="AD24" s="4">
        <f>IFERROR(__xludf.DUMMYFUNCTION("IFERROR(ABS(P24-AVERAGE(FILTER(O24:P4092,AA24:AA4092=""Neighbor""))) / STDEV(FILTER(P24:P4092, AA24:AA4092 =""Neighbor"")), """")"),1.5598316864006347)</f>
        <v>1.559831686</v>
      </c>
      <c r="AE24" s="2">
        <f>IFERROR(__xludf.DUMMYFUNCTION("IFERROR(ABS(Q24-AVERAGE(FILTER(Q24:Q4092,AA24:AA4092=""Neighbor""))) / STDEV(FILTER(Q24:Q4092, AA24:AA4092 =""Neighbor"")), """")"),0.30307996992152203)</f>
        <v>0.3030799699</v>
      </c>
      <c r="AF24" s="2">
        <f>IFERROR(__xludf.DUMMYFUNCTION("IFERROR(ABS(R24-AVERAGE(FILTER(R24:R4092,AA24:AA4092=""Neighbor""))) / STDEV(FILTER(R24:R4092, AA24:AA4092 =""Neighbor"")), """")"),0.10333223424644998)</f>
        <v>0.1033322342</v>
      </c>
    </row>
    <row r="25">
      <c r="A25" s="2" t="s">
        <v>28</v>
      </c>
      <c r="B25" s="2" t="s">
        <v>29</v>
      </c>
      <c r="C25" s="2" t="s">
        <v>99</v>
      </c>
      <c r="D25" s="2" t="s">
        <v>134</v>
      </c>
      <c r="E25" s="2" t="s">
        <v>135</v>
      </c>
      <c r="F25" s="2">
        <v>85.0</v>
      </c>
      <c r="G25" s="2">
        <v>646.0</v>
      </c>
      <c r="H25" s="2" t="b">
        <v>1</v>
      </c>
      <c r="I25" s="2">
        <v>-1.0</v>
      </c>
      <c r="J25" s="2" t="b">
        <v>0</v>
      </c>
      <c r="K25" s="2" t="b">
        <v>0</v>
      </c>
      <c r="L25" s="2" t="b">
        <v>0</v>
      </c>
      <c r="M25" s="2" t="b">
        <v>0</v>
      </c>
      <c r="N25" s="2" t="s">
        <v>33</v>
      </c>
      <c r="O25" s="2">
        <v>55.0</v>
      </c>
      <c r="P25" s="2">
        <v>4.0</v>
      </c>
      <c r="Q25" s="2">
        <v>23.0</v>
      </c>
      <c r="R25" s="2">
        <v>0.0</v>
      </c>
      <c r="S25" s="3" t="s">
        <v>136</v>
      </c>
      <c r="T25" s="2" t="s">
        <v>137</v>
      </c>
      <c r="Y25" s="4" t="str">
        <f>IFERROR(__xludf.DUMMYFUNCTION("""COMPUTED_VALUE"""),"7.147502")</f>
        <v>7.147502</v>
      </c>
      <c r="Z25" s="4" t="str">
        <f>IFERROR(__xludf.DUMMYFUNCTION("""COMPUTED_VALUE"""),"3.3619356")</f>
        <v>3.3619356</v>
      </c>
      <c r="AA25" s="4" t="str">
        <f t="shared" si="1"/>
        <v>Not Neighbor</v>
      </c>
      <c r="AC25" s="4">
        <f>IFERROR(__xludf.DUMMYFUNCTION("IFERROR(ABS(O25-AVERAGE(FILTER(O25:O4093,AA25:AA4093=""Neighbor""))) / STDEV(FILTER(O25:O4093, AA25:AA4093 =""Neighbor"")), """")"),0.26614396730175605)</f>
        <v>0.2661439673</v>
      </c>
      <c r="AD25" s="4">
        <f>IFERROR(__xludf.DUMMYFUNCTION("IFERROR(ABS(P25-AVERAGE(FILTER(O25:P4093,AA25:AA4093=""Neighbor""))) / STDEV(FILTER(P25:P4093, AA25:AA4093 =""Neighbor"")), """")"),1.4800767125440797)</f>
        <v>1.480076713</v>
      </c>
      <c r="AE25" s="2">
        <f>IFERROR(__xludf.DUMMYFUNCTION("IFERROR(ABS(Q25-AVERAGE(FILTER(Q25:Q4093,AA25:AA4093=""Neighbor""))) / STDEV(FILTER(Q25:Q4093, AA25:AA4093 =""Neighbor"")), """")"),0.04704943442889737)</f>
        <v>0.04704943443</v>
      </c>
      <c r="AF25" s="2">
        <f>IFERROR(__xludf.DUMMYFUNCTION("IFERROR(ABS(R25-AVERAGE(FILTER(R25:R4093,AA25:AA4093=""Neighbor""))) / STDEV(FILTER(R25:R4093, AA25:AA4093 =""Neighbor"")), """")"),0.10336133755002881)</f>
        <v>0.1033613376</v>
      </c>
    </row>
    <row r="26">
      <c r="A26" s="2" t="s">
        <v>28</v>
      </c>
      <c r="B26" s="2" t="s">
        <v>29</v>
      </c>
      <c r="C26" s="2" t="s">
        <v>99</v>
      </c>
      <c r="D26" s="2" t="s">
        <v>138</v>
      </c>
      <c r="E26" s="2" t="s">
        <v>139</v>
      </c>
      <c r="F26" s="2">
        <v>138.0</v>
      </c>
      <c r="G26" s="2">
        <v>777.0</v>
      </c>
      <c r="H26" s="2" t="b">
        <v>1</v>
      </c>
      <c r="I26" s="2">
        <v>-1.0</v>
      </c>
      <c r="J26" s="2" t="b">
        <v>0</v>
      </c>
      <c r="K26" s="2" t="b">
        <v>0</v>
      </c>
      <c r="L26" s="2" t="b">
        <v>0</v>
      </c>
      <c r="M26" s="2" t="b">
        <v>0</v>
      </c>
      <c r="N26" s="2" t="s">
        <v>33</v>
      </c>
      <c r="O26" s="2">
        <v>94.0</v>
      </c>
      <c r="P26" s="2">
        <v>9.0</v>
      </c>
      <c r="Q26" s="2">
        <v>21.0</v>
      </c>
      <c r="R26" s="2">
        <v>0.0</v>
      </c>
      <c r="S26" s="3" t="s">
        <v>140</v>
      </c>
      <c r="T26" s="2" t="s">
        <v>141</v>
      </c>
      <c r="Y26" s="4" t="str">
        <f>IFERROR(__xludf.DUMMYFUNCTION("""COMPUTED_VALUE"""),"7.1562333")</f>
        <v>7.1562333</v>
      </c>
      <c r="Z26" s="4" t="str">
        <f>IFERROR(__xludf.DUMMYFUNCTION("""COMPUTED_VALUE"""),"3.3466901")</f>
        <v>3.3466901</v>
      </c>
      <c r="AA26" s="4" t="str">
        <f t="shared" si="1"/>
        <v>Not Neighbor</v>
      </c>
      <c r="AC26" s="4">
        <f>IFERROR(__xludf.DUMMYFUNCTION("IFERROR(ABS(O26-AVERAGE(FILTER(O26:O4094,AA26:AA4094=""Neighbor""))) / STDEV(FILTER(O26:O4094, AA26:AA4094 =""Neighbor"")), """")"),0.6583790928825405)</f>
        <v>0.6583790929</v>
      </c>
      <c r="AD26" s="4">
        <f>IFERROR(__xludf.DUMMYFUNCTION("IFERROR(ABS(P26-AVERAGE(FILTER(O26:P4094,AA26:AA4094=""Neighbor""))) / STDEV(FILTER(P26:P4094, AA26:AA4094 =""Neighbor"")), """")"),1.2816560205113654)</f>
        <v>1.281656021</v>
      </c>
      <c r="AE26" s="2">
        <f>IFERROR(__xludf.DUMMYFUNCTION("IFERROR(ABS(Q26-AVERAGE(FILTER(Q26:Q4094,AA26:AA4094=""Neighbor""))) / STDEV(FILTER(Q26:Q4094, AA26:AA4094 =""Neighbor"")), """")"),0.13460484276414708)</f>
        <v>0.1346048428</v>
      </c>
      <c r="AF26" s="2">
        <f>IFERROR(__xludf.DUMMYFUNCTION("IFERROR(ABS(R26-AVERAGE(FILTER(R26:R4094,AA26:AA4094=""Neighbor""))) / STDEV(FILTER(R26:R4094, AA26:AA4094 =""Neighbor"")), """")"),0.10336133755002881)</f>
        <v>0.1033613376</v>
      </c>
    </row>
    <row r="27">
      <c r="A27" s="2" t="s">
        <v>28</v>
      </c>
      <c r="B27" s="2" t="s">
        <v>29</v>
      </c>
      <c r="C27" s="2" t="s">
        <v>142</v>
      </c>
      <c r="D27" s="2" t="s">
        <v>143</v>
      </c>
      <c r="E27" s="2" t="s">
        <v>144</v>
      </c>
      <c r="F27" s="2">
        <v>155.0</v>
      </c>
      <c r="G27" s="2">
        <v>853.0</v>
      </c>
      <c r="H27" s="2" t="b">
        <v>1</v>
      </c>
      <c r="I27" s="2">
        <v>-1.0</v>
      </c>
      <c r="J27" s="2" t="b">
        <v>0</v>
      </c>
      <c r="K27" s="2" t="b">
        <v>0</v>
      </c>
      <c r="L27" s="2" t="b">
        <v>0</v>
      </c>
      <c r="M27" s="2" t="b">
        <v>0</v>
      </c>
      <c r="N27" s="2" t="s">
        <v>33</v>
      </c>
      <c r="O27" s="2">
        <v>100.0</v>
      </c>
      <c r="P27" s="2">
        <v>5.0</v>
      </c>
      <c r="Q27" s="2">
        <v>33.0</v>
      </c>
      <c r="R27" s="2">
        <v>0.0</v>
      </c>
      <c r="S27" s="3" t="s">
        <v>145</v>
      </c>
      <c r="T27" s="2" t="s">
        <v>146</v>
      </c>
      <c r="Y27" s="4" t="str">
        <f>IFERROR(__xludf.DUMMYFUNCTION("""COMPUTED_VALUE"""),"7.1796763")</f>
        <v>7.1796763</v>
      </c>
      <c r="Z27" s="4" t="str">
        <f>IFERROR(__xludf.DUMMYFUNCTION("""COMPUTED_VALUE"""),"3.3421004")</f>
        <v>3.3421004</v>
      </c>
      <c r="AA27" s="4" t="str">
        <f t="shared" si="1"/>
        <v>Neighbor</v>
      </c>
      <c r="AC27" s="4">
        <f>IFERROR(__xludf.DUMMYFUNCTION("IFERROR(ABS(O27-AVERAGE(FILTER(O27:O4095,AA27:AA4095=""Neighbor""))) / STDEV(FILTER(O27:O4095, AA27:AA4095 =""Neighbor"")), """")"),0.8006134098339708)</f>
        <v>0.8006134098</v>
      </c>
      <c r="AD27" s="4">
        <f>IFERROR(__xludf.DUMMYFUNCTION("IFERROR(ABS(P27-AVERAGE(FILTER(O27:P4095,AA27:AA4095=""Neighbor""))) / STDEV(FILTER(P27:P4095, AA27:AA4095 =""Neighbor"")), """")"),1.4403925741375367)</f>
        <v>1.440392574</v>
      </c>
      <c r="AE27" s="2">
        <f>IFERROR(__xludf.DUMMYFUNCTION("IFERROR(ABS(Q27-AVERAGE(FILTER(Q27:Q4095,AA27:AA4095=""Neighbor""))) / STDEV(FILTER(Q27:Q4095, AA27:AA4095 =""Neighbor"")), """")"),0.3907276072473511)</f>
        <v>0.3907276072</v>
      </c>
      <c r="AF27" s="2">
        <f>IFERROR(__xludf.DUMMYFUNCTION("IFERROR(ABS(R27-AVERAGE(FILTER(R27:R4095,AA27:AA4095=""Neighbor""))) / STDEV(FILTER(R27:R4095, AA27:AA4095 =""Neighbor"")), """")"),0.10336133755002881)</f>
        <v>0.1033613376</v>
      </c>
    </row>
    <row r="28">
      <c r="A28" s="2" t="s">
        <v>28</v>
      </c>
      <c r="B28" s="2" t="s">
        <v>29</v>
      </c>
      <c r="C28" s="2" t="s">
        <v>142</v>
      </c>
      <c r="D28" s="2" t="s">
        <v>147</v>
      </c>
      <c r="E28" s="2" t="s">
        <v>148</v>
      </c>
      <c r="F28" s="2">
        <v>121.0</v>
      </c>
      <c r="G28" s="2">
        <v>632.0</v>
      </c>
      <c r="H28" s="2" t="b">
        <v>1</v>
      </c>
      <c r="I28" s="2">
        <v>-1.0</v>
      </c>
      <c r="J28" s="2" t="b">
        <v>0</v>
      </c>
      <c r="K28" s="2" t="b">
        <v>0</v>
      </c>
      <c r="L28" s="2" t="b">
        <v>0</v>
      </c>
      <c r="M28" s="2" t="b">
        <v>0</v>
      </c>
      <c r="N28" s="2" t="s">
        <v>33</v>
      </c>
      <c r="O28" s="2">
        <v>75.0</v>
      </c>
      <c r="P28" s="2">
        <v>7.0</v>
      </c>
      <c r="Q28" s="2">
        <v>28.0</v>
      </c>
      <c r="R28" s="2">
        <v>0.0</v>
      </c>
      <c r="S28" s="3" t="s">
        <v>149</v>
      </c>
      <c r="T28" s="2" t="s">
        <v>150</v>
      </c>
      <c r="Y28" s="4" t="str">
        <f>IFERROR(__xludf.DUMMYFUNCTION("""COMPUTED_VALUE"""),"7.1796763")</f>
        <v>7.1796763</v>
      </c>
      <c r="Z28" s="4" t="str">
        <f>IFERROR(__xludf.DUMMYFUNCTION("""COMPUTED_VALUE"""),"3.3421004")</f>
        <v>3.3421004</v>
      </c>
      <c r="AA28" s="4" t="str">
        <f t="shared" si="1"/>
        <v>Neighbor</v>
      </c>
      <c r="AC28" s="4">
        <f>IFERROR(__xludf.DUMMYFUNCTION("IFERROR(ABS(O28-AVERAGE(FILTER(O28:O4096,AA28:AA4096=""Neighbor""))) / STDEV(FILTER(O28:O4096, AA28:AA4096 =""Neighbor"")), """")"),0.2083963280341266)</f>
        <v>0.208396328</v>
      </c>
      <c r="AD28" s="4">
        <f>IFERROR(__xludf.DUMMYFUNCTION("IFERROR(ABS(P28-AVERAGE(FILTER(O28:P4096,AA28:AA4096=""Neighbor""))) / STDEV(FILTER(P28:P4096, AA28:AA4096 =""Neighbor"")), """")"),1.3604737294508302)</f>
        <v>1.360473729</v>
      </c>
      <c r="AE28" s="2">
        <f>IFERROR(__xludf.DUMMYFUNCTION("IFERROR(ABS(Q28-AVERAGE(FILTER(Q28:Q4096,AA28:AA4096=""Neighbor""))) / STDEV(FILTER(Q28:Q4096, AA28:AA4096 =""Neighbor"")), """")"),0.17201644430824364)</f>
        <v>0.1720164443</v>
      </c>
      <c r="AF28" s="2">
        <f>IFERROR(__xludf.DUMMYFUNCTION("IFERROR(ABS(R28-AVERAGE(FILTER(R28:R4096,AA28:AA4096=""Neighbor""))) / STDEV(FILTER(R28:R4096, AA28:AA4096 =""Neighbor"")), """")"),0.10339046545829983)</f>
        <v>0.1033904655</v>
      </c>
    </row>
    <row r="29">
      <c r="A29" s="2" t="s">
        <v>28</v>
      </c>
      <c r="B29" s="2" t="s">
        <v>29</v>
      </c>
      <c r="C29" s="2" t="s">
        <v>142</v>
      </c>
      <c r="D29" s="2" t="s">
        <v>151</v>
      </c>
      <c r="E29" s="2" t="s">
        <v>152</v>
      </c>
      <c r="F29" s="2">
        <v>149.0</v>
      </c>
      <c r="G29" s="2">
        <v>888.0</v>
      </c>
      <c r="H29" s="2" t="b">
        <v>1</v>
      </c>
      <c r="I29" s="2">
        <v>-1.0</v>
      </c>
      <c r="J29" s="2" t="b">
        <v>0</v>
      </c>
      <c r="K29" s="2" t="b">
        <v>0</v>
      </c>
      <c r="L29" s="2" t="b">
        <v>0</v>
      </c>
      <c r="M29" s="2" t="b">
        <v>0</v>
      </c>
      <c r="N29" s="2" t="s">
        <v>33</v>
      </c>
      <c r="O29" s="2">
        <v>105.0</v>
      </c>
      <c r="P29" s="2">
        <v>10.0</v>
      </c>
      <c r="Q29" s="2">
        <v>23.0</v>
      </c>
      <c r="R29" s="2">
        <v>0.0</v>
      </c>
      <c r="S29" s="3" t="s">
        <v>153</v>
      </c>
      <c r="T29" s="2" t="s">
        <v>154</v>
      </c>
      <c r="Y29" s="4" t="str">
        <f>IFERROR(__xludf.DUMMYFUNCTION("""COMPUTED_VALUE"""),"7.1796763")</f>
        <v>7.1796763</v>
      </c>
      <c r="Z29" s="4" t="str">
        <f>IFERROR(__xludf.DUMMYFUNCTION("""COMPUTED_VALUE"""),"3.3421004")</f>
        <v>3.3421004</v>
      </c>
      <c r="AA29" s="4" t="str">
        <f t="shared" si="1"/>
        <v>Neighbor</v>
      </c>
      <c r="AC29" s="4">
        <f>IFERROR(__xludf.DUMMYFUNCTION("IFERROR(ABS(O29-AVERAGE(FILTER(O29:O4097,AA29:AA4097=""Neighbor""))) / STDEV(FILTER(O29:O4097, AA29:AA4097 =""Neighbor"")), """")"),0.9193674577709436)</f>
        <v>0.9193674578</v>
      </c>
      <c r="AD29" s="4">
        <f>IFERROR(__xludf.DUMMYFUNCTION("IFERROR(ABS(P29-AVERAGE(FILTER(O29:P4097,AA29:AA4097=""Neighbor""))) / STDEV(FILTER(P29:P4097, AA29:AA4097 =""Neighbor"")), """")"),1.2411555124149098)</f>
        <v>1.241155512</v>
      </c>
      <c r="AE29" s="2">
        <f>IFERROR(__xludf.DUMMYFUNCTION("IFERROR(ABS(Q29-AVERAGE(FILTER(Q29:Q4097,AA29:AA4097=""Neighbor""))) / STDEV(FILTER(Q29:Q4097, AA29:AA4097 =""Neighbor"")), """")"),0.04671161657853411)</f>
        <v>0.04671161658</v>
      </c>
      <c r="AF29" s="2">
        <f>IFERROR(__xludf.DUMMYFUNCTION("IFERROR(ABS(R29-AVERAGE(FILTER(R29:R4097,AA29:AA4097=""Neighbor""))) / STDEV(FILTER(R29:R4097, AA29:AA4097 =""Neighbor"")), """")"),0.10341961800595194)</f>
        <v>0.103419618</v>
      </c>
    </row>
    <row r="30">
      <c r="A30" s="2" t="s">
        <v>28</v>
      </c>
      <c r="B30" s="2" t="s">
        <v>29</v>
      </c>
      <c r="C30" s="2" t="s">
        <v>142</v>
      </c>
      <c r="D30" s="2" t="s">
        <v>155</v>
      </c>
      <c r="E30" s="2" t="s">
        <v>156</v>
      </c>
      <c r="F30" s="2">
        <v>176.0</v>
      </c>
      <c r="G30" s="2">
        <v>902.0</v>
      </c>
      <c r="H30" s="2" t="b">
        <v>1</v>
      </c>
      <c r="I30" s="2">
        <v>-1.0</v>
      </c>
      <c r="J30" s="2" t="b">
        <v>0</v>
      </c>
      <c r="K30" s="2" t="b">
        <v>0</v>
      </c>
      <c r="L30" s="2" t="b">
        <v>0</v>
      </c>
      <c r="M30" s="2" t="b">
        <v>0</v>
      </c>
      <c r="N30" s="2" t="s">
        <v>33</v>
      </c>
      <c r="O30" s="2">
        <v>122.0</v>
      </c>
      <c r="P30" s="2">
        <v>7.0</v>
      </c>
      <c r="Q30" s="2">
        <v>33.0</v>
      </c>
      <c r="R30" s="2">
        <v>0.0</v>
      </c>
      <c r="S30" s="3" t="s">
        <v>157</v>
      </c>
      <c r="T30" s="2" t="s">
        <v>158</v>
      </c>
      <c r="Y30" s="4" t="str">
        <f>IFERROR(__xludf.DUMMYFUNCTION("""COMPUTED_VALUE"""),"7.1796763")</f>
        <v>7.1796763</v>
      </c>
      <c r="Z30" s="4" t="str">
        <f>IFERROR(__xludf.DUMMYFUNCTION("""COMPUTED_VALUE"""),"3.3421004")</f>
        <v>3.3421004</v>
      </c>
      <c r="AA30" s="4" t="str">
        <f t="shared" si="1"/>
        <v>Not Neighbor</v>
      </c>
      <c r="AC30" s="4">
        <f>IFERROR(__xludf.DUMMYFUNCTION("IFERROR(ABS(O30-AVERAGE(FILTER(O30:O4098,AA30:AA4098=""Neighbor""))) / STDEV(FILTER(O30:O4098, AA30:AA4098 =""Neighbor"")), """")"),1.3226732977458553)</f>
        <v>1.322673298</v>
      </c>
      <c r="AD30" s="4">
        <f>IFERROR(__xludf.DUMMYFUNCTION("IFERROR(ABS(P30-AVERAGE(FILTER(O30:P4098,AA30:AA4098=""Neighbor""))) / STDEV(FILTER(P30:P4098, AA30:AA4098 =""Neighbor"")), """")"),1.3594380575651452)</f>
        <v>1.359438058</v>
      </c>
      <c r="AE30" s="2">
        <f>IFERROR(__xludf.DUMMYFUNCTION("IFERROR(ABS(Q30-AVERAGE(FILTER(Q30:Q4098,AA30:AA4098=""Neighbor""))) / STDEV(FILTER(Q30:Q4098, AA30:AA4098 =""Neighbor"")), """")"),0.3907082877334324)</f>
        <v>0.3907082877</v>
      </c>
      <c r="AF30" s="2">
        <f>IFERROR(__xludf.DUMMYFUNCTION("IFERROR(ABS(R30-AVERAGE(FILTER(R30:R4098,AA30:AA4098=""Neighbor""))) / STDEV(FILTER(R30:R4098, AA30:AA4098 =""Neighbor"")), """")"),0.10344879522774246)</f>
        <v>0.1034487952</v>
      </c>
    </row>
    <row r="31">
      <c r="A31" s="2" t="s">
        <v>28</v>
      </c>
      <c r="B31" s="2" t="s">
        <v>29</v>
      </c>
      <c r="C31" s="2" t="s">
        <v>142</v>
      </c>
      <c r="D31" s="2" t="s">
        <v>159</v>
      </c>
      <c r="E31" s="2" t="s">
        <v>160</v>
      </c>
      <c r="F31" s="2">
        <v>126.0</v>
      </c>
      <c r="G31" s="2">
        <v>863.0</v>
      </c>
      <c r="H31" s="2" t="b">
        <v>1</v>
      </c>
      <c r="I31" s="2">
        <v>-1.0</v>
      </c>
      <c r="J31" s="2" t="b">
        <v>0</v>
      </c>
      <c r="K31" s="2" t="b">
        <v>0</v>
      </c>
      <c r="L31" s="2" t="b">
        <v>0</v>
      </c>
      <c r="M31" s="2" t="b">
        <v>0</v>
      </c>
      <c r="N31" s="2" t="s">
        <v>33</v>
      </c>
      <c r="O31" s="2">
        <v>79.0</v>
      </c>
      <c r="P31" s="2">
        <v>29.0</v>
      </c>
      <c r="Q31" s="2">
        <v>10.0</v>
      </c>
      <c r="R31" s="2">
        <v>0.0</v>
      </c>
      <c r="S31" s="3" t="s">
        <v>161</v>
      </c>
      <c r="T31" s="2" t="s">
        <v>162</v>
      </c>
      <c r="Y31" s="4" t="str">
        <f>IFERROR(__xludf.DUMMYFUNCTION("""COMPUTED_VALUE"""),"7.1901395")</f>
        <v>7.1901395</v>
      </c>
      <c r="Z31" s="4" t="str">
        <f>IFERROR(__xludf.DUMMYFUNCTION("""COMPUTED_VALUE"""),"3.3542333")</f>
        <v>3.3542333</v>
      </c>
      <c r="AA31" s="4" t="str">
        <f t="shared" si="1"/>
        <v>Neighbor</v>
      </c>
      <c r="AC31" s="4">
        <f>IFERROR(__xludf.DUMMYFUNCTION("IFERROR(ABS(O31-AVERAGE(FILTER(O31:O4099,AA31:AA4099=""Neighbor""))) / STDEV(FILTER(O31:O4099, AA31:AA4099 =""Neighbor"")), """")"),0.3037455719039049)</f>
        <v>0.3037455719</v>
      </c>
      <c r="AD31" s="4">
        <f>IFERROR(__xludf.DUMMYFUNCTION("IFERROR(ABS(P31-AVERAGE(FILTER(O31:P4099,AA31:AA4099=""Neighbor""))) / STDEV(FILTER(P31:P4099, AA31:AA4099 =""Neighbor"")), """")"),0.487019262892165)</f>
        <v>0.4870192629</v>
      </c>
      <c r="AE31" s="2">
        <f>IFERROR(__xludf.DUMMYFUNCTION("IFERROR(ABS(Q31-AVERAGE(FILTER(Q31:Q4099,AA31:AA4099=""Neighbor""))) / STDEV(FILTER(Q31:Q4099, AA31:AA4099 =""Neighbor"")), """")"),0.6153875470167185)</f>
        <v>0.615387547</v>
      </c>
      <c r="AF31" s="2">
        <f>IFERROR(__xludf.DUMMYFUNCTION("IFERROR(ABS(R31-AVERAGE(FILTER(R31:R4099,AA31:AA4099=""Neighbor""))) / STDEV(FILTER(R31:R4099, AA31:AA4099 =""Neighbor"")), """")"),0.10344879522774246)</f>
        <v>0.1034487952</v>
      </c>
    </row>
    <row r="32">
      <c r="A32" s="2" t="s">
        <v>28</v>
      </c>
      <c r="B32" s="2" t="s">
        <v>29</v>
      </c>
      <c r="C32" s="2" t="s">
        <v>142</v>
      </c>
      <c r="D32" s="2" t="s">
        <v>163</v>
      </c>
      <c r="E32" s="2" t="s">
        <v>164</v>
      </c>
      <c r="F32" s="2">
        <v>177.0</v>
      </c>
      <c r="G32" s="2">
        <v>1166.0</v>
      </c>
      <c r="H32" s="2" t="b">
        <v>1</v>
      </c>
      <c r="I32" s="2">
        <v>-1.0</v>
      </c>
      <c r="J32" s="2" t="b">
        <v>0</v>
      </c>
      <c r="K32" s="2" t="b">
        <v>0</v>
      </c>
      <c r="L32" s="2" t="b">
        <v>0</v>
      </c>
      <c r="M32" s="2" t="b">
        <v>0</v>
      </c>
      <c r="N32" s="2" t="s">
        <v>33</v>
      </c>
      <c r="O32" s="2">
        <v>103.0</v>
      </c>
      <c r="P32" s="2">
        <v>52.0</v>
      </c>
      <c r="Q32" s="2">
        <v>13.0</v>
      </c>
      <c r="R32" s="2">
        <v>2.0</v>
      </c>
      <c r="S32" s="3" t="s">
        <v>165</v>
      </c>
      <c r="T32" s="2" t="s">
        <v>166</v>
      </c>
      <c r="Y32" s="4" t="str">
        <f>IFERROR(__xludf.DUMMYFUNCTION("""COMPUTED_VALUE"""),"7.1901395")</f>
        <v>7.1901395</v>
      </c>
      <c r="Z32" s="4" t="str">
        <f>IFERROR(__xludf.DUMMYFUNCTION("""COMPUTED_VALUE"""),"3.3542333")</f>
        <v>3.3542333</v>
      </c>
      <c r="AA32" s="4" t="str">
        <f t="shared" si="1"/>
        <v>Neighbor</v>
      </c>
      <c r="AC32" s="4">
        <f>IFERROR(__xludf.DUMMYFUNCTION("IFERROR(ABS(O32-AVERAGE(FILTER(O32:O4100,AA32:AA4100=""Neighbor""))) / STDEV(FILTER(O32:O4100, AA32:AA4100 =""Neighbor"")), """")"),0.8723977935671003)</f>
        <v>0.8723977936</v>
      </c>
      <c r="AD32" s="4">
        <f>IFERROR(__xludf.DUMMYFUNCTION("IFERROR(ABS(P32-AVERAGE(FILTER(O32:P4100,AA32:AA4100=""Neighbor""))) / STDEV(FILTER(P32:P4100, AA32:AA4100 =""Neighbor"")), """")"),0.4252477446473591)</f>
        <v>0.4252477446</v>
      </c>
      <c r="AE32" s="2">
        <f>IFERROR(__xludf.DUMMYFUNCTION("IFERROR(ABS(Q32-AVERAGE(FILTER(Q32:Q4100,AA32:AA4100=""Neighbor""))) / STDEV(FILTER(Q32:Q4100, AA32:AA4100 =""Neighbor"")), """")"),0.48441751237304953)</f>
        <v>0.4844175124</v>
      </c>
      <c r="AF32" s="2">
        <f>IFERROR(__xludf.DUMMYFUNCTION("IFERROR(ABS(R32-AVERAGE(FILTER(R32:R4100,AA32:AA4100=""Neighbor""))) / STDEV(FILTER(R32:R4100, AA32:AA4100 =""Neighbor"")), """")"),0.30249160134271313)</f>
        <v>0.3024916013</v>
      </c>
    </row>
    <row r="33">
      <c r="A33" s="2" t="s">
        <v>28</v>
      </c>
      <c r="B33" s="2" t="s">
        <v>29</v>
      </c>
      <c r="C33" s="2" t="s">
        <v>142</v>
      </c>
      <c r="D33" s="2" t="s">
        <v>167</v>
      </c>
      <c r="E33" s="2" t="s">
        <v>168</v>
      </c>
      <c r="F33" s="2">
        <v>171.0</v>
      </c>
      <c r="G33" s="2">
        <v>939.0</v>
      </c>
      <c r="H33" s="2" t="b">
        <v>1</v>
      </c>
      <c r="I33" s="2">
        <v>-1.0</v>
      </c>
      <c r="J33" s="2" t="b">
        <v>0</v>
      </c>
      <c r="K33" s="2" t="b">
        <v>1</v>
      </c>
      <c r="L33" s="2" t="b">
        <v>0</v>
      </c>
      <c r="M33" s="2" t="b">
        <v>0</v>
      </c>
      <c r="N33" s="2" t="s">
        <v>33</v>
      </c>
      <c r="O33" s="2">
        <v>114.0</v>
      </c>
      <c r="P33" s="2">
        <v>32.0</v>
      </c>
      <c r="Q33" s="2">
        <v>16.0</v>
      </c>
      <c r="R33" s="2">
        <v>1.0</v>
      </c>
      <c r="S33" s="3" t="s">
        <v>169</v>
      </c>
      <c r="T33" s="2" t="s">
        <v>170</v>
      </c>
      <c r="Y33" s="4" t="str">
        <f>IFERROR(__xludf.DUMMYFUNCTION("""COMPUTED_VALUE"""),"7.1901395")</f>
        <v>7.1901395</v>
      </c>
      <c r="Z33" s="4" t="str">
        <f>IFERROR(__xludf.DUMMYFUNCTION("""COMPUTED_VALUE"""),"3.3542333")</f>
        <v>3.3542333</v>
      </c>
      <c r="AA33" s="4" t="str">
        <f t="shared" si="1"/>
        <v>Neighbor</v>
      </c>
      <c r="AC33" s="4">
        <f>IFERROR(__xludf.DUMMYFUNCTION("IFERROR(ABS(O33-AVERAGE(FILTER(O33:O4101,AA33:AA4101=""Neighbor""))) / STDEV(FILTER(O33:O4101, AA33:AA4101 =""Neighbor"")), """")"),1.1333998748736012)</f>
        <v>1.133399875</v>
      </c>
      <c r="AD33" s="4">
        <f>IFERROR(__xludf.DUMMYFUNCTION("IFERROR(ABS(P33-AVERAGE(FILTER(O33:P4101,AA33:AA4101=""Neighbor""))) / STDEV(FILTER(P33:P4101, AA33:AA4101 =""Neighbor"")), """")"),0.3669931209221968)</f>
        <v>0.3669931209</v>
      </c>
      <c r="AE33" s="2">
        <f>IFERROR(__xludf.DUMMYFUNCTION("IFERROR(ABS(Q33-AVERAGE(FILTER(Q33:Q4101,AA33:AA4101=""Neighbor""))) / STDEV(FILTER(Q33:Q4101, AA33:AA4101 =""Neighbor"")), """")"),0.3534056766819426)</f>
        <v>0.3534056767</v>
      </c>
      <c r="AF33" s="2">
        <f>IFERROR(__xludf.DUMMYFUNCTION("IFERROR(ABS(R33-AVERAGE(FILTER(R33:R4101,AA33:AA4101=""Neighbor""))) / STDEV(FILTER(R33:R4101, AA33:AA4101 =""Neighbor"")), """")"),0.09965065462257565)</f>
        <v>0.09965065462</v>
      </c>
    </row>
    <row r="34">
      <c r="A34" s="2" t="s">
        <v>28</v>
      </c>
      <c r="B34" s="2" t="s">
        <v>29</v>
      </c>
      <c r="C34" s="2" t="s">
        <v>142</v>
      </c>
      <c r="D34" s="2" t="s">
        <v>171</v>
      </c>
      <c r="E34" s="2" t="s">
        <v>172</v>
      </c>
      <c r="F34" s="2">
        <v>126.0</v>
      </c>
      <c r="G34" s="2">
        <v>584.0</v>
      </c>
      <c r="H34" s="2" t="b">
        <v>1</v>
      </c>
      <c r="I34" s="2">
        <v>-1.0</v>
      </c>
      <c r="J34" s="2" t="b">
        <v>0</v>
      </c>
      <c r="K34" s="2" t="b">
        <v>0</v>
      </c>
      <c r="L34" s="2" t="b">
        <v>0</v>
      </c>
      <c r="M34" s="2" t="b">
        <v>0</v>
      </c>
      <c r="N34" s="2" t="s">
        <v>33</v>
      </c>
      <c r="O34" s="2">
        <v>81.0</v>
      </c>
      <c r="P34" s="2">
        <v>13.0</v>
      </c>
      <c r="Q34" s="2">
        <v>16.0</v>
      </c>
      <c r="R34" s="2">
        <v>1.0</v>
      </c>
      <c r="S34" s="3" t="s">
        <v>173</v>
      </c>
      <c r="T34" s="2" t="s">
        <v>174</v>
      </c>
      <c r="Y34" s="4" t="str">
        <f>IFERROR(__xludf.DUMMYFUNCTION("""COMPUTED_VALUE"""),"7.1897669")</f>
        <v>7.1897669</v>
      </c>
      <c r="Z34" s="4" t="str">
        <f>IFERROR(__xludf.DUMMYFUNCTION("""COMPUTED_VALUE"""),"3.3477076")</f>
        <v>3.3477076</v>
      </c>
      <c r="AA34" s="4" t="str">
        <f t="shared" si="1"/>
        <v>Neighbor</v>
      </c>
      <c r="AC34" s="4">
        <f>IFERROR(__xludf.DUMMYFUNCTION("IFERROR(ABS(O34-AVERAGE(FILTER(O34:O4102,AA34:AA4102=""Neighbor""))) / STDEV(FILTER(O34:O4102, AA34:AA4102 =""Neighbor"")), """")"),0.3523450496600494)</f>
        <v>0.3523450497</v>
      </c>
      <c r="AD34" s="4">
        <f>IFERROR(__xludf.DUMMYFUNCTION("IFERROR(ABS(P34-AVERAGE(FILTER(O34:P4102,AA34:AA4102=""Neighbor""))) / STDEV(FILTER(P34:P4102, AA34:AA4102 =""Neighbor"")), """")"),1.1196007084989335)</f>
        <v>1.119600708</v>
      </c>
      <c r="AE34" s="2">
        <f>IFERROR(__xludf.DUMMYFUNCTION("IFERROR(ABS(Q34-AVERAGE(FILTER(Q34:Q4102,AA34:AA4102=""Neighbor""))) / STDEV(FILTER(Q34:Q4102, AA34:AA4102 =""Neighbor"")), """")"),0.35351685088414586)</f>
        <v>0.3535168509</v>
      </c>
      <c r="AF34" s="2">
        <f>IFERROR(__xludf.DUMMYFUNCTION("IFERROR(ABS(R34-AVERAGE(FILTER(R34:R4102,AA34:AA4102=""Neighbor""))) / STDEV(FILTER(R34:R4102, AA34:AA4102 =""Neighbor"")), """")"),0.09967879433398459)</f>
        <v>0.09967879433</v>
      </c>
    </row>
    <row r="35">
      <c r="A35" s="2" t="s">
        <v>28</v>
      </c>
      <c r="B35" s="2" t="s">
        <v>29</v>
      </c>
      <c r="C35" s="2" t="s">
        <v>142</v>
      </c>
      <c r="D35" s="2" t="s">
        <v>175</v>
      </c>
      <c r="E35" s="2" t="s">
        <v>176</v>
      </c>
      <c r="F35" s="2">
        <v>84.0</v>
      </c>
      <c r="G35" s="2">
        <v>556.0</v>
      </c>
      <c r="H35" s="2" t="b">
        <v>1</v>
      </c>
      <c r="I35" s="2">
        <v>-1.0</v>
      </c>
      <c r="J35" s="2" t="b">
        <v>0</v>
      </c>
      <c r="K35" s="2" t="b">
        <v>0</v>
      </c>
      <c r="L35" s="2" t="b">
        <v>0</v>
      </c>
      <c r="M35" s="2" t="b">
        <v>0</v>
      </c>
      <c r="N35" s="2" t="s">
        <v>33</v>
      </c>
      <c r="O35" s="2">
        <v>60.0</v>
      </c>
      <c r="P35" s="2">
        <v>7.0</v>
      </c>
      <c r="Q35" s="2">
        <v>8.0</v>
      </c>
      <c r="R35" s="2">
        <v>0.0</v>
      </c>
      <c r="S35" s="3" t="s">
        <v>177</v>
      </c>
      <c r="T35" s="2" t="s">
        <v>178</v>
      </c>
      <c r="Y35" s="4" t="str">
        <f>IFERROR(__xludf.DUMMYFUNCTION("""COMPUTED_VALUE"""),"7.1897669")</f>
        <v>7.1897669</v>
      </c>
      <c r="Z35" s="4" t="str">
        <f>IFERROR(__xludf.DUMMYFUNCTION("""COMPUTED_VALUE"""),"3.3477076")</f>
        <v>3.3477076</v>
      </c>
      <c r="AA35" s="4" t="str">
        <f t="shared" si="1"/>
        <v>Not Neighbor</v>
      </c>
      <c r="AC35" s="4">
        <f>IFERROR(__xludf.DUMMYFUNCTION("IFERROR(ABS(O35-AVERAGE(FILTER(O35:O4103,AA35:AA4103=""Neighbor""))) / STDEV(FILTER(O35:O4103, AA35:AA4103 =""Neighbor"")), """")"),0.1449182721958217)</f>
        <v>0.1449182722</v>
      </c>
      <c r="AD35" s="4">
        <f>IFERROR(__xludf.DUMMYFUNCTION("IFERROR(ABS(P35-AVERAGE(FILTER(O35:P4103,AA35:AA4103=""Neighbor""))) / STDEV(FILTER(P35:P4103, AA35:AA4103 =""Neighbor"")), """")"),1.3570073123355866)</f>
        <v>1.357007312</v>
      </c>
      <c r="AE35" s="2">
        <f>IFERROR(__xludf.DUMMYFUNCTION("IFERROR(ABS(Q35-AVERAGE(FILTER(Q35:Q4103,AA35:AA4103=""Neighbor""))) / STDEV(FILTER(Q35:Q4103, AA35:AA4103 =""Neighbor"")), """")"),0.7032675129994721)</f>
        <v>0.703267513</v>
      </c>
      <c r="AF35" s="2">
        <f>IFERROR(__xludf.DUMMYFUNCTION("IFERROR(ABS(R35-AVERAGE(FILTER(R35:R4103,AA35:AA4103=""Neighbor""))) / STDEV(FILTER(R35:R4103, AA35:AA4103 =""Neighbor"")), """")"),0.10311380156153575)</f>
        <v>0.1031138016</v>
      </c>
    </row>
    <row r="36">
      <c r="A36" s="2" t="s">
        <v>28</v>
      </c>
      <c r="B36" s="2" t="s">
        <v>29</v>
      </c>
      <c r="C36" s="2" t="s">
        <v>179</v>
      </c>
      <c r="D36" s="2" t="s">
        <v>180</v>
      </c>
      <c r="E36" s="2" t="s">
        <v>181</v>
      </c>
      <c r="F36" s="2">
        <v>92.0</v>
      </c>
      <c r="G36" s="2">
        <v>381.0</v>
      </c>
      <c r="H36" s="2" t="b">
        <v>1</v>
      </c>
      <c r="I36" s="2">
        <v>-1.0</v>
      </c>
      <c r="J36" s="2" t="b">
        <v>0</v>
      </c>
      <c r="K36" s="2" t="b">
        <v>0</v>
      </c>
      <c r="L36" s="2" t="b">
        <v>0</v>
      </c>
      <c r="M36" s="2" t="b">
        <v>0</v>
      </c>
      <c r="N36" s="2" t="s">
        <v>33</v>
      </c>
      <c r="O36" s="2">
        <v>65.0</v>
      </c>
      <c r="P36" s="2">
        <v>3.0</v>
      </c>
      <c r="Q36" s="2">
        <v>18.0</v>
      </c>
      <c r="R36" s="2">
        <v>0.0</v>
      </c>
      <c r="S36" s="3" t="s">
        <v>182</v>
      </c>
      <c r="T36" s="2" t="s">
        <v>183</v>
      </c>
      <c r="Y36" s="4" t="str">
        <f>IFERROR(__xludf.DUMMYFUNCTION("""COMPUTED_VALUE"""),"7.1766772")</f>
        <v>7.1766772</v>
      </c>
      <c r="Z36" s="4" t="str">
        <f>IFERROR(__xludf.DUMMYFUNCTION("""COMPUTED_VALUE"""),"3.3486208")</f>
        <v>3.3486208</v>
      </c>
      <c r="AA36" s="4" t="str">
        <f t="shared" si="1"/>
        <v>Neighbor</v>
      </c>
      <c r="AC36" s="4">
        <f>IFERROR(__xludf.DUMMYFUNCTION("IFERROR(ABS(O36-AVERAGE(FILTER(O36:O4104,AA36:AA4104=""Neighbor""))) / STDEV(FILTER(O36:O4104, AA36:AA4104 =""Neighbor"")), """")"),0.02649585540329914)</f>
        <v>0.0264958554</v>
      </c>
      <c r="AD36" s="4">
        <f>IFERROR(__xludf.DUMMYFUNCTION("IFERROR(ABS(P36-AVERAGE(FILTER(O36:P4104,AA36:AA4104=""Neighbor""))) / STDEV(FILTER(P36:P4104, AA36:AA4104 =""Neighbor"")), """")"),1.5155689780098658)</f>
        <v>1.515568978</v>
      </c>
      <c r="AE36" s="2">
        <f>IFERROR(__xludf.DUMMYFUNCTION("IFERROR(ABS(Q36-AVERAGE(FILTER(Q36:Q4104,AA36:AA4104=""Neighbor""))) / STDEV(FILTER(Q36:Q4104, AA36:AA4104 =""Neighbor"")), """")"),0.26621828434953393)</f>
        <v>0.2662182843</v>
      </c>
      <c r="AF36" s="2">
        <f>IFERROR(__xludf.DUMMYFUNCTION("IFERROR(ABS(R36-AVERAGE(FILTER(R36:R4104,AA36:AA4104=""Neighbor""))) / STDEV(FILTER(R36:R4104, AA36:AA4104 =""Neighbor"")), """")"),0.10311380156153575)</f>
        <v>0.1031138016</v>
      </c>
    </row>
    <row r="37">
      <c r="A37" s="2" t="s">
        <v>28</v>
      </c>
      <c r="B37" s="2" t="s">
        <v>29</v>
      </c>
      <c r="C37" s="2" t="s">
        <v>179</v>
      </c>
      <c r="D37" s="2" t="s">
        <v>184</v>
      </c>
      <c r="E37" s="2" t="s">
        <v>185</v>
      </c>
      <c r="F37" s="2">
        <v>140.0</v>
      </c>
      <c r="G37" s="2">
        <v>751.0</v>
      </c>
      <c r="H37" s="2" t="b">
        <v>1</v>
      </c>
      <c r="I37" s="2">
        <v>-1.0</v>
      </c>
      <c r="J37" s="2" t="b">
        <v>0</v>
      </c>
      <c r="K37" s="2" t="b">
        <v>0</v>
      </c>
      <c r="L37" s="2" t="b">
        <v>0</v>
      </c>
      <c r="M37" s="2" t="b">
        <v>0</v>
      </c>
      <c r="N37" s="2" t="s">
        <v>33</v>
      </c>
      <c r="O37" s="2">
        <v>110.0</v>
      </c>
      <c r="P37" s="2">
        <v>5.0</v>
      </c>
      <c r="Q37" s="2">
        <v>17.0</v>
      </c>
      <c r="R37" s="2">
        <v>0.0</v>
      </c>
      <c r="S37" s="3" t="s">
        <v>186</v>
      </c>
      <c r="T37" s="2" t="s">
        <v>187</v>
      </c>
      <c r="Y37" s="4" t="str">
        <f>IFERROR(__xludf.DUMMYFUNCTION("""COMPUTED_VALUE"""),"7.1766772")</f>
        <v>7.1766772</v>
      </c>
      <c r="Z37" s="4" t="str">
        <f>IFERROR(__xludf.DUMMYFUNCTION("""COMPUTED_VALUE"""),"3.3486208")</f>
        <v>3.3486208</v>
      </c>
      <c r="AA37" s="4" t="str">
        <f t="shared" si="1"/>
        <v>Neighbor</v>
      </c>
      <c r="AC37" s="4">
        <f>IFERROR(__xludf.DUMMYFUNCTION("IFERROR(ABS(O37-AVERAGE(FILTER(O37:O4105,AA37:AA4105=""Neighbor""))) / STDEV(FILTER(O37:O4105, AA37:AA4105 =""Neighbor"")), """")"),1.0390000978178155)</f>
        <v>1.039000098</v>
      </c>
      <c r="AD37" s="4">
        <f>IFERROR(__xludf.DUMMYFUNCTION("IFERROR(ABS(P37-AVERAGE(FILTER(O37:P4105,AA37:AA4105=""Neighbor""))) / STDEV(FILTER(P37:P4105, AA37:AA4105 =""Neighbor"")), """")"),1.4361590276797858)</f>
        <v>1.436159028</v>
      </c>
      <c r="AE37" s="2">
        <f>IFERROR(__xludf.DUMMYFUNCTION("IFERROR(ABS(Q37-AVERAGE(FILTER(Q37:Q4105,AA37:AA4105=""Neighbor""))) / STDEV(FILTER(Q37:Q4105, AA37:AA4105 =""Neighbor"")), """")"),0.30999163945204616)</f>
        <v>0.3099916395</v>
      </c>
      <c r="AF37" s="2">
        <f>IFERROR(__xludf.DUMMYFUNCTION("IFERROR(ABS(R37-AVERAGE(FILTER(R37:R4105,AA37:AA4105=""Neighbor""))) / STDEV(FILTER(R37:R4105, AA37:AA4105 =""Neighbor"")), """")"),0.10314297211055802)</f>
        <v>0.1031429721</v>
      </c>
    </row>
    <row r="38">
      <c r="A38" s="2" t="s">
        <v>28</v>
      </c>
      <c r="B38" s="2" t="s">
        <v>29</v>
      </c>
      <c r="C38" s="2" t="s">
        <v>179</v>
      </c>
      <c r="D38" s="2" t="s">
        <v>188</v>
      </c>
      <c r="E38" s="2" t="s">
        <v>189</v>
      </c>
      <c r="F38" s="2">
        <v>127.0</v>
      </c>
      <c r="G38" s="2">
        <v>652.0</v>
      </c>
      <c r="H38" s="2" t="b">
        <v>1</v>
      </c>
      <c r="I38" s="2">
        <v>-1.0</v>
      </c>
      <c r="J38" s="2" t="b">
        <v>0</v>
      </c>
      <c r="K38" s="2" t="b">
        <v>0</v>
      </c>
      <c r="L38" s="2" t="b">
        <v>0</v>
      </c>
      <c r="M38" s="2" t="b">
        <v>0</v>
      </c>
      <c r="N38" s="2" t="s">
        <v>33</v>
      </c>
      <c r="O38" s="2">
        <v>86.0</v>
      </c>
      <c r="P38" s="2">
        <v>5.0</v>
      </c>
      <c r="Q38" s="2">
        <v>18.0</v>
      </c>
      <c r="R38" s="2">
        <v>0.0</v>
      </c>
      <c r="S38" s="3" t="s">
        <v>190</v>
      </c>
      <c r="T38" s="2" t="s">
        <v>191</v>
      </c>
      <c r="Y38" s="4" t="str">
        <f>IFERROR(__xludf.DUMMYFUNCTION("""COMPUTED_VALUE"""),"7.1766772")</f>
        <v>7.1766772</v>
      </c>
      <c r="Z38" s="4" t="str">
        <f>IFERROR(__xludf.DUMMYFUNCTION("""COMPUTED_VALUE"""),"3.3486208")</f>
        <v>3.3486208</v>
      </c>
      <c r="AA38" s="4" t="str">
        <f t="shared" si="1"/>
        <v>Not Neighbor</v>
      </c>
      <c r="AC38" s="4">
        <f>IFERROR(__xludf.DUMMYFUNCTION("IFERROR(ABS(O38-AVERAGE(FILTER(O38:O4106,AA38:AA4106=""Neighbor""))) / STDEV(FILTER(O38:O4106, AA38:AA4106 =""Neighbor"")), """")"),0.47132462084266713)</f>
        <v>0.4713246208</v>
      </c>
      <c r="AD38" s="4">
        <f>IFERROR(__xludf.DUMMYFUNCTION("IFERROR(ABS(P38-AVERAGE(FILTER(O38:P4106,AA38:AA4106=""Neighbor""))) / STDEV(FILTER(P38:P4106, AA38:AA4106 =""Neighbor"")), """")"),1.4354767924083878)</f>
        <v>1.435476792</v>
      </c>
      <c r="AE38" s="2">
        <f>IFERROR(__xludf.DUMMYFUNCTION("IFERROR(ABS(Q38-AVERAGE(FILTER(Q38:Q4106,AA38:AA4106=""Neighbor""))) / STDEV(FILTER(Q38:Q4106, AA38:AA4106 =""Neighbor"")), """")"),0.2664043395450307)</f>
        <v>0.2664043395</v>
      </c>
      <c r="AF38" s="2">
        <f>IFERROR(__xludf.DUMMYFUNCTION("IFERROR(ABS(R38-AVERAGE(FILTER(R38:R4106,AA38:AA4106=""Neighbor""))) / STDEV(FILTER(R38:R4106, AA38:AA4106 =""Neighbor"")), """")"),0.10317216743053084)</f>
        <v>0.1031721674</v>
      </c>
    </row>
    <row r="39">
      <c r="A39" s="2" t="s">
        <v>28</v>
      </c>
      <c r="B39" s="2" t="s">
        <v>29</v>
      </c>
      <c r="C39" s="2" t="s">
        <v>179</v>
      </c>
      <c r="D39" s="2" t="s">
        <v>192</v>
      </c>
      <c r="E39" s="2" t="s">
        <v>193</v>
      </c>
      <c r="F39" s="2">
        <v>115.0</v>
      </c>
      <c r="G39" s="2">
        <v>817.0</v>
      </c>
      <c r="H39" s="2" t="b">
        <v>1</v>
      </c>
      <c r="I39" s="2">
        <v>-1.0</v>
      </c>
      <c r="J39" s="2" t="b">
        <v>0</v>
      </c>
      <c r="K39" s="2" t="b">
        <v>0</v>
      </c>
      <c r="L39" s="2" t="b">
        <v>0</v>
      </c>
      <c r="M39" s="2" t="b">
        <v>0</v>
      </c>
      <c r="N39" s="2" t="s">
        <v>33</v>
      </c>
      <c r="O39" s="2">
        <v>79.0</v>
      </c>
      <c r="P39" s="2">
        <v>5.0</v>
      </c>
      <c r="Q39" s="2">
        <v>23.0</v>
      </c>
      <c r="R39" s="2">
        <v>0.0</v>
      </c>
      <c r="S39" s="3" t="s">
        <v>194</v>
      </c>
      <c r="T39" s="2" t="s">
        <v>195</v>
      </c>
      <c r="Y39" s="4" t="str">
        <f>IFERROR(__xludf.DUMMYFUNCTION("""COMPUTED_VALUE"""),"7.204739")</f>
        <v>7.204739</v>
      </c>
      <c r="Z39" s="4" t="str">
        <f>IFERROR(__xludf.DUMMYFUNCTION("""COMPUTED_VALUE"""),"3.3237824")</f>
        <v>3.3237824</v>
      </c>
      <c r="AA39" s="4" t="str">
        <f t="shared" si="1"/>
        <v>Neighbor</v>
      </c>
      <c r="AC39" s="4">
        <f>IFERROR(__xludf.DUMMYFUNCTION("IFERROR(ABS(O39-AVERAGE(FILTER(O39:O4107,AA39:AA4107=""Neighbor""))) / STDEV(FILTER(O39:O4107, AA39:AA4107 =""Neighbor"")), """")"),0.305575927055299)</f>
        <v>0.3055759271</v>
      </c>
      <c r="AD39" s="4">
        <f>IFERROR(__xludf.DUMMYFUNCTION("IFERROR(ABS(P39-AVERAGE(FILTER(O39:P4107,AA39:AA4107=""Neighbor""))) / STDEV(FILTER(P39:P4107, AA39:AA4107 =""Neighbor"")), """")"),1.4354767924083878)</f>
        <v>1.435476792</v>
      </c>
      <c r="AE39" s="2">
        <f>IFERROR(__xludf.DUMMYFUNCTION("IFERROR(ABS(Q39-AVERAGE(FILTER(Q39:Q4107,AA39:AA4107=""Neighbor""))) / STDEV(FILTER(Q39:Q4107, AA39:AA4107 =""Neighbor"")), """")"),0.04799195822686214)</f>
        <v>0.04799195823</v>
      </c>
      <c r="AF39" s="2">
        <f>IFERROR(__xludf.DUMMYFUNCTION("IFERROR(ABS(R39-AVERAGE(FILTER(R39:R4107,AA39:AA4107=""Neighbor""))) / STDEV(FILTER(R39:R4107, AA39:AA4107 =""Neighbor"")), """")"),0.10317216743053084)</f>
        <v>0.1031721674</v>
      </c>
    </row>
    <row r="40">
      <c r="A40" s="2" t="s">
        <v>28</v>
      </c>
      <c r="B40" s="2" t="s">
        <v>29</v>
      </c>
      <c r="C40" s="2" t="s">
        <v>179</v>
      </c>
      <c r="D40" s="2" t="s">
        <v>196</v>
      </c>
      <c r="E40" s="2" t="s">
        <v>197</v>
      </c>
      <c r="F40" s="2">
        <v>98.0</v>
      </c>
      <c r="G40" s="2">
        <v>613.0</v>
      </c>
      <c r="H40" s="2" t="b">
        <v>1</v>
      </c>
      <c r="I40" s="2">
        <v>-1.0</v>
      </c>
      <c r="J40" s="2" t="b">
        <v>0</v>
      </c>
      <c r="K40" s="2" t="b">
        <v>1</v>
      </c>
      <c r="L40" s="2" t="b">
        <v>0</v>
      </c>
      <c r="M40" s="2" t="b">
        <v>0</v>
      </c>
      <c r="N40" s="2" t="s">
        <v>33</v>
      </c>
      <c r="O40" s="2">
        <v>69.0</v>
      </c>
      <c r="P40" s="2">
        <v>1.0</v>
      </c>
      <c r="Q40" s="2">
        <v>17.0</v>
      </c>
      <c r="R40" s="2">
        <v>0.0</v>
      </c>
      <c r="S40" s="3" t="s">
        <v>198</v>
      </c>
      <c r="T40" s="2" t="s">
        <v>199</v>
      </c>
      <c r="Y40" s="4" t="str">
        <f>IFERROR(__xludf.DUMMYFUNCTION("""COMPUTED_VALUE"""),"7.204739")</f>
        <v>7.204739</v>
      </c>
      <c r="Z40" s="4" t="str">
        <f>IFERROR(__xludf.DUMMYFUNCTION("""COMPUTED_VALUE"""),"3.3237824")</f>
        <v>3.3237824</v>
      </c>
      <c r="AA40" s="4" t="str">
        <f t="shared" si="1"/>
        <v>Neighbor</v>
      </c>
      <c r="AC40" s="4">
        <f>IFERROR(__xludf.DUMMYFUNCTION("IFERROR(ABS(O40-AVERAGE(FILTER(O40:O4108,AA40:AA4108=""Neighbor""))) / STDEV(FILTER(O40:O4108, AA40:AA4108 =""Neighbor"")), """")"),0.06894592633518132)</f>
        <v>0.06894592634</v>
      </c>
      <c r="AD40" s="4">
        <f>IFERROR(__xludf.DUMMYFUNCTION("IFERROR(ABS(P40-AVERAGE(FILTER(O40:P4108,AA40:AA4108=""Neighbor""))) / STDEV(FILTER(P40:P4108, AA40:AA4108 =""Neighbor"")), """")"),1.5935974436798743)</f>
        <v>1.593597444</v>
      </c>
      <c r="AE40" s="2">
        <f>IFERROR(__xludf.DUMMYFUNCTION("IFERROR(ABS(Q40-AVERAGE(FILTER(Q40:Q4108,AA40:AA4108=""Neighbor""))) / STDEV(FILTER(Q40:Q4108, AA40:AA4108 =""Neighbor"")), """")"),0.3100269563452665)</f>
        <v>0.3100269563</v>
      </c>
      <c r="AF40" s="2">
        <f>IFERROR(__xludf.DUMMYFUNCTION("IFERROR(ABS(R40-AVERAGE(FILTER(R40:R4108,AA40:AA4108=""Neighbor""))) / STDEV(FILTER(R40:R4108, AA40:AA4108 =""Neighbor"")), """")"),0.10320138755653215)</f>
        <v>0.1032013876</v>
      </c>
    </row>
    <row r="41">
      <c r="A41" s="2" t="s">
        <v>28</v>
      </c>
      <c r="B41" s="2" t="s">
        <v>29</v>
      </c>
      <c r="C41" s="2" t="s">
        <v>179</v>
      </c>
      <c r="D41" s="2" t="s">
        <v>200</v>
      </c>
      <c r="E41" s="2" t="s">
        <v>201</v>
      </c>
      <c r="F41" s="2">
        <v>154.0</v>
      </c>
      <c r="G41" s="2">
        <v>883.0</v>
      </c>
      <c r="H41" s="2" t="b">
        <v>1</v>
      </c>
      <c r="I41" s="2">
        <v>-1.0</v>
      </c>
      <c r="J41" s="2" t="b">
        <v>0</v>
      </c>
      <c r="K41" s="2" t="b">
        <v>0</v>
      </c>
      <c r="L41" s="2" t="b">
        <v>0</v>
      </c>
      <c r="M41" s="2" t="b">
        <v>0</v>
      </c>
      <c r="N41" s="2" t="s">
        <v>33</v>
      </c>
      <c r="O41" s="2">
        <v>79.0</v>
      </c>
      <c r="P41" s="2">
        <v>7.0</v>
      </c>
      <c r="Q41" s="2">
        <v>39.0</v>
      </c>
      <c r="R41" s="2">
        <v>0.0</v>
      </c>
      <c r="S41" s="3" t="s">
        <v>202</v>
      </c>
      <c r="T41" s="2" t="s">
        <v>203</v>
      </c>
      <c r="Y41" s="4" t="str">
        <f>IFERROR(__xludf.DUMMYFUNCTION("""COMPUTED_VALUE"""),"7.204739")</f>
        <v>7.204739</v>
      </c>
      <c r="Z41" s="4" t="str">
        <f>IFERROR(__xludf.DUMMYFUNCTION("""COMPUTED_VALUE"""),"3.3237824")</f>
        <v>3.3237824</v>
      </c>
      <c r="AA41" s="4" t="str">
        <f t="shared" si="1"/>
        <v>Neighbor</v>
      </c>
      <c r="AC41" s="4">
        <f>IFERROR(__xludf.DUMMYFUNCTION("IFERROR(ABS(O41-AVERAGE(FILTER(O41:O4109,AA41:AA4109=""Neighbor""))) / STDEV(FILTER(O41:O4109, AA41:AA4109 =""Neighbor"")), """")"),0.30562287640031144)</f>
        <v>0.3056228764</v>
      </c>
      <c r="AD41" s="4">
        <f>IFERROR(__xludf.DUMMYFUNCTION("IFERROR(ABS(P41-AVERAGE(FILTER(O41:P4109,AA41:AA4109=""Neighbor""))) / STDEV(FILTER(P41:P4109, AA41:AA4109 =""Neighbor"")), """")"),1.3558082087654537)</f>
        <v>1.355808209</v>
      </c>
      <c r="AE41" s="2">
        <f>IFERROR(__xludf.DUMMYFUNCTION("IFERROR(ABS(Q41-AVERAGE(FILTER(Q41:Q4109,AA41:AA4109=""Neighbor""))) / STDEV(FILTER(Q41:Q4109, AA41:AA4109 =""Neighbor"")), """")"),0.6503796261276554)</f>
        <v>0.6503796261</v>
      </c>
      <c r="AF41" s="2">
        <f>IFERROR(__xludf.DUMMYFUNCTION("IFERROR(ABS(R41-AVERAGE(FILTER(R41:R4109,AA41:AA4109=""Neighbor""))) / STDEV(FILTER(R41:R4109, AA41:AA4109 =""Neighbor"")), """")"),0.10323063252371018)</f>
        <v>0.1032306325</v>
      </c>
    </row>
    <row r="42">
      <c r="A42" s="2" t="s">
        <v>28</v>
      </c>
      <c r="B42" s="2" t="s">
        <v>29</v>
      </c>
      <c r="C42" s="2" t="s">
        <v>179</v>
      </c>
      <c r="D42" s="2" t="s">
        <v>204</v>
      </c>
      <c r="E42" s="2" t="s">
        <v>205</v>
      </c>
      <c r="F42" s="2">
        <v>107.0</v>
      </c>
      <c r="G42" s="2">
        <v>545.0</v>
      </c>
      <c r="H42" s="2" t="b">
        <v>1</v>
      </c>
      <c r="I42" s="2">
        <v>-1.0</v>
      </c>
      <c r="J42" s="2" t="b">
        <v>0</v>
      </c>
      <c r="K42" s="2" t="b">
        <v>0</v>
      </c>
      <c r="L42" s="2" t="b">
        <v>0</v>
      </c>
      <c r="M42" s="2" t="b">
        <v>0</v>
      </c>
      <c r="N42" s="2" t="s">
        <v>33</v>
      </c>
      <c r="O42" s="2">
        <v>60.0</v>
      </c>
      <c r="P42" s="2">
        <v>5.0</v>
      </c>
      <c r="Q42" s="2">
        <v>36.0</v>
      </c>
      <c r="R42" s="2">
        <v>0.0</v>
      </c>
      <c r="S42" s="3" t="s">
        <v>206</v>
      </c>
      <c r="T42" s="2" t="s">
        <v>207</v>
      </c>
      <c r="Y42" s="4" t="str">
        <f>IFERROR(__xludf.DUMMYFUNCTION("""COMPUTED_VALUE"""),"7.204739")</f>
        <v>7.204739</v>
      </c>
      <c r="Z42" s="4" t="str">
        <f>IFERROR(__xludf.DUMMYFUNCTION("""COMPUTED_VALUE"""),"3.3237824")</f>
        <v>3.3237824</v>
      </c>
      <c r="AA42" s="4" t="str">
        <f t="shared" si="1"/>
        <v>Not Neighbor</v>
      </c>
      <c r="AC42" s="4">
        <f>IFERROR(__xludf.DUMMYFUNCTION("IFERROR(ABS(O42-AVERAGE(FILTER(O42:O4110,AA42:AA4110=""Neighbor""))) / STDEV(FILTER(O42:O4110, AA42:AA4110 =""Neighbor"")), """")"),0.14381820395138623)</f>
        <v>0.143818204</v>
      </c>
      <c r="AD42" s="4">
        <f>IFERROR(__xludf.DUMMYFUNCTION("IFERROR(ABS(P42-AVERAGE(FILTER(O42:P4110,AA42:AA4110=""Neighbor""))) / STDEV(FILTER(P42:P4110, AA42:AA4110 =""Neighbor"")), """")"),1.4346369380812263)</f>
        <v>1.434636938</v>
      </c>
      <c r="AE42" s="2">
        <f>IFERROR(__xludf.DUMMYFUNCTION("IFERROR(ABS(Q42-AVERAGE(FILTER(Q42:Q4110,AA42:AA4110=""Neighbor""))) / STDEV(FILTER(Q42:Q4110, AA42:AA4110 =""Neighbor"")), """")"),0.5196830849488101)</f>
        <v>0.5196830849</v>
      </c>
      <c r="AF42" s="2">
        <f>IFERROR(__xludf.DUMMYFUNCTION("IFERROR(ABS(R42-AVERAGE(FILTER(R42:R4110,AA42:AA4110=""Neighbor""))) / STDEV(FILTER(R42:R4110, AA42:AA4110 =""Neighbor"")), """")"),0.10325990236728234)</f>
        <v>0.1032599024</v>
      </c>
    </row>
    <row r="43">
      <c r="A43" s="2" t="s">
        <v>28</v>
      </c>
      <c r="B43" s="2" t="s">
        <v>29</v>
      </c>
      <c r="C43" s="2" t="s">
        <v>179</v>
      </c>
      <c r="D43" s="2" t="s">
        <v>208</v>
      </c>
      <c r="E43" s="2" t="s">
        <v>209</v>
      </c>
      <c r="F43" s="2">
        <v>170.0</v>
      </c>
      <c r="G43" s="2">
        <v>841.0</v>
      </c>
      <c r="H43" s="2" t="b">
        <v>1</v>
      </c>
      <c r="I43" s="2">
        <v>-1.0</v>
      </c>
      <c r="J43" s="2" t="b">
        <v>0</v>
      </c>
      <c r="K43" s="2" t="b">
        <v>0</v>
      </c>
      <c r="L43" s="2" t="b">
        <v>0</v>
      </c>
      <c r="M43" s="2" t="b">
        <v>0</v>
      </c>
      <c r="N43" s="2" t="s">
        <v>33</v>
      </c>
      <c r="O43" s="2">
        <v>108.0</v>
      </c>
      <c r="P43" s="2">
        <v>9.0</v>
      </c>
      <c r="Q43" s="2">
        <v>22.0</v>
      </c>
      <c r="R43" s="2">
        <v>1.0</v>
      </c>
      <c r="S43" s="3" t="s">
        <v>210</v>
      </c>
      <c r="T43" s="2" t="s">
        <v>211</v>
      </c>
      <c r="Y43" s="4" t="str">
        <f>IFERROR(__xludf.DUMMYFUNCTION("""COMPUTED_VALUE"""),"7.1858171")</f>
        <v>7.1858171</v>
      </c>
      <c r="Z43" s="4" t="str">
        <f>IFERROR(__xludf.DUMMYFUNCTION("""COMPUTED_VALUE"""),"3.3433496")</f>
        <v>3.3433496</v>
      </c>
      <c r="AA43" s="4" t="str">
        <f t="shared" si="1"/>
        <v>Not Neighbor</v>
      </c>
      <c r="AC43" s="4">
        <f>IFERROR(__xludf.DUMMYFUNCTION("IFERROR(ABS(O43-AVERAGE(FILTER(O43:O4111,AA43:AA4111=""Neighbor""))) / STDEV(FILTER(O43:O4111, AA43:AA4111 =""Neighbor"")), """")"),0.9918487662496209)</f>
        <v>0.9918487662</v>
      </c>
      <c r="AD43" s="4">
        <f>IFERROR(__xludf.DUMMYFUNCTION("IFERROR(ABS(P43-AVERAGE(FILTER(O43:P4111,AA43:AA4111=""Neighbor""))) / STDEV(FILTER(P43:P4111, AA43:AA4111 =""Neighbor"")), """")"),1.2762444646111926)</f>
        <v>1.276244465</v>
      </c>
      <c r="AE43" s="2">
        <f>IFERROR(__xludf.DUMMYFUNCTION("IFERROR(ABS(Q43-AVERAGE(FILTER(Q43:Q4111,AA43:AA4111=""Neighbor""))) / STDEV(FILTER(Q43:Q4111, AA43:AA4111 =""Neighbor"")), """")"),0.09144637975494077)</f>
        <v>0.09144637975</v>
      </c>
      <c r="AF43" s="2">
        <f>IFERROR(__xludf.DUMMYFUNCTION("IFERROR(ABS(R43-AVERAGE(FILTER(R43:R4111,AA43:AA4111=""Neighbor""))) / STDEV(FILTER(R43:R4111, AA43:AA4111 =""Neighbor"")), """")"),0.09927961978704569)</f>
        <v>0.09927961979</v>
      </c>
    </row>
    <row r="44">
      <c r="A44" s="2" t="s">
        <v>28</v>
      </c>
      <c r="B44" s="2" t="s">
        <v>29</v>
      </c>
      <c r="C44" s="2" t="s">
        <v>179</v>
      </c>
      <c r="D44" s="2" t="s">
        <v>212</v>
      </c>
      <c r="E44" s="2" t="s">
        <v>213</v>
      </c>
      <c r="F44" s="2">
        <v>157.0</v>
      </c>
      <c r="G44" s="2">
        <v>925.0</v>
      </c>
      <c r="H44" s="2" t="b">
        <v>1</v>
      </c>
      <c r="I44" s="2">
        <v>-1.0</v>
      </c>
      <c r="J44" s="2" t="b">
        <v>0</v>
      </c>
      <c r="K44" s="2" t="b">
        <v>0</v>
      </c>
      <c r="L44" s="2" t="b">
        <v>0</v>
      </c>
      <c r="M44" s="2" t="b">
        <v>0</v>
      </c>
      <c r="N44" s="2" t="s">
        <v>33</v>
      </c>
      <c r="O44" s="2">
        <v>120.0</v>
      </c>
      <c r="P44" s="2">
        <v>8.0</v>
      </c>
      <c r="Q44" s="2">
        <v>13.0</v>
      </c>
      <c r="R44" s="2">
        <v>0.0</v>
      </c>
      <c r="S44" s="3" t="s">
        <v>214</v>
      </c>
      <c r="T44" s="2" t="s">
        <v>215</v>
      </c>
      <c r="Y44" s="4" t="str">
        <f>IFERROR(__xludf.DUMMYFUNCTION("""COMPUTED_VALUE"""),"7.204739")</f>
        <v>7.204739</v>
      </c>
      <c r="Z44" s="4" t="str">
        <f>IFERROR(__xludf.DUMMYFUNCTION("""COMPUTED_VALUE"""),"3.3237824")</f>
        <v>3.3237824</v>
      </c>
      <c r="AA44" s="4" t="str">
        <f t="shared" si="1"/>
        <v>Neighbor</v>
      </c>
      <c r="AC44" s="4">
        <f>IFERROR(__xludf.DUMMYFUNCTION("IFERROR(ABS(O44-AVERAGE(FILTER(O44:O4112,AA44:AA4112=""Neighbor""))) / STDEV(FILTER(O44:O4112, AA44:AA4112 =""Neighbor"")), """")"),1.2757655087998727)</f>
        <v>1.275765509</v>
      </c>
      <c r="AD44" s="4">
        <f>IFERROR(__xludf.DUMMYFUNCTION("IFERROR(ABS(P44-AVERAGE(FILTER(O44:P4112,AA44:AA4112=""Neighbor""))) / STDEV(FILTER(P44:P4112, AA44:AA4112 =""Neighbor"")), """")"),1.315842582978701)</f>
        <v>1.315842583</v>
      </c>
      <c r="AE44" s="2">
        <f>IFERROR(__xludf.DUMMYFUNCTION("IFERROR(ABS(Q44-AVERAGE(FILTER(Q44:Q4112,AA44:AA4112=""Neighbor""))) / STDEV(FILTER(Q44:Q4112, AA44:AA4112 =""Neighbor"")), """")"),0.4843153213502092)</f>
        <v>0.4843153214</v>
      </c>
      <c r="AF44" s="2">
        <f>IFERROR(__xludf.DUMMYFUNCTION("IFERROR(ABS(R44-AVERAGE(FILTER(R44:R4112,AA44:AA4112=""Neighbor""))) / STDEV(FILTER(R44:R4112, AA44:AA4112 =""Neighbor"")), """")"),0.10325990236728234)</f>
        <v>0.1032599024</v>
      </c>
    </row>
    <row r="45">
      <c r="A45" s="2" t="s">
        <v>28</v>
      </c>
      <c r="B45" s="2" t="s">
        <v>29</v>
      </c>
      <c r="C45" s="2" t="s">
        <v>179</v>
      </c>
      <c r="D45" s="2" t="s">
        <v>216</v>
      </c>
      <c r="E45" s="2" t="s">
        <v>217</v>
      </c>
      <c r="F45" s="2">
        <v>126.0</v>
      </c>
      <c r="G45" s="2">
        <v>766.0</v>
      </c>
      <c r="H45" s="2" t="b">
        <v>1</v>
      </c>
      <c r="I45" s="2">
        <v>-1.0</v>
      </c>
      <c r="J45" s="2" t="b">
        <v>0</v>
      </c>
      <c r="K45" s="2" t="b">
        <v>0</v>
      </c>
      <c r="L45" s="2" t="b">
        <v>0</v>
      </c>
      <c r="M45" s="2" t="b">
        <v>0</v>
      </c>
      <c r="N45" s="2" t="s">
        <v>33</v>
      </c>
      <c r="O45" s="2">
        <v>72.0</v>
      </c>
      <c r="P45" s="2">
        <v>6.0</v>
      </c>
      <c r="Q45" s="2">
        <v>33.0</v>
      </c>
      <c r="R45" s="2">
        <v>0.0</v>
      </c>
      <c r="S45" s="3" t="s">
        <v>218</v>
      </c>
      <c r="T45" s="2" t="s">
        <v>219</v>
      </c>
      <c r="Y45" s="4" t="str">
        <f>IFERROR(__xludf.DUMMYFUNCTION("""COMPUTED_VALUE"""),"7.204739")</f>
        <v>7.204739</v>
      </c>
      <c r="Z45" s="4" t="str">
        <f>IFERROR(__xludf.DUMMYFUNCTION("""COMPUTED_VALUE"""),"3.3237824")</f>
        <v>3.3237824</v>
      </c>
      <c r="AA45" s="4" t="str">
        <f t="shared" si="1"/>
        <v>Neighbor</v>
      </c>
      <c r="AC45" s="4">
        <f>IFERROR(__xludf.DUMMYFUNCTION("IFERROR(ABS(O45-AVERAGE(FILTER(O45:O4113,AA45:AA4113=""Neighbor""))) / STDEV(FILTER(O45:O4113, AA45:AA4113 =""Neighbor"")), """")"),0.14084014126748873)</f>
        <v>0.1408401413</v>
      </c>
      <c r="AD45" s="4">
        <f>IFERROR(__xludf.DUMMYFUNCTION("IFERROR(ABS(P45-AVERAGE(FILTER(O45:P4113,AA45:AA4113=""Neighbor""))) / STDEV(FILTER(P45:P4113, AA45:AA4113 =""Neighbor"")), """")"),1.3941836565876895)</f>
        <v>1.394183657</v>
      </c>
      <c r="AE45" s="2">
        <f>IFERROR(__xludf.DUMMYFUNCTION("IFERROR(ABS(Q45-AVERAGE(FILTER(Q45:Q4113,AA45:AA4113=""Neighbor""))) / STDEV(FILTER(Q45:Q4113, AA45:AA4113 =""Neighbor"")), """")"),0.3883711562347628)</f>
        <v>0.3883711562</v>
      </c>
      <c r="AF45" s="2">
        <f>IFERROR(__xludf.DUMMYFUNCTION("IFERROR(ABS(R45-AVERAGE(FILTER(R45:R4113,AA45:AA4113=""Neighbor""))) / STDEV(FILTER(R45:R4113, AA45:AA4113 =""Neighbor"")), """")"),0.10328919712253631)</f>
        <v>0.1032891971</v>
      </c>
    </row>
    <row r="46">
      <c r="A46" s="2" t="s">
        <v>28</v>
      </c>
      <c r="B46" s="2" t="s">
        <v>29</v>
      </c>
      <c r="C46" s="2" t="s">
        <v>179</v>
      </c>
      <c r="D46" s="2" t="s">
        <v>220</v>
      </c>
      <c r="E46" s="2" t="s">
        <v>221</v>
      </c>
      <c r="F46" s="2">
        <v>108.0</v>
      </c>
      <c r="G46" s="2">
        <v>743.0</v>
      </c>
      <c r="H46" s="2" t="b">
        <v>1</v>
      </c>
      <c r="I46" s="2">
        <v>-1.0</v>
      </c>
      <c r="J46" s="2" t="b">
        <v>0</v>
      </c>
      <c r="K46" s="2" t="b">
        <v>0</v>
      </c>
      <c r="L46" s="2" t="b">
        <v>0</v>
      </c>
      <c r="M46" s="2" t="b">
        <v>0</v>
      </c>
      <c r="N46" s="2" t="s">
        <v>33</v>
      </c>
      <c r="O46" s="2">
        <v>87.0</v>
      </c>
      <c r="P46" s="2">
        <v>3.0</v>
      </c>
      <c r="Q46" s="2">
        <v>12.0</v>
      </c>
      <c r="R46" s="2">
        <v>0.0</v>
      </c>
      <c r="S46" s="3" t="s">
        <v>222</v>
      </c>
      <c r="T46" s="2" t="s">
        <v>223</v>
      </c>
      <c r="Y46" s="4" t="str">
        <f>IFERROR(__xludf.DUMMYFUNCTION("""COMPUTED_VALUE"""),"7.204739")</f>
        <v>7.204739</v>
      </c>
      <c r="Z46" s="4" t="str">
        <f>IFERROR(__xludf.DUMMYFUNCTION("""COMPUTED_VALUE"""),"3.3237824")</f>
        <v>3.3237824</v>
      </c>
      <c r="AA46" s="4" t="str">
        <f t="shared" si="1"/>
        <v>Neighbor</v>
      </c>
      <c r="AC46" s="4">
        <f>IFERROR(__xludf.DUMMYFUNCTION("IFERROR(ABS(O46-AVERAGE(FILTER(O46:O4114,AA46:AA4114=""Neighbor""))) / STDEV(FILTER(O46:O4114, AA46:AA4114 =""Neighbor"")), """")"),0.495741319611832)</f>
        <v>0.4957413196</v>
      </c>
      <c r="AD46" s="4">
        <f>IFERROR(__xludf.DUMMYFUNCTION("IFERROR(ABS(P46-AVERAGE(FILTER(O46:P4114,AA46:AA4114=""Neighbor""))) / STDEV(FILTER(P46:P4114, AA46:AA4114 =""Neighbor"")), """")"),1.5126442679585073)</f>
        <v>1.512644268</v>
      </c>
      <c r="AE46" s="2">
        <f>IFERROR(__xludf.DUMMYFUNCTION("IFERROR(ABS(Q46-AVERAGE(FILTER(Q46:Q4114,AA46:AA4114=""Neighbor""))) / STDEV(FILTER(Q46:Q4114, AA46:AA4114 =""Neighbor"")), """")"),0.5277816137880652)</f>
        <v>0.5277816138</v>
      </c>
      <c r="AF46" s="2">
        <f>IFERROR(__xludf.DUMMYFUNCTION("IFERROR(ABS(R46-AVERAGE(FILTER(R46:R4114,AA46:AA4114=""Neighbor""))) / STDEV(FILTER(R46:R4114, AA46:AA4114 =""Neighbor"")), """")"),0.10331851682482981)</f>
        <v>0.1033185168</v>
      </c>
    </row>
    <row r="47">
      <c r="A47" s="2" t="s">
        <v>28</v>
      </c>
      <c r="B47" s="2" t="s">
        <v>29</v>
      </c>
      <c r="C47" s="2" t="s">
        <v>179</v>
      </c>
      <c r="D47" s="2" t="s">
        <v>224</v>
      </c>
      <c r="E47" s="2" t="s">
        <v>225</v>
      </c>
      <c r="F47" s="2">
        <v>214.0</v>
      </c>
      <c r="G47" s="2">
        <v>1292.0</v>
      </c>
      <c r="H47" s="2" t="b">
        <v>1</v>
      </c>
      <c r="I47" s="2">
        <v>-1.0</v>
      </c>
      <c r="J47" s="2" t="b">
        <v>0</v>
      </c>
      <c r="K47" s="2" t="b">
        <v>0</v>
      </c>
      <c r="L47" s="2" t="b">
        <v>0</v>
      </c>
      <c r="M47" s="2" t="b">
        <v>0</v>
      </c>
      <c r="N47" s="2" t="s">
        <v>33</v>
      </c>
      <c r="O47" s="2">
        <v>120.0</v>
      </c>
      <c r="P47" s="2">
        <v>39.0</v>
      </c>
      <c r="Q47" s="2">
        <v>27.0</v>
      </c>
      <c r="R47" s="2">
        <v>0.0</v>
      </c>
      <c r="S47" s="3" t="s">
        <v>226</v>
      </c>
      <c r="T47" s="2" t="s">
        <v>227</v>
      </c>
      <c r="Y47" s="4" t="str">
        <f>IFERROR(__xludf.DUMMYFUNCTION("""COMPUTED_VALUE"""),"7.204739")</f>
        <v>7.204739</v>
      </c>
      <c r="Z47" s="4" t="str">
        <f>IFERROR(__xludf.DUMMYFUNCTION("""COMPUTED_VALUE"""),"3.3237824")</f>
        <v>3.3237824</v>
      </c>
      <c r="AA47" s="4" t="str">
        <f t="shared" si="1"/>
        <v>Not Neighbor</v>
      </c>
      <c r="AC47" s="4">
        <f>IFERROR(__xludf.DUMMYFUNCTION("IFERROR(ABS(O47-AVERAGE(FILTER(O47:O4115,AA47:AA4115=""Neighbor""))) / STDEV(FILTER(O47:O4115, AA47:AA4115 =""Neighbor"")), """")"),1.276443166731641)</f>
        <v>1.276443167</v>
      </c>
      <c r="AD47" s="4">
        <f>IFERROR(__xludf.DUMMYFUNCTION("IFERROR(ABS(P47-AVERAGE(FILTER(O47:P4115,AA47:AA4115=""Neighbor""))) / STDEV(FILTER(P47:P4115, AA47:AA4115 =""Neighbor"")), """")"),0.08769932739248205)</f>
        <v>0.08769932739</v>
      </c>
      <c r="AE47" s="2">
        <f>IFERROR(__xludf.DUMMYFUNCTION("IFERROR(ABS(Q47-AVERAGE(FILTER(Q47:Q4115,AA47:AA4115=""Neighbor""))) / STDEV(FILTER(Q47:Q4115, AA47:AA4115 =""Neighbor"")), """")"),0.12638041863645266)</f>
        <v>0.1263804186</v>
      </c>
      <c r="AF47" s="2">
        <f>IFERROR(__xludf.DUMMYFUNCTION("IFERROR(ABS(R47-AVERAGE(FILTER(R47:R4115,AA47:AA4115=""Neighbor""))) / STDEV(FILTER(R47:R4115, AA47:AA4115 =""Neighbor"")), """")"),0.10334786150959083)</f>
        <v>0.1033478615</v>
      </c>
    </row>
    <row r="48">
      <c r="A48" s="2" t="s">
        <v>28</v>
      </c>
      <c r="B48" s="2" t="s">
        <v>29</v>
      </c>
      <c r="C48" s="2" t="s">
        <v>179</v>
      </c>
      <c r="D48" s="2" t="s">
        <v>228</v>
      </c>
      <c r="E48" s="2" t="s">
        <v>229</v>
      </c>
      <c r="F48" s="2">
        <v>117.0</v>
      </c>
      <c r="G48" s="2">
        <v>686.0</v>
      </c>
      <c r="H48" s="2" t="b">
        <v>1</v>
      </c>
      <c r="I48" s="2">
        <v>-1.0</v>
      </c>
      <c r="J48" s="2" t="b">
        <v>0</v>
      </c>
      <c r="K48" s="2" t="b">
        <v>0</v>
      </c>
      <c r="L48" s="2" t="b">
        <v>0</v>
      </c>
      <c r="M48" s="2" t="b">
        <v>0</v>
      </c>
      <c r="N48" s="2" t="s">
        <v>33</v>
      </c>
      <c r="O48" s="2">
        <v>74.0</v>
      </c>
      <c r="P48" s="2">
        <v>9.0</v>
      </c>
      <c r="Q48" s="2">
        <v>19.0</v>
      </c>
      <c r="R48" s="2">
        <v>0.0</v>
      </c>
      <c r="S48" s="3" t="s">
        <v>230</v>
      </c>
      <c r="T48" s="2" t="s">
        <v>231</v>
      </c>
      <c r="Y48" s="4" t="str">
        <f>IFERROR(__xludf.DUMMYFUNCTION("""COMPUTED_VALUE"""),"7.1775993")</f>
        <v>7.1775993</v>
      </c>
      <c r="Z48" s="4" t="str">
        <f>IFERROR(__xludf.DUMMYFUNCTION("""COMPUTED_VALUE"""),"3.3447028")</f>
        <v>3.3447028</v>
      </c>
      <c r="AA48" s="4" t="str">
        <f t="shared" si="1"/>
        <v>Not Neighbor</v>
      </c>
      <c r="AC48" s="4">
        <f>IFERROR(__xludf.DUMMYFUNCTION("IFERROR(ABS(O48-AVERAGE(FILTER(O48:O4116,AA48:AA4116=""Neighbor""))) / STDEV(FILTER(O48:O4116, AA48:AA4116 =""Neighbor"")), """")"),0.18843410270396632)</f>
        <v>0.1884341027</v>
      </c>
      <c r="AD48" s="4">
        <f>IFERROR(__xludf.DUMMYFUNCTION("IFERROR(ABS(P48-AVERAGE(FILTER(O48:P4116,AA48:AA4116=""Neighbor""))) / STDEV(FILTER(P48:P4116, AA48:AA4116 =""Neighbor"")), """")"),1.2748284031734722)</f>
        <v>1.274828403</v>
      </c>
      <c r="AE48" s="2">
        <f>IFERROR(__xludf.DUMMYFUNCTION("IFERROR(ABS(Q48-AVERAGE(FILTER(Q48:Q4116,AA48:AA4116=""Neighbor""))) / STDEV(FILTER(Q48:Q4116, AA48:AA4116 =""Neighbor"")), """")"),0.22260717109076605)</f>
        <v>0.2226071711</v>
      </c>
      <c r="AF48" s="2">
        <f>IFERROR(__xludf.DUMMYFUNCTION("IFERROR(ABS(R48-AVERAGE(FILTER(R48:R4116,AA48:AA4116=""Neighbor""))) / STDEV(FILTER(R48:R4116, AA48:AA4116 =""Neighbor"")), """")"),0.10334786150959083)</f>
        <v>0.1033478615</v>
      </c>
    </row>
    <row r="49">
      <c r="A49" s="2" t="s">
        <v>28</v>
      </c>
      <c r="B49" s="2" t="s">
        <v>29</v>
      </c>
      <c r="C49" s="2" t="s">
        <v>179</v>
      </c>
      <c r="D49" s="2" t="s">
        <v>232</v>
      </c>
      <c r="E49" s="2" t="s">
        <v>233</v>
      </c>
      <c r="F49" s="2">
        <v>135.0</v>
      </c>
      <c r="G49" s="2">
        <v>920.0</v>
      </c>
      <c r="H49" s="2" t="b">
        <v>1</v>
      </c>
      <c r="I49" s="2">
        <v>-1.0</v>
      </c>
      <c r="J49" s="2" t="b">
        <v>0</v>
      </c>
      <c r="K49" s="2" t="b">
        <v>0</v>
      </c>
      <c r="L49" s="2" t="b">
        <v>0</v>
      </c>
      <c r="M49" s="2" t="b">
        <v>0</v>
      </c>
      <c r="N49" s="2" t="s">
        <v>33</v>
      </c>
      <c r="O49" s="2">
        <v>89.0</v>
      </c>
      <c r="P49" s="2">
        <v>14.0</v>
      </c>
      <c r="Q49" s="2">
        <v>24.0</v>
      </c>
      <c r="R49" s="2">
        <v>0.0</v>
      </c>
      <c r="S49" s="3" t="s">
        <v>234</v>
      </c>
      <c r="T49" s="2" t="s">
        <v>235</v>
      </c>
      <c r="Y49" s="4" t="str">
        <f>IFERROR(__xludf.DUMMYFUNCTION("""COMPUTED_VALUE"""),"7.1851548")</f>
        <v>7.1851548</v>
      </c>
      <c r="Z49" s="4" t="str">
        <f>IFERROR(__xludf.DUMMYFUNCTION("""COMPUTED_VALUE"""),"3.3344843")</f>
        <v>3.3344843</v>
      </c>
      <c r="AA49" s="4" t="str">
        <f t="shared" si="1"/>
        <v>Neighbor</v>
      </c>
      <c r="AC49" s="4">
        <f>IFERROR(__xludf.DUMMYFUNCTION("IFERROR(ABS(O49-AVERAGE(FILTER(O49:O4117,AA49:AA4117=""Neighbor""))) / STDEV(FILTER(O49:O4117, AA49:AA4117 =""Neighbor"")), """")"),0.5432196670608167)</f>
        <v>0.5432196671</v>
      </c>
      <c r="AD49" s="4">
        <f>IFERROR(__xludf.DUMMYFUNCTION("IFERROR(ABS(P49-AVERAGE(FILTER(O49:P4117,AA49:AA4117=""Neighbor""))) / STDEV(FILTER(P49:P4117, AA49:AA4117 =""Neighbor"")), """")"),1.076973557209974)</f>
        <v>1.076973557</v>
      </c>
      <c r="AE49" s="2">
        <f>IFERROR(__xludf.DUMMYFUNCTION("IFERROR(ABS(Q49-AVERAGE(FILTER(Q49:Q4117,AA49:AA4117=""Neighbor""))) / STDEV(FILTER(Q49:Q4117, AA49:AA4117 =""Neighbor"")), """")"),0.004489927511254354)</f>
        <v>0.004489927511</v>
      </c>
      <c r="AF49" s="2">
        <f>IFERROR(__xludf.DUMMYFUNCTION("IFERROR(ABS(R49-AVERAGE(FILTER(R49:R4117,AA49:AA4117=""Neighbor""))) / STDEV(FILTER(R49:R4117, AA49:AA4117 =""Neighbor"")), """")"),0.10334786150959083)</f>
        <v>0.1033478615</v>
      </c>
    </row>
    <row r="50">
      <c r="A50" s="2" t="s">
        <v>28</v>
      </c>
      <c r="B50" s="2" t="s">
        <v>29</v>
      </c>
      <c r="C50" s="2" t="s">
        <v>179</v>
      </c>
      <c r="D50" s="2" t="s">
        <v>236</v>
      </c>
      <c r="E50" s="2" t="s">
        <v>237</v>
      </c>
      <c r="F50" s="2">
        <v>129.0</v>
      </c>
      <c r="G50" s="2">
        <v>803.0</v>
      </c>
      <c r="H50" s="2" t="b">
        <v>1</v>
      </c>
      <c r="I50" s="2">
        <v>-1.0</v>
      </c>
      <c r="J50" s="2" t="b">
        <v>0</v>
      </c>
      <c r="K50" s="2" t="b">
        <v>0</v>
      </c>
      <c r="L50" s="2" t="b">
        <v>0</v>
      </c>
      <c r="M50" s="2" t="b">
        <v>0</v>
      </c>
      <c r="N50" s="2" t="s">
        <v>33</v>
      </c>
      <c r="O50" s="2">
        <v>93.0</v>
      </c>
      <c r="P50" s="2">
        <v>8.0</v>
      </c>
      <c r="Q50" s="2">
        <v>17.0</v>
      </c>
      <c r="R50" s="2">
        <v>0.0</v>
      </c>
      <c r="S50" s="3" t="s">
        <v>238</v>
      </c>
      <c r="T50" s="2" t="s">
        <v>239</v>
      </c>
      <c r="Y50" s="4" t="str">
        <f>IFERROR(__xludf.DUMMYFUNCTION("""COMPUTED_VALUE"""),"7.1869443")</f>
        <v>7.1869443</v>
      </c>
      <c r="Z50" s="4" t="str">
        <f>IFERROR(__xludf.DUMMYFUNCTION("""COMPUTED_VALUE"""),"3.3391589")</f>
        <v>3.3391589</v>
      </c>
      <c r="AA50" s="4" t="str">
        <f t="shared" si="1"/>
        <v>Neighbor</v>
      </c>
      <c r="AC50" s="4">
        <f>IFERROR(__xludf.DUMMYFUNCTION("IFERROR(ABS(O50-AVERAGE(FILTER(O50:O4118,AA50:AA4118=""Neighbor""))) / STDEV(FILTER(O50:O4118, AA50:AA4118 =""Neighbor"")), """")"),0.6380082721028442)</f>
        <v>0.6380082721</v>
      </c>
      <c r="AD50" s="4">
        <f>IFERROR(__xludf.DUMMYFUNCTION("IFERROR(ABS(P50-AVERAGE(FILTER(O50:P4118,AA50:AA4118=""Neighbor""))) / STDEV(FILTER(P50:P4118, AA50:AA4118 =""Neighbor"")), """")"),1.313803879627571)</f>
        <v>1.31380388</v>
      </c>
      <c r="AE50" s="2">
        <f>IFERROR(__xludf.DUMMYFUNCTION("IFERROR(ABS(Q50-AVERAGE(FILTER(Q50:Q4118,AA50:AA4118=""Neighbor""))) / STDEV(FILTER(Q50:Q4118, AA50:AA4118 =""Neighbor"")), """")"),0.30976939939009457)</f>
        <v>0.3097693994</v>
      </c>
      <c r="AF50" s="2">
        <f>IFERROR(__xludf.DUMMYFUNCTION("IFERROR(ABS(R50-AVERAGE(FILTER(R50:R4118,AA50:AA4118=""Neighbor""))) / STDEV(FILTER(R50:R4118, AA50:AA4118 =""Neighbor"")), """")"),0.10337723121231794)</f>
        <v>0.1033772312</v>
      </c>
    </row>
    <row r="51">
      <c r="A51" s="2" t="s">
        <v>28</v>
      </c>
      <c r="B51" s="2" t="s">
        <v>29</v>
      </c>
      <c r="C51" s="2" t="s">
        <v>179</v>
      </c>
      <c r="D51" s="2" t="s">
        <v>240</v>
      </c>
      <c r="E51" s="2" t="s">
        <v>241</v>
      </c>
      <c r="F51" s="2">
        <v>145.0</v>
      </c>
      <c r="G51" s="2">
        <v>940.0</v>
      </c>
      <c r="H51" s="2" t="b">
        <v>1</v>
      </c>
      <c r="I51" s="2">
        <v>-1.0</v>
      </c>
      <c r="J51" s="2" t="b">
        <v>0</v>
      </c>
      <c r="K51" s="2" t="b">
        <v>0</v>
      </c>
      <c r="L51" s="2" t="b">
        <v>0</v>
      </c>
      <c r="M51" s="2" t="b">
        <v>0</v>
      </c>
      <c r="N51" s="2" t="s">
        <v>33</v>
      </c>
      <c r="O51" s="2">
        <v>73.0</v>
      </c>
      <c r="P51" s="2">
        <v>14.0</v>
      </c>
      <c r="Q51" s="2">
        <v>32.0</v>
      </c>
      <c r="R51" s="2">
        <v>0.0</v>
      </c>
      <c r="S51" s="3" t="s">
        <v>242</v>
      </c>
      <c r="T51" s="2" t="s">
        <v>243</v>
      </c>
      <c r="Y51" s="4" t="str">
        <f>IFERROR(__xludf.DUMMYFUNCTION("""COMPUTED_VALUE"""),"7.1869443")</f>
        <v>7.1869443</v>
      </c>
      <c r="Z51" s="4" t="str">
        <f>IFERROR(__xludf.DUMMYFUNCTION("""COMPUTED_VALUE"""),"3.3391589")</f>
        <v>3.3391589</v>
      </c>
      <c r="AA51" s="4" t="str">
        <f t="shared" si="1"/>
        <v>Neighbor</v>
      </c>
      <c r="AC51" s="4">
        <f>IFERROR(__xludf.DUMMYFUNCTION("IFERROR(ABS(O51-AVERAGE(FILTER(O51:O4119,AA51:AA4119=""Neighbor""))) / STDEV(FILTER(O51:O4119, AA51:AA4119 =""Neighbor"")), """")"),0.16538630949224484)</f>
        <v>0.1653863095</v>
      </c>
      <c r="AD51" s="4">
        <f>IFERROR(__xludf.DUMMYFUNCTION("IFERROR(ABS(P51-AVERAGE(FILTER(O51:P4119,AA51:AA4119=""Neighbor""))) / STDEV(FILTER(P51:P4119, AA51:AA4119 =""Neighbor"")), """")"),1.0759677921426747)</f>
        <v>1.075967792</v>
      </c>
      <c r="AE51" s="2">
        <f>IFERROR(__xludf.DUMMYFUNCTION("IFERROR(ABS(Q51-AVERAGE(FILTER(Q51:Q4119,AA51:AA4119=""Neighbor""))) / STDEV(FILTER(Q51:Q4119, AA51:AA4119 =""Neighbor"")), """")"),0.34413615115675406)</f>
        <v>0.3441361512</v>
      </c>
      <c r="AF51" s="2">
        <f>IFERROR(__xludf.DUMMYFUNCTION("IFERROR(ABS(R51-AVERAGE(FILTER(R51:R4119,AA51:AA4119=""Neighbor""))) / STDEV(FILTER(R51:R4119, AA51:AA4119 =""Neighbor"")), """")"),0.10340662596858016)</f>
        <v>0.103406626</v>
      </c>
    </row>
    <row r="52">
      <c r="A52" s="2" t="s">
        <v>28</v>
      </c>
      <c r="B52" s="2" t="s">
        <v>29</v>
      </c>
      <c r="C52" s="2" t="s">
        <v>179</v>
      </c>
      <c r="D52" s="2" t="s">
        <v>244</v>
      </c>
      <c r="E52" s="2" t="s">
        <v>245</v>
      </c>
      <c r="F52" s="2">
        <v>160.0</v>
      </c>
      <c r="G52" s="2">
        <v>809.0</v>
      </c>
      <c r="H52" s="2" t="b">
        <v>1</v>
      </c>
      <c r="I52" s="2">
        <v>-1.0</v>
      </c>
      <c r="J52" s="2" t="b">
        <v>0</v>
      </c>
      <c r="K52" s="2" t="b">
        <v>0</v>
      </c>
      <c r="L52" s="2" t="b">
        <v>0</v>
      </c>
      <c r="M52" s="2" t="b">
        <v>0</v>
      </c>
      <c r="N52" s="2" t="s">
        <v>33</v>
      </c>
      <c r="O52" s="2">
        <v>84.0</v>
      </c>
      <c r="P52" s="2">
        <v>13.0</v>
      </c>
      <c r="Q52" s="2">
        <v>3.0</v>
      </c>
      <c r="R52" s="2">
        <v>1.0</v>
      </c>
      <c r="S52" s="3" t="s">
        <v>246</v>
      </c>
      <c r="T52" s="2" t="s">
        <v>247</v>
      </c>
      <c r="Y52" s="4" t="str">
        <f>IFERROR(__xludf.DUMMYFUNCTION("""COMPUTED_VALUE"""),"7.1845918")</f>
        <v>7.1845918</v>
      </c>
      <c r="Z52" s="4" t="str">
        <f>IFERROR(__xludf.DUMMYFUNCTION("""COMPUTED_VALUE"""),"3.3453067")</f>
        <v>3.3453067</v>
      </c>
      <c r="AA52" s="4" t="str">
        <f t="shared" si="1"/>
        <v>Not Neighbor</v>
      </c>
      <c r="AC52" s="4">
        <f>IFERROR(__xludf.DUMMYFUNCTION("IFERROR(ABS(O52-AVERAGE(FILTER(O52:O4120,AA52:AA4120=""Neighbor""))) / STDEV(FILTER(O52:O4120, AA52:AA4120 =""Neighbor"")), """")"),0.4254439263475182)</f>
        <v>0.4254439263</v>
      </c>
      <c r="AD52" s="4">
        <f>IFERROR(__xludf.DUMMYFUNCTION("IFERROR(ABS(P52-AVERAGE(FILTER(O52:P4120,AA52:AA4120=""Neighbor""))) / STDEV(FILTER(P52:P4120, AA52:AA4120 =""Neighbor"")), """")"),1.115155270600737)</f>
        <v>1.115155271</v>
      </c>
      <c r="AE52" s="2">
        <f>IFERROR(__xludf.DUMMYFUNCTION("IFERROR(ABS(Q52-AVERAGE(FILTER(Q52:Q4120,AA52:AA4120=""Neighbor""))) / STDEV(FILTER(Q52:Q4120, AA52:AA4120 =""Neighbor"")), """")"),0.9198435397859718)</f>
        <v>0.9198435398</v>
      </c>
      <c r="AF52" s="2">
        <f>IFERROR(__xludf.DUMMYFUNCTION("IFERROR(ABS(R52-AVERAGE(FILTER(R52:R4120,AA52:AA4120=""Neighbor""))) / STDEV(FILTER(R52:R4120, AA52:AA4120 =""Neighbor"")), """")"),0.0987654754633847)</f>
        <v>0.09876547546</v>
      </c>
    </row>
    <row r="53">
      <c r="A53" s="2" t="s">
        <v>28</v>
      </c>
      <c r="B53" s="2" t="s">
        <v>29</v>
      </c>
      <c r="C53" s="2" t="s">
        <v>179</v>
      </c>
      <c r="D53" s="2" t="s">
        <v>248</v>
      </c>
      <c r="E53" s="2" t="s">
        <v>249</v>
      </c>
      <c r="F53" s="2">
        <v>114.0</v>
      </c>
      <c r="G53" s="2">
        <v>750.0</v>
      </c>
      <c r="H53" s="2" t="b">
        <v>1</v>
      </c>
      <c r="I53" s="2">
        <v>-1.0</v>
      </c>
      <c r="J53" s="2" t="b">
        <v>0</v>
      </c>
      <c r="K53" s="2" t="b">
        <v>1</v>
      </c>
      <c r="L53" s="2" t="b">
        <v>0</v>
      </c>
      <c r="M53" s="2" t="b">
        <v>0</v>
      </c>
      <c r="N53" s="2" t="s">
        <v>33</v>
      </c>
      <c r="O53" s="2">
        <v>59.0</v>
      </c>
      <c r="P53" s="2">
        <v>5.0</v>
      </c>
      <c r="Q53" s="2">
        <v>34.0</v>
      </c>
      <c r="R53" s="2">
        <v>0.0</v>
      </c>
      <c r="S53" s="3" t="s">
        <v>250</v>
      </c>
      <c r="T53" s="2" t="s">
        <v>251</v>
      </c>
      <c r="Y53" s="4" t="str">
        <f>IFERROR(__xludf.DUMMYFUNCTION("""COMPUTED_VALUE"""),"7.204739")</f>
        <v>7.204739</v>
      </c>
      <c r="Z53" s="4" t="str">
        <f>IFERROR(__xludf.DUMMYFUNCTION("""COMPUTED_VALUE"""),"3.3237824")</f>
        <v>3.3237824</v>
      </c>
      <c r="AA53" s="4" t="str">
        <f t="shared" si="1"/>
        <v>Neighbor</v>
      </c>
      <c r="AC53" s="4">
        <f>IFERROR(__xludf.DUMMYFUNCTION("IFERROR(ABS(O53-AVERAGE(FILTER(O53:O4121,AA53:AA4121=""Neighbor""))) / STDEV(FILTER(O53:O4121, AA53:AA4121 =""Neighbor"")), """")"),0.16548740680858298)</f>
        <v>0.1654874068</v>
      </c>
      <c r="AD53" s="4">
        <f>IFERROR(__xludf.DUMMYFUNCTION("IFERROR(ABS(P53-AVERAGE(FILTER(O53:P4121,AA53:AA4121=""Neighbor""))) / STDEV(FILTER(P53:P4121, AA53:AA4121 =""Neighbor"")), """")"),1.4314671407323831)</f>
        <v>1.431467141</v>
      </c>
      <c r="AE53" s="2">
        <f>IFERROR(__xludf.DUMMYFUNCTION("IFERROR(ABS(Q53-AVERAGE(FILTER(Q53:Q4121,AA53:AA4121=""Neighbor""))) / STDEV(FILTER(Q53:Q4121, AA53:AA4121 =""Neighbor"")), """")"),0.43142299989214183)</f>
        <v>0.4314229999</v>
      </c>
      <c r="AF53" s="2">
        <f>IFERROR(__xludf.DUMMYFUNCTION("IFERROR(ABS(R53-AVERAGE(FILTER(R53:R4121,AA53:AA4121=""Neighbor""))) / STDEV(FILTER(R53:R4121, AA53:AA4121 =""Neighbor"")), """")"),0.10343604581401766)</f>
        <v>0.1034360458</v>
      </c>
    </row>
    <row r="54">
      <c r="A54" s="2" t="s">
        <v>28</v>
      </c>
      <c r="B54" s="2" t="s">
        <v>29</v>
      </c>
      <c r="C54" s="2" t="s">
        <v>179</v>
      </c>
      <c r="D54" s="2" t="s">
        <v>252</v>
      </c>
      <c r="E54" s="2" t="s">
        <v>253</v>
      </c>
      <c r="F54" s="2">
        <v>140.0</v>
      </c>
      <c r="G54" s="2">
        <v>937.0</v>
      </c>
      <c r="H54" s="2" t="b">
        <v>1</v>
      </c>
      <c r="I54" s="2">
        <v>-1.0</v>
      </c>
      <c r="J54" s="2" t="b">
        <v>0</v>
      </c>
      <c r="K54" s="2" t="b">
        <v>0</v>
      </c>
      <c r="L54" s="2" t="b">
        <v>0</v>
      </c>
      <c r="M54" s="2" t="b">
        <v>0</v>
      </c>
      <c r="N54" s="2" t="s">
        <v>33</v>
      </c>
      <c r="O54" s="2">
        <v>101.0</v>
      </c>
      <c r="P54" s="2">
        <v>12.0</v>
      </c>
      <c r="Q54" s="2">
        <v>20.0</v>
      </c>
      <c r="R54" s="2">
        <v>0.0</v>
      </c>
      <c r="S54" s="3" t="s">
        <v>254</v>
      </c>
      <c r="T54" s="2" t="s">
        <v>255</v>
      </c>
      <c r="Y54" s="4" t="str">
        <f>IFERROR(__xludf.DUMMYFUNCTION("""COMPUTED_VALUE"""),"7.204739")</f>
        <v>7.204739</v>
      </c>
      <c r="Z54" s="4" t="str">
        <f>IFERROR(__xludf.DUMMYFUNCTION("""COMPUTED_VALUE"""),"3.3237824")</f>
        <v>3.3237824</v>
      </c>
      <c r="AA54" s="4" t="str">
        <f t="shared" si="1"/>
        <v>Not Neighbor</v>
      </c>
      <c r="AC54" s="4">
        <f>IFERROR(__xludf.DUMMYFUNCTION("IFERROR(ABS(O54-AVERAGE(FILTER(O54:O4122,AA54:AA4122=""Neighbor""))) / STDEV(FILTER(O54:O4122, AA54:AA4122 =""Neighbor"")), """")"),0.8269571609109064)</f>
        <v>0.8269571609</v>
      </c>
      <c r="AD54" s="4">
        <f>IFERROR(__xludf.DUMMYFUNCTION("IFERROR(ABS(P54-AVERAGE(FILTER(O54:P4122,AA54:AA4122=""Neighbor""))) / STDEV(FILTER(P54:P4122, AA54:AA4122 =""Neighbor"")), """")"),1.1546400754647745)</f>
        <v>1.154640075</v>
      </c>
      <c r="AE54" s="2">
        <f>IFERROR(__xludf.DUMMYFUNCTION("IFERROR(ABS(Q54-AVERAGE(FILTER(Q54:Q4122,AA54:AA4122=""Neighbor""))) / STDEV(FILTER(Q54:Q4122, AA54:AA4122 =""Neighbor"")), """")"),0.17854224405767133)</f>
        <v>0.1785422441</v>
      </c>
      <c r="AF54" s="2">
        <f>IFERROR(__xludf.DUMMYFUNCTION("IFERROR(ABS(R54-AVERAGE(FILTER(R54:R4122,AA54:AA4122=""Neighbor""))) / STDEV(FILTER(R54:R4122, AA54:AA4122 =""Neighbor"")), """")"),0.10346549078434125)</f>
        <v>0.1034654908</v>
      </c>
    </row>
    <row r="55">
      <c r="A55" s="2" t="s">
        <v>28</v>
      </c>
      <c r="B55" s="2" t="s">
        <v>29</v>
      </c>
      <c r="C55" s="2" t="s">
        <v>256</v>
      </c>
      <c r="D55" s="2" t="s">
        <v>257</v>
      </c>
      <c r="E55" s="2" t="s">
        <v>258</v>
      </c>
      <c r="F55" s="2">
        <v>74.0</v>
      </c>
      <c r="G55" s="2">
        <v>264.0</v>
      </c>
      <c r="H55" s="2" t="b">
        <v>1</v>
      </c>
      <c r="I55" s="2">
        <v>-1.0</v>
      </c>
      <c r="J55" s="2" t="b">
        <v>0</v>
      </c>
      <c r="K55" s="2" t="b">
        <v>0</v>
      </c>
      <c r="L55" s="2" t="b">
        <v>0</v>
      </c>
      <c r="M55" s="2" t="b">
        <v>0</v>
      </c>
      <c r="N55" s="2" t="s">
        <v>33</v>
      </c>
      <c r="O55" s="2">
        <v>41.0</v>
      </c>
      <c r="P55" s="2">
        <v>5.0</v>
      </c>
      <c r="Q55" s="2">
        <v>16.0</v>
      </c>
      <c r="R55" s="2">
        <v>0.0</v>
      </c>
      <c r="S55" s="3" t="s">
        <v>259</v>
      </c>
      <c r="T55" s="2" t="s">
        <v>260</v>
      </c>
      <c r="Y55" s="4" t="str">
        <f>IFERROR(__xludf.DUMMYFUNCTION("""COMPUTED_VALUE"""),"7.2114285")</f>
        <v>7.2114285</v>
      </c>
      <c r="Z55" s="4" t="str">
        <f>IFERROR(__xludf.DUMMYFUNCTION("""COMPUTED_VALUE"""),"3.1378173")</f>
        <v>3.1378173</v>
      </c>
      <c r="AA55" s="4" t="str">
        <f t="shared" si="1"/>
        <v>Not Neighbor</v>
      </c>
      <c r="AC55" s="4">
        <f>IFERROR(__xludf.DUMMYFUNCTION("IFERROR(ABS(O55-AVERAGE(FILTER(O55:O4123,AA55:AA4123=""Neighbor""))) / STDEV(FILTER(O55:O4123, AA55:AA4123 =""Neighbor"")), """")"),0.5908892044401168)</f>
        <v>0.5908892044</v>
      </c>
      <c r="AD55" s="4">
        <f>IFERROR(__xludf.DUMMYFUNCTION("IFERROR(ABS(P55-AVERAGE(FILTER(O55:P4123,AA55:AA4123=""Neighbor""))) / STDEV(FILTER(P55:P4123, AA55:AA4123 =""Neighbor"")), """")"),1.4313508162857709)</f>
        <v>1.431350816</v>
      </c>
      <c r="AE55" s="2">
        <f>IFERROR(__xludf.DUMMYFUNCTION("IFERROR(ABS(Q55-AVERAGE(FILTER(Q55:Q4123,AA55:AA4123=""Neighbor""))) / STDEV(FILTER(Q55:Q4123, AA55:AA4123 =""Neighbor"")), """")"),0.35285921761755523)</f>
        <v>0.3528592176</v>
      </c>
      <c r="AF55" s="2">
        <f>IFERROR(__xludf.DUMMYFUNCTION("IFERROR(ABS(R55-AVERAGE(FILTER(R55:R4123,AA55:AA4123=""Neighbor""))) / STDEV(FILTER(R55:R4123, AA55:AA4123 =""Neighbor"")), """")"),0.10346549078434125)</f>
        <v>0.1034654908</v>
      </c>
    </row>
    <row r="56">
      <c r="A56" s="2" t="s">
        <v>28</v>
      </c>
      <c r="B56" s="2" t="s">
        <v>29</v>
      </c>
      <c r="C56" s="2" t="s">
        <v>256</v>
      </c>
      <c r="D56" s="2" t="s">
        <v>261</v>
      </c>
      <c r="E56" s="2" t="s">
        <v>262</v>
      </c>
      <c r="F56" s="2">
        <v>97.0</v>
      </c>
      <c r="G56" s="2">
        <v>529.0</v>
      </c>
      <c r="H56" s="2" t="b">
        <v>1</v>
      </c>
      <c r="I56" s="2">
        <v>-1.0</v>
      </c>
      <c r="J56" s="2" t="b">
        <v>0</v>
      </c>
      <c r="K56" s="2" t="b">
        <v>0</v>
      </c>
      <c r="L56" s="2" t="b">
        <v>0</v>
      </c>
      <c r="M56" s="2" t="b">
        <v>0</v>
      </c>
      <c r="N56" s="2" t="s">
        <v>33</v>
      </c>
      <c r="O56" s="2">
        <v>60.0</v>
      </c>
      <c r="P56" s="2">
        <v>3.0</v>
      </c>
      <c r="Q56" s="2">
        <v>18.0</v>
      </c>
      <c r="R56" s="2">
        <v>0.0</v>
      </c>
      <c r="S56" s="3" t="s">
        <v>263</v>
      </c>
      <c r="T56" s="2" t="s">
        <v>264</v>
      </c>
      <c r="Y56" s="4" t="str">
        <f>IFERROR(__xludf.DUMMYFUNCTION("""COMPUTED_VALUE"""),"7.1609473")</f>
        <v>7.1609473</v>
      </c>
      <c r="Z56" s="4" t="str">
        <f>IFERROR(__xludf.DUMMYFUNCTION("""COMPUTED_VALUE"""),"3.3344843")</f>
        <v>3.3344843</v>
      </c>
      <c r="AA56" s="4" t="str">
        <f t="shared" si="1"/>
        <v>Neighbor</v>
      </c>
      <c r="AC56" s="4">
        <f>IFERROR(__xludf.DUMMYFUNCTION("IFERROR(ABS(O56-AVERAGE(FILTER(O56:O4124,AA56:AA4124=""Neighbor""))) / STDEV(FILTER(O56:O4124, AA56:AA4124 =""Neighbor"")), """")"),0.14190452207895948)</f>
        <v>0.1419045221</v>
      </c>
      <c r="AD56" s="4">
        <f>IFERROR(__xludf.DUMMYFUNCTION("IFERROR(ABS(P56-AVERAGE(FILTER(O56:P4124,AA56:AA4124=""Neighbor""))) / STDEV(FILTER(P56:P4124, AA56:AA4124 =""Neighbor"")), """")"),1.5104110279489127)</f>
        <v>1.510411028</v>
      </c>
      <c r="AE56" s="2">
        <f>IFERROR(__xludf.DUMMYFUNCTION("IFERROR(ABS(Q56-AVERAGE(FILTER(Q56:Q4124,AA56:AA4124=""Neighbor""))) / STDEV(FILTER(Q56:Q4124, AA56:AA4124 =""Neighbor"")), """")"),0.26570073083761325)</f>
        <v>0.2657007308</v>
      </c>
      <c r="AF56" s="2">
        <f>IFERROR(__xludf.DUMMYFUNCTION("IFERROR(ABS(R56-AVERAGE(FILTER(R56:R4124,AA56:AA4124=""Neighbor""))) / STDEV(FILTER(R56:R4124, AA56:AA4124 =""Neighbor"")), """")"),0.10346549078434125)</f>
        <v>0.1034654908</v>
      </c>
    </row>
    <row r="57">
      <c r="A57" s="2" t="s">
        <v>28</v>
      </c>
      <c r="B57" s="2" t="s">
        <v>29</v>
      </c>
      <c r="C57" s="2" t="s">
        <v>256</v>
      </c>
      <c r="D57" s="2" t="s">
        <v>265</v>
      </c>
      <c r="E57" s="2" t="s">
        <v>266</v>
      </c>
      <c r="F57" s="2">
        <v>131.0</v>
      </c>
      <c r="G57" s="2">
        <v>611.0</v>
      </c>
      <c r="H57" s="2" t="b">
        <v>1</v>
      </c>
      <c r="I57" s="2">
        <v>-1.0</v>
      </c>
      <c r="J57" s="2" t="b">
        <v>0</v>
      </c>
      <c r="K57" s="2" t="b">
        <v>0</v>
      </c>
      <c r="L57" s="2" t="b">
        <v>0</v>
      </c>
      <c r="M57" s="2" t="b">
        <v>0</v>
      </c>
      <c r="N57" s="2" t="s">
        <v>33</v>
      </c>
      <c r="O57" s="2">
        <v>76.0</v>
      </c>
      <c r="P57" s="2">
        <v>11.0</v>
      </c>
      <c r="Q57" s="2">
        <v>17.0</v>
      </c>
      <c r="R57" s="2">
        <v>0.0</v>
      </c>
      <c r="S57" s="3" t="s">
        <v>267</v>
      </c>
      <c r="T57" s="2" t="s">
        <v>268</v>
      </c>
      <c r="Y57" s="4" t="str">
        <f>IFERROR(__xludf.DUMMYFUNCTION("""COMPUTED_VALUE"""),"7.1649722")</f>
        <v>7.1649722</v>
      </c>
      <c r="Z57" s="4" t="str">
        <f>IFERROR(__xludf.DUMMYFUNCTION("""COMPUTED_VALUE"""),"3.3357435")</f>
        <v>3.3357435</v>
      </c>
      <c r="AA57" s="4" t="str">
        <f t="shared" si="1"/>
        <v>Neighbor</v>
      </c>
      <c r="AC57" s="4">
        <f>IFERROR(__xludf.DUMMYFUNCTION("IFERROR(ABS(O57-AVERAGE(FILTER(O57:O4125,AA57:AA4125=""Neighbor""))) / STDEV(FILTER(O57:O4125, AA57:AA4125 =""Neighbor"")), """")"),0.23604255315587389)</f>
        <v>0.2360425532</v>
      </c>
      <c r="AD57" s="4">
        <f>IFERROR(__xludf.DUMMYFUNCTION("IFERROR(ABS(P57-AVERAGE(FILTER(O57:P4125,AA57:AA4125=""Neighbor""))) / STDEV(FILTER(P57:P4125, AA57:AA4125 =""Neighbor"")), """")"),1.1941445110883144)</f>
        <v>1.194144511</v>
      </c>
      <c r="AE57" s="2">
        <f>IFERROR(__xludf.DUMMYFUNCTION("IFERROR(ABS(Q57-AVERAGE(FILTER(Q57:Q4125,AA57:AA4125=""Neighbor""))) / STDEV(FILTER(Q57:Q4125, AA57:AA4125 =""Neighbor"")), """")"),0.30934872199245167)</f>
        <v>0.309348722</v>
      </c>
      <c r="AF57" s="2">
        <f>IFERROR(__xludf.DUMMYFUNCTION("IFERROR(ABS(R57-AVERAGE(FILTER(R57:R4125,AA57:AA4125=""Neighbor""))) / STDEV(FILTER(R57:R4125, AA57:AA4125 =""Neighbor"")), """")"),0.10349496091533314)</f>
        <v>0.1034949609</v>
      </c>
    </row>
    <row r="58">
      <c r="A58" s="2" t="s">
        <v>28</v>
      </c>
      <c r="B58" s="2" t="s">
        <v>29</v>
      </c>
      <c r="C58" s="2" t="s">
        <v>256</v>
      </c>
      <c r="D58" s="2" t="s">
        <v>269</v>
      </c>
      <c r="E58" s="2" t="s">
        <v>270</v>
      </c>
      <c r="F58" s="2">
        <v>81.0</v>
      </c>
      <c r="G58" s="2">
        <v>418.0</v>
      </c>
      <c r="H58" s="2" t="b">
        <v>1</v>
      </c>
      <c r="I58" s="2">
        <v>-1.0</v>
      </c>
      <c r="J58" s="2" t="b">
        <v>0</v>
      </c>
      <c r="K58" s="2" t="b">
        <v>0</v>
      </c>
      <c r="L58" s="2" t="b">
        <v>0</v>
      </c>
      <c r="M58" s="2" t="b">
        <v>0</v>
      </c>
      <c r="N58" s="2" t="s">
        <v>33</v>
      </c>
      <c r="O58" s="2">
        <v>58.0</v>
      </c>
      <c r="P58" s="2">
        <v>4.0</v>
      </c>
      <c r="Q58" s="2">
        <v>9.0</v>
      </c>
      <c r="R58" s="2">
        <v>0.0</v>
      </c>
      <c r="S58" s="3" t="s">
        <v>271</v>
      </c>
      <c r="T58" s="2" t="s">
        <v>272</v>
      </c>
      <c r="Y58" s="4" t="str">
        <f>IFERROR(__xludf.DUMMYFUNCTION("""COMPUTED_VALUE"""),"7.1602886")</f>
        <v>7.1602886</v>
      </c>
      <c r="Z58" s="4" t="str">
        <f>IFERROR(__xludf.DUMMYFUNCTION("""COMPUTED_VALUE"""),"3.3325956")</f>
        <v>3.3325956</v>
      </c>
      <c r="AA58" s="4" t="str">
        <f t="shared" si="1"/>
        <v>Neighbor</v>
      </c>
      <c r="AC58" s="4">
        <f>IFERROR(__xludf.DUMMYFUNCTION("IFERROR(ABS(O58-AVERAGE(FILTER(O58:O4126,AA58:AA4126=""Neighbor""))) / STDEV(FILTER(O58:O4126, AA58:AA4126 =""Neighbor"")), """")"),0.18901021467469117)</f>
        <v>0.1890102147</v>
      </c>
      <c r="AD58" s="4">
        <f>IFERROR(__xludf.DUMMYFUNCTION("IFERROR(ABS(P58-AVERAGE(FILTER(O58:P4126,AA58:AA4126=""Neighbor""))) / STDEV(FILTER(P58:P4126, AA58:AA4126 =""Neighbor"")), """")"),1.4703521792745684)</f>
        <v>1.470352179</v>
      </c>
      <c r="AE58" s="2">
        <f>IFERROR(__xludf.DUMMYFUNCTION("IFERROR(ABS(Q58-AVERAGE(FILTER(Q58:Q4126,AA58:AA4126=""Neighbor""))) / STDEV(FILTER(Q58:Q4126, AA58:AA4126 =""Neighbor"")), """")"),0.6578979212317037)</f>
        <v>0.6578979212</v>
      </c>
      <c r="AF58" s="2">
        <f>IFERROR(__xludf.DUMMYFUNCTION("IFERROR(ABS(R58-AVERAGE(FILTER(R58:R4126,AA58:AA4126=""Neighbor""))) / STDEV(FILTER(R58:R4126, AA58:AA4126 =""Neighbor"")), """")"),0.10352445624284706)</f>
        <v>0.1035244562</v>
      </c>
    </row>
    <row r="59">
      <c r="A59" s="2" t="s">
        <v>28</v>
      </c>
      <c r="B59" s="2" t="s">
        <v>29</v>
      </c>
      <c r="C59" s="2" t="s">
        <v>256</v>
      </c>
      <c r="D59" s="2" t="s">
        <v>273</v>
      </c>
      <c r="E59" s="2" t="s">
        <v>274</v>
      </c>
      <c r="F59" s="2">
        <v>66.0</v>
      </c>
      <c r="G59" s="2">
        <v>416.0</v>
      </c>
      <c r="H59" s="2" t="b">
        <v>1</v>
      </c>
      <c r="I59" s="2">
        <v>-1.0</v>
      </c>
      <c r="J59" s="2" t="b">
        <v>0</v>
      </c>
      <c r="K59" s="2" t="b">
        <v>0</v>
      </c>
      <c r="L59" s="2" t="b">
        <v>0</v>
      </c>
      <c r="M59" s="2" t="b">
        <v>0</v>
      </c>
      <c r="N59" s="2" t="s">
        <v>33</v>
      </c>
      <c r="O59" s="2">
        <v>46.0</v>
      </c>
      <c r="P59" s="2">
        <v>4.0</v>
      </c>
      <c r="Q59" s="2">
        <v>11.0</v>
      </c>
      <c r="R59" s="2">
        <v>0.0</v>
      </c>
      <c r="S59" s="3" t="s">
        <v>275</v>
      </c>
      <c r="T59" s="2" t="s">
        <v>276</v>
      </c>
      <c r="Y59" s="4" t="str">
        <f>IFERROR(__xludf.DUMMYFUNCTION("""COMPUTED_VALUE"""),"7.1602886")</f>
        <v>7.1602886</v>
      </c>
      <c r="Z59" s="4" t="str">
        <f>IFERROR(__xludf.DUMMYFUNCTION("""COMPUTED_VALUE"""),"3.3325956")</f>
        <v>3.3325956</v>
      </c>
      <c r="AA59" s="4" t="str">
        <f t="shared" si="1"/>
        <v>Not Neighbor</v>
      </c>
      <c r="AC59" s="4">
        <f>IFERROR(__xludf.DUMMYFUNCTION("IFERROR(ABS(O59-AVERAGE(FILTER(O59:O4127,AA59:AA4127=""Neighbor""))) / STDEV(FILTER(O59:O4127, AA59:AA4127 =""Neighbor"")), """")"),0.47240363897475907)</f>
        <v>0.472403639</v>
      </c>
      <c r="AD59" s="4">
        <f>IFERROR(__xludf.DUMMYFUNCTION("IFERROR(ABS(P59-AVERAGE(FILTER(O59:P4127,AA59:AA4127=""Neighbor""))) / STDEV(FILTER(P59:P4127, AA59:AA4127 =""Neighbor"")), """")"),1.4702648823815148)</f>
        <v>1.470264882</v>
      </c>
      <c r="AE59" s="2">
        <f>IFERROR(__xludf.DUMMYFUNCTION("IFERROR(ABS(Q59-AVERAGE(FILTER(Q59:Q4127,AA59:AA4127=""Neighbor""))) / STDEV(FILTER(Q59:Q4127, AA59:AA4127 =""Neighbor"")), """")"),0.5710645541887879)</f>
        <v>0.5710645542</v>
      </c>
      <c r="AF59" s="2">
        <f>IFERROR(__xludf.DUMMYFUNCTION("IFERROR(ABS(R59-AVERAGE(FILTER(R59:R4127,AA59:AA4127=""Neighbor""))) / STDEV(FILTER(R59:R4127, AA59:AA4127 =""Neighbor"")), """")"),0.10355397680280796)</f>
        <v>0.1035539768</v>
      </c>
    </row>
    <row r="60">
      <c r="A60" s="2" t="s">
        <v>28</v>
      </c>
      <c r="B60" s="2" t="s">
        <v>29</v>
      </c>
      <c r="C60" s="2" t="s">
        <v>256</v>
      </c>
      <c r="D60" s="2" t="s">
        <v>277</v>
      </c>
      <c r="E60" s="2" t="s">
        <v>278</v>
      </c>
      <c r="F60" s="2">
        <v>128.0</v>
      </c>
      <c r="G60" s="2">
        <v>507.0</v>
      </c>
      <c r="H60" s="2" t="b">
        <v>1</v>
      </c>
      <c r="I60" s="2">
        <v>-1.0</v>
      </c>
      <c r="J60" s="2" t="b">
        <v>0</v>
      </c>
      <c r="K60" s="2" t="b">
        <v>0</v>
      </c>
      <c r="L60" s="2" t="b">
        <v>0</v>
      </c>
      <c r="M60" s="2" t="b">
        <v>0</v>
      </c>
      <c r="N60" s="2" t="s">
        <v>33</v>
      </c>
      <c r="O60" s="2">
        <v>92.0</v>
      </c>
      <c r="P60" s="2">
        <v>4.0</v>
      </c>
      <c r="Q60" s="2">
        <v>25.0</v>
      </c>
      <c r="R60" s="2">
        <v>0.0</v>
      </c>
      <c r="S60" s="3" t="s">
        <v>279</v>
      </c>
      <c r="T60" s="2" t="s">
        <v>280</v>
      </c>
      <c r="Y60" s="4" t="str">
        <f>IFERROR(__xludf.DUMMYFUNCTION("""COMPUTED_VALUE"""),"6.8398127")</f>
        <v>6.8398127</v>
      </c>
      <c r="Z60" s="4" t="str">
        <f>IFERROR(__xludf.DUMMYFUNCTION("""COMPUTED_VALUE"""),"8.4149956")</f>
        <v>8.4149956</v>
      </c>
      <c r="AA60" s="4" t="str">
        <f t="shared" si="1"/>
        <v>Neighbor</v>
      </c>
      <c r="AC60" s="4">
        <f>IFERROR(__xludf.DUMMYFUNCTION("IFERROR(ABS(O60-AVERAGE(FILTER(O60:O4128,AA60:AA4128=""Neighbor""))) / STDEV(FILTER(O60:O4128, AA60:AA4128 =""Neighbor"")), """")"),0.6137260946836303)</f>
        <v>0.6137260947</v>
      </c>
      <c r="AD60" s="4">
        <f>IFERROR(__xludf.DUMMYFUNCTION("IFERROR(ABS(P60-AVERAGE(FILTER(O60:P4128,AA60:AA4128=""Neighbor""))) / STDEV(FILTER(P60:P4128, AA60:AA4128 =""Neighbor"")), """")"),1.4702648823815148)</f>
        <v>1.470264882</v>
      </c>
      <c r="AE60" s="2">
        <f>IFERROR(__xludf.DUMMYFUNCTION("IFERROR(ABS(Q60-AVERAGE(FILTER(Q60:Q4128,AA60:AA4128=""Neighbor""))) / STDEV(FILTER(Q60:Q4128, AA60:AA4128 =""Neighbor"")), """")"),0.03863163306336765)</f>
        <v>0.03863163306</v>
      </c>
      <c r="AF60" s="2">
        <f>IFERROR(__xludf.DUMMYFUNCTION("IFERROR(ABS(R60-AVERAGE(FILTER(R60:R4128,AA60:AA4128=""Neighbor""))) / STDEV(FILTER(R60:R4128, AA60:AA4128 =""Neighbor"")), """")"),0.10355397680280796)</f>
        <v>0.1035539768</v>
      </c>
    </row>
    <row r="61">
      <c r="A61" s="2" t="s">
        <v>28</v>
      </c>
      <c r="B61" s="2" t="s">
        <v>29</v>
      </c>
      <c r="C61" s="2" t="s">
        <v>256</v>
      </c>
      <c r="D61" s="2" t="s">
        <v>281</v>
      </c>
      <c r="E61" s="2" t="s">
        <v>278</v>
      </c>
      <c r="F61" s="2">
        <v>128.0</v>
      </c>
      <c r="G61" s="2">
        <v>507.0</v>
      </c>
      <c r="H61" s="2" t="b">
        <v>1</v>
      </c>
      <c r="I61" s="2">
        <v>-1.0</v>
      </c>
      <c r="J61" s="2" t="b">
        <v>0</v>
      </c>
      <c r="K61" s="2" t="b">
        <v>1</v>
      </c>
      <c r="L61" s="2" t="b">
        <v>0</v>
      </c>
      <c r="M61" s="2" t="b">
        <v>0</v>
      </c>
      <c r="N61" s="2" t="s">
        <v>33</v>
      </c>
      <c r="O61" s="2">
        <v>102.0</v>
      </c>
      <c r="P61" s="2">
        <v>5.0</v>
      </c>
      <c r="Q61" s="2">
        <v>15.0</v>
      </c>
      <c r="R61" s="2">
        <v>0.0</v>
      </c>
      <c r="S61" s="3" t="s">
        <v>279</v>
      </c>
      <c r="T61" s="2" t="s">
        <v>280</v>
      </c>
      <c r="Y61" s="4" t="str">
        <f>IFERROR(__xludf.DUMMYFUNCTION("""COMPUTED_VALUE"""),"6.8398127")</f>
        <v>6.8398127</v>
      </c>
      <c r="Z61" s="4" t="str">
        <f>IFERROR(__xludf.DUMMYFUNCTION("""COMPUTED_VALUE"""),"8.4149956")</f>
        <v>8.4149956</v>
      </c>
      <c r="AA61" s="4" t="str">
        <f t="shared" si="1"/>
        <v>Not Neighbor</v>
      </c>
      <c r="AC61" s="4">
        <f>IFERROR(__xludf.DUMMYFUNCTION("IFERROR(ABS(O61-AVERAGE(FILTER(O61:O4129,AA61:AA4129=""Neighbor""))) / STDEV(FILTER(O61:O4129, AA61:AA4129 =""Neighbor"")), """")"),0.8500382929343587)</f>
        <v>0.8500382929</v>
      </c>
      <c r="AD61" s="4">
        <f>IFERROR(__xludf.DUMMYFUNCTION("IFERROR(ABS(P61-AVERAGE(FILTER(O61:P4129,AA61:AA4129=""Neighbor""))) / STDEV(FILTER(P61:P4129, AA61:AA4129 =""Neighbor"")), """")"),1.4303038650092204)</f>
        <v>1.430303865</v>
      </c>
      <c r="AE61" s="2">
        <f>IFERROR(__xludf.DUMMYFUNCTION("IFERROR(ABS(Q61-AVERAGE(FILTER(Q61:Q4129,AA61:AA4129=""Neighbor""))) / STDEV(FILTER(Q61:Q4129, AA61:AA4129 =""Neighbor"")), """")"),0.39673186650220044)</f>
        <v>0.3967318665</v>
      </c>
      <c r="AF61" s="2">
        <f>IFERROR(__xludf.DUMMYFUNCTION("IFERROR(ABS(R61-AVERAGE(FILTER(R61:R4129,AA61:AA4129=""Neighbor""))) / STDEV(FILTER(R61:R4129, AA61:AA4129 =""Neighbor"")), """")"),0.103583522631213)</f>
        <v>0.1035835226</v>
      </c>
    </row>
    <row r="62">
      <c r="A62" s="2" t="s">
        <v>28</v>
      </c>
      <c r="B62" s="2" t="s">
        <v>29</v>
      </c>
      <c r="C62" s="2" t="s">
        <v>256</v>
      </c>
      <c r="D62" s="2" t="s">
        <v>282</v>
      </c>
      <c r="E62" s="2" t="s">
        <v>283</v>
      </c>
      <c r="F62" s="2">
        <v>154.0</v>
      </c>
      <c r="G62" s="2">
        <v>811.0</v>
      </c>
      <c r="H62" s="2" t="b">
        <v>1</v>
      </c>
      <c r="I62" s="2">
        <v>-1.0</v>
      </c>
      <c r="J62" s="2" t="b">
        <v>0</v>
      </c>
      <c r="K62" s="2" t="b">
        <v>0</v>
      </c>
      <c r="L62" s="2" t="b">
        <v>0</v>
      </c>
      <c r="M62" s="2" t="b">
        <v>0</v>
      </c>
      <c r="N62" s="2" t="s">
        <v>33</v>
      </c>
      <c r="O62" s="2">
        <v>98.0</v>
      </c>
      <c r="P62" s="2">
        <v>4.0</v>
      </c>
      <c r="Q62" s="2">
        <v>29.0</v>
      </c>
      <c r="R62" s="2">
        <v>0.0</v>
      </c>
      <c r="S62" s="3" t="s">
        <v>284</v>
      </c>
      <c r="T62" s="2" t="s">
        <v>285</v>
      </c>
      <c r="Y62" s="4" t="str">
        <f>IFERROR(__xludf.DUMMYFUNCTION("""COMPUTED_VALUE"""),"7.1602886")</f>
        <v>7.1602886</v>
      </c>
      <c r="Z62" s="4" t="str">
        <f>IFERROR(__xludf.DUMMYFUNCTION("""COMPUTED_VALUE"""),"3.3325956")</f>
        <v>3.3325956</v>
      </c>
      <c r="AA62" s="4" t="str">
        <f t="shared" si="1"/>
        <v>Neighbor</v>
      </c>
      <c r="AC62" s="4">
        <f>IFERROR(__xludf.DUMMYFUNCTION("IFERROR(ABS(O62-AVERAGE(FILTER(O62:O4130,AA62:AA4130=""Neighbor""))) / STDEV(FILTER(O62:O4130, AA62:AA4130 =""Neighbor"")), """")"),0.7556088589837325)</f>
        <v>0.755608859</v>
      </c>
      <c r="AD62" s="4">
        <f>IFERROR(__xludf.DUMMYFUNCTION("IFERROR(ABS(P62-AVERAGE(FILTER(O62:P4130,AA62:AA4130=""Neighbor""))) / STDEV(FILTER(P62:P4130, AA62:AA4130 =""Neighbor"")), """")"),1.469798378995996)</f>
        <v>1.469798379</v>
      </c>
      <c r="AE62" s="2">
        <f>IFERROR(__xludf.DUMMYFUNCTION("IFERROR(ABS(Q62-AVERAGE(FILTER(Q62:Q4130,AA62:AA4130=""Neighbor""))) / STDEV(FILTER(Q62:Q4130, AA62:AA4130 =""Neighbor"")), """")"),0.21279232296549924)</f>
        <v>0.212792323</v>
      </c>
      <c r="AF62" s="2">
        <f>IFERROR(__xludf.DUMMYFUNCTION("IFERROR(ABS(R62-AVERAGE(FILTER(R62:R4130,AA62:AA4130=""Neighbor""))) / STDEV(FILTER(R62:R4130, AA62:AA4130 =""Neighbor"")), """")"),0.103583522631213)</f>
        <v>0.1035835226</v>
      </c>
    </row>
    <row r="63">
      <c r="A63" s="2" t="s">
        <v>28</v>
      </c>
      <c r="B63" s="2" t="s">
        <v>29</v>
      </c>
      <c r="C63" s="2" t="s">
        <v>256</v>
      </c>
      <c r="D63" s="2" t="s">
        <v>286</v>
      </c>
      <c r="E63" s="2" t="s">
        <v>287</v>
      </c>
      <c r="F63" s="2">
        <v>101.0</v>
      </c>
      <c r="G63" s="2">
        <v>479.0</v>
      </c>
      <c r="H63" s="2" t="b">
        <v>1</v>
      </c>
      <c r="I63" s="2">
        <v>-1.0</v>
      </c>
      <c r="J63" s="2" t="b">
        <v>0</v>
      </c>
      <c r="K63" s="2" t="b">
        <v>0</v>
      </c>
      <c r="L63" s="2" t="b">
        <v>0</v>
      </c>
      <c r="M63" s="2" t="b">
        <v>0</v>
      </c>
      <c r="N63" s="2" t="s">
        <v>33</v>
      </c>
      <c r="O63" s="2">
        <v>115.0</v>
      </c>
      <c r="P63" s="2">
        <v>12.0</v>
      </c>
      <c r="Q63" s="2">
        <v>58.0</v>
      </c>
      <c r="R63" s="2">
        <v>0.0</v>
      </c>
      <c r="S63" s="3" t="s">
        <v>288</v>
      </c>
      <c r="T63" s="2" t="s">
        <v>289</v>
      </c>
      <c r="Y63" s="4" t="str">
        <f>IFERROR(__xludf.DUMMYFUNCTION("""COMPUTED_VALUE"""),"7.1602886")</f>
        <v>7.1602886</v>
      </c>
      <c r="Z63" s="4" t="str">
        <f>IFERROR(__xludf.DUMMYFUNCTION("""COMPUTED_VALUE"""),"3.3325956")</f>
        <v>3.3325956</v>
      </c>
      <c r="AA63" s="4" t="str">
        <f t="shared" si="1"/>
        <v>Not Neighbor</v>
      </c>
      <c r="AC63" s="4">
        <f>IFERROR(__xludf.DUMMYFUNCTION("IFERROR(ABS(O63-AVERAGE(FILTER(O63:O4131,AA63:AA4131=""Neighbor""))) / STDEV(FILTER(O63:O4131, AA63:AA4131 =""Neighbor"")), """")"),1.1572207901939169)</f>
        <v>1.15722079</v>
      </c>
      <c r="AD63" s="4">
        <f>IFERROR(__xludf.DUMMYFUNCTION("IFERROR(ABS(P63-AVERAGE(FILTER(O63:P4131,AA63:AA4131=""Neighbor""))) / STDEV(FILTER(P63:P4131, AA63:AA4131 =""Neighbor"")), """")"),1.1533764125629729)</f>
        <v>1.153376413</v>
      </c>
      <c r="AE63" s="2">
        <f>IFERROR(__xludf.DUMMYFUNCTION("IFERROR(ABS(Q63-AVERAGE(FILTER(Q63:Q4131,AA63:AA4131=""Neighbor""))) / STDEV(FILTER(Q63:Q4131, AA63:AA4131 =""Neighbor"")), """")"),1.4751002212245756)</f>
        <v>1.475100221</v>
      </c>
      <c r="AF63" s="2">
        <f>IFERROR(__xludf.DUMMYFUNCTION("IFERROR(ABS(R63-AVERAGE(FILTER(R63:R4131,AA63:AA4131=""Neighbor""))) / STDEV(FILTER(R63:R4131, AA63:AA4131 =""Neighbor"")), """")"),0.10361309376413087)</f>
        <v>0.1036130938</v>
      </c>
    </row>
    <row r="64">
      <c r="A64" s="2" t="s">
        <v>28</v>
      </c>
      <c r="B64" s="2" t="s">
        <v>29</v>
      </c>
      <c r="C64" s="2" t="s">
        <v>290</v>
      </c>
      <c r="D64" s="2" t="s">
        <v>291</v>
      </c>
      <c r="E64" s="2" t="s">
        <v>292</v>
      </c>
      <c r="F64" s="2">
        <v>117.0</v>
      </c>
      <c r="G64" s="2">
        <v>922.0</v>
      </c>
      <c r="H64" s="2" t="b">
        <v>1</v>
      </c>
      <c r="I64" s="2">
        <v>-1.0</v>
      </c>
      <c r="J64" s="2" t="b">
        <v>0</v>
      </c>
      <c r="K64" s="2" t="b">
        <v>0</v>
      </c>
      <c r="L64" s="2" t="b">
        <v>0</v>
      </c>
      <c r="M64" s="2" t="b">
        <v>0</v>
      </c>
      <c r="N64" s="2" t="s">
        <v>33</v>
      </c>
      <c r="O64" s="2">
        <v>68.0</v>
      </c>
      <c r="P64" s="2">
        <v>3.0</v>
      </c>
      <c r="Q64" s="2">
        <v>20.0</v>
      </c>
      <c r="R64" s="2">
        <v>0.0</v>
      </c>
      <c r="S64" s="3" t="s">
        <v>293</v>
      </c>
      <c r="T64" s="2" t="s">
        <v>294</v>
      </c>
      <c r="Y64" s="4" t="str">
        <f>IFERROR(__xludf.DUMMYFUNCTION("""COMPUTED_VALUE"""),"7.2114285")</f>
        <v>7.2114285</v>
      </c>
      <c r="Z64" s="4" t="str">
        <f>IFERROR(__xludf.DUMMYFUNCTION("""COMPUTED_VALUE"""),"3.1378173")</f>
        <v>3.1378173</v>
      </c>
      <c r="AA64" s="4" t="str">
        <f t="shared" si="1"/>
        <v>Not Neighbor</v>
      </c>
      <c r="AC64" s="4">
        <f>IFERROR(__xludf.DUMMYFUNCTION("IFERROR(ABS(O64-AVERAGE(FILTER(O64:O4132,AA64:AA4132=""Neighbor""))) / STDEV(FILTER(O64:O4132, AA64:AA4132 =""Neighbor"")), """")"),0.04780944689325942)</f>
        <v>0.04780944689</v>
      </c>
      <c r="AD64" s="4">
        <f>IFERROR(__xludf.DUMMYFUNCTION("IFERROR(ABS(P64-AVERAGE(FILTER(O64:P4132,AA64:AA4132=""Neighbor""))) / STDEV(FILTER(P64:P4132, AA64:AA4132 =""Neighbor"")), """")"),1.5087508100009488)</f>
        <v>1.50875081</v>
      </c>
      <c r="AE64" s="2">
        <f>IFERROR(__xludf.DUMMYFUNCTION("IFERROR(ABS(Q64-AVERAGE(FILTER(Q64:Q4132,AA64:AA4132=""Neighbor""))) / STDEV(FILTER(Q64:Q4132, AA64:AA4132 =""Neighbor"")), """")"),0.17887607766717817)</f>
        <v>0.1788760777</v>
      </c>
      <c r="AF64" s="2">
        <f>IFERROR(__xludf.DUMMYFUNCTION("IFERROR(ABS(R64-AVERAGE(FILTER(R64:R4132,AA64:AA4132=""Neighbor""))) / STDEV(FILTER(R64:R4132, AA64:AA4132 =""Neighbor"")), """")"),0.10361309376413087)</f>
        <v>0.1036130938</v>
      </c>
    </row>
    <row r="65">
      <c r="A65" s="2" t="s">
        <v>28</v>
      </c>
      <c r="B65" s="2" t="s">
        <v>29</v>
      </c>
      <c r="C65" s="2" t="s">
        <v>290</v>
      </c>
      <c r="D65" s="2" t="s">
        <v>295</v>
      </c>
      <c r="E65" s="2" t="s">
        <v>296</v>
      </c>
      <c r="F65" s="2">
        <v>103.0</v>
      </c>
      <c r="G65" s="2">
        <v>879.0</v>
      </c>
      <c r="H65" s="2" t="b">
        <v>1</v>
      </c>
      <c r="I65" s="2">
        <v>-1.0</v>
      </c>
      <c r="J65" s="2" t="b">
        <v>0</v>
      </c>
      <c r="K65" s="2" t="b">
        <v>0</v>
      </c>
      <c r="L65" s="2" t="b">
        <v>0</v>
      </c>
      <c r="M65" s="2" t="b">
        <v>0</v>
      </c>
      <c r="N65" s="2" t="s">
        <v>33</v>
      </c>
      <c r="O65" s="2">
        <v>45.0</v>
      </c>
      <c r="P65" s="2">
        <v>4.0</v>
      </c>
      <c r="Q65" s="2">
        <v>38.0</v>
      </c>
      <c r="R65" s="2">
        <v>0.0</v>
      </c>
      <c r="S65" s="3" t="s">
        <v>297</v>
      </c>
      <c r="T65" s="2" t="s">
        <v>298</v>
      </c>
      <c r="Y65" s="4" t="str">
        <f>IFERROR(__xludf.DUMMYFUNCTION("""COMPUTED_VALUE"""),"7.149198")</f>
        <v>7.149198</v>
      </c>
      <c r="Z65" s="4" t="str">
        <f>IFERROR(__xludf.DUMMYFUNCTION("""COMPUTED_VALUE"""),"3.3576839")</f>
        <v>3.3576839</v>
      </c>
      <c r="AA65" s="4" t="str">
        <f t="shared" si="1"/>
        <v>Not Neighbor</v>
      </c>
      <c r="AC65" s="4">
        <f>IFERROR(__xludf.DUMMYFUNCTION("IFERROR(ABS(O65-AVERAGE(FILTER(O65:O4133,AA65:AA4133=""Neighbor""))) / STDEV(FILTER(O65:O4133, AA65:AA4133 =""Neighbor"")), """")"),0.49509397642408354)</f>
        <v>0.4950939764</v>
      </c>
      <c r="AD65" s="4">
        <f>IFERROR(__xludf.DUMMYFUNCTION("IFERROR(ABS(P65-AVERAGE(FILTER(O65:P4133,AA65:AA4133=""Neighbor""))) / STDEV(FILTER(P65:P4133, AA65:AA4133 =""Neighbor"")), """")"),1.4692647658411737)</f>
        <v>1.469264766</v>
      </c>
      <c r="AE65" s="2">
        <f>IFERROR(__xludf.DUMMYFUNCTION("IFERROR(ABS(Q65-AVERAGE(FILTER(Q65:Q4133,AA65:AA4133=""Neighbor""))) / STDEV(FILTER(Q65:Q4133, AA65:AA4133 =""Neighbor"")), """")"),0.6045863797026)</f>
        <v>0.6045863797</v>
      </c>
      <c r="AF65" s="2">
        <f>IFERROR(__xludf.DUMMYFUNCTION("IFERROR(ABS(R65-AVERAGE(FILTER(R65:R4133,AA65:AA4133=""Neighbor""))) / STDEV(FILTER(R65:R4133, AA65:AA4133 =""Neighbor"")), """")"),0.10361309376413087)</f>
        <v>0.1036130938</v>
      </c>
    </row>
    <row r="66">
      <c r="A66" s="2" t="s">
        <v>28</v>
      </c>
      <c r="B66" s="2" t="s">
        <v>29</v>
      </c>
      <c r="C66" s="2" t="s">
        <v>290</v>
      </c>
      <c r="D66" s="2" t="s">
        <v>299</v>
      </c>
      <c r="E66" s="2" t="s">
        <v>300</v>
      </c>
      <c r="F66" s="2">
        <v>66.0</v>
      </c>
      <c r="G66" s="2">
        <v>750.0</v>
      </c>
      <c r="H66" s="2" t="b">
        <v>1</v>
      </c>
      <c r="I66" s="2">
        <v>-1.0</v>
      </c>
      <c r="J66" s="2" t="b">
        <v>0</v>
      </c>
      <c r="K66" s="2" t="b">
        <v>0</v>
      </c>
      <c r="L66" s="2" t="b">
        <v>0</v>
      </c>
      <c r="M66" s="2" t="b">
        <v>0</v>
      </c>
      <c r="N66" s="2" t="s">
        <v>33</v>
      </c>
      <c r="O66" s="2">
        <v>44.0</v>
      </c>
      <c r="P66" s="2">
        <v>5.0</v>
      </c>
      <c r="Q66" s="2">
        <v>9.0</v>
      </c>
      <c r="R66" s="2">
        <v>0.0</v>
      </c>
      <c r="S66" s="3" t="s">
        <v>301</v>
      </c>
      <c r="T66" s="2" t="s">
        <v>302</v>
      </c>
      <c r="Y66" s="4" t="str">
        <f>IFERROR(__xludf.DUMMYFUNCTION("""COMPUTED_VALUE"""),"7.1582087")</f>
        <v>7.1582087</v>
      </c>
      <c r="Z66" s="4" t="str">
        <f>IFERROR(__xludf.DUMMYFUNCTION("""COMPUTED_VALUE"""),"3.3296839")</f>
        <v>3.3296839</v>
      </c>
      <c r="AA66" s="4" t="str">
        <f t="shared" si="1"/>
        <v>Neighbor</v>
      </c>
      <c r="AC66" s="4">
        <f>IFERROR(__xludf.DUMMYFUNCTION("IFERROR(ABS(O66-AVERAGE(FILTER(O66:O4134,AA66:AA4134=""Neighbor""))) / STDEV(FILTER(O66:O4134, AA66:AA4134 =""Neighbor"")), """")"),0.518698473090055)</f>
        <v>0.5186984731</v>
      </c>
      <c r="AD66" s="4">
        <f>IFERROR(__xludf.DUMMYFUNCTION("IFERROR(ABS(P66-AVERAGE(FILTER(O66:P4134,AA66:AA4134=""Neighbor""))) / STDEV(FILTER(P66:P4134, AA66:AA4134 =""Neighbor"")), """")"),1.4297787216813986)</f>
        <v>1.429778722</v>
      </c>
      <c r="AE66" s="2">
        <f>IFERROR(__xludf.DUMMYFUNCTION("IFERROR(ABS(Q66-AVERAGE(FILTER(Q66:Q4134,AA66:AA4134=""Neighbor""))) / STDEV(FILTER(Q66:Q4134, AA66:AA4134 =""Neighbor"")), """")"),0.6576586905042648)</f>
        <v>0.6576586905</v>
      </c>
      <c r="AF66" s="2">
        <f>IFERROR(__xludf.DUMMYFUNCTION("IFERROR(ABS(R66-AVERAGE(FILTER(R66:R4134,AA66:AA4134=""Neighbor""))) / STDEV(FILTER(R66:R4134, AA66:AA4134 =""Neighbor"")), """")"),0.10361309376413087)</f>
        <v>0.1036130938</v>
      </c>
    </row>
    <row r="67">
      <c r="A67" s="2" t="s">
        <v>28</v>
      </c>
      <c r="B67" s="2" t="s">
        <v>29</v>
      </c>
      <c r="C67" s="2" t="s">
        <v>290</v>
      </c>
      <c r="D67" s="2" t="s">
        <v>303</v>
      </c>
      <c r="E67" s="2" t="s">
        <v>304</v>
      </c>
      <c r="F67" s="2">
        <v>96.0</v>
      </c>
      <c r="G67" s="2">
        <v>750.0</v>
      </c>
      <c r="H67" s="2" t="b">
        <v>1</v>
      </c>
      <c r="I67" s="2">
        <v>-1.0</v>
      </c>
      <c r="J67" s="2" t="b">
        <v>0</v>
      </c>
      <c r="K67" s="2" t="b">
        <v>0</v>
      </c>
      <c r="L67" s="2" t="b">
        <v>0</v>
      </c>
      <c r="M67" s="2" t="b">
        <v>0</v>
      </c>
      <c r="N67" s="2" t="s">
        <v>33</v>
      </c>
      <c r="O67" s="2">
        <v>70.0</v>
      </c>
      <c r="P67" s="2">
        <v>3.0</v>
      </c>
      <c r="Q67" s="2">
        <v>17.0</v>
      </c>
      <c r="R67" s="2">
        <v>0.0</v>
      </c>
      <c r="S67" s="3" t="s">
        <v>305</v>
      </c>
      <c r="T67" s="2" t="s">
        <v>306</v>
      </c>
      <c r="Y67" s="4" t="str">
        <f>IFERROR(__xludf.DUMMYFUNCTION("""COMPUTED_VALUE"""),"7.1634243")</f>
        <v>7.1634243</v>
      </c>
      <c r="Z67" s="4" t="str">
        <f>IFERROR(__xludf.DUMMYFUNCTION("""COMPUTED_VALUE"""),"3.3332085")</f>
        <v>3.3332085</v>
      </c>
      <c r="AA67" s="4" t="str">
        <f t="shared" si="1"/>
        <v>Neighbor</v>
      </c>
      <c r="AC67" s="4">
        <f>IFERROR(__xludf.DUMMYFUNCTION("IFERROR(ABS(O67-AVERAGE(FILTER(O67:O4135,AA67:AA4135=""Neighbor""))) / STDEV(FILTER(O67:O4135, AA67:AA4135 =""Neighbor"")), """")"),0.09470547651154126)</f>
        <v>0.09470547651</v>
      </c>
      <c r="AD67" s="4">
        <f>IFERROR(__xludf.DUMMYFUNCTION("IFERROR(ABS(P67-AVERAGE(FILTER(O67:P4135,AA67:AA4135=""Neighbor""))) / STDEV(FILTER(P67:P4135, AA67:AA4135 =""Neighbor"")), """")"),1.5087843449996332)</f>
        <v>1.508784345</v>
      </c>
      <c r="AE67" s="2">
        <f>IFERROR(__xludf.DUMMYFUNCTION("IFERROR(ABS(Q67-AVERAGE(FILTER(Q67:Q4135,AA67:AA4135=""Neighbor""))) / STDEV(FILTER(Q67:Q4135, AA67:AA4135 =""Neighbor"")), """")"),0.3097754148997794)</f>
        <v>0.3097754149</v>
      </c>
      <c r="AF67" s="2">
        <f>IFERROR(__xludf.DUMMYFUNCTION("IFERROR(ABS(R67-AVERAGE(FILTER(R67:R4135,AA67:AA4135=""Neighbor""))) / STDEV(FILTER(R67:R4135, AA67:AA4135 =""Neighbor"")), """")"),0.10364269023770262)</f>
        <v>0.1036426902</v>
      </c>
    </row>
    <row r="68">
      <c r="A68" s="2" t="s">
        <v>28</v>
      </c>
      <c r="B68" s="2" t="s">
        <v>29</v>
      </c>
      <c r="C68" s="2" t="s">
        <v>290</v>
      </c>
      <c r="D68" s="2" t="s">
        <v>307</v>
      </c>
      <c r="E68" s="2" t="s">
        <v>308</v>
      </c>
      <c r="F68" s="2">
        <v>113.0</v>
      </c>
      <c r="G68" s="2">
        <v>852.0</v>
      </c>
      <c r="H68" s="2" t="b">
        <v>1</v>
      </c>
      <c r="I68" s="2">
        <v>-1.0</v>
      </c>
      <c r="J68" s="2" t="b">
        <v>0</v>
      </c>
      <c r="K68" s="2" t="b">
        <v>1</v>
      </c>
      <c r="L68" s="2" t="b">
        <v>0</v>
      </c>
      <c r="M68" s="2" t="b">
        <v>0</v>
      </c>
      <c r="N68" s="2" t="s">
        <v>33</v>
      </c>
      <c r="O68" s="2">
        <v>71.0</v>
      </c>
      <c r="P68" s="2">
        <v>2.0</v>
      </c>
      <c r="Q68" s="2">
        <v>24.0</v>
      </c>
      <c r="R68" s="2">
        <v>0.0</v>
      </c>
      <c r="S68" s="3" t="s">
        <v>309</v>
      </c>
      <c r="T68" s="2" t="s">
        <v>310</v>
      </c>
      <c r="Y68" s="4" t="str">
        <f>IFERROR(__xludf.DUMMYFUNCTION("""COMPUTED_VALUE"""),"7.1634243")</f>
        <v>7.1634243</v>
      </c>
      <c r="Z68" s="4" t="str">
        <f>IFERROR(__xludf.DUMMYFUNCTION("""COMPUTED_VALUE"""),"3.3332085")</f>
        <v>3.3332085</v>
      </c>
      <c r="AA68" s="4" t="str">
        <f t="shared" si="1"/>
        <v>Not Neighbor</v>
      </c>
      <c r="AC68" s="4">
        <f>IFERROR(__xludf.DUMMYFUNCTION("IFERROR(ABS(O68-AVERAGE(FILTER(O68:O4136,AA68:AA4136=""Neighbor""))) / STDEV(FILTER(O68:O4136, AA68:AA4136 =""Neighbor"")), """")"),0.11832549456407973)</f>
        <v>0.1183254946</v>
      </c>
      <c r="AD68" s="4">
        <f>IFERROR(__xludf.DUMMYFUNCTION("IFERROR(ABS(P68-AVERAGE(FILTER(O68:P4136,AA68:AA4136=""Neighbor""))) / STDEV(FILTER(P68:P4136, AA68:AA4136 =""Neighbor"")), """")"),1.5480523349006938)</f>
        <v>1.548052335</v>
      </c>
      <c r="AE68" s="2">
        <f>IFERROR(__xludf.DUMMYFUNCTION("IFERROR(ABS(Q68-AVERAGE(FILTER(Q68:Q4136,AA68:AA4136=""Neighbor""))) / STDEV(FILTER(Q68:Q4136, AA68:AA4136 =""Neighbor"")), """")"),0.005318413060607931)</f>
        <v>0.005318413061</v>
      </c>
      <c r="AF68" s="2">
        <f>IFERROR(__xludf.DUMMYFUNCTION("IFERROR(ABS(R68-AVERAGE(FILTER(R68:R4136,AA68:AA4136=""Neighbor""))) / STDEV(FILTER(R68:R4136, AA68:AA4136 =""Neighbor"")), """")"),0.10367231208814143)</f>
        <v>0.1036723121</v>
      </c>
    </row>
    <row r="69">
      <c r="A69" s="2" t="s">
        <v>28</v>
      </c>
      <c r="B69" s="2" t="s">
        <v>29</v>
      </c>
      <c r="C69" s="2" t="s">
        <v>290</v>
      </c>
      <c r="D69" s="2" t="s">
        <v>311</v>
      </c>
      <c r="E69" s="2" t="s">
        <v>312</v>
      </c>
      <c r="F69" s="2">
        <v>105.0</v>
      </c>
      <c r="G69" s="2">
        <v>380.0</v>
      </c>
      <c r="H69" s="2" t="b">
        <v>1</v>
      </c>
      <c r="I69" s="2">
        <v>-1.0</v>
      </c>
      <c r="J69" s="2" t="b">
        <v>0</v>
      </c>
      <c r="K69" s="2" t="b">
        <v>0</v>
      </c>
      <c r="L69" s="2" t="b">
        <v>0</v>
      </c>
      <c r="M69" s="2" t="b">
        <v>0</v>
      </c>
      <c r="N69" s="2" t="s">
        <v>33</v>
      </c>
      <c r="O69" s="2">
        <v>67.0</v>
      </c>
      <c r="P69" s="2">
        <v>0.0</v>
      </c>
      <c r="Q69" s="2">
        <v>28.0</v>
      </c>
      <c r="R69" s="2">
        <v>0.0</v>
      </c>
      <c r="S69" s="3" t="s">
        <v>313</v>
      </c>
      <c r="T69" s="2" t="s">
        <v>314</v>
      </c>
      <c r="Y69" s="4" t="str">
        <f>IFERROR(__xludf.DUMMYFUNCTION("""COMPUTED_VALUE"""),"7.1763894")</f>
        <v>7.1763894</v>
      </c>
      <c r="Z69" s="4" t="str">
        <f>IFERROR(__xludf.DUMMYFUNCTION("""COMPUTED_VALUE"""),"3.3376324")</f>
        <v>3.3376324</v>
      </c>
      <c r="AA69" s="4" t="str">
        <f t="shared" si="1"/>
        <v>Neighbor</v>
      </c>
      <c r="AC69" s="4">
        <f>IFERROR(__xludf.DUMMYFUNCTION("IFERROR(ABS(O69-AVERAGE(FILTER(O69:O4137,AA69:AA4137=""Neighbor""))) / STDEV(FILTER(O69:O4137, AA69:AA4137 =""Neighbor"")), """")"),0.023953502284806968)</f>
        <v>0.02395350228</v>
      </c>
      <c r="AD69" s="4">
        <f>IFERROR(__xludf.DUMMYFUNCTION("IFERROR(ABS(P69-AVERAGE(FILTER(O69:P4137,AA69:AA4137=""Neighbor""))) / STDEV(FILTER(P69:P4137, AA69:AA4137 =""Neighbor"")), """")"),1.6269906070533386)</f>
        <v>1.626990607</v>
      </c>
      <c r="AE69" s="2">
        <f>IFERROR(__xludf.DUMMYFUNCTION("IFERROR(ABS(Q69-AVERAGE(FILTER(Q69:Q4137,AA69:AA4137=""Neighbor""))) / STDEV(FILTER(Q69:Q4137, AA69:AA4137 =""Neighbor"")), """")"),0.1687118809781734)</f>
        <v>0.168711881</v>
      </c>
      <c r="AF69" s="2">
        <f>IFERROR(__xludf.DUMMYFUNCTION("IFERROR(ABS(R69-AVERAGE(FILTER(R69:R4137,AA69:AA4137=""Neighbor""))) / STDEV(FILTER(R69:R4137, AA69:AA4137 =""Neighbor"")), """")"),0.10367231208814143)</f>
        <v>0.1036723121</v>
      </c>
    </row>
    <row r="70">
      <c r="A70" s="2" t="s">
        <v>28</v>
      </c>
      <c r="B70" s="2" t="s">
        <v>29</v>
      </c>
      <c r="C70" s="2" t="s">
        <v>290</v>
      </c>
      <c r="D70" s="2" t="s">
        <v>315</v>
      </c>
      <c r="E70" s="2" t="s">
        <v>316</v>
      </c>
      <c r="F70" s="2">
        <v>74.0</v>
      </c>
      <c r="G70" s="2">
        <v>710.0</v>
      </c>
      <c r="H70" s="2" t="b">
        <v>1</v>
      </c>
      <c r="I70" s="2">
        <v>-1.0</v>
      </c>
      <c r="J70" s="2" t="b">
        <v>0</v>
      </c>
      <c r="K70" s="2" t="b">
        <v>1</v>
      </c>
      <c r="L70" s="2" t="b">
        <v>0</v>
      </c>
      <c r="M70" s="2" t="b">
        <v>0</v>
      </c>
      <c r="N70" s="2" t="s">
        <v>33</v>
      </c>
      <c r="O70" s="2">
        <v>52.0</v>
      </c>
      <c r="P70" s="2">
        <v>3.0</v>
      </c>
      <c r="Q70" s="2">
        <v>13.0</v>
      </c>
      <c r="R70" s="2">
        <v>0.0</v>
      </c>
      <c r="S70" s="3" t="s">
        <v>317</v>
      </c>
      <c r="T70" s="2" t="s">
        <v>318</v>
      </c>
      <c r="Y70" s="4" t="str">
        <f>IFERROR(__xludf.DUMMYFUNCTION("""COMPUTED_VALUE"""),"7.1763894")</f>
        <v>7.1763894</v>
      </c>
      <c r="Z70" s="4" t="str">
        <f>IFERROR(__xludf.DUMMYFUNCTION("""COMPUTED_VALUE"""),"3.3376324")</f>
        <v>3.3376324</v>
      </c>
      <c r="AA70" s="4" t="str">
        <f t="shared" si="1"/>
        <v>Neighbor</v>
      </c>
      <c r="AC70" s="4">
        <f>IFERROR(__xludf.DUMMYFUNCTION("IFERROR(ABS(O70-AVERAGE(FILTER(O70:O4138,AA70:AA4138=""Neighbor""))) / STDEV(FILTER(O70:O4138, AA70:AA4138 =""Neighbor"")), """")"),0.3298345343706307)</f>
        <v>0.3298345344</v>
      </c>
      <c r="AD70" s="4">
        <f>IFERROR(__xludf.DUMMYFUNCTION("IFERROR(ABS(P70-AVERAGE(FILTER(O70:P4138,AA70:AA4138=""Neighbor""))) / STDEV(FILTER(P70:P4138, AA70:AA4138 =""Neighbor"")), """")"),1.5085089012185904)</f>
        <v>1.508508901</v>
      </c>
      <c r="AE70" s="2">
        <f>IFERROR(__xludf.DUMMYFUNCTION("IFERROR(ABS(Q70-AVERAGE(FILTER(Q70:Q4138,AA70:AA4138=""Neighbor""))) / STDEV(FILTER(Q70:Q4138, AA70:AA4138 =""Neighbor"")), """")"),0.4836730910097535)</f>
        <v>0.483673091</v>
      </c>
      <c r="AF70" s="2">
        <f>IFERROR(__xludf.DUMMYFUNCTION("IFERROR(ABS(R70-AVERAGE(FILTER(R70:R4138,AA70:AA4138=""Neighbor""))) / STDEV(FILTER(R70:R4138, AA70:AA4138 =""Neighbor"")), """")"),0.10370195935173326)</f>
        <v>0.1037019594</v>
      </c>
    </row>
    <row r="71">
      <c r="A71" s="2" t="s">
        <v>28</v>
      </c>
      <c r="B71" s="2" t="s">
        <v>29</v>
      </c>
      <c r="C71" s="2" t="s">
        <v>290</v>
      </c>
      <c r="D71" s="2" t="s">
        <v>319</v>
      </c>
      <c r="E71" s="2" t="s">
        <v>320</v>
      </c>
      <c r="F71" s="2">
        <v>120.0</v>
      </c>
      <c r="G71" s="2">
        <v>750.0</v>
      </c>
      <c r="H71" s="2" t="b">
        <v>1</v>
      </c>
      <c r="I71" s="2">
        <v>-1.0</v>
      </c>
      <c r="J71" s="2" t="b">
        <v>0</v>
      </c>
      <c r="K71" s="2" t="b">
        <v>0</v>
      </c>
      <c r="L71" s="2" t="b">
        <v>0</v>
      </c>
      <c r="M71" s="2" t="b">
        <v>0</v>
      </c>
      <c r="N71" s="2" t="s">
        <v>33</v>
      </c>
      <c r="O71" s="2">
        <v>90.0</v>
      </c>
      <c r="P71" s="2">
        <v>4.0</v>
      </c>
      <c r="Q71" s="2">
        <v>16.0</v>
      </c>
      <c r="R71" s="2">
        <v>0.0</v>
      </c>
      <c r="S71" s="3" t="s">
        <v>321</v>
      </c>
      <c r="T71" s="2" t="s">
        <v>322</v>
      </c>
      <c r="Y71" s="4" t="str">
        <f>IFERROR(__xludf.DUMMYFUNCTION("""COMPUTED_VALUE"""),"7.1782444")</f>
        <v>7.1782444</v>
      </c>
      <c r="Z71" s="4" t="str">
        <f>IFERROR(__xludf.DUMMYFUNCTION("""COMPUTED_VALUE"""),"3.3368454")</f>
        <v>3.3368454</v>
      </c>
      <c r="AA71" s="4" t="str">
        <f t="shared" si="1"/>
        <v>Not Neighbor</v>
      </c>
      <c r="AC71" s="4">
        <f>IFERROR(__xludf.DUMMYFUNCTION("IFERROR(ABS(O71-AVERAGE(FILTER(O71:O4139,AA71:AA4139=""Neighbor""))) / STDEV(FILTER(O71:O4139, AA71:AA4139 =""Neighbor"")), """")"),0.5661158163818397)</f>
        <v>0.5661158164</v>
      </c>
      <c r="AD71" s="4">
        <f>IFERROR(__xludf.DUMMYFUNCTION("IFERROR(ABS(P71-AVERAGE(FILTER(O71:P4139,AA71:AA4139=""Neighbor""))) / STDEV(FILTER(P71:P4139, AA71:AA4139 =""Neighbor"")), """")"),1.46905444593783)</f>
        <v>1.469054446</v>
      </c>
      <c r="AE71" s="2">
        <f>IFERROR(__xludf.DUMMYFUNCTION("IFERROR(ABS(Q71-AVERAGE(FILTER(Q71:Q4139,AA71:AA4139=""Neighbor""))) / STDEV(FILTER(Q71:Q4139, AA71:AA4139 =""Neighbor"")), """")"),0.35338360247572026)</f>
        <v>0.3533836025</v>
      </c>
      <c r="AF71" s="2">
        <f>IFERROR(__xludf.DUMMYFUNCTION("IFERROR(ABS(R71-AVERAGE(FILTER(R71:R4139,AA71:AA4139=""Neighbor""))) / STDEV(FILTER(R71:R4139, AA71:AA4139 =""Neighbor"")), """")"),0.10373163206483642)</f>
        <v>0.1037316321</v>
      </c>
    </row>
    <row r="72">
      <c r="A72" s="2" t="s">
        <v>28</v>
      </c>
      <c r="B72" s="2" t="s">
        <v>29</v>
      </c>
      <c r="C72" s="2" t="s">
        <v>290</v>
      </c>
      <c r="D72" s="2" t="s">
        <v>323</v>
      </c>
      <c r="E72" s="2" t="s">
        <v>324</v>
      </c>
      <c r="F72" s="2">
        <v>110.0</v>
      </c>
      <c r="G72" s="2">
        <v>958.0</v>
      </c>
      <c r="H72" s="2" t="b">
        <v>1</v>
      </c>
      <c r="I72" s="2">
        <v>-1.0</v>
      </c>
      <c r="J72" s="2" t="b">
        <v>0</v>
      </c>
      <c r="K72" s="2" t="b">
        <v>0</v>
      </c>
      <c r="L72" s="2" t="b">
        <v>0</v>
      </c>
      <c r="M72" s="2" t="b">
        <v>0</v>
      </c>
      <c r="N72" s="2" t="s">
        <v>33</v>
      </c>
      <c r="O72" s="2">
        <v>63.0</v>
      </c>
      <c r="P72" s="2">
        <v>2.0</v>
      </c>
      <c r="Q72" s="2">
        <v>17.0</v>
      </c>
      <c r="R72" s="2">
        <v>0.0</v>
      </c>
      <c r="S72" s="3" t="s">
        <v>325</v>
      </c>
      <c r="T72" s="2" t="s">
        <v>326</v>
      </c>
      <c r="Y72" s="4" t="str">
        <f>IFERROR(__xludf.DUMMYFUNCTION("""COMPUTED_VALUE"""),"7.1634243")</f>
        <v>7.1634243</v>
      </c>
      <c r="Z72" s="4" t="str">
        <f>IFERROR(__xludf.DUMMYFUNCTION("""COMPUTED_VALUE"""),"3.3332085")</f>
        <v>3.3332085</v>
      </c>
      <c r="AA72" s="4" t="str">
        <f t="shared" si="1"/>
        <v>Not Neighbor</v>
      </c>
      <c r="AC72" s="4">
        <f>IFERROR(__xludf.DUMMYFUNCTION("IFERROR(ABS(O72-AVERAGE(FILTER(O72:O4140,AA72:AA4140=""Neighbor""))) / STDEV(FILTER(O72:O4140, AA72:AA4140 =""Neighbor"")), """")"),0.07055405735386067)</f>
        <v>0.07055405735</v>
      </c>
      <c r="AD72" s="4">
        <f>IFERROR(__xludf.DUMMYFUNCTION("IFERROR(ABS(P72-AVERAGE(FILTER(O72:P4140,AA72:AA4140=""Neighbor""))) / STDEV(FILTER(P72:P4140, AA72:AA4140 =""Neighbor"")), """")"),1.5479637583660923)</f>
        <v>1.547963758</v>
      </c>
      <c r="AE72" s="2">
        <f>IFERROR(__xludf.DUMMYFUNCTION("IFERROR(ABS(Q72-AVERAGE(FILTER(Q72:Q4140,AA72:AA4140=""Neighbor""))) / STDEV(FILTER(Q72:Q4140, AA72:AA4140 =""Neighbor"")), """")"),0.30989743790975455)</f>
        <v>0.3098974379</v>
      </c>
      <c r="AF72" s="2">
        <f>IFERROR(__xludf.DUMMYFUNCTION("IFERROR(ABS(R72-AVERAGE(FILTER(R72:R4140,AA72:AA4140=""Neighbor""))) / STDEV(FILTER(R72:R4140, AA72:AA4140 =""Neighbor"")), """")"),0.10373163206483642)</f>
        <v>0.1037316321</v>
      </c>
    </row>
    <row r="73">
      <c r="A73" s="2" t="s">
        <v>28</v>
      </c>
      <c r="B73" s="2" t="s">
        <v>29</v>
      </c>
      <c r="C73" s="2" t="s">
        <v>327</v>
      </c>
      <c r="D73" s="2" t="s">
        <v>328</v>
      </c>
      <c r="E73" s="2" t="s">
        <v>329</v>
      </c>
      <c r="F73" s="2">
        <v>151.0</v>
      </c>
      <c r="G73" s="2">
        <v>927.0</v>
      </c>
      <c r="H73" s="2" t="b">
        <v>1</v>
      </c>
      <c r="I73" s="2">
        <v>-1.0</v>
      </c>
      <c r="J73" s="2" t="b">
        <v>0</v>
      </c>
      <c r="K73" s="2" t="b">
        <v>0</v>
      </c>
      <c r="L73" s="2" t="b">
        <v>0</v>
      </c>
      <c r="M73" s="2" t="b">
        <v>0</v>
      </c>
      <c r="N73" s="2" t="s">
        <v>33</v>
      </c>
      <c r="O73" s="2">
        <v>74.0</v>
      </c>
      <c r="P73" s="2">
        <v>44.0</v>
      </c>
      <c r="Q73" s="2">
        <v>24.0</v>
      </c>
      <c r="R73" s="2">
        <v>0.0</v>
      </c>
      <c r="S73" s="3" t="s">
        <v>330</v>
      </c>
      <c r="T73" s="2" t="s">
        <v>331</v>
      </c>
      <c r="Y73" s="4" t="str">
        <f>IFERROR(__xludf.DUMMYFUNCTION("""COMPUTED_VALUE"""),"7.1549828")</f>
        <v>7.1549828</v>
      </c>
      <c r="Z73" s="4" t="str">
        <f>IFERROR(__xludf.DUMMYFUNCTION("""COMPUTED_VALUE"""),"3.3225235")</f>
        <v>3.3225235</v>
      </c>
      <c r="AA73" s="4" t="str">
        <f t="shared" si="1"/>
        <v>Neighbor</v>
      </c>
      <c r="AC73" s="4">
        <f>IFERROR(__xludf.DUMMYFUNCTION("IFERROR(ABS(O73-AVERAGE(FILTER(O73:O4141,AA73:AA4141=""Neighbor""))) / STDEV(FILTER(O73:O4141, AA73:AA4141 =""Neighbor"")), """")"),0.18882996527920246)</f>
        <v>0.1888299653</v>
      </c>
      <c r="AD73" s="4">
        <f>IFERROR(__xludf.DUMMYFUNCTION("IFERROR(ABS(P73-AVERAGE(FILTER(O73:P4141,AA73:AA4141=""Neighbor""))) / STDEV(FILTER(P73:P4141, AA73:AA4141 =""Neighbor"")), """")"),0.10913180262741551)</f>
        <v>0.1091318026</v>
      </c>
      <c r="AE73" s="2">
        <f>IFERROR(__xludf.DUMMYFUNCTION("IFERROR(ABS(Q73-AVERAGE(FILTER(Q73:Q4141,AA73:AA4141=""Neighbor""))) / STDEV(FILTER(Q73:Q4141, AA73:AA4141 =""Neighbor"")), """")"),0.005494285947994478)</f>
        <v>0.005494285948</v>
      </c>
      <c r="AF73" s="2">
        <f>IFERROR(__xludf.DUMMYFUNCTION("IFERROR(ABS(R73-AVERAGE(FILTER(R73:R4141,AA73:AA4141=""Neighbor""))) / STDEV(FILTER(R73:R4141, AA73:AA4141 =""Neighbor"")), """")"),0.10373163206483642)</f>
        <v>0.1037316321</v>
      </c>
    </row>
    <row r="74">
      <c r="A74" s="2" t="s">
        <v>28</v>
      </c>
      <c r="B74" s="2" t="s">
        <v>29</v>
      </c>
      <c r="C74" s="2" t="s">
        <v>327</v>
      </c>
      <c r="D74" s="2" t="s">
        <v>332</v>
      </c>
      <c r="E74" s="2" t="s">
        <v>333</v>
      </c>
      <c r="F74" s="2">
        <v>121.0</v>
      </c>
      <c r="G74" s="2">
        <v>707.0</v>
      </c>
      <c r="H74" s="2" t="b">
        <v>1</v>
      </c>
      <c r="I74" s="2">
        <v>-1.0</v>
      </c>
      <c r="J74" s="2" t="b">
        <v>0</v>
      </c>
      <c r="K74" s="2" t="b">
        <v>0</v>
      </c>
      <c r="L74" s="2" t="b">
        <v>0</v>
      </c>
      <c r="M74" s="2" t="b">
        <v>0</v>
      </c>
      <c r="N74" s="2" t="s">
        <v>33</v>
      </c>
      <c r="O74" s="2">
        <v>71.0</v>
      </c>
      <c r="P74" s="2">
        <v>29.0</v>
      </c>
      <c r="Q74" s="2">
        <v>13.0</v>
      </c>
      <c r="R74" s="2">
        <v>1.0</v>
      </c>
      <c r="S74" s="3" t="s">
        <v>334</v>
      </c>
      <c r="T74" s="2" t="s">
        <v>335</v>
      </c>
      <c r="Y74" s="4" t="str">
        <f>IFERROR(__xludf.DUMMYFUNCTION("""COMPUTED_VALUE"""),"7.1546789")</f>
        <v>7.1546789</v>
      </c>
      <c r="Z74" s="4" t="str">
        <f>IFERROR(__xludf.DUMMYFUNCTION("""COMPUTED_VALUE"""),"3.3273611")</f>
        <v>3.3273611</v>
      </c>
      <c r="AA74" s="4" t="str">
        <f t="shared" si="1"/>
        <v>Neighbor</v>
      </c>
      <c r="AC74" s="4">
        <f>IFERROR(__xludf.DUMMYFUNCTION("IFERROR(ABS(O74-AVERAGE(FILTER(O74:O4142,AA74:AA4142=""Neighbor""))) / STDEV(FILTER(O74:O4142, AA74:AA4142 =""Neighbor"")), """")"),0.11816360260805044)</f>
        <v>0.1181636026</v>
      </c>
      <c r="AD74" s="4">
        <f>IFERROR(__xludf.DUMMYFUNCTION("IFERROR(ABS(P74-AVERAGE(FILTER(O74:P4142,AA74:AA4142=""Neighbor""))) / STDEV(FILTER(P74:P4142, AA74:AA4142 =""Neighbor"")), """")"),0.4823152931051115)</f>
        <v>0.4823152931</v>
      </c>
      <c r="AE74" s="2">
        <f>IFERROR(__xludf.DUMMYFUNCTION("IFERROR(ABS(Q74-AVERAGE(FILTER(Q74:Q4142,AA74:AA4142=""Neighbor""))) / STDEV(FILTER(Q74:Q4142, AA74:AA4142 =""Neighbor"")), """")"),0.4837080512131571)</f>
        <v>0.4837080512</v>
      </c>
      <c r="AF74" s="2">
        <f>IFERROR(__xludf.DUMMYFUNCTION("IFERROR(ABS(R74-AVERAGE(FILTER(R74:R4142,AA74:AA4142=""Neighbor""))) / STDEV(FILTER(R74:R4142, AA74:AA4142 =""Neighbor"")), """")"),0.09781905143819727)</f>
        <v>0.09781905144</v>
      </c>
    </row>
    <row r="75">
      <c r="A75" s="2" t="s">
        <v>28</v>
      </c>
      <c r="B75" s="2" t="s">
        <v>29</v>
      </c>
      <c r="C75" s="2" t="s">
        <v>327</v>
      </c>
      <c r="D75" s="2" t="s">
        <v>336</v>
      </c>
      <c r="E75" s="2" t="s">
        <v>337</v>
      </c>
      <c r="F75" s="2">
        <v>157.0</v>
      </c>
      <c r="G75" s="2">
        <v>859.0</v>
      </c>
      <c r="H75" s="2" t="b">
        <v>1</v>
      </c>
      <c r="I75" s="2">
        <v>-1.0</v>
      </c>
      <c r="J75" s="2" t="b">
        <v>0</v>
      </c>
      <c r="K75" s="2" t="b">
        <v>0</v>
      </c>
      <c r="L75" s="2" t="b">
        <v>0</v>
      </c>
      <c r="M75" s="2" t="b">
        <v>0</v>
      </c>
      <c r="N75" s="2" t="s">
        <v>33</v>
      </c>
      <c r="O75" s="2">
        <v>104.0</v>
      </c>
      <c r="P75" s="2">
        <v>24.0</v>
      </c>
      <c r="Q75" s="2">
        <v>20.0</v>
      </c>
      <c r="R75" s="2">
        <v>0.0</v>
      </c>
      <c r="S75" s="3" t="s">
        <v>338</v>
      </c>
      <c r="T75" s="2" t="s">
        <v>339</v>
      </c>
      <c r="Y75" s="4" t="str">
        <f>IFERROR(__xludf.DUMMYFUNCTION("""COMPUTED_VALUE"""),"7.1549828")</f>
        <v>7.1549828</v>
      </c>
      <c r="Z75" s="4" t="str">
        <f>IFERROR(__xludf.DUMMYFUNCTION("""COMPUTED_VALUE"""),"3.3225235")</f>
        <v>3.3225235</v>
      </c>
      <c r="AA75" s="4" t="str">
        <f t="shared" si="1"/>
        <v>Neighbor</v>
      </c>
      <c r="AC75" s="4">
        <f>IFERROR(__xludf.DUMMYFUNCTION("IFERROR(ABS(O75-AVERAGE(FILTER(O75:O4143,AA75:AA4143=""Neighbor""))) / STDEV(FILTER(O75:O4143, AA75:AA4143 =""Neighbor"")), """")"),0.895919318940142)</f>
        <v>0.8959193189</v>
      </c>
      <c r="AD75" s="4">
        <f>IFERROR(__xludf.DUMMYFUNCTION("IFERROR(ABS(P75-AVERAGE(FILTER(O75:P4143,AA75:AA4143=""Neighbor""))) / STDEV(FILTER(P75:P4143, AA75:AA4143 =""Neighbor"")), """")"),0.6792567078938455)</f>
        <v>0.6792567079</v>
      </c>
      <c r="AE75" s="2">
        <f>IFERROR(__xludf.DUMMYFUNCTION("IFERROR(ABS(Q75-AVERAGE(FILTER(Q75:Q4143,AA75:AA4143=""Neighbor""))) / STDEV(FILTER(Q75:Q4143, AA75:AA4143 =""Neighbor"")), """")"),0.17962652224286385)</f>
        <v>0.1796265222</v>
      </c>
      <c r="AF75" s="2">
        <f>IFERROR(__xludf.DUMMYFUNCTION("IFERROR(ABS(R75-AVERAGE(FILTER(R75:R4143,AA75:AA4143=""Neighbor""))) / STDEV(FILTER(R75:R4143, AA75:AA4143 =""Neighbor"")), """")"),0.1036767114161307)</f>
        <v>0.1036767114</v>
      </c>
    </row>
    <row r="76">
      <c r="A76" s="2" t="s">
        <v>28</v>
      </c>
      <c r="B76" s="2" t="s">
        <v>29</v>
      </c>
      <c r="C76" s="2" t="s">
        <v>327</v>
      </c>
      <c r="D76" s="2" t="s">
        <v>340</v>
      </c>
      <c r="E76" s="2" t="s">
        <v>341</v>
      </c>
      <c r="F76" s="2">
        <v>107.0</v>
      </c>
      <c r="G76" s="2">
        <v>607.0</v>
      </c>
      <c r="H76" s="2" t="b">
        <v>1</v>
      </c>
      <c r="I76" s="2">
        <v>-1.0</v>
      </c>
      <c r="J76" s="2" t="b">
        <v>0</v>
      </c>
      <c r="K76" s="2" t="b">
        <v>0</v>
      </c>
      <c r="L76" s="2" t="b">
        <v>0</v>
      </c>
      <c r="M76" s="2" t="b">
        <v>0</v>
      </c>
      <c r="N76" s="2" t="s">
        <v>33</v>
      </c>
      <c r="O76" s="2">
        <v>63.0</v>
      </c>
      <c r="P76" s="2">
        <v>18.0</v>
      </c>
      <c r="Q76" s="2">
        <v>9.0</v>
      </c>
      <c r="R76" s="2">
        <v>0.0</v>
      </c>
      <c r="S76" s="3" t="s">
        <v>342</v>
      </c>
      <c r="T76" s="2" t="s">
        <v>343</v>
      </c>
      <c r="Y76" s="4" t="str">
        <f>IFERROR(__xludf.DUMMYFUNCTION("""COMPUTED_VALUE"""),"7.1549828")</f>
        <v>7.1549828</v>
      </c>
      <c r="Z76" s="4" t="str">
        <f>IFERROR(__xludf.DUMMYFUNCTION("""COMPUTED_VALUE"""),"3.3225235")</f>
        <v>3.3225235</v>
      </c>
      <c r="AA76" s="4" t="str">
        <f t="shared" si="1"/>
        <v>Neighbor</v>
      </c>
      <c r="AC76" s="4">
        <f>IFERROR(__xludf.DUMMYFUNCTION("IFERROR(ABS(O76-AVERAGE(FILTER(O76:O4144,AA76:AA4144=""Neighbor""))) / STDEV(FILTER(O76:O4144, AA76:AA4144 =""Neighbor"")), """")"),0.06982867872395357)</f>
        <v>0.06982867872</v>
      </c>
      <c r="AD76" s="4">
        <f>IFERROR(__xludf.DUMMYFUNCTION("IFERROR(ABS(P76-AVERAGE(FILTER(O76:P4144,AA76:AA4144=""Neighbor""))) / STDEV(FILTER(P76:P4144, AA76:AA4144 =""Neighbor"")), """")"),0.915199212962299)</f>
        <v>0.915199213</v>
      </c>
      <c r="AE76" s="2">
        <f>IFERROR(__xludf.DUMMYFUNCTION("IFERROR(ABS(Q76-AVERAGE(FILTER(Q76:Q4144,AA76:AA4144=""Neighbor""))) / STDEV(FILTER(Q76:Q4144, AA76:AA4144 =""Neighbor"")), """")"),0.6576561019313087)</f>
        <v>0.6576561019</v>
      </c>
      <c r="AF76" s="2">
        <f>IFERROR(__xludf.DUMMYFUNCTION("IFERROR(ABS(R76-AVERAGE(FILTER(R76:R4144,AA76:AA4144=""Neighbor""))) / STDEV(FILTER(R76:R4144, AA76:AA4144 =""Neighbor"")), """")"),0.10370642722450482)</f>
        <v>0.1037064272</v>
      </c>
    </row>
    <row r="77">
      <c r="A77" s="2" t="s">
        <v>28</v>
      </c>
      <c r="B77" s="2" t="s">
        <v>29</v>
      </c>
      <c r="C77" s="2" t="s">
        <v>327</v>
      </c>
      <c r="D77" s="2" t="s">
        <v>344</v>
      </c>
      <c r="E77" s="2" t="s">
        <v>345</v>
      </c>
      <c r="F77" s="2">
        <v>128.0</v>
      </c>
      <c r="G77" s="2">
        <v>811.0</v>
      </c>
      <c r="H77" s="2" t="b">
        <v>1</v>
      </c>
      <c r="I77" s="2">
        <v>-1.0</v>
      </c>
      <c r="J77" s="2" t="b">
        <v>0</v>
      </c>
      <c r="K77" s="2" t="b">
        <v>0</v>
      </c>
      <c r="L77" s="2" t="b">
        <v>0</v>
      </c>
      <c r="M77" s="2" t="b">
        <v>0</v>
      </c>
      <c r="N77" s="2" t="s">
        <v>33</v>
      </c>
      <c r="O77" s="2">
        <v>0.0</v>
      </c>
      <c r="P77" s="2">
        <v>0.0</v>
      </c>
      <c r="Q77" s="2">
        <v>0.0</v>
      </c>
      <c r="R77" s="2">
        <v>0.0</v>
      </c>
      <c r="S77" s="3" t="s">
        <v>346</v>
      </c>
      <c r="T77" s="2" t="s">
        <v>347</v>
      </c>
      <c r="Y77" s="4" t="str">
        <f>IFERROR(__xludf.DUMMYFUNCTION("""COMPUTED_VALUE"""),"7.1536474")</f>
        <v>7.1536474</v>
      </c>
      <c r="Z77" s="4" t="str">
        <f>IFERROR(__xludf.DUMMYFUNCTION("""COMPUTED_VALUE"""),"3.3212646")</f>
        <v>3.3212646</v>
      </c>
      <c r="AA77" s="4" t="str">
        <f t="shared" si="1"/>
        <v>Neighbor</v>
      </c>
      <c r="AC77" s="4">
        <f>IFERROR(__xludf.DUMMYFUNCTION("IFERROR(ABS(O77-AVERAGE(FILTER(O77:O4145,AA77:AA4145=""Neighbor""))) / STDEV(FILTER(O77:O4145, AA77:AA4145 =""Neighbor"")), """")"),1.5540875995120509)</f>
        <v>1.5540876</v>
      </c>
      <c r="AD77" s="4">
        <f>IFERROR(__xludf.DUMMYFUNCTION("IFERROR(ABS(P77-AVERAGE(FILTER(O77:P4145,AA77:AA4145=""Neighbor""))) / STDEV(FILTER(P77:P4145, AA77:AA4145 =""Neighbor"")), """")"),1.6246395500225128)</f>
        <v>1.62463955</v>
      </c>
      <c r="AE77" s="2">
        <f>IFERROR(__xludf.DUMMYFUNCTION("IFERROR(ABS(Q77-AVERAGE(FILTER(Q77:Q4145,AA77:AA4145=""Neighbor""))) / STDEV(FILTER(Q77:Q4145, AA77:AA4145 =""Neighbor"")), """")"),1.048932626452375)</f>
        <v>1.048932626</v>
      </c>
      <c r="AF77" s="2">
        <f>IFERROR(__xludf.DUMMYFUNCTION("IFERROR(ABS(R77-AVERAGE(FILTER(R77:R4145,AA77:AA4145=""Neighbor""))) / STDEV(FILTER(R77:R4145, AA77:AA4145 =""Neighbor"")), """")"),0.10373616859915401)</f>
        <v>0.1037361686</v>
      </c>
    </row>
    <row r="78">
      <c r="A78" s="2" t="s">
        <v>28</v>
      </c>
      <c r="B78" s="2" t="s">
        <v>29</v>
      </c>
      <c r="C78" s="2" t="s">
        <v>327</v>
      </c>
      <c r="D78" s="2" t="s">
        <v>348</v>
      </c>
      <c r="E78" s="2" t="s">
        <v>349</v>
      </c>
      <c r="F78" s="2">
        <v>115.0</v>
      </c>
      <c r="G78" s="2">
        <v>603.0</v>
      </c>
      <c r="H78" s="2" t="b">
        <v>1</v>
      </c>
      <c r="I78" s="2">
        <v>-1.0</v>
      </c>
      <c r="J78" s="2" t="b">
        <v>0</v>
      </c>
      <c r="K78" s="2" t="b">
        <v>0</v>
      </c>
      <c r="L78" s="2" t="b">
        <v>0</v>
      </c>
      <c r="M78" s="2" t="b">
        <v>0</v>
      </c>
      <c r="N78" s="2" t="s">
        <v>33</v>
      </c>
      <c r="O78" s="2">
        <v>73.0</v>
      </c>
      <c r="P78" s="2">
        <v>16.0</v>
      </c>
      <c r="Q78" s="2">
        <v>11.0</v>
      </c>
      <c r="R78" s="2">
        <v>3.0</v>
      </c>
      <c r="S78" s="3" t="s">
        <v>350</v>
      </c>
      <c r="T78" s="2" t="s">
        <v>351</v>
      </c>
      <c r="Y78" s="4" t="str">
        <f>IFERROR(__xludf.DUMMYFUNCTION("""COMPUTED_VALUE"""),"7.1536474")</f>
        <v>7.1536474</v>
      </c>
      <c r="Z78" s="4" t="str">
        <f>IFERROR(__xludf.DUMMYFUNCTION("""COMPUTED_VALUE"""),"3.3212646")</f>
        <v>3.3212646</v>
      </c>
      <c r="AA78" s="4" t="str">
        <f t="shared" si="1"/>
        <v>Neighbor</v>
      </c>
      <c r="AC78" s="4">
        <f>IFERROR(__xludf.DUMMYFUNCTION("IFERROR(ABS(O78-AVERAGE(FILTER(O78:O4146,AA78:AA4146=""Neighbor""))) / STDEV(FILTER(O78:O4146, AA78:AA4146 =""Neighbor"")), """")"),0.16492832530582188)</f>
        <v>0.1649283253</v>
      </c>
      <c r="AD78" s="4">
        <f>IFERROR(__xludf.DUMMYFUNCTION("IFERROR(ABS(P78-AVERAGE(FILTER(O78:P4146,AA78:AA4146=""Neighbor""))) / STDEV(FILTER(P78:P4146, AA78:AA4146 =""Neighbor"")), """")"),0.9945691745421)</f>
        <v>0.9945691745</v>
      </c>
      <c r="AE78" s="2">
        <f>IFERROR(__xludf.DUMMYFUNCTION("IFERROR(ABS(Q78-AVERAGE(FILTER(Q78:Q4146,AA78:AA4146=""Neighbor""))) / STDEV(FILTER(Q78:Q4146, AA78:AA4146 =""Neighbor"")), """")"),0.5716450132978922)</f>
        <v>0.5716450133</v>
      </c>
      <c r="AF78" s="2">
        <f>IFERROR(__xludf.DUMMYFUNCTION("IFERROR(ABS(R78-AVERAGE(FILTER(R78:R4146,AA78:AA4146=""Neighbor""))) / STDEV(FILTER(R78:R4146, AA78:AA4146 =""Neighbor"")), """")"),0.5002959606143011)</f>
        <v>0.5002959606</v>
      </c>
    </row>
    <row r="79">
      <c r="A79" s="2" t="s">
        <v>28</v>
      </c>
      <c r="B79" s="2" t="s">
        <v>29</v>
      </c>
      <c r="C79" s="2" t="s">
        <v>327</v>
      </c>
      <c r="D79" s="2" t="s">
        <v>352</v>
      </c>
      <c r="E79" s="2" t="s">
        <v>353</v>
      </c>
      <c r="F79" s="2">
        <v>209.0</v>
      </c>
      <c r="G79" s="2">
        <v>970.0</v>
      </c>
      <c r="H79" s="2" t="b">
        <v>1</v>
      </c>
      <c r="I79" s="2">
        <v>-1.0</v>
      </c>
      <c r="J79" s="2" t="b">
        <v>0</v>
      </c>
      <c r="K79" s="2" t="b">
        <v>0</v>
      </c>
      <c r="L79" s="2" t="b">
        <v>0</v>
      </c>
      <c r="M79" s="2" t="b">
        <v>0</v>
      </c>
      <c r="N79" s="2" t="s">
        <v>33</v>
      </c>
      <c r="O79" s="2">
        <v>115.0</v>
      </c>
      <c r="P79" s="2">
        <v>16.0</v>
      </c>
      <c r="Q79" s="2">
        <v>39.0</v>
      </c>
      <c r="R79" s="2">
        <v>3.0</v>
      </c>
      <c r="S79" s="3" t="s">
        <v>354</v>
      </c>
      <c r="T79" s="2" t="s">
        <v>355</v>
      </c>
      <c r="Y79" s="4" t="str">
        <f>IFERROR(__xludf.DUMMYFUNCTION("""COMPUTED_VALUE"""),"7.1536474")</f>
        <v>7.1536474</v>
      </c>
      <c r="Z79" s="4" t="str">
        <f>IFERROR(__xludf.DUMMYFUNCTION("""COMPUTED_VALUE"""),"3.3212646")</f>
        <v>3.3212646</v>
      </c>
      <c r="AA79" s="4" t="str">
        <f t="shared" si="1"/>
        <v>Neighbor</v>
      </c>
      <c r="AC79" s="4">
        <f>IFERROR(__xludf.DUMMYFUNCTION("IFERROR(ABS(O79-AVERAGE(FILTER(O79:O4147,AA79:AA4147=""Neighbor""))) / STDEV(FILTER(O79:O4147, AA79:AA4147 =""Neighbor"")), """")"),1.154594031868123)</f>
        <v>1.154594032</v>
      </c>
      <c r="AD79" s="4">
        <f>IFERROR(__xludf.DUMMYFUNCTION("IFERROR(ABS(P79-AVERAGE(FILTER(O79:P4147,AA79:AA4147=""Neighbor""))) / STDEV(FILTER(P79:P4147, AA79:AA4147 =""Neighbor"")), """")"),0.9942132517097553)</f>
        <v>0.9942132517</v>
      </c>
      <c r="AE79" s="2">
        <f>IFERROR(__xludf.DUMMYFUNCTION("IFERROR(ABS(Q79-AVERAGE(FILTER(Q79:Q4147,AA79:AA4147=""Neighbor""))) / STDEV(FILTER(Q79:Q4147, AA79:AA4147 =""Neighbor"")), """")"),0.6444142508668331)</f>
        <v>0.6444142509</v>
      </c>
      <c r="AF79" s="2">
        <f>IFERROR(__xludf.DUMMYFUNCTION("IFERROR(ABS(R79-AVERAGE(FILTER(R79:R4147,AA79:AA4147=""Neighbor""))) / STDEV(FILTER(R79:R4147, AA79:AA4147 =""Neighbor"")), """")"),0.5004736987153173)</f>
        <v>0.5004736987</v>
      </c>
    </row>
    <row r="80">
      <c r="A80" s="2" t="s">
        <v>28</v>
      </c>
      <c r="B80" s="2" t="s">
        <v>29</v>
      </c>
      <c r="C80" s="2" t="s">
        <v>327</v>
      </c>
      <c r="D80" s="2" t="s">
        <v>356</v>
      </c>
      <c r="E80" s="2" t="s">
        <v>357</v>
      </c>
      <c r="F80" s="2">
        <v>95.0</v>
      </c>
      <c r="G80" s="2">
        <v>733.0</v>
      </c>
      <c r="H80" s="2" t="b">
        <v>1</v>
      </c>
      <c r="I80" s="2">
        <v>-1.0</v>
      </c>
      <c r="J80" s="2" t="b">
        <v>0</v>
      </c>
      <c r="K80" s="2" t="b">
        <v>0</v>
      </c>
      <c r="L80" s="2" t="b">
        <v>0</v>
      </c>
      <c r="M80" s="2" t="b">
        <v>0</v>
      </c>
      <c r="N80" s="2" t="s">
        <v>33</v>
      </c>
      <c r="O80" s="2">
        <v>64.0</v>
      </c>
      <c r="P80" s="2">
        <v>11.0</v>
      </c>
      <c r="Q80" s="2">
        <v>14.0</v>
      </c>
      <c r="R80" s="2">
        <v>0.0</v>
      </c>
      <c r="S80" s="3" t="s">
        <v>358</v>
      </c>
      <c r="T80" s="2" t="s">
        <v>359</v>
      </c>
      <c r="Y80" s="4" t="str">
        <f>IFERROR(__xludf.DUMMYFUNCTION("""COMPUTED_VALUE"""),"7.1536474")</f>
        <v>7.1536474</v>
      </c>
      <c r="Z80" s="4" t="str">
        <f>IFERROR(__xludf.DUMMYFUNCTION("""COMPUTED_VALUE"""),"3.3212646")</f>
        <v>3.3212646</v>
      </c>
      <c r="AA80" s="4" t="str">
        <f t="shared" si="1"/>
        <v>Neighbor</v>
      </c>
      <c r="AC80" s="4">
        <f>IFERROR(__xludf.DUMMYFUNCTION("IFERROR(ABS(O80-AVERAGE(FILTER(O80:O4148,AA80:AA4148=""Neighbor""))) / STDEV(FILTER(O80:O4148, AA80:AA4148 =""Neighbor"")), """")"),0.046432106696673414)</f>
        <v>0.0464321067</v>
      </c>
      <c r="AD80" s="4">
        <f>IFERROR(__xludf.DUMMYFUNCTION("IFERROR(ABS(P80-AVERAGE(FILTER(O80:P4148,AA80:AA4148=""Neighbor""))) / STDEV(FILTER(P80:P4148, AA80:AA4148 =""Neighbor"")), """")"),1.1903763758309265)</f>
        <v>1.190376376</v>
      </c>
      <c r="AE80" s="2">
        <f>IFERROR(__xludf.DUMMYFUNCTION("IFERROR(ABS(Q80-AVERAGE(FILTER(Q80:Q4148,AA80:AA4148=""Neighbor""))) / STDEV(FILTER(Q80:Q4148, AA80:AA4148 =""Neighbor"")), """")"),0.44110545909652554)</f>
        <v>0.4411054591</v>
      </c>
      <c r="AF80" s="2">
        <f>IFERROR(__xludf.DUMMYFUNCTION("IFERROR(ABS(R80-AVERAGE(FILTER(R80:R4148,AA80:AA4148=""Neighbor""))) / STDEV(FILTER(R80:R4148, AA80:AA4148 =""Neighbor"")), """")"),0.10315278193291617)</f>
        <v>0.1031527819</v>
      </c>
    </row>
    <row r="81">
      <c r="A81" s="2" t="s">
        <v>28</v>
      </c>
      <c r="B81" s="2" t="s">
        <v>29</v>
      </c>
      <c r="C81" s="2" t="s">
        <v>327</v>
      </c>
      <c r="D81" s="2" t="s">
        <v>360</v>
      </c>
      <c r="E81" s="2" t="s">
        <v>361</v>
      </c>
      <c r="F81" s="2">
        <v>110.0</v>
      </c>
      <c r="G81" s="2">
        <v>551.0</v>
      </c>
      <c r="H81" s="2" t="b">
        <v>1</v>
      </c>
      <c r="I81" s="2">
        <v>-1.0</v>
      </c>
      <c r="J81" s="2" t="b">
        <v>0</v>
      </c>
      <c r="K81" s="2" t="b">
        <v>0</v>
      </c>
      <c r="L81" s="2" t="b">
        <v>0</v>
      </c>
      <c r="M81" s="2" t="b">
        <v>0</v>
      </c>
      <c r="N81" s="2" t="s">
        <v>33</v>
      </c>
      <c r="O81" s="2">
        <v>68.0</v>
      </c>
      <c r="P81" s="2">
        <v>8.0</v>
      </c>
      <c r="Q81" s="2">
        <v>20.0</v>
      </c>
      <c r="R81" s="2">
        <v>0.0</v>
      </c>
      <c r="S81" s="3" t="s">
        <v>362</v>
      </c>
      <c r="T81" s="2" t="s">
        <v>363</v>
      </c>
      <c r="Y81" s="4" t="str">
        <f>IFERROR(__xludf.DUMMYFUNCTION("""COMPUTED_VALUE"""),"7.1536474")</f>
        <v>7.1536474</v>
      </c>
      <c r="Z81" s="4" t="str">
        <f>IFERROR(__xludf.DUMMYFUNCTION("""COMPUTED_VALUE"""),"3.3212646")</f>
        <v>3.3212646</v>
      </c>
      <c r="AA81" s="4" t="str">
        <f t="shared" si="1"/>
        <v>Neighbor</v>
      </c>
      <c r="AC81" s="4">
        <f>IFERROR(__xludf.DUMMYFUNCTION("IFERROR(ABS(O81-AVERAGE(FILTER(O81:O4149,AA81:AA4149=""Neighbor""))) / STDEV(FILTER(O81:O4149, AA81:AA4149 =""Neighbor"")), """")"),0.047786140055817515)</f>
        <v>0.04778614006</v>
      </c>
      <c r="AD81" s="4">
        <f>IFERROR(__xludf.DUMMYFUNCTION("IFERROR(ABS(P81-AVERAGE(FILTER(O81:P4149,AA81:AA4149=""Neighbor""))) / STDEV(FILTER(P81:P4149, AA81:AA4149 =""Neighbor"")), """")"),1.3082982963966472)</f>
        <v>1.308298296</v>
      </c>
      <c r="AE81" s="2">
        <f>IFERROR(__xludf.DUMMYFUNCTION("IFERROR(ABS(Q81-AVERAGE(FILTER(Q81:Q4149,AA81:AA4149=""Neighbor""))) / STDEV(FILTER(Q81:Q4149, AA81:AA4149 =""Neighbor"")), """")"),0.1807281063692761)</f>
        <v>0.1807281064</v>
      </c>
      <c r="AF81" s="2">
        <f>IFERROR(__xludf.DUMMYFUNCTION("IFERROR(ABS(R81-AVERAGE(FILTER(R81:R4149,AA81:AA4149=""Neighbor""))) / STDEV(FILTER(R81:R4149, AA81:AA4149 =""Neighbor"")), """")"),0.10318242846711985)</f>
        <v>0.1031824285</v>
      </c>
    </row>
    <row r="82">
      <c r="A82" s="2" t="s">
        <v>28</v>
      </c>
      <c r="B82" s="2" t="s">
        <v>29</v>
      </c>
      <c r="C82" s="2" t="s">
        <v>364</v>
      </c>
      <c r="D82" s="2" t="s">
        <v>365</v>
      </c>
      <c r="E82" s="2" t="s">
        <v>366</v>
      </c>
      <c r="F82" s="2">
        <v>120.0</v>
      </c>
      <c r="G82" s="2">
        <v>750.0</v>
      </c>
      <c r="H82" s="2" t="b">
        <v>1</v>
      </c>
      <c r="I82" s="2">
        <v>-1.0</v>
      </c>
      <c r="J82" s="2" t="b">
        <v>0</v>
      </c>
      <c r="K82" s="2" t="b">
        <v>0</v>
      </c>
      <c r="L82" s="2" t="b">
        <v>0</v>
      </c>
      <c r="M82" s="2" t="b">
        <v>0</v>
      </c>
      <c r="N82" s="2" t="s">
        <v>33</v>
      </c>
      <c r="O82" s="2">
        <v>70.0</v>
      </c>
      <c r="P82" s="2">
        <v>33.0</v>
      </c>
      <c r="Q82" s="2">
        <v>6.0</v>
      </c>
      <c r="R82" s="2">
        <v>1.0</v>
      </c>
      <c r="S82" s="3" t="s">
        <v>367</v>
      </c>
      <c r="T82" s="2" t="s">
        <v>368</v>
      </c>
      <c r="Y82" s="4" t="str">
        <f>IFERROR(__xludf.DUMMYFUNCTION("""COMPUTED_VALUE"""),"7.1625208")</f>
        <v>7.1625208</v>
      </c>
      <c r="Z82" s="4" t="str">
        <f>IFERROR(__xludf.DUMMYFUNCTION("""COMPUTED_VALUE"""),"3.3152709")</f>
        <v>3.3152709</v>
      </c>
      <c r="AA82" s="4" t="str">
        <f t="shared" si="1"/>
        <v>Neighbor</v>
      </c>
      <c r="AC82" s="4">
        <f>IFERROR(__xludf.DUMMYFUNCTION("IFERROR(ABS(O82-AVERAGE(FILTER(O82:O4150,AA82:AA4150=""Neighbor""))) / STDEV(FILTER(O82:O4150, AA82:AA4150 =""Neighbor"")), """")"),0.09490212074947942)</f>
        <v>0.09490212075</v>
      </c>
      <c r="AD82" s="4">
        <f>IFERROR(__xludf.DUMMYFUNCTION("IFERROR(ABS(P82-AVERAGE(FILTER(O82:P4150,AA82:AA4150=""Neighbor""))) / STDEV(FILTER(P82:P4150, AA82:AA4150 =""Neighbor"")), """")"),0.3236069008011998)</f>
        <v>0.3236069008</v>
      </c>
      <c r="AE82" s="2">
        <f>IFERROR(__xludf.DUMMYFUNCTION("IFERROR(ABS(Q82-AVERAGE(FILTER(Q82:Q4150,AA82:AA4150=""Neighbor""))) / STDEV(FILTER(Q82:Q4150, AA82:AA4150 =""Neighbor"")), """")"),0.7885106420068848)</f>
        <v>0.788510642</v>
      </c>
      <c r="AF82" s="2">
        <f>IFERROR(__xludf.DUMMYFUNCTION("IFERROR(ABS(R82-AVERAGE(FILTER(R82:R4150,AA82:AA4150=""Neighbor""))) / STDEV(FILTER(R82:R4150, AA82:AA4150 =""Neighbor"")), """")"),0.09794267035964567)</f>
        <v>0.09794267036</v>
      </c>
    </row>
    <row r="83">
      <c r="A83" s="2" t="s">
        <v>28</v>
      </c>
      <c r="B83" s="2" t="s">
        <v>29</v>
      </c>
      <c r="C83" s="2" t="s">
        <v>364</v>
      </c>
      <c r="D83" s="2" t="s">
        <v>369</v>
      </c>
      <c r="E83" s="2" t="s">
        <v>370</v>
      </c>
      <c r="F83" s="2">
        <v>148.0</v>
      </c>
      <c r="G83" s="2">
        <v>1136.0</v>
      </c>
      <c r="H83" s="2" t="b">
        <v>1</v>
      </c>
      <c r="I83" s="2">
        <v>-1.0</v>
      </c>
      <c r="J83" s="2" t="b">
        <v>0</v>
      </c>
      <c r="K83" s="2" t="b">
        <v>0</v>
      </c>
      <c r="L83" s="2" t="b">
        <v>0</v>
      </c>
      <c r="M83" s="2" t="b">
        <v>0</v>
      </c>
      <c r="N83" s="2" t="s">
        <v>33</v>
      </c>
      <c r="O83" s="2">
        <v>74.0</v>
      </c>
      <c r="P83" s="2">
        <v>17.0</v>
      </c>
      <c r="Q83" s="2">
        <v>37.0</v>
      </c>
      <c r="R83" s="2">
        <v>0.0</v>
      </c>
      <c r="S83" s="3" t="s">
        <v>371</v>
      </c>
      <c r="T83" s="2" t="s">
        <v>372</v>
      </c>
      <c r="Y83" s="4" t="str">
        <f>IFERROR(__xludf.DUMMYFUNCTION("""COMPUTED_VALUE"""),"7.1625208")</f>
        <v>7.1625208</v>
      </c>
      <c r="Z83" s="4" t="str">
        <f>IFERROR(__xludf.DUMMYFUNCTION("""COMPUTED_VALUE"""),"3.3152709")</f>
        <v>3.3152709</v>
      </c>
      <c r="AA83" s="4" t="str">
        <f t="shared" si="1"/>
        <v>Neighbor</v>
      </c>
      <c r="AC83" s="4">
        <f>IFERROR(__xludf.DUMMYFUNCTION("IFERROR(ABS(O83-AVERAGE(FILTER(O83:O4151,AA83:AA4151=""Neighbor""))) / STDEV(FILTER(O83:O4151, AA83:AA4151 =""Neighbor"")), """")"),0.18910748737542135)</f>
        <v>0.1891074874</v>
      </c>
      <c r="AD83" s="4">
        <f>IFERROR(__xludf.DUMMYFUNCTION("IFERROR(ABS(P83-AVERAGE(FILTER(O83:P4151,AA83:AA4151=""Neighbor""))) / STDEV(FILTER(P83:P4151, AA83:AA4151 =""Neighbor"")), """")"),0.9532564231631607)</f>
        <v>0.9532564232</v>
      </c>
      <c r="AE83" s="2">
        <f>IFERROR(__xludf.DUMMYFUNCTION("IFERROR(ABS(Q83-AVERAGE(FILTER(Q83:Q4151,AA83:AA4151=""Neighbor""))) / STDEV(FILTER(Q83:Q4151, AA83:AA4151 =""Neighbor"")), """")"),0.5566666955136276)</f>
        <v>0.5566666955</v>
      </c>
      <c r="AF83" s="2">
        <f>IFERROR(__xludf.DUMMYFUNCTION("IFERROR(ABS(R83-AVERAGE(FILTER(R83:R4151,AA83:AA4151=""Neighbor""))) / STDEV(FILTER(R83:R4151, AA83:AA4151 =""Neighbor"")), """")"),0.10312718134925203)</f>
        <v>0.1031271813</v>
      </c>
    </row>
    <row r="84">
      <c r="A84" s="2" t="s">
        <v>28</v>
      </c>
      <c r="B84" s="2" t="s">
        <v>29</v>
      </c>
      <c r="C84" s="2" t="s">
        <v>364</v>
      </c>
      <c r="D84" s="2" t="s">
        <v>373</v>
      </c>
      <c r="E84" s="2" t="s">
        <v>374</v>
      </c>
      <c r="F84" s="2">
        <v>123.0</v>
      </c>
      <c r="G84" s="2">
        <v>750.0</v>
      </c>
      <c r="H84" s="2" t="b">
        <v>1</v>
      </c>
      <c r="I84" s="2">
        <v>-1.0</v>
      </c>
      <c r="J84" s="2" t="b">
        <v>0</v>
      </c>
      <c r="K84" s="2" t="b">
        <v>0</v>
      </c>
      <c r="L84" s="2" t="b">
        <v>0</v>
      </c>
      <c r="M84" s="2" t="b">
        <v>0</v>
      </c>
      <c r="N84" s="2" t="s">
        <v>33</v>
      </c>
      <c r="O84" s="2">
        <v>85.0</v>
      </c>
      <c r="P84" s="2">
        <v>30.0</v>
      </c>
      <c r="Q84" s="2">
        <v>2.0</v>
      </c>
      <c r="R84" s="2">
        <v>1.0</v>
      </c>
      <c r="S84" s="3" t="s">
        <v>375</v>
      </c>
      <c r="T84" s="2" t="s">
        <v>376</v>
      </c>
      <c r="Y84" s="4" t="str">
        <f>IFERROR(__xludf.DUMMYFUNCTION("""COMPUTED_VALUE"""),"7.1625208")</f>
        <v>7.1625208</v>
      </c>
      <c r="Z84" s="4" t="str">
        <f>IFERROR(__xludf.DUMMYFUNCTION("""COMPUTED_VALUE"""),"3.3152709")</f>
        <v>3.3152709</v>
      </c>
      <c r="AA84" s="4" t="str">
        <f t="shared" si="1"/>
        <v>Not Neighbor</v>
      </c>
      <c r="AC84" s="4">
        <f>IFERROR(__xludf.DUMMYFUNCTION("IFERROR(ABS(O84-AVERAGE(FILTER(O84:O4152,AA84:AA4152=""Neighbor""))) / STDEV(FILTER(O84:O4152, AA84:AA4152 =""Neighbor"")), """")"),0.4480818755427731)</f>
        <v>0.4480818755</v>
      </c>
      <c r="AD84" s="4">
        <f>IFERROR(__xludf.DUMMYFUNCTION("IFERROR(ABS(P84-AVERAGE(FILTER(O84:P4152,AA84:AA4152=""Neighbor""))) / STDEV(FILTER(P84:P4152, AA84:AA4152 =""Neighbor"")), """")"),0.4412136104742271)</f>
        <v>0.4412136105</v>
      </c>
      <c r="AE84" s="2">
        <f>IFERROR(__xludf.DUMMYFUNCTION("IFERROR(ABS(Q84-AVERAGE(FILTER(Q84:Q4152,AA84:AA4152=""Neighbor""))) / STDEV(FILTER(Q84:Q4152, AA84:AA4152 =""Neighbor"")), """")"),0.9619865769918637)</f>
        <v>0.961986577</v>
      </c>
      <c r="AF84" s="2">
        <f>IFERROR(__xludf.DUMMYFUNCTION("IFERROR(ABS(R84-AVERAGE(FILTER(R84:R4152,AA84:AA4152=""Neighbor""))) / STDEV(FILTER(R84:R4152, AA84:AA4152 =""Neighbor"")), """")"),0.09788440873213476)</f>
        <v>0.09788440873</v>
      </c>
    </row>
    <row r="85">
      <c r="A85" s="2" t="s">
        <v>28</v>
      </c>
      <c r="B85" s="2" t="s">
        <v>29</v>
      </c>
      <c r="C85" s="2" t="s">
        <v>364</v>
      </c>
      <c r="D85" s="2" t="s">
        <v>377</v>
      </c>
      <c r="E85" s="2" t="s">
        <v>378</v>
      </c>
      <c r="F85" s="2">
        <v>130.0</v>
      </c>
      <c r="G85" s="2">
        <v>750.0</v>
      </c>
      <c r="H85" s="2" t="b">
        <v>1</v>
      </c>
      <c r="I85" s="2">
        <v>-1.0</v>
      </c>
      <c r="J85" s="2" t="b">
        <v>0</v>
      </c>
      <c r="K85" s="2" t="b">
        <v>0</v>
      </c>
      <c r="L85" s="2" t="b">
        <v>0</v>
      </c>
      <c r="M85" s="2" t="b">
        <v>0</v>
      </c>
      <c r="N85" s="2" t="s">
        <v>33</v>
      </c>
      <c r="O85" s="2">
        <v>70.0</v>
      </c>
      <c r="P85" s="2">
        <v>18.0</v>
      </c>
      <c r="Q85" s="2">
        <v>24.0</v>
      </c>
      <c r="R85" s="2">
        <v>6.0</v>
      </c>
      <c r="S85" s="3" t="s">
        <v>379</v>
      </c>
      <c r="T85" s="2" t="s">
        <v>380</v>
      </c>
      <c r="Y85" s="4" t="str">
        <f>IFERROR(__xludf.DUMMYFUNCTION("""COMPUTED_VALUE"""),"7.2114285")</f>
        <v>7.2114285</v>
      </c>
      <c r="Z85" s="4" t="str">
        <f>IFERROR(__xludf.DUMMYFUNCTION("""COMPUTED_VALUE"""),"3.1378173")</f>
        <v>3.1378173</v>
      </c>
      <c r="AA85" s="4" t="str">
        <f t="shared" si="1"/>
        <v>Neighbor</v>
      </c>
      <c r="AC85" s="4">
        <f>IFERROR(__xludf.DUMMYFUNCTION("IFERROR(ABS(O85-AVERAGE(FILTER(O85:O4153,AA85:AA4153=""Neighbor""))) / STDEV(FILTER(O85:O4153, AA85:AA4153 =""Neighbor"")), """")"),0.09501107154366076)</f>
        <v>0.09501107154</v>
      </c>
      <c r="AD85" s="4">
        <f>IFERROR(__xludf.DUMMYFUNCTION("IFERROR(ABS(P85-AVERAGE(FILTER(O85:P4153,AA85:AA4153=""Neighbor""))) / STDEV(FILTER(P85:P4153, AA85:AA4153 =""Neighbor"")), """")"),0.9135289432614069)</f>
        <v>0.9135289433</v>
      </c>
      <c r="AE85" s="2">
        <f>IFERROR(__xludf.DUMMYFUNCTION("IFERROR(ABS(Q85-AVERAGE(FILTER(Q85:Q4153,AA85:AA4153=""Neighbor""))) / STDEV(FILTER(Q85:Q4153, AA85:AA4153 =""Neighbor"")), """")"),0.007273907042734633)</f>
        <v>0.007273907043</v>
      </c>
      <c r="AF85" s="2">
        <f>IFERROR(__xludf.DUMMYFUNCTION("IFERROR(ABS(R85-AVERAGE(FILTER(R85:R4153,AA85:AA4153=""Neighbor""))) / STDEV(FILTER(R85:R4153, AA85:AA4153 =""Neighbor"")), """")"),1.1030908075387178)</f>
        <v>1.103090808</v>
      </c>
    </row>
    <row r="86">
      <c r="A86" s="2" t="s">
        <v>28</v>
      </c>
      <c r="B86" s="2" t="s">
        <v>29</v>
      </c>
      <c r="C86" s="2" t="s">
        <v>364</v>
      </c>
      <c r="D86" s="2" t="s">
        <v>381</v>
      </c>
      <c r="E86" s="2" t="s">
        <v>382</v>
      </c>
      <c r="F86" s="2">
        <v>110.0</v>
      </c>
      <c r="G86" s="2">
        <v>750.0</v>
      </c>
      <c r="H86" s="2" t="b">
        <v>1</v>
      </c>
      <c r="I86" s="2">
        <v>-1.0</v>
      </c>
      <c r="J86" s="2" t="b">
        <v>0</v>
      </c>
      <c r="K86" s="2" t="b">
        <v>1</v>
      </c>
      <c r="L86" s="2" t="b">
        <v>0</v>
      </c>
      <c r="M86" s="2" t="b">
        <v>0</v>
      </c>
      <c r="N86" s="2" t="s">
        <v>33</v>
      </c>
      <c r="O86" s="2">
        <v>54.0</v>
      </c>
      <c r="P86" s="2">
        <v>4.0</v>
      </c>
      <c r="Q86" s="2">
        <v>30.0</v>
      </c>
      <c r="R86" s="2">
        <v>0.0</v>
      </c>
      <c r="S86" s="3" t="s">
        <v>383</v>
      </c>
      <c r="T86" s="2" t="s">
        <v>384</v>
      </c>
      <c r="Y86" s="4" t="str">
        <f>IFERROR(__xludf.DUMMYFUNCTION("""COMPUTED_VALUE"""),"7.2114285")</f>
        <v>7.2114285</v>
      </c>
      <c r="Z86" s="4" t="str">
        <f>IFERROR(__xludf.DUMMYFUNCTION("""COMPUTED_VALUE"""),"3.1378173")</f>
        <v>3.1378173</v>
      </c>
      <c r="AA86" s="4" t="str">
        <f t="shared" si="1"/>
        <v>Not Neighbor</v>
      </c>
      <c r="AC86" s="4">
        <f>IFERROR(__xludf.DUMMYFUNCTION("IFERROR(ABS(O86-AVERAGE(FILTER(O86:O4154,AA86:AA4154=""Neighbor""))) / STDEV(FILTER(O86:O4154, AA86:AA4154 =""Neighbor"")), """")"),0.2814639972260201)</f>
        <v>0.2814639972</v>
      </c>
      <c r="AD86" s="4">
        <f>IFERROR(__xludf.DUMMYFUNCTION("IFERROR(ABS(P86-AVERAGE(FILTER(O86:P4154,AA86:AA4154=""Neighbor""))) / STDEV(FILTER(P86:P4154, AA86:AA4154 =""Neighbor"")), """")"),1.4640846213409984)</f>
        <v>1.464084621</v>
      </c>
      <c r="AE86" s="2">
        <f>IFERROR(__xludf.DUMMYFUNCTION("IFERROR(ABS(Q86-AVERAGE(FILTER(Q86:Q4154,AA86:AA4154=""Neighbor""))) / STDEV(FILTER(Q86:Q4154, AA86:AA4154 =""Neighbor"")), """")"),0.2530259297920333)</f>
        <v>0.2530259298</v>
      </c>
      <c r="AF86" s="2">
        <f>IFERROR(__xludf.DUMMYFUNCTION("IFERROR(ABS(R86-AVERAGE(FILTER(R86:R4154,AA86:AA4154=""Neighbor""))) / STDEV(FILTER(R86:R4154, AA86:AA4154 =""Neighbor"")), """")"),0.10253397693373638)</f>
        <v>0.1025339769</v>
      </c>
    </row>
    <row r="87">
      <c r="A87" s="2" t="s">
        <v>28</v>
      </c>
      <c r="B87" s="2" t="s">
        <v>29</v>
      </c>
      <c r="C87" s="2" t="s">
        <v>364</v>
      </c>
      <c r="D87" s="2" t="s">
        <v>385</v>
      </c>
      <c r="E87" s="2" t="s">
        <v>386</v>
      </c>
      <c r="F87" s="2">
        <v>156.0</v>
      </c>
      <c r="G87" s="2">
        <v>1158.0</v>
      </c>
      <c r="H87" s="2" t="b">
        <v>1</v>
      </c>
      <c r="I87" s="2">
        <v>-1.0</v>
      </c>
      <c r="J87" s="2" t="b">
        <v>0</v>
      </c>
      <c r="K87" s="2" t="b">
        <v>0</v>
      </c>
      <c r="L87" s="2" t="b">
        <v>0</v>
      </c>
      <c r="M87" s="2" t="b">
        <v>0</v>
      </c>
      <c r="N87" s="2" t="s">
        <v>33</v>
      </c>
      <c r="O87" s="2">
        <v>104.0</v>
      </c>
      <c r="P87" s="2">
        <v>30.0</v>
      </c>
      <c r="Q87" s="2">
        <v>17.0</v>
      </c>
      <c r="R87" s="2">
        <v>0.0</v>
      </c>
      <c r="S87" s="3" t="s">
        <v>387</v>
      </c>
      <c r="T87" s="2" t="s">
        <v>388</v>
      </c>
      <c r="Y87" s="4" t="str">
        <f>IFERROR(__xludf.DUMMYFUNCTION("""COMPUTED_VALUE"""),"7.1686022")</f>
        <v>7.1686022</v>
      </c>
      <c r="Z87" s="4" t="str">
        <f>IFERROR(__xludf.DUMMYFUNCTION("""COMPUTED_VALUE"""),"3.3163778")</f>
        <v>3.3163778</v>
      </c>
      <c r="AA87" s="4" t="str">
        <f t="shared" si="1"/>
        <v>Not Neighbor</v>
      </c>
      <c r="AC87" s="4">
        <f>IFERROR(__xludf.DUMMYFUNCTION("IFERROR(ABS(O87-AVERAGE(FILTER(O87:O4155,AA87:AA4155=""Neighbor""))) / STDEV(FILTER(O87:O4155, AA87:AA4155 =""Neighbor"")), """")"),0.8951059835475706)</f>
        <v>0.8951059835</v>
      </c>
      <c r="AD87" s="4">
        <f>IFERROR(__xludf.DUMMYFUNCTION("IFERROR(ABS(P87-AVERAGE(FILTER(O87:P4155,AA87:AA4155=""Neighbor""))) / STDEV(FILTER(P87:P4155, AA87:AA4155 =""Neighbor"")), """")"),0.44102558243810647)</f>
        <v>0.4410255824</v>
      </c>
      <c r="AE87" s="2">
        <f>IFERROR(__xludf.DUMMYFUNCTION("IFERROR(ABS(Q87-AVERAGE(FILTER(Q87:Q4155,AA87:AA4155=""Neighbor""))) / STDEV(FILTER(Q87:Q4155, AA87:AA4155 =""Neighbor"")), """")"),0.3109615422375683)</f>
        <v>0.3109615422</v>
      </c>
      <c r="AF87" s="2">
        <f>IFERROR(__xludf.DUMMYFUNCTION("IFERROR(ABS(R87-AVERAGE(FILTER(R87:R4155,AA87:AA4155=""Neighbor""))) / STDEV(FILTER(R87:R4155, AA87:AA4155 =""Neighbor"")), """")"),0.10253397693373638)</f>
        <v>0.1025339769</v>
      </c>
    </row>
    <row r="88">
      <c r="A88" s="2" t="s">
        <v>28</v>
      </c>
      <c r="B88" s="2" t="s">
        <v>29</v>
      </c>
      <c r="C88" s="2" t="s">
        <v>364</v>
      </c>
      <c r="D88" s="2" t="s">
        <v>389</v>
      </c>
      <c r="E88" s="2" t="s">
        <v>390</v>
      </c>
      <c r="F88" s="2">
        <v>150.0</v>
      </c>
      <c r="G88" s="2">
        <v>1168.0</v>
      </c>
      <c r="H88" s="2" t="b">
        <v>1</v>
      </c>
      <c r="I88" s="2">
        <v>-1.0</v>
      </c>
      <c r="J88" s="2" t="b">
        <v>0</v>
      </c>
      <c r="K88" s="2" t="b">
        <v>0</v>
      </c>
      <c r="L88" s="2" t="b">
        <v>0</v>
      </c>
      <c r="M88" s="2" t="b">
        <v>0</v>
      </c>
      <c r="N88" s="2" t="s">
        <v>33</v>
      </c>
      <c r="O88" s="2">
        <v>100.0</v>
      </c>
      <c r="P88" s="2">
        <v>23.0</v>
      </c>
      <c r="Q88" s="2">
        <v>13.0</v>
      </c>
      <c r="R88" s="2">
        <v>0.0</v>
      </c>
      <c r="S88" s="3" t="s">
        <v>391</v>
      </c>
      <c r="T88" s="2" t="s">
        <v>392</v>
      </c>
      <c r="Y88" s="4" t="str">
        <f>IFERROR(__xludf.DUMMYFUNCTION("""COMPUTED_VALUE"""),"7.147502")</f>
        <v>7.147502</v>
      </c>
      <c r="Z88" s="4" t="str">
        <f>IFERROR(__xludf.DUMMYFUNCTION("""COMPUTED_VALUE"""),"3.3619356")</f>
        <v>3.3619356</v>
      </c>
      <c r="AA88" s="4" t="str">
        <f t="shared" si="1"/>
        <v>Not Neighbor</v>
      </c>
      <c r="AC88" s="4">
        <f>IFERROR(__xludf.DUMMYFUNCTION("IFERROR(ABS(O88-AVERAGE(FILTER(O88:O4156,AA88:AA4156=""Neighbor""))) / STDEV(FILTER(O88:O4156, AA88:AA4156 =""Neighbor"")), """")"),0.8009803850856834)</f>
        <v>0.8009803851</v>
      </c>
      <c r="AD88" s="4">
        <f>IFERROR(__xludf.DUMMYFUNCTION("IFERROR(ABS(P88-AVERAGE(FILTER(O88:P4156,AA88:AA4156=""Neighbor""))) / STDEV(FILTER(P88:P4156, AA88:AA4156 =""Neighbor"")), """")"),0.7164645544504236)</f>
        <v>0.7164645545</v>
      </c>
      <c r="AE88" s="2">
        <f>IFERROR(__xludf.DUMMYFUNCTION("IFERROR(ABS(Q88-AVERAGE(FILTER(Q88:Q4156,AA88:AA4156=""Neighbor""))) / STDEV(FILTER(Q88:Q4156, AA88:AA4156 =""Neighbor"")), """")"),0.48449614901590726)</f>
        <v>0.484496149</v>
      </c>
      <c r="AF88" s="2">
        <f>IFERROR(__xludf.DUMMYFUNCTION("IFERROR(ABS(R88-AVERAGE(FILTER(R88:R4156,AA88:AA4156=""Neighbor""))) / STDEV(FILTER(R88:R4156, AA88:AA4156 =""Neighbor"")), """")"),0.10253397693373638)</f>
        <v>0.1025339769</v>
      </c>
    </row>
    <row r="89">
      <c r="A89" s="2" t="s">
        <v>28</v>
      </c>
      <c r="B89" s="2" t="s">
        <v>29</v>
      </c>
      <c r="C89" s="2" t="s">
        <v>364</v>
      </c>
      <c r="D89" s="2" t="s">
        <v>393</v>
      </c>
      <c r="E89" s="2" t="s">
        <v>394</v>
      </c>
      <c r="F89" s="2">
        <v>170.0</v>
      </c>
      <c r="G89" s="2">
        <v>996.0</v>
      </c>
      <c r="H89" s="2" t="b">
        <v>1</v>
      </c>
      <c r="I89" s="2">
        <v>-1.0</v>
      </c>
      <c r="J89" s="2" t="b">
        <v>0</v>
      </c>
      <c r="K89" s="2" t="b">
        <v>0</v>
      </c>
      <c r="L89" s="2" t="b">
        <v>0</v>
      </c>
      <c r="M89" s="2" t="b">
        <v>0</v>
      </c>
      <c r="N89" s="2" t="s">
        <v>33</v>
      </c>
      <c r="O89" s="2">
        <v>124.0</v>
      </c>
      <c r="P89" s="2">
        <v>14.0</v>
      </c>
      <c r="Q89" s="2">
        <v>13.0</v>
      </c>
      <c r="R89" s="2">
        <v>0.0</v>
      </c>
      <c r="S89" s="3" t="s">
        <v>395</v>
      </c>
      <c r="T89" s="2" t="s">
        <v>396</v>
      </c>
      <c r="Y89" s="4" t="str">
        <f>IFERROR(__xludf.DUMMYFUNCTION("""COMPUTED_VALUE"""),"7.1583353")</f>
        <v>7.1583353</v>
      </c>
      <c r="Z89" s="4" t="str">
        <f>IFERROR(__xludf.DUMMYFUNCTION("""COMPUTED_VALUE"""),"3.3401855")</f>
        <v>3.3401855</v>
      </c>
      <c r="AA89" s="4" t="str">
        <f t="shared" si="1"/>
        <v>Neighbor</v>
      </c>
      <c r="AC89" s="4">
        <f>IFERROR(__xludf.DUMMYFUNCTION("IFERROR(ABS(O89-AVERAGE(FILTER(O89:O4157,AA89:AA4157=""Neighbor""))) / STDEV(FILTER(O89:O4157, AA89:AA4157 =""Neighbor"")), """")"),1.3657339758570068)</f>
        <v>1.365733976</v>
      </c>
      <c r="AD89" s="4">
        <f>IFERROR(__xludf.DUMMYFUNCTION("IFERROR(ABS(P89-AVERAGE(FILTER(O89:P4157,AA89:AA4157=""Neighbor""))) / STDEV(FILTER(P89:P4157, AA89:AA4157 =""Neighbor"")), """")"),1.070600375609117)</f>
        <v>1.070600376</v>
      </c>
      <c r="AE89" s="2">
        <f>IFERROR(__xludf.DUMMYFUNCTION("IFERROR(ABS(Q89-AVERAGE(FILTER(Q89:Q4157,AA89:AA4157=""Neighbor""))) / STDEV(FILTER(Q89:Q4157, AA89:AA4157 =""Neighbor"")), """")"),0.48449614901590726)</f>
        <v>0.484496149</v>
      </c>
      <c r="AF89" s="2">
        <f>IFERROR(__xludf.DUMMYFUNCTION("IFERROR(ABS(R89-AVERAGE(FILTER(R89:R4157,AA89:AA4157=""Neighbor""))) / STDEV(FILTER(R89:R4157, AA89:AA4157 =""Neighbor"")), """")"),0.10253397693373638)</f>
        <v>0.1025339769</v>
      </c>
    </row>
    <row r="90">
      <c r="A90" s="2" t="s">
        <v>28</v>
      </c>
      <c r="B90" s="2" t="s">
        <v>29</v>
      </c>
      <c r="C90" s="2" t="s">
        <v>364</v>
      </c>
      <c r="D90" s="2" t="s">
        <v>397</v>
      </c>
      <c r="E90" s="2" t="s">
        <v>398</v>
      </c>
      <c r="F90" s="2">
        <v>120.0</v>
      </c>
      <c r="G90" s="2">
        <v>913.0</v>
      </c>
      <c r="H90" s="2" t="b">
        <v>1</v>
      </c>
      <c r="I90" s="2">
        <v>-1.0</v>
      </c>
      <c r="J90" s="2" t="b">
        <v>0</v>
      </c>
      <c r="K90" s="2" t="b">
        <v>0</v>
      </c>
      <c r="L90" s="2" t="b">
        <v>0</v>
      </c>
      <c r="M90" s="2" t="b">
        <v>0</v>
      </c>
      <c r="N90" s="2" t="s">
        <v>33</v>
      </c>
      <c r="O90" s="2">
        <v>87.0</v>
      </c>
      <c r="P90" s="2">
        <v>12.0</v>
      </c>
      <c r="Q90" s="2">
        <v>14.0</v>
      </c>
      <c r="R90" s="2">
        <v>2.0</v>
      </c>
      <c r="S90" s="3" t="s">
        <v>399</v>
      </c>
      <c r="T90" s="2" t="s">
        <v>400</v>
      </c>
      <c r="Y90" s="4" t="str">
        <f>IFERROR(__xludf.DUMMYFUNCTION("""COMPUTED_VALUE"""),"7.1583353")</f>
        <v>7.1583353</v>
      </c>
      <c r="Z90" s="4" t="str">
        <f>IFERROR(__xludf.DUMMYFUNCTION("""COMPUTED_VALUE"""),"3.3401855")</f>
        <v>3.3401855</v>
      </c>
      <c r="AA90" s="4" t="str">
        <f t="shared" si="1"/>
        <v>Not Neighbor</v>
      </c>
      <c r="AC90" s="4">
        <f>IFERROR(__xludf.DUMMYFUNCTION("IFERROR(ABS(O90-AVERAGE(FILTER(O90:O4158,AA90:AA4158=""Neighbor""))) / STDEV(FILTER(O90:O4158, AA90:AA4158 =""Neighbor"")), """")"),0.4959744235736523)</f>
        <v>0.4959744236</v>
      </c>
      <c r="AD90" s="4">
        <f>IFERROR(__xludf.DUMMYFUNCTION("IFERROR(ABS(P90-AVERAGE(FILTER(O90:P4158,AA90:AA4158=""Neighbor""))) / STDEV(FILTER(P90:P4158, AA90:AA4158 =""Neighbor"")), """")"),1.148348241040338)</f>
        <v>1.148348241</v>
      </c>
      <c r="AE90" s="2">
        <f>IFERROR(__xludf.DUMMYFUNCTION("IFERROR(ABS(Q90-AVERAGE(FILTER(Q90:Q4158,AA90:AA4158=""Neighbor""))) / STDEV(FILTER(Q90:Q4158, AA90:AA4158 =""Neighbor"")), """")"),0.44129263155515897)</f>
        <v>0.4412926316</v>
      </c>
      <c r="AF90" s="2">
        <f>IFERROR(__xludf.DUMMYFUNCTION("IFERROR(ABS(R90-AVERAGE(FILTER(R90:R4158,AA90:AA4158=""Neighbor""))) / STDEV(FILTER(R90:R4158, AA90:AA4158 =""Neighbor"")), """")"),0.29943042806413833)</f>
        <v>0.2994304281</v>
      </c>
    </row>
    <row r="91">
      <c r="A91" s="2" t="s">
        <v>28</v>
      </c>
      <c r="B91" s="2" t="s">
        <v>29</v>
      </c>
      <c r="C91" s="2" t="s">
        <v>364</v>
      </c>
      <c r="D91" s="2" t="s">
        <v>401</v>
      </c>
      <c r="E91" s="2" t="s">
        <v>402</v>
      </c>
      <c r="F91" s="2">
        <v>97.0</v>
      </c>
      <c r="G91" s="2">
        <v>750.0</v>
      </c>
      <c r="H91" s="2" t="b">
        <v>1</v>
      </c>
      <c r="I91" s="2">
        <v>-1.0</v>
      </c>
      <c r="J91" s="2" t="b">
        <v>0</v>
      </c>
      <c r="K91" s="2" t="b">
        <v>0</v>
      </c>
      <c r="L91" s="2" t="b">
        <v>0</v>
      </c>
      <c r="M91" s="2" t="b">
        <v>0</v>
      </c>
      <c r="N91" s="2" t="s">
        <v>33</v>
      </c>
      <c r="O91" s="2">
        <v>59.0</v>
      </c>
      <c r="P91" s="2">
        <v>10.0</v>
      </c>
      <c r="Q91" s="2">
        <v>16.0</v>
      </c>
      <c r="R91" s="2">
        <v>0.0</v>
      </c>
      <c r="S91" s="3" t="s">
        <v>403</v>
      </c>
      <c r="T91" s="2" t="s">
        <v>404</v>
      </c>
      <c r="Y91" s="4" t="str">
        <f>IFERROR(__xludf.DUMMYFUNCTION("""COMPUTED_VALUE"""),"7.147502")</f>
        <v>7.147502</v>
      </c>
      <c r="Z91" s="4" t="str">
        <f>IFERROR(__xludf.DUMMYFUNCTION("""COMPUTED_VALUE"""),"3.3619356")</f>
        <v>3.3619356</v>
      </c>
      <c r="AA91" s="4" t="str">
        <f t="shared" si="1"/>
        <v>Not Neighbor</v>
      </c>
      <c r="AC91" s="4">
        <f>IFERROR(__xludf.DUMMYFUNCTION("IFERROR(ABS(O91-AVERAGE(FILTER(O91:O4159,AA91:AA4159=""Neighbor""))) / STDEV(FILTER(O91:O4159, AA91:AA4159 =""Neighbor"")), """")"),0.16306781389395378)</f>
        <v>0.1630678139</v>
      </c>
      <c r="AD91" s="4">
        <f>IFERROR(__xludf.DUMMYFUNCTION("IFERROR(ABS(P91-AVERAGE(FILTER(O91:P4159,AA91:AA4159=""Neighbor""))) / STDEV(FILTER(P91:P4159, AA91:AA4159 =""Neighbor"")), """")"),1.227022837513216)</f>
        <v>1.227022838</v>
      </c>
      <c r="AE91" s="2">
        <f>IFERROR(__xludf.DUMMYFUNCTION("IFERROR(ABS(Q91-AVERAGE(FILTER(Q91:Q4159,AA91:AA4159=""Neighbor""))) / STDEV(FILTER(Q91:Q4159, AA91:AA4159 =""Neighbor"")), """")"),0.3545442791866161)</f>
        <v>0.3545442792</v>
      </c>
      <c r="AF91" s="2">
        <f>IFERROR(__xludf.DUMMYFUNCTION("IFERROR(ABS(R91-AVERAGE(FILTER(R91:R4159,AA91:AA4159=""Neighbor""))) / STDEV(FILTER(R91:R4159, AA91:AA4159 =""Neighbor"")), """")"),0.10256352593461292)</f>
        <v>0.1025635259</v>
      </c>
    </row>
    <row r="92">
      <c r="A92" s="2" t="s">
        <v>28</v>
      </c>
      <c r="B92" s="2" t="s">
        <v>29</v>
      </c>
      <c r="C92" s="2" t="s">
        <v>364</v>
      </c>
      <c r="D92" s="2" t="s">
        <v>405</v>
      </c>
      <c r="E92" s="2" t="s">
        <v>406</v>
      </c>
      <c r="F92" s="2">
        <v>149.0</v>
      </c>
      <c r="G92" s="2">
        <v>715.0</v>
      </c>
      <c r="H92" s="2" t="b">
        <v>1</v>
      </c>
      <c r="I92" s="2">
        <v>-1.0</v>
      </c>
      <c r="J92" s="2" t="b">
        <v>0</v>
      </c>
      <c r="K92" s="2" t="b">
        <v>0</v>
      </c>
      <c r="L92" s="2" t="b">
        <v>0</v>
      </c>
      <c r="M92" s="2" t="b">
        <v>0</v>
      </c>
      <c r="N92" s="2" t="s">
        <v>33</v>
      </c>
      <c r="O92" s="2">
        <v>46.0</v>
      </c>
      <c r="P92" s="2">
        <v>9.0</v>
      </c>
      <c r="Q92" s="2">
        <v>15.0</v>
      </c>
      <c r="R92" s="2">
        <v>0.0</v>
      </c>
      <c r="S92" s="3" t="s">
        <v>407</v>
      </c>
      <c r="T92" s="2" t="s">
        <v>408</v>
      </c>
      <c r="Y92" s="4" t="str">
        <f>IFERROR(__xludf.DUMMYFUNCTION("""COMPUTED_VALUE"""),"7.1632657")</f>
        <v>7.1632657</v>
      </c>
      <c r="Z92" s="4" t="str">
        <f>IFERROR(__xludf.DUMMYFUNCTION("""COMPUTED_VALUE"""),"3.3197753")</f>
        <v>3.3197753</v>
      </c>
      <c r="AA92" s="4" t="str">
        <f t="shared" si="1"/>
        <v>Not Neighbor</v>
      </c>
      <c r="AC92" s="4">
        <f>IFERROR(__xludf.DUMMYFUNCTION("IFERROR(ABS(O92-AVERAGE(FILTER(O92:O4160,AA92:AA4160=""Neighbor""))) / STDEV(FILTER(O92:O4160, AA92:AA4160 =""Neighbor"")), """")"),0.4690517098610566)</f>
        <v>0.4690517099</v>
      </c>
      <c r="AD92" s="4">
        <f>IFERROR(__xludf.DUMMYFUNCTION("IFERROR(ABS(P92-AVERAGE(FILTER(O92:P4160,AA92:AA4160=""Neighbor""))) / STDEV(FILTER(P92:P4160, AA92:AA4160 =""Neighbor"")), """")"),1.266360135749655)</f>
        <v>1.266360136</v>
      </c>
      <c r="AE92" s="2">
        <f>IFERROR(__xludf.DUMMYFUNCTION("IFERROR(ABS(Q92-AVERAGE(FILTER(Q92:Q4160,AA92:AA4160=""Neighbor""))) / STDEV(FILTER(Q92:Q4160, AA92:AA4160 =""Neighbor"")), """")"),0.3979184553708875)</f>
        <v>0.3979184554</v>
      </c>
      <c r="AF92" s="2">
        <f>IFERROR(__xludf.DUMMYFUNCTION("IFERROR(ABS(R92-AVERAGE(FILTER(R92:R4160,AA92:AA4160=""Neighbor""))) / STDEV(FILTER(R92:R4160, AA92:AA4160 =""Neighbor"")), """")"),0.10256352593461292)</f>
        <v>0.1025635259</v>
      </c>
    </row>
    <row r="93">
      <c r="A93" s="2" t="s">
        <v>28</v>
      </c>
      <c r="B93" s="2" t="s">
        <v>29</v>
      </c>
      <c r="C93" s="2" t="s">
        <v>409</v>
      </c>
      <c r="D93" s="2" t="s">
        <v>410</v>
      </c>
      <c r="E93" s="2" t="s">
        <v>411</v>
      </c>
      <c r="F93" s="2">
        <v>48.0</v>
      </c>
      <c r="G93" s="2">
        <v>536.0</v>
      </c>
      <c r="H93" s="2" t="b">
        <v>1</v>
      </c>
      <c r="I93" s="2">
        <v>-1.0</v>
      </c>
      <c r="J93" s="2" t="b">
        <v>0</v>
      </c>
      <c r="K93" s="2" t="b">
        <v>0</v>
      </c>
      <c r="L93" s="2" t="b">
        <v>0</v>
      </c>
      <c r="M93" s="2" t="b">
        <v>0</v>
      </c>
      <c r="N93" s="2" t="s">
        <v>33</v>
      </c>
      <c r="O93" s="2">
        <v>30.0</v>
      </c>
      <c r="P93" s="2">
        <v>3.0</v>
      </c>
      <c r="Q93" s="2">
        <v>8.0</v>
      </c>
      <c r="R93" s="2">
        <v>0.0</v>
      </c>
      <c r="S93" s="3" t="s">
        <v>412</v>
      </c>
      <c r="T93" s="2" t="s">
        <v>413</v>
      </c>
      <c r="Y93" s="4" t="str">
        <f>IFERROR(__xludf.DUMMYFUNCTION("""COMPUTED_VALUE"""),"7.1569136")</f>
        <v>7.1569136</v>
      </c>
      <c r="Z93" s="4" t="str">
        <f>IFERROR(__xludf.DUMMYFUNCTION("""COMPUTED_VALUE"""),"3.3344843")</f>
        <v>3.3344843</v>
      </c>
      <c r="AA93" s="4" t="str">
        <f t="shared" si="1"/>
        <v>Not Neighbor</v>
      </c>
      <c r="AC93" s="4">
        <f>IFERROR(__xludf.DUMMYFUNCTION("IFERROR(ABS(O93-AVERAGE(FILTER(O93:O4161,AA93:AA4161=""Neighbor""))) / STDEV(FILTER(O93:O4161, AA93:AA4161 =""Neighbor"")), """")"),0.84564727412826)</f>
        <v>0.8456472741</v>
      </c>
      <c r="AD93" s="4">
        <f>IFERROR(__xludf.DUMMYFUNCTION("IFERROR(ABS(P93-AVERAGE(FILTER(O93:P4161,AA93:AA4161=""Neighbor""))) / STDEV(FILTER(P93:P4161, AA93:AA4161 =""Neighbor"")), """")"),1.502383925168289)</f>
        <v>1.502383925</v>
      </c>
      <c r="AE93" s="2">
        <f>IFERROR(__xludf.DUMMYFUNCTION("IFERROR(ABS(Q93-AVERAGE(FILTER(Q93:Q4161,AA93:AA4161=""Neighbor""))) / STDEV(FILTER(Q93:Q4161, AA93:AA4161 =""Neighbor"")), """")"),0.7015376886607876)</f>
        <v>0.7015376887</v>
      </c>
      <c r="AF93" s="2">
        <f>IFERROR(__xludf.DUMMYFUNCTION("IFERROR(ABS(R93-AVERAGE(FILTER(R93:R4161,AA93:AA4161=""Neighbor""))) / STDEV(FILTER(R93:R4161, AA93:AA4161 =""Neighbor"")), """")"),0.10256352593461292)</f>
        <v>0.1025635259</v>
      </c>
    </row>
    <row r="94">
      <c r="A94" s="2" t="s">
        <v>28</v>
      </c>
      <c r="B94" s="2" t="s">
        <v>29</v>
      </c>
      <c r="C94" s="2" t="s">
        <v>409</v>
      </c>
      <c r="D94" s="2" t="s">
        <v>414</v>
      </c>
      <c r="E94" s="2" t="s">
        <v>415</v>
      </c>
      <c r="F94" s="2">
        <v>62.0</v>
      </c>
      <c r="G94" s="2">
        <v>544.0</v>
      </c>
      <c r="H94" s="2" t="b">
        <v>1</v>
      </c>
      <c r="I94" s="2">
        <v>-1.0</v>
      </c>
      <c r="J94" s="2" t="b">
        <v>0</v>
      </c>
      <c r="K94" s="2" t="b">
        <v>0</v>
      </c>
      <c r="L94" s="2" t="b">
        <v>0</v>
      </c>
      <c r="M94" s="2" t="b">
        <v>0</v>
      </c>
      <c r="N94" s="2" t="s">
        <v>33</v>
      </c>
      <c r="O94" s="2">
        <v>40.0</v>
      </c>
      <c r="P94" s="2">
        <v>6.0</v>
      </c>
      <c r="Q94" s="2">
        <v>8.0</v>
      </c>
      <c r="R94" s="2">
        <v>0.0</v>
      </c>
      <c r="S94" s="3" t="s">
        <v>416</v>
      </c>
      <c r="T94" s="2" t="s">
        <v>417</v>
      </c>
      <c r="Y94" s="4" t="str">
        <f>IFERROR(__xludf.DUMMYFUNCTION("""COMPUTED_VALUE"""),"7.147502")</f>
        <v>7.147502</v>
      </c>
      <c r="Z94" s="4" t="str">
        <f>IFERROR(__xludf.DUMMYFUNCTION("""COMPUTED_VALUE"""),"3.3619356")</f>
        <v>3.3619356</v>
      </c>
      <c r="AA94" s="4" t="str">
        <f t="shared" si="1"/>
        <v>Not Neighbor</v>
      </c>
      <c r="AC94" s="4">
        <f>IFERROR(__xludf.DUMMYFUNCTION("IFERROR(ABS(O94-AVERAGE(FILTER(O94:O4162,AA94:AA4162=""Neighbor""))) / STDEV(FILTER(O94:O4162, AA94:AA4162 =""Neighbor"")), """")"),0.6102750464612579)</f>
        <v>0.6102750465</v>
      </c>
      <c r="AD94" s="4">
        <f>IFERROR(__xludf.DUMMYFUNCTION("IFERROR(ABS(P94-AVERAGE(FILTER(O94:P4162,AA94:AA4162=""Neighbor""))) / STDEV(FILTER(P94:P4162, AA94:AA4162 =""Neighbor"")), """")"),1.384372030458972)</f>
        <v>1.38437203</v>
      </c>
      <c r="AE94" s="2">
        <f>IFERROR(__xludf.DUMMYFUNCTION("IFERROR(ABS(Q94-AVERAGE(FILTER(Q94:Q4162,AA94:AA4162=""Neighbor""))) / STDEV(FILTER(Q94:Q4162, AA94:AA4162 =""Neighbor"")), """")"),0.7015376886607876)</f>
        <v>0.7015376887</v>
      </c>
      <c r="AF94" s="2">
        <f>IFERROR(__xludf.DUMMYFUNCTION("IFERROR(ABS(R94-AVERAGE(FILTER(R94:R4162,AA94:AA4162=""Neighbor""))) / STDEV(FILTER(R94:R4162, AA94:AA4162 =""Neighbor"")), """")"),0.10256352593461292)</f>
        <v>0.1025635259</v>
      </c>
    </row>
    <row r="95">
      <c r="A95" s="2" t="s">
        <v>28</v>
      </c>
      <c r="B95" s="2" t="s">
        <v>29</v>
      </c>
      <c r="C95" s="2" t="s">
        <v>409</v>
      </c>
      <c r="D95" s="2" t="s">
        <v>418</v>
      </c>
      <c r="E95" s="2" t="s">
        <v>419</v>
      </c>
      <c r="F95" s="2">
        <v>72.0</v>
      </c>
      <c r="G95" s="2">
        <v>623.0</v>
      </c>
      <c r="H95" s="2" t="b">
        <v>1</v>
      </c>
      <c r="I95" s="2">
        <v>-1.0</v>
      </c>
      <c r="J95" s="2" t="b">
        <v>0</v>
      </c>
      <c r="K95" s="2" t="b">
        <v>1</v>
      </c>
      <c r="L95" s="2" t="b">
        <v>0</v>
      </c>
      <c r="M95" s="2" t="b">
        <v>0</v>
      </c>
      <c r="N95" s="2" t="s">
        <v>33</v>
      </c>
      <c r="O95" s="2">
        <v>46.0</v>
      </c>
      <c r="P95" s="2">
        <v>2.0</v>
      </c>
      <c r="Q95" s="2">
        <v>20.0</v>
      </c>
      <c r="R95" s="2">
        <v>0.0</v>
      </c>
      <c r="S95" s="3" t="s">
        <v>420</v>
      </c>
      <c r="T95" s="2" t="s">
        <v>421</v>
      </c>
      <c r="Y95" s="4" t="str">
        <f>IFERROR(__xludf.DUMMYFUNCTION("""COMPUTED_VALUE"""),"7.1569136")</f>
        <v>7.1569136</v>
      </c>
      <c r="Z95" s="4" t="str">
        <f>IFERROR(__xludf.DUMMYFUNCTION("""COMPUTED_VALUE"""),"3.3344843")</f>
        <v>3.3344843</v>
      </c>
      <c r="AA95" s="4" t="str">
        <f t="shared" si="1"/>
        <v>Neighbor</v>
      </c>
      <c r="AC95" s="4">
        <f>IFERROR(__xludf.DUMMYFUNCTION("IFERROR(ABS(O95-AVERAGE(FILTER(O95:O4163,AA95:AA4163=""Neighbor""))) / STDEV(FILTER(O95:O4163, AA95:AA4163 =""Neighbor"")), """")"),0.4690517098610566)</f>
        <v>0.4690517099</v>
      </c>
      <c r="AD95" s="4">
        <f>IFERROR(__xludf.DUMMYFUNCTION("IFERROR(ABS(P95-AVERAGE(FILTER(O95:P4163,AA95:AA4163=""Neighbor""))) / STDEV(FILTER(P95:P4163, AA95:AA4163 =""Neighbor"")), """")"),1.541721223404728)</f>
        <v>1.541721223</v>
      </c>
      <c r="AE95" s="2">
        <f>IFERROR(__xludf.DUMMYFUNCTION("IFERROR(ABS(Q95-AVERAGE(FILTER(Q95:Q4163,AA95:AA4163=""Neighbor""))) / STDEV(FILTER(Q95:Q4163, AA95:AA4163 =""Neighbor"")), """")"),0.1810475744495303)</f>
        <v>0.1810475744</v>
      </c>
      <c r="AF95" s="2">
        <f>IFERROR(__xludf.DUMMYFUNCTION("IFERROR(ABS(R95-AVERAGE(FILTER(R95:R4163,AA95:AA4163=""Neighbor""))) / STDEV(FILTER(R95:R4163, AA95:AA4163 =""Neighbor"")), """")"),0.10256352593461292)</f>
        <v>0.1025635259</v>
      </c>
    </row>
    <row r="96">
      <c r="A96" s="2" t="s">
        <v>28</v>
      </c>
      <c r="B96" s="2" t="s">
        <v>29</v>
      </c>
      <c r="C96" s="2" t="s">
        <v>409</v>
      </c>
      <c r="D96" s="2" t="s">
        <v>422</v>
      </c>
      <c r="E96" s="2" t="s">
        <v>423</v>
      </c>
      <c r="F96" s="2">
        <v>81.0</v>
      </c>
      <c r="G96" s="2">
        <v>682.0</v>
      </c>
      <c r="H96" s="2" t="b">
        <v>1</v>
      </c>
      <c r="I96" s="2">
        <v>-1.0</v>
      </c>
      <c r="J96" s="2" t="b">
        <v>0</v>
      </c>
      <c r="K96" s="2" t="b">
        <v>0</v>
      </c>
      <c r="L96" s="2" t="b">
        <v>0</v>
      </c>
      <c r="M96" s="2" t="b">
        <v>0</v>
      </c>
      <c r="N96" s="2" t="s">
        <v>33</v>
      </c>
      <c r="O96" s="2">
        <v>60.0</v>
      </c>
      <c r="P96" s="2">
        <v>7.0</v>
      </c>
      <c r="Q96" s="2">
        <v>14.0</v>
      </c>
      <c r="R96" s="2">
        <v>0.0</v>
      </c>
      <c r="S96" s="3" t="s">
        <v>424</v>
      </c>
      <c r="T96" s="2" t="s">
        <v>425</v>
      </c>
      <c r="Y96" s="4" t="str">
        <f>IFERROR(__xludf.DUMMYFUNCTION("""COMPUTED_VALUE"""),"7.1569136")</f>
        <v>7.1569136</v>
      </c>
      <c r="Z96" s="4" t="str">
        <f>IFERROR(__xludf.DUMMYFUNCTION("""COMPUTED_VALUE"""),"3.3344843")</f>
        <v>3.3344843</v>
      </c>
      <c r="AA96" s="4" t="str">
        <f t="shared" si="1"/>
        <v>Neighbor</v>
      </c>
      <c r="AC96" s="4">
        <f>IFERROR(__xludf.DUMMYFUNCTION("IFERROR(ABS(O96-AVERAGE(FILTER(O96:O4164,AA96:AA4164=""Neighbor""))) / STDEV(FILTER(O96:O4164, AA96:AA4164 =""Neighbor"")), """")"),0.13976732832202993)</f>
        <v>0.1397673283</v>
      </c>
      <c r="AD96" s="4">
        <f>IFERROR(__xludf.DUMMYFUNCTION("IFERROR(ABS(P96-AVERAGE(FILTER(O96:P4164,AA96:AA4164=""Neighbor""))) / STDEV(FILTER(P96:P4164, AA96:AA4164 =""Neighbor"")), """")"),1.3451610270476277)</f>
        <v>1.345161027</v>
      </c>
      <c r="AE96" s="2">
        <f>IFERROR(__xludf.DUMMYFUNCTION("IFERROR(ABS(Q96-AVERAGE(FILTER(Q96:Q4164,AA96:AA4164=""Neighbor""))) / STDEV(FILTER(Q96:Q4164, AA96:AA4164 =""Neighbor"")), """")"),0.4412741017412945)</f>
        <v>0.4412741017</v>
      </c>
      <c r="AF96" s="2">
        <f>IFERROR(__xludf.DUMMYFUNCTION("IFERROR(ABS(R96-AVERAGE(FILTER(R96:R4164,AA96:AA4164=""Neighbor""))) / STDEV(FILTER(R96:R4164, AA96:AA4164 =""Neighbor"")), """")"),0.10259310049736285)</f>
        <v>0.1025931005</v>
      </c>
    </row>
    <row r="97">
      <c r="A97" s="2" t="s">
        <v>28</v>
      </c>
      <c r="B97" s="2" t="s">
        <v>29</v>
      </c>
      <c r="C97" s="2" t="s">
        <v>409</v>
      </c>
      <c r="D97" s="2" t="s">
        <v>426</v>
      </c>
      <c r="E97" s="2" t="s">
        <v>427</v>
      </c>
      <c r="F97" s="2">
        <v>70.0</v>
      </c>
      <c r="G97" s="2">
        <v>818.0</v>
      </c>
      <c r="H97" s="2" t="b">
        <v>1</v>
      </c>
      <c r="I97" s="2">
        <v>-1.0</v>
      </c>
      <c r="J97" s="2" t="b">
        <v>0</v>
      </c>
      <c r="K97" s="2" t="b">
        <v>0</v>
      </c>
      <c r="L97" s="2" t="b">
        <v>0</v>
      </c>
      <c r="M97" s="2" t="b">
        <v>0</v>
      </c>
      <c r="N97" s="2" t="s">
        <v>33</v>
      </c>
      <c r="O97" s="2">
        <v>42.0</v>
      </c>
      <c r="P97" s="2">
        <v>0.0</v>
      </c>
      <c r="Q97" s="2">
        <v>17.0</v>
      </c>
      <c r="R97" s="2">
        <v>0.0</v>
      </c>
      <c r="S97" s="3" t="s">
        <v>428</v>
      </c>
      <c r="T97" s="2" t="s">
        <v>429</v>
      </c>
      <c r="Y97" s="4" t="str">
        <f>IFERROR(__xludf.DUMMYFUNCTION("""COMPUTED_VALUE"""),"7.1569136")</f>
        <v>7.1569136</v>
      </c>
      <c r="Z97" s="4" t="str">
        <f>IFERROR(__xludf.DUMMYFUNCTION("""COMPUTED_VALUE"""),"3.3344843")</f>
        <v>3.3344843</v>
      </c>
      <c r="AA97" s="4" t="str">
        <f t="shared" si="1"/>
        <v>Neighbor</v>
      </c>
      <c r="AC97" s="4">
        <f>IFERROR(__xludf.DUMMYFUNCTION("IFERROR(ABS(O97-AVERAGE(FILTER(O97:O4165,AA97:AA4165=""Neighbor""))) / STDEV(FILTER(O97:O4165, AA97:AA4165 =""Neighbor"")), """")"),0.5632649798366933)</f>
        <v>0.5632649798</v>
      </c>
      <c r="AD97" s="4">
        <f>IFERROR(__xludf.DUMMYFUNCTION("IFERROR(ABS(P97-AVERAGE(FILTER(O97:P4165,AA97:AA4165=""Neighbor""))) / STDEV(FILTER(P97:P4165, AA97:AA4165 =""Neighbor"")), """")"),1.6202430922377231)</f>
        <v>1.620243092</v>
      </c>
      <c r="AE97" s="2">
        <f>IFERROR(__xludf.DUMMYFUNCTION("IFERROR(ABS(Q97-AVERAGE(FILTER(Q97:Q4165,AA97:AA4165=""Neighbor""))) / STDEV(FILTER(Q97:Q4165, AA97:AA4165 =""Neighbor"")), """")"),0.3113680113554004)</f>
        <v>0.3113680114</v>
      </c>
      <c r="AF97" s="2">
        <f>IFERROR(__xludf.DUMMYFUNCTION("IFERROR(ABS(R97-AVERAGE(FILTER(R97:R4165,AA97:AA4165=""Neighbor""))) / STDEV(FILTER(R97:R4165, AA97:AA4165 =""Neighbor"")), """")"),0.10262270065886224)</f>
        <v>0.1026227007</v>
      </c>
    </row>
    <row r="98">
      <c r="A98" s="2" t="s">
        <v>28</v>
      </c>
      <c r="B98" s="2" t="s">
        <v>29</v>
      </c>
      <c r="C98" s="2" t="s">
        <v>409</v>
      </c>
      <c r="D98" s="2" t="s">
        <v>430</v>
      </c>
      <c r="E98" s="2" t="s">
        <v>431</v>
      </c>
      <c r="F98" s="2">
        <v>73.0</v>
      </c>
      <c r="G98" s="2">
        <v>745.0</v>
      </c>
      <c r="H98" s="2" t="b">
        <v>1</v>
      </c>
      <c r="I98" s="2">
        <v>-1.0</v>
      </c>
      <c r="J98" s="2" t="b">
        <v>0</v>
      </c>
      <c r="K98" s="2" t="b">
        <v>0</v>
      </c>
      <c r="L98" s="2" t="b">
        <v>0</v>
      </c>
      <c r="M98" s="2" t="b">
        <v>0</v>
      </c>
      <c r="N98" s="2" t="s">
        <v>33</v>
      </c>
      <c r="O98" s="2">
        <v>45.0</v>
      </c>
      <c r="P98" s="2">
        <v>4.0</v>
      </c>
      <c r="Q98" s="2">
        <v>12.0</v>
      </c>
      <c r="R98" s="2">
        <v>0.0</v>
      </c>
      <c r="S98" s="3" t="s">
        <v>432</v>
      </c>
      <c r="T98" s="2" t="s">
        <v>433</v>
      </c>
      <c r="Y98" s="4" t="str">
        <f>IFERROR(__xludf.DUMMYFUNCTION("""COMPUTED_VALUE"""),"7.1569136")</f>
        <v>7.1569136</v>
      </c>
      <c r="Z98" s="4" t="str">
        <f>IFERROR(__xludf.DUMMYFUNCTION("""COMPUTED_VALUE"""),"3.3344843")</f>
        <v>3.3344843</v>
      </c>
      <c r="AA98" s="4" t="str">
        <f t="shared" si="1"/>
        <v>Neighbor</v>
      </c>
      <c r="AC98" s="4">
        <f>IFERROR(__xludf.DUMMYFUNCTION("IFERROR(ABS(O98-AVERAGE(FILTER(O98:O4166,AA98:AA4166=""Neighbor""))) / STDEV(FILTER(O98:O4166, AA98:AA4166 =""Neighbor"")), """")"),0.4929146424581816)</f>
        <v>0.4929146425</v>
      </c>
      <c r="AD98" s="4">
        <f>IFERROR(__xludf.DUMMYFUNCTION("IFERROR(ABS(P98-AVERAGE(FILTER(O98:P4166,AA98:AA4166=""Neighbor""))) / STDEV(FILTER(P98:P4166, AA98:AA4166 =""Neighbor"")), """")"),1.4631744200794463)</f>
        <v>1.46317442</v>
      </c>
      <c r="AE98" s="2">
        <f>IFERROR(__xludf.DUMMYFUNCTION("IFERROR(ABS(Q98-AVERAGE(FILTER(Q98:Q4166,AA98:AA4166=""Neighbor""))) / STDEV(FILTER(Q98:Q4166, AA98:AA4166 =""Neighbor"")), """")"),0.5281707188944791)</f>
        <v>0.5281707189</v>
      </c>
      <c r="AF98" s="2">
        <f>IFERROR(__xludf.DUMMYFUNCTION("IFERROR(ABS(R98-AVERAGE(FILTER(R98:R4166,AA98:AA4166=""Neighbor""))) / STDEV(FILTER(R98:R4166, AA98:AA4166 =""Neighbor"")), """")"),0.10265232645606161)</f>
        <v>0.1026523265</v>
      </c>
    </row>
    <row r="99">
      <c r="A99" s="2" t="s">
        <v>28</v>
      </c>
      <c r="B99" s="2" t="s">
        <v>29</v>
      </c>
      <c r="C99" s="2" t="s">
        <v>409</v>
      </c>
      <c r="D99" s="2" t="s">
        <v>434</v>
      </c>
      <c r="E99" s="2" t="s">
        <v>435</v>
      </c>
      <c r="F99" s="2">
        <v>58.0</v>
      </c>
      <c r="G99" s="2">
        <v>344.0</v>
      </c>
      <c r="H99" s="2" t="b">
        <v>1</v>
      </c>
      <c r="I99" s="2">
        <v>-1.0</v>
      </c>
      <c r="J99" s="2" t="b">
        <v>0</v>
      </c>
      <c r="K99" s="2" t="b">
        <v>0</v>
      </c>
      <c r="L99" s="2" t="b">
        <v>0</v>
      </c>
      <c r="M99" s="2" t="b">
        <v>0</v>
      </c>
      <c r="N99" s="2" t="s">
        <v>33</v>
      </c>
      <c r="O99" s="2">
        <v>47.0</v>
      </c>
      <c r="P99" s="2">
        <v>2.0</v>
      </c>
      <c r="Q99" s="2">
        <v>3.0</v>
      </c>
      <c r="R99" s="2">
        <v>0.0</v>
      </c>
      <c r="S99" s="3" t="s">
        <v>436</v>
      </c>
      <c r="T99" s="2" t="s">
        <v>437</v>
      </c>
      <c r="Y99" s="4" t="str">
        <f>IFERROR(__xludf.DUMMYFUNCTION("""COMPUTED_VALUE"""),"7.1569136")</f>
        <v>7.1569136</v>
      </c>
      <c r="Z99" s="4" t="str">
        <f>IFERROR(__xludf.DUMMYFUNCTION("""COMPUTED_VALUE"""),"3.3344843")</f>
        <v>3.3344843</v>
      </c>
      <c r="AA99" s="4" t="str">
        <f t="shared" si="1"/>
        <v>Neighbor</v>
      </c>
      <c r="AC99" s="4">
        <f>IFERROR(__xludf.DUMMYFUNCTION("IFERROR(ABS(O99-AVERAGE(FILTER(O99:O4167,AA99:AA4167=""Neighbor""))) / STDEV(FILTER(O99:O4167, AA99:AA4167 =""Neighbor"")), """")"),0.446058421650399)</f>
        <v>0.4460584217</v>
      </c>
      <c r="AD99" s="4">
        <f>IFERROR(__xludf.DUMMYFUNCTION("IFERROR(ABS(P99-AVERAGE(FILTER(O99:P4167,AA99:AA4167=""Neighbor""))) / STDEV(FILTER(P99:P4167, AA99:AA4167 =""Neighbor"")), """")"),1.5418424375012323)</f>
        <v>1.541842438</v>
      </c>
      <c r="AE99" s="2">
        <f>IFERROR(__xludf.DUMMYFUNCTION("IFERROR(ABS(Q99-AVERAGE(FILTER(Q99:Q4167,AA99:AA4167=""Neighbor""))) / STDEV(FILTER(Q99:Q4167, AA99:AA4167 =""Neighbor"")), """")"),0.9183526394175286)</f>
        <v>0.9183526394</v>
      </c>
      <c r="AF99" s="2">
        <f>IFERROR(__xludf.DUMMYFUNCTION("IFERROR(ABS(R99-AVERAGE(FILTER(R99:R4167,AA99:AA4167=""Neighbor""))) / STDEV(FILTER(R99:R4167, AA99:AA4167 =""Neighbor"")), """")"),0.10268197792598632)</f>
        <v>0.1026819779</v>
      </c>
    </row>
    <row r="100">
      <c r="A100" s="2" t="s">
        <v>28</v>
      </c>
      <c r="B100" s="2" t="s">
        <v>29</v>
      </c>
      <c r="C100" s="2" t="s">
        <v>409</v>
      </c>
      <c r="D100" s="2" t="s">
        <v>438</v>
      </c>
      <c r="E100" s="2" t="s">
        <v>439</v>
      </c>
      <c r="F100" s="2">
        <v>90.0</v>
      </c>
      <c r="G100" s="2">
        <v>640.0</v>
      </c>
      <c r="H100" s="2" t="b">
        <v>1</v>
      </c>
      <c r="I100" s="2">
        <v>-1.0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s">
        <v>33</v>
      </c>
      <c r="O100" s="2">
        <v>69.0</v>
      </c>
      <c r="P100" s="2">
        <v>5.0</v>
      </c>
      <c r="Q100" s="2">
        <v>9.0</v>
      </c>
      <c r="R100" s="2">
        <v>0.0</v>
      </c>
      <c r="S100" s="3" t="s">
        <v>440</v>
      </c>
      <c r="T100" s="2" t="s">
        <v>441</v>
      </c>
      <c r="Y100" s="4" t="str">
        <f>IFERROR(__xludf.DUMMYFUNCTION("""COMPUTED_VALUE"""),"7.1569136")</f>
        <v>7.1569136</v>
      </c>
      <c r="Z100" s="4" t="str">
        <f>IFERROR(__xludf.DUMMYFUNCTION("""COMPUTED_VALUE"""),"3.3344843")</f>
        <v>3.3344843</v>
      </c>
      <c r="AA100" s="4" t="str">
        <f t="shared" si="1"/>
        <v>Neighbor</v>
      </c>
      <c r="AC100" s="4">
        <f>IFERROR(__xludf.DUMMYFUNCTION("IFERROR(ABS(O100-AVERAGE(FILTER(O100:O4168,AA100:AA4168=""Neighbor""))) / STDEV(FILTER(O100:O4168, AA100:AA4168 =""Neighbor"")), """")"),0.0710154012900543)</f>
        <v>0.07101540129</v>
      </c>
      <c r="AD100" s="4">
        <f>IFERROR(__xludf.DUMMYFUNCTION("IFERROR(ABS(P100-AVERAGE(FILTER(O100:P4168,AA100:AA4168=""Neighbor""))) / STDEV(FILTER(P100:P4168, AA100:AA4168 =""Neighbor"")), """")"),1.4240284508212695)</f>
        <v>1.424028451</v>
      </c>
      <c r="AE100" s="2">
        <f>IFERROR(__xludf.DUMMYFUNCTION("IFERROR(ABS(Q100-AVERAGE(FILTER(Q100:Q4168,AA100:AA4168=""Neighbor""))) / STDEV(FILTER(Q100:Q4168, AA100:AA4168 =""Neighbor"")), """")"),0.6588563444056162)</f>
        <v>0.6588563444</v>
      </c>
      <c r="AF100" s="2">
        <f>IFERROR(__xludf.DUMMYFUNCTION("IFERROR(ABS(R100-AVERAGE(FILTER(R100:R4168,AA100:AA4168=""Neighbor""))) / STDEV(FILTER(R100:R4168, AA100:AA4168 =""Neighbor"")), """")"),0.10271165510573692)</f>
        <v>0.1027116551</v>
      </c>
    </row>
    <row r="101">
      <c r="A101" s="2" t="s">
        <v>28</v>
      </c>
      <c r="B101" s="2" t="s">
        <v>29</v>
      </c>
      <c r="C101" s="2" t="s">
        <v>409</v>
      </c>
      <c r="D101" s="2" t="s">
        <v>442</v>
      </c>
      <c r="E101" s="2" t="s">
        <v>443</v>
      </c>
      <c r="F101" s="2">
        <v>49.0</v>
      </c>
      <c r="G101" s="2">
        <v>426.0</v>
      </c>
      <c r="H101" s="2" t="b">
        <v>1</v>
      </c>
      <c r="I101" s="2">
        <v>-1.0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s">
        <v>33</v>
      </c>
      <c r="O101" s="2">
        <v>33.0</v>
      </c>
      <c r="P101" s="2">
        <v>4.0</v>
      </c>
      <c r="Q101" s="2">
        <v>9.0</v>
      </c>
      <c r="R101" s="2">
        <v>0.0</v>
      </c>
      <c r="S101" s="3" t="s">
        <v>444</v>
      </c>
      <c r="T101" s="2" t="s">
        <v>445</v>
      </c>
      <c r="Y101" s="4" t="str">
        <f>IFERROR(__xludf.DUMMYFUNCTION("""COMPUTED_VALUE"""),"7.1569136")</f>
        <v>7.1569136</v>
      </c>
      <c r="Z101" s="4" t="str">
        <f>IFERROR(__xludf.DUMMYFUNCTION("""COMPUTED_VALUE"""),"3.3344843")</f>
        <v>3.3344843</v>
      </c>
      <c r="AA101" s="4" t="str">
        <f t="shared" si="1"/>
        <v>Neighbor</v>
      </c>
      <c r="AC101" s="4">
        <f>IFERROR(__xludf.DUMMYFUNCTION("IFERROR(ABS(O101-AVERAGE(FILTER(O101:O4169,AA101:AA4169=""Neighbor""))) / STDEV(FILTER(O101:O4169, AA101:AA4169 =""Neighbor"")), """")"),0.7750941489244783)</f>
        <v>0.7750941489</v>
      </c>
      <c r="AD101" s="4">
        <f>IFERROR(__xludf.DUMMYFUNCTION("IFERROR(ABS(P101-AVERAGE(FILTER(O101:P4169,AA101:AA4169=""Neighbor""))) / STDEV(FILTER(P101:P4169, AA101:AA4169 =""Neighbor"")), """")"),1.4630875796720038)</f>
        <v>1.46308758</v>
      </c>
      <c r="AE101" s="2">
        <f>IFERROR(__xludf.DUMMYFUNCTION("IFERROR(ABS(Q101-AVERAGE(FILTER(Q101:Q4169,AA101:AA4169=""Neighbor""))) / STDEV(FILTER(Q101:Q4169, AA101:AA4169 =""Neighbor"")), """")"),0.6591268735425438)</f>
        <v>0.6591268735</v>
      </c>
      <c r="AF101" s="2">
        <f>IFERROR(__xludf.DUMMYFUNCTION("IFERROR(ABS(R101-AVERAGE(FILTER(R101:R4169,AA101:AA4169=""Neighbor""))) / STDEV(FILTER(R101:R4169, AA101:AA4169 =""Neighbor"")), """")"),0.10274135803248849)</f>
        <v>0.102741358</v>
      </c>
    </row>
    <row r="102">
      <c r="A102" s="2" t="s">
        <v>28</v>
      </c>
      <c r="B102" s="2" t="s">
        <v>29</v>
      </c>
      <c r="C102" s="2" t="s">
        <v>409</v>
      </c>
      <c r="D102" s="2" t="s">
        <v>446</v>
      </c>
      <c r="E102" s="2" t="s">
        <v>447</v>
      </c>
      <c r="F102" s="2">
        <v>149.0</v>
      </c>
      <c r="G102" s="2">
        <v>540.0</v>
      </c>
      <c r="H102" s="2" t="b">
        <v>1</v>
      </c>
      <c r="I102" s="2">
        <v>-1.0</v>
      </c>
      <c r="J102" s="2" t="b">
        <v>0</v>
      </c>
      <c r="K102" s="2" t="b">
        <v>1</v>
      </c>
      <c r="L102" s="2" t="b">
        <v>0</v>
      </c>
      <c r="M102" s="2" t="b">
        <v>0</v>
      </c>
      <c r="N102" s="2" t="s">
        <v>33</v>
      </c>
      <c r="O102" s="2">
        <v>116.0</v>
      </c>
      <c r="P102" s="2">
        <v>5.0</v>
      </c>
      <c r="Q102" s="2">
        <v>21.0</v>
      </c>
      <c r="R102" s="2">
        <v>0.0</v>
      </c>
      <c r="S102" s="3" t="s">
        <v>448</v>
      </c>
      <c r="T102" s="2" t="s">
        <v>449</v>
      </c>
      <c r="Y102" s="4" t="str">
        <f>IFERROR(__xludf.DUMMYFUNCTION("""COMPUTED_VALUE"""),"7.1569136")</f>
        <v>7.1569136</v>
      </c>
      <c r="Z102" s="4" t="str">
        <f>IFERROR(__xludf.DUMMYFUNCTION("""COMPUTED_VALUE"""),"3.3344843")</f>
        <v>3.3344843</v>
      </c>
      <c r="AA102" s="4" t="str">
        <f t="shared" si="1"/>
        <v>Neighbor</v>
      </c>
      <c r="AC102" s="4">
        <f>IFERROR(__xludf.DUMMYFUNCTION("IFERROR(ABS(O102-AVERAGE(FILTER(O102:O4170,AA102:AA4170=""Neighbor""))) / STDEV(FILTER(O102:O4170, AA102:AA4170 =""Neighbor"")), """")"),1.1751269565433755)</f>
        <v>1.175126957</v>
      </c>
      <c r="AD102" s="4">
        <f>IFERROR(__xludf.DUMMYFUNCTION("IFERROR(ABS(P102-AVERAGE(FILTER(O102:P4170,AA102:AA4170=""Neighbor""))) / STDEV(FILTER(P102:P4170, AA102:AA4170 =""Neighbor"")), """")"),1.4240014928048115)</f>
        <v>1.424001493</v>
      </c>
      <c r="AE102" s="2">
        <f>IFERROR(__xludf.DUMMYFUNCTION("IFERROR(ABS(Q102-AVERAGE(FILTER(Q102:Q4170,AA102:AA4170=""Neighbor""))) / STDEV(FILTER(Q102:Q4170, AA102:AA4170 =""Neighbor"")), """")"),0.13960445974479807)</f>
        <v>0.1396044597</v>
      </c>
      <c r="AF102" s="2">
        <f>IFERROR(__xludf.DUMMYFUNCTION("IFERROR(ABS(R102-AVERAGE(FILTER(R102:R4170,AA102:AA4170=""Neighbor""))) / STDEV(FILTER(R102:R4170, AA102:AA4170 =""Neighbor"")), """")"),0.10277108674349174)</f>
        <v>0.1027710867</v>
      </c>
    </row>
    <row r="103">
      <c r="A103" s="2" t="s">
        <v>28</v>
      </c>
      <c r="B103" s="2" t="s">
        <v>29</v>
      </c>
      <c r="C103" s="2" t="s">
        <v>409</v>
      </c>
      <c r="D103" s="2" t="s">
        <v>450</v>
      </c>
      <c r="E103" s="2" t="s">
        <v>451</v>
      </c>
      <c r="F103" s="2">
        <v>30.0</v>
      </c>
      <c r="G103" s="2">
        <v>444.0</v>
      </c>
      <c r="H103" s="2" t="b">
        <v>1</v>
      </c>
      <c r="I103" s="2">
        <v>-1.0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s">
        <v>33</v>
      </c>
      <c r="O103" s="2">
        <v>0.0</v>
      </c>
      <c r="P103" s="2">
        <v>0.0</v>
      </c>
      <c r="Q103" s="2">
        <v>0.0</v>
      </c>
      <c r="R103" s="2">
        <v>0.0</v>
      </c>
      <c r="S103" s="3" t="s">
        <v>452</v>
      </c>
      <c r="T103" s="2" t="s">
        <v>453</v>
      </c>
      <c r="Y103" s="4" t="str">
        <f>IFERROR(__xludf.DUMMYFUNCTION("""COMPUTED_VALUE"""),"7.1569136")</f>
        <v>7.1569136</v>
      </c>
      <c r="Z103" s="4" t="str">
        <f>IFERROR(__xludf.DUMMYFUNCTION("""COMPUTED_VALUE"""),"3.3344843")</f>
        <v>3.3344843</v>
      </c>
      <c r="AA103" s="4" t="str">
        <f t="shared" si="1"/>
        <v>Neighbor</v>
      </c>
      <c r="AC103" s="4">
        <f>IFERROR(__xludf.DUMMYFUNCTION("IFERROR(ABS(O103-AVERAGE(FILTER(O103:O4171,AA103:AA4171=""Neighbor""))) / STDEV(FILTER(O103:O4171, AA103:AA4171 =""Neighbor"")), """")"),1.5504760882453443)</f>
        <v>1.550476088</v>
      </c>
      <c r="AD103" s="4">
        <f>IFERROR(__xludf.DUMMYFUNCTION("IFERROR(ABS(P103-AVERAGE(FILTER(O103:P4171,AA103:AA4171=""Neighbor""))) / STDEV(FILTER(P103:P4171, AA103:AA4171 =""Neighbor"")), """")"),1.6195976843527022)</f>
        <v>1.619597684</v>
      </c>
      <c r="AE103" s="2">
        <f>IFERROR(__xludf.DUMMYFUNCTION("IFERROR(ABS(Q103-AVERAGE(FILTER(Q103:Q4171,AA103:AA4171=""Neighbor""))) / STDEV(FILTER(Q103:Q4171, AA103:AA4171 =""Neighbor"")), """")"),1.0490277258570961)</f>
        <v>1.049027726</v>
      </c>
      <c r="AF103" s="2">
        <f>IFERROR(__xludf.DUMMYFUNCTION("IFERROR(ABS(R103-AVERAGE(FILTER(R103:R4171,AA103:AA4171=""Neighbor""))) / STDEV(FILTER(R103:R4171, AA103:AA4171 =""Neighbor"")), """")"),0.10280084127607282)</f>
        <v>0.1028008413</v>
      </c>
    </row>
    <row r="104">
      <c r="A104" s="2" t="s">
        <v>28</v>
      </c>
      <c r="B104" s="2" t="s">
        <v>29</v>
      </c>
      <c r="C104" s="2" t="s">
        <v>409</v>
      </c>
      <c r="D104" s="2" t="s">
        <v>454</v>
      </c>
      <c r="E104" s="2" t="s">
        <v>455</v>
      </c>
      <c r="F104" s="2">
        <v>33.0</v>
      </c>
      <c r="G104" s="2">
        <v>310.0</v>
      </c>
      <c r="H104" s="2" t="b">
        <v>1</v>
      </c>
      <c r="I104" s="2">
        <v>-1.0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s">
        <v>33</v>
      </c>
      <c r="O104" s="2">
        <v>15.0</v>
      </c>
      <c r="P104" s="2">
        <v>2.0</v>
      </c>
      <c r="Q104" s="2">
        <v>14.0</v>
      </c>
      <c r="R104" s="2">
        <v>0.0</v>
      </c>
      <c r="S104" s="3" t="s">
        <v>456</v>
      </c>
      <c r="T104" s="2" t="s">
        <v>457</v>
      </c>
      <c r="Y104" s="4" t="str">
        <f>IFERROR(__xludf.DUMMYFUNCTION("""COMPUTED_VALUE"""),"7.1569136")</f>
        <v>7.1569136</v>
      </c>
      <c r="Z104" s="4" t="str">
        <f>IFERROR(__xludf.DUMMYFUNCTION("""COMPUTED_VALUE"""),"3.3344843")</f>
        <v>3.3344843</v>
      </c>
      <c r="AA104" s="4" t="str">
        <f t="shared" si="1"/>
        <v>Neighbor</v>
      </c>
      <c r="AC104" s="4">
        <f>IFERROR(__xludf.DUMMYFUNCTION("IFERROR(ABS(O104-AVERAGE(FILTER(O104:O4172,AA104:AA4172=""Neighbor""))) / STDEV(FILTER(O104:O4172, AA104:AA4172 =""Neighbor"")), """")"),1.1992970439715849)</f>
        <v>1.199297044</v>
      </c>
      <c r="AD104" s="4">
        <f>IFERROR(__xludf.DUMMYFUNCTION("IFERROR(ABS(P104-AVERAGE(FILTER(O104:P4172,AA104:AA4172=""Neighbor""))) / STDEV(FILTER(P104:P4172, AA104:AA4172 =""Neighbor"")), """")"),1.5417288638259707)</f>
        <v>1.541728864</v>
      </c>
      <c r="AE104" s="2">
        <f>IFERROR(__xludf.DUMMYFUNCTION("IFERROR(ABS(Q104-AVERAGE(FILTER(Q104:Q4172,AA104:AA4172=""Neighbor""))) / STDEV(FILTER(Q104:Q4172, AA104:AA4172 =""Neighbor"")), """")"),0.44338744979849215)</f>
        <v>0.4433874498</v>
      </c>
      <c r="AF104" s="2">
        <f>IFERROR(__xludf.DUMMYFUNCTION("IFERROR(ABS(R104-AVERAGE(FILTER(R104:R4172,AA104:AA4172=""Neighbor""))) / STDEV(FILTER(R104:R4172, AA104:AA4172 =""Neighbor"")), """")"),0.1028306216676335)</f>
        <v>0.1028306217</v>
      </c>
    </row>
    <row r="105">
      <c r="A105" s="2" t="s">
        <v>28</v>
      </c>
      <c r="B105" s="2" t="s">
        <v>29</v>
      </c>
      <c r="C105" s="2" t="s">
        <v>458</v>
      </c>
      <c r="D105" s="2" t="s">
        <v>459</v>
      </c>
      <c r="E105" s="2" t="s">
        <v>460</v>
      </c>
      <c r="F105" s="2">
        <v>105.0</v>
      </c>
      <c r="G105" s="2">
        <v>568.0</v>
      </c>
      <c r="H105" s="2" t="b">
        <v>1</v>
      </c>
      <c r="I105" s="2">
        <v>-1.0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s">
        <v>33</v>
      </c>
      <c r="O105" s="2">
        <v>65.0</v>
      </c>
      <c r="P105" s="2">
        <v>14.0</v>
      </c>
      <c r="Q105" s="2">
        <v>15.0</v>
      </c>
      <c r="R105" s="2">
        <v>0.0</v>
      </c>
      <c r="S105" s="3" t="s">
        <v>461</v>
      </c>
      <c r="T105" s="2" t="s">
        <v>462</v>
      </c>
      <c r="Y105" s="4" t="str">
        <f>IFERROR(__xludf.DUMMYFUNCTION("""COMPUTED_VALUE"""),"7.1554189")</f>
        <v>7.1554189</v>
      </c>
      <c r="Z105" s="4" t="str">
        <f>IFERROR(__xludf.DUMMYFUNCTION("""COMPUTED_VALUE"""),"3.332151")</f>
        <v>3.332151</v>
      </c>
      <c r="AA105" s="4" t="str">
        <f t="shared" si="1"/>
        <v>Neighbor</v>
      </c>
      <c r="AC105" s="4">
        <f>IFERROR(__xludf.DUMMYFUNCTION("IFERROR(ABS(O105-AVERAGE(FILTER(O105:O4173,AA105:AA4173=""Neighbor""))) / STDEV(FILTER(O105:O4173, AA105:AA4173 =""Neighbor"")), """")"),0.024339412373564438)</f>
        <v>0.02433941237</v>
      </c>
      <c r="AD105" s="4">
        <f>IFERROR(__xludf.DUMMYFUNCTION("IFERROR(ABS(P105-AVERAGE(FILTER(O105:P4173,AA105:AA4173=""Neighbor""))) / STDEV(FILTER(P105:P4173, AA105:AA4173 =""Neighbor"")), """")"),1.0710875480222448)</f>
        <v>1.071087548</v>
      </c>
      <c r="AE105" s="2">
        <f>IFERROR(__xludf.DUMMYFUNCTION("IFERROR(ABS(Q105-AVERAGE(FILTER(Q105:Q4173,AA105:AA4173=""Neighbor""))) / STDEV(FILTER(Q105:Q4173, AA105:AA4173 =""Neighbor"")), """")"),0.4002444675345484)</f>
        <v>0.4002444675</v>
      </c>
      <c r="AF105" s="2">
        <f>IFERROR(__xludf.DUMMYFUNCTION("IFERROR(ABS(R105-AVERAGE(FILTER(R105:R4173,AA105:AA4173=""Neighbor""))) / STDEV(FILTER(R105:R4173, AA105:AA4173 =""Neighbor"")), """")"),0.10286042795565156)</f>
        <v>0.102860428</v>
      </c>
    </row>
    <row r="106">
      <c r="A106" s="2" t="s">
        <v>28</v>
      </c>
      <c r="B106" s="2" t="s">
        <v>29</v>
      </c>
      <c r="C106" s="2" t="s">
        <v>458</v>
      </c>
      <c r="D106" s="2" t="s">
        <v>463</v>
      </c>
      <c r="E106" s="2" t="s">
        <v>464</v>
      </c>
      <c r="F106" s="2">
        <v>75.0</v>
      </c>
      <c r="G106" s="2">
        <v>582.0</v>
      </c>
      <c r="H106" s="2" t="b">
        <v>1</v>
      </c>
      <c r="I106" s="2">
        <v>-1.0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s">
        <v>33</v>
      </c>
      <c r="O106" s="2">
        <v>58.0</v>
      </c>
      <c r="P106" s="2">
        <v>0.0</v>
      </c>
      <c r="Q106" s="2">
        <v>5.0</v>
      </c>
      <c r="R106" s="2">
        <v>0.0</v>
      </c>
      <c r="S106" s="3" t="s">
        <v>465</v>
      </c>
      <c r="T106" s="2" t="s">
        <v>466</v>
      </c>
      <c r="Y106" s="4" t="str">
        <f>IFERROR(__xludf.DUMMYFUNCTION("""COMPUTED_VALUE"""),"7.1523473")</f>
        <v>7.1523473</v>
      </c>
      <c r="Z106" s="4" t="str">
        <f>IFERROR(__xludf.DUMMYFUNCTION("""COMPUTED_VALUE"""),"3.3308486")</f>
        <v>3.3308486</v>
      </c>
      <c r="AA106" s="4" t="str">
        <f t="shared" si="1"/>
        <v>Neighbor</v>
      </c>
      <c r="AC106" s="4">
        <f>IFERROR(__xludf.DUMMYFUNCTION("IFERROR(ABS(O106-AVERAGE(FILTER(O106:O4174,AA106:AA4174=""Neighbor""))) / STDEV(FILTER(O106:O4174, AA106:AA4174 =""Neighbor"")), """")"),0.18891079195667557)</f>
        <v>0.188910792</v>
      </c>
      <c r="AD106" s="4">
        <f>IFERROR(__xludf.DUMMYFUNCTION("IFERROR(ABS(P106-AVERAGE(FILTER(O106:P4174,AA106:AA4174=""Neighbor""))) / STDEV(FILTER(P106:P4174, AA106:AA4174 =""Neighbor"")), """")"),1.6202614874466925)</f>
        <v>1.620261487</v>
      </c>
      <c r="AE106" s="2">
        <f>IFERROR(__xludf.DUMMYFUNCTION("IFERROR(ABS(Q106-AVERAGE(FILTER(Q106:Q4174,AA106:AA4174=""Neighbor""))) / STDEV(FILTER(Q106:Q4174, AA106:AA4174 =""Neighbor"")), """")"),0.8332253069242217)</f>
        <v>0.8332253069</v>
      </c>
      <c r="AF106" s="2">
        <f>IFERROR(__xludf.DUMMYFUNCTION("IFERROR(ABS(R106-AVERAGE(FILTER(R106:R4174,AA106:AA4174=""Neighbor""))) / STDEV(FILTER(R106:R4174, AA106:AA4174 =""Neighbor"")), """")"),0.10289026017768088)</f>
        <v>0.1028902602</v>
      </c>
    </row>
    <row r="107">
      <c r="A107" s="2" t="s">
        <v>28</v>
      </c>
      <c r="B107" s="2" t="s">
        <v>29</v>
      </c>
      <c r="C107" s="2" t="s">
        <v>458</v>
      </c>
      <c r="D107" s="2" t="s">
        <v>467</v>
      </c>
      <c r="E107" s="2" t="s">
        <v>468</v>
      </c>
      <c r="F107" s="2">
        <v>57.0</v>
      </c>
      <c r="G107" s="2">
        <v>607.0</v>
      </c>
      <c r="H107" s="2" t="b">
        <v>1</v>
      </c>
      <c r="I107" s="2">
        <v>-1.0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s">
        <v>33</v>
      </c>
      <c r="O107" s="2">
        <v>40.0</v>
      </c>
      <c r="P107" s="2">
        <v>6.0</v>
      </c>
      <c r="Q107" s="2">
        <v>8.0</v>
      </c>
      <c r="R107" s="2">
        <v>0.0</v>
      </c>
      <c r="S107" s="3" t="s">
        <v>469</v>
      </c>
      <c r="T107" s="2" t="s">
        <v>470</v>
      </c>
      <c r="Y107" s="4" t="str">
        <f>IFERROR(__xludf.DUMMYFUNCTION("""COMPUTED_VALUE"""),"7.1523473")</f>
        <v>7.1523473</v>
      </c>
      <c r="Z107" s="4" t="str">
        <f>IFERROR(__xludf.DUMMYFUNCTION("""COMPUTED_VALUE"""),"3.3308486")</f>
        <v>3.3308486</v>
      </c>
      <c r="AA107" s="4" t="str">
        <f t="shared" si="1"/>
        <v>Neighbor</v>
      </c>
      <c r="AC107" s="4">
        <f>IFERROR(__xludf.DUMMYFUNCTION("IFERROR(ABS(O107-AVERAGE(FILTER(O107:O4175,AA107:AA4175=""Neighbor""))) / STDEV(FILTER(O107:O4175, AA107:AA4175 =""Neighbor"")), """")"),0.6120152760115107)</f>
        <v>0.612015276</v>
      </c>
      <c r="AD107" s="4">
        <f>IFERROR(__xludf.DUMMYFUNCTION("IFERROR(ABS(P107-AVERAGE(FILTER(O107:P4175,AA107:AA4175=""Neighbor""))) / STDEV(FILTER(P107:P4175, AA107:AA4175 =""Neighbor"")), """")"),1.3848346212525886)</f>
        <v>1.384834621</v>
      </c>
      <c r="AE107" s="2">
        <f>IFERROR(__xludf.DUMMYFUNCTION("IFERROR(ABS(Q107-AVERAGE(FILTER(Q107:Q4175,AA107:AA4175=""Neighbor""))) / STDEV(FILTER(Q107:Q4175, AA107:AA4175 =""Neighbor"")), """")"),0.7037881253602348)</f>
        <v>0.7037881254</v>
      </c>
      <c r="AF107" s="2">
        <f>IFERROR(__xludf.DUMMYFUNCTION("IFERROR(ABS(R107-AVERAGE(FILTER(R107:R4175,AA107:AA4175=""Neighbor""))) / STDEV(FILTER(R107:R4175, AA107:AA4175 =""Neighbor"")), """")"),0.10292011837135172)</f>
        <v>0.1029201184</v>
      </c>
    </row>
    <row r="108">
      <c r="A108" s="2" t="s">
        <v>28</v>
      </c>
      <c r="B108" s="2" t="s">
        <v>29</v>
      </c>
      <c r="C108" s="2" t="s">
        <v>458</v>
      </c>
      <c r="D108" s="2" t="s">
        <v>471</v>
      </c>
      <c r="E108" s="2" t="s">
        <v>472</v>
      </c>
      <c r="F108" s="2">
        <v>91.0</v>
      </c>
      <c r="G108" s="2">
        <v>690.0</v>
      </c>
      <c r="H108" s="2" t="b">
        <v>1</v>
      </c>
      <c r="I108" s="2">
        <v>-1.0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s">
        <v>33</v>
      </c>
      <c r="O108" s="2">
        <v>50.0</v>
      </c>
      <c r="P108" s="2">
        <v>13.0</v>
      </c>
      <c r="Q108" s="2">
        <v>14.0</v>
      </c>
      <c r="R108" s="2">
        <v>0.0</v>
      </c>
      <c r="S108" s="3" t="s">
        <v>473</v>
      </c>
      <c r="T108" s="2" t="s">
        <v>474</v>
      </c>
      <c r="Y108" s="4" t="str">
        <f>IFERROR(__xludf.DUMMYFUNCTION("""COMPUTED_VALUE"""),"7.1529929")</f>
        <v>7.1529929</v>
      </c>
      <c r="Z108" s="4" t="str">
        <f>IFERROR(__xludf.DUMMYFUNCTION("""COMPUTED_VALUE"""),"3.3310545")</f>
        <v>3.3310545</v>
      </c>
      <c r="AA108" s="4" t="str">
        <f t="shared" si="1"/>
        <v>Neighbor</v>
      </c>
      <c r="AC108" s="4">
        <f>IFERROR(__xludf.DUMMYFUNCTION("IFERROR(ABS(O108-AVERAGE(FILTER(O108:O4176,AA108:AA4176=""Neighbor""))) / STDEV(FILTER(O108:O4176, AA108:AA4176 =""Neighbor"")), """")"),0.37727252497072855)</f>
        <v>0.377272525</v>
      </c>
      <c r="AD108" s="4">
        <f>IFERROR(__xludf.DUMMYFUNCTION("IFERROR(ABS(P108-AVERAGE(FILTER(O108:P4176,AA108:AA4176=""Neighbor""))) / STDEV(FILTER(P108:P4176, AA108:AA4176 =""Neighbor"")), """")"),1.1103092238438825)</f>
        <v>1.110309224</v>
      </c>
      <c r="AE108" s="2">
        <f>IFERROR(__xludf.DUMMYFUNCTION("IFERROR(ABS(Q108-AVERAGE(FILTER(Q108:Q4176,AA108:AA4176=""Neighbor""))) / STDEV(FILTER(Q108:Q4176, AA108:AA4176 =""Neighbor"")), """")"),0.4444426166847504)</f>
        <v>0.4444426167</v>
      </c>
      <c r="AF108" s="2">
        <f>IFERROR(__xludf.DUMMYFUNCTION("IFERROR(ABS(R108-AVERAGE(FILTER(R108:R4176,AA108:AA4176=""Neighbor""))) / STDEV(FILTER(R108:R4176, AA108:AA4176 =""Neighbor"")), """")"),0.10295000257437027)</f>
        <v>0.1029500026</v>
      </c>
    </row>
    <row r="109">
      <c r="A109" s="2" t="s">
        <v>28</v>
      </c>
      <c r="B109" s="2" t="s">
        <v>29</v>
      </c>
      <c r="C109" s="2" t="s">
        <v>458</v>
      </c>
      <c r="D109" s="2" t="s">
        <v>475</v>
      </c>
      <c r="E109" s="2" t="s">
        <v>476</v>
      </c>
      <c r="F109" s="2">
        <v>98.0</v>
      </c>
      <c r="G109" s="2">
        <v>499.0</v>
      </c>
      <c r="H109" s="2" t="b">
        <v>1</v>
      </c>
      <c r="I109" s="2">
        <v>-1.0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s">
        <v>33</v>
      </c>
      <c r="O109" s="2">
        <v>55.0</v>
      </c>
      <c r="P109" s="2">
        <v>10.0</v>
      </c>
      <c r="Q109" s="2">
        <v>21.0</v>
      </c>
      <c r="R109" s="2">
        <v>1.0</v>
      </c>
      <c r="S109" s="3" t="s">
        <v>477</v>
      </c>
      <c r="T109" s="2" t="s">
        <v>478</v>
      </c>
      <c r="Y109" s="4" t="str">
        <f>IFERROR(__xludf.DUMMYFUNCTION("""COMPUTED_VALUE"""),"7.1517562")</f>
        <v>7.1517562</v>
      </c>
      <c r="Z109" s="4" t="str">
        <f>IFERROR(__xludf.DUMMYFUNCTION("""COMPUTED_VALUE"""),"3.3330284")</f>
        <v>3.3330284</v>
      </c>
      <c r="AA109" s="4" t="str">
        <f t="shared" si="1"/>
        <v>Neighbor</v>
      </c>
      <c r="AC109" s="4">
        <f>IFERROR(__xludf.DUMMYFUNCTION("IFERROR(ABS(O109-AVERAGE(FILTER(O109:O4177,AA109:AA4177=""Neighbor""))) / STDEV(FILTER(O109:O4177, AA109:AA4177 =""Neighbor"")), """")"),0.2599331539293819)</f>
        <v>0.2599331539</v>
      </c>
      <c r="AD109" s="4">
        <f>IFERROR(__xludf.DUMMYFUNCTION("IFERROR(ABS(P109-AVERAGE(FILTER(O109:P4177,AA109:AA4177=""Neighbor""))) / STDEV(FILTER(P109:P4177, AA109:AA4177 =""Neighbor"")), """")"),1.2278730977690424)</f>
        <v>1.227873098</v>
      </c>
      <c r="AE109" s="2">
        <f>IFERROR(__xludf.DUMMYFUNCTION("IFERROR(ABS(Q109-AVERAGE(FILTER(Q109:Q4177,AA109:AA4177=""Neighbor""))) / STDEV(FILTER(Q109:Q4177, AA109:AA4177 =""Neighbor"")), """")"),0.14174287332339283)</f>
        <v>0.1417428733</v>
      </c>
      <c r="AF109" s="2">
        <f>IFERROR(__xludf.DUMMYFUNCTION("IFERROR(ABS(R109-AVERAGE(FILTER(R109:R4177,AA109:AA4177=""Neighbor""))) / STDEV(FILTER(R109:R4177, AA109:AA4177 =""Neighbor"")), """")"),0.09722040987012877)</f>
        <v>0.09722040987</v>
      </c>
    </row>
    <row r="110">
      <c r="A110" s="2" t="s">
        <v>28</v>
      </c>
      <c r="B110" s="2" t="s">
        <v>29</v>
      </c>
      <c r="C110" s="2" t="s">
        <v>458</v>
      </c>
      <c r="D110" s="2" t="s">
        <v>479</v>
      </c>
      <c r="E110" s="2" t="s">
        <v>480</v>
      </c>
      <c r="F110" s="2">
        <v>80.0</v>
      </c>
      <c r="G110" s="2">
        <v>453.0</v>
      </c>
      <c r="H110" s="2" t="b">
        <v>1</v>
      </c>
      <c r="I110" s="2">
        <v>-1.0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s">
        <v>33</v>
      </c>
      <c r="O110" s="2">
        <v>54.0</v>
      </c>
      <c r="P110" s="2">
        <v>1.0</v>
      </c>
      <c r="Q110" s="2">
        <v>15.0</v>
      </c>
      <c r="R110" s="2">
        <v>0.0</v>
      </c>
      <c r="S110" s="3" t="s">
        <v>481</v>
      </c>
      <c r="T110" s="2" t="s">
        <v>482</v>
      </c>
      <c r="Y110" s="4" t="str">
        <f>IFERROR(__xludf.DUMMYFUNCTION("""COMPUTED_VALUE"""),"7.1517562")</f>
        <v>7.1517562</v>
      </c>
      <c r="Z110" s="4" t="str">
        <f>IFERROR(__xludf.DUMMYFUNCTION("""COMPUTED_VALUE"""),"3.3330284")</f>
        <v>3.3330284</v>
      </c>
      <c r="AA110" s="4" t="str">
        <f t="shared" si="1"/>
        <v>Neighbor</v>
      </c>
      <c r="AC110" s="4">
        <f>IFERROR(__xludf.DUMMYFUNCTION("IFERROR(ABS(O110-AVERAGE(FILTER(O110:O4178,AA110:AA4178=""Neighbor""))) / STDEV(FILTER(O110:O4178, AA110:AA4178 =""Neighbor"")), """")"),0.2834993345028247)</f>
        <v>0.2834993345</v>
      </c>
      <c r="AD110" s="4">
        <f>IFERROR(__xludf.DUMMYFUNCTION("IFERROR(ABS(P110-AVERAGE(FILTER(O110:P4178,AA110:AA4178=""Neighbor""))) / STDEV(FILTER(P110:P4178, AA110:AA4178 =""Neighbor"")), """")"),1.580614688811893)</f>
        <v>1.580614689</v>
      </c>
      <c r="AE110" s="2">
        <f>IFERROR(__xludf.DUMMYFUNCTION("IFERROR(ABS(Q110-AVERAGE(FILTER(Q110:Q4178,AA110:AA4178=""Neighbor""))) / STDEV(FILTER(Q110:Q4178, AA110:AA4178 =""Neighbor"")), """")"),0.4012993406092763)</f>
        <v>0.4012993406</v>
      </c>
      <c r="AF110" s="2">
        <f>IFERROR(__xludf.DUMMYFUNCTION("IFERROR(ABS(R110-AVERAGE(FILTER(R110:R4178,AA110:AA4178=""Neighbor""))) / STDEV(FILTER(R110:R4178, AA110:AA4178 =""Neighbor"")), """")"),0.10289459144316146)</f>
        <v>0.1028945914</v>
      </c>
    </row>
    <row r="111">
      <c r="A111" s="2" t="s">
        <v>28</v>
      </c>
      <c r="B111" s="2" t="s">
        <v>29</v>
      </c>
      <c r="C111" s="2" t="s">
        <v>458</v>
      </c>
      <c r="D111" s="2" t="s">
        <v>483</v>
      </c>
      <c r="E111" s="2" t="s">
        <v>484</v>
      </c>
      <c r="F111" s="2">
        <v>59.0</v>
      </c>
      <c r="G111" s="2">
        <v>437.0</v>
      </c>
      <c r="H111" s="2" t="b">
        <v>1</v>
      </c>
      <c r="I111" s="2">
        <v>-1.0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s">
        <v>33</v>
      </c>
      <c r="O111" s="2">
        <v>37.0</v>
      </c>
      <c r="P111" s="2">
        <v>3.0</v>
      </c>
      <c r="Q111" s="2">
        <v>11.0</v>
      </c>
      <c r="R111" s="2">
        <v>0.0</v>
      </c>
      <c r="S111" s="3" t="s">
        <v>485</v>
      </c>
      <c r="T111" s="2" t="s">
        <v>486</v>
      </c>
      <c r="Y111" s="4" t="str">
        <f>IFERROR(__xludf.DUMMYFUNCTION("""COMPUTED_VALUE"""),"7.1517562")</f>
        <v>7.1517562</v>
      </c>
      <c r="Z111" s="4" t="str">
        <f>IFERROR(__xludf.DUMMYFUNCTION("""COMPUTED_VALUE"""),"3.3330284")</f>
        <v>3.3330284</v>
      </c>
      <c r="AA111" s="4" t="str">
        <f t="shared" si="1"/>
        <v>Not Neighbor</v>
      </c>
      <c r="AC111" s="4">
        <f>IFERROR(__xludf.DUMMYFUNCTION("IFERROR(ABS(O111-AVERAGE(FILTER(O111:O4179,AA111:AA4179=""Neighbor""))) / STDEV(FILTER(O111:O4179, AA111:AA4179 =""Neighbor"")), """")"),0.6827497149378623)</f>
        <v>0.6827497149</v>
      </c>
      <c r="AD111" s="4">
        <f>IFERROR(__xludf.DUMMYFUNCTION("IFERROR(ABS(P111-AVERAGE(FILTER(O111:P4179,AA111:AA4179=""Neighbor""))) / STDEV(FILTER(P111:P4179, AA111:AA4179 =""Neighbor"")), """")"),1.5022387139197664)</f>
        <v>1.502238714</v>
      </c>
      <c r="AE111" s="2">
        <f>IFERROR(__xludf.DUMMYFUNCTION("IFERROR(ABS(Q111-AVERAGE(FILTER(Q111:Q4179,AA111:AA4179=""Neighbor""))) / STDEV(FILTER(Q111:Q4179, AA111:AA4179 =""Neighbor"")), """")"),0.5744015768501247)</f>
        <v>0.5744015769</v>
      </c>
      <c r="AF111" s="2">
        <f>IFERROR(__xludf.DUMMYFUNCTION("IFERROR(ABS(R111-AVERAGE(FILTER(R111:R4179,AA111:AA4179=""Neighbor""))) / STDEV(FILTER(R111:R4179, AA111:AA4179 =""Neighbor"")), """")"),0.10292451967231109)</f>
        <v>0.1029245197</v>
      </c>
    </row>
    <row r="112">
      <c r="A112" s="2" t="s">
        <v>28</v>
      </c>
      <c r="B112" s="2" t="s">
        <v>29</v>
      </c>
      <c r="C112" s="2" t="s">
        <v>458</v>
      </c>
      <c r="D112" s="2" t="s">
        <v>487</v>
      </c>
      <c r="E112" s="2" t="s">
        <v>488</v>
      </c>
      <c r="F112" s="2">
        <v>111.0</v>
      </c>
      <c r="G112" s="2">
        <v>829.0</v>
      </c>
      <c r="H112" s="2" t="b">
        <v>1</v>
      </c>
      <c r="I112" s="2">
        <v>-1.0</v>
      </c>
      <c r="J112" s="2" t="b">
        <v>1</v>
      </c>
      <c r="K112" s="2" t="b">
        <v>0</v>
      </c>
      <c r="L112" s="2" t="b">
        <v>0</v>
      </c>
      <c r="M112" s="2" t="b">
        <v>0</v>
      </c>
      <c r="N112" s="2" t="s">
        <v>33</v>
      </c>
      <c r="O112" s="2">
        <v>65.0</v>
      </c>
      <c r="P112" s="2">
        <v>8.0</v>
      </c>
      <c r="Q112" s="2">
        <v>16.0</v>
      </c>
      <c r="R112" s="2">
        <v>0.0</v>
      </c>
      <c r="S112" s="3" t="s">
        <v>489</v>
      </c>
      <c r="T112" s="2" t="s">
        <v>490</v>
      </c>
      <c r="Y112" s="4" t="str">
        <f>IFERROR(__xludf.DUMMYFUNCTION("""COMPUTED_VALUE"""),"7.159012")</f>
        <v>7.159012</v>
      </c>
      <c r="Z112" s="4" t="str">
        <f>IFERROR(__xludf.DUMMYFUNCTION("""COMPUTED_VALUE"""),"3.3190889")</f>
        <v>3.3190889</v>
      </c>
      <c r="AA112" s="4" t="str">
        <f t="shared" si="1"/>
        <v>Not Neighbor</v>
      </c>
      <c r="AC112" s="4">
        <f>IFERROR(__xludf.DUMMYFUNCTION("IFERROR(ABS(O112-AVERAGE(FILTER(O112:O4180,AA112:AA4180=""Neighbor""))) / STDEV(FILTER(O112:O4180, AA112:AA4180 =""Neighbor"")), """")"),0.02530606225655686)</f>
        <v>0.02530606226</v>
      </c>
      <c r="AD112" s="4">
        <f>IFERROR(__xludf.DUMMYFUNCTION("IFERROR(ABS(P112-AVERAGE(FILTER(O112:P4180,AA112:AA4180=""Neighbor""))) / STDEV(FILTER(P112:P4180, AA112:AA4180 =""Neighbor"")), """")"),1.306233662709359)</f>
        <v>1.306233663</v>
      </c>
      <c r="AE112" s="2">
        <f>IFERROR(__xludf.DUMMYFUNCTION("IFERROR(ABS(Q112-AVERAGE(FILTER(Q112:Q4180,AA112:AA4180=""Neighbor""))) / STDEV(FILTER(Q112:Q4180, AA112:AA4180 =""Neighbor"")), """")"),0.3581914429793926)</f>
        <v>0.358191443</v>
      </c>
      <c r="AF112" s="2">
        <f>IFERROR(__xludf.DUMMYFUNCTION("IFERROR(ABS(R112-AVERAGE(FILTER(R112:R4180,AA112:AA4180=""Neighbor""))) / STDEV(FILTER(R112:R4180, AA112:AA4180 =""Neighbor"")), """")"),0.10292451967231109)</f>
        <v>0.1029245197</v>
      </c>
    </row>
    <row r="113">
      <c r="A113" s="2" t="s">
        <v>28</v>
      </c>
      <c r="B113" s="2" t="s">
        <v>29</v>
      </c>
      <c r="C113" s="2" t="s">
        <v>458</v>
      </c>
      <c r="D113" s="2" t="s">
        <v>491</v>
      </c>
      <c r="E113" s="2" t="s">
        <v>492</v>
      </c>
      <c r="F113" s="2">
        <v>86.0</v>
      </c>
      <c r="G113" s="2">
        <v>798.0</v>
      </c>
      <c r="H113" s="2" t="b">
        <v>1</v>
      </c>
      <c r="I113" s="2">
        <v>-1.0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s">
        <v>33</v>
      </c>
      <c r="O113" s="2">
        <v>57.0</v>
      </c>
      <c r="P113" s="2">
        <v>6.0</v>
      </c>
      <c r="Q113" s="2">
        <v>10.0</v>
      </c>
      <c r="R113" s="2">
        <v>0.0</v>
      </c>
      <c r="S113" s="3" t="s">
        <v>493</v>
      </c>
      <c r="T113" s="2" t="s">
        <v>494</v>
      </c>
      <c r="Y113" s="4" t="str">
        <f>IFERROR(__xludf.DUMMYFUNCTION("""COMPUTED_VALUE"""),"7.1461944")</f>
        <v>7.1461944</v>
      </c>
      <c r="Z113" s="4" t="str">
        <f>IFERROR(__xludf.DUMMYFUNCTION("""COMPUTED_VALUE"""),"3.3294478")</f>
        <v>3.3294478</v>
      </c>
      <c r="AA113" s="4" t="str">
        <f t="shared" si="1"/>
        <v>Neighbor</v>
      </c>
      <c r="AC113" s="4">
        <f>IFERROR(__xludf.DUMMYFUNCTION("IFERROR(ABS(O113-AVERAGE(FILTER(O113:O4181,AA113:AA4181=""Neighbor""))) / STDEV(FILTER(O113:O4181, AA113:AA4181 =""Neighbor"")), """")"),0.21314710587978697)</f>
        <v>0.2131471059</v>
      </c>
      <c r="AD113" s="4">
        <f>IFERROR(__xludf.DUMMYFUNCTION("IFERROR(ABS(P113-AVERAGE(FILTER(O113:P4181,AA113:AA4181=""Neighbor""))) / STDEV(FILTER(P113:P4181, AA113:AA4181 =""Neighbor"")), """")"),1.3846356831935218)</f>
        <v>1.384635683</v>
      </c>
      <c r="AE113" s="2">
        <f>IFERROR(__xludf.DUMMYFUNCTION("IFERROR(ABS(Q113-AVERAGE(FILTER(Q113:Q4181,AA113:AA4181=""Neighbor""))) / STDEV(FILTER(Q113:Q4181, AA113:AA4181 =""Neighbor"")), """")"),0.6176436036242712)</f>
        <v>0.6176436036</v>
      </c>
      <c r="AF113" s="2">
        <f>IFERROR(__xludf.DUMMYFUNCTION("IFERROR(ABS(R113-AVERAGE(FILTER(R113:R4181,AA113:AA4181=""Neighbor""))) / STDEV(FILTER(R113:R4181, AA113:AA4181 =""Neighbor"")), """")"),0.10292451967231109)</f>
        <v>0.1029245197</v>
      </c>
    </row>
    <row r="114">
      <c r="A114" s="2" t="s">
        <v>28</v>
      </c>
      <c r="B114" s="2" t="s">
        <v>29</v>
      </c>
      <c r="C114" s="2" t="s">
        <v>458</v>
      </c>
      <c r="D114" s="2" t="s">
        <v>495</v>
      </c>
      <c r="E114" s="2" t="s">
        <v>496</v>
      </c>
      <c r="F114" s="2">
        <v>125.0</v>
      </c>
      <c r="G114" s="2">
        <v>750.0</v>
      </c>
      <c r="H114" s="2" t="b">
        <v>1</v>
      </c>
      <c r="I114" s="2">
        <v>-1.0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s">
        <v>33</v>
      </c>
      <c r="O114" s="2">
        <v>86.0</v>
      </c>
      <c r="P114" s="2">
        <v>15.0</v>
      </c>
      <c r="Q114" s="2">
        <v>10.0</v>
      </c>
      <c r="R114" s="2">
        <v>0.0</v>
      </c>
      <c r="S114" s="3" t="s">
        <v>497</v>
      </c>
      <c r="T114" s="2" t="s">
        <v>498</v>
      </c>
      <c r="Y114" s="4" t="str">
        <f>IFERROR(__xludf.DUMMYFUNCTION("""COMPUTED_VALUE"""),"7.1442096")</f>
        <v>7.1442096</v>
      </c>
      <c r="Z114" s="4" t="str">
        <f>IFERROR(__xludf.DUMMYFUNCTION("""COMPUTED_VALUE"""),"3.3250413")</f>
        <v>3.3250413</v>
      </c>
      <c r="AA114" s="4" t="str">
        <f t="shared" si="1"/>
        <v>Not Neighbor</v>
      </c>
      <c r="AC114" s="4">
        <f>IFERROR(__xludf.DUMMYFUNCTION("IFERROR(ABS(O114-AVERAGE(FILTER(O114:O4182,AA114:AA4182=""Neighbor""))) / STDEV(FILTER(O114:O4182, AA114:AA4182 =""Neighbor"")), """")"),0.4675251606540668)</f>
        <v>0.4675251607</v>
      </c>
      <c r="AD114" s="4">
        <f>IFERROR(__xludf.DUMMYFUNCTION("IFERROR(ABS(P114-AVERAGE(FILTER(O114:P4182,AA114:AA4182=""Neighbor""))) / STDEV(FILTER(P114:P4182, AA114:AA4182 =""Neighbor"")), """")"),1.031802070669546)</f>
        <v>1.031802071</v>
      </c>
      <c r="AE114" s="2">
        <f>IFERROR(__xludf.DUMMYFUNCTION("IFERROR(ABS(Q114-AVERAGE(FILTER(Q114:Q4182,AA114:AA4182=""Neighbor""))) / STDEV(FILTER(Q114:Q4182, AA114:AA4182 =""Neighbor"")), """")"),0.6178894428382501)</f>
        <v>0.6178894428</v>
      </c>
      <c r="AF114" s="2">
        <f>IFERROR(__xludf.DUMMYFUNCTION("IFERROR(ABS(R114-AVERAGE(FILTER(R114:R4182,AA114:AA4182=""Neighbor""))) / STDEV(FILTER(R114:R4182, AA114:AA4182 =""Neighbor"")), """")"),0.10295447403190248)</f>
        <v>0.102954474</v>
      </c>
    </row>
    <row r="115">
      <c r="A115" s="2" t="s">
        <v>28</v>
      </c>
      <c r="B115" s="2" t="s">
        <v>29</v>
      </c>
      <c r="C115" s="2" t="s">
        <v>458</v>
      </c>
      <c r="D115" s="2" t="s">
        <v>499</v>
      </c>
      <c r="E115" s="2" t="s">
        <v>500</v>
      </c>
      <c r="F115" s="2">
        <v>86.0</v>
      </c>
      <c r="G115" s="2">
        <v>716.0</v>
      </c>
      <c r="H115" s="2" t="b">
        <v>1</v>
      </c>
      <c r="I115" s="2">
        <v>-1.0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s">
        <v>33</v>
      </c>
      <c r="O115" s="2">
        <v>56.0</v>
      </c>
      <c r="P115" s="2">
        <v>12.0</v>
      </c>
      <c r="Q115" s="2">
        <v>9.0</v>
      </c>
      <c r="R115" s="2">
        <v>0.0</v>
      </c>
      <c r="S115" s="3" t="s">
        <v>501</v>
      </c>
      <c r="T115" s="2" t="s">
        <v>502</v>
      </c>
      <c r="Y115" s="4" t="str">
        <f>IFERROR(__xludf.DUMMYFUNCTION("""COMPUTED_VALUE"""),"7.1489241")</f>
        <v>7.1489241</v>
      </c>
      <c r="Z115" s="4" t="str">
        <f>IFERROR(__xludf.DUMMYFUNCTION("""COMPUTED_VALUE"""),"3.3358439")</f>
        <v>3.3358439</v>
      </c>
      <c r="AA115" s="4" t="str">
        <f t="shared" si="1"/>
        <v>Neighbor</v>
      </c>
      <c r="AC115" s="4">
        <f>IFERROR(__xludf.DUMMYFUNCTION("IFERROR(ABS(O115-AVERAGE(FILTER(O115:O4183,AA115:AA4183=""Neighbor""))) / STDEV(FILTER(O115:O4183, AA115:AA4183 =""Neighbor"")), """")"),0.23668495081844662)</f>
        <v>0.2366849508</v>
      </c>
      <c r="AD115" s="4">
        <f>IFERROR(__xludf.DUMMYFUNCTION("IFERROR(ABS(P115-AVERAGE(FILTER(O115:P4183,AA115:AA4183=""Neighbor""))) / STDEV(FILTER(P115:P4183, AA115:AA4183 =""Neighbor"")), """")"),1.1493770206522507)</f>
        <v>1.149377021</v>
      </c>
      <c r="AE115" s="2">
        <f>IFERROR(__xludf.DUMMYFUNCTION("IFERROR(ABS(Q115-AVERAGE(FILTER(Q115:Q4183,AA115:AA4183=""Neighbor""))) / STDEV(FILTER(Q115:Q4183, AA115:AA4183 =""Neighbor"")), """")"),0.6611237622173581)</f>
        <v>0.6611237622</v>
      </c>
      <c r="AF115" s="2">
        <f>IFERROR(__xludf.DUMMYFUNCTION("IFERROR(ABS(R115-AVERAGE(FILTER(R115:R4183,AA115:AA4183=""Neighbor""))) / STDEV(FILTER(R115:R4183, AA115:AA4183 =""Neighbor"")), """")"),0.10295447403190248)</f>
        <v>0.102954474</v>
      </c>
    </row>
    <row r="116">
      <c r="A116" s="2" t="s">
        <v>28</v>
      </c>
      <c r="B116" s="2" t="s">
        <v>29</v>
      </c>
      <c r="C116" s="2" t="s">
        <v>458</v>
      </c>
      <c r="D116" s="2" t="s">
        <v>503</v>
      </c>
      <c r="E116" s="2" t="s">
        <v>504</v>
      </c>
      <c r="F116" s="2">
        <v>115.0</v>
      </c>
      <c r="G116" s="2">
        <v>976.0</v>
      </c>
      <c r="H116" s="2" t="b">
        <v>1</v>
      </c>
      <c r="I116" s="2">
        <v>-1.0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s">
        <v>33</v>
      </c>
      <c r="O116" s="2">
        <v>81.0</v>
      </c>
      <c r="P116" s="2">
        <v>12.0</v>
      </c>
      <c r="Q116" s="2">
        <v>12.0</v>
      </c>
      <c r="R116" s="2">
        <v>0.0</v>
      </c>
      <c r="S116" s="3" t="s">
        <v>505</v>
      </c>
      <c r="T116" s="2" t="s">
        <v>506</v>
      </c>
      <c r="Y116" s="4" t="str">
        <f>IFERROR(__xludf.DUMMYFUNCTION("""COMPUTED_VALUE"""),"7.1461944")</f>
        <v>7.1461944</v>
      </c>
      <c r="Z116" s="4" t="str">
        <f>IFERROR(__xludf.DUMMYFUNCTION("""COMPUTED_VALUE"""),"3.3294478")</f>
        <v>3.3294478</v>
      </c>
      <c r="AA116" s="4" t="str">
        <f t="shared" si="1"/>
        <v>Neighbor</v>
      </c>
      <c r="AC116" s="4">
        <f>IFERROR(__xludf.DUMMYFUNCTION("IFERROR(ABS(O116-AVERAGE(FILTER(O116:O4184,AA116:AA4184=""Neighbor""))) / STDEV(FILTER(O116:O4184, AA116:AA4184 =""Neighbor"")), """")"),0.34992502485752314)</f>
        <v>0.3499250249</v>
      </c>
      <c r="AD116" s="4">
        <f>IFERROR(__xludf.DUMMYFUNCTION("IFERROR(ABS(P116-AVERAGE(FILTER(O116:P4184,AA116:AA4184=""Neighbor""))) / STDEV(FILTER(P116:P4184, AA116:AA4184 =""Neighbor"")), """")"),1.1492217494040797)</f>
        <v>1.149221749</v>
      </c>
      <c r="AE116" s="2">
        <f>IFERROR(__xludf.DUMMYFUNCTION("IFERROR(ABS(Q116-AVERAGE(FILTER(Q116:Q4184,AA116:AA4184=""Neighbor""))) / STDEV(FILTER(Q116:Q4184, AA116:AA4184 =""Neighbor"")), """")"),0.5317157643552539)</f>
        <v>0.5317157644</v>
      </c>
      <c r="AF116" s="2">
        <f>IFERROR(__xludf.DUMMYFUNCTION("IFERROR(ABS(R116-AVERAGE(FILTER(R116:R4184,AA116:AA4184=""Neighbor""))) / STDEV(FILTER(R116:R4184, AA116:AA4184 =""Neighbor"")), """")"),0.10298445455998217)</f>
        <v>0.1029844546</v>
      </c>
    </row>
    <row r="117">
      <c r="A117" s="2" t="s">
        <v>28</v>
      </c>
      <c r="B117" s="2" t="s">
        <v>29</v>
      </c>
      <c r="C117" s="2" t="s">
        <v>458</v>
      </c>
      <c r="D117" s="2" t="s">
        <v>507</v>
      </c>
      <c r="E117" s="2" t="s">
        <v>508</v>
      </c>
      <c r="F117" s="2">
        <v>98.0</v>
      </c>
      <c r="G117" s="2">
        <v>750.0</v>
      </c>
      <c r="H117" s="2" t="b">
        <v>1</v>
      </c>
      <c r="I117" s="2">
        <v>-1.0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s">
        <v>33</v>
      </c>
      <c r="O117" s="2">
        <v>51.0</v>
      </c>
      <c r="P117" s="2">
        <v>21.0</v>
      </c>
      <c r="Q117" s="2">
        <v>14.0</v>
      </c>
      <c r="R117" s="2">
        <v>0.0</v>
      </c>
      <c r="S117" s="3" t="s">
        <v>509</v>
      </c>
      <c r="T117" s="2" t="s">
        <v>510</v>
      </c>
      <c r="Y117" s="4" t="str">
        <f>IFERROR(__xludf.DUMMYFUNCTION("""COMPUTED_VALUE"""),"7.1442096")</f>
        <v>7.1442096</v>
      </c>
      <c r="Z117" s="4" t="str">
        <f>IFERROR(__xludf.DUMMYFUNCTION("""COMPUTED_VALUE"""),"3.3250413")</f>
        <v>3.3250413</v>
      </c>
      <c r="AA117" s="4" t="str">
        <f t="shared" si="1"/>
        <v>Not Neighbor</v>
      </c>
      <c r="AC117" s="4">
        <f>IFERROR(__xludf.DUMMYFUNCTION("IFERROR(ABS(O117-AVERAGE(FILTER(O117:O4185,AA117:AA4185=""Neighbor""))) / STDEV(FILTER(O117:O4185, AA117:AA4185 =""Neighbor"")), """")"),0.3538018463115981)</f>
        <v>0.3538018463</v>
      </c>
      <c r="AD117" s="4">
        <f>IFERROR(__xludf.DUMMYFUNCTION("IFERROR(ABS(P117-AVERAGE(FILTER(O117:P4185,AA117:AA4185=""Neighbor""))) / STDEV(FILTER(P117:P4185, AA117:AA4185 =""Neighbor"")), """")"),0.7962560517563683)</f>
        <v>0.7962560518</v>
      </c>
      <c r="AE117" s="2">
        <f>IFERROR(__xludf.DUMMYFUNCTION("IFERROR(ABS(Q117-AVERAGE(FILTER(Q117:Q4185,AA117:AA4185=""Neighbor""))) / STDEV(FILTER(Q117:Q4185, AA117:AA4185 =""Neighbor"")), """")"),0.4454757648367092)</f>
        <v>0.4454757648</v>
      </c>
      <c r="AF117" s="2">
        <f>IFERROR(__xludf.DUMMYFUNCTION("IFERROR(ABS(R117-AVERAGE(FILTER(R117:R4185,AA117:AA4185=""Neighbor""))) / STDEV(FILTER(R117:R4185, AA117:AA4185 =""Neighbor"")), """")"),0.10301446129467479)</f>
        <v>0.1030144613</v>
      </c>
    </row>
    <row r="118">
      <c r="A118" s="2" t="s">
        <v>28</v>
      </c>
      <c r="B118" s="2" t="s">
        <v>29</v>
      </c>
      <c r="C118" s="2" t="s">
        <v>458</v>
      </c>
      <c r="D118" s="2" t="s">
        <v>511</v>
      </c>
      <c r="E118" s="2" t="s">
        <v>512</v>
      </c>
      <c r="F118" s="2">
        <v>121.0</v>
      </c>
      <c r="G118" s="2">
        <v>685.0</v>
      </c>
      <c r="H118" s="2" t="b">
        <v>1</v>
      </c>
      <c r="I118" s="2">
        <v>-1.0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s">
        <v>33</v>
      </c>
      <c r="O118" s="2">
        <v>65.0</v>
      </c>
      <c r="P118" s="2">
        <v>13.0</v>
      </c>
      <c r="Q118" s="2">
        <v>11.0</v>
      </c>
      <c r="R118" s="2">
        <v>0.0</v>
      </c>
      <c r="S118" s="3" t="s">
        <v>513</v>
      </c>
      <c r="T118" s="2" t="s">
        <v>514</v>
      </c>
      <c r="Y118" s="4" t="str">
        <f>IFERROR(__xludf.DUMMYFUNCTION("""COMPUTED_VALUE"""),"7.1316456")</f>
        <v>7.1316456</v>
      </c>
      <c r="Z118" s="4" t="str">
        <f>IFERROR(__xludf.DUMMYFUNCTION("""COMPUTED_VALUE"""),"3.3286019")</f>
        <v>3.3286019</v>
      </c>
      <c r="AA118" s="4" t="str">
        <f t="shared" si="1"/>
        <v>Not Neighbor</v>
      </c>
      <c r="AC118" s="4">
        <f>IFERROR(__xludf.DUMMYFUNCTION("IFERROR(ABS(O118-AVERAGE(FILTER(O118:O4186,AA118:AA4186=""Neighbor""))) / STDEV(FILTER(O118:O4186, AA118:AA4186 =""Neighbor"")), """")"),0.0253431184011368)</f>
        <v>0.0253431184</v>
      </c>
      <c r="AD118" s="4">
        <f>IFERROR(__xludf.DUMMYFUNCTION("IFERROR(ABS(P118-AVERAGE(FILTER(O118:P4186,AA118:AA4186=""Neighbor""))) / STDEV(FILTER(P118:P4186, AA118:AA4186 =""Neighbor"")), """")"),1.1096141914012714)</f>
        <v>1.109614191</v>
      </c>
      <c r="AE118" s="2">
        <f>IFERROR(__xludf.DUMMYFUNCTION("IFERROR(ABS(Q118-AVERAGE(FILTER(Q118:Q4186,AA118:AA4186=""Neighbor""))) / STDEV(FILTER(Q118:Q4186, AA118:AA4186 =""Neighbor"")), """")"),0.5751308340516256)</f>
        <v>0.5751308341</v>
      </c>
      <c r="AF118" s="2">
        <f>IFERROR(__xludf.DUMMYFUNCTION("IFERROR(ABS(R118-AVERAGE(FILTER(R118:R4186,AA118:AA4186=""Neighbor""))) / STDEV(FILTER(R118:R4186, AA118:AA4186 =""Neighbor"")), """")"),0.10301446129467479)</f>
        <v>0.1030144613</v>
      </c>
    </row>
    <row r="119">
      <c r="A119" s="2" t="s">
        <v>28</v>
      </c>
      <c r="B119" s="2" t="s">
        <v>29</v>
      </c>
      <c r="C119" s="2" t="s">
        <v>458</v>
      </c>
      <c r="D119" s="2" t="s">
        <v>515</v>
      </c>
      <c r="E119" s="2" t="s">
        <v>516</v>
      </c>
      <c r="F119" s="2">
        <v>158.0</v>
      </c>
      <c r="G119" s="2">
        <v>872.0</v>
      </c>
      <c r="H119" s="2" t="b">
        <v>1</v>
      </c>
      <c r="I119" s="2">
        <v>-1.0</v>
      </c>
      <c r="J119" s="2" t="b">
        <v>0</v>
      </c>
      <c r="K119" s="2" t="b">
        <v>1</v>
      </c>
      <c r="L119" s="2" t="b">
        <v>0</v>
      </c>
      <c r="M119" s="2" t="b">
        <v>0</v>
      </c>
      <c r="N119" s="2" t="s">
        <v>33</v>
      </c>
      <c r="O119" s="2">
        <v>93.0</v>
      </c>
      <c r="P119" s="2">
        <v>46.0</v>
      </c>
      <c r="Q119" s="2">
        <v>9.0</v>
      </c>
      <c r="R119" s="2">
        <v>0.0</v>
      </c>
      <c r="S119" s="3" t="s">
        <v>517</v>
      </c>
      <c r="T119" s="2" t="s">
        <v>518</v>
      </c>
      <c r="Y119" s="4" t="str">
        <f>IFERROR(__xludf.DUMMYFUNCTION("""COMPUTED_VALUE"""),"7.1356694")</f>
        <v>7.1356694</v>
      </c>
      <c r="Z119" s="4" t="str">
        <f>IFERROR(__xludf.DUMMYFUNCTION("""COMPUTED_VALUE"""),"3.3185468")</f>
        <v>3.3185468</v>
      </c>
      <c r="AA119" s="4" t="str">
        <f t="shared" si="1"/>
        <v>Neighbor</v>
      </c>
      <c r="AC119" s="4">
        <f>IFERROR(__xludf.DUMMYFUNCTION("IFERROR(ABS(O119-AVERAGE(FILTER(O119:O4187,AA119:AA4187=""Neighbor""))) / STDEV(FILTER(O119:O4187, AA119:AA4187 =""Neighbor"")), """")"),0.6315743374197859)</f>
        <v>0.6315743374</v>
      </c>
      <c r="AD119" s="4">
        <f>IFERROR(__xludf.DUMMYFUNCTION("IFERROR(ABS(P119-AVERAGE(FILTER(O119:P4187,AA119:AA4187=""Neighbor""))) / STDEV(FILTER(P119:P4187, AA119:AA4187 =""Neighbor"")), """")"),0.18298813463395378)</f>
        <v>0.1829881346</v>
      </c>
      <c r="AE119" s="2">
        <f>IFERROR(__xludf.DUMMYFUNCTION("IFERROR(ABS(Q119-AVERAGE(FILTER(Q119:Q4187,AA119:AA4187=""Neighbor""))) / STDEV(FILTER(Q119:Q4187, AA119:AA4187 =""Neighbor"")), """")"),0.6615675468615698)</f>
        <v>0.6615675469</v>
      </c>
      <c r="AF119" s="2">
        <f>IFERROR(__xludf.DUMMYFUNCTION("IFERROR(ABS(R119-AVERAGE(FILTER(R119:R4187,AA119:AA4187=""Neighbor""))) / STDEV(FILTER(R119:R4187, AA119:AA4187 =""Neighbor"")), """")"),0.10301446129467479)</f>
        <v>0.1030144613</v>
      </c>
    </row>
    <row r="120">
      <c r="A120" s="2" t="s">
        <v>28</v>
      </c>
      <c r="B120" s="2" t="s">
        <v>29</v>
      </c>
      <c r="C120" s="2" t="s">
        <v>458</v>
      </c>
      <c r="D120" s="2" t="s">
        <v>519</v>
      </c>
      <c r="E120" s="2" t="s">
        <v>520</v>
      </c>
      <c r="F120" s="2">
        <v>129.0</v>
      </c>
      <c r="G120" s="2">
        <v>864.0</v>
      </c>
      <c r="H120" s="2" t="b">
        <v>1</v>
      </c>
      <c r="I120" s="2">
        <v>-1.0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s">
        <v>33</v>
      </c>
      <c r="O120" s="2">
        <v>79.0</v>
      </c>
      <c r="P120" s="2">
        <v>21.0</v>
      </c>
      <c r="Q120" s="2">
        <v>10.0</v>
      </c>
      <c r="R120" s="2">
        <v>2.0</v>
      </c>
      <c r="S120" s="3" t="s">
        <v>521</v>
      </c>
      <c r="T120" s="2" t="s">
        <v>522</v>
      </c>
      <c r="Y120" s="4" t="str">
        <f>IFERROR(__xludf.DUMMYFUNCTION("""COMPUTED_VALUE"""),"7.1356694")</f>
        <v>7.1356694</v>
      </c>
      <c r="Z120" s="4" t="str">
        <f>IFERROR(__xludf.DUMMYFUNCTION("""COMPUTED_VALUE"""),"3.3185468")</f>
        <v>3.3185468</v>
      </c>
      <c r="AA120" s="4" t="str">
        <f t="shared" si="1"/>
        <v>Neighbor</v>
      </c>
      <c r="AC120" s="4">
        <f>IFERROR(__xludf.DUMMYFUNCTION("IFERROR(ABS(O120-AVERAGE(FILTER(O120:O4188,AA120:AA4188=""Neighbor""))) / STDEV(FILTER(O120:O4188, AA120:AA4188 =""Neighbor"")), """")"),0.30342759984438256)</f>
        <v>0.3034275998</v>
      </c>
      <c r="AD120" s="4">
        <f>IFERROR(__xludf.DUMMYFUNCTION("IFERROR(ABS(P120-AVERAGE(FILTER(O120:P4188,AA120:AA4188=""Neighbor""))) / STDEV(FILTER(P120:P4188, AA120:AA4188 =""Neighbor"")), """")"),0.7956945721869255)</f>
        <v>0.7956945722</v>
      </c>
      <c r="AE120" s="2">
        <f>IFERROR(__xludf.DUMMYFUNCTION("IFERROR(ABS(Q120-AVERAGE(FILTER(Q120:Q4188,AA120:AA4188=""Neighbor""))) / STDEV(FILTER(Q120:Q4188, AA120:AA4188 =""Neighbor"")), """")"),0.6186307277448783)</f>
        <v>0.6186307277</v>
      </c>
      <c r="AF120" s="2">
        <f>IFERROR(__xludf.DUMMYFUNCTION("IFERROR(ABS(R120-AVERAGE(FILTER(R120:R4188,AA120:AA4188=""Neighbor""))) / STDEV(FILTER(R120:R4188, AA120:AA4188 =""Neighbor"")), """")"),0.2966712147580317)</f>
        <v>0.2966712148</v>
      </c>
    </row>
    <row r="121">
      <c r="A121" s="2" t="s">
        <v>28</v>
      </c>
      <c r="B121" s="2" t="s">
        <v>29</v>
      </c>
      <c r="C121" s="2" t="s">
        <v>458</v>
      </c>
      <c r="D121" s="2" t="s">
        <v>523</v>
      </c>
      <c r="E121" s="2" t="s">
        <v>524</v>
      </c>
      <c r="F121" s="2">
        <v>101.0</v>
      </c>
      <c r="G121" s="2">
        <v>607.0</v>
      </c>
      <c r="H121" s="2" t="b">
        <v>1</v>
      </c>
      <c r="I121" s="2">
        <v>-1.0</v>
      </c>
      <c r="J121" s="2" t="b">
        <v>0</v>
      </c>
      <c r="K121" s="2" t="b">
        <v>1</v>
      </c>
      <c r="L121" s="2" t="b">
        <v>0</v>
      </c>
      <c r="M121" s="2" t="b">
        <v>0</v>
      </c>
      <c r="N121" s="2" t="s">
        <v>33</v>
      </c>
      <c r="O121" s="2">
        <v>0.0</v>
      </c>
      <c r="P121" s="2">
        <v>0.0</v>
      </c>
      <c r="Q121" s="2">
        <v>0.0</v>
      </c>
      <c r="R121" s="2">
        <v>0.0</v>
      </c>
      <c r="S121" s="3" t="s">
        <v>525</v>
      </c>
      <c r="T121" s="2" t="s">
        <v>526</v>
      </c>
      <c r="Y121" s="4" t="str">
        <f>IFERROR(__xludf.DUMMYFUNCTION("""COMPUTED_VALUE"""),"7.1442096")</f>
        <v>7.1442096</v>
      </c>
      <c r="Z121" s="4" t="str">
        <f>IFERROR(__xludf.DUMMYFUNCTION("""COMPUTED_VALUE"""),"3.3250413")</f>
        <v>3.3250413</v>
      </c>
      <c r="AA121" s="4" t="str">
        <f t="shared" si="1"/>
        <v>Neighbor</v>
      </c>
      <c r="AC121" s="4">
        <f>IFERROR(__xludf.DUMMYFUNCTION("IFERROR(ABS(O121-AVERAGE(FILTER(O121:O4189,AA121:AA4189=""Neighbor""))) / STDEV(FILTER(O121:O4189, AA121:AA4189 =""Neighbor"")), """")"),1.5491147553581148)</f>
        <v>1.549114755</v>
      </c>
      <c r="AD121" s="4">
        <f>IFERROR(__xludf.DUMMYFUNCTION("IFERROR(ABS(P121-AVERAGE(FILTER(O121:P4189,AA121:AA4189=""Neighbor""))) / STDEV(FILTER(P121:P4189, AA121:AA4189 =""Neighbor"")), """")"),1.617687948887258)</f>
        <v>1.617687949</v>
      </c>
      <c r="AE121" s="2">
        <f>IFERROR(__xludf.DUMMYFUNCTION("IFERROR(ABS(Q121-AVERAGE(FILTER(Q121:Q4189,AA121:AA4189=""Neighbor""))) / STDEV(FILTER(Q121:Q4189, AA121:AA4189 =""Neighbor"")), """")"),1.050914115875195)</f>
        <v>1.050914116</v>
      </c>
      <c r="AF121" s="2">
        <f>IFERROR(__xludf.DUMMYFUNCTION("IFERROR(ABS(R121-AVERAGE(FILTER(R121:R4189,AA121:AA4189=""Neighbor""))) / STDEV(FILTER(R121:R4189, AA121:AA4189 =""Neighbor"")), """")"),0.1028460040415785)</f>
        <v>0.102846004</v>
      </c>
    </row>
    <row r="122">
      <c r="A122" s="2" t="s">
        <v>28</v>
      </c>
      <c r="B122" s="2" t="s">
        <v>29</v>
      </c>
      <c r="C122" s="2" t="s">
        <v>458</v>
      </c>
      <c r="D122" s="2" t="s">
        <v>527</v>
      </c>
      <c r="E122" s="2" t="s">
        <v>528</v>
      </c>
      <c r="F122" s="2">
        <v>107.0</v>
      </c>
      <c r="G122" s="2">
        <v>665.0</v>
      </c>
      <c r="H122" s="2" t="b">
        <v>1</v>
      </c>
      <c r="I122" s="2">
        <v>-1.0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s">
        <v>33</v>
      </c>
      <c r="O122" s="2">
        <v>15.0</v>
      </c>
      <c r="P122" s="2">
        <v>5.0</v>
      </c>
      <c r="Q122" s="2">
        <v>7.0</v>
      </c>
      <c r="R122" s="2">
        <v>0.0</v>
      </c>
      <c r="S122" s="3" t="s">
        <v>529</v>
      </c>
      <c r="T122" s="2" t="s">
        <v>530</v>
      </c>
      <c r="Y122" s="4" t="str">
        <f>IFERROR(__xludf.DUMMYFUNCTION("""COMPUTED_VALUE"""),"7.1442096")</f>
        <v>7.1442096</v>
      </c>
      <c r="Z122" s="4" t="str">
        <f>IFERROR(__xludf.DUMMYFUNCTION("""COMPUTED_VALUE"""),"3.3250413")</f>
        <v>3.3250413</v>
      </c>
      <c r="AA122" s="4" t="str">
        <f t="shared" si="1"/>
        <v>Neighbor</v>
      </c>
      <c r="AC122" s="4">
        <f>IFERROR(__xludf.DUMMYFUNCTION("IFERROR(ABS(O122-AVERAGE(FILTER(O122:O4190,AA122:AA4190=""Neighbor""))) / STDEV(FILTER(O122:O4190, AA122:AA4190 =""Neighbor"")), """")"),1.1987292963486604)</f>
        <v>1.198729296</v>
      </c>
      <c r="AD122" s="4">
        <f>IFERROR(__xludf.DUMMYFUNCTION("IFERROR(ABS(P122-AVERAGE(FILTER(O122:P4190,AA122:AA4190=""Neighbor""))) / STDEV(FILTER(P122:P4190, AA122:AA4190 =""Neighbor"")), """")"),1.4225721412235273)</f>
        <v>1.422572141</v>
      </c>
      <c r="AE122" s="2">
        <f>IFERROR(__xludf.DUMMYFUNCTION("IFERROR(ABS(Q122-AVERAGE(FILTER(Q122:Q4190,AA122:AA4190=""Neighbor""))) / STDEV(FILTER(Q122:Q4190, AA122:AA4190 =""Neighbor"")), """")"),0.7491188821278726)</f>
        <v>0.7491188821</v>
      </c>
      <c r="AF122" s="2">
        <f>IFERROR(__xludf.DUMMYFUNCTION("IFERROR(ABS(R122-AVERAGE(FILTER(R122:R4190,AA122:AA4190=""Neighbor""))) / STDEV(FILTER(R122:R4190, AA122:AA4190 =""Neighbor"")), """")"),0.10287602151606043)</f>
        <v>0.1028760215</v>
      </c>
    </row>
    <row r="123">
      <c r="A123" s="2" t="s">
        <v>28</v>
      </c>
      <c r="B123" s="2" t="s">
        <v>29</v>
      </c>
      <c r="C123" s="2" t="s">
        <v>458</v>
      </c>
      <c r="D123" s="2" t="s">
        <v>531</v>
      </c>
      <c r="E123" s="2" t="s">
        <v>532</v>
      </c>
      <c r="F123" s="2">
        <v>91.0</v>
      </c>
      <c r="G123" s="2">
        <v>693.0</v>
      </c>
      <c r="H123" s="2" t="b">
        <v>1</v>
      </c>
      <c r="I123" s="2">
        <v>-1.0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s">
        <v>33</v>
      </c>
      <c r="O123" s="2">
        <v>59.0</v>
      </c>
      <c r="P123" s="2">
        <v>9.0</v>
      </c>
      <c r="Q123" s="2">
        <v>7.0</v>
      </c>
      <c r="R123" s="2">
        <v>0.0</v>
      </c>
      <c r="S123" s="3" t="s">
        <v>533</v>
      </c>
      <c r="T123" s="2" t="s">
        <v>534</v>
      </c>
      <c r="Y123" s="4" t="str">
        <f>IFERROR(__xludf.DUMMYFUNCTION("""COMPUTED_VALUE"""),"7.1442096")</f>
        <v>7.1442096</v>
      </c>
      <c r="Z123" s="4" t="str">
        <f>IFERROR(__xludf.DUMMYFUNCTION("""COMPUTED_VALUE"""),"3.3250413")</f>
        <v>3.3250413</v>
      </c>
      <c r="AA123" s="4" t="str">
        <f t="shared" si="1"/>
        <v>Neighbor</v>
      </c>
      <c r="AC123" s="4">
        <f>IFERROR(__xludf.DUMMYFUNCTION("IFERROR(ABS(O123-AVERAGE(FILTER(O123:O4191,AA123:AA4191=""Neighbor""))) / STDEV(FILTER(O123:O4191, AA123:AA4191 =""Neighbor"")), """")"),0.16717641385178977)</f>
        <v>0.1671764139</v>
      </c>
      <c r="AD123" s="4">
        <f>IFERROR(__xludf.DUMMYFUNCTION("IFERROR(ABS(P123-AVERAGE(FILTER(O123:P4191,AA123:AA4191=""Neighbor""))) / STDEV(FILTER(P123:P4191, AA123:AA4191 =""Neighbor"")), """")"),1.2663666616355322)</f>
        <v>1.266366662</v>
      </c>
      <c r="AE123" s="2">
        <f>IFERROR(__xludf.DUMMYFUNCTION("IFERROR(ABS(Q123-AVERAGE(FILTER(Q123:Q4191,AA123:AA4191=""Neighbor""))) / STDEV(FILTER(Q123:Q4191, AA123:AA4191 =""Neighbor"")), """")"),0.7494570643912498)</f>
        <v>0.7494570644</v>
      </c>
      <c r="AF123" s="2">
        <f>IFERROR(__xludf.DUMMYFUNCTION("IFERROR(ABS(R123-AVERAGE(FILTER(R123:R4191,AA123:AA4191=""Neighbor""))) / STDEV(FILTER(R123:R4191, AA123:AA4191 =""Neighbor"")), """")"),0.10290606528952917)</f>
        <v>0.1029060653</v>
      </c>
    </row>
    <row r="124">
      <c r="A124" s="2" t="s">
        <v>28</v>
      </c>
      <c r="B124" s="2" t="s">
        <v>29</v>
      </c>
      <c r="C124" s="2" t="s">
        <v>458</v>
      </c>
      <c r="D124" s="2" t="s">
        <v>535</v>
      </c>
      <c r="E124" s="2" t="s">
        <v>536</v>
      </c>
      <c r="F124" s="2">
        <v>125.0</v>
      </c>
      <c r="G124" s="2">
        <v>786.0</v>
      </c>
      <c r="H124" s="2" t="b">
        <v>1</v>
      </c>
      <c r="I124" s="2">
        <v>-1.0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s">
        <v>33</v>
      </c>
      <c r="O124" s="2">
        <v>73.0</v>
      </c>
      <c r="P124" s="2">
        <v>23.0</v>
      </c>
      <c r="Q124" s="2">
        <v>10.0</v>
      </c>
      <c r="R124" s="2">
        <v>0.0</v>
      </c>
      <c r="S124" s="3" t="s">
        <v>537</v>
      </c>
      <c r="T124" s="2" t="s">
        <v>538</v>
      </c>
      <c r="Y124" s="4" t="str">
        <f>IFERROR(__xludf.DUMMYFUNCTION("""COMPUTED_VALUE"""),"7.1442096")</f>
        <v>7.1442096</v>
      </c>
      <c r="Z124" s="4" t="str">
        <f>IFERROR(__xludf.DUMMYFUNCTION("""COMPUTED_VALUE"""),"3.3250413")</f>
        <v>3.3250413</v>
      </c>
      <c r="AA124" s="4" t="str">
        <f t="shared" si="1"/>
        <v>Neighbor</v>
      </c>
      <c r="AC124" s="4">
        <f>IFERROR(__xludf.DUMMYFUNCTION("IFERROR(ABS(O124-AVERAGE(FILTER(O124:O4192,AA124:AA4192=""Neighbor""))) / STDEV(FILTER(O124:O4192, AA124:AA4192 =""Neighbor"")), """")"),0.1611718111801979)</f>
        <v>0.1611718112</v>
      </c>
      <c r="AD124" s="4">
        <f>IFERROR(__xludf.DUMMYFUNCTION("IFERROR(ABS(P124-AVERAGE(FILTER(O124:P4192,AA124:AA4192=""Neighbor""))) / STDEV(FILTER(P124:P4192, AA124:AA4192 =""Neighbor"")), """")"),0.7182861251216162)</f>
        <v>0.7182861251</v>
      </c>
      <c r="AE124" s="2">
        <f>IFERROR(__xludf.DUMMYFUNCTION("IFERROR(ABS(Q124-AVERAGE(FILTER(Q124:Q4192,AA124:AA4192=""Neighbor""))) / STDEV(FILTER(Q124:Q4192, AA124:AA4192 =""Neighbor"")), """")"),0.6202137297092729)</f>
        <v>0.6202137297</v>
      </c>
      <c r="AF124" s="2">
        <f>IFERROR(__xludf.DUMMYFUNCTION("IFERROR(ABS(R124-AVERAGE(FILTER(R124:R4192,AA124:AA4192=""Neighbor""))) / STDEV(FILTER(R124:R4192, AA124:AA4192 =""Neighbor"")), """")"),0.10293613540040902)</f>
        <v>0.1029361354</v>
      </c>
    </row>
    <row r="125">
      <c r="A125" s="2" t="s">
        <v>28</v>
      </c>
      <c r="B125" s="2" t="s">
        <v>29</v>
      </c>
      <c r="C125" s="2" t="s">
        <v>458</v>
      </c>
      <c r="D125" s="2" t="s">
        <v>539</v>
      </c>
      <c r="E125" s="2" t="s">
        <v>540</v>
      </c>
      <c r="F125" s="2">
        <v>108.0</v>
      </c>
      <c r="G125" s="2">
        <v>685.0</v>
      </c>
      <c r="H125" s="2" t="b">
        <v>1</v>
      </c>
      <c r="I125" s="2">
        <v>-1.0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s">
        <v>33</v>
      </c>
      <c r="O125" s="2">
        <v>67.0</v>
      </c>
      <c r="P125" s="2">
        <v>9.0</v>
      </c>
      <c r="Q125" s="2">
        <v>16.0</v>
      </c>
      <c r="R125" s="2">
        <v>0.0</v>
      </c>
      <c r="S125" s="3" t="s">
        <v>541</v>
      </c>
      <c r="T125" s="2" t="s">
        <v>542</v>
      </c>
      <c r="Y125" s="4" t="str">
        <f>IFERROR(__xludf.DUMMYFUNCTION("""COMPUTED_VALUE"""),"7.1442096")</f>
        <v>7.1442096</v>
      </c>
      <c r="Z125" s="4" t="str">
        <f>IFERROR(__xludf.DUMMYFUNCTION("""COMPUTED_VALUE"""),"3.3250413")</f>
        <v>3.3250413</v>
      </c>
      <c r="AA125" s="4" t="str">
        <f t="shared" si="1"/>
        <v>Neighbor</v>
      </c>
      <c r="AC125" s="4">
        <f>IFERROR(__xludf.DUMMYFUNCTION("IFERROR(ABS(O125-AVERAGE(FILTER(O125:O4193,AA125:AA4193=""Neighbor""))) / STDEV(FILTER(O125:O4193, AA125:AA4193 =""Neighbor"")), """")"),0.02051738361054974)</f>
        <v>0.02051738361</v>
      </c>
      <c r="AD125" s="4">
        <f>IFERROR(__xludf.DUMMYFUNCTION("IFERROR(ABS(P125-AVERAGE(FILTER(O125:P4193,AA125:AA4193=""Neighbor""))) / STDEV(FILTER(P125:P4193, AA125:AA4193 =""Neighbor"")), """")"),1.26570478596864)</f>
        <v>1.265704786</v>
      </c>
      <c r="AE125" s="2">
        <f>IFERROR(__xludf.DUMMYFUNCTION("IFERROR(ABS(Q125-AVERAGE(FILTER(Q125:Q4193,AA125:AA4193=""Neighbor""))) / STDEV(FILTER(Q125:Q4193, AA125:AA4193 =""Neighbor"")), """")"),0.36134452434659575)</f>
        <v>0.3613445243</v>
      </c>
      <c r="AF125" s="2">
        <f>IFERROR(__xludf.DUMMYFUNCTION("IFERROR(ABS(R125-AVERAGE(FILTER(R125:R4193,AA125:AA4193=""Neighbor""))) / STDEV(FILTER(R125:R4193, AA125:AA4193 =""Neighbor"")), """")"),0.10296623188720365)</f>
        <v>0.1029662319</v>
      </c>
    </row>
    <row r="126">
      <c r="A126" s="2" t="s">
        <v>28</v>
      </c>
      <c r="B126" s="2" t="s">
        <v>29</v>
      </c>
      <c r="C126" s="2" t="s">
        <v>458</v>
      </c>
      <c r="D126" s="2" t="s">
        <v>543</v>
      </c>
      <c r="E126" s="2" t="s">
        <v>544</v>
      </c>
      <c r="F126" s="2">
        <v>84.0</v>
      </c>
      <c r="G126" s="2">
        <v>685.0</v>
      </c>
      <c r="H126" s="2" t="b">
        <v>1</v>
      </c>
      <c r="I126" s="2">
        <v>-1.0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s">
        <v>33</v>
      </c>
      <c r="O126" s="2">
        <v>46.0</v>
      </c>
      <c r="P126" s="2">
        <v>25.0</v>
      </c>
      <c r="Q126" s="2">
        <v>8.0</v>
      </c>
      <c r="R126" s="2">
        <v>0.0</v>
      </c>
      <c r="S126" s="3" t="s">
        <v>545</v>
      </c>
      <c r="T126" s="2" t="s">
        <v>546</v>
      </c>
      <c r="Y126" s="4" t="str">
        <f>IFERROR(__xludf.DUMMYFUNCTION("""COMPUTED_VALUE"""),"7.1425801")</f>
        <v>7.1425801</v>
      </c>
      <c r="Z126" s="4" t="str">
        <f>IFERROR(__xludf.DUMMYFUNCTION("""COMPUTED_VALUE"""),"3.3238932")</f>
        <v>3.3238932</v>
      </c>
      <c r="AA126" s="4" t="str">
        <f t="shared" si="1"/>
        <v>Neighbor</v>
      </c>
      <c r="AC126" s="4">
        <f>IFERROR(__xludf.DUMMYFUNCTION("IFERROR(ABS(O126-AVERAGE(FILTER(O126:O4194,AA126:AA4194=""Neighbor""))) / STDEV(FILTER(O126:O4194, AA126:AA4194 =""Neighbor"")), """")"),0.47179199792811655)</f>
        <v>0.4717919979</v>
      </c>
      <c r="AD126" s="4">
        <f>IFERROR(__xludf.DUMMYFUNCTION("IFERROR(ABS(P126-AVERAGE(FILTER(O126:P4194,AA126:AA4194=""Neighbor""))) / STDEV(FILTER(P126:P4194, AA126:AA4194 =""Neighbor"")), """")"),0.6395955316460075)</f>
        <v>0.6395955316</v>
      </c>
      <c r="AE126" s="2">
        <f>IFERROR(__xludf.DUMMYFUNCTION("IFERROR(ABS(Q126-AVERAGE(FILTER(Q126:Q4194,AA126:AA4194=""Neighbor""))) / STDEV(FILTER(Q126:Q4194, AA126:AA4194 =""Neighbor"")), """")"),0.7068661566089728)</f>
        <v>0.7068661566</v>
      </c>
      <c r="AF126" s="2">
        <f>IFERROR(__xludf.DUMMYFUNCTION("IFERROR(ABS(R126-AVERAGE(FILTER(R126:R4194,AA126:AA4194=""Neighbor""))) / STDEV(FILTER(R126:R4194, AA126:AA4194 =""Neighbor"")), """")"),0.10299635478849496)</f>
        <v>0.1029963548</v>
      </c>
    </row>
    <row r="127">
      <c r="A127" s="2" t="s">
        <v>28</v>
      </c>
      <c r="B127" s="2" t="s">
        <v>29</v>
      </c>
      <c r="C127" s="2" t="s">
        <v>458</v>
      </c>
      <c r="D127" s="2" t="s">
        <v>547</v>
      </c>
      <c r="E127" s="2" t="s">
        <v>548</v>
      </c>
      <c r="F127" s="2">
        <v>84.0</v>
      </c>
      <c r="G127" s="2">
        <v>787.0</v>
      </c>
      <c r="H127" s="2" t="b">
        <v>1</v>
      </c>
      <c r="I127" s="2">
        <v>-1.0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s">
        <v>33</v>
      </c>
      <c r="O127" s="2">
        <v>51.0</v>
      </c>
      <c r="P127" s="2">
        <v>22.0</v>
      </c>
      <c r="Q127" s="2">
        <v>6.0</v>
      </c>
      <c r="R127" s="2">
        <v>0.0</v>
      </c>
      <c r="S127" s="3" t="s">
        <v>549</v>
      </c>
      <c r="T127" s="2" t="s">
        <v>550</v>
      </c>
      <c r="Y127" s="4" t="str">
        <f>IFERROR(__xludf.DUMMYFUNCTION("""COMPUTED_VALUE"""),"7.1425801")</f>
        <v>7.1425801</v>
      </c>
      <c r="Z127" s="4" t="str">
        <f>IFERROR(__xludf.DUMMYFUNCTION("""COMPUTED_VALUE"""),"3.3238932")</f>
        <v>3.3238932</v>
      </c>
      <c r="AA127" s="4" t="str">
        <f t="shared" si="1"/>
        <v>Neighbor</v>
      </c>
      <c r="AC127" s="4">
        <f>IFERROR(__xludf.DUMMYFUNCTION("IFERROR(ABS(O127-AVERAGE(FILTER(O127:O4195,AA127:AA4195=""Neighbor""))) / STDEV(FILTER(O127:O4195, AA127:AA4195 =""Neighbor"")), """")"),0.35476760008936425)</f>
        <v>0.3547676001</v>
      </c>
      <c r="AD127" s="4">
        <f>IFERROR(__xludf.DUMMYFUNCTION("IFERROR(ABS(P127-AVERAGE(FILTER(O127:P4195,AA127:AA4195=""Neighbor""))) / STDEV(FILTER(P127:P4195, AA127:AA4195 =""Neighbor"")), """")"),0.7568795626936521)</f>
        <v>0.7568795627</v>
      </c>
      <c r="AE127" s="2">
        <f>IFERROR(__xludf.DUMMYFUNCTION("IFERROR(ABS(Q127-AVERAGE(FILTER(Q127:Q4195,AA127:AA4195=""Neighbor""))) / STDEV(FILTER(Q127:Q4195, AA127:AA4195 =""Neighbor"")), """")"),0.7935117001240438)</f>
        <v>0.7935117001</v>
      </c>
      <c r="AF127" s="2">
        <f>IFERROR(__xludf.DUMMYFUNCTION("IFERROR(ABS(R127-AVERAGE(FILTER(R127:R4195,AA127:AA4195=""Neighbor""))) / STDEV(FILTER(R127:R4195, AA127:AA4195 =""Neighbor"")), """")"),0.1030265041429442)</f>
        <v>0.1030265041</v>
      </c>
    </row>
    <row r="128">
      <c r="A128" s="2" t="s">
        <v>28</v>
      </c>
      <c r="B128" s="2" t="s">
        <v>29</v>
      </c>
      <c r="C128" s="2" t="s">
        <v>458</v>
      </c>
      <c r="D128" s="2" t="s">
        <v>551</v>
      </c>
      <c r="E128" s="2" t="s">
        <v>552</v>
      </c>
      <c r="F128" s="2">
        <v>152.0</v>
      </c>
      <c r="G128" s="2">
        <v>807.0</v>
      </c>
      <c r="H128" s="2" t="b">
        <v>1</v>
      </c>
      <c r="I128" s="2">
        <v>-1.0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s">
        <v>33</v>
      </c>
      <c r="O128" s="2">
        <v>67.0</v>
      </c>
      <c r="P128" s="2">
        <v>15.0</v>
      </c>
      <c r="Q128" s="2">
        <v>35.0</v>
      </c>
      <c r="R128" s="2">
        <v>1.0</v>
      </c>
      <c r="S128" s="3" t="s">
        <v>553</v>
      </c>
      <c r="T128" s="2" t="s">
        <v>554</v>
      </c>
      <c r="Y128" s="4" t="str">
        <f>IFERROR(__xludf.DUMMYFUNCTION("""COMPUTED_VALUE"""),"7.1465885")</f>
        <v>7.1465885</v>
      </c>
      <c r="Z128" s="4" t="str">
        <f>IFERROR(__xludf.DUMMYFUNCTION("""COMPUTED_VALUE"""),"3.3279686")</f>
        <v>3.3279686</v>
      </c>
      <c r="AA128" s="4" t="str">
        <f t="shared" si="1"/>
        <v>Not Neighbor</v>
      </c>
      <c r="AC128" s="4">
        <f>IFERROR(__xludf.DUMMYFUNCTION("IFERROR(ABS(O128-AVERAGE(FILTER(O128:O4196,AA128:AA4196=""Neighbor""))) / STDEV(FILTER(O128:O4196, AA128:AA4196 =""Neighbor"")), """")"),0.020034396758602708)</f>
        <v>0.02003439676</v>
      </c>
      <c r="AD128" s="4">
        <f>IFERROR(__xludf.DUMMYFUNCTION("IFERROR(ABS(P128-AVERAGE(FILTER(O128:P4196,AA128:AA4196=""Neighbor""))) / STDEV(FILTER(P128:P4196, AA128:AA4196 =""Neighbor"")), """")"),1.030443073797226)</f>
        <v>1.030443074</v>
      </c>
      <c r="AE128" s="2">
        <f>IFERROR(__xludf.DUMMYFUNCTION("IFERROR(ABS(Q128-AVERAGE(FILTER(Q128:Q4196,AA128:AA4196=""Neighbor""))) / STDEV(FILTER(Q128:Q4196, AA128:AA4196 =""Neighbor"")), """")"),0.4578844699859613)</f>
        <v>0.45788447</v>
      </c>
      <c r="AF128" s="2">
        <f>IFERROR(__xludf.DUMMYFUNCTION("IFERROR(ABS(R128-AVERAGE(FILTER(R128:R4196,AA128:AA4196=""Neighbor""))) / STDEV(FILTER(R128:R4196, AA128:AA4196 =""Neighbor"")), """")"),0.09634816434464652)</f>
        <v>0.09634816434</v>
      </c>
    </row>
    <row r="129">
      <c r="A129" s="2" t="s">
        <v>28</v>
      </c>
      <c r="B129" s="2" t="s">
        <v>29</v>
      </c>
      <c r="C129" s="2" t="s">
        <v>555</v>
      </c>
      <c r="D129" s="2" t="s">
        <v>556</v>
      </c>
      <c r="E129" s="2" t="s">
        <v>557</v>
      </c>
      <c r="F129" s="2">
        <v>295.0</v>
      </c>
      <c r="G129" s="2">
        <v>1551.0</v>
      </c>
      <c r="H129" s="2" t="b">
        <v>1</v>
      </c>
      <c r="I129" s="2">
        <v>-1.0</v>
      </c>
      <c r="J129" s="2" t="b">
        <v>1</v>
      </c>
      <c r="K129" s="2" t="b">
        <v>0</v>
      </c>
      <c r="L129" s="2" t="b">
        <v>0</v>
      </c>
      <c r="M129" s="2" t="b">
        <v>0</v>
      </c>
      <c r="N129" s="2" t="s">
        <v>33</v>
      </c>
      <c r="O129" s="2">
        <v>168.0</v>
      </c>
      <c r="P129" s="2">
        <v>81.0</v>
      </c>
      <c r="Q129" s="2">
        <v>11.0</v>
      </c>
      <c r="R129" s="2">
        <v>1.0</v>
      </c>
      <c r="S129" s="3" t="s">
        <v>558</v>
      </c>
      <c r="T129" s="2" t="s">
        <v>559</v>
      </c>
      <c r="Y129" s="4" t="str">
        <f>IFERROR(__xludf.DUMMYFUNCTION("""COMPUTED_VALUE"""),"7.1614148")</f>
        <v>7.1614148</v>
      </c>
      <c r="Z129" s="4" t="str">
        <f>IFERROR(__xludf.DUMMYFUNCTION("""COMPUTED_VALUE"""),"3.3196647")</f>
        <v>3.3196647</v>
      </c>
      <c r="AA129" s="4" t="str">
        <f t="shared" si="1"/>
        <v>Neighbor</v>
      </c>
      <c r="AC129" s="4">
        <f>IFERROR(__xludf.DUMMYFUNCTION("IFERROR(ABS(O129-AVERAGE(FILTER(O129:O4197,AA129:AA4197=""Neighbor""))) / STDEV(FILTER(O129:O4197, AA129:AA4197 =""Neighbor"")), """")"),2.386702850757876)</f>
        <v>2.386702851</v>
      </c>
      <c r="AD129" s="4">
        <f>IFERROR(__xludf.DUMMYFUNCTION("IFERROR(ABS(P129-AVERAGE(FILTER(O129:P4197,AA129:AA4197=""Neighbor""))) / STDEV(FILTER(P129:P4197, AA129:AA4197 =""Neighbor"")), """")"),1.5498087876247117)</f>
        <v>1.549808788</v>
      </c>
      <c r="AE129" s="2">
        <f>IFERROR(__xludf.DUMMYFUNCTION("IFERROR(ABS(Q129-AVERAGE(FILTER(Q129:Q4197,AA129:AA4197=""Neighbor""))) / STDEV(FILTER(Q129:Q4197, AA129:AA4197 =""Neighbor"")), """")"),0.5780641209009119)</f>
        <v>0.5780641209</v>
      </c>
      <c r="AF129" s="2">
        <f>IFERROR(__xludf.DUMMYFUNCTION("IFERROR(ABS(R129-AVERAGE(FILTER(R129:R4197,AA129:AA4197=""Neighbor""))) / STDEV(FILTER(R129:R4197, AA129:AA4197 =""Neighbor"")), """")"),0.09634816434464652)</f>
        <v>0.09634816434</v>
      </c>
    </row>
    <row r="130">
      <c r="A130" s="2" t="s">
        <v>28</v>
      </c>
      <c r="B130" s="2" t="s">
        <v>29</v>
      </c>
      <c r="C130" s="2" t="s">
        <v>555</v>
      </c>
      <c r="D130" s="2" t="s">
        <v>560</v>
      </c>
      <c r="E130" s="2" t="s">
        <v>561</v>
      </c>
      <c r="F130" s="2">
        <v>170.0</v>
      </c>
      <c r="G130" s="2">
        <v>750.0</v>
      </c>
      <c r="H130" s="2" t="b">
        <v>1</v>
      </c>
      <c r="I130" s="2">
        <v>-1.0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s">
        <v>33</v>
      </c>
      <c r="O130" s="2">
        <v>100.0</v>
      </c>
      <c r="P130" s="2">
        <v>47.0</v>
      </c>
      <c r="Q130" s="2">
        <v>9.0</v>
      </c>
      <c r="R130" s="2">
        <v>0.0</v>
      </c>
      <c r="S130" s="3" t="s">
        <v>562</v>
      </c>
      <c r="T130" s="2" t="s">
        <v>563</v>
      </c>
      <c r="Y130" s="4" t="str">
        <f>IFERROR(__xludf.DUMMYFUNCTION("""COMPUTED_VALUE"""),"7.1614148")</f>
        <v>7.1614148</v>
      </c>
      <c r="Z130" s="4" t="str">
        <f>IFERROR(__xludf.DUMMYFUNCTION("""COMPUTED_VALUE"""),"3.3196647")</f>
        <v>3.3196647</v>
      </c>
      <c r="AA130" s="4" t="str">
        <f t="shared" si="1"/>
        <v>Neighbor</v>
      </c>
      <c r="AC130" s="4">
        <f>IFERROR(__xludf.DUMMYFUNCTION("IFERROR(ABS(O130-AVERAGE(FILTER(O130:O4198,AA130:AA4198=""Neighbor""))) / STDEV(FILTER(O130:O4198, AA130:AA4198 =""Neighbor"")), """")"),0.795774158728368)</f>
        <v>0.7957741587</v>
      </c>
      <c r="AD130" s="4">
        <f>IFERROR(__xludf.DUMMYFUNCTION("IFERROR(ABS(P130-AVERAGE(FILTER(O130:P4198,AA130:AA4198=""Neighbor""))) / STDEV(FILTER(P130:P4198, AA130:AA4198 =""Neighbor"")), """")"),0.2228209252090398)</f>
        <v>0.2228209252</v>
      </c>
      <c r="AE130" s="2">
        <f>IFERROR(__xludf.DUMMYFUNCTION("IFERROR(ABS(Q130-AVERAGE(FILTER(Q130:Q4198,AA130:AA4198=""Neighbor""))) / STDEV(FILTER(Q130:Q4198, AA130:AA4198 =""Neighbor"")), """")"),0.6646002288581201)</f>
        <v>0.6646002289</v>
      </c>
      <c r="AF130" s="2">
        <f>IFERROR(__xludf.DUMMYFUNCTION("IFERROR(ABS(R130-AVERAGE(FILTER(R130:R4198,AA130:AA4198=""Neighbor""))) / STDEV(FILTER(R130:R4198, AA130:AA4198 =""Neighbor"")), """")"),0.1029711444103113)</f>
        <v>0.1029711444</v>
      </c>
    </row>
    <row r="131">
      <c r="A131" s="2" t="s">
        <v>28</v>
      </c>
      <c r="B131" s="2" t="s">
        <v>29</v>
      </c>
      <c r="C131" s="2" t="s">
        <v>555</v>
      </c>
      <c r="D131" s="2" t="s">
        <v>564</v>
      </c>
      <c r="E131" s="2" t="s">
        <v>565</v>
      </c>
      <c r="F131" s="2">
        <v>203.0</v>
      </c>
      <c r="G131" s="2">
        <v>1247.0</v>
      </c>
      <c r="H131" s="2" t="b">
        <v>1</v>
      </c>
      <c r="I131" s="2">
        <v>-1.0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s">
        <v>33</v>
      </c>
      <c r="O131" s="2">
        <v>112.0</v>
      </c>
      <c r="P131" s="2">
        <v>64.0</v>
      </c>
      <c r="Q131" s="2">
        <v>14.0</v>
      </c>
      <c r="R131" s="2">
        <v>2.0</v>
      </c>
      <c r="S131" s="3" t="s">
        <v>566</v>
      </c>
      <c r="T131" s="2" t="s">
        <v>567</v>
      </c>
      <c r="Y131" s="4" t="str">
        <f>IFERROR(__xludf.DUMMYFUNCTION("""COMPUTED_VALUE"""),"7.1614148")</f>
        <v>7.1614148</v>
      </c>
      <c r="Z131" s="4" t="str">
        <f>IFERROR(__xludf.DUMMYFUNCTION("""COMPUTED_VALUE"""),"3.3196647")</f>
        <v>3.3196647</v>
      </c>
      <c r="AA131" s="4" t="str">
        <f t="shared" si="1"/>
        <v>Not Neighbor</v>
      </c>
      <c r="AC131" s="4">
        <f>IFERROR(__xludf.DUMMYFUNCTION("IFERROR(ABS(O131-AVERAGE(FILTER(O131:O4199,AA131:AA4199=""Neighbor""))) / STDEV(FILTER(O131:O4199, AA131:AA4199 =""Neighbor"")), """")"),1.0776944000364679)</f>
        <v>1.0776944</v>
      </c>
      <c r="AD131" s="4">
        <f>IFERROR(__xludf.DUMMYFUNCTION("IFERROR(ABS(P131-AVERAGE(FILTER(O131:P4199,AA131:AA4199=""Neighbor""))) / STDEV(FILTER(P131:P4199, AA131:AA4199 =""Neighbor"")), """")"),0.8893072876928279)</f>
        <v>0.8893072877</v>
      </c>
      <c r="AE131" s="2">
        <f>IFERROR(__xludf.DUMMYFUNCTION("IFERROR(ABS(Q131-AVERAGE(FILTER(Q131:Q4199,AA131:AA4199=""Neighbor""))) / STDEV(FILTER(Q131:Q4199, AA131:AA4199 =""Neighbor"")), """")"),0.4491324422897313)</f>
        <v>0.4491324423</v>
      </c>
      <c r="AF131" s="2">
        <f>IFERROR(__xludf.DUMMYFUNCTION("IFERROR(ABS(R131-AVERAGE(FILTER(R131:R4199,AA131:AA4199=""Neighbor""))) / STDEV(FILTER(R131:R4199, AA131:AA4199 =""Neighbor"")), """")"),0.29557912252984175)</f>
        <v>0.2955791225</v>
      </c>
    </row>
    <row r="132">
      <c r="A132" s="2" t="s">
        <v>28</v>
      </c>
      <c r="B132" s="2" t="s">
        <v>29</v>
      </c>
      <c r="C132" s="2" t="s">
        <v>555</v>
      </c>
      <c r="D132" s="2" t="s">
        <v>568</v>
      </c>
      <c r="E132" s="2" t="s">
        <v>569</v>
      </c>
      <c r="F132" s="2">
        <v>76.0</v>
      </c>
      <c r="G132" s="2">
        <v>579.0</v>
      </c>
      <c r="H132" s="2" t="b">
        <v>1</v>
      </c>
      <c r="I132" s="2">
        <v>-1.0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s">
        <v>33</v>
      </c>
      <c r="O132" s="2">
        <v>49.0</v>
      </c>
      <c r="P132" s="2">
        <v>15.0</v>
      </c>
      <c r="Q132" s="2">
        <v>6.0</v>
      </c>
      <c r="R132" s="2">
        <v>0.0</v>
      </c>
      <c r="S132" s="3" t="s">
        <v>570</v>
      </c>
      <c r="T132" s="2" t="s">
        <v>571</v>
      </c>
      <c r="Y132" s="4" t="str">
        <f>IFERROR(__xludf.DUMMYFUNCTION("""COMPUTED_VALUE"""),"7.1364667")</f>
        <v>7.1364667</v>
      </c>
      <c r="Z132" s="4" t="str">
        <f>IFERROR(__xludf.DUMMYFUNCTION("""COMPUTED_VALUE"""),"3.3073766")</f>
        <v>3.3073766</v>
      </c>
      <c r="AA132" s="4" t="str">
        <f t="shared" si="1"/>
        <v>Neighbor</v>
      </c>
      <c r="AC132" s="4">
        <f>IFERROR(__xludf.DUMMYFUNCTION("IFERROR(ABS(O132-AVERAGE(FILTER(O132:O4200,AA132:AA4200=""Neighbor""))) / STDEV(FILTER(O132:O4200, AA132:AA4200 =""Neighbor"")), """")"),0.4004056111187607)</f>
        <v>0.4004056111</v>
      </c>
      <c r="AD132" s="4">
        <f>IFERROR(__xludf.DUMMYFUNCTION("IFERROR(ABS(P132-AVERAGE(FILTER(O132:P4200,AA132:AA4200=""Neighbor""))) / STDEV(FILTER(P132:P4200, AA132:AA4200 =""Neighbor"")), """")"),1.0295524717002351)</f>
        <v>1.029552472</v>
      </c>
      <c r="AE132" s="2">
        <f>IFERROR(__xludf.DUMMYFUNCTION("IFERROR(ABS(Q132-AVERAGE(FILTER(Q132:Q4200,AA132:AA4200=""Neighbor""))) / STDEV(FILTER(Q132:Q4200, AA132:AA4200 =""Neighbor"")), """")"),0.79432595517655)</f>
        <v>0.7943259552</v>
      </c>
      <c r="AF132" s="2">
        <f>IFERROR(__xludf.DUMMYFUNCTION("IFERROR(ABS(R132-AVERAGE(FILTER(R132:R4200,AA132:AA4200=""Neighbor""))) / STDEV(FILTER(R132:R4200, AA132:AA4200 =""Neighbor"")), """")"),0.1030013387046042)</f>
        <v>0.1030013387</v>
      </c>
    </row>
    <row r="133">
      <c r="A133" s="2" t="s">
        <v>28</v>
      </c>
      <c r="B133" s="2" t="s">
        <v>29</v>
      </c>
      <c r="C133" s="2" t="s">
        <v>555</v>
      </c>
      <c r="D133" s="2" t="s">
        <v>572</v>
      </c>
      <c r="E133" s="2" t="s">
        <v>573</v>
      </c>
      <c r="F133" s="2">
        <v>74.0</v>
      </c>
      <c r="G133" s="2">
        <v>781.0</v>
      </c>
      <c r="H133" s="2" t="b">
        <v>1</v>
      </c>
      <c r="I133" s="2">
        <v>-1.0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s">
        <v>33</v>
      </c>
      <c r="O133" s="2">
        <v>47.0</v>
      </c>
      <c r="P133" s="2">
        <v>20.0</v>
      </c>
      <c r="Q133" s="2">
        <v>3.0</v>
      </c>
      <c r="R133" s="2">
        <v>0.0</v>
      </c>
      <c r="S133" s="3" t="s">
        <v>574</v>
      </c>
      <c r="T133" s="2" t="s">
        <v>575</v>
      </c>
      <c r="Y133" s="4" t="str">
        <f>IFERROR(__xludf.DUMMYFUNCTION("""COMPUTED_VALUE"""),"7.1403297")</f>
        <v>7.1403297</v>
      </c>
      <c r="Z133" s="4" t="str">
        <f>IFERROR(__xludf.DUMMYFUNCTION("""COMPUTED_VALUE"""),"3.3036439")</f>
        <v>3.3036439</v>
      </c>
      <c r="AA133" s="4" t="str">
        <f t="shared" si="1"/>
        <v>Neighbor</v>
      </c>
      <c r="AC133" s="4">
        <f>IFERROR(__xludf.DUMMYFUNCTION("IFERROR(ABS(O133-AVERAGE(FILTER(O133:O4201,AA133:AA4201=""Neighbor""))) / STDEV(FILTER(O133:O4201, AA133:AA4201 =""Neighbor"")), """")"),0.44745288560859453)</f>
        <v>0.4474528856</v>
      </c>
      <c r="AD133" s="4">
        <f>IFERROR(__xludf.DUMMYFUNCTION("IFERROR(ABS(P133-AVERAGE(FILTER(O133:P4201,AA133:AA4201=""Neighbor""))) / STDEV(FILTER(P133:P4201, AA133:AA4201 =""Neighbor"")), """")"),0.8337203871098597)</f>
        <v>0.8337203871</v>
      </c>
      <c r="AE133" s="2">
        <f>IFERROR(__xludf.DUMMYFUNCTION("IFERROR(ABS(Q133-AVERAGE(FILTER(Q133:Q4201,AA133:AA4201=""Neighbor""))) / STDEV(FILTER(Q133:Q4201, AA133:AA4201 =""Neighbor"")), """")"),0.9241360332395195)</f>
        <v>0.9241360332</v>
      </c>
      <c r="AF133" s="2">
        <f>IFERROR(__xludf.DUMMYFUNCTION("IFERROR(ABS(R133-AVERAGE(FILTER(R133:R4201,AA133:AA4201=""Neighbor""))) / STDEV(FILTER(R133:R4201, AA133:AA4201 =""Neighbor"")), """")"),0.1030315595763634)</f>
        <v>0.1030315596</v>
      </c>
    </row>
    <row r="134">
      <c r="A134" s="2" t="s">
        <v>28</v>
      </c>
      <c r="B134" s="2" t="s">
        <v>29</v>
      </c>
      <c r="C134" s="2" t="s">
        <v>555</v>
      </c>
      <c r="D134" s="2" t="s">
        <v>576</v>
      </c>
      <c r="E134" s="2" t="s">
        <v>577</v>
      </c>
      <c r="F134" s="2">
        <v>129.0</v>
      </c>
      <c r="G134" s="2">
        <v>822.0</v>
      </c>
      <c r="H134" s="2" t="b">
        <v>1</v>
      </c>
      <c r="I134" s="2">
        <v>-1.0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s">
        <v>33</v>
      </c>
      <c r="O134" s="2">
        <v>56.0</v>
      </c>
      <c r="P134" s="2">
        <v>45.0</v>
      </c>
      <c r="Q134" s="2">
        <v>8.0</v>
      </c>
      <c r="R134" s="2">
        <v>1.0</v>
      </c>
      <c r="S134" s="3" t="s">
        <v>578</v>
      </c>
      <c r="T134" s="2" t="s">
        <v>579</v>
      </c>
      <c r="Y134" s="4" t="str">
        <f>IFERROR(__xludf.DUMMYFUNCTION("""COMPUTED_VALUE"""),"7.1364667")</f>
        <v>7.1364667</v>
      </c>
      <c r="Z134" s="4" t="str">
        <f>IFERROR(__xludf.DUMMYFUNCTION("""COMPUTED_VALUE"""),"3.3073766")</f>
        <v>3.3073766</v>
      </c>
      <c r="AA134" s="4" t="str">
        <f t="shared" si="1"/>
        <v>Neighbor</v>
      </c>
      <c r="AC134" s="4">
        <f>IFERROR(__xludf.DUMMYFUNCTION("IFERROR(ABS(O134-AVERAGE(FILTER(O134:O4202,AA134:AA4202=""Neighbor""))) / STDEV(FILTER(O134:O4202, AA134:AA4202 =""Neighbor"")), """")"),0.23655239025725391)</f>
        <v>0.2365523903</v>
      </c>
      <c r="AD134" s="4">
        <f>IFERROR(__xludf.DUMMYFUNCTION("IFERROR(ABS(P134-AVERAGE(FILTER(O134:P4202,AA134:AA4202=""Neighbor""))) / STDEV(FILTER(P134:P4202, AA134:AA4202 =""Neighbor"")), """")"),0.1447874533142671)</f>
        <v>0.1447874533</v>
      </c>
      <c r="AE134" s="2">
        <f>IFERROR(__xludf.DUMMYFUNCTION("IFERROR(ABS(Q134-AVERAGE(FILTER(Q134:Q4202,AA134:AA4202=""Neighbor""))) / STDEV(FILTER(Q134:Q4202, AA134:AA4202 =""Neighbor"")), """")"),0.7089204980477567)</f>
        <v>0.708920498</v>
      </c>
      <c r="AF134" s="2">
        <f>IFERROR(__xludf.DUMMYFUNCTION("IFERROR(ABS(R134-AVERAGE(FILTER(R134:R4202,AA134:AA4202=""Neighbor""))) / STDEV(FILTER(R134:R4202, AA134:AA4202 =""Neighbor"")), """")"),0.09611382007148223)</f>
        <v>0.09611382007</v>
      </c>
    </row>
    <row r="135">
      <c r="A135" s="2" t="s">
        <v>28</v>
      </c>
      <c r="B135" s="2" t="s">
        <v>29</v>
      </c>
      <c r="C135" s="2" t="s">
        <v>555</v>
      </c>
      <c r="D135" s="2" t="s">
        <v>580</v>
      </c>
      <c r="E135" s="2" t="s">
        <v>581</v>
      </c>
      <c r="F135" s="2">
        <v>84.0</v>
      </c>
      <c r="G135" s="2">
        <v>750.0</v>
      </c>
      <c r="H135" s="2" t="b">
        <v>1</v>
      </c>
      <c r="I135" s="2">
        <v>-1.0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s">
        <v>33</v>
      </c>
      <c r="O135" s="2">
        <v>44.0</v>
      </c>
      <c r="P135" s="2">
        <v>20.0</v>
      </c>
      <c r="Q135" s="2">
        <v>13.0</v>
      </c>
      <c r="R135" s="2">
        <v>0.0</v>
      </c>
      <c r="S135" s="3" t="s">
        <v>582</v>
      </c>
      <c r="T135" s="2" t="s">
        <v>583</v>
      </c>
      <c r="Y135" s="4" t="str">
        <f>IFERROR(__xludf.DUMMYFUNCTION("""COMPUTED_VALUE"""),"7.1364667")</f>
        <v>7.1364667</v>
      </c>
      <c r="Z135" s="4" t="str">
        <f>IFERROR(__xludf.DUMMYFUNCTION("""COMPUTED_VALUE"""),"3.3073766")</f>
        <v>3.3073766</v>
      </c>
      <c r="AA135" s="4" t="str">
        <f t="shared" si="1"/>
        <v>Neighbor</v>
      </c>
      <c r="AC135" s="4">
        <f>IFERROR(__xludf.DUMMYFUNCTION("IFERROR(ABS(O135-AVERAGE(FILTER(O135:O4203,AA135:AA4203=""Neighbor""))) / STDEV(FILTER(O135:O4203, AA135:AA4203 =""Neighbor"")), """")"),0.5179564388179766)</f>
        <v>0.5179564388</v>
      </c>
      <c r="AD135" s="4">
        <f>IFERROR(__xludf.DUMMYFUNCTION("IFERROR(ABS(P135-AVERAGE(FILTER(O135:P4203,AA135:AA4203=""Neighbor""))) / STDEV(FILTER(P135:P4203, AA135:AA4203 =""Neighbor"")), """")"),0.8335095631538171)</f>
        <v>0.8335095632</v>
      </c>
      <c r="AE135" s="2">
        <f>IFERROR(__xludf.DUMMYFUNCTION("IFERROR(ABS(Q135-AVERAGE(FILTER(Q135:Q4203,AA135:AA4203=""Neighbor""))) / STDEV(FILTER(Q135:Q4203, AA135:AA4203 =""Neighbor"")), """")"),0.4935477975578009)</f>
        <v>0.4935477976</v>
      </c>
      <c r="AF135" s="2">
        <f>IFERROR(__xludf.DUMMYFUNCTION("IFERROR(ABS(R135-AVERAGE(FILTER(R135:R4203,AA135:AA4203=""Neighbor""))) / STDEV(FILTER(R135:R4203, AA135:AA4203 =""Neighbor"")), """")"),0.10297620593478084)</f>
        <v>0.1029762059</v>
      </c>
    </row>
    <row r="136">
      <c r="A136" s="2" t="s">
        <v>28</v>
      </c>
      <c r="B136" s="2" t="s">
        <v>29</v>
      </c>
      <c r="C136" s="2" t="s">
        <v>555</v>
      </c>
      <c r="D136" s="2" t="s">
        <v>584</v>
      </c>
      <c r="E136" s="2" t="s">
        <v>585</v>
      </c>
      <c r="F136" s="2">
        <v>83.0</v>
      </c>
      <c r="G136" s="2">
        <v>800.0</v>
      </c>
      <c r="H136" s="2" t="b">
        <v>1</v>
      </c>
      <c r="I136" s="2">
        <v>-1.0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s">
        <v>33</v>
      </c>
      <c r="O136" s="2">
        <v>43.0</v>
      </c>
      <c r="P136" s="2">
        <v>26.0</v>
      </c>
      <c r="Q136" s="2">
        <v>7.0</v>
      </c>
      <c r="R136" s="2">
        <v>0.0</v>
      </c>
      <c r="S136" s="3" t="s">
        <v>586</v>
      </c>
      <c r="T136" s="2" t="s">
        <v>587</v>
      </c>
      <c r="Y136" s="4" t="str">
        <f>IFERROR(__xludf.DUMMYFUNCTION("""COMPUTED_VALUE"""),"7.1364667")</f>
        <v>7.1364667</v>
      </c>
      <c r="Z136" s="4" t="str">
        <f>IFERROR(__xludf.DUMMYFUNCTION("""COMPUTED_VALUE"""),"3.3073766")</f>
        <v>3.3073766</v>
      </c>
      <c r="AA136" s="4" t="str">
        <f t="shared" si="1"/>
        <v>Neighbor</v>
      </c>
      <c r="AC136" s="4">
        <f>IFERROR(__xludf.DUMMYFUNCTION("IFERROR(ABS(O136-AVERAGE(FILTER(O136:O4204,AA136:AA4204=""Neighbor""))) / STDEV(FILTER(O136:O4204, AA136:AA4204 =""Neighbor"")), """")"),0.5415868483926358)</f>
        <v>0.5415868484</v>
      </c>
      <c r="AD136" s="4">
        <f>IFERROR(__xludf.DUMMYFUNCTION("IFERROR(ABS(P136-AVERAGE(FILTER(O136:P4204,AA136:AA4204=""Neighbor""))) / STDEV(FILTER(P136:P4204, AA136:AA4204 =""Neighbor"")), """")"),0.5987062696646549)</f>
        <v>0.5987062697</v>
      </c>
      <c r="AE136" s="2">
        <f>IFERROR(__xludf.DUMMYFUNCTION("IFERROR(ABS(Q136-AVERAGE(FILTER(Q136:Q4204,AA136:AA4204=""Neighbor""))) / STDEV(FILTER(Q136:Q4204, AA136:AA4204 =""Neighbor"")), """")"),0.7524883704654077)</f>
        <v>0.7524883705</v>
      </c>
      <c r="AF136" s="2">
        <f>IFERROR(__xludf.DUMMYFUNCTION("IFERROR(ABS(R136-AVERAGE(FILTER(R136:R4204,AA136:AA4204=""Neighbor""))) / STDEV(FILTER(R136:R4204, AA136:AA4204 =""Neighbor"")), """")"),0.10300647199900437)</f>
        <v>0.103006472</v>
      </c>
    </row>
    <row r="137">
      <c r="A137" s="2" t="s">
        <v>28</v>
      </c>
      <c r="B137" s="2" t="s">
        <v>29</v>
      </c>
      <c r="C137" s="2" t="s">
        <v>555</v>
      </c>
      <c r="D137" s="2" t="s">
        <v>588</v>
      </c>
      <c r="E137" s="2" t="s">
        <v>589</v>
      </c>
      <c r="F137" s="2">
        <v>197.0</v>
      </c>
      <c r="G137" s="2">
        <v>577.0</v>
      </c>
      <c r="H137" s="2" t="b">
        <v>1</v>
      </c>
      <c r="I137" s="2">
        <v>-1.0</v>
      </c>
      <c r="J137" s="2" t="b">
        <v>1</v>
      </c>
      <c r="K137" s="2" t="b">
        <v>0</v>
      </c>
      <c r="L137" s="2" t="b">
        <v>0</v>
      </c>
      <c r="M137" s="2" t="b">
        <v>0</v>
      </c>
      <c r="N137" s="2" t="s">
        <v>33</v>
      </c>
      <c r="O137" s="2">
        <v>73.0</v>
      </c>
      <c r="P137" s="2">
        <v>96.0</v>
      </c>
      <c r="Q137" s="2">
        <v>20.0</v>
      </c>
      <c r="R137" s="2">
        <v>1.0</v>
      </c>
      <c r="S137" s="3" t="s">
        <v>590</v>
      </c>
      <c r="T137" s="2" t="s">
        <v>591</v>
      </c>
      <c r="Y137" s="4" t="str">
        <f>IFERROR(__xludf.DUMMYFUNCTION("""COMPUTED_VALUE"""),"7.1364667")</f>
        <v>7.1364667</v>
      </c>
      <c r="Z137" s="4" t="str">
        <f>IFERROR(__xludf.DUMMYFUNCTION("""COMPUTED_VALUE"""),"3.3073766")</f>
        <v>3.3073766</v>
      </c>
      <c r="AA137" s="4" t="str">
        <f t="shared" si="1"/>
        <v>Neighbor</v>
      </c>
      <c r="AC137" s="4">
        <f>IFERROR(__xludf.DUMMYFUNCTION("IFERROR(ABS(O137-AVERAGE(FILTER(O137:O4205,AA137:AA4205=""Neighbor""))) / STDEV(FILTER(O137:O4205, AA137:AA4205 =""Neighbor"")), """")"),0.16124334830192635)</f>
        <v>0.1612433483</v>
      </c>
      <c r="AD137" s="4">
        <f>IFERROR(__xludf.DUMMYFUNCTION("IFERROR(ABS(P137-AVERAGE(FILTER(O137:P4205,AA137:AA4205=""Neighbor""))) / STDEV(FILTER(P137:P4205, AA137:AA4205 =""Neighbor"")), """")"),2.139666039843505)</f>
        <v>2.13966604</v>
      </c>
      <c r="AE137" s="2">
        <f>IFERROR(__xludf.DUMMYFUNCTION("IFERROR(ABS(Q137-AVERAGE(FILTER(Q137:Q4205,AA137:AA4205=""Neighbor""))) / STDEV(FILTER(Q137:Q4205, AA137:AA4205 =""Neighbor"")), """")"),0.1922513202964372)</f>
        <v>0.1922513203</v>
      </c>
      <c r="AF137" s="2">
        <f>IFERROR(__xludf.DUMMYFUNCTION("IFERROR(ABS(R137-AVERAGE(FILTER(R137:R4205,AA137:AA4205=""Neighbor""))) / STDEV(FILTER(R137:R4205, AA137:AA4205 =""Neighbor"")), """")"),0.09596675053563229)</f>
        <v>0.09596675054</v>
      </c>
    </row>
    <row r="138">
      <c r="A138" s="2" t="s">
        <v>28</v>
      </c>
      <c r="B138" s="2" t="s">
        <v>29</v>
      </c>
      <c r="C138" s="2" t="s">
        <v>555</v>
      </c>
      <c r="D138" s="2" t="s">
        <v>592</v>
      </c>
      <c r="E138" s="2" t="s">
        <v>593</v>
      </c>
      <c r="F138" s="2">
        <v>105.0</v>
      </c>
      <c r="G138" s="2">
        <v>712.0</v>
      </c>
      <c r="H138" s="2" t="b">
        <v>1</v>
      </c>
      <c r="I138" s="2">
        <v>-1.0</v>
      </c>
      <c r="J138" s="2" t="b">
        <v>0</v>
      </c>
      <c r="K138" s="2" t="b">
        <v>1</v>
      </c>
      <c r="L138" s="2" t="b">
        <v>0</v>
      </c>
      <c r="M138" s="2" t="b">
        <v>0</v>
      </c>
      <c r="N138" s="2" t="s">
        <v>33</v>
      </c>
      <c r="O138" s="2">
        <v>0.0</v>
      </c>
      <c r="P138" s="2">
        <v>0.0</v>
      </c>
      <c r="Q138" s="2">
        <v>0.0</v>
      </c>
      <c r="R138" s="2">
        <v>0.0</v>
      </c>
      <c r="S138" s="3" t="s">
        <v>594</v>
      </c>
      <c r="T138" s="2" t="s">
        <v>595</v>
      </c>
      <c r="Y138" s="4" t="str">
        <f>IFERROR(__xludf.DUMMYFUNCTION("""COMPUTED_VALUE"""),"7.1364667")</f>
        <v>7.1364667</v>
      </c>
      <c r="Z138" s="4" t="str">
        <f>IFERROR(__xludf.DUMMYFUNCTION("""COMPUTED_VALUE"""),"3.3073766")</f>
        <v>3.3073766</v>
      </c>
      <c r="AA138" s="4" t="str">
        <f t="shared" si="1"/>
        <v>Neighbor</v>
      </c>
      <c r="AC138" s="4">
        <f>IFERROR(__xludf.DUMMYFUNCTION("IFERROR(ABS(O138-AVERAGE(FILTER(O138:O4206,AA138:AA4206=""Neighbor""))) / STDEV(FILTER(O138:O4206, AA138:AA4206 =""Neighbor"")), """")"),1.5489392243108964)</f>
        <v>1.548939224</v>
      </c>
      <c r="AD138" s="4">
        <f>IFERROR(__xludf.DUMMYFUNCTION("IFERROR(ABS(P138-AVERAGE(FILTER(O138:P4206,AA138:AA4206=""Neighbor""))) / STDEV(FILTER(P138:P4206, AA138:AA4206 =""Neighbor"")), """")"),1.618939949001468)</f>
        <v>1.618939949</v>
      </c>
      <c r="AE138" s="2">
        <f>IFERROR(__xludf.DUMMYFUNCTION("IFERROR(ABS(Q138-AVERAGE(FILTER(Q138:Q4206,AA138:AA4206=""Neighbor""))) / STDEV(FILTER(Q138:Q4206, AA138:AA4206 =""Neighbor"")), """")"),1.05449846708878)</f>
        <v>1.054498467</v>
      </c>
      <c r="AF138" s="2">
        <f>IFERROR(__xludf.DUMMYFUNCTION("IFERROR(ABS(R138-AVERAGE(FILTER(R138:R4206,AA138:AA4206=""Neighbor""))) / STDEV(FILTER(R138:R4206, AA138:AA4206 =""Neighbor"")), """")"),0.10295110606705483)</f>
        <v>0.1029511061</v>
      </c>
    </row>
    <row r="139">
      <c r="A139" s="2" t="s">
        <v>28</v>
      </c>
      <c r="B139" s="2" t="s">
        <v>29</v>
      </c>
      <c r="C139" s="2" t="s">
        <v>555</v>
      </c>
      <c r="D139" s="2" t="s">
        <v>596</v>
      </c>
      <c r="E139" s="2" t="s">
        <v>597</v>
      </c>
      <c r="F139" s="2">
        <v>157.0</v>
      </c>
      <c r="G139" s="2">
        <v>1175.0</v>
      </c>
      <c r="H139" s="2" t="b">
        <v>1</v>
      </c>
      <c r="I139" s="2">
        <v>-1.0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s">
        <v>33</v>
      </c>
      <c r="O139" s="2">
        <v>101.0</v>
      </c>
      <c r="P139" s="2">
        <v>30.0</v>
      </c>
      <c r="Q139" s="2">
        <v>14.0</v>
      </c>
      <c r="R139" s="2">
        <v>0.0</v>
      </c>
      <c r="S139" s="3" t="s">
        <v>598</v>
      </c>
      <c r="T139" s="2" t="s">
        <v>599</v>
      </c>
      <c r="Y139" s="4" t="str">
        <f>IFERROR(__xludf.DUMMYFUNCTION("""COMPUTED_VALUE"""),"7.1364667")</f>
        <v>7.1364667</v>
      </c>
      <c r="Z139" s="4" t="str">
        <f>IFERROR(__xludf.DUMMYFUNCTION("""COMPUTED_VALUE"""),"3.3073766")</f>
        <v>3.3073766</v>
      </c>
      <c r="AA139" s="4" t="str">
        <f t="shared" si="1"/>
        <v>Not Neighbor</v>
      </c>
      <c r="AC139" s="4">
        <f>IFERROR(__xludf.DUMMYFUNCTION("IFERROR(ABS(O139-AVERAGE(FILTER(O139:O4207,AA139:AA4207=""Neighbor""))) / STDEV(FILTER(O139:O4207, AA139:AA4207 =""Neighbor"")), """")"),0.816701018440849)</f>
        <v>0.8167010184</v>
      </c>
      <c r="AD139" s="4">
        <f>IFERROR(__xludf.DUMMYFUNCTION("IFERROR(ABS(P139-AVERAGE(FILTER(O139:P4207,AA139:AA4207=""Neighbor""))) / STDEV(FILTER(P139:P4207, AA139:AA4207 =""Neighbor"")), """")"),0.44323697760950703)</f>
        <v>0.4432369776</v>
      </c>
      <c r="AE139" s="2">
        <f>IFERROR(__xludf.DUMMYFUNCTION("IFERROR(ABS(Q139-AVERAGE(FILTER(Q139:Q4207,AA139:AA4207=""Neighbor""))) / STDEV(FILTER(Q139:Q4207, AA139:AA4207 =""Neighbor"")), """")"),0.45159580227010465)</f>
        <v>0.4515958023</v>
      </c>
      <c r="AF139" s="2">
        <f>IFERROR(__xludf.DUMMYFUNCTION("IFERROR(ABS(R139-AVERAGE(FILTER(R139:R4207,AA139:AA4207=""Neighbor""))) / STDEV(FILTER(R139:R4207, AA139:AA4207 =""Neighbor"")), """")"),0.10298141749174156)</f>
        <v>0.1029814175</v>
      </c>
    </row>
    <row r="140">
      <c r="A140" s="2" t="s">
        <v>28</v>
      </c>
      <c r="B140" s="2" t="s">
        <v>29</v>
      </c>
      <c r="C140" s="2" t="s">
        <v>600</v>
      </c>
      <c r="D140" s="2" t="s">
        <v>601</v>
      </c>
      <c r="E140" s="2" t="s">
        <v>602</v>
      </c>
      <c r="F140" s="2">
        <v>29.0</v>
      </c>
      <c r="G140" s="2">
        <v>487.0</v>
      </c>
      <c r="H140" s="2" t="b">
        <v>1</v>
      </c>
      <c r="I140" s="2">
        <v>-1.0</v>
      </c>
      <c r="J140" s="2" t="b">
        <v>0</v>
      </c>
      <c r="K140" s="2" t="b">
        <v>1</v>
      </c>
      <c r="L140" s="2" t="b">
        <v>0</v>
      </c>
      <c r="M140" s="2" t="b">
        <v>0</v>
      </c>
      <c r="N140" s="2" t="s">
        <v>33</v>
      </c>
      <c r="O140" s="2">
        <v>17.0</v>
      </c>
      <c r="P140" s="2">
        <v>0.0</v>
      </c>
      <c r="Q140" s="2">
        <v>3.0</v>
      </c>
      <c r="R140" s="2">
        <v>0.0</v>
      </c>
      <c r="S140" s="3" t="s">
        <v>603</v>
      </c>
      <c r="T140" s="2" t="s">
        <v>604</v>
      </c>
      <c r="Y140" s="4" t="str">
        <f>IFERROR(__xludf.DUMMYFUNCTION("""COMPUTED_VALUE"""),"7.1938154")</f>
        <v>7.1938154</v>
      </c>
      <c r="Z140" s="4" t="str">
        <f>IFERROR(__xludf.DUMMYFUNCTION("""COMPUTED_VALUE"""),"3.2040175")</f>
        <v>3.2040175</v>
      </c>
      <c r="AA140" s="4" t="str">
        <f t="shared" si="1"/>
        <v>Neighbor</v>
      </c>
      <c r="AC140" s="4">
        <f>IFERROR(__xludf.DUMMYFUNCTION("IFERROR(ABS(O140-AVERAGE(FILTER(O140:O4208,AA140:AA4208=""Neighbor""))) / STDEV(FILTER(O140:O4208, AA140:AA4208 =""Neighbor"")), """")"),1.1520402796731168)</f>
        <v>1.15204028</v>
      </c>
      <c r="AD140" s="4">
        <f>IFERROR(__xludf.DUMMYFUNCTION("IFERROR(ABS(P140-AVERAGE(FILTER(O140:P4208,AA140:AA4208=""Neighbor""))) / STDEV(FILTER(P140:P4208, AA140:AA4208 =""Neighbor"")), """")"),1.6196081054116862)</f>
        <v>1.619608105</v>
      </c>
      <c r="AE140" s="2">
        <f>IFERROR(__xludf.DUMMYFUNCTION("IFERROR(ABS(Q140-AVERAGE(FILTER(Q140:Q4208,AA140:AA4208=""Neighbor""))) / STDEV(FILTER(Q140:Q4208, AA140:AA4208 =""Neighbor"")), """")"),0.9258153853386003)</f>
        <v>0.9258153853</v>
      </c>
      <c r="AF140" s="2">
        <f>IFERROR(__xludf.DUMMYFUNCTION("IFERROR(ABS(R140-AVERAGE(FILTER(R140:R4208,AA140:AA4208=""Neighbor""))) / STDEV(FILTER(R140:R4208, AA140:AA4208 =""Neighbor"")), """")"),0.10298141749174156)</f>
        <v>0.1029814175</v>
      </c>
    </row>
    <row r="141">
      <c r="A141" s="2" t="s">
        <v>28</v>
      </c>
      <c r="B141" s="2" t="s">
        <v>29</v>
      </c>
      <c r="C141" s="2" t="s">
        <v>600</v>
      </c>
      <c r="D141" s="2" t="s">
        <v>605</v>
      </c>
      <c r="E141" s="2" t="s">
        <v>606</v>
      </c>
      <c r="F141" s="2">
        <v>60.0</v>
      </c>
      <c r="G141" s="2">
        <v>411.0</v>
      </c>
      <c r="H141" s="2" t="b">
        <v>1</v>
      </c>
      <c r="I141" s="2">
        <v>-1.0</v>
      </c>
      <c r="J141" s="2" t="b">
        <v>0</v>
      </c>
      <c r="K141" s="2" t="b">
        <v>1</v>
      </c>
      <c r="L141" s="2" t="b">
        <v>0</v>
      </c>
      <c r="M141" s="2" t="b">
        <v>0</v>
      </c>
      <c r="N141" s="2" t="s">
        <v>33</v>
      </c>
      <c r="O141" s="2">
        <v>39.0</v>
      </c>
      <c r="P141" s="2">
        <v>1.0</v>
      </c>
      <c r="Q141" s="2">
        <v>6.0</v>
      </c>
      <c r="R141" s="2">
        <v>1.0</v>
      </c>
      <c r="S141" s="3" t="s">
        <v>607</v>
      </c>
      <c r="T141" s="2" t="s">
        <v>608</v>
      </c>
      <c r="Y141" s="4" t="str">
        <f>IFERROR(__xludf.DUMMYFUNCTION("""COMPUTED_VALUE"""),"7.1938154")</f>
        <v>7.1938154</v>
      </c>
      <c r="Z141" s="4" t="str">
        <f>IFERROR(__xludf.DUMMYFUNCTION("""COMPUTED_VALUE"""),"3.2040175")</f>
        <v>3.2040175</v>
      </c>
      <c r="AA141" s="4" t="str">
        <f t="shared" si="1"/>
        <v>Not Neighbor</v>
      </c>
      <c r="AC141" s="4">
        <f>IFERROR(__xludf.DUMMYFUNCTION("IFERROR(ABS(O141-AVERAGE(FILTER(O141:O4209,AA141:AA4209=""Neighbor""))) / STDEV(FILTER(O141:O4209, AA141:AA4209 =""Neighbor"")), """")"),0.6371506916415492)</f>
        <v>0.6371506916</v>
      </c>
      <c r="AD141" s="4">
        <f>IFERROR(__xludf.DUMMYFUNCTION("IFERROR(ABS(P141-AVERAGE(FILTER(O141:P4209,AA141:AA4209=""Neighbor""))) / STDEV(FILTER(P141:P4209, AA141:AA4209 =""Neighbor"")), """")"),1.5808769686784971)</f>
        <v>1.580876969</v>
      </c>
      <c r="AE141" s="2">
        <f>IFERROR(__xludf.DUMMYFUNCTION("IFERROR(ABS(Q141-AVERAGE(FILTER(Q141:Q4209,AA141:AA4209=""Neighbor""))) / STDEV(FILTER(Q141:Q4209, AA141:AA4209 =""Neighbor"")), """")"),0.7969898029314808)</f>
        <v>0.7969898029</v>
      </c>
      <c r="AF141" s="2">
        <f>IFERROR(__xludf.DUMMYFUNCTION("IFERROR(ABS(R141-AVERAGE(FILTER(R141:R4209,AA141:AA4209=""Neighbor""))) / STDEV(FILTER(R141:R4209, AA141:AA4209 =""Neighbor"")), """")"),0.0958194934830717)</f>
        <v>0.09581949348</v>
      </c>
    </row>
    <row r="142">
      <c r="A142" s="2" t="s">
        <v>28</v>
      </c>
      <c r="B142" s="2" t="s">
        <v>29</v>
      </c>
      <c r="C142" s="2" t="s">
        <v>600</v>
      </c>
      <c r="D142" s="2" t="s">
        <v>609</v>
      </c>
      <c r="E142" s="2" t="s">
        <v>610</v>
      </c>
      <c r="F142" s="2">
        <v>46.0</v>
      </c>
      <c r="G142" s="2">
        <v>215.0</v>
      </c>
      <c r="H142" s="2" t="b">
        <v>1</v>
      </c>
      <c r="I142" s="2">
        <v>-1.0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s">
        <v>33</v>
      </c>
      <c r="O142" s="2">
        <v>15.0</v>
      </c>
      <c r="P142" s="2">
        <v>1.0</v>
      </c>
      <c r="Q142" s="2">
        <v>16.0</v>
      </c>
      <c r="R142" s="2">
        <v>0.0</v>
      </c>
      <c r="S142" s="3" t="s">
        <v>611</v>
      </c>
      <c r="T142" s="2" t="s">
        <v>612</v>
      </c>
      <c r="Y142" s="4" t="str">
        <f>IFERROR(__xludf.DUMMYFUNCTION("""COMPUTED_VALUE"""),"7.1501782")</f>
        <v>7.1501782</v>
      </c>
      <c r="Z142" s="4" t="str">
        <f>IFERROR(__xludf.DUMMYFUNCTION("""COMPUTED_VALUE"""),"3.3049978")</f>
        <v>3.3049978</v>
      </c>
      <c r="AA142" s="4" t="str">
        <f t="shared" si="1"/>
        <v>Not Neighbor</v>
      </c>
      <c r="AC142" s="4">
        <f>IFERROR(__xludf.DUMMYFUNCTION("IFERROR(ABS(O142-AVERAGE(FILTER(O142:O4210,AA142:AA4210=""Neighbor""))) / STDEV(FILTER(O142:O4210, AA142:AA4210 =""Neighbor"")), """")"),1.1997020610340667)</f>
        <v>1.199702061</v>
      </c>
      <c r="AD142" s="4">
        <f>IFERROR(__xludf.DUMMYFUNCTION("IFERROR(ABS(P142-AVERAGE(FILTER(O142:P4210,AA142:AA4210=""Neighbor""))) / STDEV(FILTER(P142:P4210, AA142:AA4210 =""Neighbor"")), """")"),1.5808769686784971)</f>
        <v>1.580876969</v>
      </c>
      <c r="AE142" s="2">
        <f>IFERROR(__xludf.DUMMYFUNCTION("IFERROR(ABS(Q142-AVERAGE(FILTER(Q142:Q4210,AA142:AA4210=""Neighbor""))) / STDEV(FILTER(Q142:Q4210, AA142:AA4210 =""Neighbor"")), """")"),0.3658990044511229)</f>
        <v>0.3658990045</v>
      </c>
      <c r="AF142" s="2">
        <f>IFERROR(__xludf.DUMMYFUNCTION("IFERROR(ABS(R142-AVERAGE(FILTER(R142:R4210,AA142:AA4210=""Neighbor""))) / STDEV(FILTER(R142:R4210, AA142:AA4210 =""Neighbor"")), """")"),0.103011755705772)</f>
        <v>0.1030117557</v>
      </c>
    </row>
    <row r="143">
      <c r="A143" s="2" t="s">
        <v>28</v>
      </c>
      <c r="B143" s="2" t="s">
        <v>29</v>
      </c>
      <c r="C143" s="2" t="s">
        <v>600</v>
      </c>
      <c r="D143" s="2" t="s">
        <v>613</v>
      </c>
      <c r="E143" s="2" t="s">
        <v>614</v>
      </c>
      <c r="F143" s="2">
        <v>48.0</v>
      </c>
      <c r="G143" s="2">
        <v>319.0</v>
      </c>
      <c r="H143" s="2" t="b">
        <v>1</v>
      </c>
      <c r="I143" s="2">
        <v>-1.0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s">
        <v>33</v>
      </c>
      <c r="O143" s="2">
        <v>28.0</v>
      </c>
      <c r="P143" s="2">
        <v>0.0</v>
      </c>
      <c r="Q143" s="2">
        <v>11.0</v>
      </c>
      <c r="R143" s="2">
        <v>0.0</v>
      </c>
      <c r="S143" s="3" t="s">
        <v>615</v>
      </c>
      <c r="T143" s="2" t="s">
        <v>616</v>
      </c>
      <c r="Y143" s="4" t="str">
        <f>IFERROR(__xludf.DUMMYFUNCTION("""COMPUTED_VALUE"""),"7.2219893")</f>
        <v>7.2219893</v>
      </c>
      <c r="Z143" s="4" t="str">
        <f>IFERROR(__xludf.DUMMYFUNCTION("""COMPUTED_VALUE"""),"3.1679257")</f>
        <v>3.1679257</v>
      </c>
      <c r="AA143" s="4" t="str">
        <f t="shared" si="1"/>
        <v>Neighbor</v>
      </c>
      <c r="AC143" s="4">
        <f>IFERROR(__xludf.DUMMYFUNCTION("IFERROR(ABS(O143-AVERAGE(FILTER(O143:O4211,AA143:AA4211=""Neighbor""))) / STDEV(FILTER(O143:O4211, AA143:AA4211 =""Neighbor"")), """")"),0.8949867359464531)</f>
        <v>0.8949867359</v>
      </c>
      <c r="AD143" s="4">
        <f>IFERROR(__xludf.DUMMYFUNCTION("IFERROR(ABS(P143-AVERAGE(FILTER(O143:P4211,AA143:AA4211=""Neighbor""))) / STDEV(FILTER(P143:P4211, AA143:AA4211 =""Neighbor"")), """")"),1.6200826626046028)</f>
        <v>1.620082663</v>
      </c>
      <c r="AE143" s="2">
        <f>IFERROR(__xludf.DUMMYFUNCTION("IFERROR(ABS(Q143-AVERAGE(FILTER(Q143:Q4211,AA143:AA4211=""Neighbor""))) / STDEV(FILTER(Q143:Q4211, AA143:AA4211 =""Neighbor"")), """")"),0.5814444036913018)</f>
        <v>0.5814444037</v>
      </c>
      <c r="AF143" s="2">
        <f>IFERROR(__xludf.DUMMYFUNCTION("IFERROR(ABS(R143-AVERAGE(FILTER(R143:R4211,AA143:AA4211=""Neighbor""))) / STDEV(FILTER(R143:R4211, AA143:AA4211 =""Neighbor"")), """")"),0.103011755705772)</f>
        <v>0.1030117557</v>
      </c>
    </row>
    <row r="144">
      <c r="A144" s="2" t="s">
        <v>28</v>
      </c>
      <c r="B144" s="2" t="s">
        <v>29</v>
      </c>
      <c r="C144" s="2" t="s">
        <v>600</v>
      </c>
      <c r="D144" s="2" t="s">
        <v>617</v>
      </c>
      <c r="E144" s="2" t="s">
        <v>618</v>
      </c>
      <c r="F144" s="2">
        <v>48.0</v>
      </c>
      <c r="G144" s="2">
        <v>192.0</v>
      </c>
      <c r="H144" s="2" t="b">
        <v>1</v>
      </c>
      <c r="I144" s="2">
        <v>-1.0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s">
        <v>33</v>
      </c>
      <c r="O144" s="2">
        <v>30.0</v>
      </c>
      <c r="P144" s="2">
        <v>1.0</v>
      </c>
      <c r="Q144" s="2">
        <v>14.0</v>
      </c>
      <c r="R144" s="2">
        <v>0.0</v>
      </c>
      <c r="S144" s="3" t="s">
        <v>619</v>
      </c>
      <c r="T144" s="2" t="s">
        <v>620</v>
      </c>
      <c r="Y144" s="4" t="str">
        <f>IFERROR(__xludf.DUMMYFUNCTION("""COMPUTED_VALUE"""),"7.2219893")</f>
        <v>7.2219893</v>
      </c>
      <c r="Z144" s="4" t="str">
        <f>IFERROR(__xludf.DUMMYFUNCTION("""COMPUTED_VALUE"""),"3.1679257")</f>
        <v>3.1679257</v>
      </c>
      <c r="AA144" s="4" t="str">
        <f t="shared" si="1"/>
        <v>Neighbor</v>
      </c>
      <c r="AC144" s="4">
        <f>IFERROR(__xludf.DUMMYFUNCTION("IFERROR(ABS(O144-AVERAGE(FILTER(O144:O4212,AA144:AA4212=""Neighbor""))) / STDEV(FILTER(O144:O4212, AA144:AA4212 =""Neighbor"")), """")"),0.8485807214376756)</f>
        <v>0.8485807214</v>
      </c>
      <c r="AD144" s="4">
        <f>IFERROR(__xludf.DUMMYFUNCTION("IFERROR(ABS(P144-AVERAGE(FILTER(O144:P4212,AA144:AA4212=""Neighbor""))) / STDEV(FILTER(P144:P4212, AA144:AA4212 =""Neighbor"")), """")"),1.5812330128316276)</f>
        <v>1.581233013</v>
      </c>
      <c r="AE144" s="2">
        <f>IFERROR(__xludf.DUMMYFUNCTION("IFERROR(ABS(Q144-AVERAGE(FILTER(Q144:Q4212,AA144:AA4212=""Neighbor""))) / STDEV(FILTER(Q144:Q4212, AA144:AA4212 =""Neighbor"")), """")"),0.4523691778305507)</f>
        <v>0.4523691778</v>
      </c>
      <c r="AF144" s="2">
        <f>IFERROR(__xludf.DUMMYFUNCTION("IFERROR(ABS(R144-AVERAGE(FILTER(R144:R4212,AA144:AA4212=""Neighbor""))) / STDEV(FILTER(R144:R4212, AA144:AA4212 =""Neighbor"")), """")"),0.10304212074863074)</f>
        <v>0.1030421207</v>
      </c>
    </row>
    <row r="145">
      <c r="A145" s="2" t="s">
        <v>28</v>
      </c>
      <c r="B145" s="2" t="s">
        <v>29</v>
      </c>
      <c r="C145" s="2" t="s">
        <v>600</v>
      </c>
      <c r="D145" s="2" t="s">
        <v>621</v>
      </c>
      <c r="E145" s="2" t="s">
        <v>622</v>
      </c>
      <c r="F145" s="2">
        <v>57.0</v>
      </c>
      <c r="G145" s="2">
        <v>230.0</v>
      </c>
      <c r="H145" s="2" t="b">
        <v>1</v>
      </c>
      <c r="I145" s="2">
        <v>-1.0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s">
        <v>33</v>
      </c>
      <c r="O145" s="2">
        <v>35.0</v>
      </c>
      <c r="P145" s="2">
        <v>2.0</v>
      </c>
      <c r="Q145" s="2">
        <v>12.0</v>
      </c>
      <c r="R145" s="2">
        <v>0.0</v>
      </c>
      <c r="S145" s="3" t="s">
        <v>623</v>
      </c>
      <c r="T145" s="2" t="s">
        <v>624</v>
      </c>
      <c r="Y145" s="4" t="str">
        <f>IFERROR(__xludf.DUMMYFUNCTION("""COMPUTED_VALUE"""),"7.2219893")</f>
        <v>7.2219893</v>
      </c>
      <c r="Z145" s="4" t="str">
        <f>IFERROR(__xludf.DUMMYFUNCTION("""COMPUTED_VALUE"""),"3.1679257")</f>
        <v>3.1679257</v>
      </c>
      <c r="AA145" s="4" t="str">
        <f t="shared" si="1"/>
        <v>Not Neighbor</v>
      </c>
      <c r="AC145" s="4">
        <f>IFERROR(__xludf.DUMMYFUNCTION("IFERROR(ABS(O145-AVERAGE(FILTER(O145:O4213,AA145:AA4213=""Neighbor""))) / STDEV(FILTER(O145:O4213, AA145:AA4213 =""Neighbor"")), """")"),0.731825211592686)</f>
        <v>0.7318252116</v>
      </c>
      <c r="AD145" s="4">
        <f>IFERROR(__xludf.DUMMYFUNCTION("IFERROR(ABS(P145-AVERAGE(FILTER(O145:P4213,AA145:AA4213=""Neighbor""))) / STDEV(FILTER(P145:P4213, AA145:AA4213 =""Neighbor"")), """")"),1.5423408111716101)</f>
        <v>1.542340811</v>
      </c>
      <c r="AE145" s="2">
        <f>IFERROR(__xludf.DUMMYFUNCTION("IFERROR(ABS(Q145-AVERAGE(FILTER(Q145:Q4213,AA145:AA4213=""Neighbor""))) / STDEV(FILTER(Q145:Q4213, AA145:AA4213 =""Neighbor"")), """")"),0.5387097372513944)</f>
        <v>0.5387097373</v>
      </c>
      <c r="AF145" s="2">
        <f>IFERROR(__xludf.DUMMYFUNCTION("IFERROR(ABS(R145-AVERAGE(FILTER(R145:R4213,AA145:AA4213=""Neighbor""))) / STDEV(FILTER(R145:R4213, AA145:AA4213 =""Neighbor"")), """")"),0.10307251265988367)</f>
        <v>0.1030725127</v>
      </c>
    </row>
    <row r="146">
      <c r="A146" s="2" t="s">
        <v>28</v>
      </c>
      <c r="B146" s="2" t="s">
        <v>29</v>
      </c>
      <c r="C146" s="2" t="s">
        <v>600</v>
      </c>
      <c r="D146" s="2" t="s">
        <v>625</v>
      </c>
      <c r="E146" s="2" t="s">
        <v>626</v>
      </c>
      <c r="F146" s="2">
        <v>166.0</v>
      </c>
      <c r="G146" s="2">
        <v>446.0</v>
      </c>
      <c r="H146" s="2" t="b">
        <v>1</v>
      </c>
      <c r="I146" s="2">
        <v>-1.0</v>
      </c>
      <c r="J146" s="2" t="b">
        <v>0</v>
      </c>
      <c r="K146" s="2" t="b">
        <v>1</v>
      </c>
      <c r="L146" s="2" t="b">
        <v>0</v>
      </c>
      <c r="M146" s="2" t="b">
        <v>0</v>
      </c>
      <c r="N146" s="2" t="s">
        <v>33</v>
      </c>
      <c r="O146" s="2">
        <v>97.0</v>
      </c>
      <c r="P146" s="2">
        <v>20.0</v>
      </c>
      <c r="Q146" s="2">
        <v>22.0</v>
      </c>
      <c r="R146" s="2">
        <v>3.0</v>
      </c>
      <c r="S146" s="3" t="s">
        <v>627</v>
      </c>
      <c r="T146" s="2" t="s">
        <v>628</v>
      </c>
      <c r="Y146" s="4" t="str">
        <f>IFERROR(__xludf.DUMMYFUNCTION("""COMPUTED_VALUE"""),"7.2232733")</f>
        <v>7.2232733</v>
      </c>
      <c r="Z146" s="4" t="str">
        <f>IFERROR(__xludf.DUMMYFUNCTION("""COMPUTED_VALUE"""),"3.1501995")</f>
        <v>3.1501995</v>
      </c>
      <c r="AA146" s="4" t="str">
        <f t="shared" si="1"/>
        <v>Neighbor</v>
      </c>
      <c r="AC146" s="4">
        <f>IFERROR(__xludf.DUMMYFUNCTION("IFERROR(ABS(O146-AVERAGE(FILTER(O146:O4214,AA146:AA4214=""Neighbor""))) / STDEV(FILTER(O146:O4214, AA146:AA4214 =""Neighbor"")), """")"),0.7212295642036077)</f>
        <v>0.7212295642</v>
      </c>
      <c r="AD146" s="4">
        <f>IFERROR(__xludf.DUMMYFUNCTION("IFERROR(ABS(P146-AVERAGE(FILTER(O146:P4214,AA146:AA4214=""Neighbor""))) / STDEV(FILTER(P146:P4214, AA146:AA4214 =""Neighbor"")), """")"),0.8368887500932286)</f>
        <v>0.8368887501</v>
      </c>
      <c r="AE146" s="2">
        <f>IFERROR(__xludf.DUMMYFUNCTION("IFERROR(ABS(Q146-AVERAGE(FILTER(Q146:Q4214,AA146:AA4214=""Neighbor""))) / STDEV(FILTER(Q146:Q4214, AA146:AA4214 =""Neighbor"")), """")"),0.10780235502722614)</f>
        <v>0.107802355</v>
      </c>
      <c r="AF146" s="2">
        <f>IFERROR(__xludf.DUMMYFUNCTION("IFERROR(ABS(R146-AVERAGE(FILTER(R146:R4214,AA146:AA4214=""Neighbor""))) / STDEV(FILTER(R146:R4214, AA146:AA4214 =""Neighbor"")), """")"),0.49307661461620017)</f>
        <v>0.4930766146</v>
      </c>
    </row>
    <row r="147">
      <c r="A147" s="2" t="s">
        <v>28</v>
      </c>
      <c r="B147" s="2" t="s">
        <v>29</v>
      </c>
      <c r="C147" s="2" t="s">
        <v>600</v>
      </c>
      <c r="D147" s="2" t="s">
        <v>629</v>
      </c>
      <c r="E147" s="2" t="s">
        <v>630</v>
      </c>
      <c r="F147" s="2">
        <v>184.0</v>
      </c>
      <c r="G147" s="2">
        <v>853.0</v>
      </c>
      <c r="H147" s="2" t="b">
        <v>1</v>
      </c>
      <c r="I147" s="2">
        <v>-1.0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s">
        <v>33</v>
      </c>
      <c r="O147" s="2">
        <v>117.0</v>
      </c>
      <c r="P147" s="2">
        <v>21.0</v>
      </c>
      <c r="Q147" s="2">
        <v>25.0</v>
      </c>
      <c r="R147" s="2">
        <v>0.0</v>
      </c>
      <c r="S147" s="3" t="s">
        <v>631</v>
      </c>
      <c r="T147" s="2" t="s">
        <v>632</v>
      </c>
      <c r="Y147" s="4" t="str">
        <f>IFERROR(__xludf.DUMMYFUNCTION("""COMPUTED_VALUE"""),"7.2248767")</f>
        <v>7.2248767</v>
      </c>
      <c r="Z147" s="4" t="str">
        <f>IFERROR(__xludf.DUMMYFUNCTION("""COMPUTED_VALUE"""),"3.1474835")</f>
        <v>3.1474835</v>
      </c>
      <c r="AA147" s="4" t="str">
        <f t="shared" si="1"/>
        <v>Not Neighbor</v>
      </c>
      <c r="AC147" s="4">
        <f>IFERROR(__xludf.DUMMYFUNCTION("IFERROR(ABS(O147-AVERAGE(FILTER(O147:O4215,AA147:AA4215=""Neighbor""))) / STDEV(FILTER(O147:O4215, AA147:AA4215 =""Neighbor"")), """")"),1.1902115665542352)</f>
        <v>1.190211567</v>
      </c>
      <c r="AD147" s="4">
        <f>IFERROR(__xludf.DUMMYFUNCTION("IFERROR(ABS(P147-AVERAGE(FILTER(O147:P4215,AA147:AA4215=""Neighbor""))) / STDEV(FILTER(P147:P4215, AA147:AA4215 =""Neighbor"")), """")"),0.7970756237590589)</f>
        <v>0.7970756238</v>
      </c>
      <c r="AE147" s="2">
        <f>IFERROR(__xludf.DUMMYFUNCTION("IFERROR(ABS(Q147-AVERAGE(FILTER(Q147:Q4215,AA147:AA4215=""Neighbor""))) / STDEV(FILTER(Q147:Q4215, AA147:AA4215 =""Neighbor"")), """")"),0.021400670323087352)</f>
        <v>0.02140067032</v>
      </c>
      <c r="AF147" s="2">
        <f>IFERROR(__xludf.DUMMYFUNCTION("IFERROR(ABS(R147-AVERAGE(FILTER(R147:R4215,AA147:AA4215=""Neighbor""))) / STDEV(FILTER(R147:R4215, AA147:AA4215 =""Neighbor"")), """")"),0.10276159704716428)</f>
        <v>0.102761597</v>
      </c>
    </row>
    <row r="148">
      <c r="A148" s="2" t="s">
        <v>28</v>
      </c>
      <c r="B148" s="2" t="s">
        <v>29</v>
      </c>
      <c r="C148" s="2" t="s">
        <v>600</v>
      </c>
      <c r="D148" s="2" t="s">
        <v>633</v>
      </c>
      <c r="E148" s="2" t="s">
        <v>634</v>
      </c>
      <c r="F148" s="2">
        <v>13.0</v>
      </c>
      <c r="G148" s="2">
        <v>105.0</v>
      </c>
      <c r="H148" s="2" t="b">
        <v>1</v>
      </c>
      <c r="I148" s="2">
        <v>-1.0</v>
      </c>
      <c r="J148" s="2" t="b">
        <v>1</v>
      </c>
      <c r="K148" s="2" t="b">
        <v>0</v>
      </c>
      <c r="L148" s="2" t="b">
        <v>0</v>
      </c>
      <c r="M148" s="2" t="b">
        <v>0</v>
      </c>
      <c r="N148" s="2" t="s">
        <v>33</v>
      </c>
      <c r="O148" s="2">
        <v>7.0</v>
      </c>
      <c r="P148" s="2">
        <v>0.0</v>
      </c>
      <c r="Q148" s="2">
        <v>5.0</v>
      </c>
      <c r="R148" s="2">
        <v>0.0</v>
      </c>
      <c r="S148" s="3" t="s">
        <v>635</v>
      </c>
      <c r="T148" s="2" t="s">
        <v>636</v>
      </c>
      <c r="Y148" s="4" t="str">
        <f>IFERROR(__xludf.DUMMYFUNCTION("""COMPUTED_VALUE"""),"7.244798")</f>
        <v>7.244798</v>
      </c>
      <c r="Z148" s="4" t="str">
        <f>IFERROR(__xludf.DUMMYFUNCTION("""COMPUTED_VALUE"""),"3.183181")</f>
        <v>3.183181</v>
      </c>
      <c r="AA148" s="4" t="str">
        <f t="shared" si="1"/>
        <v>Neighbor</v>
      </c>
      <c r="AC148" s="4">
        <f>IFERROR(__xludf.DUMMYFUNCTION("IFERROR(ABS(O148-AVERAGE(FILTER(O148:O4216,AA148:AA4216=""Neighbor""))) / STDEV(FILTER(O148:O4216, AA148:AA4216 =""Neighbor"")), """")"),1.3874274523879733)</f>
        <v>1.387427452</v>
      </c>
      <c r="AD148" s="4">
        <f>IFERROR(__xludf.DUMMYFUNCTION("IFERROR(ABS(P148-AVERAGE(FILTER(O148:P4216,AA148:AA4216=""Neighbor""))) / STDEV(FILTER(P148:P4216, AA148:AA4216 =""Neighbor"")), """")"),1.6198670578341778)</f>
        <v>1.619867058</v>
      </c>
      <c r="AE148" s="2">
        <f>IFERROR(__xludf.DUMMYFUNCTION("IFERROR(ABS(Q148-AVERAGE(FILTER(Q148:Q4216,AA148:AA4216=""Neighbor""))) / STDEV(FILTER(Q148:Q4216, AA148:AA4216 =""Neighbor"")), """")"),0.8401651396252029)</f>
        <v>0.8401651396</v>
      </c>
      <c r="AF148" s="2">
        <f>IFERROR(__xludf.DUMMYFUNCTION("IFERROR(ABS(R148-AVERAGE(FILTER(R148:R4216,AA148:AA4216=""Neighbor""))) / STDEV(FILTER(R148:R4216, AA148:AA4216 =""Neighbor"")), """")"),0.10276159704716428)</f>
        <v>0.102761597</v>
      </c>
    </row>
    <row r="149">
      <c r="A149" s="2" t="s">
        <v>28</v>
      </c>
      <c r="B149" s="2" t="s">
        <v>29</v>
      </c>
      <c r="C149" s="2" t="s">
        <v>600</v>
      </c>
      <c r="D149" s="2" t="s">
        <v>637</v>
      </c>
      <c r="E149" s="2" t="s">
        <v>638</v>
      </c>
      <c r="F149" s="2">
        <v>28.0</v>
      </c>
      <c r="G149" s="2">
        <v>116.0</v>
      </c>
      <c r="H149" s="2" t="b">
        <v>1</v>
      </c>
      <c r="I149" s="2">
        <v>-1.0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s">
        <v>33</v>
      </c>
      <c r="O149" s="2">
        <v>15.0</v>
      </c>
      <c r="P149" s="2">
        <v>0.0</v>
      </c>
      <c r="Q149" s="2">
        <v>10.0</v>
      </c>
      <c r="R149" s="2">
        <v>0.0</v>
      </c>
      <c r="S149" s="3" t="s">
        <v>639</v>
      </c>
      <c r="T149" s="2" t="s">
        <v>640</v>
      </c>
      <c r="Y149" s="4" t="str">
        <f>IFERROR(__xludf.DUMMYFUNCTION("""COMPUTED_VALUE"""),"7.244798")</f>
        <v>7.244798</v>
      </c>
      <c r="Z149" s="4" t="str">
        <f>IFERROR(__xludf.DUMMYFUNCTION("""COMPUTED_VALUE"""),"3.183181")</f>
        <v>3.183181</v>
      </c>
      <c r="AA149" s="4" t="str">
        <f t="shared" si="1"/>
        <v>Not Neighbor</v>
      </c>
      <c r="AC149" s="4">
        <f>IFERROR(__xludf.DUMMYFUNCTION("IFERROR(ABS(O149-AVERAGE(FILTER(O149:O4217,AA149:AA4217=""Neighbor""))) / STDEV(FILTER(O149:O4217, AA149:AA4217 =""Neighbor"")), """")"),1.2010996302930776)</f>
        <v>1.20109963</v>
      </c>
      <c r="AD149" s="4">
        <f>IFERROR(__xludf.DUMMYFUNCTION("IFERROR(ABS(P149-AVERAGE(FILTER(O149:P4217,AA149:AA4217=""Neighbor""))) / STDEV(FILTER(P149:P4217, AA149:AA4217 =""Neighbor"")), """")"),1.6204578412945825)</f>
        <v>1.620457841</v>
      </c>
      <c r="AE149" s="2">
        <f>IFERROR(__xludf.DUMMYFUNCTION("IFERROR(ABS(Q149-AVERAGE(FILTER(Q149:Q4217,AA149:AA4217=""Neighbor""))) / STDEV(FILTER(Q149:Q4217, AA149:AA4217 =""Neighbor"")), """")"),0.6252112894994598)</f>
        <v>0.6252112895</v>
      </c>
      <c r="AF149" s="2">
        <f>IFERROR(__xludf.DUMMYFUNCTION("IFERROR(ABS(R149-AVERAGE(FILTER(R149:R4217,AA149:AA4217=""Neighbor""))) / STDEV(FILTER(R149:R4217, AA149:AA4217 =""Neighbor"")), """")"),0.1027919399066715)</f>
        <v>0.1027919399</v>
      </c>
    </row>
    <row r="150">
      <c r="A150" s="2" t="s">
        <v>28</v>
      </c>
      <c r="B150" s="2" t="s">
        <v>29</v>
      </c>
      <c r="C150" s="2" t="s">
        <v>600</v>
      </c>
      <c r="D150" s="2" t="s">
        <v>641</v>
      </c>
      <c r="E150" s="2" t="s">
        <v>642</v>
      </c>
      <c r="F150" s="2">
        <v>96.0</v>
      </c>
      <c r="G150" s="2">
        <v>321.0</v>
      </c>
      <c r="H150" s="2" t="b">
        <v>1</v>
      </c>
      <c r="I150" s="2">
        <v>-1.0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s">
        <v>33</v>
      </c>
      <c r="O150" s="2">
        <v>65.0</v>
      </c>
      <c r="P150" s="2">
        <v>0.0</v>
      </c>
      <c r="Q150" s="2">
        <v>27.0</v>
      </c>
      <c r="R150" s="2">
        <v>0.0</v>
      </c>
      <c r="S150" s="3" t="s">
        <v>643</v>
      </c>
      <c r="T150" s="2" t="s">
        <v>644</v>
      </c>
      <c r="Y150" s="4" t="str">
        <f>IFERROR(__xludf.DUMMYFUNCTION("""COMPUTED_VALUE"""),"7.177808")</f>
        <v>7.177808</v>
      </c>
      <c r="Z150" s="4" t="str">
        <f>IFERROR(__xludf.DUMMYFUNCTION("""COMPUTED_VALUE"""),"3.1103911")</f>
        <v>3.1103911</v>
      </c>
      <c r="AA150" s="4" t="str">
        <f t="shared" si="1"/>
        <v>Not Neighbor</v>
      </c>
      <c r="AC150" s="4">
        <f>IFERROR(__xludf.DUMMYFUNCTION("IFERROR(ABS(O150-AVERAGE(FILTER(O150:O4218,AA150:AA4218=""Neighbor""))) / STDEV(FILTER(O150:O4218, AA150:AA4218 =""Neighbor"")), """")"),0.029127951091273082)</f>
        <v>0.02912795109</v>
      </c>
      <c r="AD150" s="4">
        <f>IFERROR(__xludf.DUMMYFUNCTION("IFERROR(ABS(P150-AVERAGE(FILTER(O150:P4218,AA150:AA4218=""Neighbor""))) / STDEV(FILTER(P150:P4218, AA150:AA4218 =""Neighbor"")), """")"),1.6204578412945825)</f>
        <v>1.620457841</v>
      </c>
      <c r="AE150" s="2">
        <f>IFERROR(__xludf.DUMMYFUNCTION("IFERROR(ABS(Q150-AVERAGE(FILTER(Q150:Q4218,AA150:AA4218=""Neighbor""))) / STDEV(FILTER(Q150:Q4218, AA150:AA4218 =""Neighbor"")), """")"),0.10705672765401707)</f>
        <v>0.1070567277</v>
      </c>
      <c r="AF150" s="2">
        <f>IFERROR(__xludf.DUMMYFUNCTION("IFERROR(ABS(R150-AVERAGE(FILTER(R150:R4218,AA150:AA4218=""Neighbor""))) / STDEV(FILTER(R150:R4218, AA150:AA4218 =""Neighbor"")), """")"),0.1027919399066715)</f>
        <v>0.1027919399</v>
      </c>
    </row>
    <row r="151">
      <c r="A151" s="2" t="s">
        <v>28</v>
      </c>
      <c r="B151" s="2" t="s">
        <v>29</v>
      </c>
      <c r="C151" s="2" t="s">
        <v>600</v>
      </c>
      <c r="D151" s="2" t="s">
        <v>645</v>
      </c>
      <c r="E151" s="2" t="s">
        <v>646</v>
      </c>
      <c r="F151" s="2">
        <v>41.0</v>
      </c>
      <c r="G151" s="2">
        <v>172.0</v>
      </c>
      <c r="H151" s="2" t="b">
        <v>1</v>
      </c>
      <c r="I151" s="2">
        <v>-1.0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s">
        <v>33</v>
      </c>
      <c r="O151" s="2">
        <v>40.0</v>
      </c>
      <c r="P151" s="2">
        <v>0.0</v>
      </c>
      <c r="Q151" s="2">
        <v>0.0</v>
      </c>
      <c r="R151" s="2">
        <v>0.0</v>
      </c>
      <c r="S151" s="3" t="s">
        <v>647</v>
      </c>
      <c r="T151" s="2" t="s">
        <v>648</v>
      </c>
      <c r="Y151" s="4" t="str">
        <f>IFERROR(__xludf.DUMMYFUNCTION("""COMPUTED_VALUE"""),"7.0945358")</f>
        <v>7.0945358</v>
      </c>
      <c r="Z151" s="4" t="str">
        <f>IFERROR(__xludf.DUMMYFUNCTION("""COMPUTED_VALUE"""),"3.2548515")</f>
        <v>3.2548515</v>
      </c>
      <c r="AA151" s="4" t="str">
        <f t="shared" si="1"/>
        <v>Not Neighbor</v>
      </c>
      <c r="AC151" s="4">
        <f>IFERROR(__xludf.DUMMYFUNCTION("IFERROR(ABS(O151-AVERAGE(FILTER(O151:O4219,AA151:AA4219=""Neighbor""))) / STDEV(FILTER(O151:O4219, AA151:AA4219 =""Neighbor"")), """")"),0.6151137906921753)</f>
        <v>0.6151137907</v>
      </c>
      <c r="AD151" s="4">
        <f>IFERROR(__xludf.DUMMYFUNCTION("IFERROR(ABS(P151-AVERAGE(FILTER(O151:P4219,AA151:AA4219=""Neighbor""))) / STDEV(FILTER(P151:P4219, AA151:AA4219 =""Neighbor"")), """")"),1.6204578412945825)</f>
        <v>1.620457841</v>
      </c>
      <c r="AE151" s="2">
        <f>IFERROR(__xludf.DUMMYFUNCTION("IFERROR(ABS(Q151-AVERAGE(FILTER(Q151:Q4219,AA151:AA4219=""Neighbor""))) / STDEV(FILTER(Q151:Q4219, AA151:AA4219 =""Neighbor"")), """")"),1.0559571819426814)</f>
        <v>1.055957182</v>
      </c>
      <c r="AF151" s="2">
        <f>IFERROR(__xludf.DUMMYFUNCTION("IFERROR(ABS(R151-AVERAGE(FILTER(R151:R4219,AA151:AA4219=""Neighbor""))) / STDEV(FILTER(R151:R4219, AA151:AA4219 =""Neighbor"")), """")"),0.1027919399066715)</f>
        <v>0.1027919399</v>
      </c>
    </row>
    <row r="152">
      <c r="A152" s="2" t="s">
        <v>28</v>
      </c>
      <c r="B152" s="2" t="s">
        <v>29</v>
      </c>
      <c r="C152" s="2" t="s">
        <v>600</v>
      </c>
      <c r="D152" s="2" t="s">
        <v>649</v>
      </c>
      <c r="E152" s="2" t="s">
        <v>650</v>
      </c>
      <c r="F152" s="2">
        <v>88.0</v>
      </c>
      <c r="G152" s="2">
        <v>355.0</v>
      </c>
      <c r="H152" s="2" t="b">
        <v>1</v>
      </c>
      <c r="I152" s="2">
        <v>-1.0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s">
        <v>33</v>
      </c>
      <c r="O152" s="2">
        <v>77.0</v>
      </c>
      <c r="P152" s="2">
        <v>1.0</v>
      </c>
      <c r="Q152" s="2">
        <v>5.0</v>
      </c>
      <c r="R152" s="2">
        <v>0.0</v>
      </c>
      <c r="S152" s="3" t="s">
        <v>651</v>
      </c>
      <c r="T152" s="2" t="s">
        <v>652</v>
      </c>
      <c r="Y152" s="4" t="str">
        <f>IFERROR(__xludf.DUMMYFUNCTION("""COMPUTED_VALUE"""),"7.2072")</f>
        <v>7.2072</v>
      </c>
      <c r="Z152" s="4" t="str">
        <f>IFERROR(__xludf.DUMMYFUNCTION("""COMPUTED_VALUE"""),"3.1402")</f>
        <v>3.1402</v>
      </c>
      <c r="AA152" s="4" t="str">
        <f t="shared" si="1"/>
        <v>Not Neighbor</v>
      </c>
      <c r="AC152" s="4">
        <f>IFERROR(__xludf.DUMMYFUNCTION("IFERROR(ABS(O152-AVERAGE(FILTER(O152:O4220,AA152:AA4220=""Neighbor""))) / STDEV(FILTER(O152:O4220, AA152:AA4220 =""Neighbor"")), """")"),0.25214525191716003)</f>
        <v>0.2521452519</v>
      </c>
      <c r="AD152" s="4">
        <f>IFERROR(__xludf.DUMMYFUNCTION("IFERROR(ABS(P152-AVERAGE(FILTER(O152:P4220,AA152:AA4220=""Neighbor""))) / STDEV(FILTER(P152:P4220, AA152:AA4220 =""Neighbor"")), """")"),1.5812839765645141)</f>
        <v>1.581283977</v>
      </c>
      <c r="AE152" s="2">
        <f>IFERROR(__xludf.DUMMYFUNCTION("IFERROR(ABS(Q152-AVERAGE(FILTER(Q152:Q4220,AA152:AA4220=""Neighbor""))) / STDEV(FILTER(Q152:Q4220, AA152:AA4220 =""Neighbor"")), """")"),0.8405842357210705)</f>
        <v>0.8405842357</v>
      </c>
      <c r="AF152" s="2">
        <f>IFERROR(__xludf.DUMMYFUNCTION("IFERROR(ABS(R152-AVERAGE(FILTER(R152:R4220,AA152:AA4220=""Neighbor""))) / STDEV(FILTER(R152:R4220, AA152:AA4220 =""Neighbor"")), """")"),0.1027919399066715)</f>
        <v>0.1027919399</v>
      </c>
    </row>
    <row r="153">
      <c r="A153" s="2" t="s">
        <v>28</v>
      </c>
      <c r="B153" s="2" t="s">
        <v>29</v>
      </c>
      <c r="C153" s="2" t="s">
        <v>600</v>
      </c>
      <c r="D153" s="2" t="s">
        <v>653</v>
      </c>
      <c r="E153" s="2" t="s">
        <v>654</v>
      </c>
      <c r="F153" s="2">
        <v>64.0</v>
      </c>
      <c r="G153" s="2">
        <v>237.0</v>
      </c>
      <c r="H153" s="2" t="b">
        <v>1</v>
      </c>
      <c r="I153" s="2">
        <v>-1.0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s">
        <v>33</v>
      </c>
      <c r="O153" s="2">
        <v>51.0</v>
      </c>
      <c r="P153" s="2">
        <v>0.0</v>
      </c>
      <c r="Q153" s="2">
        <v>12.0</v>
      </c>
      <c r="R153" s="2">
        <v>0.0</v>
      </c>
      <c r="S153" s="3" t="s">
        <v>655</v>
      </c>
      <c r="T153" s="2" t="s">
        <v>656</v>
      </c>
      <c r="Y153" s="4" t="str">
        <f>IFERROR(__xludf.DUMMYFUNCTION("""COMPUTED_VALUE"""),"7.2029313")</f>
        <v>7.2029313</v>
      </c>
      <c r="Z153" s="4" t="str">
        <f>IFERROR(__xludf.DUMMYFUNCTION("""COMPUTED_VALUE"""),"3.1257479")</f>
        <v>3.1257479</v>
      </c>
      <c r="AA153" s="4" t="str">
        <f t="shared" si="1"/>
        <v>Not Neighbor</v>
      </c>
      <c r="AC153" s="4">
        <f>IFERROR(__xludf.DUMMYFUNCTION("IFERROR(ABS(O153-AVERAGE(FILTER(O153:O4221,AA153:AA4221=""Neighbor""))) / STDEV(FILTER(O153:O4221, AA153:AA4221 =""Neighbor"")), """")"),0.35728002126777836)</f>
        <v>0.3572800213</v>
      </c>
      <c r="AD153" s="4">
        <f>IFERROR(__xludf.DUMMYFUNCTION("IFERROR(ABS(P153-AVERAGE(FILTER(O153:P4221,AA153:AA4221=""Neighbor""))) / STDEV(FILTER(P153:P4221, AA153:AA4221 =""Neighbor"")), """")"),1.6204578412945825)</f>
        <v>1.620457841</v>
      </c>
      <c r="AE153" s="2">
        <f>IFERROR(__xludf.DUMMYFUNCTION("IFERROR(ABS(Q153-AVERAGE(FILTER(Q153:Q4221,AA153:AA4221=""Neighbor""))) / STDEV(FILTER(Q153:Q4221, AA153:AA4221 =""Neighbor"")), """")"),0.5390621110108155)</f>
        <v>0.539062111</v>
      </c>
      <c r="AF153" s="2">
        <f>IFERROR(__xludf.DUMMYFUNCTION("IFERROR(ABS(R153-AVERAGE(FILTER(R153:R4221,AA153:AA4221=""Neighbor""))) / STDEV(FILTER(R153:R4221, AA153:AA4221 =""Neighbor"")), """")"),0.1027919399066715)</f>
        <v>0.1027919399</v>
      </c>
    </row>
    <row r="154">
      <c r="A154" s="2" t="s">
        <v>28</v>
      </c>
      <c r="B154" s="2" t="s">
        <v>29</v>
      </c>
      <c r="C154" s="2" t="s">
        <v>600</v>
      </c>
      <c r="D154" s="2" t="s">
        <v>657</v>
      </c>
      <c r="E154" s="2" t="s">
        <v>658</v>
      </c>
      <c r="F154" s="2">
        <v>91.0</v>
      </c>
      <c r="G154" s="2">
        <v>326.0</v>
      </c>
      <c r="H154" s="2" t="b">
        <v>1</v>
      </c>
      <c r="I154" s="2">
        <v>-1.0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s">
        <v>33</v>
      </c>
      <c r="O154" s="2">
        <v>56.0</v>
      </c>
      <c r="P154" s="2">
        <v>5.0</v>
      </c>
      <c r="Q154" s="2">
        <v>20.0</v>
      </c>
      <c r="R154" s="2">
        <v>1.0</v>
      </c>
      <c r="S154" s="3" t="s">
        <v>659</v>
      </c>
      <c r="T154" s="2" t="s">
        <v>660</v>
      </c>
      <c r="Y154" s="4" t="str">
        <f>IFERROR(__xludf.DUMMYFUNCTION("""COMPUTED_VALUE"""),"7.2219893")</f>
        <v>7.2219893</v>
      </c>
      <c r="Z154" s="4" t="str">
        <f>IFERROR(__xludf.DUMMYFUNCTION("""COMPUTED_VALUE"""),"3.1679257")</f>
        <v>3.1679257</v>
      </c>
      <c r="AA154" s="4" t="str">
        <f t="shared" si="1"/>
        <v>Neighbor</v>
      </c>
      <c r="AC154" s="4">
        <f>IFERROR(__xludf.DUMMYFUNCTION("IFERROR(ABS(O154-AVERAGE(FILTER(O154:O4222,AA154:AA4222=""Neighbor""))) / STDEV(FILTER(O154:O4222, AA154:AA4222 =""Neighbor"")), """")"),0.2400828533475979)</f>
        <v>0.2400828533</v>
      </c>
      <c r="AD154" s="4">
        <f>IFERROR(__xludf.DUMMYFUNCTION("IFERROR(ABS(P154-AVERAGE(FILTER(O154:P4222,AA154:AA4222=""Neighbor""))) / STDEV(FILTER(P154:P4222, AA154:AA4222 =""Neighbor"")), """")"),1.4245885176442417)</f>
        <v>1.424588518</v>
      </c>
      <c r="AE154" s="2">
        <f>IFERROR(__xludf.DUMMYFUNCTION("IFERROR(ABS(Q154-AVERAGE(FILTER(Q154:Q4222,AA154:AA4222=""Neighbor""))) / STDEV(FILTER(Q154:Q4222, AA154:AA4222 =""Neighbor"")), """")"),0.1944653970562381)</f>
        <v>0.1944653971</v>
      </c>
      <c r="AF154" s="2">
        <f>IFERROR(__xludf.DUMMYFUNCTION("IFERROR(ABS(R154-AVERAGE(FILTER(R154:R4222,AA154:AA4222=""Neighbor""))) / STDEV(FILTER(R154:R4222, AA154:AA4222 =""Neighbor"")), """")"),0.09582299482825309)</f>
        <v>0.09582299483</v>
      </c>
    </row>
    <row r="155">
      <c r="A155" s="2" t="s">
        <v>28</v>
      </c>
      <c r="B155" s="2" t="s">
        <v>29</v>
      </c>
      <c r="C155" s="2" t="s">
        <v>600</v>
      </c>
      <c r="D155" s="2" t="s">
        <v>661</v>
      </c>
      <c r="E155" s="2" t="s">
        <v>662</v>
      </c>
      <c r="F155" s="2">
        <v>49.0</v>
      </c>
      <c r="G155" s="2">
        <v>331.0</v>
      </c>
      <c r="H155" s="2" t="b">
        <v>1</v>
      </c>
      <c r="I155" s="2">
        <v>-1.0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s">
        <v>33</v>
      </c>
      <c r="O155" s="2">
        <v>34.0</v>
      </c>
      <c r="P155" s="2">
        <v>2.0</v>
      </c>
      <c r="Q155" s="2">
        <v>10.0</v>
      </c>
      <c r="R155" s="2">
        <v>0.0</v>
      </c>
      <c r="S155" s="3" t="s">
        <v>663</v>
      </c>
      <c r="T155" s="2" t="s">
        <v>664</v>
      </c>
      <c r="Y155" s="4" t="str">
        <f>IFERROR(__xludf.DUMMYFUNCTION("""COMPUTED_VALUE"""),"7.2136942")</f>
        <v>7.2136942</v>
      </c>
      <c r="Z155" s="4" t="str">
        <f>IFERROR(__xludf.DUMMYFUNCTION("""COMPUTED_VALUE"""),"3.1631416")</f>
        <v>3.1631416</v>
      </c>
      <c r="AA155" s="4" t="str">
        <f t="shared" si="1"/>
        <v>Not Neighbor</v>
      </c>
      <c r="AC155" s="4">
        <f>IFERROR(__xludf.DUMMYFUNCTION("IFERROR(ABS(O155-AVERAGE(FILTER(O155:O4223,AA155:AA4223=""Neighbor""))) / STDEV(FILTER(O155:O4223, AA155:AA4223 =""Neighbor"")), """")"),0.7556824423565567)</f>
        <v>0.7556824424</v>
      </c>
      <c r="AD155" s="4">
        <f>IFERROR(__xludf.DUMMYFUNCTION("IFERROR(ABS(P155-AVERAGE(FILTER(O155:P4223,AA155:AA4223=""Neighbor""))) / STDEV(FILTER(P155:P4223, AA155:AA4223 =""Neighbor"")), """")"),1.5419993046461766)</f>
        <v>1.541999305</v>
      </c>
      <c r="AE155" s="2">
        <f>IFERROR(__xludf.DUMMYFUNCTION("IFERROR(ABS(Q155-AVERAGE(FILTER(Q155:Q4223,AA155:AA4223=""Neighbor""))) / STDEV(FILTER(Q155:Q4223, AA155:AA4223 =""Neighbor"")), """")"),0.625149021889012)</f>
        <v>0.6251490219</v>
      </c>
      <c r="AF155" s="2">
        <f>IFERROR(__xludf.DUMMYFUNCTION("IFERROR(ABS(R155-AVERAGE(FILTER(R155:R4223,AA155:AA4223=""Neighbor""))) / STDEV(FILTER(R155:R4223, AA155:AA4223 =""Neighbor"")), """")"),0.10270608464398155)</f>
        <v>0.1027060846</v>
      </c>
    </row>
    <row r="156">
      <c r="A156" s="2" t="s">
        <v>28</v>
      </c>
      <c r="B156" s="2" t="s">
        <v>29</v>
      </c>
      <c r="C156" s="2" t="s">
        <v>600</v>
      </c>
      <c r="D156" s="2" t="s">
        <v>665</v>
      </c>
      <c r="E156" s="2" t="s">
        <v>666</v>
      </c>
      <c r="F156" s="2">
        <v>31.0</v>
      </c>
      <c r="G156" s="2">
        <v>428.0</v>
      </c>
      <c r="H156" s="2" t="b">
        <v>1</v>
      </c>
      <c r="I156" s="2">
        <v>-1.0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s">
        <v>33</v>
      </c>
      <c r="O156" s="2">
        <v>27.0</v>
      </c>
      <c r="P156" s="2">
        <v>1.0</v>
      </c>
      <c r="Q156" s="2">
        <v>1.0</v>
      </c>
      <c r="R156" s="2">
        <v>0.0</v>
      </c>
      <c r="S156" s="3" t="s">
        <v>667</v>
      </c>
      <c r="T156" s="2" t="s">
        <v>668</v>
      </c>
      <c r="Y156" s="4" t="str">
        <f>IFERROR(__xludf.DUMMYFUNCTION("""COMPUTED_VALUE"""),"7.2176536")</f>
        <v>7.2176536</v>
      </c>
      <c r="Z156" s="4" t="str">
        <f>IFERROR(__xludf.DUMMYFUNCTION("""COMPUTED_VALUE"""),"3.2703864")</f>
        <v>3.2703864</v>
      </c>
      <c r="AA156" s="4" t="str">
        <f t="shared" si="1"/>
        <v>Not Neighbor</v>
      </c>
      <c r="AC156" s="4">
        <f>IFERROR(__xludf.DUMMYFUNCTION("IFERROR(ABS(O156-AVERAGE(FILTER(O156:O4224,AA156:AA4224=""Neighbor""))) / STDEV(FILTER(O156:O4224, AA156:AA4224 =""Neighbor"")), """")"),0.9197132346906972)</f>
        <v>0.9197132347</v>
      </c>
      <c r="AD156" s="4">
        <f>IFERROR(__xludf.DUMMYFUNCTION("IFERROR(ABS(P156-AVERAGE(FILTER(O156:P4224,AA156:AA4224=""Neighbor""))) / STDEV(FILTER(P156:P4224, AA156:AA4224 =""Neighbor"")), """")"),1.5811640290601099)</f>
        <v>1.581164029</v>
      </c>
      <c r="AE156" s="2">
        <f>IFERROR(__xludf.DUMMYFUNCTION("IFERROR(ABS(Q156-AVERAGE(FILTER(Q156:Q4224,AA156:AA4224=""Neighbor""))) / STDEV(FILTER(Q156:Q4224, AA156:AA4224 =""Neighbor"")), """")"),1.0127111785062992)</f>
        <v>1.012711179</v>
      </c>
      <c r="AF156" s="2">
        <f>IFERROR(__xludf.DUMMYFUNCTION("IFERROR(ABS(R156-AVERAGE(FILTER(R156:R4224,AA156:AA4224=""Neighbor""))) / STDEV(FILTER(R156:R4224, AA156:AA4224 =""Neighbor"")), """")"),0.10270608464398155)</f>
        <v>0.1027060846</v>
      </c>
    </row>
    <row r="157">
      <c r="A157" s="2" t="s">
        <v>28</v>
      </c>
      <c r="B157" s="2" t="s">
        <v>29</v>
      </c>
      <c r="C157" s="2" t="s">
        <v>669</v>
      </c>
      <c r="D157" s="2" t="s">
        <v>670</v>
      </c>
      <c r="E157" s="2" t="s">
        <v>671</v>
      </c>
      <c r="F157" s="2">
        <v>59.0</v>
      </c>
      <c r="G157" s="2">
        <v>278.0</v>
      </c>
      <c r="H157" s="2" t="b">
        <v>1</v>
      </c>
      <c r="I157" s="2">
        <v>-1.0</v>
      </c>
      <c r="J157" s="2" t="b">
        <v>0</v>
      </c>
      <c r="K157" s="2" t="b">
        <v>1</v>
      </c>
      <c r="L157" s="2" t="b">
        <v>0</v>
      </c>
      <c r="M157" s="2" t="b">
        <v>0</v>
      </c>
      <c r="N157" s="2" t="s">
        <v>33</v>
      </c>
      <c r="O157" s="2">
        <v>41.0</v>
      </c>
      <c r="P157" s="2">
        <v>4.0</v>
      </c>
      <c r="Q157" s="2">
        <v>9.0</v>
      </c>
      <c r="R157" s="2">
        <v>0.0</v>
      </c>
      <c r="S157" s="3" t="s">
        <v>672</v>
      </c>
      <c r="T157" s="2" t="s">
        <v>673</v>
      </c>
      <c r="Y157" s="4" t="str">
        <f>IFERROR(__xludf.DUMMYFUNCTION("""COMPUTED_VALUE"""),"7.2741044")</f>
        <v>7.2741044</v>
      </c>
      <c r="Z157" s="4" t="str">
        <f>IFERROR(__xludf.DUMMYFUNCTION("""COMPUTED_VALUE"""),"3.1284123")</f>
        <v>3.1284123</v>
      </c>
      <c r="AA157" s="4" t="str">
        <f t="shared" si="1"/>
        <v>Neighbor</v>
      </c>
      <c r="AC157" s="4">
        <f>IFERROR(__xludf.DUMMYFUNCTION("IFERROR(ABS(O157-AVERAGE(FILTER(O157:O4225,AA157:AA4225=""Neighbor""))) / STDEV(FILTER(O157:O4225, AA157:AA4225 =""Neighbor"")), """")"),0.5916516500224162)</f>
        <v>0.59165165</v>
      </c>
      <c r="AD157" s="4">
        <f>IFERROR(__xludf.DUMMYFUNCTION("IFERROR(ABS(P157-AVERAGE(FILTER(O157:P4225,AA157:AA4225=""Neighbor""))) / STDEV(FILTER(P157:P4225, AA157:AA4225 =""Neighbor"")), """")"),1.4636698558183106)</f>
        <v>1.463669856</v>
      </c>
      <c r="AE157" s="2">
        <f>IFERROR(__xludf.DUMMYFUNCTION("IFERROR(ABS(Q157-AVERAGE(FILTER(Q157:Q4225,AA157:AA4225=""Neighbor""))) / STDEV(FILTER(Q157:Q4225, AA157:AA4225 =""Neighbor"")), """")"),0.6682114837353773)</f>
        <v>0.6682114837</v>
      </c>
      <c r="AF157" s="2">
        <f>IFERROR(__xludf.DUMMYFUNCTION("IFERROR(ABS(R157-AVERAGE(FILTER(R157:R4225,AA157:AA4225=""Neighbor""))) / STDEV(FILTER(R157:R4225, AA157:AA4225 =""Neighbor"")), """")"),0.10270608464398155)</f>
        <v>0.1027060846</v>
      </c>
    </row>
    <row r="158">
      <c r="A158" s="2" t="s">
        <v>28</v>
      </c>
      <c r="B158" s="2" t="s">
        <v>29</v>
      </c>
      <c r="C158" s="2" t="s">
        <v>669</v>
      </c>
      <c r="D158" s="2" t="s">
        <v>674</v>
      </c>
      <c r="E158" s="2" t="s">
        <v>675</v>
      </c>
      <c r="F158" s="2">
        <v>58.0</v>
      </c>
      <c r="G158" s="2">
        <v>322.0</v>
      </c>
      <c r="H158" s="2" t="b">
        <v>1</v>
      </c>
      <c r="I158" s="2">
        <v>-1.0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s">
        <v>33</v>
      </c>
      <c r="O158" s="2">
        <v>40.0</v>
      </c>
      <c r="P158" s="2">
        <v>2.0</v>
      </c>
      <c r="Q158" s="2">
        <v>9.0</v>
      </c>
      <c r="R158" s="2">
        <v>2.0</v>
      </c>
      <c r="S158" s="3" t="s">
        <v>676</v>
      </c>
      <c r="T158" s="2" t="s">
        <v>677</v>
      </c>
      <c r="Y158" s="4" t="str">
        <f>IFERROR(__xludf.DUMMYFUNCTION("""COMPUTED_VALUE"""),"7.2741044")</f>
        <v>7.2741044</v>
      </c>
      <c r="Z158" s="4" t="str">
        <f>IFERROR(__xludf.DUMMYFUNCTION("""COMPUTED_VALUE"""),"3.1284123")</f>
        <v>3.1284123</v>
      </c>
      <c r="AA158" s="4" t="str">
        <f t="shared" si="1"/>
        <v>Neighbor</v>
      </c>
      <c r="AC158" s="4">
        <f>IFERROR(__xludf.DUMMYFUNCTION("IFERROR(ABS(O158-AVERAGE(FILTER(O158:O4226,AA158:AA4226=""Neighbor""))) / STDEV(FILTER(O158:O4226, AA158:AA4226 =""Neighbor"")), """")"),0.615313926854914)</f>
        <v>0.6153139269</v>
      </c>
      <c r="AD158" s="4">
        <f>IFERROR(__xludf.DUMMYFUNCTION("IFERROR(ABS(P158-AVERAGE(FILTER(O158:P4226,AA158:AA4226=""Neighbor""))) / STDEV(FILTER(P158:P4226, AA158:AA4226 =""Neighbor"")), """")"),1.542088633149022)</f>
        <v>1.542088633</v>
      </c>
      <c r="AE158" s="2">
        <f>IFERROR(__xludf.DUMMYFUNCTION("IFERROR(ABS(Q158-AVERAGE(FILTER(Q158:Q4226,AA158:AA4226=""Neighbor""))) / STDEV(FILTER(Q158:Q4226, AA158:AA4226 =""Neighbor"")), """")"),0.66849438883096)</f>
        <v>0.6684943888</v>
      </c>
      <c r="AF158" s="2">
        <f>IFERROR(__xludf.DUMMYFUNCTION("IFERROR(ABS(R158-AVERAGE(FILTER(R158:R4226,AA158:AA4226=""Neighbor""))) / STDEV(FILTER(R158:R4226, AA158:AA4226 =""Neighbor"")), """")"),0.2942632148376438)</f>
        <v>0.2942632148</v>
      </c>
    </row>
    <row r="159">
      <c r="A159" s="2" t="s">
        <v>28</v>
      </c>
      <c r="B159" s="2" t="s">
        <v>29</v>
      </c>
      <c r="C159" s="2" t="s">
        <v>669</v>
      </c>
      <c r="D159" s="2" t="s">
        <v>678</v>
      </c>
      <c r="E159" s="2" t="s">
        <v>679</v>
      </c>
      <c r="F159" s="2">
        <v>76.0</v>
      </c>
      <c r="G159" s="2">
        <v>378.0</v>
      </c>
      <c r="H159" s="2" t="b">
        <v>1</v>
      </c>
      <c r="I159" s="2">
        <v>-1.0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s">
        <v>33</v>
      </c>
      <c r="O159" s="2">
        <v>52.0</v>
      </c>
      <c r="P159" s="2">
        <v>8.0</v>
      </c>
      <c r="Q159" s="2">
        <v>9.0</v>
      </c>
      <c r="R159" s="2">
        <v>0.0</v>
      </c>
      <c r="S159" s="3" t="s">
        <v>680</v>
      </c>
      <c r="T159" s="2" t="s">
        <v>681</v>
      </c>
      <c r="Y159" s="4" t="str">
        <f>IFERROR(__xludf.DUMMYFUNCTION("""COMPUTED_VALUE"""),"7.2741044")</f>
        <v>7.2741044</v>
      </c>
      <c r="Z159" s="4" t="str">
        <f>IFERROR(__xludf.DUMMYFUNCTION("""COMPUTED_VALUE"""),"3.1284123")</f>
        <v>3.1284123</v>
      </c>
      <c r="AA159" s="4" t="str">
        <f t="shared" si="1"/>
        <v>Neighbor</v>
      </c>
      <c r="AC159" s="4">
        <f>IFERROR(__xludf.DUMMYFUNCTION("IFERROR(ABS(O159-AVERAGE(FILTER(O159:O4227,AA159:AA4227=""Neighbor""))) / STDEV(FILTER(O159:O4227, AA159:AA4227 =""Neighbor"")), """")"),0.3344713629039056)</f>
        <v>0.3344713629</v>
      </c>
      <c r="AD159" s="4">
        <f>IFERROR(__xludf.DUMMYFUNCTION("IFERROR(ABS(P159-AVERAGE(FILTER(O159:P4227,AA159:AA4227=""Neighbor""))) / STDEV(FILTER(P159:P4227, AA159:AA4227 =""Neighbor"")), """")"),1.3073606625175058)</f>
        <v>1.307360663</v>
      </c>
      <c r="AE159" s="2">
        <f>IFERROR(__xludf.DUMMYFUNCTION("IFERROR(ABS(Q159-AVERAGE(FILTER(Q159:Q4227,AA159:AA4227=""Neighbor""))) / STDEV(FILTER(Q159:Q4227, AA159:AA4227 =""Neighbor"")), """")"),0.6687776536172751)</f>
        <v>0.6687776536</v>
      </c>
      <c r="AF159" s="2">
        <f>IFERROR(__xludf.DUMMYFUNCTION("IFERROR(ABS(R159-AVERAGE(FILTER(R159:R4227,AA159:AA4227=""Neighbor""))) / STDEV(FILTER(R159:R4227, AA159:AA4227 =""Neighbor"")), """")"),0.10253661571279198)</f>
        <v>0.1025366157</v>
      </c>
    </row>
    <row r="160">
      <c r="A160" s="2" t="s">
        <v>28</v>
      </c>
      <c r="B160" s="2" t="s">
        <v>29</v>
      </c>
      <c r="C160" s="2" t="s">
        <v>669</v>
      </c>
      <c r="D160" s="2" t="s">
        <v>682</v>
      </c>
      <c r="E160" s="2" t="s">
        <v>683</v>
      </c>
      <c r="F160" s="2">
        <v>42.0</v>
      </c>
      <c r="G160" s="2">
        <v>188.0</v>
      </c>
      <c r="H160" s="2" t="b">
        <v>1</v>
      </c>
      <c r="I160" s="2">
        <v>-1.0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s">
        <v>33</v>
      </c>
      <c r="O160" s="2">
        <v>24.0</v>
      </c>
      <c r="P160" s="2">
        <v>1.0</v>
      </c>
      <c r="Q160" s="2">
        <v>6.0</v>
      </c>
      <c r="R160" s="2">
        <v>1.0</v>
      </c>
      <c r="S160" s="3" t="s">
        <v>684</v>
      </c>
      <c r="T160" s="2" t="s">
        <v>685</v>
      </c>
      <c r="Y160" s="4" t="str">
        <f>IFERROR(__xludf.DUMMYFUNCTION("""COMPUTED_VALUE"""),"7.2741044")</f>
        <v>7.2741044</v>
      </c>
      <c r="Z160" s="4" t="str">
        <f>IFERROR(__xludf.DUMMYFUNCTION("""COMPUTED_VALUE"""),"3.1284123")</f>
        <v>3.1284123</v>
      </c>
      <c r="AA160" s="4" t="str">
        <f t="shared" si="1"/>
        <v>Neighbor</v>
      </c>
      <c r="AC160" s="4">
        <f>IFERROR(__xludf.DUMMYFUNCTION("IFERROR(ABS(O160-AVERAGE(FILTER(O160:O4228,AA160:AA4228=""Neighbor""))) / STDEV(FILTER(O160:O4228, AA160:AA4228 =""Neighbor"")), """")"),0.9902884914950213)</f>
        <v>0.9902884915</v>
      </c>
      <c r="AD160" s="4">
        <f>IFERROR(__xludf.DUMMYFUNCTION("IFERROR(ABS(P160-AVERAGE(FILTER(O160:P4228,AA160:AA4228=""Neighbor""))) / STDEV(FILTER(P160:P4228, AA160:AA4228 =""Neighbor"")), """")"),1.5812476479423736)</f>
        <v>1.581247648</v>
      </c>
      <c r="AE160" s="2">
        <f>IFERROR(__xludf.DUMMYFUNCTION("IFERROR(ABS(Q160-AVERAGE(FILTER(Q160:Q4228,AA160:AA4228=""Neighbor""))) / STDEV(FILTER(Q160:Q4228, AA160:AA4228 =""Neighbor"")), """")"),0.7981858923491325)</f>
        <v>0.7981858923</v>
      </c>
      <c r="AF160" s="2">
        <f>IFERROR(__xludf.DUMMYFUNCTION("IFERROR(ABS(R160-AVERAGE(FILTER(R160:R4228,AA160:AA4228=""Neighbor""))) / STDEV(FILTER(R160:R4228, AA160:AA4228 =""Neighbor"")), """")"),0.09582219550088948)</f>
        <v>0.0958221955</v>
      </c>
    </row>
    <row r="161">
      <c r="A161" s="2" t="s">
        <v>28</v>
      </c>
      <c r="B161" s="2" t="s">
        <v>29</v>
      </c>
      <c r="C161" s="2" t="s">
        <v>669</v>
      </c>
      <c r="D161" s="2" t="s">
        <v>686</v>
      </c>
      <c r="E161" s="2" t="s">
        <v>687</v>
      </c>
      <c r="F161" s="2">
        <v>64.0</v>
      </c>
      <c r="G161" s="2">
        <v>207.0</v>
      </c>
      <c r="H161" s="2" t="b">
        <v>1</v>
      </c>
      <c r="I161" s="2">
        <v>-1.0</v>
      </c>
      <c r="J161" s="2" t="b">
        <v>0</v>
      </c>
      <c r="K161" s="2" t="b">
        <v>1</v>
      </c>
      <c r="L161" s="2" t="b">
        <v>0</v>
      </c>
      <c r="M161" s="2" t="b">
        <v>0</v>
      </c>
      <c r="N161" s="2" t="s">
        <v>33</v>
      </c>
      <c r="O161" s="2">
        <v>46.0</v>
      </c>
      <c r="P161" s="2">
        <v>1.0</v>
      </c>
      <c r="Q161" s="2">
        <v>9.0</v>
      </c>
      <c r="R161" s="2">
        <v>1.0</v>
      </c>
      <c r="S161" s="3" t="s">
        <v>688</v>
      </c>
      <c r="T161" s="2" t="s">
        <v>689</v>
      </c>
      <c r="Y161" s="4" t="str">
        <f>IFERROR(__xludf.DUMMYFUNCTION("""COMPUTED_VALUE"""),"7.2741044")</f>
        <v>7.2741044</v>
      </c>
      <c r="Z161" s="4" t="str">
        <f>IFERROR(__xludf.DUMMYFUNCTION("""COMPUTED_VALUE"""),"3.1284123")</f>
        <v>3.1284123</v>
      </c>
      <c r="AA161" s="4" t="str">
        <f t="shared" si="1"/>
        <v>Not Neighbor</v>
      </c>
      <c r="AC161" s="4">
        <f>IFERROR(__xludf.DUMMYFUNCTION("IFERROR(ABS(O161-AVERAGE(FILTER(O161:O4229,AA161:AA4229=""Neighbor""))) / STDEV(FILTER(O161:O4229, AA161:AA4229 =""Neighbor"")), """")"),0.47566739166236716)</f>
        <v>0.4756673917</v>
      </c>
      <c r="AD161" s="4">
        <f>IFERROR(__xludf.DUMMYFUNCTION("IFERROR(ABS(P161-AVERAGE(FILTER(O161:P4229,AA161:AA4229=""Neighbor""))) / STDEV(FILTER(P161:P4229, AA161:AA4229 =""Neighbor"")), """")"),1.581618274959986)</f>
        <v>1.581618275</v>
      </c>
      <c r="AE161" s="2">
        <f>IFERROR(__xludf.DUMMYFUNCTION("IFERROR(ABS(Q161-AVERAGE(FILTER(Q161:Q4229,AA161:AA4229=""Neighbor""))) / STDEV(FILTER(Q161:Q4229, AA161:AA4229 =""Neighbor"")), """")"),0.6694582133210523)</f>
        <v>0.6694582133</v>
      </c>
      <c r="AF161" s="2">
        <f>IFERROR(__xludf.DUMMYFUNCTION("IFERROR(ABS(R161-AVERAGE(FILTER(R161:R4229,AA161:AA4229=""Neighbor""))) / STDEV(FILTER(R161:R4229, AA161:AA4229 =""Neighbor"")), """")"),0.09585053348886131)</f>
        <v>0.09585053349</v>
      </c>
    </row>
    <row r="162">
      <c r="A162" s="2" t="s">
        <v>28</v>
      </c>
      <c r="B162" s="2" t="s">
        <v>29</v>
      </c>
      <c r="C162" s="2" t="s">
        <v>669</v>
      </c>
      <c r="D162" s="2" t="s">
        <v>690</v>
      </c>
      <c r="E162" s="2" t="s">
        <v>691</v>
      </c>
      <c r="F162" s="2">
        <v>77.0</v>
      </c>
      <c r="G162" s="2">
        <v>241.0</v>
      </c>
      <c r="H162" s="2" t="b">
        <v>1</v>
      </c>
      <c r="I162" s="2">
        <v>-1.0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s">
        <v>33</v>
      </c>
      <c r="O162" s="2">
        <v>46.0</v>
      </c>
      <c r="P162" s="2">
        <v>2.0</v>
      </c>
      <c r="Q162" s="2">
        <v>14.0</v>
      </c>
      <c r="R162" s="2">
        <v>0.0</v>
      </c>
      <c r="S162" s="3" t="s">
        <v>692</v>
      </c>
      <c r="T162" s="2" t="s">
        <v>693</v>
      </c>
      <c r="Y162" s="4" t="str">
        <f>IFERROR(__xludf.DUMMYFUNCTION("""COMPUTED_VALUE"""),"7.3193213")</f>
        <v>7.3193213</v>
      </c>
      <c r="Z162" s="4" t="str">
        <f>IFERROR(__xludf.DUMMYFUNCTION("""COMPUTED_VALUE"""),"3.1177555")</f>
        <v>3.1177555</v>
      </c>
      <c r="AA162" s="4" t="str">
        <f t="shared" si="1"/>
        <v>Neighbor</v>
      </c>
      <c r="AC162" s="4">
        <f>IFERROR(__xludf.DUMMYFUNCTION("IFERROR(ABS(O162-AVERAGE(FILTER(O162:O4230,AA162:AA4230=""Neighbor""))) / STDEV(FILTER(O162:O4230, AA162:AA4230 =""Neighbor"")), """")"),0.47566739166236716)</f>
        <v>0.4756673917</v>
      </c>
      <c r="AD162" s="4">
        <f>IFERROR(__xludf.DUMMYFUNCTION("IFERROR(ABS(P162-AVERAGE(FILTER(O162:P4230,AA162:AA4230=""Neighbor""))) / STDEV(FILTER(P162:P4230, AA162:AA4230 =""Neighbor"")), """")"),1.542487486458277)</f>
        <v>1.542487486</v>
      </c>
      <c r="AE162" s="2">
        <f>IFERROR(__xludf.DUMMYFUNCTION("IFERROR(ABS(Q162-AVERAGE(FILTER(Q162:Q4230,AA162:AA4230=""Neighbor""))) / STDEV(FILTER(Q162:Q4230, AA162:AA4230 =""Neighbor"")), """")"),0.4542734132093725)</f>
        <v>0.4542734132</v>
      </c>
      <c r="AF162" s="2">
        <f>IFERROR(__xludf.DUMMYFUNCTION("IFERROR(ABS(R162-AVERAGE(FILTER(R162:R4230,AA162:AA4230=""Neighbor""))) / STDEV(FILTER(R162:R4230, AA162:AA4230 =""Neighbor"")), """")"),0.10248097087826069)</f>
        <v>0.1024809709</v>
      </c>
    </row>
    <row r="163">
      <c r="A163" s="2" t="s">
        <v>28</v>
      </c>
      <c r="B163" s="2" t="s">
        <v>29</v>
      </c>
      <c r="C163" s="2" t="s">
        <v>669</v>
      </c>
      <c r="D163" s="2" t="s">
        <v>694</v>
      </c>
      <c r="E163" s="2" t="s">
        <v>695</v>
      </c>
      <c r="F163" s="2">
        <v>79.0</v>
      </c>
      <c r="G163" s="2">
        <v>260.0</v>
      </c>
      <c r="H163" s="2" t="b">
        <v>1</v>
      </c>
      <c r="I163" s="2">
        <v>-1.0</v>
      </c>
      <c r="J163" s="2" t="b">
        <v>0</v>
      </c>
      <c r="K163" s="2" t="b">
        <v>1</v>
      </c>
      <c r="L163" s="2" t="b">
        <v>0</v>
      </c>
      <c r="M163" s="2" t="b">
        <v>0</v>
      </c>
      <c r="N163" s="2" t="s">
        <v>33</v>
      </c>
      <c r="O163" s="2">
        <v>46.0</v>
      </c>
      <c r="P163" s="2">
        <v>3.0</v>
      </c>
      <c r="Q163" s="2">
        <v>21.0</v>
      </c>
      <c r="R163" s="2">
        <v>1.0</v>
      </c>
      <c r="S163" s="3" t="s">
        <v>696</v>
      </c>
      <c r="T163" s="2" t="s">
        <v>697</v>
      </c>
      <c r="Y163" s="4" t="str">
        <f>IFERROR(__xludf.DUMMYFUNCTION("""COMPUTED_VALUE"""),"7.3193213")</f>
        <v>7.3193213</v>
      </c>
      <c r="Z163" s="4" t="str">
        <f>IFERROR(__xludf.DUMMYFUNCTION("""COMPUTED_VALUE"""),"3.1177555")</f>
        <v>3.1177555</v>
      </c>
      <c r="AA163" s="4" t="str">
        <f t="shared" si="1"/>
        <v>Not Neighbor</v>
      </c>
      <c r="AC163" s="4">
        <f>IFERROR(__xludf.DUMMYFUNCTION("IFERROR(ABS(O163-AVERAGE(FILTER(O163:O4231,AA163:AA4231=""Neighbor""))) / STDEV(FILTER(O163:O4231, AA163:AA4231 =""Neighbor"")), """")"),0.4758384738561274)</f>
        <v>0.4758384739</v>
      </c>
      <c r="AD163" s="4">
        <f>IFERROR(__xludf.DUMMYFUNCTION("IFERROR(ABS(P163-AVERAGE(FILTER(O163:P4231,AA163:AA4231=""Neighbor""))) / STDEV(FILTER(P163:P4231, AA163:AA4231 =""Neighbor"")), """")"),1.503458011667636)</f>
        <v>1.503458012</v>
      </c>
      <c r="AE163" s="2">
        <f>IFERROR(__xludf.DUMMYFUNCTION("IFERROR(ABS(Q163-AVERAGE(FILTER(Q163:Q4231,AA163:AA4231=""Neighbor""))) / STDEV(FILTER(Q163:Q4231, AA163:AA4231 =""Neighbor"")), """")"),0.15324558712198896)</f>
        <v>0.1532455871</v>
      </c>
      <c r="AF163" s="2">
        <f>IFERROR(__xludf.DUMMYFUNCTION("IFERROR(ABS(R163-AVERAGE(FILTER(R163:R4231,AA163:AA4231=""Neighbor""))) / STDEV(FILTER(R163:R4231, AA163:AA4231 =""Neighbor"")), """")"),0.09576257572245529)</f>
        <v>0.09576257572</v>
      </c>
    </row>
    <row r="164">
      <c r="A164" s="2" t="s">
        <v>28</v>
      </c>
      <c r="B164" s="2" t="s">
        <v>29</v>
      </c>
      <c r="C164" s="2" t="s">
        <v>669</v>
      </c>
      <c r="D164" s="2" t="s">
        <v>698</v>
      </c>
      <c r="E164" s="2" t="s">
        <v>699</v>
      </c>
      <c r="F164" s="2">
        <v>56.0</v>
      </c>
      <c r="G164" s="2">
        <v>205.0</v>
      </c>
      <c r="H164" s="2" t="b">
        <v>1</v>
      </c>
      <c r="I164" s="2">
        <v>-1.0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s">
        <v>33</v>
      </c>
      <c r="O164" s="2">
        <v>31.0</v>
      </c>
      <c r="P164" s="2">
        <v>8.0</v>
      </c>
      <c r="Q164" s="2">
        <v>7.0</v>
      </c>
      <c r="R164" s="2">
        <v>0.0</v>
      </c>
      <c r="S164" s="3" t="s">
        <v>700</v>
      </c>
      <c r="T164" s="2" t="s">
        <v>701</v>
      </c>
      <c r="Y164" s="4" t="str">
        <f>IFERROR(__xludf.DUMMYFUNCTION("""COMPUTED_VALUE"""),"7.3969466")</f>
        <v>7.3969466</v>
      </c>
      <c r="Z164" s="4" t="str">
        <f>IFERROR(__xludf.DUMMYFUNCTION("""COMPUTED_VALUE"""),"3.008815")</f>
        <v>3.008815</v>
      </c>
      <c r="AA164" s="4" t="str">
        <f t="shared" si="1"/>
        <v>Neighbor</v>
      </c>
      <c r="AC164" s="4">
        <f>IFERROR(__xludf.DUMMYFUNCTION("IFERROR(ABS(O164-AVERAGE(FILTER(O164:O4232,AA164:AA4232=""Neighbor""))) / STDEV(FILTER(O164:O4232, AA164:AA4232 =""Neighbor"")), """")"),0.8270290314838306)</f>
        <v>0.8270290315</v>
      </c>
      <c r="AD164" s="4">
        <f>IFERROR(__xludf.DUMMYFUNCTION("IFERROR(ABS(P164-AVERAGE(FILTER(O164:P4232,AA164:AA4232=""Neighbor""))) / STDEV(FILTER(P164:P4232, AA164:AA4232 =""Neighbor"")), """")"),1.307842932037682)</f>
        <v>1.307842932</v>
      </c>
      <c r="AE164" s="2">
        <f>IFERROR(__xludf.DUMMYFUNCTION("IFERROR(ABS(Q164-AVERAGE(FILTER(Q164:Q4232,AA164:AA4232=""Neighbor""))) / STDEV(FILTER(Q164:Q4232, AA164:AA4232 =""Neighbor"")), """")"),0.7556227046672465)</f>
        <v>0.7556227047</v>
      </c>
      <c r="AF164" s="2">
        <f>IFERROR(__xludf.DUMMYFUNCTION("IFERROR(ABS(R164-AVERAGE(FILTER(R164:R4232,AA164:AA4232=""Neighbor""))) / STDEV(FILTER(R164:R4232, AA164:AA4232 =""Neighbor"")), """")"),0.10251133561541083)</f>
        <v>0.1025113356</v>
      </c>
    </row>
    <row r="165">
      <c r="A165" s="2" t="s">
        <v>28</v>
      </c>
      <c r="B165" s="2" t="s">
        <v>29</v>
      </c>
      <c r="C165" s="2" t="s">
        <v>669</v>
      </c>
      <c r="D165" s="2" t="s">
        <v>702</v>
      </c>
      <c r="E165" s="2" t="s">
        <v>703</v>
      </c>
      <c r="F165" s="2">
        <v>49.0</v>
      </c>
      <c r="G165" s="2">
        <v>234.0</v>
      </c>
      <c r="H165" s="2" t="b">
        <v>1</v>
      </c>
      <c r="I165" s="2">
        <v>-1.0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s">
        <v>33</v>
      </c>
      <c r="O165" s="2">
        <v>29.0</v>
      </c>
      <c r="P165" s="2">
        <v>6.0</v>
      </c>
      <c r="Q165" s="2">
        <v>0.0</v>
      </c>
      <c r="R165" s="2">
        <v>4.0</v>
      </c>
      <c r="S165" s="3" t="s">
        <v>704</v>
      </c>
      <c r="T165" s="2" t="s">
        <v>705</v>
      </c>
      <c r="Y165" s="4" t="str">
        <f>IFERROR(__xludf.DUMMYFUNCTION("""COMPUTED_VALUE"""),"7.3969466")</f>
        <v>7.3969466</v>
      </c>
      <c r="Z165" s="4" t="str">
        <f>IFERROR(__xludf.DUMMYFUNCTION("""COMPUTED_VALUE"""),"3.008815")</f>
        <v>3.008815</v>
      </c>
      <c r="AA165" s="4" t="str">
        <f t="shared" si="1"/>
        <v>Neighbor</v>
      </c>
      <c r="AC165" s="4">
        <f>IFERROR(__xludf.DUMMYFUNCTION("IFERROR(ABS(O165-AVERAGE(FILTER(O165:O4233,AA165:AA4233=""Neighbor""))) / STDEV(FILTER(O165:O4233, AA165:AA4233 =""Neighbor"")), """")"),0.8742590116654672)</f>
        <v>0.8742590117</v>
      </c>
      <c r="AD165" s="4">
        <f>IFERROR(__xludf.DUMMYFUNCTION("IFERROR(ABS(P165-AVERAGE(FILTER(O165:P4233,AA165:AA4233=""Neighbor""))) / STDEV(FILTER(P165:P4233, AA165:AA4233 =""Neighbor"")), """")"),1.3862309727534265)</f>
        <v>1.386230973</v>
      </c>
      <c r="AE165" s="2">
        <f>IFERROR(__xludf.DUMMYFUNCTION("IFERROR(ABS(Q165-AVERAGE(FILTER(Q165:Q4233,AA165:AA4233=""Neighbor""))) / STDEV(FILTER(Q165:Q4233, AA165:AA4233 =""Neighbor"")), """")"),1.057121839058189)</f>
        <v>1.057121839</v>
      </c>
      <c r="AF165" s="2">
        <f>IFERROR(__xludf.DUMMYFUNCTION("IFERROR(ABS(R165-AVERAGE(FILTER(R165:R4233,AA165:AA4233=""Neighbor""))) / STDEV(FILTER(R165:R4233, AA165:AA4233 =""Neighbor"")), """")"),0.6903234789672013)</f>
        <v>0.690323479</v>
      </c>
    </row>
    <row r="166">
      <c r="A166" s="2" t="s">
        <v>28</v>
      </c>
      <c r="B166" s="2" t="s">
        <v>29</v>
      </c>
      <c r="C166" s="2" t="s">
        <v>669</v>
      </c>
      <c r="D166" s="2" t="s">
        <v>706</v>
      </c>
      <c r="E166" s="2" t="s">
        <v>707</v>
      </c>
      <c r="F166" s="2">
        <v>48.0</v>
      </c>
      <c r="G166" s="2">
        <v>282.0</v>
      </c>
      <c r="H166" s="2" t="b">
        <v>1</v>
      </c>
      <c r="I166" s="2">
        <v>-1.0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s">
        <v>33</v>
      </c>
      <c r="O166" s="2">
        <v>26.0</v>
      </c>
      <c r="P166" s="2">
        <v>2.0</v>
      </c>
      <c r="Q166" s="2">
        <v>12.0</v>
      </c>
      <c r="R166" s="2">
        <v>0.0</v>
      </c>
      <c r="S166" s="3" t="s">
        <v>708</v>
      </c>
      <c r="T166" s="2" t="s">
        <v>709</v>
      </c>
      <c r="Y166" s="4" t="str">
        <f>IFERROR(__xludf.DUMMYFUNCTION("""COMPUTED_VALUE"""),"7.3969466")</f>
        <v>7.3969466</v>
      </c>
      <c r="Z166" s="4" t="str">
        <f>IFERROR(__xludf.DUMMYFUNCTION("""COMPUTED_VALUE"""),"3.008815")</f>
        <v>3.008815</v>
      </c>
      <c r="AA166" s="4" t="str">
        <f t="shared" si="1"/>
        <v>Neighbor</v>
      </c>
      <c r="AC166" s="4">
        <f>IFERROR(__xludf.DUMMYFUNCTION("IFERROR(ABS(O166-AVERAGE(FILTER(O166:O4234,AA166:AA4234=""Neighbor""))) / STDEV(FILTER(O166:O4234, AA166:AA4234 =""Neighbor"")), """")"),0.9449389442690975)</f>
        <v>0.9449389443</v>
      </c>
      <c r="AD166" s="4">
        <f>IFERROR(__xludf.DUMMYFUNCTION("IFERROR(ABS(P166-AVERAGE(FILTER(O166:P4234,AA166:AA4234=""Neighbor""))) / STDEV(FILTER(P166:P4234, AA166:AA4234 =""Neighbor"")), """")"),1.5428560405870484)</f>
        <v>1.542856041</v>
      </c>
      <c r="AE166" s="2">
        <f>IFERROR(__xludf.DUMMYFUNCTION("IFERROR(ABS(Q166-AVERAGE(FILTER(Q166:Q4234,AA166:AA4234=""Neighbor""))) / STDEV(FILTER(Q166:Q4234, AA166:AA4234 =""Neighbor"")), """")"),0.541503523080146)</f>
        <v>0.5415035231</v>
      </c>
      <c r="AF166" s="2">
        <f>IFERROR(__xludf.DUMMYFUNCTION("IFERROR(ABS(R166-AVERAGE(FILTER(R166:R4234,AA166:AA4234=""Neighbor""))) / STDEV(FILTER(R166:R4234, AA166:AA4234 =""Neighbor"")), """")"),0.10212042860543784)</f>
        <v>0.1021204286</v>
      </c>
    </row>
    <row r="167">
      <c r="A167" s="2" t="s">
        <v>28</v>
      </c>
      <c r="B167" s="2" t="s">
        <v>29</v>
      </c>
      <c r="C167" s="2" t="s">
        <v>669</v>
      </c>
      <c r="D167" s="2" t="s">
        <v>710</v>
      </c>
      <c r="E167" s="2" t="s">
        <v>711</v>
      </c>
      <c r="F167" s="2">
        <v>73.0</v>
      </c>
      <c r="G167" s="2">
        <v>285.0</v>
      </c>
      <c r="H167" s="2" t="b">
        <v>1</v>
      </c>
      <c r="I167" s="2">
        <v>-1.0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s">
        <v>33</v>
      </c>
      <c r="O167" s="2">
        <v>50.0</v>
      </c>
      <c r="P167" s="2">
        <v>5.0</v>
      </c>
      <c r="Q167" s="2">
        <v>4.0</v>
      </c>
      <c r="R167" s="2">
        <v>0.0</v>
      </c>
      <c r="S167" s="3" t="s">
        <v>712</v>
      </c>
      <c r="T167" s="2" t="s">
        <v>713</v>
      </c>
      <c r="Y167" s="4" t="str">
        <f>IFERROR(__xludf.DUMMYFUNCTION("""COMPUTED_VALUE"""),"7.3969466")</f>
        <v>7.3969466</v>
      </c>
      <c r="Z167" s="4" t="str">
        <f>IFERROR(__xludf.DUMMYFUNCTION("""COMPUTED_VALUE"""),"3.008815")</f>
        <v>3.008815</v>
      </c>
      <c r="AA167" s="4" t="str">
        <f t="shared" si="1"/>
        <v>Not Neighbor</v>
      </c>
      <c r="AC167" s="4">
        <f>IFERROR(__xludf.DUMMYFUNCTION("IFERROR(ABS(O167-AVERAGE(FILTER(O167:O4235,AA167:AA4235=""Neighbor""))) / STDEV(FILTER(O167:O4235, AA167:AA4235 =""Neighbor"")), """")"),0.3836684834274788)</f>
        <v>0.3836684834</v>
      </c>
      <c r="AD167" s="4">
        <f>IFERROR(__xludf.DUMMYFUNCTION("IFERROR(ABS(P167-AVERAGE(FILTER(O167:P4235,AA167:AA4235=""Neighbor""))) / STDEV(FILTER(P167:P4235, AA167:AA4235 =""Neighbor"")), """")"),1.4258937942327128)</f>
        <v>1.425893794</v>
      </c>
      <c r="AE167" s="2">
        <f>IFERROR(__xludf.DUMMYFUNCTION("IFERROR(ABS(Q167-AVERAGE(FILTER(Q167:Q4235,AA167:AA4235=""Neighbor""))) / STDEV(FILTER(Q167:Q4235, AA167:AA4235 =""Neighbor"")), """")"),0.8858218997965849)</f>
        <v>0.8858218998</v>
      </c>
      <c r="AF167" s="2">
        <f>IFERROR(__xludf.DUMMYFUNCTION("IFERROR(ABS(R167-AVERAGE(FILTER(R167:R4235,AA167:AA4235=""Neighbor""))) / STDEV(FILTER(R167:R4235, AA167:AA4235 =""Neighbor"")), """")"),0.10215073762548568)</f>
        <v>0.1021507376</v>
      </c>
    </row>
    <row r="168">
      <c r="A168" s="2" t="s">
        <v>28</v>
      </c>
      <c r="B168" s="2" t="s">
        <v>29</v>
      </c>
      <c r="C168" s="2" t="s">
        <v>669</v>
      </c>
      <c r="D168" s="2" t="s">
        <v>714</v>
      </c>
      <c r="E168" s="2" t="s">
        <v>715</v>
      </c>
      <c r="F168" s="2">
        <v>119.0</v>
      </c>
      <c r="G168" s="2">
        <v>630.0</v>
      </c>
      <c r="H168" s="2" t="b">
        <v>1</v>
      </c>
      <c r="I168" s="2">
        <v>-1.0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s">
        <v>33</v>
      </c>
      <c r="O168" s="2">
        <v>60.0</v>
      </c>
      <c r="P168" s="2">
        <v>20.0</v>
      </c>
      <c r="Q168" s="2">
        <v>23.0</v>
      </c>
      <c r="R168" s="2">
        <v>0.0</v>
      </c>
      <c r="S168" s="3" t="s">
        <v>716</v>
      </c>
      <c r="T168" s="2" t="s">
        <v>717</v>
      </c>
      <c r="Y168" s="4" t="str">
        <f>IFERROR(__xludf.DUMMYFUNCTION("""COMPUTED_VALUE"""),"7.3344428")</f>
        <v>7.3344428</v>
      </c>
      <c r="Z168" s="4" t="str">
        <f>IFERROR(__xludf.DUMMYFUNCTION("""COMPUTED_VALUE"""),"3.0633913")</f>
        <v>3.0633913</v>
      </c>
      <c r="AA168" s="4" t="str">
        <f t="shared" si="1"/>
        <v>Not Neighbor</v>
      </c>
      <c r="AC168" s="4">
        <f>IFERROR(__xludf.DUMMYFUNCTION("IFERROR(ABS(O168-AVERAGE(FILTER(O168:O4236,AA168:AA4236=""Neighbor""))) / STDEV(FILTER(O168:O4236, AA168:AA4236 =""Neighbor"")), """")"),0.1495866719819475)</f>
        <v>0.149586672</v>
      </c>
      <c r="AD168" s="4">
        <f>IFERROR(__xludf.DUMMYFUNCTION("IFERROR(ABS(P168-AVERAGE(FILTER(O168:P4236,AA168:AA4236=""Neighbor""))) / STDEV(FILTER(P168:P4236, AA168:AA4236 =""Neighbor"")), """")"),0.8394613862337498)</f>
        <v>0.8394613862</v>
      </c>
      <c r="AE168" s="2">
        <f>IFERROR(__xludf.DUMMYFUNCTION("IFERROR(ABS(Q168-AVERAGE(FILTER(Q168:Q4236,AA168:AA4236=""Neighbor""))) / STDEV(FILTER(Q168:Q4236, AA168:AA4236 =""Neighbor"")), """")"),0.06855447246213371)</f>
        <v>0.06855447246</v>
      </c>
      <c r="AF168" s="2">
        <f>IFERROR(__xludf.DUMMYFUNCTION("IFERROR(ABS(R168-AVERAGE(FILTER(R168:R4236,AA168:AA4236=""Neighbor""))) / STDEV(FILTER(R168:R4236, AA168:AA4236 =""Neighbor"")), """")"),0.10215073762548568)</f>
        <v>0.1021507376</v>
      </c>
    </row>
    <row r="169">
      <c r="A169" s="2" t="s">
        <v>28</v>
      </c>
      <c r="B169" s="2" t="s">
        <v>29</v>
      </c>
      <c r="C169" s="2" t="s">
        <v>669</v>
      </c>
      <c r="D169" s="2" t="s">
        <v>718</v>
      </c>
      <c r="E169" s="2" t="s">
        <v>719</v>
      </c>
      <c r="F169" s="2">
        <v>77.0</v>
      </c>
      <c r="G169" s="2">
        <v>733.0</v>
      </c>
      <c r="H169" s="2" t="b">
        <v>1</v>
      </c>
      <c r="I169" s="2">
        <v>-1.0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s">
        <v>33</v>
      </c>
      <c r="O169" s="2">
        <v>49.0</v>
      </c>
      <c r="P169" s="2">
        <v>1.0</v>
      </c>
      <c r="Q169" s="2">
        <v>15.0</v>
      </c>
      <c r="R169" s="2">
        <v>0.0</v>
      </c>
      <c r="S169" s="3" t="s">
        <v>720</v>
      </c>
      <c r="T169" s="2" t="s">
        <v>721</v>
      </c>
      <c r="Y169" s="4" t="str">
        <f>IFERROR(__xludf.DUMMYFUNCTION("""COMPUTED_VALUE"""),"7.3969466")</f>
        <v>7.3969466</v>
      </c>
      <c r="Z169" s="4" t="str">
        <f>IFERROR(__xludf.DUMMYFUNCTION("""COMPUTED_VALUE"""),"3.008815")</f>
        <v>3.008815</v>
      </c>
      <c r="AA169" s="4" t="str">
        <f t="shared" si="1"/>
        <v>Neighbor</v>
      </c>
      <c r="AC169" s="4">
        <f>IFERROR(__xludf.DUMMYFUNCTION("IFERROR(ABS(O169-AVERAGE(FILTER(O169:O4237,AA169:AA4237=""Neighbor""))) / STDEV(FILTER(O169:O4237, AA169:AA4237 =""Neighbor"")), """")"),0.4070766645720319)</f>
        <v>0.4070766646</v>
      </c>
      <c r="AD169" s="4">
        <f>IFERROR(__xludf.DUMMYFUNCTION("IFERROR(ABS(P169-AVERAGE(FILTER(O169:P4237,AA169:AA4237=""Neighbor""))) / STDEV(FILTER(P169:P4237, AA169:AA4237 =""Neighbor"")), """")"),1.582275769699103)</f>
        <v>1.58227577</v>
      </c>
      <c r="AE169" s="2">
        <f>IFERROR(__xludf.DUMMYFUNCTION("IFERROR(ABS(Q169-AVERAGE(FILTER(Q169:Q4237,AA169:AA4237=""Neighbor""))) / STDEV(FILTER(Q169:Q4237, AA169:AA4237 =""Neighbor"")), """")"),0.4126670734450605)</f>
        <v>0.4126670734</v>
      </c>
      <c r="AF169" s="2">
        <f>IFERROR(__xludf.DUMMYFUNCTION("IFERROR(ABS(R169-AVERAGE(FILTER(R169:R4237,AA169:AA4237=""Neighbor""))) / STDEV(FILTER(R169:R4237, AA169:AA4237 =""Neighbor"")), """")"),0.10215073762548568)</f>
        <v>0.1021507376</v>
      </c>
    </row>
    <row r="170">
      <c r="A170" s="2" t="s">
        <v>28</v>
      </c>
      <c r="B170" s="2" t="s">
        <v>29</v>
      </c>
      <c r="C170" s="2" t="s">
        <v>669</v>
      </c>
      <c r="D170" s="2" t="s">
        <v>722</v>
      </c>
      <c r="E170" s="2" t="s">
        <v>723</v>
      </c>
      <c r="F170" s="2">
        <v>86.0</v>
      </c>
      <c r="G170" s="2">
        <v>724.0</v>
      </c>
      <c r="H170" s="2" t="b">
        <v>1</v>
      </c>
      <c r="I170" s="2">
        <v>-1.0</v>
      </c>
      <c r="J170" s="2" t="b">
        <v>0</v>
      </c>
      <c r="K170" s="2" t="b">
        <v>1</v>
      </c>
      <c r="L170" s="2" t="b">
        <v>0</v>
      </c>
      <c r="M170" s="2" t="b">
        <v>0</v>
      </c>
      <c r="N170" s="2" t="s">
        <v>33</v>
      </c>
      <c r="O170" s="2">
        <v>49.0</v>
      </c>
      <c r="P170" s="2">
        <v>2.0</v>
      </c>
      <c r="Q170" s="2">
        <v>16.0</v>
      </c>
      <c r="R170" s="2">
        <v>0.0</v>
      </c>
      <c r="S170" s="3" t="s">
        <v>724</v>
      </c>
      <c r="T170" s="2" t="s">
        <v>725</v>
      </c>
      <c r="Y170" s="4" t="str">
        <f>IFERROR(__xludf.DUMMYFUNCTION("""COMPUTED_VALUE"""),"7.3969466")</f>
        <v>7.3969466</v>
      </c>
      <c r="Z170" s="4" t="str">
        <f>IFERROR(__xludf.DUMMYFUNCTION("""COMPUTED_VALUE"""),"3.008815")</f>
        <v>3.008815</v>
      </c>
      <c r="AA170" s="4" t="str">
        <f t="shared" si="1"/>
        <v>Not Neighbor</v>
      </c>
      <c r="AC170" s="4">
        <f>IFERROR(__xludf.DUMMYFUNCTION("IFERROR(ABS(O170-AVERAGE(FILTER(O170:O4238,AA170:AA4238=""Neighbor""))) / STDEV(FILTER(O170:O4238, AA170:AA4238 =""Neighbor"")), """")"),0.40721616427690055)</f>
        <v>0.4072161643</v>
      </c>
      <c r="AD170" s="4">
        <f>IFERROR(__xludf.DUMMYFUNCTION("IFERROR(ABS(P170-AVERAGE(FILTER(O170:P4238,AA170:AA4238=""Neighbor""))) / STDEV(FILTER(P170:P4238, AA170:AA4238 =""Neighbor"")), """")"),1.543272980829942)</f>
        <v>1.543272981</v>
      </c>
      <c r="AE170" s="2">
        <f>IFERROR(__xludf.DUMMYFUNCTION("IFERROR(ABS(Q170-AVERAGE(FILTER(Q170:Q4238,AA170:AA4238=""Neighbor""))) / STDEV(FILTER(Q170:Q4238, AA170:AA4238 =""Neighbor"")), """")"),0.3698054684130128)</f>
        <v>0.3698054684</v>
      </c>
      <c r="AF170" s="2">
        <f>IFERROR(__xludf.DUMMYFUNCTION("IFERROR(ABS(R170-AVERAGE(FILTER(R170:R4238,AA170:AA4238=""Neighbor""))) / STDEV(FILTER(R170:R4238, AA170:AA4238 =""Neighbor"")), """")"),0.10218107364863105)</f>
        <v>0.1021810736</v>
      </c>
    </row>
    <row r="171">
      <c r="A171" s="2" t="s">
        <v>28</v>
      </c>
      <c r="B171" s="2" t="s">
        <v>29</v>
      </c>
      <c r="C171" s="2" t="s">
        <v>669</v>
      </c>
      <c r="D171" s="2" t="s">
        <v>726</v>
      </c>
      <c r="E171" s="2" t="s">
        <v>727</v>
      </c>
      <c r="F171" s="2">
        <v>58.0</v>
      </c>
      <c r="G171" s="2">
        <v>330.0</v>
      </c>
      <c r="H171" s="2" t="b">
        <v>1</v>
      </c>
      <c r="I171" s="2">
        <v>-1.0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s">
        <v>33</v>
      </c>
      <c r="O171" s="2">
        <v>20.0</v>
      </c>
      <c r="P171" s="2">
        <v>1.0</v>
      </c>
      <c r="Q171" s="2">
        <v>22.0</v>
      </c>
      <c r="R171" s="2">
        <v>0.0</v>
      </c>
      <c r="S171" s="3" t="s">
        <v>728</v>
      </c>
      <c r="T171" s="2" t="s">
        <v>729</v>
      </c>
      <c r="Y171" s="4" t="str">
        <f>IFERROR(__xludf.DUMMYFUNCTION("""COMPUTED_VALUE"""),"7.3193213")</f>
        <v>7.3193213</v>
      </c>
      <c r="Z171" s="4" t="str">
        <f>IFERROR(__xludf.DUMMYFUNCTION("""COMPUTED_VALUE"""),"3.1177555")</f>
        <v>3.1177555</v>
      </c>
      <c r="AA171" s="4" t="str">
        <f t="shared" si="1"/>
        <v>Neighbor</v>
      </c>
      <c r="AC171" s="4">
        <f>IFERROR(__xludf.DUMMYFUNCTION("IFERROR(ABS(O171-AVERAGE(FILTER(O171:O4239,AA171:AA4239=""Neighbor""))) / STDEV(FILTER(O171:O4239, AA171:AA4239 =""Neighbor"")), """")"),1.0858868278397007)</f>
        <v>1.085886828</v>
      </c>
      <c r="AD171" s="4">
        <f>IFERROR(__xludf.DUMMYFUNCTION("IFERROR(ABS(P171-AVERAGE(FILTER(O171:P4239,AA171:AA4239=""Neighbor""))) / STDEV(FILTER(P171:P4239, AA171:AA4239 =""Neighbor"")), """")"),1.58236122808349)</f>
        <v>1.582361228</v>
      </c>
      <c r="AE171" s="2">
        <f>IFERROR(__xludf.DUMMYFUNCTION("IFERROR(ABS(Q171-AVERAGE(FILTER(Q171:Q4239,AA171:AA4239=""Neighbor""))) / STDEV(FILTER(Q171:Q4239, AA171:AA4239 =""Neighbor"")), """")"),0.11178400471421458)</f>
        <v>0.1117840047</v>
      </c>
      <c r="AF171" s="2">
        <f>IFERROR(__xludf.DUMMYFUNCTION("IFERROR(ABS(R171-AVERAGE(FILTER(R171:R4239,AA171:AA4239=""Neighbor""))) / STDEV(FILTER(R171:R4239, AA171:AA4239 =""Neighbor"")), """")"),0.10218107364863105)</f>
        <v>0.1021810736</v>
      </c>
    </row>
    <row r="172">
      <c r="A172" s="2" t="s">
        <v>28</v>
      </c>
      <c r="B172" s="2" t="s">
        <v>29</v>
      </c>
      <c r="C172" s="2" t="s">
        <v>669</v>
      </c>
      <c r="D172" s="2" t="s">
        <v>730</v>
      </c>
      <c r="E172" s="2" t="s">
        <v>731</v>
      </c>
      <c r="F172" s="2">
        <v>14.0</v>
      </c>
      <c r="G172" s="2">
        <v>169.0</v>
      </c>
      <c r="H172" s="2" t="b">
        <v>1</v>
      </c>
      <c r="I172" s="2">
        <v>-1.0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s">
        <v>33</v>
      </c>
      <c r="O172" s="2">
        <v>10.0</v>
      </c>
      <c r="P172" s="2">
        <v>0.0</v>
      </c>
      <c r="Q172" s="2">
        <v>1.0</v>
      </c>
      <c r="R172" s="2">
        <v>0.0</v>
      </c>
      <c r="S172" s="3" t="s">
        <v>732</v>
      </c>
      <c r="T172" s="2" t="s">
        <v>733</v>
      </c>
      <c r="Y172" s="4" t="str">
        <f>IFERROR(__xludf.DUMMYFUNCTION("""COMPUTED_VALUE"""),"7.3193213")</f>
        <v>7.3193213</v>
      </c>
      <c r="Z172" s="4" t="str">
        <f>IFERROR(__xludf.DUMMYFUNCTION("""COMPUTED_VALUE"""),"3.1177555")</f>
        <v>3.1177555</v>
      </c>
      <c r="AA172" s="4" t="str">
        <f t="shared" si="1"/>
        <v>Neighbor</v>
      </c>
      <c r="AC172" s="4">
        <f>IFERROR(__xludf.DUMMYFUNCTION("IFERROR(ABS(O172-AVERAGE(FILTER(O172:O4240,AA172:AA4240=""Neighbor""))) / STDEV(FILTER(O172:O4240, AA172:AA4240 =""Neighbor"")), """")"),1.3206202663206243)</f>
        <v>1.320620266</v>
      </c>
      <c r="AD172" s="4">
        <f>IFERROR(__xludf.DUMMYFUNCTION("IFERROR(ABS(P172-AVERAGE(FILTER(O172:P4240,AA172:AA4240=""Neighbor""))) / STDEV(FILTER(P172:P4240, AA172:AA4240 =""Neighbor"")), """")"),1.6218615476677671)</f>
        <v>1.621861548</v>
      </c>
      <c r="AE172" s="2">
        <f>IFERROR(__xludf.DUMMYFUNCTION("IFERROR(ABS(Q172-AVERAGE(FILTER(Q172:Q4240,AA172:AA4240=""Neighbor""))) / STDEV(FILTER(Q172:Q4240, AA172:AA4240 =""Neighbor"")), """")"),1.0146299280314968)</f>
        <v>1.014629928</v>
      </c>
      <c r="AF172" s="2">
        <f>IFERROR(__xludf.DUMMYFUNCTION("IFERROR(ABS(R172-AVERAGE(FILTER(R172:R4240,AA172:AA4240=""Neighbor""))) / STDEV(FILTER(R172:R4240, AA172:AA4240 =""Neighbor"")), """")"),0.10221143671499448)</f>
        <v>0.1022114367</v>
      </c>
    </row>
    <row r="173">
      <c r="A173" s="2" t="s">
        <v>28</v>
      </c>
      <c r="B173" s="2" t="s">
        <v>29</v>
      </c>
      <c r="C173" s="2" t="s">
        <v>669</v>
      </c>
      <c r="D173" s="2" t="s">
        <v>734</v>
      </c>
      <c r="E173" s="2" t="s">
        <v>735</v>
      </c>
      <c r="F173" s="2">
        <v>13.0</v>
      </c>
      <c r="G173" s="2">
        <v>165.0</v>
      </c>
      <c r="H173" s="2" t="b">
        <v>1</v>
      </c>
      <c r="I173" s="2">
        <v>-1.0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s">
        <v>33</v>
      </c>
      <c r="O173" s="2">
        <v>13.0</v>
      </c>
      <c r="P173" s="2">
        <v>0.0</v>
      </c>
      <c r="Q173" s="2">
        <v>0.0</v>
      </c>
      <c r="R173" s="2">
        <v>0.0</v>
      </c>
      <c r="S173" s="3" t="s">
        <v>736</v>
      </c>
      <c r="T173" s="2" t="s">
        <v>737</v>
      </c>
      <c r="Y173" s="4" t="str">
        <f>IFERROR(__xludf.DUMMYFUNCTION("""COMPUTED_VALUE"""),"7.3193213")</f>
        <v>7.3193213</v>
      </c>
      <c r="Z173" s="4" t="str">
        <f>IFERROR(__xludf.DUMMYFUNCTION("""COMPUTED_VALUE"""),"3.1177555")</f>
        <v>3.1177555</v>
      </c>
      <c r="AA173" s="4" t="str">
        <f t="shared" si="1"/>
        <v>Not Neighbor</v>
      </c>
      <c r="AC173" s="4">
        <f>IFERROR(__xludf.DUMMYFUNCTION("IFERROR(ABS(O173-AVERAGE(FILTER(O173:O4241,AA173:AA4241=""Neighbor""))) / STDEV(FILTER(O173:O4241, AA173:AA4241 =""Neighbor"")), """")"),1.2514617446877117)</f>
        <v>1.251461745</v>
      </c>
      <c r="AD173" s="4">
        <f>IFERROR(__xludf.DUMMYFUNCTION("IFERROR(ABS(P173-AVERAGE(FILTER(O173:P4241,AA173:AA4241=""Neighbor""))) / STDEV(FILTER(P173:P4241, AA173:AA4241 =""Neighbor"")), """")"),1.622424254114924)</f>
        <v>1.622424254</v>
      </c>
      <c r="AE173" s="2">
        <f>IFERROR(__xludf.DUMMYFUNCTION("IFERROR(ABS(Q173-AVERAGE(FILTER(Q173:Q4241,AA173:AA4241=""Neighbor""))) / STDEV(FILTER(Q173:Q4241, AA173:AA4241 =""Neighbor"")), """")"),1.058227929062869)</f>
        <v>1.058227929</v>
      </c>
      <c r="AF173" s="2">
        <f>IFERROR(__xludf.DUMMYFUNCTION("IFERROR(ABS(R173-AVERAGE(FILTER(R173:R4241,AA173:AA4241=""Neighbor""))) / STDEV(FILTER(R173:R4241, AA173:AA4241 =""Neighbor"")), """")"),0.10224182686478007)</f>
        <v>0.1022418269</v>
      </c>
    </row>
    <row r="174">
      <c r="A174" s="2" t="s">
        <v>28</v>
      </c>
      <c r="B174" s="2" t="s">
        <v>29</v>
      </c>
      <c r="C174" s="2" t="s">
        <v>669</v>
      </c>
      <c r="D174" s="2" t="s">
        <v>738</v>
      </c>
      <c r="E174" s="2" t="s">
        <v>739</v>
      </c>
      <c r="F174" s="2">
        <v>48.0</v>
      </c>
      <c r="G174" s="2">
        <v>270.0</v>
      </c>
      <c r="H174" s="2" t="b">
        <v>1</v>
      </c>
      <c r="I174" s="2">
        <v>-1.0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s">
        <v>33</v>
      </c>
      <c r="O174" s="2">
        <v>33.0</v>
      </c>
      <c r="P174" s="2">
        <v>3.0</v>
      </c>
      <c r="Q174" s="2">
        <v>9.0</v>
      </c>
      <c r="R174" s="2">
        <v>0.0</v>
      </c>
      <c r="S174" s="3" t="s">
        <v>740</v>
      </c>
      <c r="T174" s="2" t="s">
        <v>741</v>
      </c>
      <c r="Y174" s="4" t="str">
        <f>IFERROR(__xludf.DUMMYFUNCTION("""COMPUTED_VALUE"""),"7.3300656")</f>
        <v>7.3300656</v>
      </c>
      <c r="Z174" s="4" t="str">
        <f>IFERROR(__xludf.DUMMYFUNCTION("""COMPUTED_VALUE"""),"3.0370438")</f>
        <v>3.0370438</v>
      </c>
      <c r="AA174" s="4" t="str">
        <f t="shared" si="1"/>
        <v>Not Neighbor</v>
      </c>
      <c r="AC174" s="4">
        <f>IFERROR(__xludf.DUMMYFUNCTION("IFERROR(ABS(O174-AVERAGE(FILTER(O174:O4242,AA174:AA4242=""Neighbor""))) / STDEV(FILTER(O174:O4242, AA174:AA4242 =""Neighbor"")), """")"),0.7832854351644327)</f>
        <v>0.7832854352</v>
      </c>
      <c r="AD174" s="4">
        <f>IFERROR(__xludf.DUMMYFUNCTION("IFERROR(ABS(P174-AVERAGE(FILTER(O174:P4242,AA174:AA4242=""Neighbor""))) / STDEV(FILTER(P174:P4242, AA174:AA4242 =""Neighbor"")), """")"),1.505201291418584)</f>
        <v>1.505201291</v>
      </c>
      <c r="AE174" s="2">
        <f>IFERROR(__xludf.DUMMYFUNCTION("IFERROR(ABS(Q174-AVERAGE(FILTER(Q174:Q4242,AA174:AA4242=""Neighbor""))) / STDEV(FILTER(Q174:Q4242, AA174:AA4242 =""Neighbor"")), """")"),0.6713047973770914)</f>
        <v>0.6713047974</v>
      </c>
      <c r="AF174" s="2">
        <f>IFERROR(__xludf.DUMMYFUNCTION("IFERROR(ABS(R174-AVERAGE(FILTER(R174:R4242,AA174:AA4242=""Neighbor""))) / STDEV(FILTER(R174:R4242, AA174:AA4242 =""Neighbor"")), """")"),0.10224182686478007)</f>
        <v>0.1022418269</v>
      </c>
    </row>
    <row r="175">
      <c r="A175" s="2" t="s">
        <v>28</v>
      </c>
      <c r="B175" s="2" t="s">
        <v>29</v>
      </c>
      <c r="C175" s="2" t="s">
        <v>669</v>
      </c>
      <c r="D175" s="2" t="s">
        <v>742</v>
      </c>
      <c r="E175" s="2" t="s">
        <v>743</v>
      </c>
      <c r="F175" s="2">
        <v>63.0</v>
      </c>
      <c r="G175" s="2">
        <v>553.0</v>
      </c>
      <c r="H175" s="2" t="b">
        <v>1</v>
      </c>
      <c r="I175" s="2">
        <v>-1.0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s">
        <v>33</v>
      </c>
      <c r="O175" s="2">
        <v>52.0</v>
      </c>
      <c r="P175" s="2">
        <v>0.0</v>
      </c>
      <c r="Q175" s="2">
        <v>2.0</v>
      </c>
      <c r="R175" s="2">
        <v>0.0</v>
      </c>
      <c r="S175" s="3" t="s">
        <v>744</v>
      </c>
      <c r="T175" s="2" t="s">
        <v>745</v>
      </c>
      <c r="Y175" s="4" t="str">
        <f>IFERROR(__xludf.DUMMYFUNCTION("""COMPUTED_VALUE"""),"7.3193213")</f>
        <v>7.3193213</v>
      </c>
      <c r="Z175" s="4" t="str">
        <f>IFERROR(__xludf.DUMMYFUNCTION("""COMPUTED_VALUE"""),"3.1177555")</f>
        <v>3.1177555</v>
      </c>
      <c r="AA175" s="4" t="str">
        <f t="shared" si="1"/>
        <v>Neighbor</v>
      </c>
      <c r="AC175" s="4">
        <f>IFERROR(__xludf.DUMMYFUNCTION("IFERROR(ABS(O175-AVERAGE(FILTER(O175:O4243,AA175:AA4243=""Neighbor""))) / STDEV(FILTER(O175:O4243, AA175:AA4243 =""Neighbor"")), """")"),0.3385179411173179)</f>
        <v>0.3385179411</v>
      </c>
      <c r="AD175" s="4">
        <f>IFERROR(__xludf.DUMMYFUNCTION("IFERROR(ABS(P175-AVERAGE(FILTER(O175:P4243,AA175:AA4243=""Neighbor""))) / STDEV(FILTER(P175:P4243, AA175:AA4243 =""Neighbor"")), """")"),1.622424254114924)</f>
        <v>1.622424254</v>
      </c>
      <c r="AE175" s="2">
        <f>IFERROR(__xludf.DUMMYFUNCTION("IFERROR(ABS(Q175-AVERAGE(FILTER(Q175:Q4243,AA175:AA4243=""Neighbor""))) / STDEV(FILTER(Q175:Q4243, AA175:AA4243 =""Neighbor"")), """")"),0.972245010910474)</f>
        <v>0.9722450109</v>
      </c>
      <c r="AF175" s="2">
        <f>IFERROR(__xludf.DUMMYFUNCTION("IFERROR(ABS(R175-AVERAGE(FILTER(R175:R4243,AA175:AA4243=""Neighbor""))) / STDEV(FILTER(R175:R4243, AA175:AA4243 =""Neighbor"")), """")"),0.10224182686478007)</f>
        <v>0.1022418269</v>
      </c>
    </row>
    <row r="176">
      <c r="A176" s="2" t="s">
        <v>28</v>
      </c>
      <c r="B176" s="2" t="s">
        <v>29</v>
      </c>
      <c r="C176" s="2" t="s">
        <v>669</v>
      </c>
      <c r="D176" s="2" t="s">
        <v>746</v>
      </c>
      <c r="E176" s="2" t="s">
        <v>747</v>
      </c>
      <c r="F176" s="2">
        <v>50.0</v>
      </c>
      <c r="G176" s="2">
        <v>344.0</v>
      </c>
      <c r="H176" s="2" t="b">
        <v>1</v>
      </c>
      <c r="I176" s="2">
        <v>-1.0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s">
        <v>33</v>
      </c>
      <c r="O176" s="2">
        <v>34.0</v>
      </c>
      <c r="P176" s="2">
        <v>2.0</v>
      </c>
      <c r="Q176" s="2">
        <v>12.0</v>
      </c>
      <c r="R176" s="2">
        <v>0.0</v>
      </c>
      <c r="S176" s="3" t="s">
        <v>748</v>
      </c>
      <c r="T176" s="2" t="s">
        <v>749</v>
      </c>
      <c r="Y176" s="4" t="str">
        <f>IFERROR(__xludf.DUMMYFUNCTION("""COMPUTED_VALUE"""),"7.3193213")</f>
        <v>7.3193213</v>
      </c>
      <c r="Z176" s="4" t="str">
        <f>IFERROR(__xludf.DUMMYFUNCTION("""COMPUTED_VALUE"""),"3.1177555")</f>
        <v>3.1177555</v>
      </c>
      <c r="AA176" s="4" t="str">
        <f t="shared" si="1"/>
        <v>Neighbor</v>
      </c>
      <c r="AC176" s="4">
        <f>IFERROR(__xludf.DUMMYFUNCTION("IFERROR(ABS(O176-AVERAGE(FILTER(O176:O4244,AA176:AA4244=""Neighbor""))) / STDEV(FILTER(O176:O4244, AA176:AA4244 =""Neighbor"")), """")"),0.7598777918442281)</f>
        <v>0.7598777918</v>
      </c>
      <c r="AD176" s="4">
        <f>IFERROR(__xludf.DUMMYFUNCTION("IFERROR(ABS(P176-AVERAGE(FILTER(O176:P4244,AA176:AA4244=""Neighbor""))) / STDEV(FILTER(P176:P4244, AA176:AA4244 =""Neighbor"")), """")"),1.5443689776442087)</f>
        <v>1.544368978</v>
      </c>
      <c r="AE176" s="2">
        <f>IFERROR(__xludf.DUMMYFUNCTION("IFERROR(ABS(Q176-AVERAGE(FILTER(Q176:Q4244,AA176:AA4244=""Neighbor""))) / STDEV(FILTER(Q176:Q4244, AA176:AA4244 =""Neighbor"")), """")"),0.5428946680734316)</f>
        <v>0.5428946681</v>
      </c>
      <c r="AF176" s="2">
        <f>IFERROR(__xludf.DUMMYFUNCTION("IFERROR(ABS(R176-AVERAGE(FILTER(R176:R4244,AA176:AA4244=""Neighbor""))) / STDEV(FILTER(R176:R4244, AA176:AA4244 =""Neighbor"")), """")"),0.10227224413827506)</f>
        <v>0.1022722441</v>
      </c>
    </row>
    <row r="177">
      <c r="A177" s="2" t="s">
        <v>28</v>
      </c>
      <c r="B177" s="2" t="s">
        <v>29</v>
      </c>
      <c r="C177" s="2" t="s">
        <v>669</v>
      </c>
      <c r="D177" s="2" t="s">
        <v>750</v>
      </c>
      <c r="E177" s="2" t="s">
        <v>751</v>
      </c>
      <c r="F177" s="2">
        <v>51.0</v>
      </c>
      <c r="G177" s="2">
        <v>185.0</v>
      </c>
      <c r="H177" s="2" t="b">
        <v>1</v>
      </c>
      <c r="I177" s="2">
        <v>-1.0</v>
      </c>
      <c r="J177" s="2" t="b">
        <v>0</v>
      </c>
      <c r="K177" s="2" t="b">
        <v>1</v>
      </c>
      <c r="L177" s="2" t="b">
        <v>0</v>
      </c>
      <c r="M177" s="2" t="b">
        <v>0</v>
      </c>
      <c r="N177" s="2" t="s">
        <v>33</v>
      </c>
      <c r="O177" s="2">
        <v>0.0</v>
      </c>
      <c r="P177" s="2">
        <v>0.0</v>
      </c>
      <c r="Q177" s="2">
        <v>0.0</v>
      </c>
      <c r="R177" s="2">
        <v>0.0</v>
      </c>
      <c r="S177" s="3" t="s">
        <v>752</v>
      </c>
      <c r="T177" s="2" t="s">
        <v>753</v>
      </c>
      <c r="Y177" s="4" t="str">
        <f>IFERROR(__xludf.DUMMYFUNCTION("""COMPUTED_VALUE"""),"7.3193213")</f>
        <v>7.3193213</v>
      </c>
      <c r="Z177" s="4" t="str">
        <f>IFERROR(__xludf.DUMMYFUNCTION("""COMPUTED_VALUE"""),"3.1177555")</f>
        <v>3.1177555</v>
      </c>
      <c r="AA177" s="4" t="str">
        <f t="shared" si="1"/>
        <v>Neighbor</v>
      </c>
      <c r="AC177" s="4">
        <f>IFERROR(__xludf.DUMMYFUNCTION("IFERROR(ABS(O177-AVERAGE(FILTER(O177:O4245,AA177:AA4245=""Neighbor""))) / STDEV(FILTER(O177:O4245, AA177:AA4245 =""Neighbor"")), """")"),1.5558241291660826)</f>
        <v>1.555824129</v>
      </c>
      <c r="AD177" s="4">
        <f>IFERROR(__xludf.DUMMYFUNCTION("IFERROR(ABS(P177-AVERAGE(FILTER(O177:P4245,AA177:AA4245=""Neighbor""))) / STDEV(FILTER(P177:P4245, AA177:AA4245 =""Neighbor"")), """")"),1.6227232941742895)</f>
        <v>1.622723294</v>
      </c>
      <c r="AE177" s="2">
        <f>IFERROR(__xludf.DUMMYFUNCTION("IFERROR(ABS(Q177-AVERAGE(FILTER(Q177:Q4245,AA177:AA4245=""Neighbor""))) / STDEV(FILTER(Q177:Q4245, AA177:AA4245 =""Neighbor"")), """")"),1.0588838233430167)</f>
        <v>1.058883823</v>
      </c>
      <c r="AF177" s="2">
        <f>IFERROR(__xludf.DUMMYFUNCTION("IFERROR(ABS(R177-AVERAGE(FILTER(R177:R4245,AA177:AA4245=""Neighbor""))) / STDEV(FILTER(R177:R4245, AA177:AA4245 =""Neighbor"")), """")"),0.10230268857585131)</f>
        <v>0.1023026886</v>
      </c>
    </row>
    <row r="178">
      <c r="A178" s="2" t="s">
        <v>28</v>
      </c>
      <c r="B178" s="2" t="s">
        <v>29</v>
      </c>
      <c r="C178" s="2" t="s">
        <v>669</v>
      </c>
      <c r="D178" s="2" t="s">
        <v>754</v>
      </c>
      <c r="E178" s="2" t="s">
        <v>755</v>
      </c>
      <c r="F178" s="2">
        <v>31.0</v>
      </c>
      <c r="G178" s="2">
        <v>126.0</v>
      </c>
      <c r="H178" s="2" t="b">
        <v>1</v>
      </c>
      <c r="I178" s="2">
        <v>-1.0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s">
        <v>33</v>
      </c>
      <c r="O178" s="2">
        <v>28.0</v>
      </c>
      <c r="P178" s="2">
        <v>2.0</v>
      </c>
      <c r="Q178" s="2">
        <v>1.0</v>
      </c>
      <c r="R178" s="2">
        <v>0.0</v>
      </c>
      <c r="S178" s="3" t="s">
        <v>756</v>
      </c>
      <c r="T178" s="2" t="s">
        <v>757</v>
      </c>
      <c r="Y178" s="4" t="str">
        <f>IFERROR(__xludf.DUMMYFUNCTION("""COMPUTED_VALUE"""),"7.3193213")</f>
        <v>7.3193213</v>
      </c>
      <c r="Z178" s="4" t="str">
        <f>IFERROR(__xludf.DUMMYFUNCTION("""COMPUTED_VALUE"""),"3.1177555")</f>
        <v>3.1177555</v>
      </c>
      <c r="AA178" s="4" t="str">
        <f t="shared" si="1"/>
        <v>Not Neighbor</v>
      </c>
      <c r="AC178" s="4">
        <f>IFERROR(__xludf.DUMMYFUNCTION("IFERROR(ABS(O178-AVERAGE(FILTER(O178:O4246,AA178:AA4246=""Neighbor""))) / STDEV(FILTER(O178:O4246, AA178:AA4246 =""Neighbor"")), """")"),0.9019264367527943)</f>
        <v>0.9019264368</v>
      </c>
      <c r="AD178" s="4">
        <f>IFERROR(__xludf.DUMMYFUNCTION("IFERROR(ABS(P178-AVERAGE(FILTER(O178:P4246,AA178:AA4246=""Neighbor""))) / STDEV(FILTER(P178:P4246, AA178:AA4246 =""Neighbor"")), """")"),1.5452967059340197)</f>
        <v>1.545296706</v>
      </c>
      <c r="AE178" s="2">
        <f>IFERROR(__xludf.DUMMYFUNCTION("IFERROR(ABS(Q178-AVERAGE(FILTER(Q178:Q4246,AA178:AA4246=""Neighbor""))) / STDEV(FILTER(Q178:Q4246, AA178:AA4246 =""Neighbor"")), """")"),1.0165632755993812)</f>
        <v>1.016563276</v>
      </c>
      <c r="AF178" s="2">
        <f>IFERROR(__xludf.DUMMYFUNCTION("IFERROR(ABS(R178-AVERAGE(FILTER(R178:R4246,AA178:AA4246=""Neighbor""))) / STDEV(FILTER(R178:R4246, AA178:AA4246 =""Neighbor"")), """")"),0.10233316021796454)</f>
        <v>0.1023331602</v>
      </c>
    </row>
    <row r="179">
      <c r="A179" s="2" t="s">
        <v>28</v>
      </c>
      <c r="B179" s="2" t="s">
        <v>29</v>
      </c>
      <c r="C179" s="2" t="s">
        <v>758</v>
      </c>
      <c r="D179" s="2" t="s">
        <v>759</v>
      </c>
      <c r="E179" s="2" t="s">
        <v>760</v>
      </c>
      <c r="F179" s="2">
        <v>205.0</v>
      </c>
      <c r="G179" s="2">
        <v>639.0</v>
      </c>
      <c r="H179" s="2" t="b">
        <v>1</v>
      </c>
      <c r="I179" s="2">
        <v>-1.0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s">
        <v>33</v>
      </c>
      <c r="O179" s="2">
        <v>111.0</v>
      </c>
      <c r="P179" s="2">
        <v>2.0</v>
      </c>
      <c r="Q179" s="2">
        <v>65.0</v>
      </c>
      <c r="R179" s="2">
        <v>1.0</v>
      </c>
      <c r="S179" s="3" t="s">
        <v>761</v>
      </c>
      <c r="T179" s="2" t="s">
        <v>762</v>
      </c>
      <c r="Y179" s="4" t="str">
        <f>IFERROR(__xludf.DUMMYFUNCTION("""COMPUTED_VALUE"""),"7.1471756")</f>
        <v>7.1471756</v>
      </c>
      <c r="Z179" s="4" t="str">
        <f>IFERROR(__xludf.DUMMYFUNCTION("""COMPUTED_VALUE"""),"3.1898914")</f>
        <v>3.1898914</v>
      </c>
      <c r="AA179" s="4" t="str">
        <f t="shared" si="1"/>
        <v>Neighbor</v>
      </c>
      <c r="AC179" s="4">
        <f>IFERROR(__xludf.DUMMYFUNCTION("IFERROR(ABS(O179-AVERAGE(FILTER(O179:O4247,AA179:AA4247=""Neighbor""))) / STDEV(FILTER(O179:O4247, AA179:AA4247 =""Neighbor"")), """")"),1.0410721200892066)</f>
        <v>1.04107212</v>
      </c>
      <c r="AD179" s="4">
        <f>IFERROR(__xludf.DUMMYFUNCTION("IFERROR(ABS(P179-AVERAGE(FILTER(O179:P4247,AA179:AA4247=""Neighbor""))) / STDEV(FILTER(P179:P4247, AA179:AA4247 =""Neighbor"")), """")"),1.5452967059340197)</f>
        <v>1.545296706</v>
      </c>
      <c r="AE179" s="2">
        <f>IFERROR(__xludf.DUMMYFUNCTION("IFERROR(ABS(Q179-AVERAGE(FILTER(Q179:Q4247,AA179:AA4247=""Neighbor""))) / STDEV(FILTER(Q179:Q4247, AA179:AA4247 =""Neighbor"")), """")"),1.7343730413368044)</f>
        <v>1.734373041</v>
      </c>
      <c r="AF179" s="2">
        <f>IFERROR(__xludf.DUMMYFUNCTION("IFERROR(ABS(R179-AVERAGE(FILTER(R179:R4247,AA179:AA4247=""Neighbor""))) / STDEV(FILTER(R179:R4247, AA179:AA4247 =""Neighbor"")), """")"),0.09544871728425881)</f>
        <v>0.09544871728</v>
      </c>
    </row>
    <row r="180">
      <c r="A180" s="2" t="s">
        <v>28</v>
      </c>
      <c r="B180" s="2" t="s">
        <v>29</v>
      </c>
      <c r="C180" s="2" t="s">
        <v>758</v>
      </c>
      <c r="D180" s="2" t="s">
        <v>763</v>
      </c>
      <c r="E180" s="2" t="s">
        <v>764</v>
      </c>
      <c r="F180" s="2">
        <v>152.0</v>
      </c>
      <c r="G180" s="2">
        <v>509.0</v>
      </c>
      <c r="H180" s="2" t="b">
        <v>1</v>
      </c>
      <c r="I180" s="2">
        <v>-1.0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s">
        <v>33</v>
      </c>
      <c r="O180" s="2">
        <v>90.0</v>
      </c>
      <c r="P180" s="2">
        <v>6.0</v>
      </c>
      <c r="Q180" s="2">
        <v>38.0</v>
      </c>
      <c r="R180" s="2">
        <v>2.0</v>
      </c>
      <c r="S180" s="3" t="s">
        <v>765</v>
      </c>
      <c r="T180" s="2" t="s">
        <v>766</v>
      </c>
      <c r="Y180" s="4" t="str">
        <f>IFERROR(__xludf.DUMMYFUNCTION("""COMPUTED_VALUE"""),"7.1471756")</f>
        <v>7.1471756</v>
      </c>
      <c r="Z180" s="4" t="str">
        <f>IFERROR(__xludf.DUMMYFUNCTION("""COMPUTED_VALUE"""),"3.1898914")</f>
        <v>3.1898914</v>
      </c>
      <c r="AA180" s="4" t="str">
        <f t="shared" si="1"/>
        <v>Not Neighbor</v>
      </c>
      <c r="AC180" s="4">
        <f>IFERROR(__xludf.DUMMYFUNCTION("IFERROR(ABS(O180-AVERAGE(FILTER(O180:O4248,AA180:AA4248=""Neighbor""))) / STDEV(FILTER(O180:O4248, AA180:AA4248 =""Neighbor"")), """")"),0.5500983635464486)</f>
        <v>0.5500983635</v>
      </c>
      <c r="AD180" s="4">
        <f>IFERROR(__xludf.DUMMYFUNCTION("IFERROR(ABS(P180-AVERAGE(FILTER(O180:P4248,AA180:AA4248=""Neighbor""))) / STDEV(FILTER(P180:P4248, AA180:AA4248 =""Neighbor"")), """")"),1.3884632709726168)</f>
        <v>1.388463271</v>
      </c>
      <c r="AE180" s="2">
        <f>IFERROR(__xludf.DUMMYFUNCTION("IFERROR(ABS(Q180-AVERAGE(FILTER(Q180:Q4248,AA180:AA4248=""Neighbor""))) / STDEV(FILTER(Q180:Q4248, AA180:AA4248 =""Neighbor"")), """")"),0.5751871303861987)</f>
        <v>0.5751871304</v>
      </c>
      <c r="AF180" s="2">
        <f>IFERROR(__xludf.DUMMYFUNCTION("IFERROR(ABS(R180-AVERAGE(FILTER(R180:R4248,AA180:AA4248=""Neighbor""))) / STDEV(FILTER(R180:R4248, AA180:AA4248 =""Neighbor"")), """")"),0.29320114967896727)</f>
        <v>0.2932011497</v>
      </c>
    </row>
    <row r="181">
      <c r="A181" s="2" t="s">
        <v>28</v>
      </c>
      <c r="B181" s="2" t="s">
        <v>29</v>
      </c>
      <c r="C181" s="2" t="s">
        <v>758</v>
      </c>
      <c r="D181" s="2" t="s">
        <v>767</v>
      </c>
      <c r="E181" s="2" t="s">
        <v>768</v>
      </c>
      <c r="F181" s="2">
        <v>69.0</v>
      </c>
      <c r="G181" s="2">
        <v>244.0</v>
      </c>
      <c r="H181" s="2" t="b">
        <v>1</v>
      </c>
      <c r="I181" s="2">
        <v>-1.0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s">
        <v>33</v>
      </c>
      <c r="O181" s="2">
        <v>28.0</v>
      </c>
      <c r="P181" s="2">
        <v>4.0</v>
      </c>
      <c r="Q181" s="2">
        <v>25.0</v>
      </c>
      <c r="R181" s="2">
        <v>0.0</v>
      </c>
      <c r="S181" s="3" t="s">
        <v>769</v>
      </c>
      <c r="T181" s="2" t="s">
        <v>770</v>
      </c>
      <c r="Y181" s="4" t="str">
        <f>IFERROR(__xludf.DUMMYFUNCTION("""COMPUTED_VALUE"""),"7.1425491")</f>
        <v>7.1425491</v>
      </c>
      <c r="Z181" s="4" t="str">
        <f>IFERROR(__xludf.DUMMYFUNCTION("""COMPUTED_VALUE"""),"3.1413447")</f>
        <v>3.1413447</v>
      </c>
      <c r="AA181" s="4" t="str">
        <f t="shared" si="1"/>
        <v>Not Neighbor</v>
      </c>
      <c r="AC181" s="4">
        <f>IFERROR(__xludf.DUMMYFUNCTION("IFERROR(ABS(O181-AVERAGE(FILTER(O181:O4249,AA181:AA4249=""Neighbor""))) / STDEV(FILTER(O181:O4249, AA181:AA4249 =""Neighbor"")), """")"),0.9013343583185062)</f>
        <v>0.9013343583</v>
      </c>
      <c r="AD181" s="4">
        <f>IFERROR(__xludf.DUMMYFUNCTION("IFERROR(ABS(P181-AVERAGE(FILTER(O181:P4249,AA181:AA4249=""Neighbor""))) / STDEV(FILTER(P181:P4249, AA181:AA4249 =""Neighbor"")), """")"),1.4665541018638206)</f>
        <v>1.466554102</v>
      </c>
      <c r="AE181" s="2">
        <f>IFERROR(__xludf.DUMMYFUNCTION("IFERROR(ABS(Q181-AVERAGE(FILTER(Q181:Q4249,AA181:AA4249=""Neighbor""))) / STDEV(FILTER(Q181:Q4249, AA181:AA4249 =""Neighbor"")), """")"),0.016071218430124202)</f>
        <v>0.01607121843</v>
      </c>
      <c r="AF181" s="2">
        <f>IFERROR(__xludf.DUMMYFUNCTION("IFERROR(ABS(R181-AVERAGE(FILTER(R181:R4249,AA181:AA4249=""Neighbor""))) / STDEV(FILTER(R181:R4249, AA181:AA4249 =""Neighbor"")), """")"),0.10224689773836597)</f>
        <v>0.1022468977</v>
      </c>
    </row>
    <row r="182">
      <c r="A182" s="2" t="s">
        <v>28</v>
      </c>
      <c r="B182" s="2" t="s">
        <v>29</v>
      </c>
      <c r="C182" s="2" t="s">
        <v>758</v>
      </c>
      <c r="D182" s="2" t="s">
        <v>771</v>
      </c>
      <c r="E182" s="2" t="s">
        <v>772</v>
      </c>
      <c r="F182" s="2">
        <v>21.0</v>
      </c>
      <c r="G182" s="2">
        <v>141.0</v>
      </c>
      <c r="H182" s="2" t="b">
        <v>1</v>
      </c>
      <c r="I182" s="2">
        <v>-1.0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s">
        <v>33</v>
      </c>
      <c r="O182" s="2">
        <v>14.0</v>
      </c>
      <c r="P182" s="2">
        <v>2.0</v>
      </c>
      <c r="Q182" s="2">
        <v>5.0</v>
      </c>
      <c r="R182" s="2">
        <v>0.0</v>
      </c>
      <c r="S182" s="3" t="s">
        <v>773</v>
      </c>
      <c r="T182" s="2" t="s">
        <v>774</v>
      </c>
      <c r="Y182" s="4" t="str">
        <f>IFERROR(__xludf.DUMMYFUNCTION("""COMPUTED_VALUE"""),"7.1037113")</f>
        <v>7.1037113</v>
      </c>
      <c r="Z182" s="4" t="str">
        <f>IFERROR(__xludf.DUMMYFUNCTION("""COMPUTED_VALUE"""),"3.1578875")</f>
        <v>3.1578875</v>
      </c>
      <c r="AA182" s="4" t="str">
        <f t="shared" si="1"/>
        <v>Not Neighbor</v>
      </c>
      <c r="AC182" s="4">
        <f>IFERROR(__xludf.DUMMYFUNCTION("IFERROR(ABS(O182-AVERAGE(FILTER(O182:O4250,AA182:AA4250=""Neighbor""))) / STDEV(FILTER(O182:O4250, AA182:AA4250 =""Neighbor"")), """")"),1.2290772309976894)</f>
        <v>1.229077231</v>
      </c>
      <c r="AD182" s="4">
        <f>IFERROR(__xludf.DUMMYFUNCTION("IFERROR(ABS(P182-AVERAGE(FILTER(O182:P4250,AA182:AA4250=""Neighbor""))) / STDEV(FILTER(P182:P4250, AA182:AA4250 =""Neighbor"")), """")"),1.5446449327550242)</f>
        <v>1.544644933</v>
      </c>
      <c r="AE182" s="2">
        <f>IFERROR(__xludf.DUMMYFUNCTION("IFERROR(ABS(Q182-AVERAGE(FILTER(Q182:Q4250,AA182:AA4250=""Neighbor""))) / STDEV(FILTER(Q182:Q4250, AA182:AA4250 =""Neighbor"")), """")"),0.8441071076561444)</f>
        <v>0.8441071077</v>
      </c>
      <c r="AF182" s="2">
        <f>IFERROR(__xludf.DUMMYFUNCTION("IFERROR(ABS(R182-AVERAGE(FILTER(R182:R4250,AA182:AA4250=""Neighbor""))) / STDEV(FILTER(R182:R4250, AA182:AA4250 =""Neighbor"")), """")"),0.10224689773836597)</f>
        <v>0.1022468977</v>
      </c>
    </row>
    <row r="183">
      <c r="A183" s="2" t="s">
        <v>28</v>
      </c>
      <c r="B183" s="2" t="s">
        <v>29</v>
      </c>
      <c r="C183" s="2" t="s">
        <v>758</v>
      </c>
      <c r="D183" s="2" t="s">
        <v>775</v>
      </c>
      <c r="E183" s="2" t="s">
        <v>776</v>
      </c>
      <c r="F183" s="2">
        <v>115.0</v>
      </c>
      <c r="G183" s="2">
        <v>327.0</v>
      </c>
      <c r="H183" s="2" t="b">
        <v>1</v>
      </c>
      <c r="I183" s="2">
        <v>-1.0</v>
      </c>
      <c r="J183" s="2" t="b">
        <v>0</v>
      </c>
      <c r="K183" s="2" t="b">
        <v>1</v>
      </c>
      <c r="L183" s="2" t="b">
        <v>0</v>
      </c>
      <c r="M183" s="2" t="b">
        <v>0</v>
      </c>
      <c r="N183" s="2" t="s">
        <v>33</v>
      </c>
      <c r="O183" s="2">
        <v>65.0</v>
      </c>
      <c r="P183" s="2">
        <v>6.0</v>
      </c>
      <c r="Q183" s="2">
        <v>15.0</v>
      </c>
      <c r="R183" s="2">
        <v>0.0</v>
      </c>
      <c r="S183" s="3" t="s">
        <v>777</v>
      </c>
      <c r="T183" s="2" t="s">
        <v>778</v>
      </c>
      <c r="Y183" s="4" t="str">
        <f>IFERROR(__xludf.DUMMYFUNCTION("""COMPUTED_VALUE"""),"7.1049783")</f>
        <v>7.1049783</v>
      </c>
      <c r="Z183" s="4" t="str">
        <f>IFERROR(__xludf.DUMMYFUNCTION("""COMPUTED_VALUE"""),"3.1691806")</f>
        <v>3.1691806</v>
      </c>
      <c r="AA183" s="4" t="str">
        <f t="shared" si="1"/>
        <v>Neighbor</v>
      </c>
      <c r="AC183" s="4">
        <f>IFERROR(__xludf.DUMMYFUNCTION("IFERROR(ABS(O183-AVERAGE(FILTER(O183:O4251,AA183:AA4251=""Neighbor""))) / STDEV(FILTER(O183:O4251, AA183:AA4251 =""Neighbor"")), """")"),0.03515676623780738)</f>
        <v>0.03515676624</v>
      </c>
      <c r="AD183" s="4">
        <f>IFERROR(__xludf.DUMMYFUNCTION("IFERROR(ABS(P183-AVERAGE(FILTER(O183:P4251,AA183:AA4251=""Neighbor""))) / STDEV(FILTER(P183:P4251, AA183:AA4251 =""Neighbor"")), """")"),1.3884632709726168)</f>
        <v>1.388463271</v>
      </c>
      <c r="AE183" s="2">
        <f>IFERROR(__xludf.DUMMYFUNCTION("IFERROR(ABS(Q183-AVERAGE(FILTER(Q183:Q4251,AA183:AA4251=""Neighbor""))) / STDEV(FILTER(Q183:Q4251, AA183:AA4251 =""Neighbor"")), """")"),0.41401794461301006)</f>
        <v>0.4140179446</v>
      </c>
      <c r="AF183" s="2">
        <f>IFERROR(__xludf.DUMMYFUNCTION("IFERROR(ABS(R183-AVERAGE(FILTER(R183:R4251,AA183:AA4251=""Neighbor""))) / STDEV(FILTER(R183:R4251, AA183:AA4251 =""Neighbor"")), """")"),0.10224689773836597)</f>
        <v>0.1022468977</v>
      </c>
    </row>
    <row r="184">
      <c r="A184" s="2" t="s">
        <v>28</v>
      </c>
      <c r="B184" s="2" t="s">
        <v>29</v>
      </c>
      <c r="C184" s="2" t="s">
        <v>758</v>
      </c>
      <c r="D184" s="2" t="s">
        <v>779</v>
      </c>
      <c r="E184" s="2" t="s">
        <v>780</v>
      </c>
      <c r="F184" s="2">
        <v>182.0</v>
      </c>
      <c r="G184" s="2">
        <v>749.0</v>
      </c>
      <c r="H184" s="2" t="b">
        <v>1</v>
      </c>
      <c r="I184" s="2">
        <v>-1.0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s">
        <v>33</v>
      </c>
      <c r="O184" s="2">
        <v>106.0</v>
      </c>
      <c r="P184" s="2">
        <v>9.0</v>
      </c>
      <c r="Q184" s="2">
        <v>45.0</v>
      </c>
      <c r="R184" s="2">
        <v>0.0</v>
      </c>
      <c r="S184" s="3" t="s">
        <v>781</v>
      </c>
      <c r="T184" s="2" t="s">
        <v>782</v>
      </c>
      <c r="Y184" s="4" t="str">
        <f>IFERROR(__xludf.DUMMYFUNCTION("""COMPUTED_VALUE"""),"7.1049783")</f>
        <v>7.1049783</v>
      </c>
      <c r="Z184" s="4" t="str">
        <f>IFERROR(__xludf.DUMMYFUNCTION("""COMPUTED_VALUE"""),"3.1691806")</f>
        <v>3.1691806</v>
      </c>
      <c r="AA184" s="4" t="str">
        <f t="shared" si="1"/>
        <v>Not Neighbor</v>
      </c>
      <c r="AC184" s="4">
        <f>IFERROR(__xludf.DUMMYFUNCTION("IFERROR(ABS(O184-AVERAGE(FILTER(O184:O4252,AA184:AA4252=""Neighbor""))) / STDEV(FILTER(O184:O4252, AA184:AA4252 =""Neighbor"")), """")"),0.9243681003000701)</f>
        <v>0.9243681003</v>
      </c>
      <c r="AD184" s="4">
        <f>IFERROR(__xludf.DUMMYFUNCTION("IFERROR(ABS(P184-AVERAGE(FILTER(O184:P4252,AA184:AA4252=""Neighbor""))) / STDEV(FILTER(P184:P4252, AA184:AA4252 =""Neighbor"")), """")"),1.2711558020511957)</f>
        <v>1.271155802</v>
      </c>
      <c r="AE184" s="2">
        <f>IFERROR(__xludf.DUMMYFUNCTION("IFERROR(ABS(Q184-AVERAGE(FILTER(Q184:Q4252,AA184:AA4252=""Neighbor""))) / STDEV(FILTER(Q184:Q4252, AA184:AA4252 =""Neighbor"")), """")"),0.8757906083715477)</f>
        <v>0.8757906084</v>
      </c>
      <c r="AF184" s="2">
        <f>IFERROR(__xludf.DUMMYFUNCTION("IFERROR(ABS(R184-AVERAGE(FILTER(R184:R4252,AA184:AA4252=""Neighbor""))) / STDEV(FILTER(R184:R4252, AA184:AA4252 =""Neighbor"")), """")"),0.10227738836943233)</f>
        <v>0.1022773884</v>
      </c>
    </row>
    <row r="185">
      <c r="A185" s="2" t="s">
        <v>28</v>
      </c>
      <c r="B185" s="2" t="s">
        <v>29</v>
      </c>
      <c r="C185" s="2" t="s">
        <v>758</v>
      </c>
      <c r="D185" s="2" t="s">
        <v>783</v>
      </c>
      <c r="E185" s="2" t="s">
        <v>784</v>
      </c>
      <c r="F185" s="2">
        <v>28.0</v>
      </c>
      <c r="G185" s="2">
        <v>122.0</v>
      </c>
      <c r="H185" s="2" t="b">
        <v>1</v>
      </c>
      <c r="I185" s="2">
        <v>-1.0</v>
      </c>
      <c r="J185" s="2" t="b">
        <v>0</v>
      </c>
      <c r="K185" s="2" t="b">
        <v>1</v>
      </c>
      <c r="L185" s="2" t="b">
        <v>0</v>
      </c>
      <c r="M185" s="2" t="b">
        <v>0</v>
      </c>
      <c r="N185" s="2" t="s">
        <v>33</v>
      </c>
      <c r="O185" s="2">
        <v>22.0</v>
      </c>
      <c r="P185" s="2">
        <v>1.0</v>
      </c>
      <c r="Q185" s="2">
        <v>4.0</v>
      </c>
      <c r="R185" s="2">
        <v>0.0</v>
      </c>
      <c r="S185" s="3" t="s">
        <v>785</v>
      </c>
      <c r="T185" s="2" t="s">
        <v>786</v>
      </c>
      <c r="Y185" s="4" t="str">
        <f>IFERROR(__xludf.DUMMYFUNCTION("""COMPUTED_VALUE"""),"7.1037113")</f>
        <v>7.1037113</v>
      </c>
      <c r="Z185" s="4" t="str">
        <f>IFERROR(__xludf.DUMMYFUNCTION("""COMPUTED_VALUE"""),"3.1578875")</f>
        <v>3.1578875</v>
      </c>
      <c r="AA185" s="4" t="str">
        <f t="shared" si="1"/>
        <v>Neighbor</v>
      </c>
      <c r="AC185" s="4">
        <f>IFERROR(__xludf.DUMMYFUNCTION("IFERROR(ABS(O185-AVERAGE(FILTER(O185:O4253,AA185:AA4253=""Neighbor""))) / STDEV(FILTER(O185:O4253, AA185:AA4253 =""Neighbor"")), """")"),1.0415090068777484)</f>
        <v>1.041509007</v>
      </c>
      <c r="AD185" s="4">
        <f>IFERROR(__xludf.DUMMYFUNCTION("IFERROR(ABS(P185-AVERAGE(FILTER(O185:P4253,AA185:AA4253=""Neighbor""))) / STDEV(FILTER(P185:P4253, AA185:AA4253 =""Neighbor"")), """")"),1.583442724589199)</f>
        <v>1.583442725</v>
      </c>
      <c r="AE185" s="2">
        <f>IFERROR(__xludf.DUMMYFUNCTION("IFERROR(ABS(Q185-AVERAGE(FILTER(Q185:Q4253,AA185:AA4253=""Neighbor""))) / STDEV(FILTER(Q185:Q4253, AA185:AA4253 =""Neighbor"")), """")"),0.8871434025583088)</f>
        <v>0.8871434026</v>
      </c>
      <c r="AF185" s="2">
        <f>IFERROR(__xludf.DUMMYFUNCTION("IFERROR(ABS(R185-AVERAGE(FILTER(R185:R4253,AA185:AA4253=""Neighbor""))) / STDEV(FILTER(R185:R4253, AA185:AA4253 =""Neighbor"")), """")"),0.10227738836943233)</f>
        <v>0.1022773884</v>
      </c>
    </row>
    <row r="186">
      <c r="A186" s="2" t="s">
        <v>28</v>
      </c>
      <c r="B186" s="2" t="s">
        <v>29</v>
      </c>
      <c r="C186" s="2" t="s">
        <v>758</v>
      </c>
      <c r="D186" s="2" t="s">
        <v>787</v>
      </c>
      <c r="E186" s="2" t="s">
        <v>788</v>
      </c>
      <c r="F186" s="2">
        <v>20.0</v>
      </c>
      <c r="G186" s="2">
        <v>133.0</v>
      </c>
      <c r="H186" s="2" t="b">
        <v>1</v>
      </c>
      <c r="I186" s="2">
        <v>-1.0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s">
        <v>33</v>
      </c>
      <c r="O186" s="2">
        <v>7.0</v>
      </c>
      <c r="P186" s="2">
        <v>0.0</v>
      </c>
      <c r="Q186" s="2">
        <v>12.0</v>
      </c>
      <c r="R186" s="2">
        <v>0.0</v>
      </c>
      <c r="S186" s="3" t="s">
        <v>789</v>
      </c>
      <c r="T186" s="2" t="s">
        <v>790</v>
      </c>
      <c r="Y186" s="4" t="str">
        <f>IFERROR(__xludf.DUMMYFUNCTION("""COMPUTED_VALUE"""),"7.1037113")</f>
        <v>7.1037113</v>
      </c>
      <c r="Z186" s="4" t="str">
        <f>IFERROR(__xludf.DUMMYFUNCTION("""COMPUTED_VALUE"""),"3.1578875")</f>
        <v>3.1578875</v>
      </c>
      <c r="AA186" s="4" t="str">
        <f t="shared" si="1"/>
        <v>Neighbor</v>
      </c>
      <c r="AC186" s="4">
        <f>IFERROR(__xludf.DUMMYFUNCTION("IFERROR(ABS(O186-AVERAGE(FILTER(O186:O4254,AA186:AA4254=""Neighbor""))) / STDEV(FILTER(O186:O4254, AA186:AA4254 =""Neighbor"")), """")"),1.3932092128219724)</f>
        <v>1.393209213</v>
      </c>
      <c r="AD186" s="4">
        <f>IFERROR(__xludf.DUMMYFUNCTION("IFERROR(ABS(P186-AVERAGE(FILTER(O186:P4254,AA186:AA4254=""Neighbor""))) / STDEV(FILTER(P186:P4254, AA186:AA4254 =""Neighbor"")), """")"),1.6228709796577308)</f>
        <v>1.62287098</v>
      </c>
      <c r="AE186" s="2">
        <f>IFERROR(__xludf.DUMMYFUNCTION("IFERROR(ABS(Q186-AVERAGE(FILTER(Q186:Q4254,AA186:AA4254=""Neighbor""))) / STDEV(FILTER(Q186:Q4254, AA186:AA4254 =""Neighbor"")), """")"),0.5436464353979268)</f>
        <v>0.5436464354</v>
      </c>
      <c r="AF186" s="2">
        <f>IFERROR(__xludf.DUMMYFUNCTION("IFERROR(ABS(R186-AVERAGE(FILTER(R186:R4254,AA186:AA4254=""Neighbor""))) / STDEV(FILTER(R186:R4254, AA186:AA4254 =""Neighbor"")), """")"),0.10230790629444668)</f>
        <v>0.1023079063</v>
      </c>
    </row>
    <row r="187">
      <c r="A187" s="2" t="s">
        <v>28</v>
      </c>
      <c r="B187" s="2" t="s">
        <v>29</v>
      </c>
      <c r="C187" s="2" t="s">
        <v>758</v>
      </c>
      <c r="D187" s="2" t="s">
        <v>791</v>
      </c>
      <c r="E187" s="2" t="s">
        <v>792</v>
      </c>
      <c r="F187" s="2">
        <v>19.0</v>
      </c>
      <c r="G187" s="2">
        <v>92.0</v>
      </c>
      <c r="H187" s="2" t="b">
        <v>1</v>
      </c>
      <c r="I187" s="2">
        <v>-1.0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s">
        <v>33</v>
      </c>
      <c r="O187" s="2">
        <v>1.0</v>
      </c>
      <c r="P187" s="2">
        <v>0.0</v>
      </c>
      <c r="Q187" s="2">
        <v>16.0</v>
      </c>
      <c r="R187" s="2">
        <v>0.0</v>
      </c>
      <c r="S187" s="3" t="s">
        <v>793</v>
      </c>
      <c r="T187" s="2" t="s">
        <v>794</v>
      </c>
      <c r="Y187" s="4" t="str">
        <f>IFERROR(__xludf.DUMMYFUNCTION("""COMPUTED_VALUE"""),"7.1037113")</f>
        <v>7.1037113</v>
      </c>
      <c r="Z187" s="4" t="str">
        <f>IFERROR(__xludf.DUMMYFUNCTION("""COMPUTED_VALUE"""),"3.1578875")</f>
        <v>3.1578875</v>
      </c>
      <c r="AA187" s="4" t="str">
        <f t="shared" si="1"/>
        <v>Not Neighbor</v>
      </c>
      <c r="AC187" s="4">
        <f>IFERROR(__xludf.DUMMYFUNCTION("IFERROR(ABS(O187-AVERAGE(FILTER(O187:O4255,AA187:AA4255=""Neighbor""))) / STDEV(FILTER(O187:O4255, AA187:AA4255 =""Neighbor"")), """")"),1.5348843588370495)</f>
        <v>1.534884359</v>
      </c>
      <c r="AD187" s="4">
        <f>IFERROR(__xludf.DUMMYFUNCTION("IFERROR(ABS(P187-AVERAGE(FILTER(O187:P4255,AA187:AA4255=""Neighbor""))) / STDEV(FILTER(P187:P4255, AA187:AA4255 =""Neighbor"")), """")"),1.6234721760378483)</f>
        <v>1.623472176</v>
      </c>
      <c r="AE187" s="2">
        <f>IFERROR(__xludf.DUMMYFUNCTION("IFERROR(ABS(Q187-AVERAGE(FILTER(Q187:Q4255,AA187:AA4255=""Neighbor""))) / STDEV(FILTER(Q187:Q4255, AA187:AA4255 =""Neighbor"")), """")"),0.3719076892953472)</f>
        <v>0.3719076893</v>
      </c>
      <c r="AF187" s="2">
        <f>IFERROR(__xludf.DUMMYFUNCTION("IFERROR(ABS(R187-AVERAGE(FILTER(R187:R4255,AA187:AA4255=""Neighbor""))) / STDEV(FILTER(R187:R4255, AA187:AA4255 =""Neighbor"")), """")"),0.10233845155415429)</f>
        <v>0.1023384516</v>
      </c>
    </row>
    <row r="188">
      <c r="A188" s="2" t="s">
        <v>28</v>
      </c>
      <c r="B188" s="2" t="s">
        <v>29</v>
      </c>
      <c r="C188" s="2" t="s">
        <v>758</v>
      </c>
      <c r="D188" s="2" t="s">
        <v>795</v>
      </c>
      <c r="E188" s="2" t="s">
        <v>796</v>
      </c>
      <c r="F188" s="2">
        <v>32.0</v>
      </c>
      <c r="G188" s="2">
        <v>151.0</v>
      </c>
      <c r="H188" s="2" t="b">
        <v>1</v>
      </c>
      <c r="I188" s="2">
        <v>-1.0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s">
        <v>33</v>
      </c>
      <c r="O188" s="2">
        <v>16.0</v>
      </c>
      <c r="P188" s="2">
        <v>5.0</v>
      </c>
      <c r="Q188" s="2">
        <v>10.0</v>
      </c>
      <c r="R188" s="2">
        <v>0.0</v>
      </c>
      <c r="S188" s="3" t="s">
        <v>797</v>
      </c>
      <c r="T188" s="2" t="s">
        <v>798</v>
      </c>
      <c r="Y188" s="4" t="str">
        <f>IFERROR(__xludf.DUMMYFUNCTION("""COMPUTED_VALUE"""),"7.1301138")</f>
        <v>7.1301138</v>
      </c>
      <c r="Z188" s="4" t="str">
        <f>IFERROR(__xludf.DUMMYFUNCTION("""COMPUTED_VALUE"""),"3.2029187")</f>
        <v>3.2029187</v>
      </c>
      <c r="AA188" s="4" t="str">
        <f t="shared" si="1"/>
        <v>Neighbor</v>
      </c>
      <c r="AC188" s="4">
        <f>IFERROR(__xludf.DUMMYFUNCTION("IFERROR(ABS(O188-AVERAGE(FILTER(O188:O4256,AA188:AA4256=""Neighbor""))) / STDEV(FILTER(O188:O4256, AA188:AA4256 =""Neighbor"")), """")"),1.1837281135213908)</f>
        <v>1.183728114</v>
      </c>
      <c r="AD188" s="4">
        <f>IFERROR(__xludf.DUMMYFUNCTION("IFERROR(ABS(P188-AVERAGE(FILTER(O188:P4256,AA188:AA4256=""Neighbor""))) / STDEV(FILTER(P188:P4256, AA188:AA4256 =""Neighbor"")), """")"),1.4283624464845275)</f>
        <v>1.428362446</v>
      </c>
      <c r="AE188" s="2">
        <f>IFERROR(__xludf.DUMMYFUNCTION("IFERROR(ABS(Q188-AVERAGE(FILTER(Q188:Q4256,AA188:AA4256=""Neighbor""))) / STDEV(FILTER(Q188:Q4256, AA188:AA4256 =""Neighbor"")), """")"),0.6298280868066659)</f>
        <v>0.6298280868</v>
      </c>
      <c r="AF188" s="2">
        <f>IFERROR(__xludf.DUMMYFUNCTION("IFERROR(ABS(R188-AVERAGE(FILTER(R188:R4256,AA188:AA4256=""Neighbor""))) / STDEV(FILTER(R188:R4256, AA188:AA4256 =""Neighbor"")), """")"),0.10233845155415429)</f>
        <v>0.1023384516</v>
      </c>
    </row>
    <row r="189">
      <c r="A189" s="2" t="s">
        <v>28</v>
      </c>
      <c r="B189" s="2" t="s">
        <v>29</v>
      </c>
      <c r="C189" s="2" t="s">
        <v>758</v>
      </c>
      <c r="D189" s="2" t="s">
        <v>799</v>
      </c>
      <c r="E189" s="2" t="s">
        <v>800</v>
      </c>
      <c r="F189" s="2">
        <v>22.0</v>
      </c>
      <c r="G189" s="2">
        <v>114.0</v>
      </c>
      <c r="H189" s="2" t="b">
        <v>1</v>
      </c>
      <c r="I189" s="2">
        <v>-1.0</v>
      </c>
      <c r="J189" s="2" t="b">
        <v>1</v>
      </c>
      <c r="K189" s="2" t="b">
        <v>0</v>
      </c>
      <c r="L189" s="2" t="b">
        <v>0</v>
      </c>
      <c r="M189" s="2" t="b">
        <v>0</v>
      </c>
      <c r="N189" s="2" t="s">
        <v>33</v>
      </c>
      <c r="O189" s="2">
        <v>13.0</v>
      </c>
      <c r="P189" s="2">
        <v>1.0</v>
      </c>
      <c r="Q189" s="2">
        <v>2.0</v>
      </c>
      <c r="R189" s="2">
        <v>0.0</v>
      </c>
      <c r="S189" s="3" t="s">
        <v>801</v>
      </c>
      <c r="T189" s="2" t="s">
        <v>802</v>
      </c>
      <c r="Y189" s="4" t="str">
        <f>IFERROR(__xludf.DUMMYFUNCTION("""COMPUTED_VALUE"""),"7.1301138")</f>
        <v>7.1301138</v>
      </c>
      <c r="Z189" s="4" t="str">
        <f>IFERROR(__xludf.DUMMYFUNCTION("""COMPUTED_VALUE"""),"3.2029187")</f>
        <v>3.2029187</v>
      </c>
      <c r="AA189" s="4" t="str">
        <f t="shared" si="1"/>
        <v>Not Neighbor</v>
      </c>
      <c r="AC189" s="4">
        <f>IFERROR(__xludf.DUMMYFUNCTION("IFERROR(ABS(O189-AVERAGE(FILTER(O189:O4257,AA189:AA4257=""Neighbor""))) / STDEV(FILTER(O189:O4257, AA189:AA4257 =""Neighbor"")), """")"),1.2548091466502873)</f>
        <v>1.254809147</v>
      </c>
      <c r="AD189" s="4">
        <f>IFERROR(__xludf.DUMMYFUNCTION("IFERROR(ABS(P189-AVERAGE(FILTER(O189:P4257,AA189:AA4257=""Neighbor""))) / STDEV(FILTER(P189:P4257, AA189:AA4257 =""Neighbor"")), """")"),1.584796227375314)</f>
        <v>1.584796227</v>
      </c>
      <c r="AE189" s="2">
        <f>IFERROR(__xludf.DUMMYFUNCTION("IFERROR(ABS(Q189-AVERAGE(FILTER(Q189:Q4257,AA189:AA4257=""Neighbor""))) / STDEV(FILTER(Q189:Q4257, AA189:AA4257 =""Neighbor"")), """")"),0.9739207687727414)</f>
        <v>0.9739207688</v>
      </c>
      <c r="AF189" s="2">
        <f>IFERROR(__xludf.DUMMYFUNCTION("IFERROR(ABS(R189-AVERAGE(FILTER(R189:R4257,AA189:AA4257=""Neighbor""))) / STDEV(FILTER(R189:R4257, AA189:AA4257 =""Neighbor"")), """")"),0.10236902418938601)</f>
        <v>0.1023690242</v>
      </c>
    </row>
    <row r="190">
      <c r="A190" s="2" t="s">
        <v>28</v>
      </c>
      <c r="B190" s="2" t="s">
        <v>29</v>
      </c>
      <c r="C190" s="2" t="s">
        <v>758</v>
      </c>
      <c r="D190" s="2" t="s">
        <v>803</v>
      </c>
      <c r="E190" s="2" t="s">
        <v>804</v>
      </c>
      <c r="F190" s="2">
        <v>44.0</v>
      </c>
      <c r="G190" s="2">
        <v>204.0</v>
      </c>
      <c r="H190" s="2" t="b">
        <v>1</v>
      </c>
      <c r="I190" s="2">
        <v>-1.0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s">
        <v>33</v>
      </c>
      <c r="O190" s="2">
        <v>0.0</v>
      </c>
      <c r="P190" s="2">
        <v>6.0</v>
      </c>
      <c r="Q190" s="2">
        <v>0.0</v>
      </c>
      <c r="R190" s="2">
        <v>0.0</v>
      </c>
      <c r="S190" s="3" t="s">
        <v>805</v>
      </c>
      <c r="T190" s="2" t="s">
        <v>806</v>
      </c>
      <c r="Y190" s="4" t="str">
        <f>IFERROR(__xludf.DUMMYFUNCTION("""COMPUTED_VALUE"""),"7.0881181")</f>
        <v>7.0881181</v>
      </c>
      <c r="Z190" s="4" t="str">
        <f>IFERROR(__xludf.DUMMYFUNCTION("""COMPUTED_VALUE"""),"3.2035466")</f>
        <v>3.2035466</v>
      </c>
      <c r="AA190" s="4" t="str">
        <f t="shared" si="1"/>
        <v>Not Neighbor</v>
      </c>
      <c r="AC190" s="4">
        <f>IFERROR(__xludf.DUMMYFUNCTION("IFERROR(ABS(O190-AVERAGE(FILTER(O190:O4258,AA190:AA4258=""Neighbor""))) / STDEV(FILTER(O190:O4258, AA190:AA4258 =""Neighbor"")), """")"),1.5591807869875454)</f>
        <v>1.559180787</v>
      </c>
      <c r="AD190" s="4">
        <f>IFERROR(__xludf.DUMMYFUNCTION("IFERROR(ABS(P190-AVERAGE(FILTER(O190:P4258,AA190:AA4258=""Neighbor""))) / STDEV(FILTER(P190:P4258, AA190:AA4258 =""Neighbor"")), """")"),1.3897323090434168)</f>
        <v>1.389732309</v>
      </c>
      <c r="AE190" s="2">
        <f>IFERROR(__xludf.DUMMYFUNCTION("IFERROR(ABS(Q190-AVERAGE(FILTER(Q190:Q4258,AA190:AA4258=""Neighbor""))) / STDEV(FILTER(Q190:Q4258, AA190:AA4258 =""Neighbor"")), """")"),1.0598788896848959)</f>
        <v>1.05987889</v>
      </c>
      <c r="AF190" s="2">
        <f>IFERROR(__xludf.DUMMYFUNCTION("IFERROR(ABS(R190-AVERAGE(FILTER(R190:R4258,AA190:AA4258=""Neighbor""))) / STDEV(FILTER(R190:R4258, AA190:AA4258 =""Neighbor"")), """")"),0.10236902418938601)</f>
        <v>0.1023690242</v>
      </c>
    </row>
    <row r="191">
      <c r="A191" s="2" t="s">
        <v>28</v>
      </c>
      <c r="B191" s="2" t="s">
        <v>29</v>
      </c>
      <c r="C191" s="2" t="s">
        <v>758</v>
      </c>
      <c r="D191" s="2" t="s">
        <v>807</v>
      </c>
      <c r="E191" s="2" t="s">
        <v>808</v>
      </c>
      <c r="F191" s="2">
        <v>33.0</v>
      </c>
      <c r="G191" s="2">
        <v>165.0</v>
      </c>
      <c r="H191" s="2" t="b">
        <v>1</v>
      </c>
      <c r="I191" s="2">
        <v>-1.0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s">
        <v>33</v>
      </c>
      <c r="O191" s="2">
        <v>13.0</v>
      </c>
      <c r="P191" s="2">
        <v>0.0</v>
      </c>
      <c r="Q191" s="2">
        <v>18.0</v>
      </c>
      <c r="R191" s="2">
        <v>0.0</v>
      </c>
      <c r="S191" s="3" t="s">
        <v>809</v>
      </c>
      <c r="T191" s="2" t="s">
        <v>810</v>
      </c>
      <c r="Y191" s="4" t="str">
        <f>IFERROR(__xludf.DUMMYFUNCTION("""COMPUTED_VALUE"""),"7.1037113")</f>
        <v>7.1037113</v>
      </c>
      <c r="Z191" s="4" t="str">
        <f>IFERROR(__xludf.DUMMYFUNCTION("""COMPUTED_VALUE"""),"3.1578875")</f>
        <v>3.1578875</v>
      </c>
      <c r="AA191" s="4" t="str">
        <f t="shared" si="1"/>
        <v>Neighbor</v>
      </c>
      <c r="AC191" s="4">
        <f>IFERROR(__xludf.DUMMYFUNCTION("IFERROR(ABS(O191-AVERAGE(FILTER(O191:O4259,AA191:AA4259=""Neighbor""))) / STDEV(FILTER(O191:O4259, AA191:AA4259 =""Neighbor"")), """")"),1.2548091466502873)</f>
        <v>1.254809147</v>
      </c>
      <c r="AD191" s="4">
        <f>IFERROR(__xludf.DUMMYFUNCTION("IFERROR(ABS(P191-AVERAGE(FILTER(O191:P4259,AA191:AA4259=""Neighbor""))) / STDEV(FILTER(P191:P4259, AA191:AA4259 =""Neighbor"")), """")"),1.6238090110416934)</f>
        <v>1.623809011</v>
      </c>
      <c r="AE191" s="2">
        <f>IFERROR(__xludf.DUMMYFUNCTION("IFERROR(ABS(Q191-AVERAGE(FILTER(Q191:Q4259,AA191:AA4259=""Neighbor""))) / STDEV(FILTER(Q191:Q4259, AA191:AA4259 =""Neighbor"")), """")"),0.28625580147550594)</f>
        <v>0.2862558015</v>
      </c>
      <c r="AF191" s="2">
        <f>IFERROR(__xludf.DUMMYFUNCTION("IFERROR(ABS(R191-AVERAGE(FILTER(R191:R4259,AA191:AA4259=""Neighbor""))) / STDEV(FILTER(R191:R4259, AA191:AA4259 =""Neighbor"")), """")"),0.10236902418938601)</f>
        <v>0.1023690242</v>
      </c>
    </row>
    <row r="192">
      <c r="A192" s="2" t="s">
        <v>28</v>
      </c>
      <c r="B192" s="2" t="s">
        <v>29</v>
      </c>
      <c r="C192" s="2" t="s">
        <v>758</v>
      </c>
      <c r="D192" s="2" t="s">
        <v>811</v>
      </c>
      <c r="E192" s="2" t="s">
        <v>812</v>
      </c>
      <c r="F192" s="2">
        <v>66.0</v>
      </c>
      <c r="G192" s="2">
        <v>155.0</v>
      </c>
      <c r="H192" s="2" t="b">
        <v>1</v>
      </c>
      <c r="I192" s="2">
        <v>-1.0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s">
        <v>33</v>
      </c>
      <c r="O192" s="2">
        <v>31.0</v>
      </c>
      <c r="P192" s="2">
        <v>2.0</v>
      </c>
      <c r="Q192" s="2">
        <v>18.0</v>
      </c>
      <c r="R192" s="2">
        <v>1.0</v>
      </c>
      <c r="S192" s="3" t="s">
        <v>813</v>
      </c>
      <c r="T192" s="2" t="s">
        <v>814</v>
      </c>
      <c r="Y192" s="4" t="str">
        <f>IFERROR(__xludf.DUMMYFUNCTION("""COMPUTED_VALUE"""),"7.1037113")</f>
        <v>7.1037113</v>
      </c>
      <c r="Z192" s="4" t="str">
        <f>IFERROR(__xludf.DUMMYFUNCTION("""COMPUTED_VALUE"""),"3.1578875")</f>
        <v>3.1578875</v>
      </c>
      <c r="AA192" s="4" t="str">
        <f t="shared" si="1"/>
        <v>Neighbor</v>
      </c>
      <c r="AC192" s="4">
        <f>IFERROR(__xludf.DUMMYFUNCTION("IFERROR(ABS(O192-AVERAGE(FILTER(O192:O4260,AA192:AA4260=""Neighbor""))) / STDEV(FILTER(O192:O4260, AA192:AA4260 =""Neighbor"")), """")"),0.8342566418338204)</f>
        <v>0.8342566418</v>
      </c>
      <c r="AD192" s="4">
        <f>IFERROR(__xludf.DUMMYFUNCTION("IFERROR(ABS(P192-AVERAGE(FILTER(O192:P4260,AA192:AA4260=""Neighbor""))) / STDEV(FILTER(P192:P4260, AA192:AA4260 =""Neighbor"")), """")"),1.5463300898971954)</f>
        <v>1.54633009</v>
      </c>
      <c r="AE192" s="2">
        <f>IFERROR(__xludf.DUMMYFUNCTION("IFERROR(ABS(Q192-AVERAGE(FILTER(Q192:Q4260,AA192:AA4260=""Neighbor""))) / STDEV(FILTER(Q192:Q4260, AA192:AA4260 =""Neighbor"")), """")"),0.28634743027332754)</f>
        <v>0.2863474303</v>
      </c>
      <c r="AF192" s="2">
        <f>IFERROR(__xludf.DUMMYFUNCTION("IFERROR(ABS(R192-AVERAGE(FILTER(R192:R4260,AA192:AA4260=""Neighbor""))) / STDEV(FILTER(R192:R4260, AA192:AA4260 =""Neighbor"")), """")"),0.09503526770317301)</f>
        <v>0.0950352677</v>
      </c>
    </row>
    <row r="193">
      <c r="A193" s="2" t="s">
        <v>28</v>
      </c>
      <c r="B193" s="2" t="s">
        <v>29</v>
      </c>
      <c r="C193" s="2" t="s">
        <v>758</v>
      </c>
      <c r="D193" s="2" t="s">
        <v>815</v>
      </c>
      <c r="E193" s="2" t="s">
        <v>816</v>
      </c>
      <c r="F193" s="2">
        <v>128.0</v>
      </c>
      <c r="G193" s="2">
        <v>358.0</v>
      </c>
      <c r="H193" s="2" t="b">
        <v>1</v>
      </c>
      <c r="I193" s="2">
        <v>-1.0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s">
        <v>33</v>
      </c>
      <c r="O193" s="2">
        <v>84.0</v>
      </c>
      <c r="P193" s="2">
        <v>6.0</v>
      </c>
      <c r="Q193" s="2">
        <v>23.0</v>
      </c>
      <c r="R193" s="2">
        <v>0.0</v>
      </c>
      <c r="S193" s="3" t="s">
        <v>817</v>
      </c>
      <c r="T193" s="2" t="s">
        <v>818</v>
      </c>
      <c r="Y193" s="4" t="str">
        <f>IFERROR(__xludf.DUMMYFUNCTION("""COMPUTED_VALUE"""),"7.1037113")</f>
        <v>7.1037113</v>
      </c>
      <c r="Z193" s="4" t="str">
        <f>IFERROR(__xludf.DUMMYFUNCTION("""COMPUTED_VALUE"""),"3.1578875")</f>
        <v>3.1578875</v>
      </c>
      <c r="AA193" s="4" t="str">
        <f t="shared" si="1"/>
        <v>Not Neighbor</v>
      </c>
      <c r="AC193" s="4">
        <f>IFERROR(__xludf.DUMMYFUNCTION("IFERROR(ABS(O193-AVERAGE(FILTER(O193:O4261,AA193:AA4261=""Neighbor""))) / STDEV(FILTER(O193:O4261, AA193:AA4261 =""Neighbor"")), """")"),0.40632391385318534)</f>
        <v>0.4063239139</v>
      </c>
      <c r="AD193" s="4">
        <f>IFERROR(__xludf.DUMMYFUNCTION("IFERROR(ABS(P193-AVERAGE(FILTER(O193:P4261,AA193:AA4261=""Neighbor""))) / STDEV(FILTER(P193:P4261, AA193:AA4261 =""Neighbor"")), """")"),1.390609399874895)</f>
        <v>1.3906094</v>
      </c>
      <c r="AE193" s="2">
        <f>IFERROR(__xludf.DUMMYFUNCTION("IFERROR(ABS(Q193-AVERAGE(FILTER(Q193:Q4261,AA193:AA4261=""Neighbor""))) / STDEV(FILTER(Q193:Q4261, AA193:AA4261 =""Neighbor"")), """")"),0.07166068215131657)</f>
        <v>0.07166068215</v>
      </c>
      <c r="AF193" s="2">
        <f>IFERROR(__xludf.DUMMYFUNCTION("IFERROR(ABS(R193-AVERAGE(FILTER(R193:R4261,AA193:AA4261=""Neighbor""))) / STDEV(FILTER(R193:R4261, AA193:AA4261 =""Neighbor"")), """")"),0.10231327814822867)</f>
        <v>0.1023132781</v>
      </c>
    </row>
    <row r="194">
      <c r="A194" s="2" t="s">
        <v>28</v>
      </c>
      <c r="B194" s="2" t="s">
        <v>29</v>
      </c>
      <c r="C194" s="2" t="s">
        <v>758</v>
      </c>
      <c r="D194" s="2" t="s">
        <v>819</v>
      </c>
      <c r="E194" s="2" t="s">
        <v>820</v>
      </c>
      <c r="F194" s="2">
        <v>53.0</v>
      </c>
      <c r="G194" s="2">
        <v>214.0</v>
      </c>
      <c r="H194" s="2" t="b">
        <v>1</v>
      </c>
      <c r="I194" s="2">
        <v>-1.0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s">
        <v>33</v>
      </c>
      <c r="O194" s="2">
        <v>30.0</v>
      </c>
      <c r="P194" s="2">
        <v>0.0</v>
      </c>
      <c r="Q194" s="2">
        <v>11.0</v>
      </c>
      <c r="R194" s="2">
        <v>0.0</v>
      </c>
      <c r="S194" s="3" t="s">
        <v>821</v>
      </c>
      <c r="T194" s="2" t="s">
        <v>822</v>
      </c>
      <c r="Y194" s="4" t="str">
        <f>IFERROR(__xludf.DUMMYFUNCTION("""COMPUTED_VALUE"""),"7.0619088")</f>
        <v>7.0619088</v>
      </c>
      <c r="Z194" s="4" t="str">
        <f>IFERROR(__xludf.DUMMYFUNCTION("""COMPUTED_VALUE"""),"3.1942073")</f>
        <v>3.1942073</v>
      </c>
      <c r="AA194" s="4" t="str">
        <f t="shared" si="1"/>
        <v>Not Neighbor</v>
      </c>
      <c r="AC194" s="4">
        <f>IFERROR(__xludf.DUMMYFUNCTION("IFERROR(ABS(O194-AVERAGE(FILTER(O194:O4262,AA194:AA4262=""Neighbor""))) / STDEV(FILTER(O194:O4262, AA194:AA4262 =""Neighbor"")), """")"),0.8580908545322292)</f>
        <v>0.8580908545</v>
      </c>
      <c r="AD194" s="4">
        <f>IFERROR(__xludf.DUMMYFUNCTION("IFERROR(ABS(P194-AVERAGE(FILTER(O194:P4262,AA194:AA4262=""Neighbor""))) / STDEV(FILTER(P194:P4262, AA194:AA4262 =""Neighbor"")), """")"),1.6245993984117681)</f>
        <v>1.624599398</v>
      </c>
      <c r="AE194" s="2">
        <f>IFERROR(__xludf.DUMMYFUNCTION("IFERROR(ABS(Q194-AVERAGE(FILTER(Q194:Q4262,AA194:AA4262=""Neighbor""))) / STDEV(FILTER(Q194:Q4262, AA194:AA4262 =""Neighbor"")), """")"),0.5871289980806735)</f>
        <v>0.5871289981</v>
      </c>
      <c r="AF194" s="2">
        <f>IFERROR(__xludf.DUMMYFUNCTION("IFERROR(ABS(R194-AVERAGE(FILTER(R194:R4262,AA194:AA4262=""Neighbor""))) / STDEV(FILTER(R194:R4262, AA194:AA4262 =""Neighbor"")), """")"),0.10231327814822867)</f>
        <v>0.1023132781</v>
      </c>
    </row>
    <row r="195">
      <c r="A195" s="2" t="s">
        <v>28</v>
      </c>
      <c r="B195" s="2" t="s">
        <v>29</v>
      </c>
      <c r="C195" s="2" t="s">
        <v>823</v>
      </c>
      <c r="D195" s="2" t="s">
        <v>824</v>
      </c>
      <c r="E195" s="2" t="s">
        <v>825</v>
      </c>
      <c r="F195" s="2">
        <v>182.0</v>
      </c>
      <c r="G195" s="2">
        <v>846.0</v>
      </c>
      <c r="H195" s="2" t="b">
        <v>1</v>
      </c>
      <c r="I195" s="2">
        <v>-1.0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s">
        <v>33</v>
      </c>
      <c r="O195" s="2">
        <v>69.0</v>
      </c>
      <c r="P195" s="2">
        <v>87.0</v>
      </c>
      <c r="Q195" s="2">
        <v>11.0</v>
      </c>
      <c r="R195" s="2">
        <v>3.0</v>
      </c>
      <c r="S195" s="3" t="s">
        <v>826</v>
      </c>
      <c r="T195" s="2" t="s">
        <v>827</v>
      </c>
      <c r="Y195" s="4" t="str">
        <f>IFERROR(__xludf.DUMMYFUNCTION("""COMPUTED_VALUE"""),"7.1365243")</f>
        <v>7.1365243</v>
      </c>
      <c r="Z195" s="4" t="str">
        <f>IFERROR(__xludf.DUMMYFUNCTION("""COMPUTED_VALUE"""),"3.292031")</f>
        <v>3.292031</v>
      </c>
      <c r="AA195" s="4" t="str">
        <f t="shared" si="1"/>
        <v>Neighbor</v>
      </c>
      <c r="AC195" s="4">
        <f>IFERROR(__xludf.DUMMYFUNCTION("IFERROR(ABS(O195-AVERAGE(FILTER(O195:O4263,AA195:AA4263=""Neighbor""))) / STDEV(FILTER(O195:O4263, AA195:AA4263 =""Neighbor"")), """")"),0.05509758930168128)</f>
        <v>0.0550975893</v>
      </c>
      <c r="AD195" s="4">
        <f>IFERROR(__xludf.DUMMYFUNCTION("IFERROR(ABS(P195-AVERAGE(FILTER(O195:P4263,AA195:AA4263=""Neighbor""))) / STDEV(FILTER(P195:P4263, AA195:AA4263 =""Neighbor"")), """")"),1.7682555803728932)</f>
        <v>1.76825558</v>
      </c>
      <c r="AE195" s="2">
        <f>IFERROR(__xludf.DUMMYFUNCTION("IFERROR(ABS(Q195-AVERAGE(FILTER(Q195:Q4263,AA195:AA4263=""Neighbor""))) / STDEV(FILTER(Q195:Q4263, AA195:AA4263 =""Neighbor"")), """")"),0.5871289980806735)</f>
        <v>0.5871289981</v>
      </c>
      <c r="AF195" s="2">
        <f>IFERROR(__xludf.DUMMYFUNCTION("IFERROR(ABS(R195-AVERAGE(FILTER(R195:R4263,AA195:AA4263=""Neighbor""))) / STDEV(FILTER(R195:R4263, AA195:AA4263 =""Neighbor"")), """")"),0.48981751104334853)</f>
        <v>0.489817511</v>
      </c>
    </row>
    <row r="196">
      <c r="A196" s="2" t="s">
        <v>28</v>
      </c>
      <c r="B196" s="2" t="s">
        <v>29</v>
      </c>
      <c r="C196" s="2" t="s">
        <v>823</v>
      </c>
      <c r="D196" s="2" t="s">
        <v>828</v>
      </c>
      <c r="E196" s="2" t="s">
        <v>829</v>
      </c>
      <c r="F196" s="2">
        <v>178.0</v>
      </c>
      <c r="G196" s="2">
        <v>717.0</v>
      </c>
      <c r="H196" s="2" t="b">
        <v>1</v>
      </c>
      <c r="I196" s="2">
        <v>-1.0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s">
        <v>33</v>
      </c>
      <c r="O196" s="2">
        <v>79.0</v>
      </c>
      <c r="P196" s="2">
        <v>72.0</v>
      </c>
      <c r="Q196" s="2">
        <v>11.0</v>
      </c>
      <c r="R196" s="2">
        <v>0.0</v>
      </c>
      <c r="S196" s="3" t="s">
        <v>830</v>
      </c>
      <c r="T196" s="2" t="s">
        <v>831</v>
      </c>
      <c r="Y196" s="4" t="str">
        <f>IFERROR(__xludf.DUMMYFUNCTION("""COMPUTED_VALUE"""),"7.1365243")</f>
        <v>7.1365243</v>
      </c>
      <c r="Z196" s="4" t="str">
        <f>IFERROR(__xludf.DUMMYFUNCTION("""COMPUTED_VALUE"""),"3.292031")</f>
        <v>3.292031</v>
      </c>
      <c r="AA196" s="4" t="str">
        <f t="shared" si="1"/>
        <v>Not Neighbor</v>
      </c>
      <c r="AC196" s="4">
        <f>IFERROR(__xludf.DUMMYFUNCTION("IFERROR(ABS(O196-AVERAGE(FILTER(O196:O4264,AA196:AA4264=""Neighbor""))) / STDEV(FILTER(O196:O4264, AA196:AA4264 =""Neighbor"")), """")"),0.28919564175188145)</f>
        <v>0.2891956418</v>
      </c>
      <c r="AD196" s="4">
        <f>IFERROR(__xludf.DUMMYFUNCTION("IFERROR(ABS(P196-AVERAGE(FILTER(O196:P4264,AA196:AA4264=""Neighbor""))) / STDEV(FILTER(P196:P4264, AA196:AA4264 =""Neighbor"")), """")"),1.1864195091628456)</f>
        <v>1.186419509</v>
      </c>
      <c r="AE196" s="2">
        <f>IFERROR(__xludf.DUMMYFUNCTION("IFERROR(ABS(Q196-AVERAGE(FILTER(Q196:Q4264,AA196:AA4264=""Neighbor""))) / STDEV(FILTER(Q196:Q4264, AA196:AA4264 =""Neighbor"")), """")"),0.5873629341448778)</f>
        <v>0.5873629341</v>
      </c>
      <c r="AF196" s="2">
        <f>IFERROR(__xludf.DUMMYFUNCTION("IFERROR(ABS(R196-AVERAGE(FILTER(R196:R4264,AA196:AA4264=""Neighbor""))) / STDEV(FILTER(R196:R4264, AA196:AA4264 =""Neighbor"")), """")"),0.1019999450867443)</f>
        <v>0.1019999451</v>
      </c>
    </row>
    <row r="197">
      <c r="A197" s="2" t="s">
        <v>28</v>
      </c>
      <c r="B197" s="2" t="s">
        <v>29</v>
      </c>
      <c r="C197" s="2" t="s">
        <v>823</v>
      </c>
      <c r="D197" s="2" t="s">
        <v>832</v>
      </c>
      <c r="E197" s="2" t="s">
        <v>833</v>
      </c>
      <c r="F197" s="2">
        <v>87.0</v>
      </c>
      <c r="G197" s="2">
        <v>698.0</v>
      </c>
      <c r="H197" s="2" t="b">
        <v>1</v>
      </c>
      <c r="I197" s="2">
        <v>-1.0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s">
        <v>33</v>
      </c>
      <c r="O197" s="2">
        <v>50.0</v>
      </c>
      <c r="P197" s="2">
        <v>4.0</v>
      </c>
      <c r="Q197" s="2">
        <v>12.0</v>
      </c>
      <c r="R197" s="2">
        <v>0.0</v>
      </c>
      <c r="S197" s="3" t="s">
        <v>834</v>
      </c>
      <c r="T197" s="2" t="s">
        <v>835</v>
      </c>
      <c r="Y197" s="4" t="str">
        <f>IFERROR(__xludf.DUMMYFUNCTION("""COMPUTED_VALUE"""),"7.1400174")</f>
        <v>7.1400174</v>
      </c>
      <c r="Z197" s="4" t="str">
        <f>IFERROR(__xludf.DUMMYFUNCTION("""COMPUTED_VALUE"""),"3.2527054")</f>
        <v>3.2527054</v>
      </c>
      <c r="AA197" s="4" t="str">
        <f t="shared" si="1"/>
        <v>Neighbor</v>
      </c>
      <c r="AC197" s="4">
        <f>IFERROR(__xludf.DUMMYFUNCTION("IFERROR(ABS(O197-AVERAGE(FILTER(O197:O4265,AA197:AA4265=""Neighbor""))) / STDEV(FILTER(O197:O4265, AA197:AA4265 =""Neighbor"")), """")"),0.3896412444119843)</f>
        <v>0.3896412444</v>
      </c>
      <c r="AD197" s="4">
        <f>IFERROR(__xludf.DUMMYFUNCTION("IFERROR(ABS(P197-AVERAGE(FILTER(O197:P4265,AA197:AA4265=""Neighbor""))) / STDEV(FILTER(P197:P4265, AA197:AA4265 =""Neighbor"")), """")"),1.470615424619342)</f>
        <v>1.470615425</v>
      </c>
      <c r="AE197" s="2">
        <f>IFERROR(__xludf.DUMMYFUNCTION("IFERROR(ABS(Q197-AVERAGE(FILTER(Q197:Q4265,AA197:AA4265=""Neighbor""))) / STDEV(FILTER(Q197:Q4265, AA197:AA4265 =""Neighbor"")), """")"),0.5444155836810078)</f>
        <v>0.5444155837</v>
      </c>
      <c r="AF197" s="2">
        <f>IFERROR(__xludf.DUMMYFUNCTION("IFERROR(ABS(R197-AVERAGE(FILTER(R197:R4265,AA197:AA4265=""Neighbor""))) / STDEV(FILTER(R197:R4265, AA197:AA4265 =""Neighbor"")), """")"),0.1019999450867443)</f>
        <v>0.1019999451</v>
      </c>
    </row>
    <row r="198">
      <c r="A198" s="2" t="s">
        <v>28</v>
      </c>
      <c r="B198" s="2" t="s">
        <v>29</v>
      </c>
      <c r="C198" s="2" t="s">
        <v>823</v>
      </c>
      <c r="D198" s="2" t="s">
        <v>836</v>
      </c>
      <c r="E198" s="2" t="s">
        <v>837</v>
      </c>
      <c r="F198" s="2">
        <v>63.0</v>
      </c>
      <c r="G198" s="2">
        <v>405.0</v>
      </c>
      <c r="H198" s="2" t="b">
        <v>1</v>
      </c>
      <c r="I198" s="2">
        <v>-1.0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s">
        <v>33</v>
      </c>
      <c r="O198" s="2">
        <v>42.0</v>
      </c>
      <c r="P198" s="2">
        <v>0.0</v>
      </c>
      <c r="Q198" s="2">
        <v>11.0</v>
      </c>
      <c r="R198" s="2">
        <v>0.0</v>
      </c>
      <c r="S198" s="3" t="s">
        <v>838</v>
      </c>
      <c r="T198" s="2" t="s">
        <v>839</v>
      </c>
      <c r="Y198" s="4" t="str">
        <f>IFERROR(__xludf.DUMMYFUNCTION("""COMPUTED_VALUE"""),"7.1400174")</f>
        <v>7.1400174</v>
      </c>
      <c r="Z198" s="4" t="str">
        <f>IFERROR(__xludf.DUMMYFUNCTION("""COMPUTED_VALUE"""),"3.2527054")</f>
        <v>3.2527054</v>
      </c>
      <c r="AA198" s="4" t="str">
        <f t="shared" si="1"/>
        <v>Not Neighbor</v>
      </c>
      <c r="AC198" s="4">
        <f>IFERROR(__xludf.DUMMYFUNCTION("IFERROR(ABS(O198-AVERAGE(FILTER(O198:O4266,AA198:AA4266=""Neighbor""))) / STDEV(FILTER(O198:O4266, AA198:AA4266 =""Neighbor"")), """")"),0.5769925093702601)</f>
        <v>0.5769925094</v>
      </c>
      <c r="AD198" s="4">
        <f>IFERROR(__xludf.DUMMYFUNCTION("IFERROR(ABS(P198-AVERAGE(FILTER(O198:P4266,AA198:AA4266=""Neighbor""))) / STDEV(FILTER(P198:P4266, AA198:AA4266 =""Neighbor"")), """")"),1.6268856968217793)</f>
        <v>1.626885697</v>
      </c>
      <c r="AE198" s="2">
        <f>IFERROR(__xludf.DUMMYFUNCTION("IFERROR(ABS(Q198-AVERAGE(FILTER(Q198:Q4266,AA198:AA4266=""Neighbor""))) / STDEV(FILTER(Q198:Q4266, AA198:AA4266 =""Neighbor"")), """")"),0.5875632057910484)</f>
        <v>0.5875632058</v>
      </c>
      <c r="AF198" s="2">
        <f>IFERROR(__xludf.DUMMYFUNCTION("IFERROR(ABS(R198-AVERAGE(FILTER(R198:R4266,AA198:AA4266=""Neighbor""))) / STDEV(FILTER(R198:R4266, AA198:AA4266 =""Neighbor"")), """")"),0.10203048674278896)</f>
        <v>0.1020304867</v>
      </c>
    </row>
    <row r="199">
      <c r="A199" s="2" t="s">
        <v>28</v>
      </c>
      <c r="B199" s="2" t="s">
        <v>29</v>
      </c>
      <c r="C199" s="2" t="s">
        <v>823</v>
      </c>
      <c r="D199" s="2" t="s">
        <v>840</v>
      </c>
      <c r="E199" s="2" t="s">
        <v>841</v>
      </c>
      <c r="F199" s="2">
        <v>238.0</v>
      </c>
      <c r="G199" s="2">
        <v>981.0</v>
      </c>
      <c r="H199" s="2" t="b">
        <v>1</v>
      </c>
      <c r="I199" s="2">
        <v>-1.0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s">
        <v>33</v>
      </c>
      <c r="O199" s="2">
        <v>140.0</v>
      </c>
      <c r="P199" s="2">
        <v>42.0</v>
      </c>
      <c r="Q199" s="2">
        <v>33.0</v>
      </c>
      <c r="R199" s="2">
        <v>1.0</v>
      </c>
      <c r="S199" s="3" t="s">
        <v>842</v>
      </c>
      <c r="T199" s="2" t="s">
        <v>843</v>
      </c>
      <c r="Y199" s="4" t="str">
        <f>IFERROR(__xludf.DUMMYFUNCTION("""COMPUTED_VALUE"""),"7.1194545")</f>
        <v>7.1194545</v>
      </c>
      <c r="Z199" s="4" t="str">
        <f>IFERROR(__xludf.DUMMYFUNCTION("""COMPUTED_VALUE"""),"3.2966012")</f>
        <v>3.2966012</v>
      </c>
      <c r="AA199" s="4" t="str">
        <f t="shared" si="1"/>
        <v>Not Neighbor</v>
      </c>
      <c r="AC199" s="4">
        <f>IFERROR(__xludf.DUMMYFUNCTION("IFERROR(ABS(O199-AVERAGE(FILTER(O199:O4267,AA199:AA4267=""Neighbor""))) / STDEV(FILTER(O199:O4267, AA199:AA4267 =""Neighbor"")), """")"),1.7164309152545643)</f>
        <v>1.716430915</v>
      </c>
      <c r="AD199" s="4">
        <f>IFERROR(__xludf.DUMMYFUNCTION("IFERROR(ABS(P199-AVERAGE(FILTER(O199:P4267,AA199:AA4267=""Neighbor""))) / STDEV(FILTER(P199:P4267, AA199:AA4267 =""Neighbor"")), """")"),0.013855892652454212)</f>
        <v>0.01385589265</v>
      </c>
      <c r="AE199" s="2">
        <f>IFERROR(__xludf.DUMMYFUNCTION("IFERROR(ABS(Q199-AVERAGE(FILTER(Q199:Q4267,AA199:AA4267=""Neighbor""))) / STDEV(FILTER(Q199:Q4267, AA199:AA4267 =""Neighbor"")), """")"),0.3570813449090324)</f>
        <v>0.3570813449</v>
      </c>
      <c r="AF199" s="2">
        <f>IFERROR(__xludf.DUMMYFUNCTION("IFERROR(ABS(R199-AVERAGE(FILTER(R199:R4267,AA199:AA4267=""Neighbor""))) / STDEV(FILTER(R199:R4267, AA199:AA4267 =""Neighbor"")), """")"),0.09524405528512639)</f>
        <v>0.09524405529</v>
      </c>
    </row>
    <row r="200">
      <c r="A200" s="2" t="s">
        <v>28</v>
      </c>
      <c r="B200" s="2" t="s">
        <v>29</v>
      </c>
      <c r="C200" s="2" t="s">
        <v>823</v>
      </c>
      <c r="D200" s="2" t="s">
        <v>844</v>
      </c>
      <c r="E200" s="2" t="s">
        <v>845</v>
      </c>
      <c r="F200" s="2">
        <v>147.0</v>
      </c>
      <c r="G200" s="2">
        <v>1048.0</v>
      </c>
      <c r="H200" s="2" t="b">
        <v>1</v>
      </c>
      <c r="I200" s="2">
        <v>-1.0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s">
        <v>33</v>
      </c>
      <c r="O200" s="2">
        <v>0.0</v>
      </c>
      <c r="P200" s="2">
        <v>0.0</v>
      </c>
      <c r="Q200" s="2">
        <v>0.0</v>
      </c>
      <c r="R200" s="2">
        <v>0.0</v>
      </c>
      <c r="S200" s="3" t="s">
        <v>846</v>
      </c>
      <c r="T200" s="2" t="s">
        <v>847</v>
      </c>
      <c r="Y200" s="4" t="str">
        <f>IFERROR(__xludf.DUMMYFUNCTION("""COMPUTED_VALUE"""),"7.1831192")</f>
        <v>7.1831192</v>
      </c>
      <c r="Z200" s="4" t="str">
        <f>IFERROR(__xludf.DUMMYFUNCTION("""COMPUTED_VALUE"""),"3.2426497")</f>
        <v>3.2426497</v>
      </c>
      <c r="AA200" s="4" t="str">
        <f t="shared" si="1"/>
        <v>Not Neighbor</v>
      </c>
      <c r="AC200" s="4">
        <f>IFERROR(__xludf.DUMMYFUNCTION("IFERROR(ABS(O200-AVERAGE(FILTER(O200:O4268,AA200:AA4268=""Neighbor""))) / STDEV(FILTER(O200:O4268, AA200:AA4268 =""Neighbor"")), """")"),1.5598882627808992)</f>
        <v>1.559888263</v>
      </c>
      <c r="AD200" s="4">
        <f>IFERROR(__xludf.DUMMYFUNCTION("IFERROR(ABS(P200-AVERAGE(FILTER(O200:P4268,AA200:AA4268=""Neighbor""))) / STDEV(FILTER(P200:P4268, AA200:AA4268 =""Neighbor"")), """")"),1.6268856968217793)</f>
        <v>1.626885697</v>
      </c>
      <c r="AE200" s="2">
        <f>IFERROR(__xludf.DUMMYFUNCTION("IFERROR(ABS(Q200-AVERAGE(FILTER(Q200:Q4268,AA200:AA4268=""Neighbor""))) / STDEV(FILTER(Q200:Q4268, AA200:AA4268 =""Neighbor"")), """")"),1.0598854811410887)</f>
        <v>1.059885481</v>
      </c>
      <c r="AF200" s="2">
        <f>IFERROR(__xludf.DUMMYFUNCTION("IFERROR(ABS(R200-AVERAGE(FILTER(R200:R4268,AA200:AA4268=""Neighbor""))) / STDEV(FILTER(R200:R4268, AA200:AA4268 =""Neighbor"")), """")"),0.10203048674278896)</f>
        <v>0.1020304867</v>
      </c>
    </row>
    <row r="201">
      <c r="A201" s="2" t="s">
        <v>28</v>
      </c>
      <c r="B201" s="2" t="s">
        <v>29</v>
      </c>
      <c r="C201" s="2" t="s">
        <v>823</v>
      </c>
      <c r="D201" s="2" t="s">
        <v>848</v>
      </c>
      <c r="E201" s="2" t="s">
        <v>849</v>
      </c>
      <c r="F201" s="2">
        <v>151.0</v>
      </c>
      <c r="G201" s="2">
        <v>734.0</v>
      </c>
      <c r="H201" s="2" t="b">
        <v>1</v>
      </c>
      <c r="I201" s="2">
        <v>-1.0</v>
      </c>
      <c r="J201" s="2" t="b">
        <v>1</v>
      </c>
      <c r="K201" s="2" t="b">
        <v>0</v>
      </c>
      <c r="L201" s="2" t="b">
        <v>0</v>
      </c>
      <c r="M201" s="2" t="b">
        <v>0</v>
      </c>
      <c r="N201" s="2" t="s">
        <v>33</v>
      </c>
      <c r="O201" s="2">
        <v>40.0</v>
      </c>
      <c r="P201" s="2">
        <v>12.0</v>
      </c>
      <c r="Q201" s="2">
        <v>83.0</v>
      </c>
      <c r="R201" s="2">
        <v>0.0</v>
      </c>
      <c r="S201" s="3" t="s">
        <v>850</v>
      </c>
      <c r="T201" s="2" t="s">
        <v>851</v>
      </c>
      <c r="Y201" s="4" t="str">
        <f>IFERROR(__xludf.DUMMYFUNCTION("""COMPUTED_VALUE"""),"7.1400174")</f>
        <v>7.1400174</v>
      </c>
      <c r="Z201" s="4" t="str">
        <f>IFERROR(__xludf.DUMMYFUNCTION("""COMPUTED_VALUE"""),"3.2527054")</f>
        <v>3.2527054</v>
      </c>
      <c r="AA201" s="4" t="str">
        <f t="shared" si="1"/>
        <v>Not Neighbor</v>
      </c>
      <c r="AC201" s="4">
        <f>IFERROR(__xludf.DUMMYFUNCTION("IFERROR(ABS(O201-AVERAGE(FILTER(O201:O4269,AA201:AA4269=""Neighbor""))) / STDEV(FILTER(O201:O4269, AA201:AA4269 =""Neighbor"")), """")"),0.623797069056481)</f>
        <v>0.6237970691</v>
      </c>
      <c r="AD201" s="4">
        <f>IFERROR(__xludf.DUMMYFUNCTION("IFERROR(ABS(P201-AVERAGE(FILTER(O201:P4269,AA201:AA4269=""Neighbor""))) / STDEV(FILTER(P201:P4269, AA201:AA4269 =""Neighbor"")), """")"),1.158102385543427)</f>
        <v>1.158102386</v>
      </c>
      <c r="AE201" s="2">
        <f>IFERROR(__xludf.DUMMYFUNCTION("IFERROR(ABS(Q201-AVERAGE(FILTER(Q201:Q4269,AA201:AA4269=""Neighbor""))) / STDEV(FILTER(Q201:Q4269, AA201:AA4269 =""Neighbor"")), """")"),2.504000778318307)</f>
        <v>2.504000778</v>
      </c>
      <c r="AF201" s="2">
        <f>IFERROR(__xludf.DUMMYFUNCTION("IFERROR(ABS(R201-AVERAGE(FILTER(R201:R4269,AA201:AA4269=""Neighbor""))) / STDEV(FILTER(R201:R4269, AA201:AA4269 =""Neighbor"")), """")"),0.10203048674278896)</f>
        <v>0.1020304867</v>
      </c>
    </row>
    <row r="202">
      <c r="A202" s="2" t="s">
        <v>28</v>
      </c>
      <c r="B202" s="2" t="s">
        <v>29</v>
      </c>
      <c r="C202" s="2" t="s">
        <v>823</v>
      </c>
      <c r="D202" s="2" t="s">
        <v>852</v>
      </c>
      <c r="E202" s="2" t="s">
        <v>853</v>
      </c>
      <c r="F202" s="2">
        <v>181.0</v>
      </c>
      <c r="G202" s="2">
        <v>838.0</v>
      </c>
      <c r="H202" s="2" t="b">
        <v>1</v>
      </c>
      <c r="I202" s="2">
        <v>-1.0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s">
        <v>33</v>
      </c>
      <c r="O202" s="2">
        <v>111.0</v>
      </c>
      <c r="P202" s="2">
        <v>35.0</v>
      </c>
      <c r="Q202" s="2">
        <v>19.0</v>
      </c>
      <c r="R202" s="2">
        <v>0.0</v>
      </c>
      <c r="S202" s="3" t="s">
        <v>854</v>
      </c>
      <c r="T202" s="2" t="s">
        <v>855</v>
      </c>
      <c r="Y202" s="4" t="str">
        <f>IFERROR(__xludf.DUMMYFUNCTION("""COMPUTED_VALUE"""),"7.1114694")</f>
        <v>7.1114694</v>
      </c>
      <c r="Z202" s="4" t="str">
        <f>IFERROR(__xludf.DUMMYFUNCTION("""COMPUTED_VALUE"""),"3.2726146")</f>
        <v>3.2726146</v>
      </c>
      <c r="AA202" s="4" t="str">
        <f t="shared" si="1"/>
        <v>Not Neighbor</v>
      </c>
      <c r="AC202" s="4">
        <f>IFERROR(__xludf.DUMMYFUNCTION("IFERROR(ABS(O202-AVERAGE(FILTER(O202:O4270,AA202:AA4270=""Neighbor""))) / STDEV(FILTER(O202:O4270, AA202:AA4270 =""Neighbor"")), """")"),1.037764799804361)</f>
        <v>1.0377648</v>
      </c>
      <c r="AD202" s="4">
        <f>IFERROR(__xludf.DUMMYFUNCTION("IFERROR(ABS(P202-AVERAGE(FILTER(O202:P4270,AA202:AA4270=""Neighbor""))) / STDEV(FILTER(P202:P4270, AA202:AA4270 =""Neighbor"")), """")"),0.2596010389265847)</f>
        <v>0.2596010389</v>
      </c>
      <c r="AE202" s="2">
        <f>IFERROR(__xludf.DUMMYFUNCTION("IFERROR(ABS(Q202-AVERAGE(FILTER(Q202:Q4270,AA202:AA4270=""Neighbor""))) / STDEV(FILTER(Q202:Q4270, AA202:AA4270 =""Neighbor"")), """")"),0.24405609644556442)</f>
        <v>0.2440560964</v>
      </c>
      <c r="AF202" s="2">
        <f>IFERROR(__xludf.DUMMYFUNCTION("IFERROR(ABS(R202-AVERAGE(FILTER(R202:R4270,AA202:AA4270=""Neighbor""))) / STDEV(FILTER(R202:R4270, AA202:AA4270 =""Neighbor"")), """")"),0.10203048674278896)</f>
        <v>0.1020304867</v>
      </c>
    </row>
    <row r="203">
      <c r="A203" s="2" t="s">
        <v>28</v>
      </c>
      <c r="B203" s="2" t="s">
        <v>29</v>
      </c>
      <c r="C203" s="2" t="s">
        <v>823</v>
      </c>
      <c r="D203" s="2" t="s">
        <v>856</v>
      </c>
      <c r="E203" s="2" t="s">
        <v>857</v>
      </c>
      <c r="F203" s="2">
        <v>235.0</v>
      </c>
      <c r="G203" s="2">
        <v>1650.0</v>
      </c>
      <c r="H203" s="2" t="b">
        <v>1</v>
      </c>
      <c r="I203" s="2">
        <v>-1.0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s">
        <v>33</v>
      </c>
      <c r="O203" s="2">
        <v>136.0</v>
      </c>
      <c r="P203" s="2">
        <v>44.0</v>
      </c>
      <c r="Q203" s="2">
        <v>23.0</v>
      </c>
      <c r="R203" s="2">
        <v>0.0</v>
      </c>
      <c r="S203" s="3" t="s">
        <v>858</v>
      </c>
      <c r="T203" s="2" t="s">
        <v>859</v>
      </c>
      <c r="Y203" s="4" t="str">
        <f>IFERROR(__xludf.DUMMYFUNCTION("""COMPUTED_VALUE"""),"7.1355598")</f>
        <v>7.1355598</v>
      </c>
      <c r="Z203" s="4" t="str">
        <f>IFERROR(__xludf.DUMMYFUNCTION("""COMPUTED_VALUE"""),"3.4056797")</f>
        <v>3.4056797</v>
      </c>
      <c r="AA203" s="4" t="str">
        <f t="shared" si="1"/>
        <v>Not Neighbor</v>
      </c>
      <c r="AC203" s="4">
        <f>IFERROR(__xludf.DUMMYFUNCTION("IFERROR(ABS(O203-AVERAGE(FILTER(O203:O4271,AA203:AA4271=""Neighbor""))) / STDEV(FILTER(O203:O4271, AA203:AA4271 =""Neighbor"")), """")"),1.6228217958821225)</f>
        <v>1.622821796</v>
      </c>
      <c r="AD203" s="4">
        <f>IFERROR(__xludf.DUMMYFUNCTION("IFERROR(ABS(P203-AVERAGE(FILTER(O203:P4271,AA203:AA4271=""Neighbor""))) / STDEV(FILTER(P203:P4271, AA203:AA4271 =""Neighbor"")), """")"),0.09198644453217962)</f>
        <v>0.09198644453</v>
      </c>
      <c r="AE203" s="2">
        <f>IFERROR(__xludf.DUMMYFUNCTION("IFERROR(ABS(Q203-AVERAGE(FILTER(Q203:Q4271,AA203:AA4271=""Neighbor""))) / STDEV(FILTER(Q203:Q4271, AA203:AA4271 =""Neighbor"")), """")"),0.07230254177282246)</f>
        <v>0.07230254177</v>
      </c>
      <c r="AF203" s="2">
        <f>IFERROR(__xludf.DUMMYFUNCTION("IFERROR(ABS(R203-AVERAGE(FILTER(R203:R4271,AA203:AA4271=""Neighbor""))) / STDEV(FILTER(R203:R4271, AA203:AA4271 =""Neighbor"")), """")"),0.10203048674278896)</f>
        <v>0.1020304867</v>
      </c>
    </row>
    <row r="204">
      <c r="A204" s="2" t="s">
        <v>28</v>
      </c>
      <c r="B204" s="2" t="s">
        <v>29</v>
      </c>
      <c r="C204" s="2" t="s">
        <v>823</v>
      </c>
      <c r="D204" s="2" t="s">
        <v>860</v>
      </c>
      <c r="E204" s="2" t="s">
        <v>861</v>
      </c>
      <c r="F204" s="2">
        <v>47.0</v>
      </c>
      <c r="G204" s="2">
        <v>270.0</v>
      </c>
      <c r="H204" s="2" t="b">
        <v>1</v>
      </c>
      <c r="I204" s="2">
        <v>-1.0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s">
        <v>33</v>
      </c>
      <c r="O204" s="2">
        <v>12.0</v>
      </c>
      <c r="P204" s="2">
        <v>13.0</v>
      </c>
      <c r="Q204" s="2">
        <v>19.0</v>
      </c>
      <c r="R204" s="2">
        <v>0.0</v>
      </c>
      <c r="S204" s="3" t="s">
        <v>862</v>
      </c>
      <c r="T204" s="2" t="s">
        <v>863</v>
      </c>
      <c r="Y204" s="4" t="str">
        <f>IFERROR(__xludf.DUMMYFUNCTION("""COMPUTED_VALUE"""),"7.1783715")</f>
        <v>7.1783715</v>
      </c>
      <c r="Z204" s="4" t="str">
        <f>IFERROR(__xludf.DUMMYFUNCTION("""COMPUTED_VALUE"""),"3.2483058")</f>
        <v>3.2483058</v>
      </c>
      <c r="AA204" s="4" t="str">
        <f t="shared" si="1"/>
        <v>Neighbor</v>
      </c>
      <c r="AC204" s="4">
        <f>IFERROR(__xludf.DUMMYFUNCTION("IFERROR(ABS(O204-AVERAGE(FILTER(O204:O4272,AA204:AA4272=""Neighbor""))) / STDEV(FILTER(O204:O4272, AA204:AA4272 =""Neighbor"")), """")"),1.2790609046635737)</f>
        <v>1.279060905</v>
      </c>
      <c r="AD204" s="4">
        <f>IFERROR(__xludf.DUMMYFUNCTION("IFERROR(ABS(P204-AVERAGE(FILTER(O204:P4272,AA204:AA4272=""Neighbor""))) / STDEV(FILTER(P204:P4272, AA204:AA4272 =""Neighbor"")), """")"),1.1190371096035643)</f>
        <v>1.11903711</v>
      </c>
      <c r="AE204" s="2">
        <f>IFERROR(__xludf.DUMMYFUNCTION("IFERROR(ABS(Q204-AVERAGE(FILTER(Q204:Q4272,AA204:AA4272=""Neighbor""))) / STDEV(FILTER(Q204:Q4272, AA204:AA4272 =""Neighbor"")), """")"),0.24405609644556442)</f>
        <v>0.2440560964</v>
      </c>
      <c r="AF204" s="2">
        <f>IFERROR(__xludf.DUMMYFUNCTION("IFERROR(ABS(R204-AVERAGE(FILTER(R204:R4272,AA204:AA4272=""Neighbor""))) / STDEV(FILTER(R204:R4272, AA204:AA4272 =""Neighbor"")), """")"),0.10203048674278896)</f>
        <v>0.1020304867</v>
      </c>
    </row>
    <row r="205">
      <c r="A205" s="2" t="s">
        <v>28</v>
      </c>
      <c r="B205" s="2" t="s">
        <v>29</v>
      </c>
      <c r="C205" s="2" t="s">
        <v>823</v>
      </c>
      <c r="D205" s="2" t="s">
        <v>864</v>
      </c>
      <c r="E205" s="2" t="s">
        <v>865</v>
      </c>
      <c r="F205" s="2">
        <v>17.0</v>
      </c>
      <c r="G205" s="2">
        <v>263.0</v>
      </c>
      <c r="H205" s="2" t="b">
        <v>1</v>
      </c>
      <c r="I205" s="2">
        <v>-1.0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s">
        <v>33</v>
      </c>
      <c r="O205" s="2">
        <v>12.0</v>
      </c>
      <c r="P205" s="2">
        <v>1.0</v>
      </c>
      <c r="Q205" s="2">
        <v>1.0</v>
      </c>
      <c r="R205" s="2">
        <v>0.0</v>
      </c>
      <c r="S205" s="3" t="s">
        <v>866</v>
      </c>
      <c r="T205" s="2" t="s">
        <v>867</v>
      </c>
      <c r="Y205" s="4" t="str">
        <f>IFERROR(__xludf.DUMMYFUNCTION("""COMPUTED_VALUE"""),"7.1783715")</f>
        <v>7.1783715</v>
      </c>
      <c r="Z205" s="4" t="str">
        <f>IFERROR(__xludf.DUMMYFUNCTION("""COMPUTED_VALUE"""),"3.2483058")</f>
        <v>3.2483058</v>
      </c>
      <c r="AA205" s="4" t="str">
        <f t="shared" si="1"/>
        <v>Not Neighbor</v>
      </c>
      <c r="AC205" s="4">
        <f>IFERROR(__xludf.DUMMYFUNCTION("IFERROR(ABS(O205-AVERAGE(FILTER(O205:O4273,AA205:AA4273=""Neighbor""))) / STDEV(FILTER(O205:O4273, AA205:AA4273 =""Neighbor"")), """")"),1.2800621038876907)</f>
        <v>1.280062104</v>
      </c>
      <c r="AD205" s="4">
        <f>IFERROR(__xludf.DUMMYFUNCTION("IFERROR(ABS(P205-AVERAGE(FILTER(O205:P4273,AA205:AA4273=""Neighbor""))) / STDEV(FILTER(P205:P4273, AA205:AA4273 =""Neighbor"")), """")"),1.58803420513732)</f>
        <v>1.588034205</v>
      </c>
      <c r="AE205" s="2">
        <f>IFERROR(__xludf.DUMMYFUNCTION("IFERROR(ABS(Q205-AVERAGE(FILTER(Q205:Q4273,AA205:AA4273=""Neighbor""))) / STDEV(FILTER(Q205:Q4273, AA205:AA4273 =""Neighbor"")), """")"),1.0168080628924263)</f>
        <v>1.016808063</v>
      </c>
      <c r="AF205" s="2">
        <f>IFERROR(__xludf.DUMMYFUNCTION("IFERROR(ABS(R205-AVERAGE(FILTER(R205:R4273,AA205:AA4273=""Neighbor""))) / STDEV(FILTER(R205:R4273, AA205:AA4273 =""Neighbor"")), """")"),0.10206105585057877)</f>
        <v>0.1020610559</v>
      </c>
    </row>
    <row r="206">
      <c r="A206" s="2" t="s">
        <v>28</v>
      </c>
      <c r="B206" s="2" t="s">
        <v>29</v>
      </c>
      <c r="C206" s="2" t="s">
        <v>823</v>
      </c>
      <c r="D206" s="2" t="s">
        <v>868</v>
      </c>
      <c r="E206" s="2" t="s">
        <v>869</v>
      </c>
      <c r="F206" s="2">
        <v>94.0</v>
      </c>
      <c r="G206" s="2">
        <v>482.0</v>
      </c>
      <c r="H206" s="2" t="b">
        <v>1</v>
      </c>
      <c r="I206" s="2">
        <v>-1.0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s">
        <v>33</v>
      </c>
      <c r="O206" s="2">
        <v>53.0</v>
      </c>
      <c r="P206" s="2">
        <v>6.0</v>
      </c>
      <c r="Q206" s="2">
        <v>28.0</v>
      </c>
      <c r="R206" s="2">
        <v>1.0</v>
      </c>
      <c r="S206" s="3" t="s">
        <v>870</v>
      </c>
      <c r="T206" s="2" t="s">
        <v>871</v>
      </c>
      <c r="Y206" s="4" t="str">
        <f>IFERROR(__xludf.DUMMYFUNCTION("""COMPUTED_VALUE"""),"7.1416033")</f>
        <v>7.1416033</v>
      </c>
      <c r="Z206" s="4" t="str">
        <f>IFERROR(__xludf.DUMMYFUNCTION("""COMPUTED_VALUE"""),"3.2439977")</f>
        <v>3.2439977</v>
      </c>
      <c r="AA206" s="4" t="str">
        <f t="shared" si="1"/>
        <v>Neighbor</v>
      </c>
      <c r="AC206" s="4">
        <f>IFERROR(__xludf.DUMMYFUNCTION("IFERROR(ABS(O206-AVERAGE(FILTER(O206:O4274,AA206:AA4274=""Neighbor""))) / STDEV(FILTER(O206:O4274, AA206:AA4274 =""Neighbor"")), """")"),0.32038711612785487)</f>
        <v>0.3203871161</v>
      </c>
      <c r="AD206" s="4">
        <f>IFERROR(__xludf.DUMMYFUNCTION("IFERROR(ABS(P206-AVERAGE(FILTER(O206:P4274,AA206:AA4274=""Neighbor""))) / STDEV(FILTER(P206:P4274, AA206:AA4274 =""Neighbor"")), """")"),1.392764625134227)</f>
        <v>1.392764625</v>
      </c>
      <c r="AE206" s="2">
        <f>IFERROR(__xludf.DUMMYFUNCTION("IFERROR(ABS(Q206-AVERAGE(FILTER(Q206:Q4274,AA206:AA4274=""Neighbor""))) / STDEV(FILTER(Q206:Q4274, AA206:AA4274 =""Neighbor"")), """")"),0.1422048607487666)</f>
        <v>0.1422048607</v>
      </c>
      <c r="AF206" s="2">
        <f>IFERROR(__xludf.DUMMYFUNCTION("IFERROR(ABS(R206-AVERAGE(FILTER(R206:R4274,AA206:AA4274=""Neighbor""))) / STDEV(FILTER(R206:R4274, AA206:AA4274 =""Neighbor"")), """")"),0.09515554863133088)</f>
        <v>0.09515554863</v>
      </c>
    </row>
    <row r="207">
      <c r="A207" s="2" t="s">
        <v>28</v>
      </c>
      <c r="B207" s="2" t="s">
        <v>29</v>
      </c>
      <c r="C207" s="2" t="s">
        <v>823</v>
      </c>
      <c r="D207" s="2" t="s">
        <v>872</v>
      </c>
      <c r="E207" s="2" t="s">
        <v>873</v>
      </c>
      <c r="F207" s="2">
        <v>64.0</v>
      </c>
      <c r="G207" s="2">
        <v>463.0</v>
      </c>
      <c r="H207" s="2" t="b">
        <v>1</v>
      </c>
      <c r="I207" s="2">
        <v>-1.0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s">
        <v>33</v>
      </c>
      <c r="O207" s="2">
        <v>33.0</v>
      </c>
      <c r="P207" s="2">
        <v>0.0</v>
      </c>
      <c r="Q207" s="2">
        <v>20.0</v>
      </c>
      <c r="R207" s="2">
        <v>0.0</v>
      </c>
      <c r="S207" s="3" t="s">
        <v>874</v>
      </c>
      <c r="T207" s="2" t="s">
        <v>875</v>
      </c>
      <c r="Y207" s="4" t="str">
        <f>IFERROR(__xludf.DUMMYFUNCTION("""COMPUTED_VALUE"""),"7.1404403")</f>
        <v>7.1404403</v>
      </c>
      <c r="Z207" s="4" t="str">
        <f>IFERROR(__xludf.DUMMYFUNCTION("""COMPUTED_VALUE"""),"3.2423283")</f>
        <v>3.2423283</v>
      </c>
      <c r="AA207" s="4" t="str">
        <f t="shared" si="1"/>
        <v>Not Neighbor</v>
      </c>
      <c r="AC207" s="4">
        <f>IFERROR(__xludf.DUMMYFUNCTION("IFERROR(ABS(O207-AVERAGE(FILTER(O207:O4275,AA207:AA4275=""Neighbor""))) / STDEV(FILTER(O207:O4275, AA207:AA4275 =""Neighbor"")), """")"),0.7885013434660075)</f>
        <v>0.7885013435</v>
      </c>
      <c r="AD207" s="4">
        <f>IFERROR(__xludf.DUMMYFUNCTION("IFERROR(ABS(P207-AVERAGE(FILTER(O207:P4275,AA207:AA4275=""Neighbor""))) / STDEV(FILTER(P207:P4275, AA207:AA4275 =""Neighbor"")), """")"),1.6269703496126584)</f>
        <v>1.62697035</v>
      </c>
      <c r="AE207" s="2">
        <f>IFERROR(__xludf.DUMMYFUNCTION("IFERROR(ABS(Q207-AVERAGE(FILTER(Q207:Q4275,AA207:AA4275=""Neighbor""))) / STDEV(FILTER(Q207:Q4275, AA207:AA4275 =""Neighbor"")), """")"),0.20106341473852435)</f>
        <v>0.2010634147</v>
      </c>
      <c r="AF207" s="2">
        <f>IFERROR(__xludf.DUMMYFUNCTION("IFERROR(ABS(R207-AVERAGE(FILTER(R207:R4275,AA207:AA4275=""Neighbor""))) / STDEV(FILTER(R207:R4275, AA207:AA4275 =""Neighbor"")), """")"),0.1019745336091363)</f>
        <v>0.1019745336</v>
      </c>
    </row>
    <row r="208">
      <c r="A208" s="2" t="s">
        <v>28</v>
      </c>
      <c r="B208" s="2" t="s">
        <v>29</v>
      </c>
      <c r="C208" s="2" t="s">
        <v>823</v>
      </c>
      <c r="D208" s="2" t="s">
        <v>876</v>
      </c>
      <c r="E208" s="2" t="s">
        <v>877</v>
      </c>
      <c r="F208" s="2">
        <v>250.0</v>
      </c>
      <c r="G208" s="2">
        <v>1195.0</v>
      </c>
      <c r="H208" s="2" t="b">
        <v>1</v>
      </c>
      <c r="I208" s="2">
        <v>-1.0</v>
      </c>
      <c r="J208" s="2" t="b">
        <v>0</v>
      </c>
      <c r="K208" s="2" t="b">
        <v>1</v>
      </c>
      <c r="L208" s="2" t="b">
        <v>0</v>
      </c>
      <c r="M208" s="2" t="b">
        <v>0</v>
      </c>
      <c r="N208" s="2" t="s">
        <v>33</v>
      </c>
      <c r="O208" s="2">
        <v>126.0</v>
      </c>
      <c r="P208" s="2">
        <v>53.0</v>
      </c>
      <c r="Q208" s="2">
        <v>49.0</v>
      </c>
      <c r="R208" s="2">
        <v>1.0</v>
      </c>
      <c r="S208" s="3" t="s">
        <v>878</v>
      </c>
      <c r="T208" s="2" t="s">
        <v>879</v>
      </c>
      <c r="Y208" s="4" t="str">
        <f>IFERROR(__xludf.DUMMYFUNCTION("""COMPUTED_VALUE"""),"7.1783715")</f>
        <v>7.1783715</v>
      </c>
      <c r="Z208" s="4" t="str">
        <f>IFERROR(__xludf.DUMMYFUNCTION("""COMPUTED_VALUE"""),"3.2483058")</f>
        <v>3.2483058</v>
      </c>
      <c r="AA208" s="4" t="str">
        <f t="shared" si="1"/>
        <v>Neighbor</v>
      </c>
      <c r="AC208" s="4">
        <f>IFERROR(__xludf.DUMMYFUNCTION("IFERROR(ABS(O208-AVERAGE(FILTER(O208:O4276,AA208:AA4276=""Neighbor""))) / STDEV(FILTER(O208:O4276, AA208:AA4276 =""Neighbor"")), """")"),1.3877423545971952)</f>
        <v>1.387742355</v>
      </c>
      <c r="AD208" s="4">
        <f>IFERROR(__xludf.DUMMYFUNCTION("IFERROR(ABS(P208-AVERAGE(FILTER(O208:P4276,AA208:AA4276=""Neighbor""))) / STDEV(FILTER(P208:P4276, AA208:AA4276 =""Neighbor"")), """")"),0.44237864490978634)</f>
        <v>0.4423786449</v>
      </c>
      <c r="AE208" s="2">
        <f>IFERROR(__xludf.DUMMYFUNCTION("IFERROR(ABS(Q208-AVERAGE(FILTER(Q208:Q4276,AA208:AA4276=""Neighbor""))) / STDEV(FILTER(Q208:Q4276, AA208:AA4276 =""Neighbor"")), """")"),1.043440124193108)</f>
        <v>1.043440124</v>
      </c>
      <c r="AF208" s="2">
        <f>IFERROR(__xludf.DUMMYFUNCTION("IFERROR(ABS(R208-AVERAGE(FILTER(R208:R4276,AA208:AA4276=""Neighbor""))) / STDEV(FILTER(R208:R4276, AA208:AA4276 =""Neighbor"")), """")"),0.09518403653757498)</f>
        <v>0.09518403654</v>
      </c>
    </row>
    <row r="209">
      <c r="A209" s="2" t="s">
        <v>28</v>
      </c>
      <c r="B209" s="2" t="s">
        <v>29</v>
      </c>
      <c r="C209" s="2" t="s">
        <v>823</v>
      </c>
      <c r="D209" s="2" t="s">
        <v>880</v>
      </c>
      <c r="E209" s="2" t="s">
        <v>881</v>
      </c>
      <c r="F209" s="2">
        <v>47.0</v>
      </c>
      <c r="G209" s="2">
        <v>166.0</v>
      </c>
      <c r="H209" s="2" t="b">
        <v>1</v>
      </c>
      <c r="I209" s="2">
        <v>-1.0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s">
        <v>33</v>
      </c>
      <c r="O209" s="2">
        <v>29.0</v>
      </c>
      <c r="P209" s="2">
        <v>7.0</v>
      </c>
      <c r="Q209" s="2">
        <v>8.0</v>
      </c>
      <c r="R209" s="2">
        <v>0.0</v>
      </c>
      <c r="S209" s="3" t="s">
        <v>882</v>
      </c>
      <c r="T209" s="2" t="s">
        <v>883</v>
      </c>
      <c r="Y209" s="4" t="str">
        <f>IFERROR(__xludf.DUMMYFUNCTION("""COMPUTED_VALUE"""),"7.1783715")</f>
        <v>7.1783715</v>
      </c>
      <c r="Z209" s="4" t="str">
        <f>IFERROR(__xludf.DUMMYFUNCTION("""COMPUTED_VALUE"""),"3.2483058")</f>
        <v>3.2483058</v>
      </c>
      <c r="AA209" s="4" t="str">
        <f t="shared" si="1"/>
        <v>Not Neighbor</v>
      </c>
      <c r="AC209" s="4">
        <f>IFERROR(__xludf.DUMMYFUNCTION("IFERROR(ABS(O209-AVERAGE(FILTER(O209:O4277,AA209:AA4277=""Neighbor""))) / STDEV(FILTER(O209:O4277, AA209:AA4277 =""Neighbor"")), """")"),0.8815216010354141)</f>
        <v>0.881521601</v>
      </c>
      <c r="AD209" s="4">
        <f>IFERROR(__xludf.DUMMYFUNCTION("IFERROR(ABS(P209-AVERAGE(FILTER(O209:P4277,AA209:AA4277=""Neighbor""))) / STDEV(FILTER(P209:P4277, AA209:AA4277 =""Neighbor"")), """")"),1.3529592451366281)</f>
        <v>1.352959245</v>
      </c>
      <c r="AE209" s="2">
        <f>IFERROR(__xludf.DUMMYFUNCTION("IFERROR(ABS(Q209-AVERAGE(FILTER(Q209:Q4277,AA209:AA4277=""Neighbor""))) / STDEV(FILTER(Q209:Q4277, AA209:AA4277 =""Neighbor"")), """")"),0.7154294243491557)</f>
        <v>0.7154294243</v>
      </c>
      <c r="AF209" s="2">
        <f>IFERROR(__xludf.DUMMYFUNCTION("IFERROR(ABS(R209-AVERAGE(FILTER(R209:R4277,AA209:AA4277=""Neighbor""))) / STDEV(FILTER(R209:R4277, AA209:AA4277 =""Neighbor"")), """")"),0.10188796868354714)</f>
        <v>0.1018879687</v>
      </c>
    </row>
    <row r="210">
      <c r="A210" s="2" t="s">
        <v>28</v>
      </c>
      <c r="B210" s="2" t="s">
        <v>884</v>
      </c>
      <c r="C210" s="2" t="s">
        <v>885</v>
      </c>
      <c r="D210" s="2" t="s">
        <v>886</v>
      </c>
      <c r="E210" s="2" t="s">
        <v>887</v>
      </c>
      <c r="F210" s="2">
        <v>153.0</v>
      </c>
      <c r="G210" s="2">
        <v>914.0</v>
      </c>
      <c r="H210" s="2" t="b">
        <v>1</v>
      </c>
      <c r="I210" s="2">
        <v>-1.0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s">
        <v>33</v>
      </c>
      <c r="O210" s="2">
        <v>0.0</v>
      </c>
      <c r="P210" s="2">
        <v>0.0</v>
      </c>
      <c r="Q210" s="2">
        <v>0.0</v>
      </c>
      <c r="R210" s="2">
        <v>0.0</v>
      </c>
      <c r="S210" s="3" t="s">
        <v>888</v>
      </c>
      <c r="T210" s="2" t="s">
        <v>889</v>
      </c>
      <c r="Y210" s="4" t="str">
        <f>IFERROR(__xludf.DUMMYFUNCTION("""COMPUTED_VALUE"""),"7.1639848")</f>
        <v>7.1639848</v>
      </c>
      <c r="Z210" s="4" t="str">
        <f>IFERROR(__xludf.DUMMYFUNCTION("""COMPUTED_VALUE"""),"3.3536606")</f>
        <v>3.3536606</v>
      </c>
      <c r="AA210" s="4" t="str">
        <f t="shared" si="1"/>
        <v>Not Neighbor</v>
      </c>
      <c r="AC210" s="4">
        <f>IFERROR(__xludf.DUMMYFUNCTION("IFERROR(ABS(O210-AVERAGE(FILTER(O210:O4278,AA210:AA4278=""Neighbor""))) / STDEV(FILTER(O210:O4278, AA210:AA4278 =""Neighbor"")), """")"),1.5603223012505418)</f>
        <v>1.560322301</v>
      </c>
      <c r="AD210" s="4">
        <f>IFERROR(__xludf.DUMMYFUNCTION("IFERROR(ABS(P210-AVERAGE(FILTER(O210:P4278,AA210:AA4278=""Neighbor""))) / STDEV(FILTER(P210:P4278, AA210:AA4278 =""Neighbor"")), """")"),1.626352088664747)</f>
        <v>1.626352089</v>
      </c>
      <c r="AE210" s="2">
        <f>IFERROR(__xludf.DUMMYFUNCTION("IFERROR(ABS(Q210-AVERAGE(FILTER(Q210:Q4278,AA210:AA4278=""Neighbor""))) / STDEV(FILTER(Q210:Q4278, AA210:AA4278 =""Neighbor"")), """")"),1.0587498709199592)</f>
        <v>1.058749871</v>
      </c>
      <c r="AF210" s="2">
        <f>IFERROR(__xludf.DUMMYFUNCTION("IFERROR(ABS(R210-AVERAGE(FILTER(R210:R4278,AA210:AA4278=""Neighbor""))) / STDEV(FILTER(R210:R4278, AA210:AA4278 =""Neighbor"")), """")"),0.10188796868354714)</f>
        <v>0.1018879687</v>
      </c>
    </row>
    <row r="211">
      <c r="A211" s="2" t="s">
        <v>28</v>
      </c>
      <c r="B211" s="2" t="s">
        <v>884</v>
      </c>
      <c r="C211" s="2" t="s">
        <v>885</v>
      </c>
      <c r="D211" s="2" t="s">
        <v>890</v>
      </c>
      <c r="E211" s="2" t="s">
        <v>891</v>
      </c>
      <c r="F211" s="2">
        <v>149.0</v>
      </c>
      <c r="G211" s="2">
        <v>909.0</v>
      </c>
      <c r="H211" s="2" t="b">
        <v>1</v>
      </c>
      <c r="I211" s="2">
        <v>-1.0</v>
      </c>
      <c r="J211" s="2" t="b">
        <v>0</v>
      </c>
      <c r="K211" s="2" t="b">
        <v>1</v>
      </c>
      <c r="L211" s="2" t="b">
        <v>0</v>
      </c>
      <c r="M211" s="2" t="b">
        <v>0</v>
      </c>
      <c r="N211" s="2" t="s">
        <v>33</v>
      </c>
      <c r="O211" s="2">
        <v>0.0</v>
      </c>
      <c r="P211" s="2">
        <v>0.0</v>
      </c>
      <c r="Q211" s="2">
        <v>0.0</v>
      </c>
      <c r="R211" s="2">
        <v>0.0</v>
      </c>
      <c r="S211" s="3" t="s">
        <v>892</v>
      </c>
      <c r="T211" s="2" t="s">
        <v>893</v>
      </c>
      <c r="Y211" s="4" t="str">
        <f>IFERROR(__xludf.DUMMYFUNCTION("""COMPUTED_VALUE"""),"7.1722265")</f>
        <v>7.1722265</v>
      </c>
      <c r="Z211" s="4" t="str">
        <f>IFERROR(__xludf.DUMMYFUNCTION("""COMPUTED_VALUE"""),"3.3708901")</f>
        <v>3.3708901</v>
      </c>
      <c r="AA211" s="4" t="str">
        <f t="shared" si="1"/>
        <v>Not Neighbor</v>
      </c>
      <c r="AC211" s="4">
        <f>IFERROR(__xludf.DUMMYFUNCTION("IFERROR(ABS(O211-AVERAGE(FILTER(O211:O4279,AA211:AA4279=""Neighbor""))) / STDEV(FILTER(O211:O4279, AA211:AA4279 =""Neighbor"")), """")"),1.5603223012505418)</f>
        <v>1.560322301</v>
      </c>
      <c r="AD211" s="4">
        <f>IFERROR(__xludf.DUMMYFUNCTION("IFERROR(ABS(P211-AVERAGE(FILTER(O211:P4279,AA211:AA4279=""Neighbor""))) / STDEV(FILTER(P211:P4279, AA211:AA4279 =""Neighbor"")), """")"),1.626352088664747)</f>
        <v>1.626352089</v>
      </c>
      <c r="AE211" s="2">
        <f>IFERROR(__xludf.DUMMYFUNCTION("IFERROR(ABS(Q211-AVERAGE(FILTER(Q211:Q4279,AA211:AA4279=""Neighbor""))) / STDEV(FILTER(Q211:Q4279, AA211:AA4279 =""Neighbor"")), """")"),1.0587498709199592)</f>
        <v>1.058749871</v>
      </c>
      <c r="AF211" s="2">
        <f>IFERROR(__xludf.DUMMYFUNCTION("IFERROR(ABS(R211-AVERAGE(FILTER(R211:R4279,AA211:AA4279=""Neighbor""))) / STDEV(FILTER(R211:R4279, AA211:AA4279 =""Neighbor"")), """")"),0.10188796868354714)</f>
        <v>0.1018879687</v>
      </c>
    </row>
    <row r="212">
      <c r="A212" s="2" t="s">
        <v>28</v>
      </c>
      <c r="B212" s="2" t="s">
        <v>884</v>
      </c>
      <c r="C212" s="2" t="s">
        <v>885</v>
      </c>
      <c r="D212" s="2" t="s">
        <v>894</v>
      </c>
      <c r="E212" s="2" t="s">
        <v>895</v>
      </c>
      <c r="F212" s="2">
        <v>83.0</v>
      </c>
      <c r="G212" s="2">
        <v>730.0</v>
      </c>
      <c r="H212" s="2" t="b">
        <v>1</v>
      </c>
      <c r="I212" s="2">
        <v>-1.0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s">
        <v>33</v>
      </c>
      <c r="O212" s="2">
        <v>62.0</v>
      </c>
      <c r="P212" s="2">
        <v>4.0</v>
      </c>
      <c r="Q212" s="2">
        <v>20.0</v>
      </c>
      <c r="R212" s="2">
        <v>0.0</v>
      </c>
      <c r="S212" s="3" t="s">
        <v>896</v>
      </c>
      <c r="T212" s="2" t="s">
        <v>897</v>
      </c>
      <c r="Y212" s="4" t="str">
        <f>IFERROR(__xludf.DUMMYFUNCTION("""COMPUTED_VALUE"""),"7.1639848")</f>
        <v>7.1639848</v>
      </c>
      <c r="Z212" s="4" t="str">
        <f>IFERROR(__xludf.DUMMYFUNCTION("""COMPUTED_VALUE"""),"3.3536606")</f>
        <v>3.3536606</v>
      </c>
      <c r="AA212" s="4" t="str">
        <f t="shared" si="1"/>
        <v>Neighbor</v>
      </c>
      <c r="AC212" s="4">
        <f>IFERROR(__xludf.DUMMYFUNCTION("IFERROR(ABS(O212-AVERAGE(FILTER(O212:O4280,AA212:AA4280=""Neighbor""))) / STDEV(FILTER(O212:O4280, AA212:AA4280 =""Neighbor"")), """")"),0.10909321803199272)</f>
        <v>0.109093218</v>
      </c>
      <c r="AD212" s="4">
        <f>IFERROR(__xludf.DUMMYFUNCTION("IFERROR(ABS(P212-AVERAGE(FILTER(O212:P4280,AA212:AA4280=""Neighbor""))) / STDEV(FILTER(P212:P4280, AA212:AA4280 =""Neighbor"")), """")"),1.470127606648679)</f>
        <v>1.470127607</v>
      </c>
      <c r="AE212" s="2">
        <f>IFERROR(__xludf.DUMMYFUNCTION("IFERROR(ABS(Q212-AVERAGE(FILTER(Q212:Q4280,AA212:AA4280=""Neighbor""))) / STDEV(FILTER(Q212:Q4280, AA212:AA4280 =""Neighbor"")), """")"),0.2004487544929505)</f>
        <v>0.2004487545</v>
      </c>
      <c r="AF212" s="2">
        <f>IFERROR(__xludf.DUMMYFUNCTION("IFERROR(ABS(R212-AVERAGE(FILTER(R212:R4280,AA212:AA4280=""Neighbor""))) / STDEV(FILTER(R212:R4280, AA212:AA4280 =""Neighbor"")), """")"),0.10188796868354714)</f>
        <v>0.1018879687</v>
      </c>
    </row>
    <row r="213">
      <c r="A213" s="2" t="s">
        <v>28</v>
      </c>
      <c r="B213" s="2" t="s">
        <v>884</v>
      </c>
      <c r="C213" s="2" t="s">
        <v>885</v>
      </c>
      <c r="D213" s="2" t="s">
        <v>898</v>
      </c>
      <c r="E213" s="2" t="s">
        <v>899</v>
      </c>
      <c r="F213" s="2">
        <v>133.0</v>
      </c>
      <c r="G213" s="2">
        <v>823.0</v>
      </c>
      <c r="H213" s="2" t="b">
        <v>1</v>
      </c>
      <c r="I213" s="2">
        <v>-1.0</v>
      </c>
      <c r="J213" s="2" t="b">
        <v>0</v>
      </c>
      <c r="K213" s="2" t="b">
        <v>1</v>
      </c>
      <c r="L213" s="2" t="b">
        <v>0</v>
      </c>
      <c r="M213" s="2" t="b">
        <v>0</v>
      </c>
      <c r="N213" s="2" t="s">
        <v>33</v>
      </c>
      <c r="O213" s="2">
        <v>0.0</v>
      </c>
      <c r="P213" s="2">
        <v>0.0</v>
      </c>
      <c r="Q213" s="2">
        <v>0.0</v>
      </c>
      <c r="R213" s="2">
        <v>0.0</v>
      </c>
      <c r="S213" s="3" t="s">
        <v>900</v>
      </c>
      <c r="T213" s="2" t="s">
        <v>901</v>
      </c>
      <c r="Y213" s="4" t="str">
        <f>IFERROR(__xludf.DUMMYFUNCTION("""COMPUTED_VALUE"""),"7.1635457")</f>
        <v>7.1635457</v>
      </c>
      <c r="Z213" s="4" t="str">
        <f>IFERROR(__xludf.DUMMYFUNCTION("""COMPUTED_VALUE"""),"3.3470778")</f>
        <v>3.3470778</v>
      </c>
      <c r="AA213" s="4" t="str">
        <f t="shared" si="1"/>
        <v>Neighbor</v>
      </c>
      <c r="AC213" s="4">
        <f>IFERROR(__xludf.DUMMYFUNCTION("IFERROR(ABS(O213-AVERAGE(FILTER(O213:O4281,AA213:AA4281=""Neighbor""))) / STDEV(FILTER(O213:O4281, AA213:AA4281 =""Neighbor"")), """")"),1.5599287648593625)</f>
        <v>1.559928765</v>
      </c>
      <c r="AD213" s="4">
        <f>IFERROR(__xludf.DUMMYFUNCTION("IFERROR(ABS(P213-AVERAGE(FILTER(O213:P4281,AA213:AA4281=""Neighbor""))) / STDEV(FILTER(P213:P4281, AA213:AA4281 =""Neighbor"")), """")"),1.6261867053345873)</f>
        <v>1.626186705</v>
      </c>
      <c r="AE213" s="2">
        <f>IFERROR(__xludf.DUMMYFUNCTION("IFERROR(ABS(Q213-AVERAGE(FILTER(Q213:Q4281,AA213:AA4281=""Neighbor""))) / STDEV(FILTER(Q213:Q4281, AA213:AA4281 =""Neighbor"")), """")"),1.0585668832506805)</f>
        <v>1.058566883</v>
      </c>
      <c r="AF213" s="2">
        <f>IFERROR(__xludf.DUMMYFUNCTION("IFERROR(ABS(R213-AVERAGE(FILTER(R213:R4281,AA213:AA4281=""Neighbor""))) / STDEV(FILTER(R213:R4281, AA213:AA4281 =""Neighbor"")), """")"),0.10191854861786812)</f>
        <v>0.1019185486</v>
      </c>
    </row>
    <row r="214">
      <c r="A214" s="2" t="s">
        <v>28</v>
      </c>
      <c r="B214" s="2" t="s">
        <v>884</v>
      </c>
      <c r="C214" s="2" t="s">
        <v>885</v>
      </c>
      <c r="D214" s="2" t="s">
        <v>902</v>
      </c>
      <c r="E214" s="2" t="s">
        <v>903</v>
      </c>
      <c r="F214" s="2">
        <v>112.0</v>
      </c>
      <c r="G214" s="2">
        <v>541.0</v>
      </c>
      <c r="H214" s="2" t="b">
        <v>1</v>
      </c>
      <c r="I214" s="2">
        <v>-1.0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s">
        <v>33</v>
      </c>
      <c r="O214" s="2">
        <v>67.0</v>
      </c>
      <c r="P214" s="2">
        <v>4.0</v>
      </c>
      <c r="Q214" s="2">
        <v>19.0</v>
      </c>
      <c r="R214" s="2">
        <v>0.0</v>
      </c>
      <c r="S214" s="3" t="s">
        <v>904</v>
      </c>
      <c r="T214" s="2" t="s">
        <v>905</v>
      </c>
      <c r="Y214" s="4" t="str">
        <f>IFERROR(__xludf.DUMMYFUNCTION("""COMPUTED_VALUE"""),"7.1635457")</f>
        <v>7.1635457</v>
      </c>
      <c r="Z214" s="4" t="str">
        <f>IFERROR(__xludf.DUMMYFUNCTION("""COMPUTED_VALUE"""),"3.3470778")</f>
        <v>3.3470778</v>
      </c>
      <c r="AA214" s="4" t="str">
        <f t="shared" si="1"/>
        <v>Neighbor</v>
      </c>
      <c r="AC214" s="4">
        <f>IFERROR(__xludf.DUMMYFUNCTION("IFERROR(ABS(O214-AVERAGE(FILTER(O214:O4282,AA214:AA4282=""Neighbor""))) / STDEV(FILTER(O214:O4282, AA214:AA4282 =""Neighbor"")), """")"),0.006949203839010203)</f>
        <v>0.006949203839</v>
      </c>
      <c r="AD214" s="4">
        <f>IFERROR(__xludf.DUMMYFUNCTION("IFERROR(ABS(P214-AVERAGE(FILTER(O214:P4282,AA214:AA4282=""Neighbor""))) / STDEV(FILTER(P214:P4282, AA214:AA4282 =""Neighbor"")), """")"),1.4707117509575802)</f>
        <v>1.470711751</v>
      </c>
      <c r="AE214" s="2">
        <f>IFERROR(__xludf.DUMMYFUNCTION("IFERROR(ABS(Q214-AVERAGE(FILTER(Q214:Q4282,AA214:AA4282=""Neighbor""))) / STDEV(FILTER(Q214:Q4282, AA214:AA4282 =""Neighbor"")), """")"),0.24405203266600597)</f>
        <v>0.2440520327</v>
      </c>
      <c r="AF214" s="2">
        <f>IFERROR(__xludf.DUMMYFUNCTION("IFERROR(ABS(R214-AVERAGE(FILTER(R214:R4282,AA214:AA4282=""Neighbor""))) / STDEV(FILTER(R214:R4282, AA214:AA4282 =""Neighbor"")), """")"),0.1019491561030729)</f>
        <v>0.1019491561</v>
      </c>
    </row>
    <row r="215">
      <c r="A215" s="2" t="s">
        <v>28</v>
      </c>
      <c r="B215" s="2" t="s">
        <v>884</v>
      </c>
      <c r="C215" s="2" t="s">
        <v>885</v>
      </c>
      <c r="D215" s="2" t="s">
        <v>906</v>
      </c>
      <c r="E215" s="2" t="s">
        <v>907</v>
      </c>
      <c r="F215" s="2">
        <v>93.0</v>
      </c>
      <c r="G215" s="2">
        <v>493.0</v>
      </c>
      <c r="H215" s="2" t="b">
        <v>1</v>
      </c>
      <c r="I215" s="2">
        <v>-1.0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s">
        <v>33</v>
      </c>
      <c r="O215" s="2">
        <v>57.0</v>
      </c>
      <c r="P215" s="2">
        <v>4.0</v>
      </c>
      <c r="Q215" s="2">
        <v>19.0</v>
      </c>
      <c r="R215" s="2">
        <v>0.0</v>
      </c>
      <c r="S215" s="3" t="s">
        <v>908</v>
      </c>
      <c r="T215" s="2" t="s">
        <v>909</v>
      </c>
      <c r="Y215" s="4" t="str">
        <f>IFERROR(__xludf.DUMMYFUNCTION("""COMPUTED_VALUE"""),"7.1635457")</f>
        <v>7.1635457</v>
      </c>
      <c r="Z215" s="4" t="str">
        <f>IFERROR(__xludf.DUMMYFUNCTION("""COMPUTED_VALUE"""),"3.3470778")</f>
        <v>3.3470778</v>
      </c>
      <c r="AA215" s="4" t="str">
        <f t="shared" si="1"/>
        <v>Neighbor</v>
      </c>
      <c r="AC215" s="4">
        <f>IFERROR(__xludf.DUMMYFUNCTION("IFERROR(ABS(O215-AVERAGE(FILTER(O215:O4283,AA215:AA4283=""Neighbor""))) / STDEV(FILTER(O215:O4283, AA215:AA4283 =""Neighbor"")), """")"),0.22707948356646518)</f>
        <v>0.2270794836</v>
      </c>
      <c r="AD215" s="4">
        <f>IFERROR(__xludf.DUMMYFUNCTION("IFERROR(ABS(P215-AVERAGE(FILTER(O215:P4283,AA215:AA4283=""Neighbor""))) / STDEV(FILTER(P215:P4283, AA215:AA4283 =""Neighbor"")), """")"),1.4705239785012962)</f>
        <v>1.470523979</v>
      </c>
      <c r="AE215" s="2">
        <f>IFERROR(__xludf.DUMMYFUNCTION("IFERROR(ABS(Q215-AVERAGE(FILTER(Q215:Q4283,AA215:AA4283=""Neighbor""))) / STDEV(FILTER(Q215:Q4283, AA215:AA4283 =""Neighbor"")), """")"),0.24412894333815593)</f>
        <v>0.2441289433</v>
      </c>
      <c r="AF215" s="2">
        <f>IFERROR(__xludf.DUMMYFUNCTION("IFERROR(ABS(R215-AVERAGE(FILTER(R215:R4283,AA215:AA4283=""Neighbor""))) / STDEV(FILTER(R215:R4283, AA215:AA4283 =""Neighbor"")), """")"),0.10197979118055665)</f>
        <v>0.1019797912</v>
      </c>
    </row>
    <row r="216">
      <c r="A216" s="2" t="s">
        <v>28</v>
      </c>
      <c r="B216" s="2" t="s">
        <v>884</v>
      </c>
      <c r="C216" s="2" t="s">
        <v>885</v>
      </c>
      <c r="D216" s="2" t="s">
        <v>910</v>
      </c>
      <c r="E216" s="2" t="s">
        <v>911</v>
      </c>
      <c r="F216" s="2">
        <v>183.0</v>
      </c>
      <c r="G216" s="2">
        <v>922.0</v>
      </c>
      <c r="H216" s="2" t="b">
        <v>1</v>
      </c>
      <c r="I216" s="2">
        <v>-1.0</v>
      </c>
      <c r="J216" s="2" t="b">
        <v>0</v>
      </c>
      <c r="K216" s="2" t="b">
        <v>1</v>
      </c>
      <c r="L216" s="2" t="b">
        <v>0</v>
      </c>
      <c r="M216" s="2" t="b">
        <v>0</v>
      </c>
      <c r="N216" s="2" t="s">
        <v>33</v>
      </c>
      <c r="O216" s="2">
        <v>106.0</v>
      </c>
      <c r="P216" s="2">
        <v>14.0</v>
      </c>
      <c r="Q216" s="2">
        <v>46.0</v>
      </c>
      <c r="R216" s="2">
        <v>0.0</v>
      </c>
      <c r="S216" s="3" t="s">
        <v>912</v>
      </c>
      <c r="T216" s="2" t="s">
        <v>913</v>
      </c>
      <c r="Y216" s="4" t="str">
        <f>IFERROR(__xludf.DUMMYFUNCTION("""COMPUTED_VALUE"""),"7.16691")</f>
        <v>7.16691</v>
      </c>
      <c r="Z216" s="4" t="str">
        <f>IFERROR(__xludf.DUMMYFUNCTION("""COMPUTED_VALUE"""),"3.3553633")</f>
        <v>3.3553633</v>
      </c>
      <c r="AA216" s="4" t="str">
        <f t="shared" si="1"/>
        <v>Neighbor</v>
      </c>
      <c r="AC216" s="4">
        <f>IFERROR(__xludf.DUMMYFUNCTION("IFERROR(ABS(O216-AVERAGE(FILTER(O216:O4284,AA216:AA4284=""Neighbor""))) / STDEV(FILTER(O216:O4284, AA216:AA4284 =""Neighbor"")), """")"),0.9192762146844377)</f>
        <v>0.9192762147</v>
      </c>
      <c r="AD216" s="4">
        <f>IFERROR(__xludf.DUMMYFUNCTION("IFERROR(ABS(P216-AVERAGE(FILTER(O216:P4284,AA216:AA4284=""Neighbor""))) / STDEV(FILTER(P216:P4284, AA216:AA4284 =""Neighbor"")), """")"),1.0802221524565567)</f>
        <v>1.080222152</v>
      </c>
      <c r="AE216" s="2">
        <f>IFERROR(__xludf.DUMMYFUNCTION("IFERROR(ABS(Q216-AVERAGE(FILTER(Q216:Q4284,AA216:AA4284=""Neighbor""))) / STDEV(FILTER(Q216:Q4284, AA216:AA4284 =""Neighbor"")), """")"),0.9135630837239683)</f>
        <v>0.9135630837</v>
      </c>
      <c r="AF216" s="2">
        <f>IFERROR(__xludf.DUMMYFUNCTION("IFERROR(ABS(R216-AVERAGE(FILTER(R216:R4284,AA216:AA4284=""Neighbor""))) / STDEV(FILTER(R216:R4284, AA216:AA4284 =""Neighbor"")), """")"),0.10201045389180138)</f>
        <v>0.1020104539</v>
      </c>
    </row>
    <row r="217">
      <c r="A217" s="2" t="s">
        <v>28</v>
      </c>
      <c r="B217" s="2" t="s">
        <v>884</v>
      </c>
      <c r="C217" s="2" t="s">
        <v>885</v>
      </c>
      <c r="D217" s="2" t="s">
        <v>914</v>
      </c>
      <c r="E217" s="2" t="s">
        <v>915</v>
      </c>
      <c r="F217" s="2">
        <v>152.0</v>
      </c>
      <c r="G217" s="2">
        <v>867.0</v>
      </c>
      <c r="H217" s="2" t="b">
        <v>1</v>
      </c>
      <c r="I217" s="2">
        <v>-1.0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s">
        <v>33</v>
      </c>
      <c r="O217" s="2">
        <v>90.0</v>
      </c>
      <c r="P217" s="2">
        <v>17.0</v>
      </c>
      <c r="Q217" s="2">
        <v>28.0</v>
      </c>
      <c r="R217" s="2">
        <v>1.0</v>
      </c>
      <c r="S217" s="3" t="s">
        <v>916</v>
      </c>
      <c r="T217" s="2" t="s">
        <v>917</v>
      </c>
      <c r="Y217" s="4" t="str">
        <f>IFERROR(__xludf.DUMMYFUNCTION("""COMPUTED_VALUE"""),"7.1631577")</f>
        <v>7.1631577</v>
      </c>
      <c r="Z217" s="4" t="str">
        <f>IFERROR(__xludf.DUMMYFUNCTION("""COMPUTED_VALUE"""),"3.3557397")</f>
        <v>3.3557397</v>
      </c>
      <c r="AA217" s="4" t="str">
        <f t="shared" si="1"/>
        <v>Not Neighbor</v>
      </c>
      <c r="AC217" s="4">
        <f>IFERROR(__xludf.DUMMYFUNCTION("IFERROR(ABS(O217-AVERAGE(FILTER(O217:O4285,AA217:AA4285=""Neighbor""))) / STDEV(FILTER(O217:O4285, AA217:AA4285 =""Neighbor"")), """")"),0.5454555090285852)</f>
        <v>0.545455509</v>
      </c>
      <c r="AD217" s="4">
        <f>IFERROR(__xludf.DUMMYFUNCTION("IFERROR(ABS(P217-AVERAGE(FILTER(O217:P4285,AA217:AA4285=""Neighbor""))) / STDEV(FILTER(P217:P4285, AA217:AA4285 =""Neighbor"")), """")"),0.9624432183623546)</f>
        <v>0.9624432184</v>
      </c>
      <c r="AE217" s="2">
        <f>IFERROR(__xludf.DUMMYFUNCTION("IFERROR(ABS(Q217-AVERAGE(FILTER(Q217:Q4285,AA217:AA4285=""Neighbor""))) / STDEV(FILTER(Q217:Q4285, AA217:AA4285 =""Neighbor"")), """")"),0.14225451840061384)</f>
        <v>0.1422545184</v>
      </c>
      <c r="AF217" s="2">
        <f>IFERROR(__xludf.DUMMYFUNCTION("IFERROR(ABS(R217-AVERAGE(FILTER(R217:R4285,AA217:AA4285=""Neighbor""))) / STDEV(FILTER(R217:R4285, AA217:AA4285 =""Neighbor"")), """")"),0.09476924664014742)</f>
        <v>0.09476924664</v>
      </c>
    </row>
    <row r="218">
      <c r="A218" s="2" t="s">
        <v>28</v>
      </c>
      <c r="B218" s="2" t="s">
        <v>884</v>
      </c>
      <c r="C218" s="2" t="s">
        <v>918</v>
      </c>
      <c r="D218" s="2" t="s">
        <v>919</v>
      </c>
      <c r="E218" s="2" t="s">
        <v>920</v>
      </c>
      <c r="F218" s="2">
        <v>175.0</v>
      </c>
      <c r="G218" s="2">
        <v>755.0</v>
      </c>
      <c r="H218" s="2" t="b">
        <v>1</v>
      </c>
      <c r="I218" s="2">
        <v>-1.0</v>
      </c>
      <c r="J218" s="2" t="b">
        <v>0</v>
      </c>
      <c r="K218" s="2" t="b">
        <v>0</v>
      </c>
      <c r="L218" s="2" t="b">
        <v>0</v>
      </c>
      <c r="M218" s="2" t="b">
        <v>0</v>
      </c>
      <c r="N218" s="2" t="s">
        <v>33</v>
      </c>
      <c r="O218" s="2">
        <v>112.0</v>
      </c>
      <c r="P218" s="2">
        <v>27.0</v>
      </c>
      <c r="Q218" s="2">
        <v>23.0</v>
      </c>
      <c r="R218" s="2">
        <v>0.0</v>
      </c>
      <c r="S218" s="3" t="s">
        <v>921</v>
      </c>
      <c r="T218" s="2" t="s">
        <v>922</v>
      </c>
      <c r="Y218" s="4" t="str">
        <f>IFERROR(__xludf.DUMMYFUNCTION("""COMPUTED_VALUE"""),"7.1722265")</f>
        <v>7.1722265</v>
      </c>
      <c r="Z218" s="4" t="str">
        <f>IFERROR(__xludf.DUMMYFUNCTION("""COMPUTED_VALUE"""),"3.3708901")</f>
        <v>3.3708901</v>
      </c>
      <c r="AA218" s="4" t="str">
        <f t="shared" si="1"/>
        <v>Neighbor</v>
      </c>
      <c r="AC218" s="4">
        <f>IFERROR(__xludf.DUMMYFUNCTION("IFERROR(ABS(O218-AVERAGE(FILTER(O218:O4286,AA218:AA4286=""Neighbor""))) / STDEV(FILTER(O218:O4286, AA218:AA4286 =""Neighbor"")), """")"),1.060154030865384)</f>
        <v>1.060154031</v>
      </c>
      <c r="AD218" s="4">
        <f>IFERROR(__xludf.DUMMYFUNCTION("IFERROR(ABS(P218-AVERAGE(FILTER(O218:P4286,AA218:AA4286=""Neighbor""))) / STDEV(FILTER(P218:P4286, AA218:AA4286 =""Neighbor"")), """")"),0.5723279407702221)</f>
        <v>0.5723279408</v>
      </c>
      <c r="AE218" s="2">
        <f>IFERROR(__xludf.DUMMYFUNCTION("IFERROR(ABS(Q218-AVERAGE(FILTER(Q218:Q4286,AA218:AA4286=""Neighbor""))) / STDEV(FILTER(Q218:Q4286, AA218:AA4286 =""Neighbor"")), """")"),0.07213660956438522)</f>
        <v>0.07213660956</v>
      </c>
      <c r="AF218" s="2">
        <f>IFERROR(__xludf.DUMMYFUNCTION("IFERROR(ABS(R218-AVERAGE(FILTER(R218:R4286,AA218:AA4286=""Neighbor""))) / STDEV(FILTER(R218:R4286, AA218:AA4286 =""Neighbor"")), """")"),0.10204114427837657)</f>
        <v>0.1020411443</v>
      </c>
    </row>
    <row r="219">
      <c r="A219" s="2" t="s">
        <v>28</v>
      </c>
      <c r="B219" s="2" t="s">
        <v>884</v>
      </c>
      <c r="C219" s="2" t="s">
        <v>918</v>
      </c>
      <c r="D219" s="2" t="s">
        <v>923</v>
      </c>
      <c r="E219" s="2" t="s">
        <v>924</v>
      </c>
      <c r="F219" s="2">
        <v>201.0</v>
      </c>
      <c r="G219" s="2">
        <v>1019.0</v>
      </c>
      <c r="H219" s="2" t="b">
        <v>1</v>
      </c>
      <c r="I219" s="2">
        <v>-1.0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s">
        <v>33</v>
      </c>
      <c r="O219" s="2">
        <v>110.0</v>
      </c>
      <c r="P219" s="2">
        <v>32.0</v>
      </c>
      <c r="Q219" s="2">
        <v>43.0</v>
      </c>
      <c r="R219" s="2">
        <v>0.0</v>
      </c>
      <c r="S219" s="3" t="s">
        <v>925</v>
      </c>
      <c r="T219" s="2" t="s">
        <v>926</v>
      </c>
      <c r="Y219" s="4" t="str">
        <f>IFERROR(__xludf.DUMMYFUNCTION("""COMPUTED_VALUE"""),"7.174138")</f>
        <v>7.174138</v>
      </c>
      <c r="Z219" s="4" t="str">
        <f>IFERROR(__xludf.DUMMYFUNCTION("""COMPUTED_VALUE"""),"3.3786668")</f>
        <v>3.3786668</v>
      </c>
      <c r="AA219" s="4" t="str">
        <f t="shared" si="1"/>
        <v>Neighbor</v>
      </c>
      <c r="AC219" s="4">
        <f>IFERROR(__xludf.DUMMYFUNCTION("IFERROR(ABS(O219-AVERAGE(FILTER(O219:O4287,AA219:AA4287=""Neighbor""))) / STDEV(FILTER(O219:O4287, AA219:AA4287 =""Neighbor"")), """")"),1.014033122297242)</f>
        <v>1.014033122</v>
      </c>
      <c r="AD219" s="4">
        <f>IFERROR(__xludf.DUMMYFUNCTION("IFERROR(ABS(P219-AVERAGE(FILTER(O219:P4287,AA219:AA4287=""Neighbor""))) / STDEV(FILTER(P219:P4287, AA219:AA4287 =""Neighbor"")), """")"),0.37652890292247654)</f>
        <v>0.3765289029</v>
      </c>
      <c r="AE219" s="2">
        <f>IFERROR(__xludf.DUMMYFUNCTION("IFERROR(ABS(Q219-AVERAGE(FILTER(Q219:Q4287,AA219:AA4287=""Neighbor""))) / STDEV(FILTER(Q219:Q4287, AA219:AA4287 =""Neighbor"")), """")"),0.7851519073355798)</f>
        <v>0.7851519073</v>
      </c>
      <c r="AF219" s="2">
        <f>IFERROR(__xludf.DUMMYFUNCTION("IFERROR(ABS(R219-AVERAGE(FILTER(R219:R4287,AA219:AA4287=""Neighbor""))) / STDEV(FILTER(R219:R4287, AA219:AA4287 =""Neighbor"")), """")"),0.10207186238193922)</f>
        <v>0.1020718624</v>
      </c>
    </row>
    <row r="220">
      <c r="A220" s="2" t="s">
        <v>28</v>
      </c>
      <c r="B220" s="2" t="s">
        <v>884</v>
      </c>
      <c r="C220" s="2" t="s">
        <v>918</v>
      </c>
      <c r="D220" s="2" t="s">
        <v>927</v>
      </c>
      <c r="E220" s="2" t="s">
        <v>928</v>
      </c>
      <c r="F220" s="2">
        <v>146.0</v>
      </c>
      <c r="G220" s="2">
        <v>750.0</v>
      </c>
      <c r="H220" s="2" t="b">
        <v>1</v>
      </c>
      <c r="I220" s="2">
        <v>-1.0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s">
        <v>33</v>
      </c>
      <c r="O220" s="2">
        <v>92.0</v>
      </c>
      <c r="P220" s="2">
        <v>42.0</v>
      </c>
      <c r="Q220" s="2">
        <v>8.0</v>
      </c>
      <c r="R220" s="2">
        <v>1.0</v>
      </c>
      <c r="S220" s="3" t="s">
        <v>929</v>
      </c>
      <c r="T220" s="2" t="s">
        <v>930</v>
      </c>
      <c r="Y220" s="4" t="str">
        <f>IFERROR(__xludf.DUMMYFUNCTION("""COMPUTED_VALUE"""),"7.172928")</f>
        <v>7.172928</v>
      </c>
      <c r="Z220" s="4" t="str">
        <f>IFERROR(__xludf.DUMMYFUNCTION("""COMPUTED_VALUE"""),"3.37811")</f>
        <v>3.37811</v>
      </c>
      <c r="AA220" s="4" t="str">
        <f t="shared" si="1"/>
        <v>Neighbor</v>
      </c>
      <c r="AC220" s="4">
        <f>IFERROR(__xludf.DUMMYFUNCTION("IFERROR(ABS(O220-AVERAGE(FILTER(O220:O4288,AA220:AA4288=""Neighbor""))) / STDEV(FILTER(O220:O4288, AA220:AA4288 =""Neighbor"")), """")"),0.593510643452239)</f>
        <v>0.5935106435</v>
      </c>
      <c r="AD220" s="4">
        <f>IFERROR(__xludf.DUMMYFUNCTION("IFERROR(ABS(P220-AVERAGE(FILTER(O220:P4288,AA220:AA4288=""Neighbor""))) / STDEV(FILTER(P220:P4288, AA220:AA4288 =""Neighbor"")), """")"),0.014169178768868524)</f>
        <v>0.01416917877</v>
      </c>
      <c r="AE220" s="2">
        <f>IFERROR(__xludf.DUMMYFUNCTION("IFERROR(ABS(Q220-AVERAGE(FILTER(Q220:Q4288,AA220:AA4288=""Neighbor""))) / STDEV(FILTER(Q220:Q4288, AA220:AA4288 =""Neighbor"")), """")"),0.7145906065756568)</f>
        <v>0.7145906066</v>
      </c>
      <c r="AF220" s="2">
        <f>IFERROR(__xludf.DUMMYFUNCTION("IFERROR(ABS(R220-AVERAGE(FILTER(R220:R4288,AA220:AA4288=""Neighbor""))) / STDEV(FILTER(R220:R4288, AA220:AA4288 =""Neighbor"")), """")"),0.09459161177569293)</f>
        <v>0.09459161178</v>
      </c>
    </row>
    <row r="221">
      <c r="A221" s="2" t="s">
        <v>28</v>
      </c>
      <c r="B221" s="2" t="s">
        <v>884</v>
      </c>
      <c r="C221" s="2" t="s">
        <v>918</v>
      </c>
      <c r="D221" s="2" t="s">
        <v>931</v>
      </c>
      <c r="E221" s="2" t="s">
        <v>932</v>
      </c>
      <c r="F221" s="2">
        <v>252.0</v>
      </c>
      <c r="G221" s="2">
        <v>1034.0</v>
      </c>
      <c r="H221" s="2" t="b">
        <v>1</v>
      </c>
      <c r="I221" s="2">
        <v>-1.0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s">
        <v>33</v>
      </c>
      <c r="O221" s="2">
        <v>124.0</v>
      </c>
      <c r="P221" s="2">
        <v>93.0</v>
      </c>
      <c r="Q221" s="2">
        <v>20.0</v>
      </c>
      <c r="R221" s="2">
        <v>0.0</v>
      </c>
      <c r="S221" s="3" t="s">
        <v>933</v>
      </c>
      <c r="T221" s="2" t="s">
        <v>934</v>
      </c>
      <c r="Y221" s="4" t="str">
        <f>IFERROR(__xludf.DUMMYFUNCTION("""COMPUTED_VALUE"""),"7.1722265")</f>
        <v>7.1722265</v>
      </c>
      <c r="Z221" s="4" t="str">
        <f>IFERROR(__xludf.DUMMYFUNCTION("""COMPUTED_VALUE"""),"3.3708901")</f>
        <v>3.3708901</v>
      </c>
      <c r="AA221" s="4" t="str">
        <f t="shared" si="1"/>
        <v>Not Neighbor</v>
      </c>
      <c r="AC221" s="4">
        <f>IFERROR(__xludf.DUMMYFUNCTION("IFERROR(ABS(O221-AVERAGE(FILTER(O221:O4289,AA221:AA4289=""Neighbor""))) / STDEV(FILTER(O221:O4289, AA221:AA4289 =""Neighbor"")), """")"),1.342292069957652)</f>
        <v>1.34229207</v>
      </c>
      <c r="AD221" s="4">
        <f>IFERROR(__xludf.DUMMYFUNCTION("IFERROR(ABS(P221-AVERAGE(FILTER(O221:P4289,AA221:AA4289=""Neighbor""))) / STDEV(FILTER(P221:P4289, AA221:AA4289 =""Neighbor"")), """")"),2.0034572884394555)</f>
        <v>2.003457288</v>
      </c>
      <c r="AE221" s="2">
        <f>IFERROR(__xludf.DUMMYFUNCTION("IFERROR(ABS(Q221-AVERAGE(FILTER(Q221:Q4289,AA221:AA4289=""Neighbor""))) / STDEV(FILTER(Q221:Q4289, AA221:AA4289 =""Neighbor"")), """")"),0.2006606710961969)</f>
        <v>0.2006606711</v>
      </c>
      <c r="AF221" s="2">
        <f>IFERROR(__xludf.DUMMYFUNCTION("IFERROR(ABS(R221-AVERAGE(FILTER(R221:R4289,AA221:AA4289=""Neighbor""))) / STDEV(FILTER(R221:R4289, AA221:AA4289 =""Neighbor"")), """")"),0.10201594219849049)</f>
        <v>0.1020159422</v>
      </c>
    </row>
    <row r="222">
      <c r="A222" s="2" t="s">
        <v>28</v>
      </c>
      <c r="B222" s="2" t="s">
        <v>884</v>
      </c>
      <c r="C222" s="2" t="s">
        <v>918</v>
      </c>
      <c r="D222" s="2" t="s">
        <v>935</v>
      </c>
      <c r="E222" s="2" t="s">
        <v>936</v>
      </c>
      <c r="F222" s="2">
        <v>203.0</v>
      </c>
      <c r="G222" s="2">
        <v>804.0</v>
      </c>
      <c r="H222" s="2" t="b">
        <v>1</v>
      </c>
      <c r="I222" s="2">
        <v>-1.0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s">
        <v>33</v>
      </c>
      <c r="O222" s="2">
        <v>128.0</v>
      </c>
      <c r="P222" s="2">
        <v>36.0</v>
      </c>
      <c r="Q222" s="2">
        <v>24.0</v>
      </c>
      <c r="R222" s="2">
        <v>2.0</v>
      </c>
      <c r="S222" s="3" t="s">
        <v>937</v>
      </c>
      <c r="T222" s="2" t="s">
        <v>938</v>
      </c>
      <c r="Y222" s="4" t="str">
        <f>IFERROR(__xludf.DUMMYFUNCTION("""COMPUTED_VALUE"""),"7.170864")</f>
        <v>7.170864</v>
      </c>
      <c r="Z222" s="4" t="str">
        <f>IFERROR(__xludf.DUMMYFUNCTION("""COMPUTED_VALUE"""),"3.3577848")</f>
        <v>3.3577848</v>
      </c>
      <c r="AA222" s="4" t="str">
        <f t="shared" si="1"/>
        <v>Not Neighbor</v>
      </c>
      <c r="AC222" s="4">
        <f>IFERROR(__xludf.DUMMYFUNCTION("IFERROR(ABS(O222-AVERAGE(FILTER(O222:O4290,AA222:AA4290=""Neighbor""))) / STDEV(FILTER(O222:O4290, AA222:AA4290 =""Neighbor"")), """")"),1.4358598096546458)</f>
        <v>1.43585981</v>
      </c>
      <c r="AD222" s="4">
        <f>IFERROR(__xludf.DUMMYFUNCTION("IFERROR(ABS(P222-AVERAGE(FILTER(O222:P4290,AA222:AA4290=""Neighbor""))) / STDEV(FILTER(P222:P4290, AA222:AA4290 =""Neighbor"")), """")"),0.21920489231743254)</f>
        <v>0.2192048923</v>
      </c>
      <c r="AE222" s="2">
        <f>IFERROR(__xludf.DUMMYFUNCTION("IFERROR(ABS(Q222-AVERAGE(FILTER(Q222:Q4290,AA222:AA4290=""Neighbor""))) / STDEV(FILTER(Q222:Q4290, AA222:AA4290 =""Neighbor"")), """")"),0.029243293008154113)</f>
        <v>0.02924329301</v>
      </c>
      <c r="AF222" s="2">
        <f>IFERROR(__xludf.DUMMYFUNCTION("IFERROR(ABS(R222-AVERAGE(FILTER(R222:R4290,AA222:AA4290=""Neighbor""))) / STDEV(FILTER(R222:R4290, AA222:AA4290 =""Neighbor"")), """")"),0.29125610194989054)</f>
        <v>0.2912561019</v>
      </c>
    </row>
    <row r="223">
      <c r="A223" s="2" t="s">
        <v>28</v>
      </c>
      <c r="B223" s="2" t="s">
        <v>884</v>
      </c>
      <c r="C223" s="2" t="s">
        <v>918</v>
      </c>
      <c r="D223" s="2" t="s">
        <v>939</v>
      </c>
      <c r="E223" s="2" t="s">
        <v>940</v>
      </c>
      <c r="F223" s="2">
        <v>178.0</v>
      </c>
      <c r="G223" s="2">
        <v>845.0</v>
      </c>
      <c r="H223" s="2" t="b">
        <v>1</v>
      </c>
      <c r="I223" s="2">
        <v>-1.0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s">
        <v>33</v>
      </c>
      <c r="O223" s="2">
        <v>94.0</v>
      </c>
      <c r="P223" s="2">
        <v>46.0</v>
      </c>
      <c r="Q223" s="2">
        <v>16.0</v>
      </c>
      <c r="R223" s="2">
        <v>0.0</v>
      </c>
      <c r="S223" s="3" t="s">
        <v>941</v>
      </c>
      <c r="T223" s="2" t="s">
        <v>942</v>
      </c>
      <c r="Y223" s="4" t="str">
        <f>IFERROR(__xludf.DUMMYFUNCTION("""COMPUTED_VALUE"""),"7.1722265")</f>
        <v>7.1722265</v>
      </c>
      <c r="Z223" s="4" t="str">
        <f>IFERROR(__xludf.DUMMYFUNCTION("""COMPUTED_VALUE"""),"3.3708901")</f>
        <v>3.3708901</v>
      </c>
      <c r="AA223" s="4" t="str">
        <f t="shared" si="1"/>
        <v>Neighbor</v>
      </c>
      <c r="AC223" s="4">
        <f>IFERROR(__xludf.DUMMYFUNCTION("IFERROR(ABS(O223-AVERAGE(FILTER(O223:O4291,AA223:AA4291=""Neighbor""))) / STDEV(FILTER(O223:O4291, AA223:AA4291 =""Neighbor"")), """")"),0.6405340222301975)</f>
        <v>0.6405340222</v>
      </c>
      <c r="AD223" s="4">
        <f>IFERROR(__xludf.DUMMYFUNCTION("IFERROR(ABS(P223-AVERAGE(FILTER(O223:P4291,AA223:AA4291=""Neighbor""))) / STDEV(FILTER(P223:P4291, AA223:AA4291 =""Neighbor"")), """")"),0.1707358411486882)</f>
        <v>0.1707358411</v>
      </c>
      <c r="AE223" s="2">
        <f>IFERROR(__xludf.DUMMYFUNCTION("IFERROR(ABS(Q223-AVERAGE(FILTER(Q223:Q4291,AA223:AA4291=""Neighbor""))) / STDEV(FILTER(Q223:Q4291, AA223:AA4291 =""Neighbor"")), """")"),0.3720780491842397)</f>
        <v>0.3720780492</v>
      </c>
      <c r="AF223" s="2">
        <f>IFERROR(__xludf.DUMMYFUNCTION("IFERROR(ABS(R223-AVERAGE(FILTER(R223:R4291,AA223:AA4291=""Neighbor""))) / STDEV(FILTER(R223:R4291, AA223:AA4291 =""Neighbor"")), """")"),0.10201594219849049)</f>
        <v>0.1020159422</v>
      </c>
    </row>
    <row r="224">
      <c r="A224" s="2" t="s">
        <v>28</v>
      </c>
      <c r="B224" s="2" t="s">
        <v>884</v>
      </c>
      <c r="C224" s="2" t="s">
        <v>943</v>
      </c>
      <c r="D224" s="2" t="s">
        <v>944</v>
      </c>
      <c r="E224" s="2" t="s">
        <v>945</v>
      </c>
      <c r="F224" s="2">
        <v>169.0</v>
      </c>
      <c r="G224" s="2">
        <v>1020.0</v>
      </c>
      <c r="H224" s="2" t="b">
        <v>1</v>
      </c>
      <c r="I224" s="2">
        <v>-1.0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s">
        <v>33</v>
      </c>
      <c r="O224" s="2">
        <v>125.0</v>
      </c>
      <c r="P224" s="2">
        <v>13.0</v>
      </c>
      <c r="Q224" s="2">
        <v>14.0</v>
      </c>
      <c r="R224" s="2">
        <v>0.0</v>
      </c>
      <c r="S224" s="3" t="s">
        <v>946</v>
      </c>
      <c r="T224" s="2" t="s">
        <v>947</v>
      </c>
      <c r="Y224" s="4" t="str">
        <f>IFERROR(__xludf.DUMMYFUNCTION("""COMPUTED_VALUE"""),"7.170068")</f>
        <v>7.170068</v>
      </c>
      <c r="Z224" s="4" t="str">
        <f>IFERROR(__xludf.DUMMYFUNCTION("""COMPUTED_VALUE"""),"3.3631604")</f>
        <v>3.3631604</v>
      </c>
      <c r="AA224" s="4" t="str">
        <f t="shared" si="1"/>
        <v>Not Neighbor</v>
      </c>
      <c r="AC224" s="4">
        <f>IFERROR(__xludf.DUMMYFUNCTION("IFERROR(ABS(O224-AVERAGE(FILTER(O224:O4292,AA224:AA4292=""Neighbor""))) / STDEV(FILTER(O224:O4292, AA224:AA4292 =""Neighbor"")), """")"),1.3658260427577784)</f>
        <v>1.365826043</v>
      </c>
      <c r="AD224" s="4">
        <f>IFERROR(__xludf.DUMMYFUNCTION("IFERROR(ABS(P224-AVERAGE(FILTER(O224:P4292,AA224:AA4292=""Neighbor""))) / STDEV(FILTER(P224:P4292, AA224:AA4292 =""Neighbor"")), """")"),1.1155118138053317)</f>
        <v>1.115511814</v>
      </c>
      <c r="AE224" s="2">
        <f>IFERROR(__xludf.DUMMYFUNCTION("IFERROR(ABS(Q224-AVERAGE(FILTER(Q224:Q4292,AA224:AA4292=""Neighbor""))) / STDEV(FILTER(Q224:Q4292, AA224:AA4292 =""Neighbor"")), """")"),0.45789113167186773)</f>
        <v>0.4578911317</v>
      </c>
      <c r="AF224" s="2">
        <f>IFERROR(__xludf.DUMMYFUNCTION("IFERROR(ABS(R224-AVERAGE(FILTER(R224:R4292,AA224:AA4292=""Neighbor""))) / STDEV(FILTER(R224:R4292, AA224:AA4292 =""Neighbor"")), """")"),0.10204670755502838)</f>
        <v>0.1020467076</v>
      </c>
    </row>
    <row r="225">
      <c r="A225" s="2" t="s">
        <v>28</v>
      </c>
      <c r="B225" s="2" t="s">
        <v>884</v>
      </c>
      <c r="C225" s="2" t="s">
        <v>943</v>
      </c>
      <c r="D225" s="2" t="s">
        <v>948</v>
      </c>
      <c r="E225" s="2" t="s">
        <v>949</v>
      </c>
      <c r="F225" s="2">
        <v>193.0</v>
      </c>
      <c r="G225" s="2">
        <v>1069.0</v>
      </c>
      <c r="H225" s="2" t="b">
        <v>1</v>
      </c>
      <c r="I225" s="2">
        <v>-1.0</v>
      </c>
      <c r="J225" s="2" t="b">
        <v>0</v>
      </c>
      <c r="K225" s="2" t="b">
        <v>1</v>
      </c>
      <c r="L225" s="2" t="b">
        <v>0</v>
      </c>
      <c r="M225" s="2" t="b">
        <v>0</v>
      </c>
      <c r="N225" s="2" t="s">
        <v>33</v>
      </c>
      <c r="O225" s="2">
        <v>0.0</v>
      </c>
      <c r="P225" s="2">
        <v>0.0</v>
      </c>
      <c r="Q225" s="2">
        <v>0.0</v>
      </c>
      <c r="R225" s="2">
        <v>0.0</v>
      </c>
      <c r="S225" s="3" t="s">
        <v>950</v>
      </c>
      <c r="T225" s="2" t="s">
        <v>951</v>
      </c>
      <c r="Y225" s="4" t="str">
        <f>IFERROR(__xludf.DUMMYFUNCTION("""COMPUTED_VALUE"""),"7.1586612")</f>
        <v>7.1586612</v>
      </c>
      <c r="Z225" s="4" t="str">
        <f>IFERROR(__xludf.DUMMYFUNCTION("""COMPUTED_VALUE"""),"3.3716443")</f>
        <v>3.3716443</v>
      </c>
      <c r="AA225" s="4" t="str">
        <f t="shared" si="1"/>
        <v>Neighbor</v>
      </c>
      <c r="AC225" s="4">
        <f>IFERROR(__xludf.DUMMYFUNCTION("IFERROR(ABS(O225-AVERAGE(FILTER(O225:O4293,AA225:AA4293=""Neighbor""))) / STDEV(FILTER(O225:O4293, AA225:AA4293 =""Neighbor"")), """")"),1.5576508337465707)</f>
        <v>1.557650834</v>
      </c>
      <c r="AD225" s="4">
        <f>IFERROR(__xludf.DUMMYFUNCTION("IFERROR(ABS(P225-AVERAGE(FILTER(O225:P4293,AA225:AA4293=""Neighbor""))) / STDEV(FILTER(P225:P4293, AA225:AA4293 =""Neighbor"")), """")"),1.6224821607277196)</f>
        <v>1.622482161</v>
      </c>
      <c r="AE225" s="2">
        <f>IFERROR(__xludf.DUMMYFUNCTION("IFERROR(ABS(Q225-AVERAGE(FILTER(Q225:Q4293,AA225:AA4293=""Neighbor""))) / STDEV(FILTER(Q225:Q4293, AA225:AA4293 =""Neighbor"")), """")"),1.0576975461742373)</f>
        <v>1.057697546</v>
      </c>
      <c r="AF225" s="2">
        <f>IFERROR(__xludf.DUMMYFUNCTION("IFERROR(ABS(R225-AVERAGE(FILTER(R225:R4293,AA225:AA4293=""Neighbor""))) / STDEV(FILTER(R225:R4293, AA225:AA4293 =""Neighbor"")), """")"),0.10204670755502838)</f>
        <v>0.1020467076</v>
      </c>
    </row>
    <row r="226">
      <c r="A226" s="2" t="s">
        <v>28</v>
      </c>
      <c r="B226" s="2" t="s">
        <v>884</v>
      </c>
      <c r="C226" s="2" t="s">
        <v>943</v>
      </c>
      <c r="D226" s="2" t="s">
        <v>952</v>
      </c>
      <c r="E226" s="2" t="s">
        <v>953</v>
      </c>
      <c r="F226" s="2">
        <v>119.0</v>
      </c>
      <c r="G226" s="2">
        <v>652.0</v>
      </c>
      <c r="H226" s="2" t="b">
        <v>1</v>
      </c>
      <c r="I226" s="2">
        <v>-1.0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s">
        <v>33</v>
      </c>
      <c r="O226" s="2">
        <v>0.0</v>
      </c>
      <c r="P226" s="2">
        <v>0.0</v>
      </c>
      <c r="Q226" s="2">
        <v>0.0</v>
      </c>
      <c r="R226" s="2">
        <v>0.0</v>
      </c>
      <c r="S226" s="3" t="s">
        <v>954</v>
      </c>
      <c r="T226" s="2" t="s">
        <v>955</v>
      </c>
      <c r="Y226" s="4" t="str">
        <f>IFERROR(__xludf.DUMMYFUNCTION("""COMPUTED_VALUE"""),"7.1602762")</f>
        <v>7.1602762</v>
      </c>
      <c r="Z226" s="4" t="str">
        <f>IFERROR(__xludf.DUMMYFUNCTION("""COMPUTED_VALUE"""),"3.363143")</f>
        <v>3.363143</v>
      </c>
      <c r="AA226" s="4" t="str">
        <f t="shared" si="1"/>
        <v>Not Neighbor</v>
      </c>
      <c r="AC226" s="4">
        <f>IFERROR(__xludf.DUMMYFUNCTION("IFERROR(ABS(O226-AVERAGE(FILTER(O226:O4294,AA226:AA4294=""Neighbor""))) / STDEV(FILTER(O226:O4294, AA226:AA4294 =""Neighbor"")), """")"),1.5592477518508658)</f>
        <v>1.559247752</v>
      </c>
      <c r="AD226" s="4">
        <f>IFERROR(__xludf.DUMMYFUNCTION("IFERROR(ABS(P226-AVERAGE(FILTER(O226:P4294,AA226:AA4294=""Neighbor""))) / STDEV(FILTER(P226:P4294, AA226:AA4294 =""Neighbor"")), """")"),1.6231703316659913)</f>
        <v>1.623170332</v>
      </c>
      <c r="AE226" s="2">
        <f>IFERROR(__xludf.DUMMYFUNCTION("IFERROR(ABS(Q226-AVERAGE(FILTER(Q226:Q4294,AA226:AA4294=""Neighbor""))) / STDEV(FILTER(Q226:Q4294, AA226:AA4294 =""Neighbor"")), """")"),1.0583675504725174)</f>
        <v>1.05836755</v>
      </c>
      <c r="AF226" s="2">
        <f>IFERROR(__xludf.DUMMYFUNCTION("IFERROR(ABS(R226-AVERAGE(FILTER(R226:R4294,AA226:AA4294=""Neighbor""))) / STDEV(FILTER(R226:R4294, AA226:AA4294 =""Neighbor"")), """")"),0.10207750076267448)</f>
        <v>0.1020775008</v>
      </c>
    </row>
    <row r="227">
      <c r="A227" s="2" t="s">
        <v>28</v>
      </c>
      <c r="B227" s="2" t="s">
        <v>884</v>
      </c>
      <c r="C227" s="2" t="s">
        <v>956</v>
      </c>
      <c r="D227" s="2" t="s">
        <v>957</v>
      </c>
      <c r="E227" s="2" t="s">
        <v>958</v>
      </c>
      <c r="F227" s="2">
        <v>98.0</v>
      </c>
      <c r="G227" s="2">
        <v>783.0</v>
      </c>
      <c r="H227" s="2" t="b">
        <v>1</v>
      </c>
      <c r="I227" s="2">
        <v>-1.0</v>
      </c>
      <c r="J227" s="2" t="b">
        <v>0</v>
      </c>
      <c r="K227" s="2" t="b">
        <v>1</v>
      </c>
      <c r="L227" s="2" t="b">
        <v>0</v>
      </c>
      <c r="M227" s="2" t="b">
        <v>0</v>
      </c>
      <c r="N227" s="2" t="s">
        <v>33</v>
      </c>
      <c r="O227" s="2">
        <v>70.0</v>
      </c>
      <c r="P227" s="2">
        <v>5.0</v>
      </c>
      <c r="Q227" s="2">
        <v>12.0</v>
      </c>
      <c r="R227" s="2">
        <v>0.0</v>
      </c>
      <c r="S227" s="3" t="s">
        <v>959</v>
      </c>
      <c r="T227" s="2" t="s">
        <v>960</v>
      </c>
      <c r="Y227" s="4" t="str">
        <f>IFERROR(__xludf.DUMMYFUNCTION("""COMPUTED_VALUE"""),"7.179743")</f>
        <v>7.179743</v>
      </c>
      <c r="Z227" s="4" t="str">
        <f>IFERROR(__xludf.DUMMYFUNCTION("""COMPUTED_VALUE"""),"3.351797")</f>
        <v>3.351797</v>
      </c>
      <c r="AA227" s="4" t="str">
        <f t="shared" si="1"/>
        <v>Neighbor</v>
      </c>
      <c r="AC227" s="4">
        <f>IFERROR(__xludf.DUMMYFUNCTION("IFERROR(ABS(O227-AVERAGE(FILTER(O227:O4295,AA227:AA4295=""Neighbor""))) / STDEV(FILTER(O227:O4295, AA227:AA4295 =""Neighbor"")), """")"),0.07859872962061047)</f>
        <v>0.07859872962</v>
      </c>
      <c r="AD227" s="4">
        <f>IFERROR(__xludf.DUMMYFUNCTION("IFERROR(ABS(P227-AVERAGE(FILTER(O227:P4295,AA227:AA4295=""Neighbor""))) / STDEV(FILTER(P227:P4295, AA227:AA4295 =""Neighbor"")), """")"),1.4282155629156537)</f>
        <v>1.428215563</v>
      </c>
      <c r="AE227" s="2">
        <f>IFERROR(__xludf.DUMMYFUNCTION("IFERROR(ABS(Q227-AVERAGE(FILTER(Q227:Q4295,AA227:AA4295=""Neighbor""))) / STDEV(FILTER(Q227:Q4295, AA227:AA4295 =""Neighbor"")), """")"),0.5442294097101524)</f>
        <v>0.5442294097</v>
      </c>
      <c r="AF227" s="2">
        <f>IFERROR(__xludf.DUMMYFUNCTION("IFERROR(ABS(R227-AVERAGE(FILTER(R227:R4295,AA227:AA4295=""Neighbor""))) / STDEV(FILTER(R227:R4295, AA227:AA4295 =""Neighbor"")), """")"),0.10207750076267448)</f>
        <v>0.1020775008</v>
      </c>
    </row>
    <row r="228">
      <c r="A228" s="2" t="s">
        <v>28</v>
      </c>
      <c r="B228" s="2" t="s">
        <v>884</v>
      </c>
      <c r="C228" s="2" t="s">
        <v>956</v>
      </c>
      <c r="D228" s="2" t="s">
        <v>961</v>
      </c>
      <c r="E228" s="2" t="s">
        <v>962</v>
      </c>
      <c r="F228" s="2">
        <v>121.0</v>
      </c>
      <c r="G228" s="2">
        <v>686.0</v>
      </c>
      <c r="H228" s="2" t="b">
        <v>1</v>
      </c>
      <c r="I228" s="2">
        <v>-1.0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s">
        <v>33</v>
      </c>
      <c r="O228" s="2">
        <v>77.0</v>
      </c>
      <c r="P228" s="2">
        <v>13.0</v>
      </c>
      <c r="Q228" s="2">
        <v>17.0</v>
      </c>
      <c r="R228" s="2">
        <v>0.0</v>
      </c>
      <c r="S228" s="3" t="s">
        <v>963</v>
      </c>
      <c r="T228" s="2" t="s">
        <v>964</v>
      </c>
      <c r="Y228" s="4" t="str">
        <f>IFERROR(__xludf.DUMMYFUNCTION("""COMPUTED_VALUE"""),"7.179743")</f>
        <v>7.179743</v>
      </c>
      <c r="Z228" s="4" t="str">
        <f>IFERROR(__xludf.DUMMYFUNCTION("""COMPUTED_VALUE"""),"3.351797")</f>
        <v>3.351797</v>
      </c>
      <c r="AA228" s="4" t="str">
        <f t="shared" si="1"/>
        <v>Neighbor</v>
      </c>
      <c r="AC228" s="4">
        <f>IFERROR(__xludf.DUMMYFUNCTION("IFERROR(ABS(O228-AVERAGE(FILTER(O228:O4296,AA228:AA4296=""Neighbor""))) / STDEV(FILTER(O228:O4296, AA228:AA4296 =""Neighbor"")), """")"),0.24235832661397927)</f>
        <v>0.2423583266</v>
      </c>
      <c r="AD228" s="4">
        <f>IFERROR(__xludf.DUMMYFUNCTION("IFERROR(ABS(P228-AVERAGE(FILTER(O228:P4296,AA228:AA4296=""Neighbor""))) / STDEV(FILTER(P228:P4296, AA228:AA4296 =""Neighbor"")), """")"),1.1161188684646661)</f>
        <v>1.116118868</v>
      </c>
      <c r="AE228" s="2">
        <f>IFERROR(__xludf.DUMMYFUNCTION("IFERROR(ABS(Q228-AVERAGE(FILTER(Q228:Q4296,AA228:AA4296=""Neighbor""))) / STDEV(FILTER(Q228:Q4296, AA228:AA4296 =""Neighbor"")), """")"),0.33026115334844525)</f>
        <v>0.3302611533</v>
      </c>
      <c r="AF228" s="2">
        <f>IFERROR(__xludf.DUMMYFUNCTION("IFERROR(ABS(R228-AVERAGE(FILTER(R228:R4296,AA228:AA4296=""Neighbor""))) / STDEV(FILTER(R228:R4296, AA228:AA4296 =""Neighbor"")), """")"),0.10210832186347611)</f>
        <v>0.1021083219</v>
      </c>
    </row>
    <row r="229">
      <c r="A229" s="2" t="s">
        <v>28</v>
      </c>
      <c r="B229" s="2" t="s">
        <v>884</v>
      </c>
      <c r="C229" s="2" t="s">
        <v>956</v>
      </c>
      <c r="D229" s="2" t="s">
        <v>965</v>
      </c>
      <c r="E229" s="2" t="s">
        <v>966</v>
      </c>
      <c r="F229" s="2">
        <v>103.0</v>
      </c>
      <c r="G229" s="2">
        <v>648.0</v>
      </c>
      <c r="H229" s="2" t="b">
        <v>1</v>
      </c>
      <c r="I229" s="2">
        <v>-1.0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s">
        <v>33</v>
      </c>
      <c r="O229" s="2">
        <v>62.0</v>
      </c>
      <c r="P229" s="2">
        <v>12.0</v>
      </c>
      <c r="Q229" s="2">
        <v>20.0</v>
      </c>
      <c r="R229" s="2">
        <v>0.0</v>
      </c>
      <c r="S229" s="3" t="s">
        <v>967</v>
      </c>
      <c r="T229" s="2" t="s">
        <v>968</v>
      </c>
      <c r="Y229" s="4" t="str">
        <f>IFERROR(__xludf.DUMMYFUNCTION("""COMPUTED_VALUE"""),"7.179743")</f>
        <v>7.179743</v>
      </c>
      <c r="Z229" s="4" t="str">
        <f>IFERROR(__xludf.DUMMYFUNCTION("""COMPUTED_VALUE"""),"3.351797")</f>
        <v>3.351797</v>
      </c>
      <c r="AA229" s="4" t="str">
        <f t="shared" si="1"/>
        <v>Neighbor</v>
      </c>
      <c r="AC229" s="4">
        <f>IFERROR(__xludf.DUMMYFUNCTION("IFERROR(ABS(O229-AVERAGE(FILTER(O229:O4297,AA229:AA4297=""Neighbor""))) / STDEV(FILTER(O229:O4297, AA229:AA4297 =""Neighbor"")), """")"),0.10832889398601986)</f>
        <v>0.108328894</v>
      </c>
      <c r="AD229" s="4">
        <f>IFERROR(__xludf.DUMMYFUNCTION("IFERROR(ABS(P229-AVERAGE(FILTER(O229:P4297,AA229:AA4297=""Neighbor""))) / STDEV(FILTER(P229:P4297, AA229:AA4297 =""Neighbor"")), """")"),1.1546832249301529)</f>
        <v>1.154683225</v>
      </c>
      <c r="AE229" s="2">
        <f>IFERROR(__xludf.DUMMYFUNCTION("IFERROR(ABS(Q229-AVERAGE(FILTER(Q229:Q4297,AA229:AA4297=""Neighbor""))) / STDEV(FILTER(Q229:Q4297, AA229:AA4297 =""Neighbor"")), """")"),0.2018974706064385)</f>
        <v>0.2018974706</v>
      </c>
      <c r="AF229" s="2">
        <f>IFERROR(__xludf.DUMMYFUNCTION("IFERROR(ABS(R229-AVERAGE(FILTER(R229:R4297,AA229:AA4297=""Neighbor""))) / STDEV(FILTER(R229:R4297, AA229:AA4297 =""Neighbor"")), """")"),0.10213917089956913)</f>
        <v>0.1021391709</v>
      </c>
    </row>
    <row r="230">
      <c r="A230" s="2" t="s">
        <v>28</v>
      </c>
      <c r="B230" s="2" t="s">
        <v>884</v>
      </c>
      <c r="C230" s="2" t="s">
        <v>956</v>
      </c>
      <c r="D230" s="2" t="s">
        <v>969</v>
      </c>
      <c r="E230" s="2" t="s">
        <v>970</v>
      </c>
      <c r="F230" s="2">
        <v>66.0</v>
      </c>
      <c r="G230" s="2">
        <v>573.0</v>
      </c>
      <c r="H230" s="2" t="b">
        <v>1</v>
      </c>
      <c r="I230" s="2">
        <v>-1.0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s">
        <v>33</v>
      </c>
      <c r="O230" s="2">
        <v>46.0</v>
      </c>
      <c r="P230" s="2">
        <v>3.0</v>
      </c>
      <c r="Q230" s="2">
        <v>8.0</v>
      </c>
      <c r="R230" s="2">
        <v>0.0</v>
      </c>
      <c r="S230" s="3" t="s">
        <v>971</v>
      </c>
      <c r="T230" s="2" t="s">
        <v>972</v>
      </c>
      <c r="Y230" s="4" t="str">
        <f>IFERROR(__xludf.DUMMYFUNCTION("""COMPUTED_VALUE"""),"7.179743")</f>
        <v>7.179743</v>
      </c>
      <c r="Z230" s="4" t="str">
        <f>IFERROR(__xludf.DUMMYFUNCTION("""COMPUTED_VALUE"""),"3.351797")</f>
        <v>3.351797</v>
      </c>
      <c r="AA230" s="4" t="str">
        <f t="shared" si="1"/>
        <v>Neighbor</v>
      </c>
      <c r="AC230" s="4">
        <f>IFERROR(__xludf.DUMMYFUNCTION("IFERROR(ABS(O230-AVERAGE(FILTER(O230:O4298,AA230:AA4298=""Neighbor""))) / STDEV(FILTER(O230:O4298, AA230:AA4298 =""Neighbor"")), """")"),0.4823991743110413)</f>
        <v>0.4823991743</v>
      </c>
      <c r="AD230" s="4">
        <f>IFERROR(__xludf.DUMMYFUNCTION("IFERROR(ABS(P230-AVERAGE(FILTER(O230:P4298,AA230:AA4298=""Neighbor""))) / STDEV(FILTER(P230:P4298, AA230:AA4298 =""Neighbor"")), """")"),1.505087378033651)</f>
        <v>1.505087378</v>
      </c>
      <c r="AE230" s="2">
        <f>IFERROR(__xludf.DUMMYFUNCTION("IFERROR(ABS(Q230-AVERAGE(FILTER(Q230:Q4298,AA230:AA4298=""Neighbor""))) / STDEV(FILTER(Q230:Q4298, AA230:AA4298 =""Neighbor"")), """")"),0.7157056069735411)</f>
        <v>0.715705607</v>
      </c>
      <c r="AF230" s="2">
        <f>IFERROR(__xludf.DUMMYFUNCTION("IFERROR(ABS(R230-AVERAGE(FILTER(R230:R4298,AA230:AA4298=""Neighbor""))) / STDEV(FILTER(R230:R4298, AA230:AA4298 =""Neighbor"")), """")"),0.10217004791317906)</f>
        <v>0.1021700479</v>
      </c>
    </row>
    <row r="231">
      <c r="A231" s="2" t="s">
        <v>28</v>
      </c>
      <c r="B231" s="2" t="s">
        <v>884</v>
      </c>
      <c r="C231" s="2" t="s">
        <v>956</v>
      </c>
      <c r="D231" s="2" t="s">
        <v>973</v>
      </c>
      <c r="E231" s="2" t="s">
        <v>974</v>
      </c>
      <c r="F231" s="2">
        <v>138.0</v>
      </c>
      <c r="G231" s="2">
        <v>612.0</v>
      </c>
      <c r="H231" s="2" t="b">
        <v>1</v>
      </c>
      <c r="I231" s="2">
        <v>-1.0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s">
        <v>33</v>
      </c>
      <c r="O231" s="2">
        <v>95.0</v>
      </c>
      <c r="P231" s="2">
        <v>4.0</v>
      </c>
      <c r="Q231" s="2">
        <v>26.0</v>
      </c>
      <c r="R231" s="2">
        <v>1.0</v>
      </c>
      <c r="S231" s="3" t="s">
        <v>975</v>
      </c>
      <c r="T231" s="2" t="s">
        <v>976</v>
      </c>
      <c r="Y231" s="4" t="str">
        <f>IFERROR(__xludf.DUMMYFUNCTION("""COMPUTED_VALUE"""),"7.1802873")</f>
        <v>7.1802873</v>
      </c>
      <c r="Z231" s="4" t="str">
        <f>IFERROR(__xludf.DUMMYFUNCTION("""COMPUTED_VALUE"""),"3.356525")</f>
        <v>3.356525</v>
      </c>
      <c r="AA231" s="4" t="str">
        <f t="shared" si="1"/>
        <v>Neighbor</v>
      </c>
      <c r="AC231" s="4">
        <f>IFERROR(__xludf.DUMMYFUNCTION("IFERROR(ABS(O231-AVERAGE(FILTER(O231:O4299,AA231:AA4299=""Neighbor""))) / STDEV(FILTER(O231:O4299, AA231:AA4299 =""Neighbor"")), """")"),0.6626492371834489)</f>
        <v>0.6626492372</v>
      </c>
      <c r="AD231" s="4">
        <f>IFERROR(__xludf.DUMMYFUNCTION("IFERROR(ABS(P231-AVERAGE(FILTER(O231:P4299,AA231:AA4299=""Neighbor""))) / STDEV(FILTER(P231:P4299, AA231:AA4299 =""Neighbor"")), """")"),1.4662128623288697)</f>
        <v>1.466212862</v>
      </c>
      <c r="AE231" s="2">
        <f>IFERROR(__xludf.DUMMYFUNCTION("IFERROR(ABS(Q231-AVERAGE(FILTER(Q231:Q4299,AA231:AA4299=""Neighbor""))) / STDEV(FILTER(Q231:Q4299, AA231:AA4299 =""Neighbor"")), """")"),0.05447551107835538)</f>
        <v>0.05447551108</v>
      </c>
      <c r="AF231" s="2">
        <f>IFERROR(__xludf.DUMMYFUNCTION("IFERROR(ABS(R231-AVERAGE(FILTER(R231:R4299,AA231:AA4299=""Neighbor""))) / STDEV(FILTER(R231:R4299, AA231:AA4299 =""Neighbor"")), """")"),0.09408603263210188)</f>
        <v>0.09408603263</v>
      </c>
    </row>
    <row r="232">
      <c r="A232" s="2" t="s">
        <v>28</v>
      </c>
      <c r="B232" s="2" t="s">
        <v>884</v>
      </c>
      <c r="C232" s="2" t="s">
        <v>956</v>
      </c>
      <c r="D232" s="2" t="s">
        <v>977</v>
      </c>
      <c r="E232" s="2" t="s">
        <v>978</v>
      </c>
      <c r="F232" s="2">
        <v>122.0</v>
      </c>
      <c r="G232" s="2">
        <v>644.0</v>
      </c>
      <c r="H232" s="2" t="b">
        <v>1</v>
      </c>
      <c r="I232" s="2">
        <v>-1.0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s">
        <v>33</v>
      </c>
      <c r="O232" s="2">
        <v>87.0</v>
      </c>
      <c r="P232" s="2">
        <v>3.0</v>
      </c>
      <c r="Q232" s="2">
        <v>14.0</v>
      </c>
      <c r="R232" s="2">
        <v>0.0</v>
      </c>
      <c r="S232" s="3" t="s">
        <v>979</v>
      </c>
      <c r="T232" s="2" t="s">
        <v>980</v>
      </c>
      <c r="Y232" s="4" t="str">
        <f>IFERROR(__xludf.DUMMYFUNCTION("""COMPUTED_VALUE"""),"7.1802873")</f>
        <v>7.1802873</v>
      </c>
      <c r="Z232" s="4" t="str">
        <f>IFERROR(__xludf.DUMMYFUNCTION("""COMPUTED_VALUE"""),"3.356525")</f>
        <v>3.356525</v>
      </c>
      <c r="AA232" s="4" t="str">
        <f t="shared" si="1"/>
        <v>Neighbor</v>
      </c>
      <c r="AC232" s="4">
        <f>IFERROR(__xludf.DUMMYFUNCTION("IFERROR(ABS(O232-AVERAGE(FILTER(O232:O4300,AA232:AA4300=""Neighbor""))) / STDEV(FILTER(O232:O4300, AA232:AA4300 =""Neighbor"")), """")"),0.4759907222118028)</f>
        <v>0.4759907222</v>
      </c>
      <c r="AD232" s="4">
        <f>IFERROR(__xludf.DUMMYFUNCTION("IFERROR(ABS(P232-AVERAGE(FILTER(O232:P4300,AA232:AA4300=""Neighbor""))) / STDEV(FILTER(P232:P4300, AA232:AA4300 =""Neighbor"")), """")"),1.5046381311678974)</f>
        <v>1.504638131</v>
      </c>
      <c r="AE232" s="2">
        <f>IFERROR(__xludf.DUMMYFUNCTION("IFERROR(ABS(Q232-AVERAGE(FILTER(Q232:Q4300,AA232:AA4300=""Neighbor""))) / STDEV(FILTER(Q232:Q4300, AA232:AA4300 =""Neighbor"")), """")"),0.45902479381221045)</f>
        <v>0.4590247938</v>
      </c>
      <c r="AF232" s="2">
        <f>IFERROR(__xludf.DUMMYFUNCTION("IFERROR(ABS(R232-AVERAGE(FILTER(R232:R4300,AA232:AA4300=""Neighbor""))) / STDEV(FILTER(R232:R4300, AA232:AA4300 =""Neighbor"")), """")"),0.10211419411891355)</f>
        <v>0.1021141941</v>
      </c>
    </row>
    <row r="233">
      <c r="A233" s="2" t="s">
        <v>28</v>
      </c>
      <c r="B233" s="2" t="s">
        <v>884</v>
      </c>
      <c r="C233" s="2" t="s">
        <v>956</v>
      </c>
      <c r="D233" s="2" t="s">
        <v>981</v>
      </c>
      <c r="E233" s="2" t="s">
        <v>982</v>
      </c>
      <c r="F233" s="2">
        <v>148.0</v>
      </c>
      <c r="G233" s="2">
        <v>780.0</v>
      </c>
      <c r="H233" s="2" t="b">
        <v>1</v>
      </c>
      <c r="I233" s="2">
        <v>-1.0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s">
        <v>33</v>
      </c>
      <c r="O233" s="2">
        <v>99.0</v>
      </c>
      <c r="P233" s="2">
        <v>9.0</v>
      </c>
      <c r="Q233" s="2">
        <v>24.0</v>
      </c>
      <c r="R233" s="2">
        <v>1.0</v>
      </c>
      <c r="S233" s="3" t="s">
        <v>983</v>
      </c>
      <c r="T233" s="2" t="s">
        <v>984</v>
      </c>
      <c r="Y233" s="4" t="str">
        <f>IFERROR(__xludf.DUMMYFUNCTION("""COMPUTED_VALUE"""),"7.1815681")</f>
        <v>7.1815681</v>
      </c>
      <c r="Z233" s="4" t="str">
        <f>IFERROR(__xludf.DUMMYFUNCTION("""COMPUTED_VALUE"""),"3.365344")</f>
        <v>3.365344</v>
      </c>
      <c r="AA233" s="4" t="str">
        <f t="shared" si="1"/>
        <v>Neighbor</v>
      </c>
      <c r="AC233" s="4">
        <f>IFERROR(__xludf.DUMMYFUNCTION("IFERROR(ABS(O233-AVERAGE(FILTER(O233:O4301,AA233:AA4301=""Neighbor""))) / STDEV(FILTER(O233:O4301, AA233:AA4301 =""Neighbor"")), """")"),0.756517185110167)</f>
        <v>0.7565171851</v>
      </c>
      <c r="AD233" s="4">
        <f>IFERROR(__xludf.DUMMYFUNCTION("IFERROR(ABS(P233-AVERAGE(FILTER(O233:P4301,AA233:AA4301=""Neighbor""))) / STDEV(FILTER(P233:P4301, AA233:AA4301 =""Neighbor"")), """")"),1.2706356198905724)</f>
        <v>1.27063562</v>
      </c>
      <c r="AE233" s="2">
        <f>IFERROR(__xludf.DUMMYFUNCTION("IFERROR(ABS(Q233-AVERAGE(FILTER(Q233:Q4301,AA233:AA4301=""Neighbor""))) / STDEV(FILTER(Q233:Q4301, AA233:AA4301 =""Neighbor"")), """")"),0.03136216754870218)</f>
        <v>0.03136216755</v>
      </c>
      <c r="AF233" s="2">
        <f>IFERROR(__xludf.DUMMYFUNCTION("IFERROR(ABS(R233-AVERAGE(FILTER(R233:R4301,AA233:AA4301=""Neighbor""))) / STDEV(FILTER(R233:R4301, AA233:AA4301 =""Neighbor"")), """")"),0.09402528805535593)</f>
        <v>0.09402528806</v>
      </c>
    </row>
    <row r="234">
      <c r="A234" s="2" t="s">
        <v>28</v>
      </c>
      <c r="B234" s="2" t="s">
        <v>884</v>
      </c>
      <c r="C234" s="2" t="s">
        <v>956</v>
      </c>
      <c r="D234" s="2" t="s">
        <v>985</v>
      </c>
      <c r="E234" s="2" t="s">
        <v>986</v>
      </c>
      <c r="F234" s="2">
        <v>113.0</v>
      </c>
      <c r="G234" s="2">
        <v>672.0</v>
      </c>
      <c r="H234" s="2" t="b">
        <v>1</v>
      </c>
      <c r="I234" s="2">
        <v>-1.0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s">
        <v>33</v>
      </c>
      <c r="O234" s="2">
        <v>85.0</v>
      </c>
      <c r="P234" s="2">
        <v>6.0</v>
      </c>
      <c r="Q234" s="2">
        <v>7.0</v>
      </c>
      <c r="R234" s="2">
        <v>0.0</v>
      </c>
      <c r="S234" s="3" t="s">
        <v>987</v>
      </c>
      <c r="T234" s="2" t="s">
        <v>988</v>
      </c>
      <c r="Y234" s="4" t="str">
        <f>IFERROR(__xludf.DUMMYFUNCTION("""COMPUTED_VALUE"""),"7.1802873")</f>
        <v>7.1802873</v>
      </c>
      <c r="Z234" s="4" t="str">
        <f>IFERROR(__xludf.DUMMYFUNCTION("""COMPUTED_VALUE"""),"3.356525")</f>
        <v>3.356525</v>
      </c>
      <c r="AA234" s="4" t="str">
        <f t="shared" si="1"/>
        <v>Neighbor</v>
      </c>
      <c r="AC234" s="4">
        <f>IFERROR(__xludf.DUMMYFUNCTION("IFERROR(ABS(O234-AVERAGE(FILTER(O234:O4302,AA234:AA4302=""Neighbor""))) / STDEV(FILTER(O234:O4302, AA234:AA4302 =""Neighbor"")), """")"),0.4298394601407547)</f>
        <v>0.4298394601</v>
      </c>
      <c r="AD234" s="4">
        <f>IFERROR(__xludf.DUMMYFUNCTION("IFERROR(ABS(P234-AVERAGE(FILTER(O234:P4302,AA234:AA4302=""Neighbor""))) / STDEV(FILTER(P234:P4302, AA234:AA4302 =""Neighbor"")), """")"),1.3867673500798732)</f>
        <v>1.38676735</v>
      </c>
      <c r="AE234" s="2">
        <f>IFERROR(__xludf.DUMMYFUNCTION("IFERROR(ABS(Q234-AVERAGE(FILTER(Q234:Q4302,AA234:AA4302=""Neighbor""))) / STDEV(FILTER(Q234:Q4302, AA234:AA4302 =""Neighbor"")), """")"),0.7584631943824258)</f>
        <v>0.7584631944</v>
      </c>
      <c r="AF234" s="2">
        <f>IFERROR(__xludf.DUMMYFUNCTION("IFERROR(ABS(R234-AVERAGE(FILTER(R234:R4302,AA234:AA4302=""Neighbor""))) / STDEV(FILTER(R234:R4302, AA234:AA4302 =""Neighbor"")), """")"),0.10205830868481178)</f>
        <v>0.1020583087</v>
      </c>
    </row>
    <row r="235">
      <c r="A235" s="2" t="s">
        <v>28</v>
      </c>
      <c r="B235" s="2" t="s">
        <v>884</v>
      </c>
      <c r="C235" s="2" t="s">
        <v>956</v>
      </c>
      <c r="D235" s="2" t="s">
        <v>989</v>
      </c>
      <c r="E235" s="2" t="s">
        <v>990</v>
      </c>
      <c r="F235" s="2">
        <v>165.0</v>
      </c>
      <c r="G235" s="2">
        <v>845.0</v>
      </c>
      <c r="H235" s="2" t="b">
        <v>1</v>
      </c>
      <c r="I235" s="2">
        <v>-1.0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s">
        <v>33</v>
      </c>
      <c r="O235" s="2">
        <v>102.0</v>
      </c>
      <c r="P235" s="2">
        <v>24.0</v>
      </c>
      <c r="Q235" s="2">
        <v>17.0</v>
      </c>
      <c r="R235" s="2">
        <v>0.0</v>
      </c>
      <c r="S235" s="3" t="s">
        <v>991</v>
      </c>
      <c r="T235" s="2" t="s">
        <v>992</v>
      </c>
      <c r="Y235" s="4" t="str">
        <f>IFERROR(__xludf.DUMMYFUNCTION("""COMPUTED_VALUE"""),"7.1801376")</f>
        <v>7.1801376</v>
      </c>
      <c r="Z235" s="4" t="str">
        <f>IFERROR(__xludf.DUMMYFUNCTION("""COMPUTED_VALUE"""),"3.355008")</f>
        <v>3.355008</v>
      </c>
      <c r="AA235" s="4" t="str">
        <f t="shared" si="1"/>
        <v>Neighbor</v>
      </c>
      <c r="AC235" s="4">
        <f>IFERROR(__xludf.DUMMYFUNCTION("IFERROR(ABS(O235-AVERAGE(FILTER(O235:O4303,AA235:AA4303=""Neighbor""))) / STDEV(FILTER(O235:O4303, AA235:AA4303 =""Neighbor"")), """")"),0.8270086441108988)</f>
        <v>0.8270086441</v>
      </c>
      <c r="AD235" s="4">
        <f>IFERROR(__xludf.DUMMYFUNCTION("IFERROR(ABS(P235-AVERAGE(FILTER(O235:P4303,AA235:AA4303=""Neighbor""))) / STDEV(FILTER(P235:P4303, AA235:AA4303 =""Neighbor"")), """")"),0.6858975934265207)</f>
        <v>0.6858975934</v>
      </c>
      <c r="AE235" s="2">
        <f>IFERROR(__xludf.DUMMYFUNCTION("IFERROR(ABS(Q235-AVERAGE(FILTER(Q235:Q4303,AA235:AA4303=""Neighbor""))) / STDEV(FILTER(Q235:Q4303, AA235:AA4303 =""Neighbor"")), """")"),0.33117555050551645)</f>
        <v>0.3311755505</v>
      </c>
      <c r="AF235" s="2">
        <f>IFERROR(__xludf.DUMMYFUNCTION("IFERROR(ABS(R235-AVERAGE(FILTER(R235:R4303,AA235:AA4303=""Neighbor""))) / STDEV(FILTER(R235:R4303, AA235:AA4303 =""Neighbor"")), """")"),0.10208925332929376)</f>
        <v>0.1020892533</v>
      </c>
    </row>
    <row r="236">
      <c r="A236" s="2" t="s">
        <v>28</v>
      </c>
      <c r="B236" s="2" t="s">
        <v>884</v>
      </c>
      <c r="C236" s="2" t="s">
        <v>956</v>
      </c>
      <c r="D236" s="2" t="s">
        <v>993</v>
      </c>
      <c r="E236" s="2" t="s">
        <v>994</v>
      </c>
      <c r="F236" s="2">
        <v>161.0</v>
      </c>
      <c r="G236" s="2">
        <v>861.0</v>
      </c>
      <c r="H236" s="2" t="b">
        <v>1</v>
      </c>
      <c r="I236" s="2">
        <v>-1.0</v>
      </c>
      <c r="J236" s="2" t="b">
        <v>0</v>
      </c>
      <c r="K236" s="2" t="b">
        <v>1</v>
      </c>
      <c r="L236" s="2" t="b">
        <v>0</v>
      </c>
      <c r="M236" s="2" t="b">
        <v>0</v>
      </c>
      <c r="N236" s="2" t="s">
        <v>33</v>
      </c>
      <c r="O236" s="2">
        <v>95.0</v>
      </c>
      <c r="P236" s="2">
        <v>27.0</v>
      </c>
      <c r="Q236" s="2">
        <v>24.0</v>
      </c>
      <c r="R236" s="2">
        <v>0.0</v>
      </c>
      <c r="S236" s="3" t="s">
        <v>995</v>
      </c>
      <c r="T236" s="2" t="s">
        <v>996</v>
      </c>
      <c r="Y236" s="4" t="str">
        <f>IFERROR(__xludf.DUMMYFUNCTION("""COMPUTED_VALUE"""),"7.1801376")</f>
        <v>7.1801376</v>
      </c>
      <c r="Z236" s="4" t="str">
        <f>IFERROR(__xludf.DUMMYFUNCTION("""COMPUTED_VALUE"""),"3.355008")</f>
        <v>3.355008</v>
      </c>
      <c r="AA236" s="4" t="str">
        <f t="shared" si="1"/>
        <v>Neighbor</v>
      </c>
      <c r="AC236" s="4">
        <f>IFERROR(__xludf.DUMMYFUNCTION("IFERROR(ABS(O236-AVERAGE(FILTER(O236:O4304,AA236:AA4304=""Neighbor""))) / STDEV(FILTER(O236:O4304, AA236:AA4304 =""Neighbor"")), """")"),0.6639653243011223)</f>
        <v>0.6639653243</v>
      </c>
      <c r="AD236" s="4">
        <f>IFERROR(__xludf.DUMMYFUNCTION("IFERROR(ABS(P236-AVERAGE(FILTER(O236:P4304,AA236:AA4304=""Neighbor""))) / STDEV(FILTER(P236:P4304, AA236:AA4304 =""Neighbor"")), """")"),0.5685017179796178)</f>
        <v>0.568501718</v>
      </c>
      <c r="AE236" s="2">
        <f>IFERROR(__xludf.DUMMYFUNCTION("IFERROR(ABS(Q236-AVERAGE(FILTER(Q236:Q4304,AA236:AA4304=""Neighbor""))) / STDEV(FILTER(Q236:Q4304, AA236:AA4304 =""Neighbor"")), """")"),0.032013513773013265)</f>
        <v>0.03201351377</v>
      </c>
      <c r="AF236" s="2">
        <f>IFERROR(__xludf.DUMMYFUNCTION("IFERROR(ABS(R236-AVERAGE(FILTER(R236:R4304,AA236:AA4304=""Neighbor""))) / STDEV(FILTER(R236:R4304, AA236:AA4304 =""Neighbor"")), """")"),0.10212022613883615)</f>
        <v>0.1021202261</v>
      </c>
    </row>
    <row r="237">
      <c r="A237" s="2" t="s">
        <v>28</v>
      </c>
      <c r="B237" s="2" t="s">
        <v>884</v>
      </c>
      <c r="C237" s="2" t="s">
        <v>956</v>
      </c>
      <c r="D237" s="2" t="s">
        <v>997</v>
      </c>
      <c r="E237" s="2" t="s">
        <v>994</v>
      </c>
      <c r="F237" s="2">
        <v>161.0</v>
      </c>
      <c r="G237" s="2">
        <v>861.0</v>
      </c>
      <c r="H237" s="2" t="b">
        <v>1</v>
      </c>
      <c r="I237" s="2">
        <v>-1.0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s">
        <v>33</v>
      </c>
      <c r="O237" s="2">
        <v>68.0</v>
      </c>
      <c r="P237" s="2">
        <v>6.0</v>
      </c>
      <c r="Q237" s="2">
        <v>79.0</v>
      </c>
      <c r="R237" s="2">
        <v>1.0</v>
      </c>
      <c r="S237" s="3" t="s">
        <v>995</v>
      </c>
      <c r="T237" s="2" t="s">
        <v>996</v>
      </c>
      <c r="Y237" s="4" t="str">
        <f>IFERROR(__xludf.DUMMYFUNCTION("""COMPUTED_VALUE"""),"7.1801376")</f>
        <v>7.1801376</v>
      </c>
      <c r="Z237" s="4" t="str">
        <f>IFERROR(__xludf.DUMMYFUNCTION("""COMPUTED_VALUE"""),"3.355008")</f>
        <v>3.355008</v>
      </c>
      <c r="AA237" s="4" t="str">
        <f t="shared" si="1"/>
        <v>Neighbor</v>
      </c>
      <c r="AC237" s="4">
        <f>IFERROR(__xludf.DUMMYFUNCTION("IFERROR(ABS(O237-AVERAGE(FILTER(O237:O4305,AA237:AA4305=""Neighbor""))) / STDEV(FILTER(O237:O4305, AA237:AA4305 =""Neighbor"")), """")"),0.033863378138428865)</f>
        <v>0.03386337814</v>
      </c>
      <c r="AD237" s="4">
        <f>IFERROR(__xludf.DUMMYFUNCTION("IFERROR(ABS(P237-AVERAGE(FILTER(O237:P4305,AA237:AA4305=""Neighbor""))) / STDEV(FILTER(P237:P4305, AA237:AA4305 =""Neighbor"")), """")"),1.3846471143784644)</f>
        <v>1.384647114</v>
      </c>
      <c r="AE237" s="2">
        <f>IFERROR(__xludf.DUMMYFUNCTION("IFERROR(ABS(Q237-AVERAGE(FILTER(Q237:Q4305,AA237:AA4305=""Neighbor""))) / STDEV(FILTER(Q237:Q4305, AA237:AA4305 =""Neighbor"")), """")"),2.318696481233062)</f>
        <v>2.318696481</v>
      </c>
      <c r="AF237" s="2">
        <f>IFERROR(__xludf.DUMMYFUNCTION("IFERROR(ABS(R237-AVERAGE(FILTER(R237:R4305,AA237:AA4305=""Neighbor""))) / STDEV(FILTER(R237:R4305, AA237:AA4305 =""Neighbor"")), """")"),0.09378590174893621)</f>
        <v>0.09378590175</v>
      </c>
    </row>
    <row r="238">
      <c r="A238" s="2" t="s">
        <v>28</v>
      </c>
      <c r="B238" s="2" t="s">
        <v>884</v>
      </c>
      <c r="C238" s="2" t="s">
        <v>956</v>
      </c>
      <c r="D238" s="2" t="s">
        <v>998</v>
      </c>
      <c r="E238" s="2" t="s">
        <v>999</v>
      </c>
      <c r="F238" s="2">
        <v>134.0</v>
      </c>
      <c r="G238" s="2">
        <v>849.0</v>
      </c>
      <c r="H238" s="2" t="b">
        <v>1</v>
      </c>
      <c r="I238" s="2">
        <v>-1.0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s">
        <v>33</v>
      </c>
      <c r="O238" s="2">
        <v>79.0</v>
      </c>
      <c r="P238" s="2">
        <v>3.0</v>
      </c>
      <c r="Q238" s="2">
        <v>30.0</v>
      </c>
      <c r="R238" s="2">
        <v>1.0</v>
      </c>
      <c r="S238" s="3" t="s">
        <v>1000</v>
      </c>
      <c r="T238" s="2" t="s">
        <v>1001</v>
      </c>
      <c r="Y238" s="4" t="str">
        <f>IFERROR(__xludf.DUMMYFUNCTION("""COMPUTED_VALUE"""),"7.1802873")</f>
        <v>7.1802873</v>
      </c>
      <c r="Z238" s="4" t="str">
        <f>IFERROR(__xludf.DUMMYFUNCTION("""COMPUTED_VALUE"""),"3.356525")</f>
        <v>3.356525</v>
      </c>
      <c r="AA238" s="4" t="str">
        <f t="shared" si="1"/>
        <v>Neighbor</v>
      </c>
      <c r="AC238" s="4">
        <f>IFERROR(__xludf.DUMMYFUNCTION("IFERROR(ABS(O238-AVERAGE(FILTER(O238:O4306,AA238:AA4306=""Neighbor""))) / STDEV(FILTER(O238:O4306, AA238:AA4306 =""Neighbor"")), """")"),0.2906217460629092)</f>
        <v>0.2906217461</v>
      </c>
      <c r="AD238" s="4">
        <f>IFERROR(__xludf.DUMMYFUNCTION("IFERROR(ABS(P238-AVERAGE(FILTER(O238:P4306,AA238:AA4306=""Neighbor""))) / STDEV(FILTER(P238:P4306, AA238:AA4306 =""Neighbor"")), """")"),1.501058066987088)</f>
        <v>1.501058067</v>
      </c>
      <c r="AE238" s="2">
        <f>IFERROR(__xludf.DUMMYFUNCTION("IFERROR(ABS(Q238-AVERAGE(FILTER(Q238:Q4306,AA238:AA4306=""Neighbor""))) / STDEV(FILTER(Q238:Q4306, AA238:AA4306 =""Neighbor"")), """")"),0.22611241734897405)</f>
        <v>0.2261124173</v>
      </c>
      <c r="AF238" s="2">
        <f>IFERROR(__xludf.DUMMYFUNCTION("IFERROR(ABS(R238-AVERAGE(FILTER(R238:R4306,AA238:AA4306=""Neighbor""))) / STDEV(FILTER(R238:R4306, AA238:AA4306 =""Neighbor"")), """")"),0.09381434369281055)</f>
        <v>0.09381434369</v>
      </c>
    </row>
    <row r="239">
      <c r="A239" s="2" t="s">
        <v>28</v>
      </c>
      <c r="B239" s="2" t="s">
        <v>884</v>
      </c>
      <c r="C239" s="2" t="s">
        <v>956</v>
      </c>
      <c r="D239" s="2" t="s">
        <v>1002</v>
      </c>
      <c r="E239" s="2" t="s">
        <v>1003</v>
      </c>
      <c r="F239" s="2">
        <v>87.0</v>
      </c>
      <c r="G239" s="2">
        <v>537.0</v>
      </c>
      <c r="H239" s="2" t="b">
        <v>1</v>
      </c>
      <c r="I239" s="2">
        <v>-1.0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s">
        <v>33</v>
      </c>
      <c r="O239" s="2">
        <v>55.0</v>
      </c>
      <c r="P239" s="2">
        <v>1.0</v>
      </c>
      <c r="Q239" s="2">
        <v>24.0</v>
      </c>
      <c r="R239" s="2">
        <v>0.0</v>
      </c>
      <c r="S239" s="3" t="s">
        <v>1004</v>
      </c>
      <c r="T239" s="2" t="s">
        <v>1005</v>
      </c>
      <c r="Y239" s="4" t="str">
        <f>IFERROR(__xludf.DUMMYFUNCTION("""COMPUTED_VALUE"""),"7.1802873")</f>
        <v>7.1802873</v>
      </c>
      <c r="Z239" s="4" t="str">
        <f>IFERROR(__xludf.DUMMYFUNCTION("""COMPUTED_VALUE"""),"3.356525")</f>
        <v>3.356525</v>
      </c>
      <c r="AA239" s="4" t="str">
        <f t="shared" si="1"/>
        <v>Neighbor</v>
      </c>
      <c r="AC239" s="4">
        <f>IFERROR(__xludf.DUMMYFUNCTION("IFERROR(ABS(O239-AVERAGE(FILTER(O239:O4307,AA239:AA4307=""Neighbor""))) / STDEV(FILTER(O239:O4307, AA239:AA4307 =""Neighbor"")), """")"),0.26930687433709755)</f>
        <v>0.2693068743</v>
      </c>
      <c r="AD239" s="4">
        <f>IFERROR(__xludf.DUMMYFUNCTION("IFERROR(ABS(P239-AVERAGE(FILTER(O239:P4307,AA239:AA4307=""Neighbor""))) / STDEV(FILTER(P239:P4307, AA239:AA4307 =""Neighbor"")), """")"),1.57849660505885)</f>
        <v>1.578496605</v>
      </c>
      <c r="AE239" s="2">
        <f>IFERROR(__xludf.DUMMYFUNCTION("IFERROR(ABS(Q239-AVERAGE(FILTER(Q239:Q4307,AA239:AA4307=""Neighbor""))) / STDEV(FILTER(Q239:Q4307, AA239:AA4307 =""Neighbor"")), """")"),0.030523623575086898)</f>
        <v>0.03052362358</v>
      </c>
      <c r="AF239" s="2">
        <f>IFERROR(__xludf.DUMMYFUNCTION("IFERROR(ABS(R239-AVERAGE(FILTER(R239:R4307,AA239:AA4307=""Neighbor""))) / STDEV(FILTER(R239:R4307, AA239:AA4307 =""Neighbor"")), """")"),0.10197742710108736)</f>
        <v>0.1019774271</v>
      </c>
    </row>
    <row r="240">
      <c r="A240" s="2" t="s">
        <v>28</v>
      </c>
      <c r="B240" s="2" t="s">
        <v>884</v>
      </c>
      <c r="C240" s="2" t="s">
        <v>956</v>
      </c>
      <c r="D240" s="2" t="s">
        <v>1006</v>
      </c>
      <c r="E240" s="2" t="s">
        <v>1007</v>
      </c>
      <c r="F240" s="2">
        <v>115.0</v>
      </c>
      <c r="G240" s="2">
        <v>389.0</v>
      </c>
      <c r="H240" s="2" t="b">
        <v>1</v>
      </c>
      <c r="I240" s="2">
        <v>-1.0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s">
        <v>33</v>
      </c>
      <c r="O240" s="2">
        <v>63.0</v>
      </c>
      <c r="P240" s="2">
        <v>2.0</v>
      </c>
      <c r="Q240" s="2">
        <v>30.0</v>
      </c>
      <c r="R240" s="2">
        <v>1.0</v>
      </c>
      <c r="S240" s="3" t="s">
        <v>1008</v>
      </c>
      <c r="T240" s="2" t="s">
        <v>1009</v>
      </c>
      <c r="Y240" s="4" t="str">
        <f>IFERROR(__xludf.DUMMYFUNCTION("""COMPUTED_VALUE"""),"7.1802873")</f>
        <v>7.1802873</v>
      </c>
      <c r="Z240" s="4" t="str">
        <f>IFERROR(__xludf.DUMMYFUNCTION("""COMPUTED_VALUE"""),"3.356525")</f>
        <v>3.356525</v>
      </c>
      <c r="AA240" s="4" t="str">
        <f t="shared" si="1"/>
        <v>Neighbor</v>
      </c>
      <c r="AC240" s="4">
        <f>IFERROR(__xludf.DUMMYFUNCTION("IFERROR(ABS(O240-AVERAGE(FILTER(O240:O4308,AA240:AA4308=""Neighbor""))) / STDEV(FILTER(O240:O4308, AA240:AA4308 =""Neighbor"")), """")"),0.08277149661493209)</f>
        <v>0.08277149661</v>
      </c>
      <c r="AD240" s="4">
        <f>IFERROR(__xludf.DUMMYFUNCTION("IFERROR(ABS(P240-AVERAGE(FILTER(O240:P4308,AA240:AA4308=""Neighbor""))) / STDEV(FILTER(P240:P4308, AA240:AA4308 =""Neighbor"")), """")"),1.5396490962810112)</f>
        <v>1.539649096</v>
      </c>
      <c r="AE240" s="2">
        <f>IFERROR(__xludf.DUMMYFUNCTION("IFERROR(ABS(Q240-AVERAGE(FILTER(Q240:Q4308,AA240:AA4308=""Neighbor""))) / STDEV(FILTER(Q240:Q4308, AA240:AA4308 =""Neighbor"")), """")"),0.22609745779507742)</f>
        <v>0.2260974578</v>
      </c>
      <c r="AF240" s="2">
        <f>IFERROR(__xludf.DUMMYFUNCTION("IFERROR(ABS(R240-AVERAGE(FILTER(R240:R4308,AA240:AA4308=""Neighbor""))) / STDEV(FILTER(R240:R4308, AA240:AA4308 =""Neighbor"")), """")"),0.09375342153075489)</f>
        <v>0.09375342153</v>
      </c>
    </row>
    <row r="241">
      <c r="A241" s="2" t="s">
        <v>28</v>
      </c>
      <c r="B241" s="2" t="s">
        <v>884</v>
      </c>
      <c r="C241" s="2" t="s">
        <v>956</v>
      </c>
      <c r="D241" s="2" t="s">
        <v>1010</v>
      </c>
      <c r="E241" s="2" t="s">
        <v>1011</v>
      </c>
      <c r="F241" s="2">
        <v>110.0</v>
      </c>
      <c r="G241" s="2">
        <v>480.0</v>
      </c>
      <c r="H241" s="2" t="b">
        <v>1</v>
      </c>
      <c r="I241" s="2">
        <v>-1.0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s">
        <v>33</v>
      </c>
      <c r="O241" s="2">
        <v>69.0</v>
      </c>
      <c r="P241" s="2">
        <v>2.0</v>
      </c>
      <c r="Q241" s="2">
        <v>22.0</v>
      </c>
      <c r="R241" s="2">
        <v>0.0</v>
      </c>
      <c r="S241" s="3" t="s">
        <v>1012</v>
      </c>
      <c r="T241" s="2" t="s">
        <v>1013</v>
      </c>
      <c r="Y241" s="4" t="str">
        <f>IFERROR(__xludf.DUMMYFUNCTION("""COMPUTED_VALUE"""),"7.1802873")</f>
        <v>7.1802873</v>
      </c>
      <c r="Z241" s="4" t="str">
        <f>IFERROR(__xludf.DUMMYFUNCTION("""COMPUTED_VALUE"""),"3.356525")</f>
        <v>3.356525</v>
      </c>
      <c r="AA241" s="4" t="str">
        <f t="shared" si="1"/>
        <v>Neighbor</v>
      </c>
      <c r="AC241" s="4">
        <f>IFERROR(__xludf.DUMMYFUNCTION("IFERROR(ABS(O241-AVERAGE(FILTER(O241:O4309,AA241:AA4309=""Neighbor""))) / STDEV(FILTER(O241:O4309, AA241:AA4309 =""Neighbor"")), """")"),0.057128244891491396)</f>
        <v>0.05712824489</v>
      </c>
      <c r="AD241" s="4">
        <f>IFERROR(__xludf.DUMMYFUNCTION("IFERROR(ABS(P241-AVERAGE(FILTER(O241:P4309,AA241:AA4309=""Neighbor""))) / STDEV(FILTER(P241:P4309, AA241:AA4309 =""Neighbor"")), """")"),1.5395495554466476)</f>
        <v>1.539549555</v>
      </c>
      <c r="AE241" s="2">
        <f>IFERROR(__xludf.DUMMYFUNCTION("IFERROR(ABS(Q241-AVERAGE(FILTER(Q241:Q4309,AA241:AA4309=""Neighbor""))) / STDEV(FILTER(Q241:Q4309, AA241:AA4309 =""Neighbor"")), """")"),0.11590679818861235)</f>
        <v>0.1159067982</v>
      </c>
      <c r="AF241" s="2">
        <f>IFERROR(__xludf.DUMMYFUNCTION("IFERROR(ABS(R241-AVERAGE(FILTER(R241:R4309,AA241:AA4309=""Neighbor""))) / STDEV(FILTER(R241:R4309, AA241:AA4309 =""Neighbor"")), """")"),0.10192146637964646)</f>
        <v>0.1019214664</v>
      </c>
    </row>
    <row r="242">
      <c r="A242" s="2" t="s">
        <v>28</v>
      </c>
      <c r="B242" s="2" t="s">
        <v>884</v>
      </c>
      <c r="C242" s="2" t="s">
        <v>956</v>
      </c>
      <c r="D242" s="2" t="s">
        <v>1014</v>
      </c>
      <c r="E242" s="2" t="s">
        <v>1015</v>
      </c>
      <c r="F242" s="2">
        <v>86.0</v>
      </c>
      <c r="G242" s="2">
        <v>353.0</v>
      </c>
      <c r="H242" s="2" t="b">
        <v>1</v>
      </c>
      <c r="I242" s="2">
        <v>-1.0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s">
        <v>33</v>
      </c>
      <c r="O242" s="2">
        <v>57.0</v>
      </c>
      <c r="P242" s="2">
        <v>1.0</v>
      </c>
      <c r="Q242" s="2">
        <v>15.0</v>
      </c>
      <c r="R242" s="2">
        <v>1.0</v>
      </c>
      <c r="S242" s="3" t="s">
        <v>1016</v>
      </c>
      <c r="T242" s="2" t="s">
        <v>1017</v>
      </c>
      <c r="Y242" s="4" t="str">
        <f>IFERROR(__xludf.DUMMYFUNCTION("""COMPUTED_VALUE"""),"7.1802873")</f>
        <v>7.1802873</v>
      </c>
      <c r="Z242" s="4" t="str">
        <f>IFERROR(__xludf.DUMMYFUNCTION("""COMPUTED_VALUE"""),"3.356525")</f>
        <v>3.356525</v>
      </c>
      <c r="AA242" s="4" t="str">
        <f t="shared" si="1"/>
        <v>Neighbor</v>
      </c>
      <c r="AC242" s="4">
        <f>IFERROR(__xludf.DUMMYFUNCTION("IFERROR(ABS(O242-AVERAGE(FILTER(O242:O4310,AA242:AA4310=""Neighbor""))) / STDEV(FILTER(O242:O4310, AA242:AA4310 =""Neighbor"")), """")"),0.22262003274217593)</f>
        <v>0.2226200327</v>
      </c>
      <c r="AD242" s="4">
        <f>IFERROR(__xludf.DUMMYFUNCTION("IFERROR(ABS(P242-AVERAGE(FILTER(O242:P4310,AA242:AA4310=""Neighbor""))) / STDEV(FILTER(P242:P4310, AA242:AA4310 =""Neighbor"")), """")"),1.5782311001119436)</f>
        <v>1.5782311</v>
      </c>
      <c r="AE242" s="2">
        <f>IFERROR(__xludf.DUMMYFUNCTION("IFERROR(ABS(Q242-AVERAGE(FILTER(Q242:Q4310,AA242:AA4310=""Neighbor""))) / STDEV(FILTER(Q242:Q4310, AA242:AA4310 =""Neighbor"")), """")"),0.41516948552585237)</f>
        <v>0.4151694855</v>
      </c>
      <c r="AF242" s="2">
        <f>IFERROR(__xludf.DUMMYFUNCTION("IFERROR(ABS(R242-AVERAGE(FILTER(R242:R4310,AA242:AA4310=""Neighbor""))) / STDEV(FILTER(R242:R4310, AA242:AA4310 =""Neighbor"")), """")"),0.09369245861726537)</f>
        <v>0.09369245862</v>
      </c>
    </row>
    <row r="243">
      <c r="A243" s="2" t="s">
        <v>28</v>
      </c>
      <c r="B243" s="2" t="s">
        <v>884</v>
      </c>
      <c r="C243" s="2" t="s">
        <v>956</v>
      </c>
      <c r="D243" s="2" t="s">
        <v>1018</v>
      </c>
      <c r="E243" s="2" t="s">
        <v>1019</v>
      </c>
      <c r="F243" s="2">
        <v>92.0</v>
      </c>
      <c r="G243" s="2">
        <v>586.0</v>
      </c>
      <c r="H243" s="2" t="b">
        <v>1</v>
      </c>
      <c r="I243" s="2">
        <v>-1.0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s">
        <v>33</v>
      </c>
      <c r="O243" s="2">
        <v>48.0</v>
      </c>
      <c r="P243" s="2">
        <v>8.0</v>
      </c>
      <c r="Q243" s="2">
        <v>18.0</v>
      </c>
      <c r="R243" s="2">
        <v>0.0</v>
      </c>
      <c r="S243" s="3" t="s">
        <v>1020</v>
      </c>
      <c r="T243" s="2" t="s">
        <v>1021</v>
      </c>
      <c r="Y243" s="4" t="str">
        <f>IFERROR(__xludf.DUMMYFUNCTION("""COMPUTED_VALUE"""),"7.1802873")</f>
        <v>7.1802873</v>
      </c>
      <c r="Z243" s="4" t="str">
        <f>IFERROR(__xludf.DUMMYFUNCTION("""COMPUTED_VALUE"""),"3.356525")</f>
        <v>3.356525</v>
      </c>
      <c r="AA243" s="4" t="str">
        <f t="shared" si="1"/>
        <v>Neighbor</v>
      </c>
      <c r="AC243" s="4">
        <f>IFERROR(__xludf.DUMMYFUNCTION("IFERROR(ABS(O243-AVERAGE(FILTER(O243:O4311,AA243:AA4311=""Neighbor""))) / STDEV(FILTER(O243:O4311, AA243:AA4311 =""Neighbor"")), """")"),0.4324544665447897)</f>
        <v>0.4324544665</v>
      </c>
      <c r="AD243" s="4">
        <f>IFERROR(__xludf.DUMMYFUNCTION("IFERROR(ABS(P243-AVERAGE(FILTER(O243:P4311,AA243:AA4311=""Neighbor""))) / STDEV(FILTER(P243:P4311, AA243:AA4311 =""Neighbor"")), """")"),1.3063208998595912)</f>
        <v>1.3063209</v>
      </c>
      <c r="AE243" s="2">
        <f>IFERROR(__xludf.DUMMYFUNCTION("IFERROR(ABS(Q243-AVERAGE(FILTER(Q243:Q4311,AA243:AA4311=""Neighbor""))) / STDEV(FILTER(Q243:Q4311, AA243:AA4311 =""Neighbor"")), """")"),0.2871080460095218)</f>
        <v>0.287108046</v>
      </c>
      <c r="AF243" s="2">
        <f>IFERROR(__xludf.DUMMYFUNCTION("IFERROR(ABS(R243-AVERAGE(FILTER(R243:R4311,AA243:AA4311=""Neighbor""))) / STDEV(FILTER(R243:R4311, AA243:AA4311 =""Neighbor"")), """")"),0.10186547385129993)</f>
        <v>0.1018654739</v>
      </c>
    </row>
    <row r="244">
      <c r="A244" s="2" t="s">
        <v>28</v>
      </c>
      <c r="B244" s="2" t="s">
        <v>884</v>
      </c>
      <c r="C244" s="2" t="s">
        <v>956</v>
      </c>
      <c r="D244" s="2" t="s">
        <v>1022</v>
      </c>
      <c r="E244" s="2" t="s">
        <v>1023</v>
      </c>
      <c r="F244" s="2">
        <v>80.0</v>
      </c>
      <c r="G244" s="2">
        <v>489.0</v>
      </c>
      <c r="H244" s="2" t="b">
        <v>1</v>
      </c>
      <c r="I244" s="2">
        <v>-1.0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s">
        <v>33</v>
      </c>
      <c r="O244" s="2">
        <v>47.0</v>
      </c>
      <c r="P244" s="2">
        <v>8.0</v>
      </c>
      <c r="Q244" s="2">
        <v>12.0</v>
      </c>
      <c r="R244" s="2">
        <v>0.0</v>
      </c>
      <c r="S244" s="3" t="s">
        <v>1024</v>
      </c>
      <c r="T244" s="2" t="s">
        <v>1025</v>
      </c>
      <c r="Y244" s="4" t="str">
        <f>IFERROR(__xludf.DUMMYFUNCTION("""COMPUTED_VALUE"""),"7.1802873")</f>
        <v>7.1802873</v>
      </c>
      <c r="Z244" s="4" t="str">
        <f>IFERROR(__xludf.DUMMYFUNCTION("""COMPUTED_VALUE"""),"3.356525")</f>
        <v>3.356525</v>
      </c>
      <c r="AA244" s="4" t="str">
        <f t="shared" si="1"/>
        <v>Neighbor</v>
      </c>
      <c r="AC244" s="4">
        <f>IFERROR(__xludf.DUMMYFUNCTION("IFERROR(ABS(O244-AVERAGE(FILTER(O244:O4312,AA244:AA4312=""Neighbor""))) / STDEV(FILTER(O244:O4312, AA244:AA4312 =""Neighbor"")), """")"),0.455910770176163)</f>
        <v>0.4559107702</v>
      </c>
      <c r="AD244" s="4">
        <f>IFERROR(__xludf.DUMMYFUNCTION("IFERROR(ABS(P244-AVERAGE(FILTER(O244:P4312,AA244:AA4312=""Neighbor""))) / STDEV(FILTER(P244:P4312, AA244:AA4312 =""Neighbor"")), """")"),1.3062911641153145)</f>
        <v>1.306291164</v>
      </c>
      <c r="AE244" s="2">
        <f>IFERROR(__xludf.DUMMYFUNCTION("IFERROR(ABS(Q244-AVERAGE(FILTER(Q244:Q4312,AA244:AA4312=""Neighbor""))) / STDEV(FILTER(Q244:Q4312, AA244:AA4312 =""Neighbor"")), """")"),0.5435472465529572)</f>
        <v>0.5435472466</v>
      </c>
      <c r="AF244" s="2">
        <f>IFERROR(__xludf.DUMMYFUNCTION("IFERROR(ABS(R244-AVERAGE(FILTER(R244:R4312,AA244:AA4312=""Neighbor""))) / STDEV(FILTER(R244:R4312, AA244:AA4312 =""Neighbor"")), """")"),0.10189652655232075)</f>
        <v>0.1018965266</v>
      </c>
    </row>
    <row r="245">
      <c r="A245" s="2" t="s">
        <v>28</v>
      </c>
      <c r="B245" s="2" t="s">
        <v>884</v>
      </c>
      <c r="C245" s="2" t="s">
        <v>956</v>
      </c>
      <c r="D245" s="2" t="s">
        <v>1026</v>
      </c>
      <c r="E245" s="2" t="s">
        <v>1027</v>
      </c>
      <c r="F245" s="2">
        <v>110.0</v>
      </c>
      <c r="G245" s="2">
        <v>593.0</v>
      </c>
      <c r="H245" s="2" t="b">
        <v>1</v>
      </c>
      <c r="I245" s="2">
        <v>-1.0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s">
        <v>33</v>
      </c>
      <c r="O245" s="2">
        <v>77.0</v>
      </c>
      <c r="P245" s="2">
        <v>5.0</v>
      </c>
      <c r="Q245" s="2">
        <v>16.0</v>
      </c>
      <c r="R245" s="2">
        <v>0.0</v>
      </c>
      <c r="S245" s="3" t="s">
        <v>1028</v>
      </c>
      <c r="T245" s="2" t="s">
        <v>1029</v>
      </c>
      <c r="Y245" s="4" t="str">
        <f>IFERROR(__xludf.DUMMYFUNCTION("""COMPUTED_VALUE"""),"7.1802873")</f>
        <v>7.1802873</v>
      </c>
      <c r="Z245" s="4" t="str">
        <f>IFERROR(__xludf.DUMMYFUNCTION("""COMPUTED_VALUE"""),"3.356525")</f>
        <v>3.356525</v>
      </c>
      <c r="AA245" s="4" t="str">
        <f t="shared" si="1"/>
        <v>Neighbor</v>
      </c>
      <c r="AC245" s="4">
        <f>IFERROR(__xludf.DUMMYFUNCTION("IFERROR(ABS(O245-AVERAGE(FILTER(O245:O4313,AA245:AA4313=""Neighbor""))) / STDEV(FILTER(O245:O4313, AA245:AA4313 =""Neighbor"")), """")"),0.2427972357083023)</f>
        <v>0.2427972357</v>
      </c>
      <c r="AD245" s="4">
        <f>IFERROR(__xludf.DUMMYFUNCTION("IFERROR(ABS(P245-AVERAGE(FILTER(O245:P4313,AA245:AA4313=""Neighbor""))) / STDEV(FILTER(P245:P4313, AA245:AA4313 =""Neighbor"")), """")"),1.4227425072169855)</f>
        <v>1.422742507</v>
      </c>
      <c r="AE245" s="2">
        <f>IFERROR(__xludf.DUMMYFUNCTION("IFERROR(ABS(Q245-AVERAGE(FILTER(Q245:Q4313,AA245:AA4313=""Neighbor""))) / STDEV(FILTER(Q245:Q4313, AA245:AA4313 =""Neighbor"")), """")"),0.37289932939591625)</f>
        <v>0.3728993294</v>
      </c>
      <c r="AF245" s="2">
        <f>IFERROR(__xludf.DUMMYFUNCTION("IFERROR(ABS(R245-AVERAGE(FILTER(R245:R4313,AA245:AA4313=""Neighbor""))) / STDEV(FILTER(R245:R4313, AA245:AA4313 =""Neighbor"")), """")"),0.10192760766922977)</f>
        <v>0.1019276077</v>
      </c>
    </row>
    <row r="246">
      <c r="A246" s="2" t="s">
        <v>28</v>
      </c>
      <c r="B246" s="2" t="s">
        <v>884</v>
      </c>
      <c r="C246" s="2" t="s">
        <v>956</v>
      </c>
      <c r="D246" s="2" t="s">
        <v>1030</v>
      </c>
      <c r="E246" s="2" t="s">
        <v>1031</v>
      </c>
      <c r="F246" s="2">
        <v>91.0</v>
      </c>
      <c r="G246" s="2">
        <v>504.0</v>
      </c>
      <c r="H246" s="2" t="b">
        <v>1</v>
      </c>
      <c r="I246" s="2">
        <v>-1.0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s">
        <v>33</v>
      </c>
      <c r="O246" s="2">
        <v>48.0</v>
      </c>
      <c r="P246" s="2">
        <v>0.0</v>
      </c>
      <c r="Q246" s="2">
        <v>20.0</v>
      </c>
      <c r="R246" s="2">
        <v>0.0</v>
      </c>
      <c r="S246" s="3" t="s">
        <v>1032</v>
      </c>
      <c r="T246" s="2" t="s">
        <v>1033</v>
      </c>
      <c r="Y246" s="4" t="str">
        <f>IFERROR(__xludf.DUMMYFUNCTION("""COMPUTED_VALUE"""),"7.1802873")</f>
        <v>7.1802873</v>
      </c>
      <c r="Z246" s="4" t="str">
        <f>IFERROR(__xludf.DUMMYFUNCTION("""COMPUTED_VALUE"""),"3.356525")</f>
        <v>3.356525</v>
      </c>
      <c r="AA246" s="4" t="str">
        <f t="shared" si="1"/>
        <v>Not Neighbor</v>
      </c>
      <c r="AC246" s="4">
        <f>IFERROR(__xludf.DUMMYFUNCTION("IFERROR(ABS(O246-AVERAGE(FILTER(O246:O4314,AA246:AA4314=""Neighbor""))) / STDEV(FILTER(O246:O4314, AA246:AA4314 =""Neighbor"")), """")"),0.4325113659010303)</f>
        <v>0.4325113659</v>
      </c>
      <c r="AD246" s="4">
        <f>IFERROR(__xludf.DUMMYFUNCTION("IFERROR(ABS(P246-AVERAGE(FILTER(O246:P4314,AA246:AA4314=""Neighbor""))) / STDEV(FILTER(P246:P4314, AA246:AA4314 =""Neighbor"")), """")"),1.6164853722019474)</f>
        <v>1.616485372</v>
      </c>
      <c r="AE246" s="2">
        <f>IFERROR(__xludf.DUMMYFUNCTION("IFERROR(ABS(Q246-AVERAGE(FILTER(Q246:Q4314,AA246:AA4314=""Neighbor""))) / STDEV(FILTER(Q246:Q4314, AA246:AA4314 =""Neighbor"")), """")"),0.2022115615150501)</f>
        <v>0.2022115615</v>
      </c>
      <c r="AF246" s="2">
        <f>IFERROR(__xludf.DUMMYFUNCTION("IFERROR(ABS(R246-AVERAGE(FILTER(R246:R4314,AA246:AA4314=""Neighbor""))) / STDEV(FILTER(R246:R4314, AA246:AA4314 =""Neighbor"")), """")"),0.10195871724539236)</f>
        <v>0.1019587172</v>
      </c>
    </row>
    <row r="247">
      <c r="A247" s="2" t="s">
        <v>28</v>
      </c>
      <c r="B247" s="2" t="s">
        <v>884</v>
      </c>
      <c r="C247" s="2" t="s">
        <v>956</v>
      </c>
      <c r="D247" s="2" t="s">
        <v>1034</v>
      </c>
      <c r="E247" s="2" t="s">
        <v>1035</v>
      </c>
      <c r="F247" s="2">
        <v>139.0</v>
      </c>
      <c r="G247" s="2">
        <v>569.0</v>
      </c>
      <c r="H247" s="2" t="b">
        <v>1</v>
      </c>
      <c r="I247" s="2">
        <v>-1.0</v>
      </c>
      <c r="J247" s="2" t="b">
        <v>1</v>
      </c>
      <c r="K247" s="2" t="b">
        <v>1</v>
      </c>
      <c r="L247" s="2" t="b">
        <v>0</v>
      </c>
      <c r="M247" s="2" t="b">
        <v>0</v>
      </c>
      <c r="N247" s="2" t="s">
        <v>33</v>
      </c>
      <c r="O247" s="2">
        <v>80.0</v>
      </c>
      <c r="P247" s="2">
        <v>5.0</v>
      </c>
      <c r="Q247" s="2">
        <v>23.0</v>
      </c>
      <c r="R247" s="2">
        <v>0.0</v>
      </c>
      <c r="S247" s="3" t="s">
        <v>1036</v>
      </c>
      <c r="T247" s="2" t="s">
        <v>1037</v>
      </c>
      <c r="Y247" s="4" t="str">
        <f>IFERROR(__xludf.DUMMYFUNCTION("""COMPUTED_VALUE"""),"7.169048")</f>
        <v>7.169048</v>
      </c>
      <c r="Z247" s="4" t="str">
        <f>IFERROR(__xludf.DUMMYFUNCTION("""COMPUTED_VALUE"""),"3.355676")</f>
        <v>3.355676</v>
      </c>
      <c r="AA247" s="4" t="str">
        <f t="shared" si="1"/>
        <v>Neighbor</v>
      </c>
      <c r="AC247" s="4">
        <f>IFERROR(__xludf.DUMMYFUNCTION("IFERROR(ABS(O247-AVERAGE(FILTER(O247:O4315,AA247:AA4315=""Neighbor""))) / STDEV(FILTER(O247:O4315, AA247:AA4315 =""Neighbor"")), """")"),0.3127424536259331)</f>
        <v>0.3127424536</v>
      </c>
      <c r="AD247" s="4">
        <f>IFERROR(__xludf.DUMMYFUNCTION("IFERROR(ABS(P247-AVERAGE(FILTER(O247:P4315,AA247:AA4315=""Neighbor""))) / STDEV(FILTER(P247:P4315, AA247:AA4315 =""Neighbor"")), """")"),1.4224165464412886)</f>
        <v>1.422416546</v>
      </c>
      <c r="AE247" s="2">
        <f>IFERROR(__xludf.DUMMYFUNCTION("IFERROR(ABS(Q247-AVERAGE(FILTER(Q247:Q4315,AA247:AA4315=""Neighbor""))) / STDEV(FILTER(Q247:Q4315, AA247:AA4315 =""Neighbor"")), """")"),0.07409948691881946)</f>
        <v>0.07409948692</v>
      </c>
      <c r="AF247" s="2">
        <f>IFERROR(__xludf.DUMMYFUNCTION("IFERROR(ABS(R247-AVERAGE(FILTER(R247:R4315,AA247:AA4315=""Neighbor""))) / STDEV(FILTER(R247:R4315, AA247:AA4315 =""Neighbor"")), """")"),0.10195871724539236)</f>
        <v>0.1019587172</v>
      </c>
    </row>
    <row r="248">
      <c r="A248" s="2" t="s">
        <v>28</v>
      </c>
      <c r="B248" s="2" t="s">
        <v>884</v>
      </c>
      <c r="C248" s="2" t="s">
        <v>956</v>
      </c>
      <c r="D248" s="2" t="s">
        <v>1038</v>
      </c>
      <c r="E248" s="2" t="s">
        <v>1039</v>
      </c>
      <c r="F248" s="2">
        <v>154.0</v>
      </c>
      <c r="G248" s="2">
        <v>776.0</v>
      </c>
      <c r="H248" s="2" t="b">
        <v>1</v>
      </c>
      <c r="I248" s="2">
        <v>-1.0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s">
        <v>33</v>
      </c>
      <c r="O248" s="2">
        <v>95.0</v>
      </c>
      <c r="P248" s="2">
        <v>6.0</v>
      </c>
      <c r="Q248" s="2">
        <v>19.0</v>
      </c>
      <c r="R248" s="2">
        <v>1.0</v>
      </c>
      <c r="S248" s="3" t="s">
        <v>1040</v>
      </c>
      <c r="T248" s="2" t="s">
        <v>1041</v>
      </c>
      <c r="Y248" s="4" t="str">
        <f>IFERROR(__xludf.DUMMYFUNCTION("""COMPUTED_VALUE"""),"7.1778709")</f>
        <v>7.1778709</v>
      </c>
      <c r="Z248" s="4" t="str">
        <f>IFERROR(__xludf.DUMMYFUNCTION("""COMPUTED_VALUE"""),"3.3531589")</f>
        <v>3.3531589</v>
      </c>
      <c r="AA248" s="4" t="str">
        <f t="shared" si="1"/>
        <v>Not Neighbor</v>
      </c>
      <c r="AC248" s="4">
        <f>IFERROR(__xludf.DUMMYFUNCTION("IFERROR(ABS(O248-AVERAGE(FILTER(O248:O4316,AA248:AA4316=""Neighbor""))) / STDEV(FILTER(O248:O4316, AA248:AA4316 =""Neighbor"")), """")"),0.6620886246421468)</f>
        <v>0.6620886246</v>
      </c>
      <c r="AD248" s="4">
        <f>IFERROR(__xludf.DUMMYFUNCTION("IFERROR(ABS(P248-AVERAGE(FILTER(O248:P4316,AA248:AA4316=""Neighbor""))) / STDEV(FILTER(P248:P4316, AA248:AA4316 =""Neighbor"")), """")"),1.38325086972733)</f>
        <v>1.38325087</v>
      </c>
      <c r="AE248" s="2">
        <f>IFERROR(__xludf.DUMMYFUNCTION("IFERROR(ABS(Q248-AVERAGE(FILTER(Q248:Q4316,AA248:AA4316=""Neighbor""))) / STDEV(FILTER(Q248:Q4316, AA248:AA4316 =""Neighbor"")), """")"),0.24488671370153278)</f>
        <v>0.2448867137</v>
      </c>
      <c r="AF248" s="2">
        <f>IFERROR(__xludf.DUMMYFUNCTION("IFERROR(ABS(R248-AVERAGE(FILTER(R248:R4316,AA248:AA4316=""Neighbor""))) / STDEV(FILTER(R248:R4316, AA248:AA4316 =""Neighbor"")), """")"),0.09336267173368507)</f>
        <v>0.09336267173</v>
      </c>
    </row>
    <row r="249">
      <c r="A249" s="2" t="s">
        <v>28</v>
      </c>
      <c r="B249" s="2" t="s">
        <v>884</v>
      </c>
      <c r="C249" s="2" t="s">
        <v>1042</v>
      </c>
      <c r="D249" s="2" t="s">
        <v>1043</v>
      </c>
      <c r="E249" s="2" t="s">
        <v>1044</v>
      </c>
      <c r="F249" s="2">
        <v>141.0</v>
      </c>
      <c r="G249" s="2">
        <v>767.0</v>
      </c>
      <c r="H249" s="2" t="b">
        <v>1</v>
      </c>
      <c r="I249" s="2">
        <v>-1.0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s">
        <v>33</v>
      </c>
      <c r="O249" s="2">
        <v>52.0</v>
      </c>
      <c r="P249" s="2">
        <v>5.0</v>
      </c>
      <c r="Q249" s="2">
        <v>30.0</v>
      </c>
      <c r="R249" s="2">
        <v>0.0</v>
      </c>
      <c r="S249" s="3" t="s">
        <v>1045</v>
      </c>
      <c r="T249" s="2" t="s">
        <v>1046</v>
      </c>
      <c r="Y249" s="4" t="str">
        <f>IFERROR(__xludf.DUMMYFUNCTION("""COMPUTED_VALUE"""),"7.1606763")</f>
        <v>7.1606763</v>
      </c>
      <c r="Z249" s="4" t="str">
        <f>IFERROR(__xludf.DUMMYFUNCTION("""COMPUTED_VALUE"""),"3.3492062")</f>
        <v>3.3492062</v>
      </c>
      <c r="AA249" s="4" t="str">
        <f t="shared" si="1"/>
        <v>Neighbor</v>
      </c>
      <c r="AC249" s="4">
        <f>IFERROR(__xludf.DUMMYFUNCTION("IFERROR(ABS(O249-AVERAGE(FILTER(O249:O4317,AA249:AA4317=""Neighbor""))) / STDEV(FILTER(O249:O4317, AA249:AA4317 =""Neighbor"")), """")"),0.3390728728462407)</f>
        <v>0.3390728728</v>
      </c>
      <c r="AD249" s="4">
        <f>IFERROR(__xludf.DUMMYFUNCTION("IFERROR(ABS(P249-AVERAGE(FILTER(O249:P4317,AA249:AA4317=""Neighbor""))) / STDEV(FILTER(P249:P4317, AA249:AA4317 =""Neighbor"")), """")"),1.4220553244089416)</f>
        <v>1.422055324</v>
      </c>
      <c r="AE249" s="2">
        <f>IFERROR(__xludf.DUMMYFUNCTION("IFERROR(ABS(Q249-AVERAGE(FILTER(Q249:Q4317,AA249:AA4317=""Neighbor""))) / STDEV(FILTER(Q249:Q4317, AA249:AA4317 =""Neighbor"")), """")"),0.22471623032240426)</f>
        <v>0.2247162303</v>
      </c>
      <c r="AF249" s="2">
        <f>IFERROR(__xludf.DUMMYFUNCTION("IFERROR(ABS(R249-AVERAGE(FILTER(R249:R4317,AA249:AA4317=""Neighbor""))) / STDEV(FILTER(R249:R4317, AA249:AA4317 =""Neighbor"")), """")"),0.1019898553242661)</f>
        <v>0.1019898553</v>
      </c>
    </row>
    <row r="250">
      <c r="A250" s="2" t="s">
        <v>28</v>
      </c>
      <c r="B250" s="2" t="s">
        <v>884</v>
      </c>
      <c r="C250" s="2" t="s">
        <v>1042</v>
      </c>
      <c r="D250" s="2" t="s">
        <v>1047</v>
      </c>
      <c r="E250" s="2" t="s">
        <v>1048</v>
      </c>
      <c r="F250" s="2">
        <v>111.0</v>
      </c>
      <c r="G250" s="2">
        <v>529.0</v>
      </c>
      <c r="H250" s="2" t="b">
        <v>1</v>
      </c>
      <c r="I250" s="2">
        <v>-1.0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s">
        <v>33</v>
      </c>
      <c r="O250" s="2">
        <v>67.0</v>
      </c>
      <c r="P250" s="2">
        <v>2.0</v>
      </c>
      <c r="Q250" s="2">
        <v>18.0</v>
      </c>
      <c r="R250" s="2">
        <v>0.0</v>
      </c>
      <c r="S250" s="3" t="s">
        <v>1049</v>
      </c>
      <c r="T250" s="2" t="s">
        <v>1050</v>
      </c>
      <c r="Y250" s="4" t="str">
        <f>IFERROR(__xludf.DUMMYFUNCTION("""COMPUTED_VALUE"""),"7.1606763")</f>
        <v>7.1606763</v>
      </c>
      <c r="Z250" s="4" t="str">
        <f>IFERROR(__xludf.DUMMYFUNCTION("""COMPUTED_VALUE"""),"3.3492062")</f>
        <v>3.3492062</v>
      </c>
      <c r="AA250" s="4" t="str">
        <f t="shared" si="1"/>
        <v>Neighbor</v>
      </c>
      <c r="AC250" s="4">
        <f>IFERROR(__xludf.DUMMYFUNCTION("IFERROR(ABS(O250-AVERAGE(FILTER(O250:O4318,AA250:AA4318=""Neighbor""))) / STDEV(FILTER(O250:O4318, AA250:AA4318 =""Neighbor"")), """")"),0.009961590654503418)</f>
        <v>0.009961590655</v>
      </c>
      <c r="AD250" s="4">
        <f>IFERROR(__xludf.DUMMYFUNCTION("IFERROR(ABS(P250-AVERAGE(FILTER(O250:P4318,AA250:AA4318=""Neighbor""))) / STDEV(FILTER(P250:P4318, AA250:AA4318 =""Neighbor"")), """")"),1.538408228329045)</f>
        <v>1.538408228</v>
      </c>
      <c r="AE250" s="2">
        <f>IFERROR(__xludf.DUMMYFUNCTION("IFERROR(ABS(Q250-AVERAGE(FILTER(Q250:Q4318,AA250:AA4318=""Neighbor""))) / STDEV(FILTER(Q250:Q4318, AA250:AA4318 =""Neighbor"")), """")"),0.2873592469529556)</f>
        <v>0.287359247</v>
      </c>
      <c r="AF250" s="2">
        <f>IFERROR(__xludf.DUMMYFUNCTION("IFERROR(ABS(R250-AVERAGE(FILTER(R250:R4318,AA250:AA4318=""Neighbor""))) / STDEV(FILTER(R250:R4318, AA250:AA4318 =""Neighbor"")), """")"),0.10202102194940191)</f>
        <v>0.1020210219</v>
      </c>
    </row>
    <row r="251">
      <c r="A251" s="2" t="s">
        <v>28</v>
      </c>
      <c r="B251" s="2" t="s">
        <v>884</v>
      </c>
      <c r="C251" s="2" t="s">
        <v>1042</v>
      </c>
      <c r="D251" s="2" t="s">
        <v>1051</v>
      </c>
      <c r="E251" s="2" t="s">
        <v>1052</v>
      </c>
      <c r="F251" s="2">
        <v>147.0</v>
      </c>
      <c r="G251" s="2">
        <v>958.0</v>
      </c>
      <c r="H251" s="2" t="b">
        <v>1</v>
      </c>
      <c r="I251" s="2">
        <v>-1.0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s">
        <v>33</v>
      </c>
      <c r="O251" s="2">
        <v>94.0</v>
      </c>
      <c r="P251" s="2">
        <v>11.0</v>
      </c>
      <c r="Q251" s="2">
        <v>14.0</v>
      </c>
      <c r="R251" s="2">
        <v>2.0</v>
      </c>
      <c r="S251" s="3" t="s">
        <v>1053</v>
      </c>
      <c r="T251" s="2" t="s">
        <v>1054</v>
      </c>
      <c r="Y251" s="4" t="str">
        <f>IFERROR(__xludf.DUMMYFUNCTION("""COMPUTED_VALUE"""),"7.1622911")</f>
        <v>7.1622911</v>
      </c>
      <c r="Z251" s="4" t="str">
        <f>IFERROR(__xludf.DUMMYFUNCTION("""COMPUTED_VALUE"""),"3.3502715")</f>
        <v>3.3502715</v>
      </c>
      <c r="AA251" s="4" t="str">
        <f t="shared" si="1"/>
        <v>Neighbor</v>
      </c>
      <c r="AC251" s="4">
        <f>IFERROR(__xludf.DUMMYFUNCTION("IFERROR(ABS(O251-AVERAGE(FILTER(O251:O4319,AA251:AA4319=""Neighbor""))) / STDEV(FILTER(O251:O4319, AA251:AA4319 =""Neighbor"")), """")"),0.6382421438361844)</f>
        <v>0.6382421438</v>
      </c>
      <c r="AD251" s="4">
        <f>IFERROR(__xludf.DUMMYFUNCTION("IFERROR(ABS(P251-AVERAGE(FILTER(O251:P4319,AA251:AA4319=""Neighbor""))) / STDEV(FILTER(P251:P4319, AA251:AA4319 =""Neighbor"")), """")"),1.1891775981172257)</f>
        <v>1.189177598</v>
      </c>
      <c r="AE251" s="2">
        <f>IFERROR(__xludf.DUMMYFUNCTION("IFERROR(ABS(Q251-AVERAGE(FILTER(Q251:Q4319,AA251:AA4319=""Neighbor""))) / STDEV(FILTER(Q251:Q4319, AA251:AA4319 =""Neighbor"")), """")"),0.4581215876299035)</f>
        <v>0.4581215876</v>
      </c>
      <c r="AF251" s="2">
        <f>IFERROR(__xludf.DUMMYFUNCTION("IFERROR(ABS(R251-AVERAGE(FILTER(R251:R4319,AA251:AA4319=""Neighbor""))) / STDEV(FILTER(R251:R4319, AA251:AA4319 =""Neighbor"")), """")"),0.28841872266984697)</f>
        <v>0.2884187227</v>
      </c>
    </row>
    <row r="252">
      <c r="A252" s="2" t="s">
        <v>28</v>
      </c>
      <c r="B252" s="2" t="s">
        <v>884</v>
      </c>
      <c r="C252" s="2" t="s">
        <v>1042</v>
      </c>
      <c r="D252" s="2" t="s">
        <v>1055</v>
      </c>
      <c r="E252" s="2" t="s">
        <v>1056</v>
      </c>
      <c r="F252" s="2">
        <v>107.0</v>
      </c>
      <c r="G252" s="2">
        <v>821.0</v>
      </c>
      <c r="H252" s="2" t="b">
        <v>1</v>
      </c>
      <c r="I252" s="2">
        <v>-1.0</v>
      </c>
      <c r="J252" s="2" t="b">
        <v>0</v>
      </c>
      <c r="K252" s="2" t="b">
        <v>1</v>
      </c>
      <c r="L252" s="2" t="b">
        <v>0</v>
      </c>
      <c r="M252" s="2" t="b">
        <v>0</v>
      </c>
      <c r="N252" s="2" t="s">
        <v>33</v>
      </c>
      <c r="O252" s="2">
        <v>59.0</v>
      </c>
      <c r="P252" s="2">
        <v>8.0</v>
      </c>
      <c r="Q252" s="2">
        <v>24.0</v>
      </c>
      <c r="R252" s="2">
        <v>2.0</v>
      </c>
      <c r="S252" s="3" t="s">
        <v>1057</v>
      </c>
      <c r="T252" s="2" t="s">
        <v>1058</v>
      </c>
      <c r="Y252" s="4" t="str">
        <f>IFERROR(__xludf.DUMMYFUNCTION("""COMPUTED_VALUE"""),"7.1622911")</f>
        <v>7.1622911</v>
      </c>
      <c r="Z252" s="4" t="str">
        <f>IFERROR(__xludf.DUMMYFUNCTION("""COMPUTED_VALUE"""),"3.3502715")</f>
        <v>3.3502715</v>
      </c>
      <c r="AA252" s="4" t="str">
        <f t="shared" si="1"/>
        <v>Neighbor</v>
      </c>
      <c r="AC252" s="4">
        <f>IFERROR(__xludf.DUMMYFUNCTION("IFERROR(ABS(O252-AVERAGE(FILTER(O252:O4320,AA252:AA4320=""Neighbor""))) / STDEV(FILTER(O252:O4320, AA252:AA4320 =""Neighbor"")), """")"),0.17577331844955327)</f>
        <v>0.1757733184</v>
      </c>
      <c r="AD252" s="4">
        <f>IFERROR(__xludf.DUMMYFUNCTION("IFERROR(ABS(P252-AVERAGE(FILTER(O252:P4320,AA252:AA4320=""Neighbor""))) / STDEV(FILTER(P252:P4320, AA252:AA4320 =""Neighbor"")), """")"),1.3049085106785374)</f>
        <v>1.304908511</v>
      </c>
      <c r="AE252" s="2">
        <f>IFERROR(__xludf.DUMMYFUNCTION("IFERROR(ABS(Q252-AVERAGE(FILTER(Q252:Q4320,AA252:AA4320=""Neighbor""))) / STDEV(FILTER(Q252:Q4320, AA252:AA4320 =""Neighbor"")), """")"),0.03172117011027985)</f>
        <v>0.03172117011</v>
      </c>
      <c r="AF252" s="2">
        <f>IFERROR(__xludf.DUMMYFUNCTION("IFERROR(ABS(R252-AVERAGE(FILTER(R252:R4320,AA252:AA4320=""Neighbor""))) / STDEV(FILTER(R252:R4320, AA252:AA4320 =""Neighbor"")), """")"),0.28851333331155865)</f>
        <v>0.2885133333</v>
      </c>
    </row>
    <row r="253">
      <c r="A253" s="2" t="s">
        <v>28</v>
      </c>
      <c r="B253" s="2" t="s">
        <v>884</v>
      </c>
      <c r="C253" s="2" t="s">
        <v>1042</v>
      </c>
      <c r="D253" s="2" t="s">
        <v>1059</v>
      </c>
      <c r="E253" s="2" t="s">
        <v>1060</v>
      </c>
      <c r="F253" s="2">
        <v>143.0</v>
      </c>
      <c r="G253" s="2">
        <v>656.0</v>
      </c>
      <c r="H253" s="2" t="b">
        <v>1</v>
      </c>
      <c r="I253" s="2">
        <v>-1.0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s">
        <v>33</v>
      </c>
      <c r="O253" s="2">
        <v>63.0</v>
      </c>
      <c r="P253" s="2">
        <v>5.0</v>
      </c>
      <c r="Q253" s="2">
        <v>44.0</v>
      </c>
      <c r="R253" s="2">
        <v>0.0</v>
      </c>
      <c r="S253" s="3" t="s">
        <v>1061</v>
      </c>
      <c r="T253" s="2" t="s">
        <v>1062</v>
      </c>
      <c r="Y253" s="4" t="str">
        <f>IFERROR(__xludf.DUMMYFUNCTION("""COMPUTED_VALUE"""),"7.1622586")</f>
        <v>7.1622586</v>
      </c>
      <c r="Z253" s="4" t="str">
        <f>IFERROR(__xludf.DUMMYFUNCTION("""COMPUTED_VALUE"""),"3.3445634")</f>
        <v>3.3445634</v>
      </c>
      <c r="AA253" s="4" t="str">
        <f t="shared" si="1"/>
        <v>Neighbor</v>
      </c>
      <c r="AC253" s="4">
        <f>IFERROR(__xludf.DUMMYFUNCTION("IFERROR(ABS(O253-AVERAGE(FILTER(O253:O4321,AA253:AA4321=""Neighbor""))) / STDEV(FILTER(O253:O4321, AA253:AA4321 =""Neighbor"")), """")"),0.08279413364958016)</f>
        <v>0.08279413365</v>
      </c>
      <c r="AD253" s="4">
        <f>IFERROR(__xludf.DUMMYFUNCTION("IFERROR(ABS(P253-AVERAGE(FILTER(O253:P4321,AA253:AA4321=""Neighbor""))) / STDEV(FILTER(P253:P4321, AA253:AA4321 =""Neighbor"")), """")"),1.421046969325368)</f>
        <v>1.421046969</v>
      </c>
      <c r="AE253" s="2">
        <f>IFERROR(__xludf.DUMMYFUNCTION("IFERROR(ABS(Q253-AVERAGE(FILTER(Q253:Q4321,AA253:AA4321=""Neighbor""))) / STDEV(FILTER(Q253:Q4321, AA253:AA4321 =""Neighbor"")), """")"),0.8211473517457537)</f>
        <v>0.8211473517</v>
      </c>
      <c r="AF253" s="2">
        <f>IFERROR(__xludf.DUMMYFUNCTION("IFERROR(ABS(R253-AVERAGE(FILTER(R253:R4321,AA253:AA4321=""Neighbor""))) / STDEV(FILTER(R253:R4321, AA253:AA4321 =""Neighbor"")), """")"),0.10164588105412448)</f>
        <v>0.1016458811</v>
      </c>
    </row>
    <row r="254">
      <c r="A254" s="2" t="s">
        <v>28</v>
      </c>
      <c r="B254" s="2" t="s">
        <v>884</v>
      </c>
      <c r="C254" s="2" t="s">
        <v>1042</v>
      </c>
      <c r="D254" s="2" t="s">
        <v>1063</v>
      </c>
      <c r="E254" s="2" t="s">
        <v>1064</v>
      </c>
      <c r="F254" s="2">
        <v>90.0</v>
      </c>
      <c r="G254" s="2">
        <v>495.0</v>
      </c>
      <c r="H254" s="2" t="b">
        <v>1</v>
      </c>
      <c r="I254" s="2">
        <v>-1.0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s">
        <v>33</v>
      </c>
      <c r="O254" s="2">
        <v>45.0</v>
      </c>
      <c r="P254" s="2">
        <v>0.0</v>
      </c>
      <c r="Q254" s="2">
        <v>17.0</v>
      </c>
      <c r="R254" s="2">
        <v>0.0</v>
      </c>
      <c r="S254" s="3" t="s">
        <v>1065</v>
      </c>
      <c r="T254" s="2" t="s">
        <v>1066</v>
      </c>
      <c r="Y254" s="4" t="str">
        <f>IFERROR(__xludf.DUMMYFUNCTION("""COMPUTED_VALUE"""),"7.1628688")</f>
        <v>7.1628688</v>
      </c>
      <c r="Z254" s="4" t="str">
        <f>IFERROR(__xludf.DUMMYFUNCTION("""COMPUTED_VALUE"""),"3.3477076")</f>
        <v>3.3477076</v>
      </c>
      <c r="AA254" s="4" t="str">
        <f t="shared" si="1"/>
        <v>Neighbor</v>
      </c>
      <c r="AC254" s="4">
        <f>IFERROR(__xludf.DUMMYFUNCTION("IFERROR(ABS(O254-AVERAGE(FILTER(O254:O4322,AA254:AA4322=""Neighbor""))) / STDEV(FILTER(O254:O4322, AA254:AA4322 =""Neighbor"")), """")"),0.5013466424736556)</f>
        <v>0.5013466425</v>
      </c>
      <c r="AD254" s="4">
        <f>IFERROR(__xludf.DUMMYFUNCTION("IFERROR(ABS(P254-AVERAGE(FILTER(O254:P4322,AA254:AA4322=""Neighbor""))) / STDEV(FILTER(P254:P4322, AA254:AA4322 =""Neighbor"")), """")"),1.6146670917064392)</f>
        <v>1.614667092</v>
      </c>
      <c r="AE254" s="2">
        <f>IFERROR(__xludf.DUMMYFUNCTION("IFERROR(ABS(Q254-AVERAGE(FILTER(Q254:Q4322,AA254:AA4322=""Neighbor""))) / STDEV(FILTER(Q254:Q4322, AA254:AA4322 =""Neighbor"")), """")"),0.32970731215127314)</f>
        <v>0.3297073122</v>
      </c>
      <c r="AF254" s="2">
        <f>IFERROR(__xludf.DUMMYFUNCTION("IFERROR(ABS(R254-AVERAGE(FILTER(R254:R4322,AA254:AA4322=""Neighbor""))) / STDEV(FILTER(R254:R4322, AA254:AA4322 =""Neighbor"")), """")"),0.10167701573963785)</f>
        <v>0.1016770157</v>
      </c>
    </row>
    <row r="255">
      <c r="A255" s="2" t="s">
        <v>28</v>
      </c>
      <c r="B255" s="2" t="s">
        <v>884</v>
      </c>
      <c r="C255" s="2" t="s">
        <v>1042</v>
      </c>
      <c r="D255" s="2" t="s">
        <v>1067</v>
      </c>
      <c r="E255" s="2" t="s">
        <v>1068</v>
      </c>
      <c r="F255" s="2">
        <v>101.0</v>
      </c>
      <c r="G255" s="2">
        <v>586.0</v>
      </c>
      <c r="H255" s="2" t="b">
        <v>1</v>
      </c>
      <c r="I255" s="2">
        <v>-1.0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s">
        <v>33</v>
      </c>
      <c r="O255" s="2">
        <v>57.0</v>
      </c>
      <c r="P255" s="2">
        <v>11.0</v>
      </c>
      <c r="Q255" s="2">
        <v>18.0</v>
      </c>
      <c r="R255" s="2">
        <v>0.0</v>
      </c>
      <c r="S255" s="3" t="s">
        <v>1069</v>
      </c>
      <c r="T255" s="2" t="s">
        <v>1070</v>
      </c>
      <c r="Y255" s="4" t="str">
        <f>IFERROR(__xludf.DUMMYFUNCTION("""COMPUTED_VALUE"""),"7.1636495")</f>
        <v>7.1636495</v>
      </c>
      <c r="Z255" s="4" t="str">
        <f>IFERROR(__xludf.DUMMYFUNCTION("""COMPUTED_VALUE"""),"3.3448131")</f>
        <v>3.3448131</v>
      </c>
      <c r="AA255" s="4" t="str">
        <f t="shared" si="1"/>
        <v>Neighbor</v>
      </c>
      <c r="AC255" s="4">
        <f>IFERROR(__xludf.DUMMYFUNCTION("IFERROR(ABS(O255-AVERAGE(FILTER(O255:O4323,AA255:AA4323=""Neighbor""))) / STDEV(FILTER(O255:O4323, AA255:AA4323 =""Neighbor"")), """")"),0.2225822825047945)</f>
        <v>0.2225822825</v>
      </c>
      <c r="AD255" s="4">
        <f>IFERROR(__xludf.DUMMYFUNCTION("IFERROR(ABS(P255-AVERAGE(FILTER(O255:P4323,AA255:AA4323=""Neighbor""))) / STDEV(FILTER(P255:P4323, AA255:AA4323 =""Neighbor"")), """")"),1.1885897238781626)</f>
        <v>1.188589724</v>
      </c>
      <c r="AE255" s="2">
        <f>IFERROR(__xludf.DUMMYFUNCTION("IFERROR(ABS(Q255-AVERAGE(FILTER(Q255:Q4323,AA255:AA4323=""Neighbor""))) / STDEV(FILTER(Q255:Q4323, AA255:AA4323 =""Neighbor"")), """")"),0.287190063361099)</f>
        <v>0.2871900634</v>
      </c>
      <c r="AF255" s="2">
        <f>IFERROR(__xludf.DUMMYFUNCTION("IFERROR(ABS(R255-AVERAGE(FILTER(R255:R4323,AA255:AA4323=""Neighbor""))) / STDEV(FILTER(R255:R4323, AA255:AA4323 =""Neighbor"")), """")"),0.10170817905308076)</f>
        <v>0.1017081791</v>
      </c>
    </row>
    <row r="256">
      <c r="A256" s="2" t="s">
        <v>28</v>
      </c>
      <c r="B256" s="2" t="s">
        <v>884</v>
      </c>
      <c r="C256" s="2" t="s">
        <v>1042</v>
      </c>
      <c r="D256" s="2" t="s">
        <v>1071</v>
      </c>
      <c r="E256" s="2" t="s">
        <v>1072</v>
      </c>
      <c r="F256" s="2">
        <v>73.0</v>
      </c>
      <c r="G256" s="2">
        <v>477.0</v>
      </c>
      <c r="H256" s="2" t="b">
        <v>1</v>
      </c>
      <c r="I256" s="2">
        <v>-1.0</v>
      </c>
      <c r="J256" s="2" t="b">
        <v>1</v>
      </c>
      <c r="K256" s="2" t="b">
        <v>0</v>
      </c>
      <c r="L256" s="2" t="b">
        <v>0</v>
      </c>
      <c r="M256" s="2" t="b">
        <v>0</v>
      </c>
      <c r="N256" s="2" t="s">
        <v>33</v>
      </c>
      <c r="O256" s="2">
        <v>47.0</v>
      </c>
      <c r="P256" s="2">
        <v>9.0</v>
      </c>
      <c r="Q256" s="2">
        <v>10.0</v>
      </c>
      <c r="R256" s="2">
        <v>0.0</v>
      </c>
      <c r="S256" s="3" t="s">
        <v>1073</v>
      </c>
      <c r="T256" s="2" t="s">
        <v>1074</v>
      </c>
      <c r="Y256" s="4" t="str">
        <f>IFERROR(__xludf.DUMMYFUNCTION("""COMPUTED_VALUE"""),"7.1628688")</f>
        <v>7.1628688</v>
      </c>
      <c r="Z256" s="4" t="str">
        <f>IFERROR(__xludf.DUMMYFUNCTION("""COMPUTED_VALUE"""),"3.3477076")</f>
        <v>3.3477076</v>
      </c>
      <c r="AA256" s="4" t="str">
        <f t="shared" si="1"/>
        <v>Neighbor</v>
      </c>
      <c r="AC256" s="4">
        <f>IFERROR(__xludf.DUMMYFUNCTION("IFERROR(ABS(O256-AVERAGE(FILTER(O256:O4324,AA256:AA4324=""Neighbor""))) / STDEV(FILTER(O256:O4324, AA256:AA4324 =""Neighbor"")), """")"),0.45504835401889665)</f>
        <v>0.455048354</v>
      </c>
      <c r="AD256" s="4">
        <f>IFERROR(__xludf.DUMMYFUNCTION("IFERROR(ABS(P256-AVERAGE(FILTER(O256:P4324,AA256:AA4324=""Neighbor""))) / STDEV(FILTER(P256:P4324, AA256:AA4324 =""Neighbor"")), """")"),1.26590399127541)</f>
        <v>1.265903991</v>
      </c>
      <c r="AE256" s="2">
        <f>IFERROR(__xludf.DUMMYFUNCTION("IFERROR(ABS(Q256-AVERAGE(FILTER(Q256:Q4324,AA256:AA4324=""Neighbor""))) / STDEV(FILTER(Q256:Q4324, AA256:AA4324 =""Neighbor"")), """")"),0.6282146362267299)</f>
        <v>0.6282146362</v>
      </c>
      <c r="AF256" s="2">
        <f>IFERROR(__xludf.DUMMYFUNCTION("IFERROR(ABS(R256-AVERAGE(FILTER(R256:R4324,AA256:AA4324=""Neighbor""))) / STDEV(FILTER(R256:R4324, AA256:AA4324 =""Neighbor"")), """")"),0.10173937103835198)</f>
        <v>0.101739371</v>
      </c>
    </row>
    <row r="257">
      <c r="A257" s="2" t="s">
        <v>28</v>
      </c>
      <c r="B257" s="2" t="s">
        <v>884</v>
      </c>
      <c r="C257" s="2" t="s">
        <v>1042</v>
      </c>
      <c r="D257" s="2" t="s">
        <v>1075</v>
      </c>
      <c r="E257" s="2" t="s">
        <v>1076</v>
      </c>
      <c r="F257" s="2">
        <v>44.0</v>
      </c>
      <c r="G257" s="2">
        <v>257.0</v>
      </c>
      <c r="H257" s="2" t="b">
        <v>1</v>
      </c>
      <c r="I257" s="2">
        <v>-1.0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s">
        <v>33</v>
      </c>
      <c r="O257" s="2">
        <v>25.0</v>
      </c>
      <c r="P257" s="2">
        <v>1.0</v>
      </c>
      <c r="Q257" s="2">
        <v>12.0</v>
      </c>
      <c r="R257" s="2">
        <v>0.0</v>
      </c>
      <c r="S257" s="3" t="s">
        <v>1077</v>
      </c>
      <c r="T257" s="2" t="s">
        <v>1078</v>
      </c>
      <c r="Y257" s="4" t="str">
        <f>IFERROR(__xludf.DUMMYFUNCTION("""COMPUTED_VALUE"""),"7.1628688")</f>
        <v>7.1628688</v>
      </c>
      <c r="Z257" s="4" t="str">
        <f>IFERROR(__xludf.DUMMYFUNCTION("""COMPUTED_VALUE"""),"3.3477076")</f>
        <v>3.3477076</v>
      </c>
      <c r="AA257" s="4" t="str">
        <f t="shared" si="1"/>
        <v>Neighbor</v>
      </c>
      <c r="AC257" s="4">
        <f>IFERROR(__xludf.DUMMYFUNCTION("IFERROR(ABS(O257-AVERAGE(FILTER(O257:O4325,AA257:AA4325=""Neighbor""))) / STDEV(FILTER(O257:O4325, AA257:AA4325 =""Neighbor"")), """")"),0.9663613426424642)</f>
        <v>0.9663613426</v>
      </c>
      <c r="AD257" s="4">
        <f>IFERROR(__xludf.DUMMYFUNCTION("IFERROR(ABS(P257-AVERAGE(FILTER(O257:P4325,AA257:AA4325=""Neighbor""))) / STDEV(FILTER(P257:P4325, AA257:AA4325 =""Neighbor"")), """")"),1.5756972808172083)</f>
        <v>1.575697281</v>
      </c>
      <c r="AE257" s="2">
        <f>IFERROR(__xludf.DUMMYFUNCTION("IFERROR(ABS(Q257-AVERAGE(FILTER(Q257:Q4325,AA257:AA4325=""Neighbor""))) / STDEV(FILTER(Q257:Q4325, AA257:AA4325 =""Neighbor"")), """")"),0.5432640097739028)</f>
        <v>0.5432640098</v>
      </c>
      <c r="AF257" s="2">
        <f>IFERROR(__xludf.DUMMYFUNCTION("IFERROR(ABS(R257-AVERAGE(FILTER(R257:R4325,AA257:AA4325=""Neighbor""))) / STDEV(FILTER(R257:R4325, AA257:AA4325 =""Neighbor"")), """")"),0.10177059173944496)</f>
        <v>0.1017705917</v>
      </c>
    </row>
    <row r="258">
      <c r="A258" s="2" t="s">
        <v>28</v>
      </c>
      <c r="B258" s="2" t="s">
        <v>884</v>
      </c>
      <c r="C258" s="2" t="s">
        <v>1042</v>
      </c>
      <c r="D258" s="2" t="s">
        <v>1079</v>
      </c>
      <c r="E258" s="2" t="s">
        <v>1080</v>
      </c>
      <c r="F258" s="2">
        <v>144.0</v>
      </c>
      <c r="G258" s="2">
        <v>792.0</v>
      </c>
      <c r="H258" s="2" t="b">
        <v>1</v>
      </c>
      <c r="I258" s="2">
        <v>-1.0</v>
      </c>
      <c r="J258" s="2" t="b">
        <v>1</v>
      </c>
      <c r="K258" s="2" t="b">
        <v>1</v>
      </c>
      <c r="L258" s="2" t="b">
        <v>0</v>
      </c>
      <c r="M258" s="2" t="b">
        <v>0</v>
      </c>
      <c r="N258" s="2" t="s">
        <v>33</v>
      </c>
      <c r="O258" s="2">
        <v>83.0</v>
      </c>
      <c r="P258" s="2">
        <v>8.0</v>
      </c>
      <c r="Q258" s="2">
        <v>43.0</v>
      </c>
      <c r="R258" s="2">
        <v>0.0</v>
      </c>
      <c r="S258" s="3" t="s">
        <v>1081</v>
      </c>
      <c r="T258" s="2" t="s">
        <v>1082</v>
      </c>
      <c r="Y258" s="4" t="str">
        <f>IFERROR(__xludf.DUMMYFUNCTION("""COMPUTED_VALUE"""),"7.1628688")</f>
        <v>7.1628688</v>
      </c>
      <c r="Z258" s="4" t="str">
        <f>IFERROR(__xludf.DUMMYFUNCTION("""COMPUTED_VALUE"""),"3.3477076")</f>
        <v>3.3477076</v>
      </c>
      <c r="AA258" s="4" t="str">
        <f t="shared" si="1"/>
        <v>Neighbor</v>
      </c>
      <c r="AC258" s="4">
        <f>IFERROR(__xludf.DUMMYFUNCTION("IFERROR(ABS(O258-AVERAGE(FILTER(O258:O4326,AA258:AA4326=""Neighbor""))) / STDEV(FILTER(O258:O4326, AA258:AA4326 =""Neighbor"")), """")"),0.380610273494981)</f>
        <v>0.3806102735</v>
      </c>
      <c r="AD258" s="4">
        <f>IFERROR(__xludf.DUMMYFUNCTION("IFERROR(ABS(P258-AVERAGE(FILTER(O258:P4326,AA258:AA4326=""Neighbor""))) / STDEV(FILTER(P258:P4326, AA258:AA4326 =""Neighbor"")), """")"),1.305030822763883)</f>
        <v>1.305030823</v>
      </c>
      <c r="AE258" s="2">
        <f>IFERROR(__xludf.DUMMYFUNCTION("IFERROR(ABS(Q258-AVERAGE(FILTER(Q258:Q4326,AA258:AA4326=""Neighbor""))) / STDEV(FILTER(Q258:Q4326, AA258:AA4326 =""Neighbor"")), """")"),0.7771003618999431)</f>
        <v>0.7771003619</v>
      </c>
      <c r="AF258" s="2">
        <f>IFERROR(__xludf.DUMMYFUNCTION("IFERROR(ABS(R258-AVERAGE(FILTER(R258:R4326,AA258:AA4326=""Neighbor""))) / STDEV(FILTER(R258:R4326, AA258:AA4326 =""Neighbor"")), """")"),0.10180184120044736)</f>
        <v>0.1018018412</v>
      </c>
    </row>
    <row r="259">
      <c r="A259" s="2" t="s">
        <v>28</v>
      </c>
      <c r="B259" s="2" t="s">
        <v>884</v>
      </c>
      <c r="C259" s="2" t="s">
        <v>1042</v>
      </c>
      <c r="D259" s="2" t="s">
        <v>1083</v>
      </c>
      <c r="E259" s="2" t="s">
        <v>1084</v>
      </c>
      <c r="F259" s="2">
        <v>117.0</v>
      </c>
      <c r="G259" s="2">
        <v>577.0</v>
      </c>
      <c r="H259" s="2" t="b">
        <v>1</v>
      </c>
      <c r="I259" s="2">
        <v>-1.0</v>
      </c>
      <c r="J259" s="2" t="b">
        <v>1</v>
      </c>
      <c r="K259" s="2" t="b">
        <v>0</v>
      </c>
      <c r="L259" s="2" t="b">
        <v>0</v>
      </c>
      <c r="M259" s="2" t="b">
        <v>0</v>
      </c>
      <c r="N259" s="2" t="s">
        <v>33</v>
      </c>
      <c r="O259" s="2">
        <v>60.0</v>
      </c>
      <c r="P259" s="2">
        <v>3.0</v>
      </c>
      <c r="Q259" s="2">
        <v>34.0</v>
      </c>
      <c r="R259" s="2">
        <v>0.0</v>
      </c>
      <c r="S259" s="3" t="s">
        <v>1085</v>
      </c>
      <c r="T259" s="2" t="s">
        <v>1086</v>
      </c>
      <c r="Y259" s="4" t="str">
        <f>IFERROR(__xludf.DUMMYFUNCTION("""COMPUTED_VALUE"""),"7.1628688")</f>
        <v>7.1628688</v>
      </c>
      <c r="Z259" s="4" t="str">
        <f>IFERROR(__xludf.DUMMYFUNCTION("""COMPUTED_VALUE"""),"3.3477076")</f>
        <v>3.3477076</v>
      </c>
      <c r="AA259" s="4" t="str">
        <f t="shared" si="1"/>
        <v>Neighbor</v>
      </c>
      <c r="AC259" s="4">
        <f>IFERROR(__xludf.DUMMYFUNCTION("IFERROR(ABS(O259-AVERAGE(FILTER(O259:O4327,AA259:AA4327=""Neighbor""))) / STDEV(FILTER(O259:O4327, AA259:AA4327 =""Neighbor"")), """")"),0.15348747499381468)</f>
        <v>0.153487475</v>
      </c>
      <c r="AD259" s="4">
        <f>IFERROR(__xludf.DUMMYFUNCTION("IFERROR(ABS(P259-AVERAGE(FILTER(O259:P4327,AA259:AA4327=""Neighbor""))) / STDEV(FILTER(P259:P4327, AA259:AA4327 =""Neighbor"")), """")"),1.4981394430414854)</f>
        <v>1.498139443</v>
      </c>
      <c r="AE259" s="2">
        <f>IFERROR(__xludf.DUMMYFUNCTION("IFERROR(ABS(Q259-AVERAGE(FILTER(Q259:Q4327,AA259:AA4327=""Neighbor""))) / STDEV(FILTER(Q259:Q4327, AA259:AA4327 =""Neighbor"")), """")"),0.39413214887514364)</f>
        <v>0.3941321489</v>
      </c>
      <c r="AF259" s="2">
        <f>IFERROR(__xludf.DUMMYFUNCTION("IFERROR(ABS(R259-AVERAGE(FILTER(R259:R4327,AA259:AA4327=""Neighbor""))) / STDEV(FILTER(R259:R4327, AA259:AA4327 =""Neighbor"")), """")"),0.1018331194655418)</f>
        <v>0.1018331195</v>
      </c>
    </row>
    <row r="260">
      <c r="A260" s="2" t="s">
        <v>28</v>
      </c>
      <c r="B260" s="2" t="s">
        <v>884</v>
      </c>
      <c r="C260" s="2" t="s">
        <v>1042</v>
      </c>
      <c r="D260" s="2" t="s">
        <v>1087</v>
      </c>
      <c r="E260" s="2" t="s">
        <v>1088</v>
      </c>
      <c r="F260" s="2">
        <v>132.0</v>
      </c>
      <c r="G260" s="2">
        <v>658.0</v>
      </c>
      <c r="H260" s="2" t="b">
        <v>1</v>
      </c>
      <c r="I260" s="2">
        <v>-1.0</v>
      </c>
      <c r="J260" s="2" t="b">
        <v>1</v>
      </c>
      <c r="K260" s="2" t="b">
        <v>1</v>
      </c>
      <c r="L260" s="2" t="b">
        <v>0</v>
      </c>
      <c r="M260" s="2" t="b">
        <v>0</v>
      </c>
      <c r="N260" s="2" t="s">
        <v>33</v>
      </c>
      <c r="O260" s="2">
        <v>0.0</v>
      </c>
      <c r="P260" s="2">
        <v>0.0</v>
      </c>
      <c r="Q260" s="2">
        <v>0.0</v>
      </c>
      <c r="R260" s="2">
        <v>0.0</v>
      </c>
      <c r="S260" s="3" t="s">
        <v>1089</v>
      </c>
      <c r="T260" s="2" t="s">
        <v>1090</v>
      </c>
      <c r="Y260" s="4" t="str">
        <f>IFERROR(__xludf.DUMMYFUNCTION("""COMPUTED_VALUE"""),"7.1628688")</f>
        <v>7.1628688</v>
      </c>
      <c r="Z260" s="4" t="str">
        <f>IFERROR(__xludf.DUMMYFUNCTION("""COMPUTED_VALUE"""),"3.3477076")</f>
        <v>3.3477076</v>
      </c>
      <c r="AA260" s="4" t="str">
        <f t="shared" si="1"/>
        <v>Neighbor</v>
      </c>
      <c r="AC260" s="4">
        <f>IFERROR(__xludf.DUMMYFUNCTION("IFERROR(ABS(O260-AVERAGE(FILTER(O260:O4328,AA260:AA4328=""Neighbor""))) / STDEV(FILTER(O260:O4328, AA260:AA4328 =""Neighbor"")), """")"),1.5467650604794958)</f>
        <v>1.54676506</v>
      </c>
      <c r="AD260" s="4">
        <f>IFERROR(__xludf.DUMMYFUNCTION("IFERROR(ABS(P260-AVERAGE(FILTER(O260:P4328,AA260:AA4328=""Neighbor""))) / STDEV(FILTER(P260:P4328, AA260:AA4328 =""Neighbor"")), """")"),1.614158051158519)</f>
        <v>1.614158051</v>
      </c>
      <c r="AE260" s="2">
        <f>IFERROR(__xludf.DUMMYFUNCTION("IFERROR(ABS(Q260-AVERAGE(FILTER(Q260:Q4328,AA260:AA4328=""Neighbor""))) / STDEV(FILTER(Q260:Q4328, AA260:AA4328 =""Neighbor"")), """")"),1.0535584167559946)</f>
        <v>1.053558417</v>
      </c>
      <c r="AF260" s="2">
        <f>IFERROR(__xludf.DUMMYFUNCTION("IFERROR(ABS(R260-AVERAGE(FILTER(R260:R4328,AA260:AA4328=""Neighbor""))) / STDEV(FILTER(R260:R4328, AA260:AA4328 =""Neighbor"")), """")"),0.10186442657900593)</f>
        <v>0.1018644266</v>
      </c>
    </row>
    <row r="261">
      <c r="A261" s="2" t="s">
        <v>28</v>
      </c>
      <c r="B261" s="2" t="s">
        <v>884</v>
      </c>
      <c r="C261" s="2" t="s">
        <v>1042</v>
      </c>
      <c r="D261" s="2" t="s">
        <v>1091</v>
      </c>
      <c r="E261" s="2" t="s">
        <v>1092</v>
      </c>
      <c r="F261" s="2">
        <v>138.0</v>
      </c>
      <c r="G261" s="2">
        <v>795.0</v>
      </c>
      <c r="H261" s="2" t="b">
        <v>1</v>
      </c>
      <c r="I261" s="2">
        <v>-1.0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s">
        <v>33</v>
      </c>
      <c r="O261" s="2">
        <v>73.0</v>
      </c>
      <c r="P261" s="2">
        <v>12.0</v>
      </c>
      <c r="Q261" s="2">
        <v>39.0</v>
      </c>
      <c r="R261" s="2">
        <v>1.0</v>
      </c>
      <c r="S261" s="3" t="s">
        <v>1093</v>
      </c>
      <c r="T261" s="2" t="s">
        <v>1094</v>
      </c>
      <c r="Y261" s="4" t="str">
        <f>IFERROR(__xludf.DUMMYFUNCTION("""COMPUTED_VALUE"""),"7.1628688")</f>
        <v>7.1628688</v>
      </c>
      <c r="Z261" s="4" t="str">
        <f>IFERROR(__xludf.DUMMYFUNCTION("""COMPUTED_VALUE"""),"3.3477076")</f>
        <v>3.3477076</v>
      </c>
      <c r="AA261" s="4" t="str">
        <f t="shared" si="1"/>
        <v>Neighbor</v>
      </c>
      <c r="AC261" s="4">
        <f>IFERROR(__xludf.DUMMYFUNCTION("IFERROR(ABS(O261-AVERAGE(FILTER(O261:O4329,AA261:AA4329=""Neighbor""))) / STDEV(FILTER(O261:O4329, AA261:AA4329 =""Neighbor"")), """")"),0.14745127582670395)</f>
        <v>0.1474512758</v>
      </c>
      <c r="AD261" s="4">
        <f>IFERROR(__xludf.DUMMYFUNCTION("IFERROR(ABS(P261-AVERAGE(FILTER(O261:P4329,AA261:AA4329=""Neighbor""))) / STDEV(FILTER(P261:P4329, AA261:AA4329 =""Neighbor"")), """")"),1.1505223244805172)</f>
        <v>1.150522324</v>
      </c>
      <c r="AE261" s="2">
        <f>IFERROR(__xludf.DUMMYFUNCTION("IFERROR(ABS(Q261-AVERAGE(FILTER(Q261:Q4329,AA261:AA4329=""Neighbor""))) / STDEV(FILTER(Q261:Q4329, AA261:AA4329 =""Neighbor"")), """")"),0.6065652294003675)</f>
        <v>0.6065652294</v>
      </c>
      <c r="AF261" s="2">
        <f>IFERROR(__xludf.DUMMYFUNCTION("IFERROR(ABS(R261-AVERAGE(FILTER(R261:R4329,AA261:AA4329=""Neighbor""))) / STDEV(FILTER(R261:R4329, AA261:AA4329 =""Neighbor"")), """")"),0.09276191657932066)</f>
        <v>0.09276191658</v>
      </c>
    </row>
    <row r="262">
      <c r="A262" s="2" t="s">
        <v>28</v>
      </c>
      <c r="B262" s="2" t="s">
        <v>884</v>
      </c>
      <c r="C262" s="2" t="s">
        <v>1095</v>
      </c>
      <c r="D262" s="2" t="s">
        <v>1096</v>
      </c>
      <c r="E262" s="2" t="s">
        <v>1097</v>
      </c>
      <c r="F262" s="2">
        <v>121.0</v>
      </c>
      <c r="G262" s="2">
        <v>604.0</v>
      </c>
      <c r="H262" s="2" t="b">
        <v>1</v>
      </c>
      <c r="I262" s="2">
        <v>-1.0</v>
      </c>
      <c r="J262" s="2" t="b">
        <v>0</v>
      </c>
      <c r="K262" s="2" t="b">
        <v>1</v>
      </c>
      <c r="L262" s="2" t="b">
        <v>0</v>
      </c>
      <c r="M262" s="2" t="b">
        <v>0</v>
      </c>
      <c r="N262" s="2" t="s">
        <v>33</v>
      </c>
      <c r="O262" s="2">
        <v>0.0</v>
      </c>
      <c r="P262" s="2">
        <v>0.0</v>
      </c>
      <c r="Q262" s="2">
        <v>0.0</v>
      </c>
      <c r="R262" s="2">
        <v>0.0</v>
      </c>
      <c r="S262" s="3" t="s">
        <v>1098</v>
      </c>
      <c r="T262" s="2" t="s">
        <v>1099</v>
      </c>
      <c r="Y262" s="4" t="str">
        <f>IFERROR(__xludf.DUMMYFUNCTION("""COMPUTED_VALUE"""),"7.1702601")</f>
        <v>7.1702601</v>
      </c>
      <c r="Z262" s="4" t="str">
        <f>IFERROR(__xludf.DUMMYFUNCTION("""COMPUTED_VALUE"""),"3.3483373")</f>
        <v>3.3483373</v>
      </c>
      <c r="AA262" s="4" t="str">
        <f t="shared" si="1"/>
        <v>Neighbor</v>
      </c>
      <c r="AC262" s="4">
        <f>IFERROR(__xludf.DUMMYFUNCTION("IFERROR(ABS(O262-AVERAGE(FILTER(O262:O4330,AA262:AA4330=""Neighbor""))) / STDEV(FILTER(O262:O4330, AA262:AA4330 =""Neighbor"")), """")"),1.547814051774079)</f>
        <v>1.547814052</v>
      </c>
      <c r="AD262" s="4">
        <f>IFERROR(__xludf.DUMMYFUNCTION("IFERROR(ABS(P262-AVERAGE(FILTER(O262:P4330,AA262:AA4330=""Neighbor""))) / STDEV(FILTER(P262:P4330, AA262:AA4330 =""Neighbor"")), """")"),1.614364334860233)</f>
        <v>1.614364335</v>
      </c>
      <c r="AE262" s="2">
        <f>IFERROR(__xludf.DUMMYFUNCTION("IFERROR(ABS(Q262-AVERAGE(FILTER(Q262:Q4330,AA262:AA4330=""Neighbor""))) / STDEV(FILTER(Q262:Q4330, AA262:AA4330 =""Neighbor"")), """")"),1.0536630705260657)</f>
        <v>1.053663071</v>
      </c>
      <c r="AF262" s="2">
        <f>IFERROR(__xludf.DUMMYFUNCTION("IFERROR(ABS(R262-AVERAGE(FILTER(R262:R4330,AA262:AA4330=""Neighbor""))) / STDEV(FILTER(R262:R4330, AA262:AA4330 =""Neighbor"")), """")"),0.10180841441784409)</f>
        <v>0.1018084144</v>
      </c>
    </row>
    <row r="263">
      <c r="A263" s="2" t="s">
        <v>28</v>
      </c>
      <c r="B263" s="2" t="s">
        <v>884</v>
      </c>
      <c r="C263" s="2" t="s">
        <v>1095</v>
      </c>
      <c r="D263" s="2" t="s">
        <v>1100</v>
      </c>
      <c r="E263" s="2" t="s">
        <v>1101</v>
      </c>
      <c r="F263" s="2">
        <v>96.0</v>
      </c>
      <c r="G263" s="2">
        <v>355.0</v>
      </c>
      <c r="H263" s="2" t="b">
        <v>1</v>
      </c>
      <c r="I263" s="2">
        <v>-1.0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s">
        <v>33</v>
      </c>
      <c r="O263" s="2">
        <v>64.0</v>
      </c>
      <c r="P263" s="2">
        <v>0.0</v>
      </c>
      <c r="Q263" s="2">
        <v>16.0</v>
      </c>
      <c r="R263" s="2">
        <v>0.0</v>
      </c>
      <c r="S263" s="3" t="s">
        <v>1102</v>
      </c>
      <c r="T263" s="2" t="s">
        <v>1103</v>
      </c>
      <c r="Y263" s="4" t="str">
        <f>IFERROR(__xludf.DUMMYFUNCTION("""COMPUTED_VALUE"""),"7.1702601")</f>
        <v>7.1702601</v>
      </c>
      <c r="Z263" s="4" t="str">
        <f>IFERROR(__xludf.DUMMYFUNCTION("""COMPUTED_VALUE"""),"3.3483373")</f>
        <v>3.3483373</v>
      </c>
      <c r="AA263" s="4" t="str">
        <f t="shared" si="1"/>
        <v>Neighbor</v>
      </c>
      <c r="AC263" s="4">
        <f>IFERROR(__xludf.DUMMYFUNCTION("IFERROR(ABS(O263-AVERAGE(FILTER(O263:O4331,AA263:AA4331=""Neighbor""))) / STDEV(FILTER(O263:O4331, AA263:AA4331 =""Neighbor"")), """")"),0.06248481847998698)</f>
        <v>0.06248481848</v>
      </c>
      <c r="AD263" s="4">
        <f>IFERROR(__xludf.DUMMYFUNCTION("IFERROR(ABS(P263-AVERAGE(FILTER(O263:P4331,AA263:AA4331=""Neighbor""))) / STDEV(FILTER(P263:P4331, AA263:AA4331 =""Neighbor"")), """")"),1.6150650946451162)</f>
        <v>1.615065095</v>
      </c>
      <c r="AE263" s="2">
        <f>IFERROR(__xludf.DUMMYFUNCTION("IFERROR(ABS(Q263-AVERAGE(FILTER(Q263:Q4331,AA263:AA4331=""Neighbor""))) / STDEV(FILTER(Q263:Q4331, AA263:AA4331 =""Neighbor"")), """")"),0.37309551194425244)</f>
        <v>0.3730955119</v>
      </c>
      <c r="AF263" s="2">
        <f>IFERROR(__xludf.DUMMYFUNCTION("IFERROR(ABS(R263-AVERAGE(FILTER(R263:R4331,AA263:AA4331=""Neighbor""))) / STDEV(FILTER(R263:R4331, AA263:AA4331 =""Neighbor"")), """")"),0.10183977102710128)</f>
        <v>0.101839771</v>
      </c>
    </row>
    <row r="264">
      <c r="A264" s="2" t="s">
        <v>28</v>
      </c>
      <c r="B264" s="2" t="s">
        <v>884</v>
      </c>
      <c r="C264" s="2" t="s">
        <v>1095</v>
      </c>
      <c r="D264" s="2" t="s">
        <v>1104</v>
      </c>
      <c r="E264" s="2" t="s">
        <v>1105</v>
      </c>
      <c r="F264" s="2">
        <v>54.0</v>
      </c>
      <c r="G264" s="2">
        <v>371.0</v>
      </c>
      <c r="H264" s="2" t="b">
        <v>1</v>
      </c>
      <c r="I264" s="2">
        <v>-1.0</v>
      </c>
      <c r="J264" s="2" t="b">
        <v>0</v>
      </c>
      <c r="K264" s="2" t="b">
        <v>1</v>
      </c>
      <c r="L264" s="2" t="b">
        <v>0</v>
      </c>
      <c r="M264" s="2" t="b">
        <v>0</v>
      </c>
      <c r="N264" s="2" t="s">
        <v>33</v>
      </c>
      <c r="O264" s="2">
        <v>39.0</v>
      </c>
      <c r="P264" s="2">
        <v>0.0</v>
      </c>
      <c r="Q264" s="2">
        <v>9.0</v>
      </c>
      <c r="R264" s="2">
        <v>0.0</v>
      </c>
      <c r="S264" s="3" t="s">
        <v>1106</v>
      </c>
      <c r="T264" s="2" t="s">
        <v>1107</v>
      </c>
      <c r="Y264" s="4" t="str">
        <f>IFERROR(__xludf.DUMMYFUNCTION("""COMPUTED_VALUE"""),"7.1702601")</f>
        <v>7.1702601</v>
      </c>
      <c r="Z264" s="4" t="str">
        <f>IFERROR(__xludf.DUMMYFUNCTION("""COMPUTED_VALUE"""),"3.3483373")</f>
        <v>3.3483373</v>
      </c>
      <c r="AA264" s="4" t="str">
        <f t="shared" si="1"/>
        <v>Not Neighbor</v>
      </c>
      <c r="AC264" s="4">
        <f>IFERROR(__xludf.DUMMYFUNCTION("IFERROR(ABS(O264-AVERAGE(FILTER(O264:O4332,AA264:AA4332=""Neighbor""))) / STDEV(FILTER(O264:O4332, AA264:AA4332 =""Neighbor"")), """")"),0.6431611282770646)</f>
        <v>0.6431611283</v>
      </c>
      <c r="AD264" s="4">
        <f>IFERROR(__xludf.DUMMYFUNCTION("IFERROR(ABS(P264-AVERAGE(FILTER(O264:P4332,AA264:AA4332=""Neighbor""))) / STDEV(FILTER(P264:P4332, AA264:AA4332 =""Neighbor"")), """")"),1.6150113175270369)</f>
        <v>1.615011318</v>
      </c>
      <c r="AE264" s="2">
        <f>IFERROR(__xludf.DUMMYFUNCTION("IFERROR(ABS(Q264-AVERAGE(FILTER(Q264:Q4332,AA264:AA4332=""Neighbor""))) / STDEV(FILTER(Q264:Q4332, AA264:AA4332 =""Neighbor"")), """")"),0.6711920332136083)</f>
        <v>0.6711920332</v>
      </c>
      <c r="AF264" s="2">
        <f>IFERROR(__xludf.DUMMYFUNCTION("IFERROR(ABS(R264-AVERAGE(FILTER(R264:R4332,AA264:AA4332=""Neighbor""))) / STDEV(FILTER(R264:R4332, AA264:AA4332 =""Neighbor"")), """")"),0.10187115662759709)</f>
        <v>0.1018711566</v>
      </c>
    </row>
    <row r="265">
      <c r="A265" s="2" t="s">
        <v>28</v>
      </c>
      <c r="B265" s="2" t="s">
        <v>884</v>
      </c>
      <c r="C265" s="2" t="s">
        <v>1095</v>
      </c>
      <c r="D265" s="2" t="s">
        <v>1108</v>
      </c>
      <c r="E265" s="2" t="s">
        <v>1109</v>
      </c>
      <c r="F265" s="2">
        <v>146.0</v>
      </c>
      <c r="G265" s="2">
        <v>574.0</v>
      </c>
      <c r="H265" s="2" t="b">
        <v>1</v>
      </c>
      <c r="I265" s="2">
        <v>-1.0</v>
      </c>
      <c r="J265" s="2" t="b">
        <v>0</v>
      </c>
      <c r="K265" s="2" t="b">
        <v>1</v>
      </c>
      <c r="L265" s="2" t="b">
        <v>0</v>
      </c>
      <c r="M265" s="2" t="b">
        <v>0</v>
      </c>
      <c r="N265" s="2" t="s">
        <v>33</v>
      </c>
      <c r="O265" s="2">
        <v>96.0</v>
      </c>
      <c r="P265" s="2">
        <v>8.0</v>
      </c>
      <c r="Q265" s="2">
        <v>16.0</v>
      </c>
      <c r="R265" s="2">
        <v>0.0</v>
      </c>
      <c r="S265" s="3" t="s">
        <v>1110</v>
      </c>
      <c r="T265" s="2" t="s">
        <v>1111</v>
      </c>
      <c r="Y265" s="4" t="str">
        <f>IFERROR(__xludf.DUMMYFUNCTION("""COMPUTED_VALUE"""),"7.1561368")</f>
        <v>7.1561368</v>
      </c>
      <c r="Z265" s="4" t="str">
        <f>IFERROR(__xludf.DUMMYFUNCTION("""COMPUTED_VALUE"""),"3.3489671")</f>
        <v>3.3489671</v>
      </c>
      <c r="AA265" s="4" t="str">
        <f t="shared" si="1"/>
        <v>Not Neighbor</v>
      </c>
      <c r="AC265" s="4">
        <f>IFERROR(__xludf.DUMMYFUNCTION("IFERROR(ABS(O265-AVERAGE(FILTER(O265:O4333,AA265:AA4333=""Neighbor""))) / STDEV(FILTER(O265:O4333, AA265:AA4333 =""Neighbor"")), """")"),0.6807372337035431)</f>
        <v>0.6807372337</v>
      </c>
      <c r="AD265" s="4">
        <f>IFERROR(__xludf.DUMMYFUNCTION("IFERROR(ABS(P265-AVERAGE(FILTER(O265:P4333,AA265:AA4333=""Neighbor""))) / STDEV(FILTER(P265:P4333, AA265:AA4333 =""Neighbor"")), """")"),1.3056543769500117)</f>
        <v>1.305654377</v>
      </c>
      <c r="AE265" s="2">
        <f>IFERROR(__xludf.DUMMYFUNCTION("IFERROR(ABS(Q265-AVERAGE(FILTER(Q265:Q4333,AA265:AA4333=""Neighbor""))) / STDEV(FILTER(Q265:Q4333, AA265:AA4333 =""Neighbor"")), """")"),0.37322518123795273)</f>
        <v>0.3732251812</v>
      </c>
      <c r="AF265" s="2">
        <f>IFERROR(__xludf.DUMMYFUNCTION("IFERROR(ABS(R265-AVERAGE(FILTER(R265:R4333,AA265:AA4333=""Neighbor""))) / STDEV(FILTER(R265:R4333, AA265:AA4333 =""Neighbor"")), """")"),0.10187115662759709)</f>
        <v>0.1018711566</v>
      </c>
    </row>
    <row r="266">
      <c r="A266" s="2" t="s">
        <v>28</v>
      </c>
      <c r="B266" s="2" t="s">
        <v>884</v>
      </c>
      <c r="C266" s="2" t="s">
        <v>1095</v>
      </c>
      <c r="D266" s="2" t="s">
        <v>1112</v>
      </c>
      <c r="E266" s="2" t="s">
        <v>1113</v>
      </c>
      <c r="F266" s="2">
        <v>77.0</v>
      </c>
      <c r="G266" s="2">
        <v>750.0</v>
      </c>
      <c r="H266" s="2" t="b">
        <v>1</v>
      </c>
      <c r="I266" s="2">
        <v>-1.0</v>
      </c>
      <c r="J266" s="2" t="b">
        <v>0</v>
      </c>
      <c r="K266" s="2" t="b">
        <v>1</v>
      </c>
      <c r="L266" s="2" t="b">
        <v>0</v>
      </c>
      <c r="M266" s="2" t="b">
        <v>0</v>
      </c>
      <c r="N266" s="2" t="s">
        <v>33</v>
      </c>
      <c r="O266" s="2">
        <v>51.0</v>
      </c>
      <c r="P266" s="2">
        <v>3.0</v>
      </c>
      <c r="Q266" s="2">
        <v>16.0</v>
      </c>
      <c r="R266" s="2">
        <v>0.0</v>
      </c>
      <c r="S266" s="3" t="s">
        <v>1114</v>
      </c>
      <c r="T266" s="2" t="s">
        <v>1115</v>
      </c>
      <c r="Y266" s="4" t="str">
        <f>IFERROR(__xludf.DUMMYFUNCTION("""COMPUTED_VALUE"""),"7.1702601")</f>
        <v>7.1702601</v>
      </c>
      <c r="Z266" s="4" t="str">
        <f>IFERROR(__xludf.DUMMYFUNCTION("""COMPUTED_VALUE"""),"3.3483373")</f>
        <v>3.3483373</v>
      </c>
      <c r="AA266" s="4" t="str">
        <f t="shared" si="1"/>
        <v>Neighbor</v>
      </c>
      <c r="AC266" s="4">
        <f>IFERROR(__xludf.DUMMYFUNCTION("IFERROR(ABS(O266-AVERAGE(FILTER(O266:O4334,AA266:AA4334=""Neighbor""))) / STDEV(FILTER(O266:O4334, AA266:AA4334 =""Neighbor"")), """")"),0.36444568364956825)</f>
        <v>0.3644456836</v>
      </c>
      <c r="AD266" s="4">
        <f>IFERROR(__xludf.DUMMYFUNCTION("IFERROR(ABS(P266-AVERAGE(FILTER(O266:P4334,AA266:AA4334=""Neighbor""))) / STDEV(FILTER(P266:P4334, AA266:AA4334 =""Neighbor"")), """")"),1.4990024648106524)</f>
        <v>1.499002465</v>
      </c>
      <c r="AE266" s="2">
        <f>IFERROR(__xludf.DUMMYFUNCTION("IFERROR(ABS(Q266-AVERAGE(FILTER(Q266:Q4334,AA266:AA4334=""Neighbor""))) / STDEV(FILTER(Q266:Q4334, AA266:AA4334 =""Neighbor"")), """")"),0.37322518123795273)</f>
        <v>0.3732251812</v>
      </c>
      <c r="AF266" s="2">
        <f>IFERROR(__xludf.DUMMYFUNCTION("IFERROR(ABS(R266-AVERAGE(FILTER(R266:R4334,AA266:AA4334=""Neighbor""))) / STDEV(FILTER(R266:R4334, AA266:AA4334 =""Neighbor"")), """")"),0.10187115662759709)</f>
        <v>0.1018711566</v>
      </c>
    </row>
    <row r="267">
      <c r="A267" s="2" t="s">
        <v>28</v>
      </c>
      <c r="B267" s="2" t="s">
        <v>884</v>
      </c>
      <c r="C267" s="2" t="s">
        <v>1095</v>
      </c>
      <c r="D267" s="2" t="s">
        <v>1116</v>
      </c>
      <c r="E267" s="2" t="s">
        <v>1117</v>
      </c>
      <c r="F267" s="2">
        <v>0.0</v>
      </c>
      <c r="G267" s="2">
        <v>782.0</v>
      </c>
      <c r="H267" s="2" t="b">
        <v>1</v>
      </c>
      <c r="I267" s="2">
        <v>-1.0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s">
        <v>33</v>
      </c>
      <c r="O267" s="2">
        <v>49.0</v>
      </c>
      <c r="P267" s="2">
        <v>1.0</v>
      </c>
      <c r="Q267" s="2">
        <v>45.0</v>
      </c>
      <c r="R267" s="2">
        <v>0.0</v>
      </c>
      <c r="S267" s="3" t="s">
        <v>1118</v>
      </c>
      <c r="T267" s="2" t="s">
        <v>1119</v>
      </c>
      <c r="Y267" s="4" t="str">
        <f>IFERROR(__xludf.DUMMYFUNCTION("""COMPUTED_VALUE"""),"7.1702601")</f>
        <v>7.1702601</v>
      </c>
      <c r="Z267" s="4" t="str">
        <f>IFERROR(__xludf.DUMMYFUNCTION("""COMPUTED_VALUE"""),"3.3483373")</f>
        <v>3.3483373</v>
      </c>
      <c r="AA267" s="4" t="str">
        <f t="shared" si="1"/>
        <v>Neighbor</v>
      </c>
      <c r="AC267" s="4">
        <f>IFERROR(__xludf.DUMMYFUNCTION("IFERROR(ABS(O267-AVERAGE(FILTER(O267:O4335,AA267:AA4335=""Neighbor""))) / STDEV(FILTER(O267:O4335, AA267:AA4335 =""Neighbor"")), """")"),0.41101198194855254)</f>
        <v>0.4110119819</v>
      </c>
      <c r="AD267" s="4">
        <f>IFERROR(__xludf.DUMMYFUNCTION("IFERROR(ABS(P267-AVERAGE(FILTER(O267:P4335,AA267:AA4335=""Neighbor""))) / STDEV(FILTER(P267:P4335, AA267:AA4335 =""Neighbor"")), """")"),1.5763467633264168)</f>
        <v>1.576346763</v>
      </c>
      <c r="AE267" s="2">
        <f>IFERROR(__xludf.DUMMYFUNCTION("IFERROR(ABS(Q267-AVERAGE(FILTER(Q267:Q4335,AA267:AA4335=""Neighbor""))) / STDEV(FILTER(Q267:Q4335, AA267:AA4335 =""Neighbor"")), """")"),0.8607545561936694)</f>
        <v>0.8607545562</v>
      </c>
      <c r="AF267" s="2">
        <f>IFERROR(__xludf.DUMMYFUNCTION("IFERROR(ABS(R267-AVERAGE(FILTER(R267:R4335,AA267:AA4335=""Neighbor""))) / STDEV(FILTER(R267:R4335, AA267:AA4335 =""Neighbor"")), """")"),0.10190257126403333)</f>
        <v>0.1019025713</v>
      </c>
    </row>
    <row r="268">
      <c r="A268" s="2" t="s">
        <v>28</v>
      </c>
      <c r="B268" s="2" t="s">
        <v>884</v>
      </c>
      <c r="C268" s="2" t="s">
        <v>1095</v>
      </c>
      <c r="D268" s="2" t="s">
        <v>1120</v>
      </c>
      <c r="E268" s="2" t="s">
        <v>1121</v>
      </c>
      <c r="F268" s="2">
        <v>138.0</v>
      </c>
      <c r="G268" s="2">
        <v>460.0</v>
      </c>
      <c r="H268" s="2" t="b">
        <v>1</v>
      </c>
      <c r="I268" s="2">
        <v>-1.0</v>
      </c>
      <c r="J268" s="2" t="b">
        <v>0</v>
      </c>
      <c r="K268" s="2" t="b">
        <v>1</v>
      </c>
      <c r="L268" s="2" t="b">
        <v>0</v>
      </c>
      <c r="M268" s="2" t="b">
        <v>0</v>
      </c>
      <c r="N268" s="2" t="s">
        <v>33</v>
      </c>
      <c r="O268" s="2">
        <v>106.0</v>
      </c>
      <c r="P268" s="2">
        <v>2.0</v>
      </c>
      <c r="Q268" s="2">
        <v>25.0</v>
      </c>
      <c r="R268" s="2">
        <v>0.0</v>
      </c>
      <c r="S268" s="3" t="s">
        <v>1122</v>
      </c>
      <c r="T268" s="2" t="s">
        <v>1123</v>
      </c>
      <c r="Y268" s="4" t="str">
        <f>IFERROR(__xludf.DUMMYFUNCTION("""COMPUTED_VALUE"""),"7.1676541")</f>
        <v>7.1676541</v>
      </c>
      <c r="Z268" s="4" t="str">
        <f>IFERROR(__xludf.DUMMYFUNCTION("""COMPUTED_VALUE"""),"3.3513091")</f>
        <v>3.3513091</v>
      </c>
      <c r="AA268" s="4" t="str">
        <f t="shared" si="1"/>
        <v>Neighbor</v>
      </c>
      <c r="AC268" s="4">
        <f>IFERROR(__xludf.DUMMYFUNCTION("IFERROR(ABS(O268-AVERAGE(FILTER(O268:O4336,AA268:AA4336=""Neighbor""))) / STDEV(FILTER(O268:O4336, AA268:AA4336 =""Neighbor"")), """")"),0.9120527096033261)</f>
        <v>0.9120527096</v>
      </c>
      <c r="AD268" s="4">
        <f>IFERROR(__xludf.DUMMYFUNCTION("IFERROR(ABS(P268-AVERAGE(FILTER(O268:P4336,AA268:AA4336=""Neighbor""))) / STDEV(FILTER(P268:P4336, AA268:AA4336 =""Neighbor"")), """")"),1.5377883187872086)</f>
        <v>1.537788319</v>
      </c>
      <c r="AE268" s="2">
        <f>IFERROR(__xludf.DUMMYFUNCTION("IFERROR(ABS(Q268-AVERAGE(FILTER(Q268:Q4336,AA268:AA4336=""Neighbor""))) / STDEV(FILTER(Q268:Q4336, AA268:AA4336 =""Neighbor"")), """")"),0.010169856420623713)</f>
        <v>0.01016985642</v>
      </c>
      <c r="AF268" s="2">
        <f>IFERROR(__xludf.DUMMYFUNCTION("IFERROR(ABS(R268-AVERAGE(FILTER(R268:R4336,AA268:AA4336=""Neighbor""))) / STDEV(FILTER(R268:R4336, AA268:AA4336 =""Neighbor"")), """")"),0.10193401498120826)</f>
        <v>0.101934015</v>
      </c>
    </row>
    <row r="269">
      <c r="A269" s="2" t="s">
        <v>28</v>
      </c>
      <c r="B269" s="2" t="s">
        <v>884</v>
      </c>
      <c r="C269" s="2" t="s">
        <v>1095</v>
      </c>
      <c r="D269" s="2" t="s">
        <v>1124</v>
      </c>
      <c r="E269" s="2" t="s">
        <v>1125</v>
      </c>
      <c r="F269" s="2">
        <v>97.0</v>
      </c>
      <c r="G269" s="2">
        <v>567.0</v>
      </c>
      <c r="H269" s="2" t="b">
        <v>1</v>
      </c>
      <c r="I269" s="2">
        <v>-1.0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s">
        <v>33</v>
      </c>
      <c r="O269" s="2">
        <v>44.0</v>
      </c>
      <c r="P269" s="2">
        <v>2.0</v>
      </c>
      <c r="Q269" s="2">
        <v>26.0</v>
      </c>
      <c r="R269" s="2">
        <v>0.0</v>
      </c>
      <c r="S269" s="3" t="s">
        <v>1126</v>
      </c>
      <c r="T269" s="2" t="s">
        <v>1127</v>
      </c>
      <c r="Y269" s="4" t="str">
        <f>IFERROR(__xludf.DUMMYFUNCTION("""COMPUTED_VALUE"""),"7.1676541")</f>
        <v>7.1676541</v>
      </c>
      <c r="Z269" s="4" t="str">
        <f>IFERROR(__xludf.DUMMYFUNCTION("""COMPUTED_VALUE"""),"3.3513091")</f>
        <v>3.3513091</v>
      </c>
      <c r="AA269" s="4" t="str">
        <f t="shared" si="1"/>
        <v>Not Neighbor</v>
      </c>
      <c r="AC269" s="4">
        <f>IFERROR(__xludf.DUMMYFUNCTION("IFERROR(ABS(O269-AVERAGE(FILTER(O269:O4337,AA269:AA4337=""Neighbor""))) / STDEV(FILTER(O269:O4337, AA269:AA4337 =""Neighbor"")), """")"),0.5266450751443095)</f>
        <v>0.5266450751</v>
      </c>
      <c r="AD269" s="4">
        <f>IFERROR(__xludf.DUMMYFUNCTION("IFERROR(ABS(P269-AVERAGE(FILTER(O269:P4337,AA269:AA4337=""Neighbor""))) / STDEV(FILTER(P269:P4337, AA269:AA4337 =""Neighbor"")), """")"),1.5371843600536075)</f>
        <v>1.53718436</v>
      </c>
      <c r="AE269" s="2">
        <f>IFERROR(__xludf.DUMMYFUNCTION("IFERROR(ABS(Q269-AVERAGE(FILTER(Q269:Q4337,AA269:AA4337=""Neighbor""))) / STDEV(FILTER(Q269:Q4337, AA269:AA4337 =""Neighbor"")), """")"),0.05271208669884498)</f>
        <v>0.0527120867</v>
      </c>
      <c r="AF269" s="2">
        <f>IFERROR(__xludf.DUMMYFUNCTION("IFERROR(ABS(R269-AVERAGE(FILTER(R269:R4337,AA269:AA4337=""Neighbor""))) / STDEV(FILTER(R269:R4337, AA269:AA4337 =""Neighbor"")), """")"),0.10196548782401678)</f>
        <v>0.1019654878</v>
      </c>
    </row>
    <row r="270">
      <c r="A270" s="2" t="s">
        <v>28</v>
      </c>
      <c r="B270" s="2" t="s">
        <v>884</v>
      </c>
      <c r="C270" s="2" t="s">
        <v>1128</v>
      </c>
      <c r="D270" s="2" t="s">
        <v>1129</v>
      </c>
      <c r="E270" s="2" t="s">
        <v>1130</v>
      </c>
      <c r="F270" s="2">
        <v>146.0</v>
      </c>
      <c r="G270" s="2">
        <v>836.0</v>
      </c>
      <c r="H270" s="2" t="b">
        <v>1</v>
      </c>
      <c r="I270" s="2">
        <v>-1.0</v>
      </c>
      <c r="J270" s="2" t="b">
        <v>0</v>
      </c>
      <c r="K270" s="2" t="b">
        <v>0</v>
      </c>
      <c r="L270" s="2" t="b">
        <v>0</v>
      </c>
      <c r="M270" s="2" t="b">
        <v>0</v>
      </c>
      <c r="N270" s="2" t="s">
        <v>33</v>
      </c>
      <c r="O270" s="2">
        <v>72.0</v>
      </c>
      <c r="P270" s="2">
        <v>33.0</v>
      </c>
      <c r="Q270" s="2">
        <v>27.0</v>
      </c>
      <c r="R270" s="2">
        <v>1.0</v>
      </c>
      <c r="S270" s="3" t="s">
        <v>1131</v>
      </c>
      <c r="T270" s="2" t="s">
        <v>1132</v>
      </c>
      <c r="Y270" s="4" t="str">
        <f>IFERROR(__xludf.DUMMYFUNCTION("""COMPUTED_VALUE"""),"7.1492532")</f>
        <v>7.1492532</v>
      </c>
      <c r="Z270" s="4" t="str">
        <f>IFERROR(__xludf.DUMMYFUNCTION("""COMPUTED_VALUE"""),"3.3574686")</f>
        <v>3.3574686</v>
      </c>
      <c r="AA270" s="4" t="str">
        <f t="shared" si="1"/>
        <v>Neighbor</v>
      </c>
      <c r="AC270" s="4">
        <f>IFERROR(__xludf.DUMMYFUNCTION("IFERROR(ABS(O270-AVERAGE(FILTER(O270:O4338,AA270:AA4338=""Neighbor""))) / STDEV(FILTER(O270:O4338, AA270:AA4338 =""Neighbor"")), """")"),0.12332018986098753)</f>
        <v>0.1233201899</v>
      </c>
      <c r="AD270" s="4">
        <f>IFERROR(__xludf.DUMMYFUNCTION("IFERROR(ABS(P270-AVERAGE(FILTER(O270:P4338,AA270:AA4338=""Neighbor""))) / STDEV(FILTER(P270:P4338, AA270:AA4338 =""Neighbor"")), """")"),0.33916195193912757)</f>
        <v>0.3391619519</v>
      </c>
      <c r="AE270" s="2">
        <f>IFERROR(__xludf.DUMMYFUNCTION("IFERROR(ABS(Q270-AVERAGE(FILTER(Q270:Q4338,AA270:AA4338=""Neighbor""))) / STDEV(FILTER(Q270:Q4338, AA270:AA4338 =""Neighbor"")), """")"),0.09525120898542515)</f>
        <v>0.09525120899</v>
      </c>
      <c r="AF270" s="2">
        <f>IFERROR(__xludf.DUMMYFUNCTION("IFERROR(ABS(R270-AVERAGE(FILTER(R270:R4338,AA270:AA4338=""Neighbor""))) / STDEV(FILTER(R270:R4338, AA270:AA4338 =""Neighbor"")), """")"),0.09233937533713406)</f>
        <v>0.09233937534</v>
      </c>
    </row>
    <row r="271">
      <c r="A271" s="2" t="s">
        <v>28</v>
      </c>
      <c r="B271" s="2" t="s">
        <v>884</v>
      </c>
      <c r="C271" s="2" t="s">
        <v>1128</v>
      </c>
      <c r="D271" s="2" t="s">
        <v>1133</v>
      </c>
      <c r="E271" s="2" t="s">
        <v>1134</v>
      </c>
      <c r="F271" s="2">
        <v>161.0</v>
      </c>
      <c r="G271" s="2">
        <v>895.0</v>
      </c>
      <c r="H271" s="2" t="b">
        <v>1</v>
      </c>
      <c r="I271" s="2">
        <v>-1.0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s">
        <v>33</v>
      </c>
      <c r="O271" s="2">
        <v>99.0</v>
      </c>
      <c r="P271" s="2">
        <v>14.0</v>
      </c>
      <c r="Q271" s="2">
        <v>31.0</v>
      </c>
      <c r="R271" s="2">
        <v>2.0</v>
      </c>
      <c r="S271" s="3" t="s">
        <v>1135</v>
      </c>
      <c r="T271" s="2" t="s">
        <v>1136</v>
      </c>
      <c r="Y271" s="4" t="str">
        <f>IFERROR(__xludf.DUMMYFUNCTION("""COMPUTED_VALUE"""),"7.1492532")</f>
        <v>7.1492532</v>
      </c>
      <c r="Z271" s="4" t="str">
        <f>IFERROR(__xludf.DUMMYFUNCTION("""COMPUTED_VALUE"""),"3.3574686")</f>
        <v>3.3574686</v>
      </c>
      <c r="AA271" s="4" t="str">
        <f t="shared" si="1"/>
        <v>Neighbor</v>
      </c>
      <c r="AC271" s="4">
        <f>IFERROR(__xludf.DUMMYFUNCTION("IFERROR(ABS(O271-AVERAGE(FILTER(O271:O4339,AA271:AA4339=""Neighbor""))) / STDEV(FILTER(O271:O4339, AA271:AA4339 =""Neighbor"")), """")"),0.7499217944520947)</f>
        <v>0.7499217945</v>
      </c>
      <c r="AD271" s="4">
        <f>IFERROR(__xludf.DUMMYFUNCTION("IFERROR(ABS(P271-AVERAGE(FILTER(O271:P4339,AA271:AA4339=""Neighbor""))) / STDEV(FILTER(P271:P4339, AA271:AA4339 =""Neighbor"")), """")"),1.0729794269589863)</f>
        <v>1.072979427</v>
      </c>
      <c r="AE271" s="2">
        <f>IFERROR(__xludf.DUMMYFUNCTION("IFERROR(ABS(Q271-AVERAGE(FILTER(Q271:Q4339,AA271:AA4339=""Neighbor""))) / STDEV(FILTER(Q271:Q4339, AA271:AA4339 =""Neighbor"")), """")"),0.2653854842586049)</f>
        <v>0.2653854843</v>
      </c>
      <c r="AF271" s="2">
        <f>IFERROR(__xludf.DUMMYFUNCTION("IFERROR(ABS(R271-AVERAGE(FILTER(R271:R4339,AA271:AA4339=""Neighbor""))) / STDEV(FILTER(R271:R4339, AA271:AA4339 =""Neighbor"")), """")"),0.2866137548541256)</f>
        <v>0.2866137549</v>
      </c>
    </row>
    <row r="272">
      <c r="A272" s="2" t="s">
        <v>28</v>
      </c>
      <c r="B272" s="2" t="s">
        <v>884</v>
      </c>
      <c r="C272" s="2" t="s">
        <v>1128</v>
      </c>
      <c r="D272" s="2" t="s">
        <v>1137</v>
      </c>
      <c r="E272" s="2" t="s">
        <v>1138</v>
      </c>
      <c r="F272" s="2">
        <v>139.0</v>
      </c>
      <c r="G272" s="2">
        <v>822.0</v>
      </c>
      <c r="H272" s="2" t="b">
        <v>1</v>
      </c>
      <c r="I272" s="2">
        <v>-1.0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s">
        <v>33</v>
      </c>
      <c r="O272" s="2">
        <v>93.0</v>
      </c>
      <c r="P272" s="2">
        <v>18.0</v>
      </c>
      <c r="Q272" s="2">
        <v>22.0</v>
      </c>
      <c r="R272" s="2">
        <v>0.0</v>
      </c>
      <c r="S272" s="3" t="s">
        <v>1139</v>
      </c>
      <c r="T272" s="2" t="s">
        <v>1140</v>
      </c>
      <c r="Y272" s="4" t="str">
        <f>IFERROR(__xludf.DUMMYFUNCTION("""COMPUTED_VALUE"""),"7.1492532")</f>
        <v>7.1492532</v>
      </c>
      <c r="Z272" s="4" t="str">
        <f>IFERROR(__xludf.DUMMYFUNCTION("""COMPUTED_VALUE"""),"3.3574686")</f>
        <v>3.3574686</v>
      </c>
      <c r="AA272" s="4" t="str">
        <f t="shared" si="1"/>
        <v>Neighbor</v>
      </c>
      <c r="AC272" s="4">
        <f>IFERROR(__xludf.DUMMYFUNCTION("IFERROR(ABS(O272-AVERAGE(FILTER(O272:O4340,AA272:AA4340=""Neighbor""))) / STDEV(FILTER(O272:O4340, AA272:AA4340 =""Neighbor"")), """")"),0.6110628722375648)</f>
        <v>0.6110628722</v>
      </c>
      <c r="AD272" s="4">
        <f>IFERROR(__xludf.DUMMYFUNCTION("IFERROR(ABS(P272-AVERAGE(FILTER(O272:P4340,AA272:AA4340=""Neighbor""))) / STDEV(FILTER(P272:P4340, AA272:AA4340 =""Neighbor"")), """")"),0.9177985376460134)</f>
        <v>0.9177985376</v>
      </c>
      <c r="AE272" s="2">
        <f>IFERROR(__xludf.DUMMYFUNCTION("IFERROR(ABS(Q272-AVERAGE(FILTER(Q272:Q4340,AA272:AA4340=""Neighbor""))) / STDEV(FILTER(Q272:Q4340, AA272:AA4340 =""Neighbor"")), """")"),0.11715463698861979)</f>
        <v>0.117154637</v>
      </c>
      <c r="AF272" s="2">
        <f>IFERROR(__xludf.DUMMYFUNCTION("IFERROR(ABS(R272-AVERAGE(FILTER(R272:R4340,AA272:AA4340=""Neighbor""))) / STDEV(FILTER(R272:R4340, AA272:AA4340 =""Neighbor"")), """")"),0.10167395463258593)</f>
        <v>0.1016739546</v>
      </c>
    </row>
    <row r="273">
      <c r="A273" s="2" t="s">
        <v>28</v>
      </c>
      <c r="B273" s="2" t="s">
        <v>884</v>
      </c>
      <c r="C273" s="2" t="s">
        <v>1128</v>
      </c>
      <c r="D273" s="2" t="s">
        <v>1141</v>
      </c>
      <c r="E273" s="2" t="s">
        <v>1142</v>
      </c>
      <c r="F273" s="2">
        <v>95.0</v>
      </c>
      <c r="G273" s="2">
        <v>554.0</v>
      </c>
      <c r="H273" s="2" t="b">
        <v>1</v>
      </c>
      <c r="I273" s="2">
        <v>-1.0</v>
      </c>
      <c r="J273" s="2" t="b">
        <v>0</v>
      </c>
      <c r="K273" s="2" t="b">
        <v>1</v>
      </c>
      <c r="L273" s="2" t="b">
        <v>0</v>
      </c>
      <c r="M273" s="2" t="b">
        <v>0</v>
      </c>
      <c r="N273" s="2" t="s">
        <v>33</v>
      </c>
      <c r="O273" s="2">
        <v>0.0</v>
      </c>
      <c r="P273" s="2">
        <v>0.0</v>
      </c>
      <c r="Q273" s="2">
        <v>0.0</v>
      </c>
      <c r="R273" s="2">
        <v>0.0</v>
      </c>
      <c r="S273" s="3" t="s">
        <v>1143</v>
      </c>
      <c r="T273" s="2" t="s">
        <v>1144</v>
      </c>
      <c r="Y273" s="4" t="str">
        <f>IFERROR(__xludf.DUMMYFUNCTION("""COMPUTED_VALUE"""),"7.1529833")</f>
        <v>7.1529833</v>
      </c>
      <c r="Z273" s="4" t="str">
        <f>IFERROR(__xludf.DUMMYFUNCTION("""COMPUTED_VALUE"""),"3.354671")</f>
        <v>3.354671</v>
      </c>
      <c r="AA273" s="4" t="str">
        <f t="shared" si="1"/>
        <v>Not Neighbor</v>
      </c>
      <c r="AC273" s="4">
        <f>IFERROR(__xludf.DUMMYFUNCTION("IFERROR(ABS(O273-AVERAGE(FILTER(O273:O4341,AA273:AA4341=""Neighbor""))) / STDEV(FILTER(O273:O4341, AA273:AA4341 =""Neighbor"")), """")"),1.5461393296164108)</f>
        <v>1.54613933</v>
      </c>
      <c r="AD273" s="4">
        <f>IFERROR(__xludf.DUMMYFUNCTION("IFERROR(ABS(P273-AVERAGE(FILTER(O273:P4341,AA273:AA4341=""Neighbor""))) / STDEV(FILTER(P273:P4341, AA273:AA4341 =""Neighbor"")), """")"),1.6122655655380647)</f>
        <v>1.612265566</v>
      </c>
      <c r="AE273" s="2">
        <f>IFERROR(__xludf.DUMMYFUNCTION("IFERROR(ABS(Q273-AVERAGE(FILTER(Q273:Q4341,AA273:AA4341=""Neighbor""))) / STDEV(FILTER(Q273:Q4341, AA273:AA4341 =""Neighbor"")), """")"),1.0522188853881778)</f>
        <v>1.052218885</v>
      </c>
      <c r="AF273" s="2">
        <f>IFERROR(__xludf.DUMMYFUNCTION("IFERROR(ABS(R273-AVERAGE(FILTER(R273:R4341,AA273:AA4341=""Neighbor""))) / STDEV(FILTER(R273:R4341, AA273:AA4341 =""Neighbor"")), """")"),0.10170540319263831)</f>
        <v>0.1017054032</v>
      </c>
    </row>
    <row r="274">
      <c r="A274" s="2" t="s">
        <v>28</v>
      </c>
      <c r="B274" s="2" t="s">
        <v>884</v>
      </c>
      <c r="C274" s="2" t="s">
        <v>1128</v>
      </c>
      <c r="D274" s="2" t="s">
        <v>1145</v>
      </c>
      <c r="E274" s="2" t="s">
        <v>1146</v>
      </c>
      <c r="F274" s="2">
        <v>79.0</v>
      </c>
      <c r="G274" s="2">
        <v>461.0</v>
      </c>
      <c r="H274" s="2" t="b">
        <v>1</v>
      </c>
      <c r="I274" s="2">
        <v>-1.0</v>
      </c>
      <c r="J274" s="2" t="b">
        <v>1</v>
      </c>
      <c r="K274" s="2" t="b">
        <v>0</v>
      </c>
      <c r="L274" s="2" t="b">
        <v>0</v>
      </c>
      <c r="M274" s="2" t="b">
        <v>0</v>
      </c>
      <c r="N274" s="2" t="s">
        <v>33</v>
      </c>
      <c r="O274" s="2">
        <v>42.0</v>
      </c>
      <c r="P274" s="2">
        <v>5.0</v>
      </c>
      <c r="Q274" s="2">
        <v>24.0</v>
      </c>
      <c r="R274" s="2">
        <v>0.0</v>
      </c>
      <c r="S274" s="3" t="s">
        <v>1147</v>
      </c>
      <c r="T274" s="2" t="s">
        <v>1148</v>
      </c>
      <c r="Y274" s="4" t="str">
        <f>IFERROR(__xludf.DUMMYFUNCTION("""COMPUTED_VALUE"""),"7.1425468")</f>
        <v>7.1425468</v>
      </c>
      <c r="Z274" s="4" t="str">
        <f>IFERROR(__xludf.DUMMYFUNCTION("""COMPUTED_VALUE"""),"3.3848097")</f>
        <v>3.3848097</v>
      </c>
      <c r="AA274" s="4" t="str">
        <f t="shared" si="1"/>
        <v>Not Neighbor</v>
      </c>
      <c r="AC274" s="4">
        <f>IFERROR(__xludf.DUMMYFUNCTION("IFERROR(ABS(O274-AVERAGE(FILTER(O274:O4342,AA274:AA4342=""Neighbor""))) / STDEV(FILTER(O274:O4342, AA274:AA4342 =""Neighbor"")), """")"),0.5718028930141559)</f>
        <v>0.571802893</v>
      </c>
      <c r="AD274" s="4">
        <f>IFERROR(__xludf.DUMMYFUNCTION("IFERROR(ABS(P274-AVERAGE(FILTER(O274:P4342,AA274:AA4342=""Neighbor""))) / STDEV(FILTER(P274:P4342, AA274:AA4342 =""Neighbor"")), """")"),1.4191897869545615)</f>
        <v>1.419189787</v>
      </c>
      <c r="AE274" s="2">
        <f>IFERROR(__xludf.DUMMYFUNCTION("IFERROR(ABS(Q274-AVERAGE(FILTER(Q274:Q4342,AA274:AA4342=""Neighbor""))) / STDEV(FILTER(Q274:Q4342, AA274:AA4342 =""Neighbor"")), """")"),0.032188460111369874)</f>
        <v>0.03218846011</v>
      </c>
      <c r="AF274" s="2">
        <f>IFERROR(__xludf.DUMMYFUNCTION("IFERROR(ABS(R274-AVERAGE(FILTER(R274:R4342,AA274:AA4342=""Neighbor""))) / STDEV(FILTER(R274:R4342, AA274:AA4342 =""Neighbor"")), """")"),0.10170540319263831)</f>
        <v>0.1017054032</v>
      </c>
    </row>
    <row r="275">
      <c r="A275" s="2" t="s">
        <v>28</v>
      </c>
      <c r="B275" s="2" t="s">
        <v>884</v>
      </c>
      <c r="C275" s="2" t="s">
        <v>1128</v>
      </c>
      <c r="D275" s="2" t="s">
        <v>1149</v>
      </c>
      <c r="E275" s="2" t="s">
        <v>1150</v>
      </c>
      <c r="F275" s="2">
        <v>175.0</v>
      </c>
      <c r="G275" s="2">
        <v>926.0</v>
      </c>
      <c r="H275" s="2" t="b">
        <v>1</v>
      </c>
      <c r="I275" s="2">
        <v>-1.0</v>
      </c>
      <c r="J275" s="2" t="b">
        <v>0</v>
      </c>
      <c r="K275" s="2" t="b">
        <v>0</v>
      </c>
      <c r="L275" s="2" t="b">
        <v>0</v>
      </c>
      <c r="M275" s="2" t="b">
        <v>0</v>
      </c>
      <c r="N275" s="2" t="s">
        <v>33</v>
      </c>
      <c r="O275" s="2">
        <v>87.0</v>
      </c>
      <c r="P275" s="2">
        <v>18.0</v>
      </c>
      <c r="Q275" s="2">
        <v>53.0</v>
      </c>
      <c r="R275" s="2">
        <v>0.0</v>
      </c>
      <c r="S275" s="3" t="s">
        <v>1151</v>
      </c>
      <c r="T275" s="2" t="s">
        <v>1152</v>
      </c>
      <c r="Y275" s="4" t="str">
        <f>IFERROR(__xludf.DUMMYFUNCTION("""COMPUTED_VALUE"""),"7.1492532")</f>
        <v>7.1492532</v>
      </c>
      <c r="Z275" s="4" t="str">
        <f>IFERROR(__xludf.DUMMYFUNCTION("""COMPUTED_VALUE"""),"3.3574686")</f>
        <v>3.3574686</v>
      </c>
      <c r="AA275" s="4" t="str">
        <f t="shared" si="1"/>
        <v>Not Neighbor</v>
      </c>
      <c r="AC275" s="4">
        <f>IFERROR(__xludf.DUMMYFUNCTION("IFERROR(ABS(O275-AVERAGE(FILTER(O275:O4343,AA275:AA4343=""Neighbor""))) / STDEV(FILTER(O275:O4343, AA275:AA4343 =""Neighbor"")), """")"),0.4721290033454031)</f>
        <v>0.4721290033</v>
      </c>
      <c r="AD275" s="4">
        <f>IFERROR(__xludf.DUMMYFUNCTION("IFERROR(ABS(P275-AVERAGE(FILTER(O275:P4343,AA275:AA4343=""Neighbor""))) / STDEV(FILTER(P275:P4343, AA275:AA4343 =""Neighbor"")), """")"),0.9171927626374535)</f>
        <v>0.9171927626</v>
      </c>
      <c r="AE275" s="2">
        <f>IFERROR(__xludf.DUMMYFUNCTION("IFERROR(ABS(Q275-AVERAGE(FILTER(Q275:Q4343,AA275:AA4343=""Neighbor""))) / STDEV(FILTER(Q275:Q4343, AA275:AA4343 =""Neighbor"")), """")"),1.2003483037647729)</f>
        <v>1.200348304</v>
      </c>
      <c r="AF275" s="2">
        <f>IFERROR(__xludf.DUMMYFUNCTION("IFERROR(ABS(R275-AVERAGE(FILTER(R275:R4343,AA275:AA4343=""Neighbor""))) / STDEV(FILTER(R275:R4343, AA275:AA4343 =""Neighbor"")), """")"),0.10170540319263831)</f>
        <v>0.1017054032</v>
      </c>
    </row>
    <row r="276">
      <c r="A276" s="2" t="s">
        <v>28</v>
      </c>
      <c r="B276" s="2" t="s">
        <v>884</v>
      </c>
      <c r="C276" s="2" t="s">
        <v>1128</v>
      </c>
      <c r="D276" s="2" t="s">
        <v>1153</v>
      </c>
      <c r="E276" s="2" t="s">
        <v>1154</v>
      </c>
      <c r="F276" s="2">
        <v>104.0</v>
      </c>
      <c r="G276" s="2">
        <v>644.0</v>
      </c>
      <c r="H276" s="2" t="b">
        <v>1</v>
      </c>
      <c r="I276" s="2">
        <v>-1.0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s">
        <v>33</v>
      </c>
      <c r="O276" s="2">
        <v>59.0</v>
      </c>
      <c r="P276" s="2">
        <v>6.0</v>
      </c>
      <c r="Q276" s="2">
        <v>19.0</v>
      </c>
      <c r="R276" s="2">
        <v>4.0</v>
      </c>
      <c r="S276" s="3" t="s">
        <v>1155</v>
      </c>
      <c r="T276" s="2" t="s">
        <v>1156</v>
      </c>
      <c r="Y276" s="4" t="str">
        <f>IFERROR(__xludf.DUMMYFUNCTION("""COMPUTED_VALUE"""),"7.1441448")</f>
        <v>7.1441448</v>
      </c>
      <c r="Z276" s="4" t="str">
        <f>IFERROR(__xludf.DUMMYFUNCTION("""COMPUTED_VALUE"""),"3.3717084")</f>
        <v>3.3717084</v>
      </c>
      <c r="AA276" s="4" t="str">
        <f t="shared" si="1"/>
        <v>Not Neighbor</v>
      </c>
      <c r="AC276" s="4">
        <f>IFERROR(__xludf.DUMMYFUNCTION("IFERROR(ABS(O276-AVERAGE(FILTER(O276:O4344,AA276:AA4344=""Neighbor""))) / STDEV(FILTER(O276:O4344, AA276:AA4344 =""Neighbor"")), """")"),0.17742862105610024)</f>
        <v>0.1774286211</v>
      </c>
      <c r="AD276" s="4">
        <f>IFERROR(__xludf.DUMMYFUNCTION("IFERROR(ABS(P276-AVERAGE(FILTER(O276:P4344,AA276:AA4344=""Neighbor""))) / STDEV(FILTER(P276:P4344, AA276:AA4344 =""Neighbor"")), """")"),1.380574631237861)</f>
        <v>1.380574631</v>
      </c>
      <c r="AE276" s="2">
        <f>IFERROR(__xludf.DUMMYFUNCTION("IFERROR(ABS(Q276-AVERAGE(FILTER(Q276:Q4344,AA276:AA4344=""Neighbor""))) / STDEV(FILTER(Q276:Q4344, AA276:AA4344 =""Neighbor"")), """")"),0.24469479871070482)</f>
        <v>0.2446947987</v>
      </c>
      <c r="AF276" s="2">
        <f>IFERROR(__xludf.DUMMYFUNCTION("IFERROR(ABS(R276-AVERAGE(FILTER(R276:R4344,AA276:AA4344=""Neighbor""))) / STDEV(FILTER(R276:R4344, AA276:AA4344 =""Neighbor"")), """")"),0.674824271709751)</f>
        <v>0.6748242717</v>
      </c>
    </row>
    <row r="277">
      <c r="A277" s="2" t="s">
        <v>28</v>
      </c>
      <c r="B277" s="2" t="s">
        <v>884</v>
      </c>
      <c r="C277" s="2" t="s">
        <v>1128</v>
      </c>
      <c r="D277" s="2" t="s">
        <v>1157</v>
      </c>
      <c r="E277" s="2" t="s">
        <v>1158</v>
      </c>
      <c r="F277" s="2">
        <v>69.0</v>
      </c>
      <c r="G277" s="2">
        <v>387.0</v>
      </c>
      <c r="H277" s="2" t="b">
        <v>1</v>
      </c>
      <c r="I277" s="2">
        <v>-1.0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s">
        <v>33</v>
      </c>
      <c r="O277" s="2">
        <v>33.0</v>
      </c>
      <c r="P277" s="2">
        <v>4.0</v>
      </c>
      <c r="Q277" s="2">
        <v>21.0</v>
      </c>
      <c r="R277" s="2">
        <v>4.0</v>
      </c>
      <c r="S277" s="3" t="s">
        <v>1159</v>
      </c>
      <c r="T277" s="2" t="s">
        <v>1160</v>
      </c>
      <c r="Y277" s="4" t="str">
        <f>IFERROR(__xludf.DUMMYFUNCTION("""COMPUTED_VALUE"""),"7.1425468")</f>
        <v>7.1425468</v>
      </c>
      <c r="Z277" s="4" t="str">
        <f>IFERROR(__xludf.DUMMYFUNCTION("""COMPUTED_VALUE"""),"3.3848097")</f>
        <v>3.3848097</v>
      </c>
      <c r="AA277" s="4" t="str">
        <f t="shared" si="1"/>
        <v>Not Neighbor</v>
      </c>
      <c r="AC277" s="4">
        <f>IFERROR(__xludf.DUMMYFUNCTION("IFERROR(ABS(O277-AVERAGE(FILTER(O277:O4345,AA277:AA4345=""Neighbor""))) / STDEV(FILTER(O277:O4345, AA277:AA4345 =""Neighbor"")), """")"),0.7805892722860677)</f>
        <v>0.7805892723</v>
      </c>
      <c r="AD277" s="4">
        <f>IFERROR(__xludf.DUMMYFUNCTION("IFERROR(ABS(P277-AVERAGE(FILTER(O277:P4345,AA277:AA4345=""Neighbor""))) / STDEV(FILTER(P277:P4345, AA277:AA4345 =""Neighbor"")), """")"),1.4578049426712623)</f>
        <v>1.457804943</v>
      </c>
      <c r="AE277" s="2">
        <f>IFERROR(__xludf.DUMMYFUNCTION("IFERROR(ABS(Q277-AVERAGE(FILTER(Q277:Q4345,AA277:AA4345=""Neighbor""))) / STDEV(FILTER(Q277:Q4345, AA277:AA4345 =""Neighbor"")), """")"),0.15969226327097086)</f>
        <v>0.1596922633</v>
      </c>
      <c r="AF277" s="2">
        <f>IFERROR(__xludf.DUMMYFUNCTION("IFERROR(ABS(R277-AVERAGE(FILTER(R277:R4345,AA277:AA4345=""Neighbor""))) / STDEV(FILTER(R277:R4345, AA277:AA4345 =""Neighbor"")), """")"),0.674824271709751)</f>
        <v>0.6748242717</v>
      </c>
    </row>
    <row r="278">
      <c r="A278" s="2" t="s">
        <v>28</v>
      </c>
      <c r="B278" s="2" t="s">
        <v>884</v>
      </c>
      <c r="C278" s="2" t="s">
        <v>1128</v>
      </c>
      <c r="D278" s="2" t="s">
        <v>1161</v>
      </c>
      <c r="E278" s="2" t="s">
        <v>1162</v>
      </c>
      <c r="F278" s="2">
        <v>138.0</v>
      </c>
      <c r="G278" s="2">
        <v>586.0</v>
      </c>
      <c r="H278" s="2" t="b">
        <v>1</v>
      </c>
      <c r="I278" s="2">
        <v>-1.0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s">
        <v>33</v>
      </c>
      <c r="O278" s="2">
        <v>69.0</v>
      </c>
      <c r="P278" s="2">
        <v>48.0</v>
      </c>
      <c r="Q278" s="2">
        <v>10.0</v>
      </c>
      <c r="R278" s="2">
        <v>0.0</v>
      </c>
      <c r="S278" s="3" t="s">
        <v>1163</v>
      </c>
      <c r="T278" s="2" t="s">
        <v>1164</v>
      </c>
      <c r="Y278" s="4" t="str">
        <f>IFERROR(__xludf.DUMMYFUNCTION("""COMPUTED_VALUE"""),"7.1440304")</f>
        <v>7.1440304</v>
      </c>
      <c r="Z278" s="4" t="str">
        <f>IFERROR(__xludf.DUMMYFUNCTION("""COMPUTED_VALUE"""),"3.3723348")</f>
        <v>3.3723348</v>
      </c>
      <c r="AA278" s="4" t="str">
        <f t="shared" si="1"/>
        <v>Neighbor</v>
      </c>
      <c r="AC278" s="4">
        <f>IFERROR(__xludf.DUMMYFUNCTION("IFERROR(ABS(O278-AVERAGE(FILTER(O278:O4346,AA278:AA4346=""Neighbor""))) / STDEV(FILTER(O278:O4346, AA278:AA4346 =""Neighbor"")), """")"),0.05455624480157951)</f>
        <v>0.0545562448</v>
      </c>
      <c r="AD278" s="4">
        <f>IFERROR(__xludf.DUMMYFUNCTION("IFERROR(ABS(P278-AVERAGE(FILTER(O278:P4346,AA278:AA4346=""Neighbor""))) / STDEV(FILTER(P278:P4346, AA278:AA4346 =""Neighbor"")), """")"),0.24126190886356494)</f>
        <v>0.2412619089</v>
      </c>
      <c r="AE278" s="2">
        <f>IFERROR(__xludf.DUMMYFUNCTION("IFERROR(ABS(Q278-AVERAGE(FILTER(Q278:Q4346,AA278:AA4346=""Neighbor""))) / STDEV(FILTER(Q278:Q4346, AA278:AA4346 =""Neighbor"")), """")"),0.6272062081895078)</f>
        <v>0.6272062082</v>
      </c>
      <c r="AF278" s="2">
        <f>IFERROR(__xludf.DUMMYFUNCTION("IFERROR(ABS(R278-AVERAGE(FILTER(R278:R4346,AA278:AA4346=""Neighbor""))) / STDEV(FILTER(R278:R4346, AA278:AA4346 =""Neighbor"")), """")"),0.10170540319263831)</f>
        <v>0.1017054032</v>
      </c>
    </row>
    <row r="279">
      <c r="A279" s="2" t="s">
        <v>28</v>
      </c>
      <c r="B279" s="2" t="s">
        <v>884</v>
      </c>
      <c r="C279" s="2" t="s">
        <v>1128</v>
      </c>
      <c r="D279" s="2" t="s">
        <v>1165</v>
      </c>
      <c r="E279" s="2" t="s">
        <v>1166</v>
      </c>
      <c r="F279" s="2">
        <v>176.0</v>
      </c>
      <c r="G279" s="2">
        <v>880.0</v>
      </c>
      <c r="H279" s="2" t="b">
        <v>1</v>
      </c>
      <c r="I279" s="2">
        <v>-1.0</v>
      </c>
      <c r="J279" s="2" t="b">
        <v>0</v>
      </c>
      <c r="K279" s="2" t="b">
        <v>1</v>
      </c>
      <c r="L279" s="2" t="b">
        <v>0</v>
      </c>
      <c r="M279" s="2" t="b">
        <v>0</v>
      </c>
      <c r="N279" s="2" t="s">
        <v>33</v>
      </c>
      <c r="O279" s="2">
        <v>0.0</v>
      </c>
      <c r="P279" s="2">
        <v>0.0</v>
      </c>
      <c r="Q279" s="2">
        <v>0.0</v>
      </c>
      <c r="R279" s="2">
        <v>0.0</v>
      </c>
      <c r="S279" s="3" t="s">
        <v>1167</v>
      </c>
      <c r="T279" s="2" t="s">
        <v>1168</v>
      </c>
      <c r="Y279" s="4" t="str">
        <f>IFERROR(__xludf.DUMMYFUNCTION("""COMPUTED_VALUE"""),"7.1440304")</f>
        <v>7.1440304</v>
      </c>
      <c r="Z279" s="4" t="str">
        <f>IFERROR(__xludf.DUMMYFUNCTION("""COMPUTED_VALUE"""),"3.3723348")</f>
        <v>3.3723348</v>
      </c>
      <c r="AA279" s="4" t="str">
        <f t="shared" si="1"/>
        <v>Not Neighbor</v>
      </c>
      <c r="AC279" s="4">
        <f>IFERROR(__xludf.DUMMYFUNCTION("IFERROR(ABS(O279-AVERAGE(FILTER(O279:O4347,AA279:AA4347=""Neighbor""))) / STDEV(FILTER(O279:O4347, AA279:AA4347 =""Neighbor"")), """")"),1.545633243715363)</f>
        <v>1.545633244</v>
      </c>
      <c r="AD279" s="4">
        <f>IFERROR(__xludf.DUMMYFUNCTION("IFERROR(ABS(P279-AVERAGE(FILTER(O279:P4347,AA279:AA4347=""Neighbor""))) / STDEV(FILTER(P279:P4347, AA279:AA4347 =""Neighbor"")), """")"),1.6120902088403428)</f>
        <v>1.612090209</v>
      </c>
      <c r="AE279" s="2">
        <f>IFERROR(__xludf.DUMMYFUNCTION("IFERROR(ABS(Q279-AVERAGE(FILTER(Q279:Q4347,AA279:AA4347=""Neighbor""))) / STDEV(FILTER(Q279:Q4347, AA279:AA4347 =""Neighbor"")), """")"),1.052407705310796)</f>
        <v>1.052407705</v>
      </c>
      <c r="AF279" s="2">
        <f>IFERROR(__xludf.DUMMYFUNCTION("IFERROR(ABS(R279-AVERAGE(FILTER(R279:R4347,AA279:AA4347=""Neighbor""))) / STDEV(FILTER(R279:R4347, AA279:AA4347 =""Neighbor"")), """")"),0.10173688095284943)</f>
        <v>0.101736881</v>
      </c>
    </row>
    <row r="280">
      <c r="A280" s="2" t="s">
        <v>28</v>
      </c>
      <c r="B280" s="2" t="s">
        <v>884</v>
      </c>
      <c r="C280" s="2" t="s">
        <v>1128</v>
      </c>
      <c r="D280" s="2" t="s">
        <v>1169</v>
      </c>
      <c r="E280" s="2" t="s">
        <v>1170</v>
      </c>
      <c r="F280" s="2">
        <v>151.0</v>
      </c>
      <c r="G280" s="2">
        <v>750.0</v>
      </c>
      <c r="H280" s="2" t="b">
        <v>1</v>
      </c>
      <c r="I280" s="2">
        <v>-1.0</v>
      </c>
      <c r="J280" s="2" t="b">
        <v>0</v>
      </c>
      <c r="K280" s="2" t="b">
        <v>0</v>
      </c>
      <c r="L280" s="2" t="b">
        <v>0</v>
      </c>
      <c r="M280" s="2" t="b">
        <v>0</v>
      </c>
      <c r="N280" s="2" t="s">
        <v>33</v>
      </c>
      <c r="O280" s="2">
        <v>80.0</v>
      </c>
      <c r="P280" s="2">
        <v>42.0</v>
      </c>
      <c r="Q280" s="2">
        <v>11.0</v>
      </c>
      <c r="R280" s="2">
        <v>0.0</v>
      </c>
      <c r="S280" s="3" t="s">
        <v>1171</v>
      </c>
      <c r="T280" s="2" t="s">
        <v>1172</v>
      </c>
      <c r="Y280" s="4" t="str">
        <f>IFERROR(__xludf.DUMMYFUNCTION("""COMPUTED_VALUE"""),"7.1425468")</f>
        <v>7.1425468</v>
      </c>
      <c r="Z280" s="4" t="str">
        <f>IFERROR(__xludf.DUMMYFUNCTION("""COMPUTED_VALUE"""),"3.3848097")</f>
        <v>3.3848097</v>
      </c>
      <c r="AA280" s="4" t="str">
        <f t="shared" si="1"/>
        <v>Not Neighbor</v>
      </c>
      <c r="AC280" s="4">
        <f>IFERROR(__xludf.DUMMYFUNCTION("IFERROR(ABS(O280-AVERAGE(FILTER(O280:O4348,AA280:AA4348=""Neighbor""))) / STDEV(FILTER(O280:O4348, AA280:AA4348 =""Neighbor"")), """")"),0.30967835084200607)</f>
        <v>0.3096783508</v>
      </c>
      <c r="AD280" s="4">
        <f>IFERROR(__xludf.DUMMYFUNCTION("IFERROR(ABS(P280-AVERAGE(FILTER(O280:P4348,AA280:AA4348=""Neighbor""))) / STDEV(FILTER(P280:P4348, AA280:AA4348 =""Neighbor"")), """")"),0.009968860297612816)</f>
        <v>0.009968860298</v>
      </c>
      <c r="AE280" s="2">
        <f>IFERROR(__xludf.DUMMYFUNCTION("IFERROR(ABS(Q280-AVERAGE(FILTER(Q280:Q4348,AA280:AA4348=""Neighbor""))) / STDEV(FILTER(Q280:Q4348, AA280:AA4348 =""Neighbor"")), """")"),0.5849806953345374)</f>
        <v>0.5849806953</v>
      </c>
      <c r="AF280" s="2">
        <f>IFERROR(__xludf.DUMMYFUNCTION("IFERROR(ABS(R280-AVERAGE(FILTER(R280:R4348,AA280:AA4348=""Neighbor""))) / STDEV(FILTER(R280:R4348, AA280:AA4348 =""Neighbor"")), """")"),0.10173688095284943)</f>
        <v>0.101736881</v>
      </c>
    </row>
    <row r="281">
      <c r="A281" s="2" t="s">
        <v>28</v>
      </c>
      <c r="B281" s="2" t="s">
        <v>884</v>
      </c>
      <c r="C281" s="2" t="s">
        <v>1128</v>
      </c>
      <c r="D281" s="2" t="s">
        <v>1173</v>
      </c>
      <c r="E281" s="2" t="s">
        <v>1174</v>
      </c>
      <c r="F281" s="2">
        <v>44.0</v>
      </c>
      <c r="G281" s="2">
        <v>637.0</v>
      </c>
      <c r="H281" s="2" t="b">
        <v>1</v>
      </c>
      <c r="I281" s="2">
        <v>-1.0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s">
        <v>33</v>
      </c>
      <c r="O281" s="2">
        <v>20.0</v>
      </c>
      <c r="P281" s="2">
        <v>5.0</v>
      </c>
      <c r="Q281" s="2">
        <v>16.0</v>
      </c>
      <c r="R281" s="2">
        <v>0.0</v>
      </c>
      <c r="S281" s="3" t="s">
        <v>1175</v>
      </c>
      <c r="T281" s="2" t="s">
        <v>1176</v>
      </c>
      <c r="Y281" s="4" t="str">
        <f>IFERROR(__xludf.DUMMYFUNCTION("""COMPUTED_VALUE"""),"7.1561368")</f>
        <v>7.1561368</v>
      </c>
      <c r="Z281" s="4" t="str">
        <f>IFERROR(__xludf.DUMMYFUNCTION("""COMPUTED_VALUE"""),"3.3489671")</f>
        <v>3.3489671</v>
      </c>
      <c r="AA281" s="4" t="str">
        <f t="shared" si="1"/>
        <v>Not Neighbor</v>
      </c>
      <c r="AC281" s="4">
        <f>IFERROR(__xludf.DUMMYFUNCTION("IFERROR(ABS(O281-AVERAGE(FILTER(O281:O4349,AA281:AA4349=""Neighbor""))) / STDEV(FILTER(O281:O4349, AA281:AA4349 =""Neighbor"")), """")"),1.0818053450760208)</f>
        <v>1.081805345</v>
      </c>
      <c r="AD281" s="4">
        <f>IFERROR(__xludf.DUMMYFUNCTION("IFERROR(ABS(P281-AVERAGE(FILTER(O281:P4349,AA281:AA4349=""Neighbor""))) / STDEV(FILTER(P281:P4349, AA281:AA4349 =""Neighbor"")), """")"),1.4189879387048718)</f>
        <v>1.418987939</v>
      </c>
      <c r="AE281" s="2">
        <f>IFERROR(__xludf.DUMMYFUNCTION("IFERROR(ABS(Q281-AVERAGE(FILTER(Q281:Q4349,AA281:AA4349=""Neighbor""))) / STDEV(FILTER(Q281:Q4349, AA281:AA4349 =""Neighbor"")), """")"),0.3725138726180563)</f>
        <v>0.3725138726</v>
      </c>
      <c r="AF281" s="2">
        <f>IFERROR(__xludf.DUMMYFUNCTION("IFERROR(ABS(R281-AVERAGE(FILTER(R281:R4349,AA281:AA4349=""Neighbor""))) / STDEV(FILTER(R281:R4349, AA281:AA4349 =""Neighbor"")), """")"),0.10173688095284943)</f>
        <v>0.101736881</v>
      </c>
    </row>
    <row r="282">
      <c r="A282" s="2" t="s">
        <v>28</v>
      </c>
      <c r="B282" s="2" t="s">
        <v>884</v>
      </c>
      <c r="C282" s="2" t="s">
        <v>1128</v>
      </c>
      <c r="D282" s="2" t="s">
        <v>1177</v>
      </c>
      <c r="E282" s="2" t="s">
        <v>1178</v>
      </c>
      <c r="F282" s="2">
        <v>209.0</v>
      </c>
      <c r="G282" s="2">
        <v>1011.0</v>
      </c>
      <c r="H282" s="2" t="b">
        <v>1</v>
      </c>
      <c r="I282" s="2">
        <v>-1.0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s">
        <v>33</v>
      </c>
      <c r="O282" s="2">
        <v>100.0</v>
      </c>
      <c r="P282" s="2">
        <v>69.0</v>
      </c>
      <c r="Q282" s="2">
        <v>29.0</v>
      </c>
      <c r="R282" s="2">
        <v>0.0</v>
      </c>
      <c r="S282" s="3" t="s">
        <v>1179</v>
      </c>
      <c r="T282" s="2" t="s">
        <v>1180</v>
      </c>
      <c r="Y282" s="4" t="str">
        <f>IFERROR(__xludf.DUMMYFUNCTION("""COMPUTED_VALUE"""),"7.1392087")</f>
        <v>7.1392087</v>
      </c>
      <c r="Z282" s="4" t="str">
        <f>IFERROR(__xludf.DUMMYFUNCTION("""COMPUTED_VALUE"""),"3.3845647")</f>
        <v>3.3845647</v>
      </c>
      <c r="AA282" s="4" t="str">
        <f t="shared" si="1"/>
        <v>Not Neighbor</v>
      </c>
      <c r="AC282" s="4">
        <f>IFERROR(__xludf.DUMMYFUNCTION("IFERROR(ABS(O282-AVERAGE(FILTER(O282:O4350,AA282:AA4350=""Neighbor""))) / STDEV(FILTER(O282:O4350, AA282:AA4350 =""Neighbor"")), """")"),0.7735062494813484)</f>
        <v>0.7735062495</v>
      </c>
      <c r="AD282" s="4">
        <f>IFERROR(__xludf.DUMMYFUNCTION("IFERROR(ABS(P282-AVERAGE(FILTER(O282:P4350,AA282:AA4350=""Neighbor""))) / STDEV(FILTER(P282:P4350, AA282:AA4350 =""Neighbor"")), """")"),1.0527211190291557)</f>
        <v>1.052721119</v>
      </c>
      <c r="AE282" s="2">
        <f>IFERROR(__xludf.DUMMYFUNCTION("IFERROR(ABS(Q282-AVERAGE(FILTER(Q282:Q4350,AA282:AA4350=""Neighbor""))) / STDEV(FILTER(Q282:Q4350, AA282:AA4350 =""Neighbor"")), """")"),0.1798998664447949)</f>
        <v>0.1798998664</v>
      </c>
      <c r="AF282" s="2">
        <f>IFERROR(__xludf.DUMMYFUNCTION("IFERROR(ABS(R282-AVERAGE(FILTER(R282:R4350,AA282:AA4350=""Neighbor""))) / STDEV(FILTER(R282:R4350, AA282:AA4350 =""Neighbor"")), """")"),0.10173688095284943)</f>
        <v>0.101736881</v>
      </c>
    </row>
    <row r="283">
      <c r="A283" s="2" t="s">
        <v>28</v>
      </c>
      <c r="B283" s="2" t="s">
        <v>884</v>
      </c>
      <c r="C283" s="2" t="s">
        <v>1181</v>
      </c>
      <c r="D283" s="2" t="s">
        <v>1182</v>
      </c>
      <c r="E283" s="2" t="s">
        <v>1183</v>
      </c>
      <c r="F283" s="2">
        <v>147.0</v>
      </c>
      <c r="G283" s="2">
        <v>738.0</v>
      </c>
      <c r="H283" s="2" t="b">
        <v>1</v>
      </c>
      <c r="I283" s="2">
        <v>-1.0</v>
      </c>
      <c r="J283" s="2" t="b">
        <v>0</v>
      </c>
      <c r="K283" s="2" t="b">
        <v>0</v>
      </c>
      <c r="L283" s="2" t="b">
        <v>0</v>
      </c>
      <c r="M283" s="2" t="b">
        <v>0</v>
      </c>
      <c r="N283" s="2" t="s">
        <v>33</v>
      </c>
      <c r="O283" s="2">
        <v>89.0</v>
      </c>
      <c r="P283" s="2">
        <v>14.0</v>
      </c>
      <c r="Q283" s="2">
        <v>30.0</v>
      </c>
      <c r="R283" s="2">
        <v>2.0</v>
      </c>
      <c r="S283" s="3" t="s">
        <v>1184</v>
      </c>
      <c r="T283" s="2" t="s">
        <v>1185</v>
      </c>
      <c r="Y283" s="4" t="str">
        <f>IFERROR(__xludf.DUMMYFUNCTION("""COMPUTED_VALUE"""),"7.1527529")</f>
        <v>7.1527529</v>
      </c>
      <c r="Z283" s="4" t="str">
        <f>IFERROR(__xludf.DUMMYFUNCTION("""COMPUTED_VALUE"""),"3.3521161")</f>
        <v>3.3521161</v>
      </c>
      <c r="AA283" s="4" t="str">
        <f t="shared" si="1"/>
        <v>Not Neighbor</v>
      </c>
      <c r="AC283" s="4">
        <f>IFERROR(__xludf.DUMMYFUNCTION("IFERROR(ABS(O283-AVERAGE(FILTER(O283:O4351,AA283:AA4351=""Neighbor""))) / STDEV(FILTER(O283:O4351, AA283:AA4351 =""Neighbor"")), """")"),0.5184009052297102)</f>
        <v>0.5184009052</v>
      </c>
      <c r="AD283" s="4">
        <f>IFERROR(__xludf.DUMMYFUNCTION("IFERROR(ABS(P283-AVERAGE(FILTER(O283:P4351,AA283:AA4351=""Neighbor""))) / STDEV(FILTER(P283:P4351, AA283:AA4351 =""Neighbor"")), """")"),1.0714038524610243)</f>
        <v>1.071403852</v>
      </c>
      <c r="AE283" s="2">
        <f>IFERROR(__xludf.DUMMYFUNCTION("IFERROR(ABS(Q283-AVERAGE(FILTER(Q283:Q4351,AA283:AA4351=""Neighbor""))) / STDEV(FILTER(Q283:Q4351, AA283:AA4351 =""Neighbor"")), """")"),0.22239323098809113)</f>
        <v>0.222393231</v>
      </c>
      <c r="AF283" s="2">
        <f>IFERROR(__xludf.DUMMYFUNCTION("IFERROR(ABS(R283-AVERAGE(FILTER(R283:R4351,AA283:AA4351=""Neighbor""))) / STDEV(FILTER(R283:R4351, AA283:AA4351 =""Neighbor"")), """")"),0.28641014322047786)</f>
        <v>0.2864101432</v>
      </c>
    </row>
    <row r="284">
      <c r="A284" s="2" t="s">
        <v>28</v>
      </c>
      <c r="B284" s="2" t="s">
        <v>884</v>
      </c>
      <c r="C284" s="2" t="s">
        <v>1181</v>
      </c>
      <c r="D284" s="2" t="s">
        <v>1186</v>
      </c>
      <c r="E284" s="2" t="s">
        <v>1187</v>
      </c>
      <c r="F284" s="2">
        <v>102.0</v>
      </c>
      <c r="G284" s="2">
        <v>502.0</v>
      </c>
      <c r="H284" s="2" t="b">
        <v>1</v>
      </c>
      <c r="I284" s="2">
        <v>-1.0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s">
        <v>33</v>
      </c>
      <c r="O284" s="2">
        <v>66.0</v>
      </c>
      <c r="P284" s="2">
        <v>5.0</v>
      </c>
      <c r="Q284" s="2">
        <v>20.0</v>
      </c>
      <c r="R284" s="2">
        <v>0.0</v>
      </c>
      <c r="S284" s="3" t="s">
        <v>1188</v>
      </c>
      <c r="T284" s="2" t="s">
        <v>1189</v>
      </c>
      <c r="Y284" s="4" t="str">
        <f>IFERROR(__xludf.DUMMYFUNCTION("""COMPUTED_VALUE"""),"7.1599596")</f>
        <v>7.1599596</v>
      </c>
      <c r="Z284" s="4" t="str">
        <f>IFERROR(__xludf.DUMMYFUNCTION("""COMPUTED_VALUE"""),"3.3663031")</f>
        <v>3.3663031</v>
      </c>
      <c r="AA284" s="4" t="str">
        <f t="shared" si="1"/>
        <v>Not Neighbor</v>
      </c>
      <c r="AC284" s="4">
        <f>IFERROR(__xludf.DUMMYFUNCTION("IFERROR(ABS(O284-AVERAGE(FILTER(O284:O4352,AA284:AA4352=""Neighbor""))) / STDEV(FILTER(O284:O4352, AA284:AA4352 =""Neighbor"")), """")"),0.015001178205533532)</f>
        <v>0.01500117821</v>
      </c>
      <c r="AD284" s="4">
        <f>IFERROR(__xludf.DUMMYFUNCTION("IFERROR(ABS(P284-AVERAGE(FILTER(O284:P4352,AA284:AA4352=""Neighbor""))) / STDEV(FILTER(P284:P4352, AA284:AA4352 =""Neighbor"")), """")"),1.4189879387048718)</f>
        <v>1.418987939</v>
      </c>
      <c r="AE284" s="2">
        <f>IFERROR(__xludf.DUMMYFUNCTION("IFERROR(ABS(Q284-AVERAGE(FILTER(Q284:Q4352,AA284:AA4352=""Neighbor""))) / STDEV(FILTER(Q284:Q4352, AA284:AA4352 =""Neighbor"")), """")"),0.2025404144448713)</f>
        <v>0.2025404144</v>
      </c>
      <c r="AF284" s="2">
        <f>IFERROR(__xludf.DUMMYFUNCTION("IFERROR(ABS(R284-AVERAGE(FILTER(R284:R4352,AA284:AA4352=""Neighbor""))) / STDEV(FILTER(R284:R4352, AA284:AA4352 =""Neighbor"")), """")"),0.10173688095284943)</f>
        <v>0.101736881</v>
      </c>
    </row>
    <row r="285">
      <c r="A285" s="2" t="s">
        <v>28</v>
      </c>
      <c r="B285" s="2" t="s">
        <v>884</v>
      </c>
      <c r="C285" s="2" t="s">
        <v>1181</v>
      </c>
      <c r="D285" s="2" t="s">
        <v>1190</v>
      </c>
      <c r="E285" s="2" t="s">
        <v>1191</v>
      </c>
      <c r="F285" s="2">
        <v>103.0</v>
      </c>
      <c r="G285" s="2">
        <v>532.0</v>
      </c>
      <c r="H285" s="2" t="b">
        <v>1</v>
      </c>
      <c r="I285" s="2">
        <v>-1.0</v>
      </c>
      <c r="J285" s="2" t="b">
        <v>0</v>
      </c>
      <c r="K285" s="2" t="b">
        <v>0</v>
      </c>
      <c r="L285" s="2" t="b">
        <v>0</v>
      </c>
      <c r="M285" s="2" t="b">
        <v>0</v>
      </c>
      <c r="N285" s="2" t="s">
        <v>33</v>
      </c>
      <c r="O285" s="2">
        <v>64.0</v>
      </c>
      <c r="P285" s="2">
        <v>1.0</v>
      </c>
      <c r="Q285" s="2">
        <v>17.0</v>
      </c>
      <c r="R285" s="2">
        <v>0.0</v>
      </c>
      <c r="S285" s="3" t="s">
        <v>1192</v>
      </c>
      <c r="T285" s="2" t="s">
        <v>1193</v>
      </c>
      <c r="Y285" s="4" t="str">
        <f>IFERROR(__xludf.DUMMYFUNCTION("""COMPUTED_VALUE"""),"7.1563365")</f>
        <v>7.1563365</v>
      </c>
      <c r="Z285" s="4" t="str">
        <f>IFERROR(__xludf.DUMMYFUNCTION("""COMPUTED_VALUE"""),"3.3541775")</f>
        <v>3.3541775</v>
      </c>
      <c r="AA285" s="4" t="str">
        <f t="shared" si="1"/>
        <v>Neighbor</v>
      </c>
      <c r="AC285" s="4">
        <f>IFERROR(__xludf.DUMMYFUNCTION("IFERROR(ABS(O285-AVERAGE(FILTER(O285:O4353,AA285:AA4353=""Neighbor""))) / STDEV(FILTER(O285:O4353, AA285:AA4353 =""Neighbor"")), """")"),0.06138396806946776)</f>
        <v>0.06138396807</v>
      </c>
      <c r="AD285" s="4">
        <f>IFERROR(__xludf.DUMMYFUNCTION("IFERROR(ABS(P285-AVERAGE(FILTER(O285:P4353,AA285:AA4353=""Neighbor""))) / STDEV(FILTER(P285:P4353, AA285:AA4353 =""Neighbor"")), """")"),1.5734697548132486)</f>
        <v>1.573469755</v>
      </c>
      <c r="AE285" s="2">
        <f>IFERROR(__xludf.DUMMYFUNCTION("IFERROR(ABS(Q285-AVERAGE(FILTER(Q285:Q4353,AA285:AA4353=""Neighbor""))) / STDEV(FILTER(Q285:Q4353, AA285:AA4353 =""Neighbor"")), """")"),0.33002050807476)</f>
        <v>0.3300205081</v>
      </c>
      <c r="AF285" s="2">
        <f>IFERROR(__xludf.DUMMYFUNCTION("IFERROR(ABS(R285-AVERAGE(FILTER(R285:R4353,AA285:AA4353=""Neighbor""))) / STDEV(FILTER(R285:R4353, AA285:AA4353 =""Neighbor"")), """")"),0.10173688095284943)</f>
        <v>0.101736881</v>
      </c>
    </row>
    <row r="286">
      <c r="A286" s="2" t="s">
        <v>28</v>
      </c>
      <c r="B286" s="2" t="s">
        <v>884</v>
      </c>
      <c r="C286" s="2" t="s">
        <v>1181</v>
      </c>
      <c r="D286" s="2" t="s">
        <v>1194</v>
      </c>
      <c r="E286" s="2" t="s">
        <v>1195</v>
      </c>
      <c r="F286" s="2">
        <v>95.0</v>
      </c>
      <c r="G286" s="2">
        <v>423.0</v>
      </c>
      <c r="H286" s="2" t="b">
        <v>1</v>
      </c>
      <c r="I286" s="2">
        <v>-1.0</v>
      </c>
      <c r="J286" s="2" t="b">
        <v>0</v>
      </c>
      <c r="K286" s="2" t="b">
        <v>1</v>
      </c>
      <c r="L286" s="2" t="b">
        <v>0</v>
      </c>
      <c r="M286" s="2" t="b">
        <v>0</v>
      </c>
      <c r="N286" s="2" t="s">
        <v>33</v>
      </c>
      <c r="O286" s="2">
        <v>0.0</v>
      </c>
      <c r="P286" s="2">
        <v>0.0</v>
      </c>
      <c r="Q286" s="2">
        <v>0.0</v>
      </c>
      <c r="R286" s="2">
        <v>0.0</v>
      </c>
      <c r="S286" s="3" t="s">
        <v>1196</v>
      </c>
      <c r="T286" s="2" t="s">
        <v>1197</v>
      </c>
      <c r="Y286" s="4" t="str">
        <f>IFERROR(__xludf.DUMMYFUNCTION("""COMPUTED_VALUE"""),"7.1527529")</f>
        <v>7.1527529</v>
      </c>
      <c r="Z286" s="4" t="str">
        <f>IFERROR(__xludf.DUMMYFUNCTION("""COMPUTED_VALUE"""),"3.3521161")</f>
        <v>3.3521161</v>
      </c>
      <c r="AA286" s="4" t="str">
        <f t="shared" si="1"/>
        <v>Neighbor</v>
      </c>
      <c r="AC286" s="4">
        <f>IFERROR(__xludf.DUMMYFUNCTION("IFERROR(ABS(O286-AVERAGE(FILTER(O286:O4354,AA286:AA4354=""Neighbor""))) / STDEV(FILTER(O286:O4354, AA286:AA4354 =""Neighbor"")), """")"),1.5451984847475273)</f>
        <v>1.545198485</v>
      </c>
      <c r="AD286" s="4">
        <f>IFERROR(__xludf.DUMMYFUNCTION("IFERROR(ABS(P286-AVERAGE(FILTER(O286:P4354,AA286:AA4354=""Neighbor""))) / STDEV(FILTER(P286:P4354, AA286:AA4354 =""Neighbor"")), """")"),1.6119996356112485)</f>
        <v>1.611999636</v>
      </c>
      <c r="AE286" s="2">
        <f>IFERROR(__xludf.DUMMYFUNCTION("IFERROR(ABS(Q286-AVERAGE(FILTER(Q286:Q4354,AA286:AA4354=""Neighbor""))) / STDEV(FILTER(Q286:Q4354, AA286:AA4354 =""Neighbor"")), """")"),1.0523224150462518)</f>
        <v>1.052322415</v>
      </c>
      <c r="AF286" s="2">
        <f>IFERROR(__xludf.DUMMYFUNCTION("IFERROR(ABS(R286-AVERAGE(FILTER(R286:R4354,AA286:AA4354=""Neighbor""))) / STDEV(FILTER(R286:R4354, AA286:AA4354 =""Neighbor"")), """")"),0.10176838795843535)</f>
        <v>0.101768388</v>
      </c>
    </row>
    <row r="287">
      <c r="A287" s="2" t="s">
        <v>28</v>
      </c>
      <c r="B287" s="2" t="s">
        <v>884</v>
      </c>
      <c r="C287" s="2" t="s">
        <v>1181</v>
      </c>
      <c r="D287" s="2" t="s">
        <v>1198</v>
      </c>
      <c r="E287" s="2" t="s">
        <v>1199</v>
      </c>
      <c r="F287" s="2">
        <v>103.0</v>
      </c>
      <c r="G287" s="2">
        <v>559.0</v>
      </c>
      <c r="H287" s="2" t="b">
        <v>1</v>
      </c>
      <c r="I287" s="2">
        <v>-1.0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s">
        <v>33</v>
      </c>
      <c r="O287" s="2">
        <v>80.0</v>
      </c>
      <c r="P287" s="2">
        <v>2.0</v>
      </c>
      <c r="Q287" s="2">
        <v>13.0</v>
      </c>
      <c r="R287" s="2">
        <v>0.0</v>
      </c>
      <c r="S287" s="3" t="s">
        <v>1200</v>
      </c>
      <c r="T287" s="2" t="s">
        <v>1201</v>
      </c>
      <c r="Y287" s="4" t="str">
        <f>IFERROR(__xludf.DUMMYFUNCTION("""COMPUTED_VALUE"""),"7.1538003")</f>
        <v>7.1538003</v>
      </c>
      <c r="Z287" s="4" t="str">
        <f>IFERROR(__xludf.DUMMYFUNCTION("""COMPUTED_VALUE"""),"3.3541725")</f>
        <v>3.3541725</v>
      </c>
      <c r="AA287" s="4" t="str">
        <f t="shared" si="1"/>
        <v>Neighbor</v>
      </c>
      <c r="AC287" s="4">
        <f>IFERROR(__xludf.DUMMYFUNCTION("IFERROR(ABS(O287-AVERAGE(FILTER(O287:O4355,AA287:AA4355=""Neighbor""))) / STDEV(FILTER(O287:O4355, AA287:AA4355 =""Neighbor"")), """")"),0.30872923807855)</f>
        <v>0.3087292381</v>
      </c>
      <c r="AD287" s="4">
        <f>IFERROR(__xludf.DUMMYFUNCTION("IFERROR(ABS(P287-AVERAGE(FILTER(O287:P4355,AA287:AA4355=""Neighbor""))) / STDEV(FILTER(P287:P4355, AA287:AA4355 =""Neighbor"")), """")"),1.5354912315740017)</f>
        <v>1.535491232</v>
      </c>
      <c r="AE287" s="2">
        <f>IFERROR(__xludf.DUMMYFUNCTION("IFERROR(ABS(Q287-AVERAGE(FILTER(Q287:Q4355,AA287:AA4355=""Neighbor""))) / STDEV(FILTER(Q287:Q4355, AA287:AA4355 =""Neighbor"")), """")"),0.5007223033051486)</f>
        <v>0.5007223033</v>
      </c>
      <c r="AF287" s="2">
        <f>IFERROR(__xludf.DUMMYFUNCTION("IFERROR(ABS(R287-AVERAGE(FILTER(R287:R4355,AA287:AA4355=""Neighbor""))) / STDEV(FILTER(R287:R4355, AA287:AA4355 =""Neighbor"")), """")"),0.10179992425470984)</f>
        <v>0.1017999243</v>
      </c>
    </row>
    <row r="288">
      <c r="A288" s="2" t="s">
        <v>28</v>
      </c>
      <c r="B288" s="2" t="s">
        <v>884</v>
      </c>
      <c r="C288" s="2" t="s">
        <v>1181</v>
      </c>
      <c r="D288" s="2" t="s">
        <v>1202</v>
      </c>
      <c r="E288" s="2" t="s">
        <v>1203</v>
      </c>
      <c r="F288" s="2">
        <v>132.0</v>
      </c>
      <c r="G288" s="2">
        <v>720.0</v>
      </c>
      <c r="H288" s="2" t="b">
        <v>1</v>
      </c>
      <c r="I288" s="2">
        <v>-1.0</v>
      </c>
      <c r="J288" s="2" t="b">
        <v>0</v>
      </c>
      <c r="K288" s="2" t="b">
        <v>0</v>
      </c>
      <c r="L288" s="2" t="b">
        <v>0</v>
      </c>
      <c r="M288" s="2" t="b">
        <v>0</v>
      </c>
      <c r="N288" s="2" t="s">
        <v>33</v>
      </c>
      <c r="O288" s="2">
        <v>81.0</v>
      </c>
      <c r="P288" s="2">
        <v>8.0</v>
      </c>
      <c r="Q288" s="2">
        <v>23.0</v>
      </c>
      <c r="R288" s="2">
        <v>1.0</v>
      </c>
      <c r="S288" s="3" t="s">
        <v>1204</v>
      </c>
      <c r="T288" s="2" t="s">
        <v>1205</v>
      </c>
      <c r="Y288" s="4" t="str">
        <f>IFERROR(__xludf.DUMMYFUNCTION("""COMPUTED_VALUE"""),"7.1577015")</f>
        <v>7.1577015</v>
      </c>
      <c r="Z288" s="4" t="str">
        <f>IFERROR(__xludf.DUMMYFUNCTION("""COMPUTED_VALUE"""),"3.356879")</f>
        <v>3.356879</v>
      </c>
      <c r="AA288" s="4" t="str">
        <f t="shared" si="1"/>
        <v>Not Neighbor</v>
      </c>
      <c r="AC288" s="4">
        <f>IFERROR(__xludf.DUMMYFUNCTION("IFERROR(ABS(O288-AVERAGE(FILTER(O288:O4356,AA288:AA4356=""Neighbor""))) / STDEV(FILTER(O288:O4356, AA288:AA4356 =""Neighbor"")), """")"),0.332020788808468)</f>
        <v>0.3320207888</v>
      </c>
      <c r="AD288" s="4">
        <f>IFERROR(__xludf.DUMMYFUNCTION("IFERROR(ABS(P288-AVERAGE(FILTER(O288:P4356,AA288:AA4356=""Neighbor""))) / STDEV(FILTER(P288:P4356, AA288:AA4356 =""Neighbor"")), """")"),1.3036036356044616)</f>
        <v>1.303603636</v>
      </c>
      <c r="AE288" s="2">
        <f>IFERROR(__xludf.DUMMYFUNCTION("IFERROR(ABS(Q288-AVERAGE(FILTER(Q288:Q4356,AA288:AA4356=""Neighbor""))) / STDEV(FILTER(Q288:Q4356, AA288:AA4356 =""Neighbor"")), """")"),0.07618075705907355)</f>
        <v>0.07618075706</v>
      </c>
      <c r="AF288" s="2">
        <f>IFERROR(__xludf.DUMMYFUNCTION("IFERROR(ABS(R288-AVERAGE(FILTER(R288:R4356,AA288:AA4356=""Neighbor""))) / STDEV(FILTER(R288:R4356, AA288:AA4356 =""Neighbor"")), """")"),0.09206519495054613)</f>
        <v>0.09206519495</v>
      </c>
    </row>
    <row r="289">
      <c r="A289" s="2" t="s">
        <v>28</v>
      </c>
      <c r="B289" s="2" t="s">
        <v>884</v>
      </c>
      <c r="C289" s="2" t="s">
        <v>1181</v>
      </c>
      <c r="D289" s="2" t="s">
        <v>1206</v>
      </c>
      <c r="E289" s="2" t="s">
        <v>1207</v>
      </c>
      <c r="F289" s="2">
        <v>108.0</v>
      </c>
      <c r="G289" s="2">
        <v>761.0</v>
      </c>
      <c r="H289" s="2" t="b">
        <v>1</v>
      </c>
      <c r="I289" s="2">
        <v>-1.0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s">
        <v>33</v>
      </c>
      <c r="O289" s="2">
        <v>64.0</v>
      </c>
      <c r="P289" s="2">
        <v>14.0</v>
      </c>
      <c r="Q289" s="2">
        <v>17.0</v>
      </c>
      <c r="R289" s="2">
        <v>0.0</v>
      </c>
      <c r="S289" s="3" t="s">
        <v>1208</v>
      </c>
      <c r="T289" s="2" t="s">
        <v>1209</v>
      </c>
      <c r="Y289" s="4" t="str">
        <f>IFERROR(__xludf.DUMMYFUNCTION("""COMPUTED_VALUE"""),"7.147502")</f>
        <v>7.147502</v>
      </c>
      <c r="Z289" s="4" t="str">
        <f>IFERROR(__xludf.DUMMYFUNCTION("""COMPUTED_VALUE"""),"3.3619356")</f>
        <v>3.3619356</v>
      </c>
      <c r="AA289" s="4" t="str">
        <f t="shared" si="1"/>
        <v>Neighbor</v>
      </c>
      <c r="AC289" s="4">
        <f>IFERROR(__xludf.DUMMYFUNCTION("IFERROR(ABS(O289-AVERAGE(FILTER(O289:O4357,AA289:AA4357=""Neighbor""))) / STDEV(FILTER(O289:O4357, AA289:AA4357 =""Neighbor"")), """")"),0.06217110991158503)</f>
        <v>0.06217110991</v>
      </c>
      <c r="AD289" s="4">
        <f>IFERROR(__xludf.DUMMYFUNCTION("IFERROR(ABS(P289-AVERAGE(FILTER(O289:P4357,AA289:AA4357=""Neighbor""))) / STDEV(FILTER(P289:P4357, AA289:AA4357 =""Neighbor"")), """")"),1.0720141530763507)</f>
        <v>1.072014153</v>
      </c>
      <c r="AE289" s="2">
        <f>IFERROR(__xludf.DUMMYFUNCTION("IFERROR(ABS(Q289-AVERAGE(FILTER(Q289:Q4357,AA289:AA4357=""Neighbor""))) / STDEV(FILTER(Q289:Q4357, AA289:AA4357 =""Neighbor"")), """")"),0.331021043001892)</f>
        <v>0.331021043</v>
      </c>
      <c r="AF289" s="2">
        <f>IFERROR(__xludf.DUMMYFUNCTION("IFERROR(ABS(R289-AVERAGE(FILTER(R289:R4357,AA289:AA4357=""Neighbor""))) / STDEV(FILTER(R289:R4357, AA289:AA4357 =""Neighbor"")), """")"),0.10183148988708529)</f>
        <v>0.1018314899</v>
      </c>
    </row>
    <row r="290">
      <c r="A290" s="2" t="s">
        <v>28</v>
      </c>
      <c r="B290" s="2" t="s">
        <v>884</v>
      </c>
      <c r="C290" s="2" t="s">
        <v>1181</v>
      </c>
      <c r="D290" s="2" t="s">
        <v>1210</v>
      </c>
      <c r="E290" s="2" t="s">
        <v>1211</v>
      </c>
      <c r="F290" s="2">
        <v>129.0</v>
      </c>
      <c r="G290" s="2">
        <v>618.0</v>
      </c>
      <c r="H290" s="2" t="b">
        <v>1</v>
      </c>
      <c r="I290" s="2">
        <v>-1.0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s">
        <v>33</v>
      </c>
      <c r="O290" s="2">
        <v>0.0</v>
      </c>
      <c r="P290" s="2">
        <v>0.0</v>
      </c>
      <c r="Q290" s="2">
        <v>0.0</v>
      </c>
      <c r="R290" s="2">
        <v>0.0</v>
      </c>
      <c r="S290" s="3" t="s">
        <v>1212</v>
      </c>
      <c r="T290" s="2" t="s">
        <v>1213</v>
      </c>
      <c r="Y290" s="4" t="str">
        <f>IFERROR(__xludf.DUMMYFUNCTION("""COMPUTED_VALUE"""),"7.1527529")</f>
        <v>7.1527529</v>
      </c>
      <c r="Z290" s="4" t="str">
        <f>IFERROR(__xludf.DUMMYFUNCTION("""COMPUTED_VALUE"""),"3.3521161")</f>
        <v>3.3521161</v>
      </c>
      <c r="AA290" s="4" t="str">
        <f t="shared" si="1"/>
        <v>Neighbor</v>
      </c>
      <c r="AC290" s="4">
        <f>IFERROR(__xludf.DUMMYFUNCTION("IFERROR(ABS(O290-AVERAGE(FILTER(O290:O4358,AA290:AA4358=""Neighbor""))) / STDEV(FILTER(O290:O4358, AA290:AA4358 =""Neighbor"")), """")"),1.5457524691433782)</f>
        <v>1.545752469</v>
      </c>
      <c r="AD290" s="4">
        <f>IFERROR(__xludf.DUMMYFUNCTION("IFERROR(ABS(P290-AVERAGE(FILTER(O290:P4358,AA290:AA4358=""Neighbor""))) / STDEV(FILTER(P290:P4358, AA290:AA4358 =""Neighbor"")), """")"),1.611965873016164)</f>
        <v>1.611965873</v>
      </c>
      <c r="AE290" s="2">
        <f>IFERROR(__xludf.DUMMYFUNCTION("IFERROR(ABS(Q290-AVERAGE(FILTER(Q290:Q4358,AA290:AA4358=""Neighbor""))) / STDEV(FILTER(Q290:Q4358, AA290:AA4358 =""Neighbor"")), """")"),1.0529837201160224)</f>
        <v>1.05298372</v>
      </c>
      <c r="AF290" s="2">
        <f>IFERROR(__xludf.DUMMYFUNCTION("IFERROR(ABS(R290-AVERAGE(FILTER(R290:R4358,AA290:AA4358=""Neighbor""))) / STDEV(FILTER(R290:R4358, AA290:AA4358 =""Neighbor"")), """")"),0.10186308490107254)</f>
        <v>0.1018630849</v>
      </c>
    </row>
    <row r="291">
      <c r="A291" s="2" t="s">
        <v>28</v>
      </c>
      <c r="B291" s="2" t="s">
        <v>884</v>
      </c>
      <c r="C291" s="2" t="s">
        <v>1181</v>
      </c>
      <c r="D291" s="2" t="s">
        <v>1214</v>
      </c>
      <c r="E291" s="2" t="s">
        <v>1215</v>
      </c>
      <c r="F291" s="2">
        <v>141.0</v>
      </c>
      <c r="G291" s="2">
        <v>633.0</v>
      </c>
      <c r="H291" s="2" t="b">
        <v>1</v>
      </c>
      <c r="I291" s="2">
        <v>-1.0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s">
        <v>33</v>
      </c>
      <c r="O291" s="2">
        <v>74.0</v>
      </c>
      <c r="P291" s="2">
        <v>3.0</v>
      </c>
      <c r="Q291" s="2">
        <v>52.0</v>
      </c>
      <c r="R291" s="2">
        <v>0.0</v>
      </c>
      <c r="S291" s="3" t="s">
        <v>1216</v>
      </c>
      <c r="T291" s="2" t="s">
        <v>1217</v>
      </c>
      <c r="Y291" s="4" t="str">
        <f>IFERROR(__xludf.DUMMYFUNCTION("""COMPUTED_VALUE"""),"7.1601978")</f>
        <v>7.1601978</v>
      </c>
      <c r="Z291" s="4" t="str">
        <f>IFERROR(__xludf.DUMMYFUNCTION("""COMPUTED_VALUE"""),"3.3451886")</f>
        <v>3.3451886</v>
      </c>
      <c r="AA291" s="4" t="str">
        <f t="shared" si="1"/>
        <v>Neighbor</v>
      </c>
      <c r="AC291" s="4">
        <f>IFERROR(__xludf.DUMMYFUNCTION("IFERROR(ABS(O291-AVERAGE(FILTER(O291:O4359,AA291:AA4359=""Neighbor""))) / STDEV(FILTER(O291:O4359, AA291:AA4359 =""Neighbor"")), """")"),0.16873789626308064)</f>
        <v>0.1687378963</v>
      </c>
      <c r="AD291" s="4">
        <f>IFERROR(__xludf.DUMMYFUNCTION("IFERROR(ABS(P291-AVERAGE(FILTER(O291:P4359,AA291:AA4359=""Neighbor""))) / STDEV(FILTER(P291:P4359, AA291:AA4359 =""Neighbor"")), """")"),1.4969323284842007)</f>
        <v>1.496932328</v>
      </c>
      <c r="AE291" s="2">
        <f>IFERROR(__xludf.DUMMYFUNCTION("IFERROR(ABS(Q291-AVERAGE(FILTER(Q291:Q4359,AA291:AA4359=""Neighbor""))) / STDEV(FILTER(Q291:Q4359, AA291:AA4359 =""Neighbor"")), """")"),1.1544189365051567)</f>
        <v>1.154418937</v>
      </c>
      <c r="AF291" s="2">
        <f>IFERROR(__xludf.DUMMYFUNCTION("IFERROR(ABS(R291-AVERAGE(FILTER(R291:R4359,AA291:AA4359=""Neighbor""))) / STDEV(FILTER(R291:R4359, AA291:AA4359 =""Neighbor"")), """")"),0.10189470934228148)</f>
        <v>0.1018947093</v>
      </c>
    </row>
    <row r="292">
      <c r="A292" s="2" t="s">
        <v>28</v>
      </c>
      <c r="B292" s="2" t="s">
        <v>884</v>
      </c>
      <c r="C292" s="2" t="s">
        <v>1181</v>
      </c>
      <c r="D292" s="2" t="s">
        <v>1218</v>
      </c>
      <c r="E292" s="2" t="s">
        <v>1219</v>
      </c>
      <c r="F292" s="2">
        <v>164.0</v>
      </c>
      <c r="G292" s="2">
        <v>936.0</v>
      </c>
      <c r="H292" s="2" t="b">
        <v>1</v>
      </c>
      <c r="I292" s="2">
        <v>-1.0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s">
        <v>33</v>
      </c>
      <c r="O292" s="2">
        <v>97.0</v>
      </c>
      <c r="P292" s="2">
        <v>81.0</v>
      </c>
      <c r="Q292" s="2">
        <v>23.0</v>
      </c>
      <c r="R292" s="2">
        <v>1.0</v>
      </c>
      <c r="S292" s="3" t="s">
        <v>1220</v>
      </c>
      <c r="T292" s="2" t="s">
        <v>1221</v>
      </c>
      <c r="Y292" s="4" t="str">
        <f>IFERROR(__xludf.DUMMYFUNCTION("""COMPUTED_VALUE"""),"7.1527529")</f>
        <v>7.1527529</v>
      </c>
      <c r="Z292" s="4" t="str">
        <f>IFERROR(__xludf.DUMMYFUNCTION("""COMPUTED_VALUE"""),"3.3521161")</f>
        <v>3.3521161</v>
      </c>
      <c r="AA292" s="4" t="str">
        <f t="shared" si="1"/>
        <v>Neighbor</v>
      </c>
      <c r="AC292" s="4">
        <f>IFERROR(__xludf.DUMMYFUNCTION("IFERROR(ABS(O292-AVERAGE(FILTER(O292:O4360,AA292:AA4360=""Neighbor""))) / STDEV(FILTER(O292:O4360, AA292:AA4360 =""Neighbor"")), """")"),0.7020152573425722)</f>
        <v>0.7020152573</v>
      </c>
      <c r="AD292" s="4">
        <f>IFERROR(__xludf.DUMMYFUNCTION("IFERROR(ABS(P292-AVERAGE(FILTER(O292:P4360,AA292:AA4360=""Neighbor""))) / STDEV(FILTER(P292:P4360, AA292:AA4360 =""Neighbor"")), """")"),1.5118732424872063)</f>
        <v>1.511873242</v>
      </c>
      <c r="AE292" s="2">
        <f>IFERROR(__xludf.DUMMYFUNCTION("IFERROR(ABS(Q292-AVERAGE(FILTER(Q292:Q4360,AA292:AA4360=""Neighbor""))) / STDEV(FILTER(Q292:Q4360, AA292:AA4360 =""Neighbor"")), """")"),0.07631091699631048)</f>
        <v>0.076310917</v>
      </c>
      <c r="AF292" s="2">
        <f>IFERROR(__xludf.DUMMYFUNCTION("IFERROR(ABS(R292-AVERAGE(FILTER(R292:R4360,AA292:AA4360=""Neighbor""))) / STDEV(FILTER(R292:R4360, AA292:AA4360 =""Neighbor"")), """")"),0.09179333299116299)</f>
        <v>0.09179333299</v>
      </c>
    </row>
    <row r="293">
      <c r="A293" s="2" t="s">
        <v>28</v>
      </c>
      <c r="B293" s="2" t="s">
        <v>884</v>
      </c>
      <c r="C293" s="2" t="s">
        <v>1181</v>
      </c>
      <c r="D293" s="2" t="s">
        <v>1222</v>
      </c>
      <c r="E293" s="2" t="s">
        <v>1223</v>
      </c>
      <c r="F293" s="2">
        <v>108.0</v>
      </c>
      <c r="G293" s="2">
        <v>667.0</v>
      </c>
      <c r="H293" s="2" t="b">
        <v>1</v>
      </c>
      <c r="I293" s="2">
        <v>-1.0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s">
        <v>33</v>
      </c>
      <c r="O293" s="2">
        <v>0.0</v>
      </c>
      <c r="P293" s="2">
        <v>0.0</v>
      </c>
      <c r="Q293" s="2">
        <v>0.0</v>
      </c>
      <c r="R293" s="2">
        <v>0.0</v>
      </c>
      <c r="S293" s="3" t="s">
        <v>1224</v>
      </c>
      <c r="T293" s="2" t="s">
        <v>1225</v>
      </c>
      <c r="Y293" s="4" t="str">
        <f>IFERROR(__xludf.DUMMYFUNCTION("""COMPUTED_VALUE"""),"7.1527529")</f>
        <v>7.1527529</v>
      </c>
      <c r="Z293" s="4" t="str">
        <f>IFERROR(__xludf.DUMMYFUNCTION("""COMPUTED_VALUE"""),"3.3521161")</f>
        <v>3.3521161</v>
      </c>
      <c r="AA293" s="4" t="str">
        <f t="shared" si="1"/>
        <v>Neighbor</v>
      </c>
      <c r="AC293" s="4">
        <f>IFERROR(__xludf.DUMMYFUNCTION("IFERROR(ABS(O293-AVERAGE(FILTER(O293:O4361,AA293:AA4361=""Neighbor""))) / STDEV(FILTER(O293:O4361, AA293:AA4361 =""Neighbor"")), """")"),1.546125324087754)</f>
        <v>1.546125324</v>
      </c>
      <c r="AD293" s="4">
        <f>IFERROR(__xludf.DUMMYFUNCTION("IFERROR(ABS(P293-AVERAGE(FILTER(O293:P4361,AA293:AA4361=""Neighbor""))) / STDEV(FILTER(P293:P4361, AA293:AA4361 =""Neighbor"")), """")"),1.613821919217002)</f>
        <v>1.613821919</v>
      </c>
      <c r="AE293" s="2">
        <f>IFERROR(__xludf.DUMMYFUNCTION("IFERROR(ABS(Q293-AVERAGE(FILTER(Q293:Q4361,AA293:AA4361=""Neighbor""))) / STDEV(FILTER(Q293:Q4361, AA293:AA4361 =""Neighbor"")), """")"),1.0527891151018054)</f>
        <v>1.052789115</v>
      </c>
      <c r="AF293" s="2">
        <f>IFERROR(__xludf.DUMMYFUNCTION("IFERROR(ABS(R293-AVERAGE(FILTER(R293:R4361,AA293:AA4361=""Neighbor""))) / STDEV(FILTER(R293:R4361, AA293:AA4361 =""Neighbor"")), """")"),0.10183873592615664)</f>
        <v>0.1018387359</v>
      </c>
    </row>
    <row r="294">
      <c r="A294" s="2" t="s">
        <v>28</v>
      </c>
      <c r="B294" s="2" t="s">
        <v>884</v>
      </c>
      <c r="C294" s="2" t="s">
        <v>1181</v>
      </c>
      <c r="D294" s="2" t="s">
        <v>1226</v>
      </c>
      <c r="E294" s="2" t="s">
        <v>1227</v>
      </c>
      <c r="F294" s="2">
        <v>71.0</v>
      </c>
      <c r="G294" s="2">
        <v>413.0</v>
      </c>
      <c r="H294" s="2" t="b">
        <v>1</v>
      </c>
      <c r="I294" s="2">
        <v>-1.0</v>
      </c>
      <c r="J294" s="2" t="b">
        <v>0</v>
      </c>
      <c r="K294" s="2" t="b">
        <v>1</v>
      </c>
      <c r="L294" s="2" t="b">
        <v>0</v>
      </c>
      <c r="M294" s="2" t="b">
        <v>0</v>
      </c>
      <c r="N294" s="2" t="s">
        <v>33</v>
      </c>
      <c r="O294" s="2">
        <v>35.0</v>
      </c>
      <c r="P294" s="2">
        <v>18.0</v>
      </c>
      <c r="Q294" s="2">
        <v>16.0</v>
      </c>
      <c r="R294" s="2">
        <v>0.0</v>
      </c>
      <c r="S294" s="3" t="s">
        <v>1228</v>
      </c>
      <c r="T294" s="2" t="s">
        <v>1229</v>
      </c>
      <c r="Y294" s="4" t="str">
        <f>IFERROR(__xludf.DUMMYFUNCTION("""COMPUTED_VALUE"""),"7.1527529")</f>
        <v>7.1527529</v>
      </c>
      <c r="Z294" s="4" t="str">
        <f>IFERROR(__xludf.DUMMYFUNCTION("""COMPUTED_VALUE"""),"3.3521161")</f>
        <v>3.3521161</v>
      </c>
      <c r="AA294" s="4" t="str">
        <f t="shared" si="1"/>
        <v>Neighbor</v>
      </c>
      <c r="AC294" s="4">
        <f>IFERROR(__xludf.DUMMYFUNCTION("IFERROR(ABS(O294-AVERAGE(FILTER(O294:O4362,AA294:AA4362=""Neighbor""))) / STDEV(FILTER(O294:O4362, AA294:AA4362 =""Neighbor"")), """")"),0.7360927257217124)</f>
        <v>0.7360927257</v>
      </c>
      <c r="AD294" s="4">
        <f>IFERROR(__xludf.DUMMYFUNCTION("IFERROR(ABS(P294-AVERAGE(FILTER(O294:P4362,AA294:AA4362=""Neighbor""))) / STDEV(FILTER(P294:P4362, AA294:AA4362 =""Neighbor"")), """")"),0.919273490439903)</f>
        <v>0.9192734904</v>
      </c>
      <c r="AE294" s="2">
        <f>IFERROR(__xludf.DUMMYFUNCTION("IFERROR(ABS(Q294-AVERAGE(FILTER(Q294:Q4362,AA294:AA4362=""Neighbor""))) / STDEV(FILTER(Q294:Q4362, AA294:AA4362 =""Neighbor"")), """")"),0.37417760752862816)</f>
        <v>0.3741776075</v>
      </c>
      <c r="AF294" s="2">
        <f>IFERROR(__xludf.DUMMYFUNCTION("IFERROR(ABS(R294-AVERAGE(FILTER(R294:R4362,AA294:AA4362=""Neighbor""))) / STDEV(FILTER(R294:R4362, AA294:AA4362 =""Neighbor"")), """")"),0.10187041104973574)</f>
        <v>0.101870411</v>
      </c>
    </row>
    <row r="295">
      <c r="A295" s="2" t="s">
        <v>28</v>
      </c>
      <c r="B295" s="2" t="s">
        <v>884</v>
      </c>
      <c r="C295" s="2" t="s">
        <v>1181</v>
      </c>
      <c r="D295" s="2" t="s">
        <v>1230</v>
      </c>
      <c r="E295" s="2" t="s">
        <v>1231</v>
      </c>
      <c r="F295" s="2">
        <v>88.0</v>
      </c>
      <c r="G295" s="2">
        <v>405.0</v>
      </c>
      <c r="H295" s="2" t="b">
        <v>1</v>
      </c>
      <c r="I295" s="2">
        <v>-1.0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s">
        <v>33</v>
      </c>
      <c r="O295" s="2">
        <v>59.0</v>
      </c>
      <c r="P295" s="2">
        <v>6.0</v>
      </c>
      <c r="Q295" s="2">
        <v>17.0</v>
      </c>
      <c r="R295" s="2">
        <v>0.0</v>
      </c>
      <c r="S295" s="3" t="s">
        <v>1232</v>
      </c>
      <c r="T295" s="2" t="s">
        <v>1233</v>
      </c>
      <c r="Y295" s="4" t="str">
        <f>IFERROR(__xludf.DUMMYFUNCTION("""COMPUTED_VALUE"""),"7.154765")</f>
        <v>7.154765</v>
      </c>
      <c r="Z295" s="4" t="str">
        <f>IFERROR(__xludf.DUMMYFUNCTION("""COMPUTED_VALUE"""),"3.3527459")</f>
        <v>3.3527459</v>
      </c>
      <c r="AA295" s="4" t="str">
        <f t="shared" si="1"/>
        <v>Neighbor</v>
      </c>
      <c r="AC295" s="4">
        <f>IFERROR(__xludf.DUMMYFUNCTION("IFERROR(ABS(O295-AVERAGE(FILTER(O295:O4363,AA295:AA4363=""Neighbor""))) / STDEV(FILTER(O295:O4363, AA295:AA4363 =""Neighbor"")), """")"),0.1799614743614207)</f>
        <v>0.1799614744</v>
      </c>
      <c r="AD295" s="4">
        <f>IFERROR(__xludf.DUMMYFUNCTION("IFERROR(ABS(P295-AVERAGE(FILTER(O295:P4363,AA295:AA4363=""Neighbor""))) / STDEV(FILTER(P295:P4363, AA295:AA4363 =""Neighbor"")), """")"),1.382716263557756)</f>
        <v>1.382716264</v>
      </c>
      <c r="AE295" s="2">
        <f>IFERROR(__xludf.DUMMYFUNCTION("IFERROR(ABS(Q295-AVERAGE(FILTER(Q295:Q4363,AA295:AA4363=""Neighbor""))) / STDEV(FILTER(Q295:Q4363, AA295:AA4363 =""Neighbor"")), """")"),0.3318643105316092)</f>
        <v>0.3318643105</v>
      </c>
      <c r="AF295" s="2">
        <f>IFERROR(__xludf.DUMMYFUNCTION("IFERROR(ABS(R295-AVERAGE(FILTER(R295:R4363,AA295:AA4363=""Neighbor""))) / STDEV(FILTER(R295:R4363, AA295:AA4363 =""Neighbor"")), """")"),0.10190211574789336)</f>
        <v>0.1019021157</v>
      </c>
    </row>
    <row r="296">
      <c r="A296" s="2" t="s">
        <v>28</v>
      </c>
      <c r="B296" s="2" t="s">
        <v>884</v>
      </c>
      <c r="C296" s="2" t="s">
        <v>1181</v>
      </c>
      <c r="D296" s="2" t="s">
        <v>1234</v>
      </c>
      <c r="E296" s="2" t="s">
        <v>1235</v>
      </c>
      <c r="F296" s="2">
        <v>74.0</v>
      </c>
      <c r="G296" s="2">
        <v>497.0</v>
      </c>
      <c r="H296" s="2" t="b">
        <v>1</v>
      </c>
      <c r="I296" s="2">
        <v>-1.0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s">
        <v>33</v>
      </c>
      <c r="O296" s="2">
        <v>0.0</v>
      </c>
      <c r="P296" s="2">
        <v>0.0</v>
      </c>
      <c r="Q296" s="2">
        <v>0.0</v>
      </c>
      <c r="R296" s="2">
        <v>0.0</v>
      </c>
      <c r="S296" s="3" t="s">
        <v>1236</v>
      </c>
      <c r="T296" s="2" t="s">
        <v>1237</v>
      </c>
      <c r="Y296" s="4" t="str">
        <f>IFERROR(__xludf.DUMMYFUNCTION("""COMPUTED_VALUE"""),"7.154765")</f>
        <v>7.154765</v>
      </c>
      <c r="Z296" s="4" t="str">
        <f>IFERROR(__xludf.DUMMYFUNCTION("""COMPUTED_VALUE"""),"3.3527459")</f>
        <v>3.3527459</v>
      </c>
      <c r="AA296" s="4" t="str">
        <f t="shared" si="1"/>
        <v>Neighbor</v>
      </c>
      <c r="AC296" s="4">
        <f>IFERROR(__xludf.DUMMYFUNCTION("IFERROR(ABS(O296-AVERAGE(FILTER(O296:O4364,AA296:AA4364=""Neighbor""))) / STDEV(FILTER(O296:O4364, AA296:AA4364 =""Neighbor"")), """")"),1.5476263589769086)</f>
        <v>1.547626359</v>
      </c>
      <c r="AD296" s="4">
        <f>IFERROR(__xludf.DUMMYFUNCTION("IFERROR(ABS(P296-AVERAGE(FILTER(O296:P4364,AA296:AA4364=""Neighbor""))) / STDEV(FILTER(P296:P4364, AA296:AA4364 =""Neighbor"")), """")"),1.6142081770955132)</f>
        <v>1.614208177</v>
      </c>
      <c r="AE296" s="2">
        <f>IFERROR(__xludf.DUMMYFUNCTION("IFERROR(ABS(Q296-AVERAGE(FILTER(Q296:Q4364,AA296:AA4364=""Neighbor""))) / STDEV(FILTER(Q296:Q4364, AA296:AA4364 =""Neighbor"")), """")"),1.0533400039378384)</f>
        <v>1.053340004</v>
      </c>
      <c r="AF296" s="2">
        <f>IFERROR(__xludf.DUMMYFUNCTION("IFERROR(ABS(R296-AVERAGE(FILTER(R296:R4364,AA296:AA4364=""Neighbor""))) / STDEV(FILTER(R296:R4364, AA296:AA4364 =""Neighbor"")), """")"),0.10193385006668061)</f>
        <v>0.1019338501</v>
      </c>
    </row>
    <row r="297">
      <c r="A297" s="2" t="s">
        <v>28</v>
      </c>
      <c r="B297" s="2" t="s">
        <v>884</v>
      </c>
      <c r="C297" s="2" t="s">
        <v>1181</v>
      </c>
      <c r="D297" s="2" t="s">
        <v>1238</v>
      </c>
      <c r="E297" s="2" t="s">
        <v>1239</v>
      </c>
      <c r="F297" s="2">
        <v>89.0</v>
      </c>
      <c r="G297" s="2">
        <v>576.0</v>
      </c>
      <c r="H297" s="2" t="b">
        <v>1</v>
      </c>
      <c r="I297" s="2">
        <v>-1.0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s">
        <v>33</v>
      </c>
      <c r="O297" s="2">
        <v>52.0</v>
      </c>
      <c r="P297" s="2">
        <v>6.0</v>
      </c>
      <c r="Q297" s="2">
        <v>15.0</v>
      </c>
      <c r="R297" s="2">
        <v>0.0</v>
      </c>
      <c r="S297" s="3" t="s">
        <v>1240</v>
      </c>
      <c r="T297" s="2" t="s">
        <v>1241</v>
      </c>
      <c r="Y297" s="4" t="str">
        <f>IFERROR(__xludf.DUMMYFUNCTION("""COMPUTED_VALUE"""),"7.1527529")</f>
        <v>7.1527529</v>
      </c>
      <c r="Z297" s="4" t="str">
        <f>IFERROR(__xludf.DUMMYFUNCTION("""COMPUTED_VALUE"""),"3.3521161")</f>
        <v>3.3521161</v>
      </c>
      <c r="AA297" s="4" t="str">
        <f t="shared" si="1"/>
        <v>Neighbor</v>
      </c>
      <c r="AC297" s="4">
        <f>IFERROR(__xludf.DUMMYFUNCTION("IFERROR(ABS(O297-AVERAGE(FILTER(O297:O4365,AA297:AA4365=""Neighbor""))) / STDEV(FILTER(O297:O4365, AA297:AA4365 =""Neighbor"")), """")"),0.34338073647955014)</f>
        <v>0.3433807365</v>
      </c>
      <c r="AD297" s="4">
        <f>IFERROR(__xludf.DUMMYFUNCTION("IFERROR(ABS(P297-AVERAGE(FILTER(O297:P4365,AA297:AA4365=""Neighbor""))) / STDEV(FILTER(P297:P4365, AA297:AA4365 =""Neighbor"")), """")"),1.383336773095427)</f>
        <v>1.383336773</v>
      </c>
      <c r="AE297" s="2">
        <f>IFERROR(__xludf.DUMMYFUNCTION("IFERROR(ABS(Q297-AVERAGE(FILTER(Q297:Q4365,AA297:AA4365=""Neighbor""))) / STDEV(FILTER(Q297:Q4365, AA297:AA4365 =""Neighbor"")), """")"),0.4175084332221266)</f>
        <v>0.4175084332</v>
      </c>
      <c r="AF297" s="2">
        <f>IFERROR(__xludf.DUMMYFUNCTION("IFERROR(ABS(R297-AVERAGE(FILTER(R297:R4365,AA297:AA4365=""Neighbor""))) / STDEV(FILTER(R297:R4365, AA297:AA4365 =""Neighbor"")), """")"),0.10196561405224946)</f>
        <v>0.1019656141</v>
      </c>
    </row>
    <row r="298">
      <c r="A298" s="2" t="s">
        <v>28</v>
      </c>
      <c r="B298" s="2" t="s">
        <v>884</v>
      </c>
      <c r="C298" s="2" t="s">
        <v>1181</v>
      </c>
      <c r="D298" s="2" t="s">
        <v>1242</v>
      </c>
      <c r="E298" s="2" t="s">
        <v>1243</v>
      </c>
      <c r="F298" s="2">
        <v>94.0</v>
      </c>
      <c r="G298" s="2">
        <v>637.0</v>
      </c>
      <c r="H298" s="2" t="b">
        <v>1</v>
      </c>
      <c r="I298" s="2">
        <v>-1.0</v>
      </c>
      <c r="J298" s="2" t="b">
        <v>0</v>
      </c>
      <c r="K298" s="2" t="b">
        <v>0</v>
      </c>
      <c r="L298" s="2" t="b">
        <v>0</v>
      </c>
      <c r="M298" s="2" t="b">
        <v>0</v>
      </c>
      <c r="N298" s="2" t="s">
        <v>33</v>
      </c>
      <c r="O298" s="2">
        <v>52.0</v>
      </c>
      <c r="P298" s="2">
        <v>13.0</v>
      </c>
      <c r="Q298" s="2">
        <v>20.0</v>
      </c>
      <c r="R298" s="2">
        <v>0.0</v>
      </c>
      <c r="S298" s="3" t="s">
        <v>1244</v>
      </c>
      <c r="T298" s="2" t="s">
        <v>1245</v>
      </c>
      <c r="Y298" s="4" t="str">
        <f>IFERROR(__xludf.DUMMYFUNCTION("""COMPUTED_VALUE"""),"7.1527529")</f>
        <v>7.1527529</v>
      </c>
      <c r="Z298" s="4" t="str">
        <f>IFERROR(__xludf.DUMMYFUNCTION("""COMPUTED_VALUE"""),"3.3521161")</f>
        <v>3.3521161</v>
      </c>
      <c r="AA298" s="4" t="str">
        <f t="shared" si="1"/>
        <v>Neighbor</v>
      </c>
      <c r="AC298" s="4">
        <f>IFERROR(__xludf.DUMMYFUNCTION("IFERROR(ABS(O298-AVERAGE(FILTER(O298:O4366,AA298:AA4366=""Neighbor""))) / STDEV(FILTER(O298:O4366, AA298:AA4366 =""Neighbor"")), """")"),0.3434992180826222)</f>
        <v>0.3434992181</v>
      </c>
      <c r="AD298" s="4">
        <f>IFERROR(__xludf.DUMMYFUNCTION("IFERROR(ABS(P298-AVERAGE(FILTER(O298:P4366,AA298:AA4366=""Neighbor""))) / STDEV(FILTER(P298:P4366, AA298:AA4366 =""Neighbor"")), """")"),1.1131821854433106)</f>
        <v>1.113182185</v>
      </c>
      <c r="AE298" s="2">
        <f>IFERROR(__xludf.DUMMYFUNCTION("IFERROR(ABS(Q298-AVERAGE(FILTER(Q298:Q4366,AA298:AA4366=""Neighbor""))) / STDEV(FILTER(Q298:Q4366, AA298:AA4366 =""Neighbor"")), """")"),0.20554132979119716)</f>
        <v>0.2055413298</v>
      </c>
      <c r="AF298" s="2">
        <f>IFERROR(__xludf.DUMMYFUNCTION("IFERROR(ABS(R298-AVERAGE(FILTER(R298:R4366,AA298:AA4366=""Neighbor""))) / STDEV(FILTER(R298:R4366, AA298:AA4366 =""Neighbor"")), """")"),0.1019974077508523)</f>
        <v>0.1019974078</v>
      </c>
    </row>
    <row r="299">
      <c r="A299" s="2" t="s">
        <v>28</v>
      </c>
      <c r="B299" s="2" t="s">
        <v>884</v>
      </c>
      <c r="C299" s="2" t="s">
        <v>1181</v>
      </c>
      <c r="D299" s="2" t="s">
        <v>1246</v>
      </c>
      <c r="E299" s="2" t="s">
        <v>1247</v>
      </c>
      <c r="F299" s="2">
        <v>104.0</v>
      </c>
      <c r="G299" s="2">
        <v>519.0</v>
      </c>
      <c r="H299" s="2" t="b">
        <v>1</v>
      </c>
      <c r="I299" s="2">
        <v>-1.0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s">
        <v>33</v>
      </c>
      <c r="O299" s="2">
        <v>77.0</v>
      </c>
      <c r="P299" s="2">
        <v>4.0</v>
      </c>
      <c r="Q299" s="2">
        <v>13.0</v>
      </c>
      <c r="R299" s="2">
        <v>0.0</v>
      </c>
      <c r="S299" s="3" t="s">
        <v>1248</v>
      </c>
      <c r="T299" s="2" t="s">
        <v>1249</v>
      </c>
      <c r="Y299" s="4" t="str">
        <f>IFERROR(__xludf.DUMMYFUNCTION("""COMPUTED_VALUE"""),"7.1527529")</f>
        <v>7.1527529</v>
      </c>
      <c r="Z299" s="4" t="str">
        <f>IFERROR(__xludf.DUMMYFUNCTION("""COMPUTED_VALUE"""),"3.3521161")</f>
        <v>3.3521161</v>
      </c>
      <c r="AA299" s="4" t="str">
        <f t="shared" si="1"/>
        <v>Neighbor</v>
      </c>
      <c r="AC299" s="4">
        <f>IFERROR(__xludf.DUMMYFUNCTION("IFERROR(ABS(O299-AVERAGE(FILTER(O299:O4367,AA299:AA4367=""Neighbor""))) / STDEV(FILTER(O299:O4367, AA299:AA4367 =""Neighbor"")), """")"),0.23581109691289284)</f>
        <v>0.2358110969</v>
      </c>
      <c r="AD299" s="4">
        <f>IFERROR(__xludf.DUMMYFUNCTION("IFERROR(ABS(P299-AVERAGE(FILTER(O299:P4367,AA299:AA4367=""Neighbor""))) / STDEV(FILTER(P299:P4367, AA299:AA4367 =""Neighbor"")), """")"),1.460246331681609)</f>
        <v>1.460246332</v>
      </c>
      <c r="AE299" s="2">
        <f>IFERROR(__xludf.DUMMYFUNCTION("IFERROR(ABS(Q299-AVERAGE(FILTER(Q299:Q4367,AA299:AA4367=""Neighbor""))) / STDEV(FILTER(Q299:Q4367, AA299:AA4367 =""Neighbor"")), """")"),0.5024853982541766)</f>
        <v>0.5024853983</v>
      </c>
      <c r="AF299" s="2">
        <f>IFERROR(__xludf.DUMMYFUNCTION("IFERROR(ABS(R299-AVERAGE(FILTER(R299:R4367,AA299:AA4367=""Neighbor""))) / STDEV(FILTER(R299:R4367, AA299:AA4367 =""Neighbor"")), """")"),0.10202923120884236)</f>
        <v>0.1020292312</v>
      </c>
    </row>
    <row r="300">
      <c r="A300" s="2" t="s">
        <v>28</v>
      </c>
      <c r="B300" s="2" t="s">
        <v>884</v>
      </c>
      <c r="C300" s="2" t="s">
        <v>1181</v>
      </c>
      <c r="D300" s="2" t="s">
        <v>1250</v>
      </c>
      <c r="E300" s="2" t="s">
        <v>1251</v>
      </c>
      <c r="F300" s="2">
        <v>67.0</v>
      </c>
      <c r="G300" s="2">
        <v>319.0</v>
      </c>
      <c r="H300" s="2" t="b">
        <v>1</v>
      </c>
      <c r="I300" s="2">
        <v>-1.0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s">
        <v>33</v>
      </c>
      <c r="O300" s="2">
        <v>45.0</v>
      </c>
      <c r="P300" s="2">
        <v>3.0</v>
      </c>
      <c r="Q300" s="2">
        <v>11.0</v>
      </c>
      <c r="R300" s="2">
        <v>0.0</v>
      </c>
      <c r="S300" s="3" t="s">
        <v>1252</v>
      </c>
      <c r="T300" s="2" t="s">
        <v>1253</v>
      </c>
      <c r="Y300" s="4" t="str">
        <f>IFERROR(__xludf.DUMMYFUNCTION("""COMPUTED_VALUE"""),"7.1527529")</f>
        <v>7.1527529</v>
      </c>
      <c r="Z300" s="4" t="str">
        <f>IFERROR(__xludf.DUMMYFUNCTION("""COMPUTED_VALUE"""),"3.3521161")</f>
        <v>3.3521161</v>
      </c>
      <c r="AA300" s="4" t="str">
        <f t="shared" si="1"/>
        <v>Neighbor</v>
      </c>
      <c r="AC300" s="4">
        <f>IFERROR(__xludf.DUMMYFUNCTION("IFERROR(ABS(O300-AVERAGE(FILTER(O300:O4368,AA300:AA4368=""Neighbor""))) / STDEV(FILTER(O300:O4368, AA300:AA4368 =""Neighbor"")), """")"),0.5055643879865137)</f>
        <v>0.505564388</v>
      </c>
      <c r="AD300" s="4">
        <f>IFERROR(__xludf.DUMMYFUNCTION("IFERROR(ABS(P300-AVERAGE(FILTER(O300:P4368,AA300:AA4368=""Neighbor""))) / STDEV(FILTER(P300:P4368, AA300:AA4368 =""Neighbor"")), """")"),1.4985049095610146)</f>
        <v>1.49850491</v>
      </c>
      <c r="AE300" s="2">
        <f>IFERROR(__xludf.DUMMYFUNCTION("IFERROR(ABS(Q300-AVERAGE(FILTER(Q300:Q4368,AA300:AA4368=""Neighbor""))) / STDEV(FILTER(Q300:Q4368, AA300:AA4368 =""Neighbor"")), """")"),0.5874825802033243)</f>
        <v>0.5874825802</v>
      </c>
      <c r="AF300" s="2">
        <f>IFERROR(__xludf.DUMMYFUNCTION("IFERROR(ABS(R300-AVERAGE(FILTER(R300:R4368,AA300:AA4368=""Neighbor""))) / STDEV(FILTER(R300:R4368, AA300:AA4368 =""Neighbor"")), """")"),0.1020610844726746)</f>
        <v>0.1020610845</v>
      </c>
    </row>
    <row r="301">
      <c r="A301" s="2" t="s">
        <v>28</v>
      </c>
      <c r="B301" s="2" t="s">
        <v>884</v>
      </c>
      <c r="C301" s="2" t="s">
        <v>1254</v>
      </c>
      <c r="D301" s="2" t="s">
        <v>1255</v>
      </c>
      <c r="E301" s="2" t="s">
        <v>1256</v>
      </c>
      <c r="F301" s="2">
        <v>138.0</v>
      </c>
      <c r="G301" s="2">
        <v>841.0</v>
      </c>
      <c r="H301" s="2" t="b">
        <v>1</v>
      </c>
      <c r="I301" s="2">
        <v>-1.0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s">
        <v>33</v>
      </c>
      <c r="O301" s="2">
        <v>0.0</v>
      </c>
      <c r="P301" s="2">
        <v>0.0</v>
      </c>
      <c r="Q301" s="2">
        <v>0.0</v>
      </c>
      <c r="R301" s="2">
        <v>0.0</v>
      </c>
      <c r="S301" s="3" t="s">
        <v>1257</v>
      </c>
      <c r="T301" s="2" t="s">
        <v>1258</v>
      </c>
      <c r="Y301" s="4" t="str">
        <f>IFERROR(__xludf.DUMMYFUNCTION("""COMPUTED_VALUE"""),"7.1446412")</f>
        <v>7.1446412</v>
      </c>
      <c r="Z301" s="4" t="str">
        <f>IFERROR(__xludf.DUMMYFUNCTION("""COMPUTED_VALUE"""),"3.3584147")</f>
        <v>3.3584147</v>
      </c>
      <c r="AA301" s="4" t="str">
        <f t="shared" si="1"/>
        <v>Neighbor</v>
      </c>
      <c r="AC301" s="4">
        <f>IFERROR(__xludf.DUMMYFUNCTION("IFERROR(ABS(O301-AVERAGE(FILTER(O301:O4369,AA301:AA4369=""Neighbor""))) / STDEV(FILTER(O301:O4369, AA301:AA4369 =""Neighbor"")), """")"),1.5481879917873382)</f>
        <v>1.548187992</v>
      </c>
      <c r="AD301" s="4">
        <f>IFERROR(__xludf.DUMMYFUNCTION("IFERROR(ABS(P301-AVERAGE(FILTER(O301:P4369,AA301:AA4369=""Neighbor""))) / STDEV(FILTER(P301:P4369, AA301:AA4369 =""Neighbor"")), """")"),1.6142737411142591)</f>
        <v>1.614273741</v>
      </c>
      <c r="AE301" s="2">
        <f>IFERROR(__xludf.DUMMYFUNCTION("IFERROR(ABS(Q301-AVERAGE(FILTER(Q301:Q4369,AA301:AA4369=""Neighbor""))) / STDEV(FILTER(Q301:Q4369, AA301:AA4369 =""Neighbor"")), """")"),1.0540471086809247)</f>
        <v>1.054047109</v>
      </c>
      <c r="AF301" s="2">
        <f>IFERROR(__xludf.DUMMYFUNCTION("IFERROR(ABS(R301-AVERAGE(FILTER(R301:R4369,AA301:AA4369=""Neighbor""))) / STDEV(FILTER(R301:R4369, AA301:AA4369 =""Neighbor"")), """")"),0.10209296758890518)</f>
        <v>0.1020929676</v>
      </c>
    </row>
    <row r="302">
      <c r="A302" s="2" t="s">
        <v>28</v>
      </c>
      <c r="B302" s="2" t="s">
        <v>884</v>
      </c>
      <c r="C302" s="2" t="s">
        <v>1254</v>
      </c>
      <c r="D302" s="2" t="s">
        <v>1259</v>
      </c>
      <c r="E302" s="2" t="s">
        <v>1260</v>
      </c>
      <c r="F302" s="2">
        <v>100.0</v>
      </c>
      <c r="G302" s="2">
        <v>773.0</v>
      </c>
      <c r="H302" s="2" t="b">
        <v>1</v>
      </c>
      <c r="I302" s="2">
        <v>-1.0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s">
        <v>33</v>
      </c>
      <c r="O302" s="2">
        <v>67.0</v>
      </c>
      <c r="P302" s="2">
        <v>4.0</v>
      </c>
      <c r="Q302" s="2">
        <v>17.0</v>
      </c>
      <c r="R302" s="2">
        <v>0.0</v>
      </c>
      <c r="S302" s="3" t="s">
        <v>1261</v>
      </c>
      <c r="T302" s="2" t="s">
        <v>1262</v>
      </c>
      <c r="Y302" s="4" t="str">
        <f>IFERROR(__xludf.DUMMYFUNCTION("""COMPUTED_VALUE"""),"7.1446412")</f>
        <v>7.1446412</v>
      </c>
      <c r="Z302" s="4" t="str">
        <f>IFERROR(__xludf.DUMMYFUNCTION("""COMPUTED_VALUE"""),"3.3584147")</f>
        <v>3.3584147</v>
      </c>
      <c r="AA302" s="4" t="str">
        <f t="shared" si="1"/>
        <v>Neighbor</v>
      </c>
      <c r="AC302" s="4">
        <f>IFERROR(__xludf.DUMMYFUNCTION("IFERROR(ABS(O302-AVERAGE(FILTER(O302:O4370,AA302:AA4370=""Neighbor""))) / STDEV(FILTER(O302:O4370, AA302:AA4370 =""Neighbor"")), """")"),0.0029130301686136817)</f>
        <v>0.002913030169</v>
      </c>
      <c r="AD302" s="4">
        <f>IFERROR(__xludf.DUMMYFUNCTION("IFERROR(ABS(P302-AVERAGE(FILTER(O302:P4370,AA302:AA4370=""Neighbor""))) / STDEV(FILTER(P302:P4370, AA302:AA4370 =""Neighbor"")), """")"),1.4607818563497834)</f>
        <v>1.460781856</v>
      </c>
      <c r="AE302" s="2">
        <f>IFERROR(__xludf.DUMMYFUNCTION("IFERROR(ABS(Q302-AVERAGE(FILTER(Q302:Q4370,AA302:AA4370=""Neighbor""))) / STDEV(FILTER(Q302:Q4370, AA302:AA4370 =""Neighbor"")), """")"),0.3340348187812885)</f>
        <v>0.3340348188</v>
      </c>
      <c r="AF302" s="2">
        <f>IFERROR(__xludf.DUMMYFUNCTION("IFERROR(ABS(R302-AVERAGE(FILTER(R302:R4370,AA302:AA4370=""Neighbor""))) / STDEV(FILTER(R302:R4370, AA302:AA4370 =""Neighbor"")), """")"),0.10212488060419249)</f>
        <v>0.1021248806</v>
      </c>
    </row>
    <row r="303">
      <c r="A303" s="2" t="s">
        <v>28</v>
      </c>
      <c r="B303" s="2" t="s">
        <v>884</v>
      </c>
      <c r="C303" s="2" t="s">
        <v>1254</v>
      </c>
      <c r="D303" s="2" t="s">
        <v>1263</v>
      </c>
      <c r="E303" s="2" t="s">
        <v>1264</v>
      </c>
      <c r="F303" s="2">
        <v>100.0</v>
      </c>
      <c r="G303" s="2">
        <v>625.0</v>
      </c>
      <c r="H303" s="2" t="b">
        <v>1</v>
      </c>
      <c r="I303" s="2">
        <v>-1.0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s">
        <v>33</v>
      </c>
      <c r="O303" s="2">
        <v>56.0</v>
      </c>
      <c r="P303" s="2">
        <v>16.0</v>
      </c>
      <c r="Q303" s="2">
        <v>16.0</v>
      </c>
      <c r="R303" s="2">
        <v>0.0</v>
      </c>
      <c r="S303" s="3" t="s">
        <v>1265</v>
      </c>
      <c r="T303" s="2" t="s">
        <v>1266</v>
      </c>
      <c r="Y303" s="4" t="str">
        <f>IFERROR(__xludf.DUMMYFUNCTION("""COMPUTED_VALUE"""),"7.1446412")</f>
        <v>7.1446412</v>
      </c>
      <c r="Z303" s="4" t="str">
        <f>IFERROR(__xludf.DUMMYFUNCTION("""COMPUTED_VALUE"""),"3.3584147")</f>
        <v>3.3584147</v>
      </c>
      <c r="AA303" s="4" t="str">
        <f t="shared" si="1"/>
        <v>Neighbor</v>
      </c>
      <c r="AC303" s="4">
        <f>IFERROR(__xludf.DUMMYFUNCTION("IFERROR(ABS(O303-AVERAGE(FILTER(O303:O4371,AA303:AA4371=""Neighbor""))) / STDEV(FILTER(O303:O4371, AA303:AA4371 =""Neighbor"")), """")"),0.25193309767793165)</f>
        <v>0.2519330977</v>
      </c>
      <c r="AD303" s="4">
        <f>IFERROR(__xludf.DUMMYFUNCTION("IFERROR(ABS(P303-AVERAGE(FILTER(O303:P4371,AA303:AA4371=""Neighbor""))) / STDEV(FILTER(P303:P4371, AA303:AA4371 =""Neighbor"")), """")"),0.998090703161519)</f>
        <v>0.9980907032</v>
      </c>
      <c r="AE303" s="2">
        <f>IFERROR(__xludf.DUMMYFUNCTION("IFERROR(ABS(Q303-AVERAGE(FILTER(Q303:Q4371,AA303:AA4371=""Neighbor""))) / STDEV(FILTER(Q303:Q4371, AA303:AA4371 =""Neighbor"")), """")"),0.3765323102070083)</f>
        <v>0.3765323102</v>
      </c>
      <c r="AF303" s="2">
        <f>IFERROR(__xludf.DUMMYFUNCTION("IFERROR(ABS(R303-AVERAGE(FILTER(R303:R4371,AA303:AA4371=""Neighbor""))) / STDEV(FILTER(R303:R4371, AA303:AA4371 =""Neighbor"")), """")"),0.10215682356529668)</f>
        <v>0.1021568236</v>
      </c>
    </row>
    <row r="304">
      <c r="A304" s="2" t="s">
        <v>28</v>
      </c>
      <c r="B304" s="2" t="s">
        <v>884</v>
      </c>
      <c r="C304" s="2" t="s">
        <v>1254</v>
      </c>
      <c r="D304" s="2" t="s">
        <v>1267</v>
      </c>
      <c r="E304" s="2" t="s">
        <v>1268</v>
      </c>
      <c r="F304" s="2">
        <v>114.0</v>
      </c>
      <c r="G304" s="2">
        <v>924.0</v>
      </c>
      <c r="H304" s="2" t="b">
        <v>1</v>
      </c>
      <c r="I304" s="2">
        <v>-1.0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s">
        <v>33</v>
      </c>
      <c r="O304" s="2">
        <v>70.0</v>
      </c>
      <c r="P304" s="2">
        <v>10.0</v>
      </c>
      <c r="Q304" s="2">
        <v>18.0</v>
      </c>
      <c r="R304" s="2">
        <v>0.0</v>
      </c>
      <c r="S304" s="3" t="s">
        <v>1269</v>
      </c>
      <c r="T304" s="2" t="s">
        <v>1270</v>
      </c>
      <c r="Y304" s="4" t="str">
        <f>IFERROR(__xludf.DUMMYFUNCTION("""COMPUTED_VALUE"""),"7.1445647")</f>
        <v>7.1445647</v>
      </c>
      <c r="Z304" s="4" t="str">
        <f>IFERROR(__xludf.DUMMYFUNCTION("""COMPUTED_VALUE"""),"3.3602847")</f>
        <v>3.3602847</v>
      </c>
      <c r="AA304" s="4" t="str">
        <f t="shared" si="1"/>
        <v>Neighbor</v>
      </c>
      <c r="AC304" s="4">
        <f>IFERROR(__xludf.DUMMYFUNCTION("IFERROR(ABS(O304-AVERAGE(FILTER(O304:O4372,AA304:AA4372=""Neighbor""))) / STDEV(FILTER(O304:O4372, AA304:AA4372 =""Neighbor"")), """")"),0.0722404971055485)</f>
        <v>0.07224049711</v>
      </c>
      <c r="AD304" s="4">
        <f>IFERROR(__xludf.DUMMYFUNCTION("IFERROR(ABS(P304-AVERAGE(FILTER(O304:P4372,AA304:AA4372=""Neighbor""))) / STDEV(FILTER(P304:P4372, AA304:AA4372 =""Neighbor"")), """")"),1.2291025609379365)</f>
        <v>1.229102561</v>
      </c>
      <c r="AE304" s="2">
        <f>IFERROR(__xludf.DUMMYFUNCTION("IFERROR(ABS(Q304-AVERAGE(FILTER(Q304:Q4372,AA304:AA4372=""Neighbor""))) / STDEV(FILTER(Q304:Q4372, AA304:AA4372 =""Neighbor"")), """")"),0.2919229880038385)</f>
        <v>0.291922988</v>
      </c>
      <c r="AF304" s="2">
        <f>IFERROR(__xludf.DUMMYFUNCTION("IFERROR(ABS(R304-AVERAGE(FILTER(R304:R4372,AA304:AA4372=""Neighbor""))) / STDEV(FILTER(R304:R4372, AA304:AA4372 =""Neighbor"")), """")"),0.10218879651908071)</f>
        <v>0.1021887965</v>
      </c>
    </row>
    <row r="305">
      <c r="A305" s="2" t="s">
        <v>28</v>
      </c>
      <c r="B305" s="2" t="s">
        <v>884</v>
      </c>
      <c r="C305" s="2" t="s">
        <v>1254</v>
      </c>
      <c r="D305" s="2" t="s">
        <v>1271</v>
      </c>
      <c r="E305" s="2" t="s">
        <v>1272</v>
      </c>
      <c r="F305" s="2">
        <v>83.0</v>
      </c>
      <c r="G305" s="2">
        <v>961.0</v>
      </c>
      <c r="H305" s="2" t="b">
        <v>1</v>
      </c>
      <c r="I305" s="2">
        <v>-1.0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s">
        <v>33</v>
      </c>
      <c r="O305" s="2">
        <v>52.0</v>
      </c>
      <c r="P305" s="2">
        <v>17.0</v>
      </c>
      <c r="Q305" s="2">
        <v>7.0</v>
      </c>
      <c r="R305" s="2">
        <v>0.0</v>
      </c>
      <c r="S305" s="3" t="s">
        <v>1273</v>
      </c>
      <c r="T305" s="2" t="s">
        <v>1274</v>
      </c>
      <c r="Y305" s="4" t="str">
        <f>IFERROR(__xludf.DUMMYFUNCTION("""COMPUTED_VALUE"""),"7.1445647")</f>
        <v>7.1445647</v>
      </c>
      <c r="Z305" s="4" t="str">
        <f>IFERROR(__xludf.DUMMYFUNCTION("""COMPUTED_VALUE"""),"3.3602847")</f>
        <v>3.3602847</v>
      </c>
      <c r="AA305" s="4" t="str">
        <f t="shared" si="1"/>
        <v>Neighbor</v>
      </c>
      <c r="AC305" s="4">
        <f>IFERROR(__xludf.DUMMYFUNCTION("IFERROR(ABS(O305-AVERAGE(FILTER(O305:O4373,AA305:AA4373=""Neighbor""))) / STDEV(FILTER(O305:O4373, AA305:AA4373 =""Neighbor"")), """")"),0.34450966963165025)</f>
        <v>0.3445096696</v>
      </c>
      <c r="AD305" s="4">
        <f>IFERROR(__xludf.DUMMYFUNCTION("IFERROR(ABS(P305-AVERAGE(FILTER(O305:P4373,AA305:AA4373=""Neighbor""))) / STDEV(FILTER(P305:P4373, AA305:AA4373 =""Neighbor"")), """")"),0.9591614147036905)</f>
        <v>0.9591614147</v>
      </c>
      <c r="AE305" s="2">
        <f>IFERROR(__xludf.DUMMYFUNCTION("IFERROR(ABS(Q305-AVERAGE(FILTER(Q305:Q4373,AA305:AA4373=""Neighbor""))) / STDEV(FILTER(Q305:Q4373, AA305:AA4373 =""Neighbor"")), """")"),0.7579727508034468)</f>
        <v>0.7579727508</v>
      </c>
      <c r="AF305" s="2">
        <f>IFERROR(__xludf.DUMMYFUNCTION("IFERROR(ABS(R305-AVERAGE(FILTER(R305:R4373,AA305:AA4373=""Neighbor""))) / STDEV(FILTER(R305:R4373, AA305:AA4373 =""Neighbor"")), """")"),0.1022207995125102)</f>
        <v>0.1022207995</v>
      </c>
    </row>
    <row r="306">
      <c r="A306" s="2" t="s">
        <v>28</v>
      </c>
      <c r="B306" s="2" t="s">
        <v>884</v>
      </c>
      <c r="C306" s="2" t="s">
        <v>1254</v>
      </c>
      <c r="D306" s="2" t="s">
        <v>1275</v>
      </c>
      <c r="E306" s="2" t="s">
        <v>1276</v>
      </c>
      <c r="F306" s="2">
        <v>85.0</v>
      </c>
      <c r="G306" s="2">
        <v>750.0</v>
      </c>
      <c r="H306" s="2" t="b">
        <v>1</v>
      </c>
      <c r="I306" s="2">
        <v>-1.0</v>
      </c>
      <c r="J306" s="2" t="b">
        <v>0</v>
      </c>
      <c r="K306" s="2" t="b">
        <v>1</v>
      </c>
      <c r="L306" s="2" t="b">
        <v>0</v>
      </c>
      <c r="M306" s="2" t="b">
        <v>0</v>
      </c>
      <c r="N306" s="2" t="s">
        <v>33</v>
      </c>
      <c r="O306" s="2">
        <v>44.0</v>
      </c>
      <c r="P306" s="2">
        <v>15.0</v>
      </c>
      <c r="Q306" s="2">
        <v>10.0</v>
      </c>
      <c r="R306" s="2">
        <v>0.0</v>
      </c>
      <c r="S306" s="3" t="s">
        <v>1277</v>
      </c>
      <c r="T306" s="2" t="s">
        <v>1278</v>
      </c>
      <c r="Y306" s="4" t="str">
        <f>IFERROR(__xludf.DUMMYFUNCTION("""COMPUTED_VALUE"""),"7.1446412")</f>
        <v>7.1446412</v>
      </c>
      <c r="Z306" s="4" t="str">
        <f>IFERROR(__xludf.DUMMYFUNCTION("""COMPUTED_VALUE"""),"3.3584147")</f>
        <v>3.3584147</v>
      </c>
      <c r="AA306" s="4" t="str">
        <f t="shared" si="1"/>
        <v>Neighbor</v>
      </c>
      <c r="AC306" s="4">
        <f>IFERROR(__xludf.DUMMYFUNCTION("IFERROR(ABS(O306-AVERAGE(FILTER(O306:O4374,AA306:AA4374=""Neighbor""))) / STDEV(FILTER(O306:O4374, AA306:AA4374 =""Neighbor"")), """")"),0.5298108401845296)</f>
        <v>0.5298108402</v>
      </c>
      <c r="AD306" s="4">
        <f>IFERROR(__xludf.DUMMYFUNCTION("IFERROR(ABS(P306-AVERAGE(FILTER(O306:P4374,AA306:AA4374=""Neighbor""))) / STDEV(FILTER(P306:P4374, AA306:AA4374 =""Neighbor"")), """")"),1.0360544848694384)</f>
        <v>1.036054485</v>
      </c>
      <c r="AE306" s="2">
        <f>IFERROR(__xludf.DUMMYFUNCTION("IFERROR(ABS(Q306-AVERAGE(FILTER(Q306:Q4374,AA306:AA4374=""Neighbor""))) / STDEV(FILTER(Q306:Q4374, AA306:AA4374 =""Neighbor"")), """")"),0.6312822106934045)</f>
        <v>0.6312822107</v>
      </c>
      <c r="AF306" s="2">
        <f>IFERROR(__xludf.DUMMYFUNCTION("IFERROR(ABS(R306-AVERAGE(FILTER(R306:R4374,AA306:AA4374=""Neighbor""))) / STDEV(FILTER(R306:R4374, AA306:AA4374 =""Neighbor"")), """")"),0.10225283259265373)</f>
        <v>0.1022528326</v>
      </c>
    </row>
    <row r="307">
      <c r="A307" s="2" t="s">
        <v>28</v>
      </c>
      <c r="B307" s="2" t="s">
        <v>884</v>
      </c>
      <c r="C307" s="2" t="s">
        <v>1254</v>
      </c>
      <c r="D307" s="2" t="s">
        <v>1279</v>
      </c>
      <c r="E307" s="2" t="s">
        <v>1280</v>
      </c>
      <c r="F307" s="2">
        <v>116.0</v>
      </c>
      <c r="G307" s="2">
        <v>750.0</v>
      </c>
      <c r="H307" s="2" t="b">
        <v>1</v>
      </c>
      <c r="I307" s="2">
        <v>-1.0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s">
        <v>33</v>
      </c>
      <c r="O307" s="2">
        <v>71.0</v>
      </c>
      <c r="P307" s="2">
        <v>19.0</v>
      </c>
      <c r="Q307" s="2">
        <v>17.0</v>
      </c>
      <c r="R307" s="2">
        <v>1.0</v>
      </c>
      <c r="S307" s="3" t="s">
        <v>1281</v>
      </c>
      <c r="T307" s="2" t="s">
        <v>1282</v>
      </c>
      <c r="Y307" s="4" t="str">
        <f>IFERROR(__xludf.DUMMYFUNCTION("""COMPUTED_VALUE"""),"7.1446412")</f>
        <v>7.1446412</v>
      </c>
      <c r="Z307" s="4" t="str">
        <f>IFERROR(__xludf.DUMMYFUNCTION("""COMPUTED_VALUE"""),"3.3584147")</f>
        <v>3.3584147</v>
      </c>
      <c r="AA307" s="4" t="str">
        <f t="shared" si="1"/>
        <v>Neighbor</v>
      </c>
      <c r="AC307" s="4">
        <f>IFERROR(__xludf.DUMMYFUNCTION("IFERROR(ABS(O307-AVERAGE(FILTER(O307:O4375,AA307:AA4375=""Neighbor""))) / STDEV(FILTER(O307:O4375, AA307:AA4375 =""Neighbor"")), """")"),0.09482688509413252)</f>
        <v>0.09482688509</v>
      </c>
      <c r="AD307" s="4">
        <f>IFERROR(__xludf.DUMMYFUNCTION("IFERROR(ABS(P307-AVERAGE(FILTER(O307:P4375,AA307:AA4375=""Neighbor""))) / STDEV(FILTER(P307:P4375, AA307:AA4375 =""Neighbor"")), """")"),0.882050839674299)</f>
        <v>0.8820508397</v>
      </c>
      <c r="AE307" s="2">
        <f>IFERROR(__xludf.DUMMYFUNCTION("IFERROR(ABS(Q307-AVERAGE(FILTER(Q307:Q4375,AA307:AA4375=""Neighbor""))) / STDEV(FILTER(Q307:Q4375, AA307:AA4375 =""Neighbor"")), """")"),0.33513621109328023)</f>
        <v>0.3351362111</v>
      </c>
      <c r="AF307" s="2">
        <f>IFERROR(__xludf.DUMMYFUNCTION("IFERROR(ABS(R307-AVERAGE(FILTER(R307:R4375,AA307:AA4375=""Neighbor""))) / STDEV(FILTER(R307:R4375, AA307:AA4375 =""Neighbor"")), """")"),0.09054728481247358)</f>
        <v>0.09054728481</v>
      </c>
    </row>
    <row r="308">
      <c r="A308" s="2" t="s">
        <v>28</v>
      </c>
      <c r="B308" s="2" t="s">
        <v>884</v>
      </c>
      <c r="C308" s="2" t="s">
        <v>1254</v>
      </c>
      <c r="D308" s="2" t="s">
        <v>1283</v>
      </c>
      <c r="E308" s="2" t="s">
        <v>1284</v>
      </c>
      <c r="F308" s="2">
        <v>83.0</v>
      </c>
      <c r="G308" s="2">
        <v>497.0</v>
      </c>
      <c r="H308" s="2" t="b">
        <v>1</v>
      </c>
      <c r="I308" s="2">
        <v>-1.0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s">
        <v>33</v>
      </c>
      <c r="O308" s="2">
        <v>54.0</v>
      </c>
      <c r="P308" s="2">
        <v>10.0</v>
      </c>
      <c r="Q308" s="2">
        <v>10.0</v>
      </c>
      <c r="R308" s="2">
        <v>0.0</v>
      </c>
      <c r="S308" s="3" t="s">
        <v>1285</v>
      </c>
      <c r="T308" s="2" t="s">
        <v>1286</v>
      </c>
      <c r="Y308" s="4" t="str">
        <f>IFERROR(__xludf.DUMMYFUNCTION("""COMPUTED_VALUE"""),"7.1446412")</f>
        <v>7.1446412</v>
      </c>
      <c r="Z308" s="4" t="str">
        <f>IFERROR(__xludf.DUMMYFUNCTION("""COMPUTED_VALUE"""),"3.3584147")</f>
        <v>3.3584147</v>
      </c>
      <c r="AA308" s="4" t="str">
        <f t="shared" si="1"/>
        <v>Neighbor</v>
      </c>
      <c r="AC308" s="4">
        <f>IFERROR(__xludf.DUMMYFUNCTION("IFERROR(ABS(O308-AVERAGE(FILTER(O308:O4376,AA308:AA4376=""Neighbor""))) / STDEV(FILTER(O308:O4376, AA308:AA4376 =""Neighbor"")), """")"),0.29844527622244843)</f>
        <v>0.2984452762</v>
      </c>
      <c r="AD308" s="4">
        <f>IFERROR(__xludf.DUMMYFUNCTION("IFERROR(ABS(P308-AVERAGE(FILTER(O308:P4376,AA308:AA4376=""Neighbor""))) / STDEV(FILTER(P308:P4376, AA308:AA4376 =""Neighbor"")), """")"),1.2280531343899665)</f>
        <v>1.228053134</v>
      </c>
      <c r="AE308" s="2">
        <f>IFERROR(__xludf.DUMMYFUNCTION("IFERROR(ABS(Q308-AVERAGE(FILTER(Q308:Q4376,AA308:AA4376=""Neighbor""))) / STDEV(FILTER(Q308:Q4376, AA308:AA4376 =""Neighbor"")), """")"),0.6315903196377547)</f>
        <v>0.6315903196</v>
      </c>
      <c r="AF308" s="2">
        <f>IFERROR(__xludf.DUMMYFUNCTION("IFERROR(ABS(R308-AVERAGE(FILTER(R308:R4376,AA308:AA4376=""Neighbor""))) / STDEV(FILTER(R308:R4376, AA308:AA4376 =""Neighbor"")), """")"),0.10219710815529584)</f>
        <v>0.1021971082</v>
      </c>
    </row>
    <row r="309">
      <c r="A309" s="2" t="s">
        <v>28</v>
      </c>
      <c r="B309" s="2" t="s">
        <v>884</v>
      </c>
      <c r="C309" s="2" t="s">
        <v>1254</v>
      </c>
      <c r="D309" s="2" t="s">
        <v>1287</v>
      </c>
      <c r="E309" s="2" t="s">
        <v>1288</v>
      </c>
      <c r="F309" s="2">
        <v>95.0</v>
      </c>
      <c r="G309" s="2">
        <v>688.0</v>
      </c>
      <c r="H309" s="2" t="b">
        <v>1</v>
      </c>
      <c r="I309" s="2">
        <v>-1.0</v>
      </c>
      <c r="J309" s="2" t="b">
        <v>0</v>
      </c>
      <c r="K309" s="2" t="b">
        <v>1</v>
      </c>
      <c r="L309" s="2" t="b">
        <v>0</v>
      </c>
      <c r="M309" s="2" t="b">
        <v>0</v>
      </c>
      <c r="N309" s="2" t="s">
        <v>33</v>
      </c>
      <c r="O309" s="2">
        <v>0.0</v>
      </c>
      <c r="P309" s="2">
        <v>0.0</v>
      </c>
      <c r="Q309" s="2">
        <v>0.0</v>
      </c>
      <c r="R309" s="2">
        <v>0.0</v>
      </c>
      <c r="S309" s="3" t="s">
        <v>1289</v>
      </c>
      <c r="T309" s="2" t="s">
        <v>1290</v>
      </c>
      <c r="Y309" s="4" t="str">
        <f>IFERROR(__xludf.DUMMYFUNCTION("""COMPUTED_VALUE"""),"7.1371889")</f>
        <v>7.1371889</v>
      </c>
      <c r="Z309" s="4" t="str">
        <f>IFERROR(__xludf.DUMMYFUNCTION("""COMPUTED_VALUE"""),"3.366604")</f>
        <v>3.366604</v>
      </c>
      <c r="AA309" s="4" t="str">
        <f t="shared" si="1"/>
        <v>Neighbor</v>
      </c>
      <c r="AC309" s="4">
        <f>IFERROR(__xludf.DUMMYFUNCTION("IFERROR(ABS(O309-AVERAGE(FILTER(O309:O4377,AA309:AA4377=""Neighbor""))) / STDEV(FILTER(O309:O4377, AA309:AA4377 =""Neighbor"")), """")"),1.5475041892100039)</f>
        <v>1.547504189</v>
      </c>
      <c r="AD309" s="4">
        <f>IFERROR(__xludf.DUMMYFUNCTION("IFERROR(ABS(P309-AVERAGE(FILTER(O309:P4377,AA309:AA4377=""Neighbor""))) / STDEV(FILTER(P309:P4377, AA309:AA4377 =""Neighbor"")), """")"),1.6126559596724608)</f>
        <v>1.61265596</v>
      </c>
      <c r="AE309" s="2">
        <f>IFERROR(__xludf.DUMMYFUNCTION("IFERROR(ABS(Q309-AVERAGE(FILTER(Q309:Q4377,AA309:AA4377=""Neighbor""))) / STDEV(FILTER(Q309:Q4377, AA309:AA4377 =""Neighbor"")), """")"),1.0551263469516186)</f>
        <v>1.055126347</v>
      </c>
      <c r="AF309" s="2">
        <f>IFERROR(__xludf.DUMMYFUNCTION("IFERROR(ABS(R309-AVERAGE(FILTER(R309:R4377,AA309:AA4377=""Neighbor""))) / STDEV(FILTER(R309:R4377, AA309:AA4377 =""Neighbor"")), """")"),0.10222919336112113)</f>
        <v>0.1022291934</v>
      </c>
    </row>
    <row r="310">
      <c r="A310" s="2" t="s">
        <v>28</v>
      </c>
      <c r="B310" s="2" t="s">
        <v>884</v>
      </c>
      <c r="C310" s="2" t="s">
        <v>1254</v>
      </c>
      <c r="D310" s="2" t="s">
        <v>1291</v>
      </c>
      <c r="E310" s="2" t="s">
        <v>1292</v>
      </c>
      <c r="F310" s="2">
        <v>93.0</v>
      </c>
      <c r="G310" s="2">
        <v>709.0</v>
      </c>
      <c r="H310" s="2" t="b">
        <v>1</v>
      </c>
      <c r="I310" s="2">
        <v>-1.0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s">
        <v>33</v>
      </c>
      <c r="O310" s="2">
        <v>63.0</v>
      </c>
      <c r="P310" s="2">
        <v>9.0</v>
      </c>
      <c r="Q310" s="2">
        <v>14.0</v>
      </c>
      <c r="R310" s="2">
        <v>0.0</v>
      </c>
      <c r="S310" s="3" t="s">
        <v>1293</v>
      </c>
      <c r="T310" s="2" t="s">
        <v>1294</v>
      </c>
      <c r="Y310" s="4" t="str">
        <f>IFERROR(__xludf.DUMMYFUNCTION("""COMPUTED_VALUE"""),"7.1371889")</f>
        <v>7.1371889</v>
      </c>
      <c r="Z310" s="4" t="str">
        <f>IFERROR(__xludf.DUMMYFUNCTION("""COMPUTED_VALUE"""),"3.366604")</f>
        <v>3.366604</v>
      </c>
      <c r="AA310" s="4" t="str">
        <f t="shared" si="1"/>
        <v>Neighbor</v>
      </c>
      <c r="AC310" s="4">
        <f>IFERROR(__xludf.DUMMYFUNCTION("IFERROR(ABS(O310-AVERAGE(FILTER(O310:O4378,AA310:AA4378=""Neighbor""))) / STDEV(FILTER(O310:O4378, AA310:AA4378 =""Neighbor"")), """")"),0.09138933882782767)</f>
        <v>0.09138933883</v>
      </c>
      <c r="AD310" s="4">
        <f>IFERROR(__xludf.DUMMYFUNCTION("IFERROR(ABS(P310-AVERAGE(FILTER(O310:P4378,AA310:AA4378=""Neighbor""))) / STDEV(FILTER(P310:P4378, AA310:AA4378 =""Neighbor"")), """")"),1.2671839553383497)</f>
        <v>1.267183955</v>
      </c>
      <c r="AE310" s="2">
        <f>IFERROR(__xludf.DUMMYFUNCTION("IFERROR(ABS(Q310-AVERAGE(FILTER(Q310:Q4378,AA310:AA4378=""Neighbor""))) / STDEV(FILTER(Q310:Q4378, AA310:AA4378 =""Neighbor"")), """")"),0.46323346193738896)</f>
        <v>0.4632334619</v>
      </c>
      <c r="AF310" s="2">
        <f>IFERROR(__xludf.DUMMYFUNCTION("IFERROR(ABS(R310-AVERAGE(FILTER(R310:R4378,AA310:AA4378=""Neighbor""))) / STDEV(FILTER(R310:R4378, AA310:AA4378 =""Neighbor"")), """")"),0.10226130880602638)</f>
        <v>0.1022613088</v>
      </c>
    </row>
    <row r="311">
      <c r="A311" s="2" t="s">
        <v>28</v>
      </c>
      <c r="B311" s="2" t="s">
        <v>884</v>
      </c>
      <c r="C311" s="2" t="s">
        <v>1254</v>
      </c>
      <c r="D311" s="2" t="s">
        <v>1295</v>
      </c>
      <c r="E311" s="2" t="s">
        <v>1296</v>
      </c>
      <c r="F311" s="2">
        <v>140.0</v>
      </c>
      <c r="G311" s="2">
        <v>939.0</v>
      </c>
      <c r="H311" s="2" t="b">
        <v>1</v>
      </c>
      <c r="I311" s="2">
        <v>-1.0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s">
        <v>33</v>
      </c>
      <c r="O311" s="2">
        <v>81.0</v>
      </c>
      <c r="P311" s="2">
        <v>12.0</v>
      </c>
      <c r="Q311" s="2">
        <v>28.0</v>
      </c>
      <c r="R311" s="2">
        <v>1.0</v>
      </c>
      <c r="S311" s="3" t="s">
        <v>1297</v>
      </c>
      <c r="T311" s="2" t="s">
        <v>1298</v>
      </c>
      <c r="Y311" s="4" t="str">
        <f>IFERROR(__xludf.DUMMYFUNCTION("""COMPUTED_VALUE"""),"7.1371889")</f>
        <v>7.1371889</v>
      </c>
      <c r="Z311" s="4" t="str">
        <f>IFERROR(__xludf.DUMMYFUNCTION("""COMPUTED_VALUE"""),"3.366604")</f>
        <v>3.366604</v>
      </c>
      <c r="AA311" s="4" t="str">
        <f t="shared" si="1"/>
        <v>Neighbor</v>
      </c>
      <c r="AC311" s="4">
        <f>IFERROR(__xludf.DUMMYFUNCTION("IFERROR(ABS(O311-AVERAGE(FILTER(O311:O4379,AA311:AA4379=""Neighbor""))) / STDEV(FILTER(O311:O4379, AA311:AA4379 =""Neighbor"")), """")"),0.3249537822765802)</f>
        <v>0.3249537823</v>
      </c>
      <c r="AD311" s="4">
        <f>IFERROR(__xludf.DUMMYFUNCTION("IFERROR(ABS(P311-AVERAGE(FILTER(O311:P4379,AA311:AA4379=""Neighbor""))) / STDEV(FILTER(P311:P4379, AA311:AA4379 =""Neighbor"")), """")"),1.1516055986412288)</f>
        <v>1.151605599</v>
      </c>
      <c r="AE311" s="2">
        <f>IFERROR(__xludf.DUMMYFUNCTION("IFERROR(ABS(Q311-AVERAGE(FILTER(Q311:Q4379,AA311:AA4379=""Neighbor""))) / STDEV(FILTER(Q311:Q4379, AA311:AA4379 =""Neighbor"")), """")"),0.1290334714874301)</f>
        <v>0.1290334715</v>
      </c>
      <c r="AF311" s="2">
        <f>IFERROR(__xludf.DUMMYFUNCTION("IFERROR(ABS(R311-AVERAGE(FILTER(R311:R4379,AA311:AA4379=""Neighbor""))) / STDEV(FILTER(R311:R4379, AA311:AA4379 =""Neighbor"")), """")"),0.09030125588132257)</f>
        <v>0.09030125588</v>
      </c>
    </row>
    <row r="312">
      <c r="A312" s="2" t="s">
        <v>28</v>
      </c>
      <c r="B312" s="2" t="s">
        <v>884</v>
      </c>
      <c r="C312" s="2" t="s">
        <v>1254</v>
      </c>
      <c r="D312" s="2" t="s">
        <v>1299</v>
      </c>
      <c r="E312" s="2" t="s">
        <v>1300</v>
      </c>
      <c r="F312" s="2">
        <v>96.0</v>
      </c>
      <c r="G312" s="2">
        <v>750.0</v>
      </c>
      <c r="H312" s="2" t="b">
        <v>1</v>
      </c>
      <c r="I312" s="2">
        <v>-1.0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s">
        <v>33</v>
      </c>
      <c r="O312" s="2">
        <v>58.0</v>
      </c>
      <c r="P312" s="2">
        <v>17.0</v>
      </c>
      <c r="Q312" s="2">
        <v>14.0</v>
      </c>
      <c r="R312" s="2">
        <v>0.0</v>
      </c>
      <c r="S312" s="3" t="s">
        <v>1301</v>
      </c>
      <c r="T312" s="2" t="s">
        <v>1302</v>
      </c>
      <c r="Y312" s="4" t="str">
        <f>IFERROR(__xludf.DUMMYFUNCTION("""COMPUTED_VALUE"""),"7.1370923")</f>
        <v>7.1370923</v>
      </c>
      <c r="Z312" s="4" t="str">
        <f>IFERROR(__xludf.DUMMYFUNCTION("""COMPUTED_VALUE"""),"3.3607847")</f>
        <v>3.3607847</v>
      </c>
      <c r="AA312" s="4" t="str">
        <f t="shared" si="1"/>
        <v>Neighbor</v>
      </c>
      <c r="AC312" s="4">
        <f>IFERROR(__xludf.DUMMYFUNCTION("IFERROR(ABS(O312-AVERAGE(FILTER(O312:O4380,AA312:AA4380=""Neighbor""))) / STDEV(FILTER(O312:O4380, AA312:AA4380 =""Neighbor"")), """")"),0.20681672477874977)</f>
        <v>0.2068167248</v>
      </c>
      <c r="AD312" s="4">
        <f>IFERROR(__xludf.DUMMYFUNCTION("IFERROR(ABS(P312-AVERAGE(FILTER(O312:P4380,AA312:AA4380=""Neighbor""))) / STDEV(FILTER(P312:P4380, AA312:AA4380 =""Neighbor"")), """")"),0.9589369707612331)</f>
        <v>0.9589369708</v>
      </c>
      <c r="AE312" s="2">
        <f>IFERROR(__xludf.DUMMYFUNCTION("IFERROR(ABS(Q312-AVERAGE(FILTER(Q312:Q4380,AA312:AA4380=""Neighbor""))) / STDEV(FILTER(Q312:Q4380, AA312:AA4380 =""Neighbor"")), """")"),0.46318619650711246)</f>
        <v>0.4631861965</v>
      </c>
      <c r="AF312" s="2">
        <f>IFERROR(__xludf.DUMMYFUNCTION("IFERROR(ABS(R312-AVERAGE(FILTER(R312:R4380,AA312:AA4380=""Neighbor""))) / STDEV(FILTER(R312:R4380, AA312:AA4380 =""Neighbor"")), """")"),0.10220559731123184)</f>
        <v>0.1022055973</v>
      </c>
    </row>
    <row r="313">
      <c r="A313" s="2" t="s">
        <v>28</v>
      </c>
      <c r="B313" s="2" t="s">
        <v>884</v>
      </c>
      <c r="C313" s="2" t="s">
        <v>1254</v>
      </c>
      <c r="D313" s="2" t="s">
        <v>1303</v>
      </c>
      <c r="E313" s="2" t="s">
        <v>1304</v>
      </c>
      <c r="F313" s="2">
        <v>111.0</v>
      </c>
      <c r="G313" s="2">
        <v>750.0</v>
      </c>
      <c r="H313" s="2" t="b">
        <v>1</v>
      </c>
      <c r="I313" s="2">
        <v>-1.0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s">
        <v>33</v>
      </c>
      <c r="O313" s="2">
        <v>61.0</v>
      </c>
      <c r="P313" s="2">
        <v>24.0</v>
      </c>
      <c r="Q313" s="2">
        <v>19.0</v>
      </c>
      <c r="R313" s="2">
        <v>0.0</v>
      </c>
      <c r="S313" s="3" t="s">
        <v>1305</v>
      </c>
      <c r="T313" s="2" t="s">
        <v>1306</v>
      </c>
      <c r="Y313" s="4" t="str">
        <f>IFERROR(__xludf.DUMMYFUNCTION("""COMPUTED_VALUE"""),"7.1370923")</f>
        <v>7.1370923</v>
      </c>
      <c r="Z313" s="4" t="str">
        <f>IFERROR(__xludf.DUMMYFUNCTION("""COMPUTED_VALUE"""),"3.3607847")</f>
        <v>3.3607847</v>
      </c>
      <c r="AA313" s="4" t="str">
        <f t="shared" si="1"/>
        <v>Not Neighbor</v>
      </c>
      <c r="AC313" s="4">
        <f>IFERROR(__xludf.DUMMYFUNCTION("IFERROR(ABS(O313-AVERAGE(FILTER(O313:O4381,AA313:AA4381=""Neighbor""))) / STDEV(FILTER(O313:O4381, AA313:AA4381 =""Neighbor"")), """")"),0.1375286477420634)</f>
        <v>0.1375286477</v>
      </c>
      <c r="AD313" s="4">
        <f>IFERROR(__xludf.DUMMYFUNCTION("IFERROR(ABS(P313-AVERAGE(FILTER(O313:P4381,AA313:AA4381=""Neighbor""))) / STDEV(FILTER(P313:P4381, AA313:AA4381 =""Neighbor"")), """")"),0.6897291575048116)</f>
        <v>0.6897291575</v>
      </c>
      <c r="AE313" s="2">
        <f>IFERROR(__xludf.DUMMYFUNCTION("IFERROR(ABS(Q313-AVERAGE(FILTER(Q313:Q4381,AA313:AA4381=""Neighbor""))) / STDEV(FILTER(Q313:Q4381, AA313:AA4381 =""Neighbor"")), """")"),0.2518916629173898)</f>
        <v>0.2518916629</v>
      </c>
      <c r="AF313" s="2">
        <f>IFERROR(__xludf.DUMMYFUNCTION("IFERROR(ABS(R313-AVERAGE(FILTER(R313:R4381,AA313:AA4381=""Neighbor""))) / STDEV(FILTER(R313:R4381, AA313:AA4381 =""Neighbor"")), """")"),0.1022377651962196)</f>
        <v>0.1022377652</v>
      </c>
    </row>
    <row r="314">
      <c r="A314" s="2" t="s">
        <v>28</v>
      </c>
      <c r="B314" s="2" t="s">
        <v>884</v>
      </c>
      <c r="C314" s="2" t="s">
        <v>1254</v>
      </c>
      <c r="D314" s="2" t="s">
        <v>1307</v>
      </c>
      <c r="E314" s="2" t="s">
        <v>1308</v>
      </c>
      <c r="F314" s="2">
        <v>54.0</v>
      </c>
      <c r="G314" s="2">
        <v>674.0</v>
      </c>
      <c r="H314" s="2" t="b">
        <v>1</v>
      </c>
      <c r="I314" s="2">
        <v>-1.0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s">
        <v>33</v>
      </c>
      <c r="O314" s="2">
        <v>23.0</v>
      </c>
      <c r="P314" s="2">
        <v>11.0</v>
      </c>
      <c r="Q314" s="2">
        <v>16.0</v>
      </c>
      <c r="R314" s="2">
        <v>0.0</v>
      </c>
      <c r="S314" s="3" t="s">
        <v>1309</v>
      </c>
      <c r="T314" s="2" t="s">
        <v>1310</v>
      </c>
      <c r="Y314" s="4" t="str">
        <f>IFERROR(__xludf.DUMMYFUNCTION("""COMPUTED_VALUE"""),"7.1486672")</f>
        <v>7.1486672</v>
      </c>
      <c r="Z314" s="4" t="str">
        <f>IFERROR(__xludf.DUMMYFUNCTION("""COMPUTED_VALUE"""),"3.349701")</f>
        <v>3.349701</v>
      </c>
      <c r="AA314" s="4" t="str">
        <f t="shared" si="1"/>
        <v>Not Neighbor</v>
      </c>
      <c r="AC314" s="4">
        <f>IFERROR(__xludf.DUMMYFUNCTION("IFERROR(ABS(O314-AVERAGE(FILTER(O314:O4382,AA314:AA4382=""Neighbor""))) / STDEV(FILTER(O314:O4382, AA314:AA4382 =""Neighbor"")), """")"),1.0160285573180683)</f>
        <v>1.016028557</v>
      </c>
      <c r="AD314" s="4">
        <f>IFERROR(__xludf.DUMMYFUNCTION("IFERROR(ABS(P314-AVERAGE(FILTER(O314:P4382,AA314:AA4382=""Neighbor""))) / STDEV(FILTER(P314:P4382, AA314:AA4382 =""Neighbor"")), """")"),1.1893290669200205)</f>
        <v>1.189329067</v>
      </c>
      <c r="AE314" s="2">
        <f>IFERROR(__xludf.DUMMYFUNCTION("IFERROR(ABS(Q314-AVERAGE(FILTER(Q314:Q4382,AA314:AA4382=""Neighbor""))) / STDEV(FILTER(Q314:Q4382, AA314:AA4382 =""Neighbor"")), """")"),0.37877355153441894)</f>
        <v>0.3787735515</v>
      </c>
      <c r="AF314" s="2">
        <f>IFERROR(__xludf.DUMMYFUNCTION("IFERROR(ABS(R314-AVERAGE(FILTER(R314:R4382,AA314:AA4382=""Neighbor""))) / STDEV(FILTER(R314:R4382, AA314:AA4382 =""Neighbor"")), """")"),0.1022377651962196)</f>
        <v>0.1022377652</v>
      </c>
    </row>
    <row r="315">
      <c r="A315" s="2" t="s">
        <v>28</v>
      </c>
      <c r="B315" s="2" t="s">
        <v>884</v>
      </c>
      <c r="C315" s="2" t="s">
        <v>1254</v>
      </c>
      <c r="D315" s="2" t="s">
        <v>1311</v>
      </c>
      <c r="E315" s="2" t="s">
        <v>1312</v>
      </c>
      <c r="F315" s="2">
        <v>87.0</v>
      </c>
      <c r="G315" s="2">
        <v>824.0</v>
      </c>
      <c r="H315" s="2" t="b">
        <v>1</v>
      </c>
      <c r="I315" s="2">
        <v>-1.0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s">
        <v>33</v>
      </c>
      <c r="O315" s="2">
        <v>45.0</v>
      </c>
      <c r="P315" s="2">
        <v>19.0</v>
      </c>
      <c r="Q315" s="2">
        <v>16.0</v>
      </c>
      <c r="R315" s="2">
        <v>0.0</v>
      </c>
      <c r="S315" s="3" t="s">
        <v>1313</v>
      </c>
      <c r="T315" s="2" t="s">
        <v>1314</v>
      </c>
      <c r="Y315" s="4" t="str">
        <f>IFERROR(__xludf.DUMMYFUNCTION("""COMPUTED_VALUE"""),"7.1371889")</f>
        <v>7.1371889</v>
      </c>
      <c r="Z315" s="4" t="str">
        <f>IFERROR(__xludf.DUMMYFUNCTION("""COMPUTED_VALUE"""),"3.366604")</f>
        <v>3.366604</v>
      </c>
      <c r="AA315" s="4" t="str">
        <f t="shared" si="1"/>
        <v>Not Neighbor</v>
      </c>
      <c r="AC315" s="4">
        <f>IFERROR(__xludf.DUMMYFUNCTION("IFERROR(ABS(O315-AVERAGE(FILTER(O315:O4383,AA315:AA4383=""Neighbor""))) / STDEV(FILTER(O315:O4383, AA315:AA4383 =""Neighbor"")), """")"),0.5074233465109076)</f>
        <v>0.5074233465</v>
      </c>
      <c r="AD315" s="4">
        <f>IFERROR(__xludf.DUMMYFUNCTION("IFERROR(ABS(P315-AVERAGE(FILTER(O315:P4383,AA315:AA4383=""Neighbor""))) / STDEV(FILTER(P315:P4383, AA315:AA4383 =""Neighbor"")), """")"),0.8818829688183535)</f>
        <v>0.8818829688</v>
      </c>
      <c r="AE315" s="2">
        <f>IFERROR(__xludf.DUMMYFUNCTION("IFERROR(ABS(Q315-AVERAGE(FILTER(Q315:Q4383,AA315:AA4383=""Neighbor""))) / STDEV(FILTER(Q315:Q4383, AA315:AA4383 =""Neighbor"")), """")"),0.37877355153441894)</f>
        <v>0.3787735515</v>
      </c>
      <c r="AF315" s="2">
        <f>IFERROR(__xludf.DUMMYFUNCTION("IFERROR(ABS(R315-AVERAGE(FILTER(R315:R4383,AA315:AA4383=""Neighbor""))) / STDEV(FILTER(R315:R4383, AA315:AA4383 =""Neighbor"")), """")"),0.1022377651962196)</f>
        <v>0.1022377652</v>
      </c>
    </row>
    <row r="316">
      <c r="A316" s="2" t="s">
        <v>28</v>
      </c>
      <c r="B316" s="2" t="s">
        <v>884</v>
      </c>
      <c r="C316" s="2" t="s">
        <v>1254</v>
      </c>
      <c r="D316" s="2" t="s">
        <v>1315</v>
      </c>
      <c r="E316" s="2" t="s">
        <v>1316</v>
      </c>
      <c r="F316" s="2">
        <v>78.0</v>
      </c>
      <c r="G316" s="2">
        <v>640.0</v>
      </c>
      <c r="H316" s="2" t="b">
        <v>1</v>
      </c>
      <c r="I316" s="2">
        <v>-1.0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s">
        <v>33</v>
      </c>
      <c r="O316" s="2">
        <v>49.0</v>
      </c>
      <c r="P316" s="2">
        <v>7.0</v>
      </c>
      <c r="Q316" s="2">
        <v>12.0</v>
      </c>
      <c r="R316" s="2">
        <v>0.0</v>
      </c>
      <c r="S316" s="3" t="s">
        <v>1317</v>
      </c>
      <c r="T316" s="2" t="s">
        <v>1318</v>
      </c>
      <c r="Y316" s="4" t="str">
        <f>IFERROR(__xludf.DUMMYFUNCTION("""COMPUTED_VALUE"""),"7.147502")</f>
        <v>7.147502</v>
      </c>
      <c r="Z316" s="4" t="str">
        <f>IFERROR(__xludf.DUMMYFUNCTION("""COMPUTED_VALUE"""),"3.3619356")</f>
        <v>3.3619356</v>
      </c>
      <c r="AA316" s="4" t="str">
        <f t="shared" si="1"/>
        <v>Neighbor</v>
      </c>
      <c r="AC316" s="4">
        <f>IFERROR(__xludf.DUMMYFUNCTION("IFERROR(ABS(O316-AVERAGE(FILTER(O316:O4384,AA316:AA4384=""Neighbor""))) / STDEV(FILTER(O316:O4384, AA316:AA4384 =""Neighbor"")), """")"),0.4149496718186965)</f>
        <v>0.4149496718</v>
      </c>
      <c r="AD316" s="4">
        <f>IFERROR(__xludf.DUMMYFUNCTION("IFERROR(ABS(P316-AVERAGE(FILTER(O316:P4384,AA316:AA4384=""Neighbor""))) / STDEV(FILTER(P316:P4384, AA316:AA4384 =""Neighbor"")), """")"),1.343052115970854)</f>
        <v>1.343052116</v>
      </c>
      <c r="AE316" s="2">
        <f>IFERROR(__xludf.DUMMYFUNCTION("IFERROR(ABS(Q316-AVERAGE(FILTER(Q316:Q4384,AA316:AA4384=""Neighbor""))) / STDEV(FILTER(Q316:Q4384, AA316:AA4384 =""Neighbor"")), """")"),0.5479494030237911)</f>
        <v>0.547949403</v>
      </c>
      <c r="AF316" s="2">
        <f>IFERROR(__xludf.DUMMYFUNCTION("IFERROR(ABS(R316-AVERAGE(FILTER(R316:R4384,AA316:AA4384=""Neighbor""))) / STDEV(FILTER(R316:R4384, AA316:AA4384 =""Neighbor"")), """")"),0.1022377651962196)</f>
        <v>0.1022377652</v>
      </c>
    </row>
    <row r="317">
      <c r="A317" s="2" t="s">
        <v>28</v>
      </c>
      <c r="B317" s="2" t="s">
        <v>884</v>
      </c>
      <c r="C317" s="2" t="s">
        <v>1254</v>
      </c>
      <c r="D317" s="2" t="s">
        <v>1319</v>
      </c>
      <c r="E317" s="2" t="s">
        <v>1320</v>
      </c>
      <c r="F317" s="2">
        <v>72.0</v>
      </c>
      <c r="G317" s="2">
        <v>698.0</v>
      </c>
      <c r="H317" s="2" t="b">
        <v>1</v>
      </c>
      <c r="I317" s="2">
        <v>-1.0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s">
        <v>33</v>
      </c>
      <c r="O317" s="2">
        <v>38.0</v>
      </c>
      <c r="P317" s="2">
        <v>18.0</v>
      </c>
      <c r="Q317" s="2">
        <v>12.0</v>
      </c>
      <c r="R317" s="2">
        <v>0.0</v>
      </c>
      <c r="S317" s="3" t="s">
        <v>1321</v>
      </c>
      <c r="T317" s="2" t="s">
        <v>1322</v>
      </c>
      <c r="Y317" s="4" t="str">
        <f>IFERROR(__xludf.DUMMYFUNCTION("""COMPUTED_VALUE"""),"7.1390174")</f>
        <v>7.1390174</v>
      </c>
      <c r="Z317" s="4" t="str">
        <f>IFERROR(__xludf.DUMMYFUNCTION("""COMPUTED_VALUE"""),"3.365171")</f>
        <v>3.365171</v>
      </c>
      <c r="AA317" s="4" t="str">
        <f t="shared" si="1"/>
        <v>Not Neighbor</v>
      </c>
      <c r="AC317" s="4">
        <f>IFERROR(__xludf.DUMMYFUNCTION("IFERROR(ABS(O317-AVERAGE(FILTER(O317:O4385,AA317:AA4385=""Neighbor""))) / STDEV(FILTER(O317:O4385, AA317:AA4385 =""Neighbor"")), """")"),0.6693382434030831)</f>
        <v>0.6693382434</v>
      </c>
      <c r="AD317" s="4">
        <f>IFERROR(__xludf.DUMMYFUNCTION("IFERROR(ABS(P317-AVERAGE(FILTER(O317:P4385,AA317:AA4385=""Neighbor""))) / STDEV(FILTER(P317:P4385, AA317:AA4385 =""Neighbor"")), """")"),0.920402868096593)</f>
        <v>0.9204028681</v>
      </c>
      <c r="AE317" s="2">
        <f>IFERROR(__xludf.DUMMYFUNCTION("IFERROR(ABS(Q317-AVERAGE(FILTER(Q317:Q4385,AA317:AA4385=""Neighbor""))) / STDEV(FILTER(Q317:Q4385, AA317:AA4385 =""Neighbor"")), """")"),0.5481715552834712)</f>
        <v>0.5481715553</v>
      </c>
      <c r="AF317" s="2">
        <f>IFERROR(__xludf.DUMMYFUNCTION("IFERROR(ABS(R317-AVERAGE(FILTER(R317:R4385,AA317:AA4385=""Neighbor""))) / STDEV(FILTER(R317:R4385, AA317:AA4385 =""Neighbor"")), """")"),0.10226996347385578)</f>
        <v>0.1022699635</v>
      </c>
    </row>
    <row r="318">
      <c r="A318" s="2" t="s">
        <v>28</v>
      </c>
      <c r="B318" s="2" t="s">
        <v>884</v>
      </c>
      <c r="C318" s="2" t="s">
        <v>1254</v>
      </c>
      <c r="D318" s="2" t="s">
        <v>1323</v>
      </c>
      <c r="E318" s="2" t="s">
        <v>1324</v>
      </c>
      <c r="F318" s="2">
        <v>248.0</v>
      </c>
      <c r="G318" s="2">
        <v>1713.0</v>
      </c>
      <c r="H318" s="2" t="b">
        <v>1</v>
      </c>
      <c r="I318" s="2">
        <v>-1.0</v>
      </c>
      <c r="J318" s="2" t="b">
        <v>0</v>
      </c>
      <c r="K318" s="2" t="b">
        <v>1</v>
      </c>
      <c r="L318" s="2" t="b">
        <v>0</v>
      </c>
      <c r="M318" s="2" t="b">
        <v>0</v>
      </c>
      <c r="N318" s="2" t="s">
        <v>33</v>
      </c>
      <c r="O318" s="2">
        <v>137.0</v>
      </c>
      <c r="P318" s="2">
        <v>83.0</v>
      </c>
      <c r="Q318" s="2">
        <v>16.0</v>
      </c>
      <c r="R318" s="2">
        <v>0.0</v>
      </c>
      <c r="S318" s="3" t="s">
        <v>1325</v>
      </c>
      <c r="T318" s="2" t="s">
        <v>1326</v>
      </c>
      <c r="Y318" s="4" t="str">
        <f>IFERROR(__xludf.DUMMYFUNCTION("""COMPUTED_VALUE"""),"7.15543")</f>
        <v>7.15543</v>
      </c>
      <c r="Z318" s="4" t="str">
        <f>IFERROR(__xludf.DUMMYFUNCTION("""COMPUTED_VALUE"""),"3.33879")</f>
        <v>3.33879</v>
      </c>
      <c r="AA318" s="4" t="str">
        <f t="shared" si="1"/>
        <v>Not Neighbor</v>
      </c>
      <c r="AC318" s="4">
        <f>IFERROR(__xludf.DUMMYFUNCTION("IFERROR(ABS(O318-AVERAGE(FILTER(O318:O4386,AA318:AA4386=""Neighbor""))) / STDEV(FILTER(O318:O4386, AA318:AA4386 =""Neighbor"")), """")"),1.618794174005078)</f>
        <v>1.618794174</v>
      </c>
      <c r="AD318" s="4">
        <f>IFERROR(__xludf.DUMMYFUNCTION("IFERROR(ABS(P318-AVERAGE(FILTER(O318:P4386,AA318:AA4386=""Neighbor""))) / STDEV(FILTER(P318:P4386, AA318:AA4386 =""Neighbor"")), """")"),1.5769312683648604)</f>
        <v>1.576931268</v>
      </c>
      <c r="AE318" s="2">
        <f>IFERROR(__xludf.DUMMYFUNCTION("IFERROR(ABS(Q318-AVERAGE(FILTER(Q318:Q4386,AA318:AA4386=""Neighbor""))) / STDEV(FILTER(Q318:Q4386, AA318:AA4386 =""Neighbor"")), """")"),0.3790326297034886)</f>
        <v>0.3790326297</v>
      </c>
      <c r="AF318" s="2">
        <f>IFERROR(__xludf.DUMMYFUNCTION("IFERROR(ABS(R318-AVERAGE(FILTER(R318:R4386,AA318:AA4386=""Neighbor""))) / STDEV(FILTER(R318:R4386, AA318:AA4386 =""Neighbor"")), """")"),0.10226996347385578)</f>
        <v>0.1022699635</v>
      </c>
    </row>
    <row r="319">
      <c r="A319" s="2" t="s">
        <v>28</v>
      </c>
      <c r="B319" s="2" t="s">
        <v>884</v>
      </c>
      <c r="C319" s="2" t="s">
        <v>1254</v>
      </c>
      <c r="D319" s="2" t="s">
        <v>1327</v>
      </c>
      <c r="E319" s="2" t="s">
        <v>1328</v>
      </c>
      <c r="F319" s="2">
        <v>204.0</v>
      </c>
      <c r="G319" s="2">
        <v>1167.0</v>
      </c>
      <c r="H319" s="2" t="b">
        <v>1</v>
      </c>
      <c r="I319" s="2">
        <v>-1.0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s">
        <v>33</v>
      </c>
      <c r="O319" s="2">
        <v>78.0</v>
      </c>
      <c r="P319" s="2">
        <v>92.0</v>
      </c>
      <c r="Q319" s="2">
        <v>8.0</v>
      </c>
      <c r="R319" s="2">
        <v>0.0</v>
      </c>
      <c r="S319" s="3" t="s">
        <v>1329</v>
      </c>
      <c r="T319" s="2" t="s">
        <v>1330</v>
      </c>
      <c r="Y319" s="4" t="str">
        <f>IFERROR(__xludf.DUMMYFUNCTION("""COMPUTED_VALUE"""),"7.1341158")</f>
        <v>7.1341158</v>
      </c>
      <c r="Z319" s="4" t="str">
        <f>IFERROR(__xludf.DUMMYFUNCTION("""COMPUTED_VALUE"""),"3.3686345")</f>
        <v>3.3686345</v>
      </c>
      <c r="AA319" s="4" t="str">
        <f t="shared" si="1"/>
        <v>Neighbor</v>
      </c>
      <c r="AC319" s="4">
        <f>IFERROR(__xludf.DUMMYFUNCTION("IFERROR(ABS(O319-AVERAGE(FILTER(O319:O4387,AA319:AA4387=""Neighbor""))) / STDEV(FILTER(O319:O4387, AA319:AA4387 =""Neighbor"")), """")"),0.25515970302445673)</f>
        <v>0.255159703</v>
      </c>
      <c r="AD319" s="4">
        <f>IFERROR(__xludf.DUMMYFUNCTION("IFERROR(ABS(P319-AVERAGE(FILTER(O319:P4387,AA319:AA4387=""Neighbor""))) / STDEV(FILTER(P319:P4387, AA319:AA4387 =""Neighbor"")), """")"),1.9227159949518309)</f>
        <v>1.922715995</v>
      </c>
      <c r="AE319" s="2">
        <f>IFERROR(__xludf.DUMMYFUNCTION("IFERROR(ABS(Q319-AVERAGE(FILTER(Q319:Q4387,AA319:AA4387=""Neighbor""))) / STDEV(FILTER(Q319:Q4387, AA319:AA4387 =""Neighbor"")), """")"),0.7173104808634537)</f>
        <v>0.7173104809</v>
      </c>
      <c r="AF319" s="2">
        <f>IFERROR(__xludf.DUMMYFUNCTION("IFERROR(ABS(R319-AVERAGE(FILTER(R319:R4387,AA319:AA4387=""Neighbor""))) / STDEV(FILTER(R319:R4387, AA319:AA4387 =""Neighbor"")), """")"),0.10226996347385578)</f>
        <v>0.1022699635</v>
      </c>
    </row>
    <row r="320">
      <c r="A320" s="2" t="s">
        <v>28</v>
      </c>
      <c r="B320" s="2" t="s">
        <v>884</v>
      </c>
      <c r="C320" s="2" t="s">
        <v>1254</v>
      </c>
      <c r="D320" s="2" t="s">
        <v>1331</v>
      </c>
      <c r="E320" s="2" t="s">
        <v>1332</v>
      </c>
      <c r="F320" s="2">
        <v>85.0</v>
      </c>
      <c r="G320" s="2">
        <v>868.0</v>
      </c>
      <c r="H320" s="2" t="b">
        <v>1</v>
      </c>
      <c r="I320" s="2">
        <v>-1.0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s">
        <v>33</v>
      </c>
      <c r="O320" s="2">
        <v>41.0</v>
      </c>
      <c r="P320" s="2">
        <v>25.0</v>
      </c>
      <c r="Q320" s="2">
        <v>17.0</v>
      </c>
      <c r="R320" s="2">
        <v>0.0</v>
      </c>
      <c r="S320" s="3" t="s">
        <v>1333</v>
      </c>
      <c r="T320" s="2" t="s">
        <v>1334</v>
      </c>
      <c r="Y320" s="4" t="str">
        <f>IFERROR(__xludf.DUMMYFUNCTION("""COMPUTED_VALUE"""),"7.1371889")</f>
        <v>7.1371889</v>
      </c>
      <c r="Z320" s="4" t="str">
        <f>IFERROR(__xludf.DUMMYFUNCTION("""COMPUTED_VALUE"""),"3.366604")</f>
        <v>3.366604</v>
      </c>
      <c r="AA320" s="4" t="str">
        <f t="shared" si="1"/>
        <v>Neighbor</v>
      </c>
      <c r="AC320" s="4">
        <f>IFERROR(__xludf.DUMMYFUNCTION("IFERROR(ABS(O320-AVERAGE(FILTER(O320:O4388,AA320:AA4388=""Neighbor""))) / STDEV(FILTER(O320:O4388, AA320:AA4388 =""Neighbor"")), """")"),0.5996665691684507)</f>
        <v>0.5996665692</v>
      </c>
      <c r="AD320" s="4">
        <f>IFERROR(__xludf.DUMMYFUNCTION("IFERROR(ABS(P320-AVERAGE(FILTER(O320:P4388,AA320:AA4388=""Neighbor""))) / STDEV(FILTER(P320:P4388, AA320:AA4388 =""Neighbor"")), """")"),0.6519187305973716)</f>
        <v>0.6519187306</v>
      </c>
      <c r="AE320" s="2">
        <f>IFERROR(__xludf.DUMMYFUNCTION("IFERROR(ABS(Q320-AVERAGE(FILTER(Q320:Q4388,AA320:AA4388=""Neighbor""))) / STDEV(FILTER(Q320:Q4388, AA320:AA4388 =""Neighbor"")), """")"),0.3371445797564748)</f>
        <v>0.3371445798</v>
      </c>
      <c r="AF320" s="2">
        <f>IFERROR(__xludf.DUMMYFUNCTION("IFERROR(ABS(R320-AVERAGE(FILTER(R320:R4388,AA320:AA4388=""Neighbor""))) / STDEV(FILTER(R320:R4388, AA320:AA4388 =""Neighbor"")), """")"),0.10230219219202998)</f>
        <v>0.1023021922</v>
      </c>
    </row>
    <row r="321">
      <c r="A321" s="2" t="s">
        <v>28</v>
      </c>
      <c r="B321" s="2" t="s">
        <v>884</v>
      </c>
      <c r="C321" s="2" t="s">
        <v>1254</v>
      </c>
      <c r="D321" s="2" t="s">
        <v>1335</v>
      </c>
      <c r="E321" s="2" t="s">
        <v>1336</v>
      </c>
      <c r="F321" s="2">
        <v>106.0</v>
      </c>
      <c r="G321" s="2">
        <v>491.0</v>
      </c>
      <c r="H321" s="2" t="b">
        <v>1</v>
      </c>
      <c r="I321" s="2">
        <v>-1.0</v>
      </c>
      <c r="J321" s="2" t="b">
        <v>0</v>
      </c>
      <c r="K321" s="2" t="b">
        <v>1</v>
      </c>
      <c r="L321" s="2" t="b">
        <v>0</v>
      </c>
      <c r="M321" s="2" t="b">
        <v>0</v>
      </c>
      <c r="N321" s="2" t="s">
        <v>33</v>
      </c>
      <c r="O321" s="2">
        <v>48.0</v>
      </c>
      <c r="P321" s="2">
        <v>35.0</v>
      </c>
      <c r="Q321" s="2">
        <v>9.0</v>
      </c>
      <c r="R321" s="2">
        <v>0.0</v>
      </c>
      <c r="S321" s="3" t="s">
        <v>1337</v>
      </c>
      <c r="T321" s="2" t="s">
        <v>1338</v>
      </c>
      <c r="Y321" s="4" t="str">
        <f>IFERROR(__xludf.DUMMYFUNCTION("""COMPUTED_VALUE"""),"7.1371889")</f>
        <v>7.1371889</v>
      </c>
      <c r="Z321" s="4" t="str">
        <f>IFERROR(__xludf.DUMMYFUNCTION("""COMPUTED_VALUE"""),"3.366604")</f>
        <v>3.366604</v>
      </c>
      <c r="AA321" s="4" t="str">
        <f t="shared" si="1"/>
        <v>Not Neighbor</v>
      </c>
      <c r="AC321" s="4">
        <f>IFERROR(__xludf.DUMMYFUNCTION("IFERROR(ABS(O321-AVERAGE(FILTER(O321:O4389,AA321:AA4389=""Neighbor""))) / STDEV(FILTER(O321:O4389, AA321:AA4389 =""Neighbor"")), """")"),0.43821354263482803)</f>
        <v>0.4382135426</v>
      </c>
      <c r="AD321" s="4">
        <f>IFERROR(__xludf.DUMMYFUNCTION("IFERROR(ABS(P321-AVERAGE(FILTER(O321:P4389,AA321:AA4389=""Neighbor""))) / STDEV(FILTER(P321:P4389, AA321:AA4389 =""Neighbor"")), """")"),0.26697170945627574)</f>
        <v>0.2669717095</v>
      </c>
      <c r="AE321" s="2">
        <f>IFERROR(__xludf.DUMMYFUNCTION("IFERROR(ABS(Q321-AVERAGE(FILTER(Q321:Q4389,AA321:AA4389=""Neighbor""))) / STDEV(FILTER(Q321:Q4389, AA321:AA4389 =""Neighbor"")), """")"),0.6753947433969913)</f>
        <v>0.6753947434</v>
      </c>
      <c r="AF321" s="2">
        <f>IFERROR(__xludf.DUMMYFUNCTION("IFERROR(ABS(R321-AVERAGE(FILTER(R321:R4389,AA321:AA4389=""Neighbor""))) / STDEV(FILTER(R321:R4389, AA321:AA4389 =""Neighbor"")), """")"),0.1023344513987374)</f>
        <v>0.1023344514</v>
      </c>
    </row>
    <row r="322">
      <c r="A322" s="2" t="s">
        <v>28</v>
      </c>
      <c r="B322" s="2" t="s">
        <v>884</v>
      </c>
      <c r="C322" s="2" t="s">
        <v>1339</v>
      </c>
      <c r="D322" s="2" t="s">
        <v>1340</v>
      </c>
      <c r="E322" s="2" t="s">
        <v>1341</v>
      </c>
      <c r="F322" s="2">
        <v>161.0</v>
      </c>
      <c r="G322" s="2">
        <v>586.0</v>
      </c>
      <c r="H322" s="2" t="b">
        <v>1</v>
      </c>
      <c r="I322" s="2">
        <v>-1.0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s">
        <v>33</v>
      </c>
      <c r="O322" s="2">
        <v>109.0</v>
      </c>
      <c r="P322" s="2">
        <v>3.0</v>
      </c>
      <c r="Q322" s="2">
        <v>34.0</v>
      </c>
      <c r="R322" s="2">
        <v>0.0</v>
      </c>
      <c r="S322" s="3" t="s">
        <v>1342</v>
      </c>
      <c r="T322" s="2" t="s">
        <v>1343</v>
      </c>
      <c r="Y322" s="4" t="str">
        <f>IFERROR(__xludf.DUMMYFUNCTION("""COMPUTED_VALUE"""),"7.1608928")</f>
        <v>7.1608928</v>
      </c>
      <c r="Z322" s="4" t="str">
        <f>IFERROR(__xludf.DUMMYFUNCTION("""COMPUTED_VALUE"""),"3.34204")</f>
        <v>3.34204</v>
      </c>
      <c r="AA322" s="4" t="str">
        <f t="shared" si="1"/>
        <v>Not Neighbor</v>
      </c>
      <c r="AC322" s="4">
        <f>IFERROR(__xludf.DUMMYFUNCTION("IFERROR(ABS(O322-AVERAGE(FILTER(O322:O4390,AA322:AA4390=""Neighbor""))) / STDEV(FILTER(O322:O4390, AA322:AA4390 =""Neighbor"")), """")"),0.9709525023852559)</f>
        <v>0.9709525024</v>
      </c>
      <c r="AD322" s="4">
        <f>IFERROR(__xludf.DUMMYFUNCTION("IFERROR(ABS(P322-AVERAGE(FILTER(O322:P4390,AA322:AA4390=""Neighbor""))) / STDEV(FILTER(P322:P4390, AA322:AA4390 =""Neighbor"")), """")"),1.4989009703312062)</f>
        <v>1.49890097</v>
      </c>
      <c r="AE322" s="2">
        <f>IFERROR(__xludf.DUMMYFUNCTION("IFERROR(ABS(Q322-AVERAGE(FILTER(Q322:Q4390,AA322:AA4390=""Neighbor""))) / STDEV(FILTER(Q322:Q4390, AA322:AA4390 =""Neighbor"")), """")"),0.38127080030251925)</f>
        <v>0.3812708003</v>
      </c>
      <c r="AF322" s="2">
        <f>IFERROR(__xludf.DUMMYFUNCTION("IFERROR(ABS(R322-AVERAGE(FILTER(R322:R4390,AA322:AA4390=""Neighbor""))) / STDEV(FILTER(R322:R4390, AA322:AA4390 =""Neighbor"")), """")"),0.1023344513987374)</f>
        <v>0.1023344514</v>
      </c>
    </row>
    <row r="323">
      <c r="A323" s="2" t="s">
        <v>28</v>
      </c>
      <c r="B323" s="2" t="s">
        <v>884</v>
      </c>
      <c r="C323" s="2" t="s">
        <v>1339</v>
      </c>
      <c r="D323" s="2" t="s">
        <v>1344</v>
      </c>
      <c r="E323" s="2" t="s">
        <v>1345</v>
      </c>
      <c r="F323" s="2">
        <v>129.0</v>
      </c>
      <c r="G323" s="2">
        <v>473.0</v>
      </c>
      <c r="H323" s="2" t="b">
        <v>1</v>
      </c>
      <c r="I323" s="2">
        <v>-1.0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s">
        <v>33</v>
      </c>
      <c r="O323" s="2">
        <v>72.0</v>
      </c>
      <c r="P323" s="2">
        <v>6.0</v>
      </c>
      <c r="Q323" s="2">
        <v>25.0</v>
      </c>
      <c r="R323" s="2">
        <v>3.0</v>
      </c>
      <c r="S323" s="3" t="s">
        <v>1346</v>
      </c>
      <c r="T323" s="2" t="s">
        <v>1347</v>
      </c>
      <c r="Y323" s="4" t="str">
        <f>IFERROR(__xludf.DUMMYFUNCTION("""COMPUTED_VALUE"""),"7.1523317")</f>
        <v>7.1523317</v>
      </c>
      <c r="Z323" s="4" t="str">
        <f>IFERROR(__xludf.DUMMYFUNCTION("""COMPUTED_VALUE"""),"3.3572103")</f>
        <v>3.3572103</v>
      </c>
      <c r="AA323" s="4" t="str">
        <f t="shared" si="1"/>
        <v>Neighbor</v>
      </c>
      <c r="AC323" s="4">
        <f>IFERROR(__xludf.DUMMYFUNCTION("IFERROR(ABS(O323-AVERAGE(FILTER(O323:O4391,AA323:AA4391=""Neighbor""))) / STDEV(FILTER(O323:O4391, AA323:AA4391 =""Neighbor"")), """")"),0.11621244229110664)</f>
        <v>0.1162124423</v>
      </c>
      <c r="AD323" s="4">
        <f>IFERROR(__xludf.DUMMYFUNCTION("IFERROR(ABS(P323-AVERAGE(FILTER(O323:P4391,AA323:AA4391=""Neighbor""))) / STDEV(FILTER(P323:P4391, AA323:AA4391 =""Neighbor"")), """")"),1.3834076021241815)</f>
        <v>1.383407602</v>
      </c>
      <c r="AE323" s="2">
        <f>IFERROR(__xludf.DUMMYFUNCTION("IFERROR(ABS(Q323-AVERAGE(FILTER(Q323:Q4391,AA323:AA4391=""Neighbor""))) / STDEV(FILTER(Q323:Q4391, AA323:AA4391 =""Neighbor"")), """")"),8.71204570695427E-4)</f>
        <v>0.0008712045707</v>
      </c>
      <c r="AF323" s="2">
        <f>IFERROR(__xludf.DUMMYFUNCTION("IFERROR(ABS(R323-AVERAGE(FILTER(R323:R4391,AA323:AA4391=""Neighbor""))) / STDEV(FILTER(R323:R4391, AA323:AA4391 =""Neighbor"")), """")"),0.47455800173287727)</f>
        <v>0.4745580017</v>
      </c>
    </row>
    <row r="324">
      <c r="A324" s="2" t="s">
        <v>28</v>
      </c>
      <c r="B324" s="2" t="s">
        <v>884</v>
      </c>
      <c r="C324" s="2" t="s">
        <v>1339</v>
      </c>
      <c r="D324" s="2" t="s">
        <v>1348</v>
      </c>
      <c r="E324" s="2" t="s">
        <v>1349</v>
      </c>
      <c r="F324" s="2">
        <v>173.0</v>
      </c>
      <c r="G324" s="2">
        <v>701.0</v>
      </c>
      <c r="H324" s="2" t="b">
        <v>1</v>
      </c>
      <c r="I324" s="2">
        <v>-1.0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s">
        <v>33</v>
      </c>
      <c r="O324" s="2">
        <v>73.0</v>
      </c>
      <c r="P324" s="2">
        <v>1.0</v>
      </c>
      <c r="Q324" s="2">
        <v>41.0</v>
      </c>
      <c r="R324" s="2">
        <v>0.0</v>
      </c>
      <c r="S324" s="3" t="s">
        <v>1350</v>
      </c>
      <c r="T324" s="2" t="s">
        <v>1351</v>
      </c>
      <c r="Y324" s="4" t="str">
        <f>IFERROR(__xludf.DUMMYFUNCTION("""COMPUTED_VALUE"""),"7.1523317")</f>
        <v>7.1523317</v>
      </c>
      <c r="Z324" s="4" t="str">
        <f>IFERROR(__xludf.DUMMYFUNCTION("""COMPUTED_VALUE"""),"3.3572103")</f>
        <v>3.3572103</v>
      </c>
      <c r="AA324" s="4" t="str">
        <f t="shared" si="1"/>
        <v>Not Neighbor</v>
      </c>
      <c r="AC324" s="4">
        <f>IFERROR(__xludf.DUMMYFUNCTION("IFERROR(ABS(O324-AVERAGE(FILTER(O324:O4392,AA324:AA4392=""Neighbor""))) / STDEV(FILTER(O324:O4392, AA324:AA4392 =""Neighbor"")), """")"),0.13934318124540096)</f>
        <v>0.1393431812</v>
      </c>
      <c r="AD324" s="4">
        <f>IFERROR(__xludf.DUMMYFUNCTION("IFERROR(ABS(P324-AVERAGE(FILTER(O324:P4392,AA324:AA4392=""Neighbor""))) / STDEV(FILTER(P324:P4392, AA324:AA4392 =""Neighbor"")), """")"),1.5755613510043702)</f>
        <v>1.575561351</v>
      </c>
      <c r="AE324" s="2">
        <f>IFERROR(__xludf.DUMMYFUNCTION("IFERROR(ABS(Q324-AVERAGE(FILTER(Q324:Q4392,AA324:AA4392=""Neighbor""))) / STDEV(FILTER(Q324:Q4392, AA324:AA4392 =""Neighbor"")), """")"),0.676926058597871)</f>
        <v>0.6769260586</v>
      </c>
      <c r="AF324" s="2">
        <f>IFERROR(__xludf.DUMMYFUNCTION("IFERROR(ABS(R324-AVERAGE(FILTER(R324:R4392,AA324:AA4392=""Neighbor""))) / STDEV(FILTER(R324:R4392, AA324:AA4392 =""Neighbor"")), """")"),0.10201314491881763)</f>
        <v>0.1020131449</v>
      </c>
    </row>
    <row r="325">
      <c r="A325" s="2" t="s">
        <v>28</v>
      </c>
      <c r="B325" s="2" t="s">
        <v>884</v>
      </c>
      <c r="C325" s="2" t="s">
        <v>1339</v>
      </c>
      <c r="D325" s="2" t="s">
        <v>1352</v>
      </c>
      <c r="E325" s="2" t="s">
        <v>1353</v>
      </c>
      <c r="F325" s="2">
        <v>196.0</v>
      </c>
      <c r="G325" s="2">
        <v>756.0</v>
      </c>
      <c r="H325" s="2" t="b">
        <v>1</v>
      </c>
      <c r="I325" s="2">
        <v>-1.0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s">
        <v>33</v>
      </c>
      <c r="O325" s="2">
        <v>132.0</v>
      </c>
      <c r="P325" s="2">
        <v>10.0</v>
      </c>
      <c r="Q325" s="2">
        <v>39.0</v>
      </c>
      <c r="R325" s="2">
        <v>1.0</v>
      </c>
      <c r="S325" s="3" t="s">
        <v>1354</v>
      </c>
      <c r="T325" s="2" t="s">
        <v>1355</v>
      </c>
      <c r="Y325" s="4" t="str">
        <f>IFERROR(__xludf.DUMMYFUNCTION("""COMPUTED_VALUE"""),"7.1635922")</f>
        <v>7.1635922</v>
      </c>
      <c r="Z325" s="4" t="str">
        <f>IFERROR(__xludf.DUMMYFUNCTION("""COMPUTED_VALUE"""),"3.3406015")</f>
        <v>3.3406015</v>
      </c>
      <c r="AA325" s="4" t="str">
        <f t="shared" si="1"/>
        <v>Neighbor</v>
      </c>
      <c r="AC325" s="4">
        <f>IFERROR(__xludf.DUMMYFUNCTION("IFERROR(ABS(O325-AVERAGE(FILTER(O325:O4393,AA325:AA4393=""Neighbor""))) / STDEV(FILTER(O325:O4393, AA325:AA4393 =""Neighbor"")), """")"),1.5018868221782635)</f>
        <v>1.501886822</v>
      </c>
      <c r="AD325" s="4">
        <f>IFERROR(__xludf.DUMMYFUNCTION("IFERROR(ABS(P325-AVERAGE(FILTER(O325:P4393,AA325:AA4393=""Neighbor""))) / STDEV(FILTER(P325:P4393, AA325:AA4393 =""Neighbor"")), """")"),1.2291704648854067)</f>
        <v>1.229170465</v>
      </c>
      <c r="AE325" s="2">
        <f>IFERROR(__xludf.DUMMYFUNCTION("IFERROR(ABS(Q325-AVERAGE(FILTER(Q325:Q4393,AA325:AA4393=""Neighbor""))) / STDEV(FILTER(Q325:Q4393, AA325:AA4393 =""Neighbor"")), """")"),0.5924192358493364)</f>
        <v>0.5924192358</v>
      </c>
      <c r="AF325" s="2">
        <f>IFERROR(__xludf.DUMMYFUNCTION("IFERROR(ABS(R325-AVERAGE(FILTER(R325:R4393,AA325:AA4393=""Neighbor""))) / STDEV(FILTER(R325:R4393, AA325:AA4393 =""Neighbor"")), """")"),0.0902377760118163)</f>
        <v>0.09023777601</v>
      </c>
    </row>
    <row r="326">
      <c r="A326" s="2" t="s">
        <v>28</v>
      </c>
      <c r="B326" s="2" t="s">
        <v>884</v>
      </c>
      <c r="C326" s="2" t="s">
        <v>1339</v>
      </c>
      <c r="D326" s="2" t="s">
        <v>1356</v>
      </c>
      <c r="E326" s="2" t="s">
        <v>1357</v>
      </c>
      <c r="F326" s="2">
        <v>143.0</v>
      </c>
      <c r="G326" s="2">
        <v>480.0</v>
      </c>
      <c r="H326" s="2" t="b">
        <v>1</v>
      </c>
      <c r="I326" s="2">
        <v>-1.0</v>
      </c>
      <c r="J326" s="2" t="b">
        <v>0</v>
      </c>
      <c r="K326" s="2" t="b">
        <v>1</v>
      </c>
      <c r="L326" s="2" t="b">
        <v>0</v>
      </c>
      <c r="M326" s="2" t="b">
        <v>0</v>
      </c>
      <c r="N326" s="2" t="s">
        <v>33</v>
      </c>
      <c r="O326" s="2">
        <v>98.0</v>
      </c>
      <c r="P326" s="2">
        <v>10.0</v>
      </c>
      <c r="Q326" s="2">
        <v>39.0</v>
      </c>
      <c r="R326" s="2">
        <v>0.0</v>
      </c>
      <c r="S326" s="3" t="s">
        <v>1358</v>
      </c>
      <c r="T326" s="2" t="s">
        <v>1359</v>
      </c>
      <c r="Y326" s="4" t="str">
        <f>IFERROR(__xludf.DUMMYFUNCTION("""COMPUTED_VALUE"""),"7.1601877")</f>
        <v>7.1601877</v>
      </c>
      <c r="Z326" s="4" t="str">
        <f>IFERROR(__xludf.DUMMYFUNCTION("""COMPUTED_VALUE"""),"3.3452134")</f>
        <v>3.3452134</v>
      </c>
      <c r="AA326" s="4" t="str">
        <f t="shared" si="1"/>
        <v>Neighbor</v>
      </c>
      <c r="AC326" s="4">
        <f>IFERROR(__xludf.DUMMYFUNCTION("IFERROR(ABS(O326-AVERAGE(FILTER(O326:O4394,AA326:AA4394=""Neighbor""))) / STDEV(FILTER(O326:O4394, AA326:AA4394 =""Neighbor"")), """")"),0.7179138787738387)</f>
        <v>0.7179138788</v>
      </c>
      <c r="AD326" s="4">
        <f>IFERROR(__xludf.DUMMYFUNCTION("IFERROR(ABS(P326-AVERAGE(FILTER(O326:P4394,AA326:AA4394=""Neighbor""))) / STDEV(FILTER(P326:P4394, AA326:AA4394 =""Neighbor"")), """")"),1.2281138664603564)</f>
        <v>1.228113866</v>
      </c>
      <c r="AE326" s="2">
        <f>IFERROR(__xludf.DUMMYFUNCTION("IFERROR(ABS(Q326-AVERAGE(FILTER(Q326:Q4394,AA326:AA4394=""Neighbor""))) / STDEV(FILTER(Q326:Q4394, AA326:AA4394 =""Neighbor"")), """")"),0.5926694238206094)</f>
        <v>0.5926694238</v>
      </c>
      <c r="AF326" s="2">
        <f>IFERROR(__xludf.DUMMYFUNCTION("IFERROR(ABS(R326-AVERAGE(FILTER(R326:R4394,AA326:AA4394=""Neighbor""))) / STDEV(FILTER(R326:R4394, AA326:AA4394 =""Neighbor"")), """")"),0.1019250843411655)</f>
        <v>0.1019250843</v>
      </c>
    </row>
    <row r="327">
      <c r="A327" s="2" t="s">
        <v>28</v>
      </c>
      <c r="B327" s="2" t="s">
        <v>884</v>
      </c>
      <c r="C327" s="2" t="s">
        <v>1339</v>
      </c>
      <c r="D327" s="2" t="s">
        <v>1360</v>
      </c>
      <c r="E327" s="2" t="s">
        <v>1361</v>
      </c>
      <c r="F327" s="2">
        <v>160.0</v>
      </c>
      <c r="G327" s="2">
        <v>471.0</v>
      </c>
      <c r="H327" s="2" t="b">
        <v>1</v>
      </c>
      <c r="I327" s="2">
        <v>-1.0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s">
        <v>33</v>
      </c>
      <c r="O327" s="2">
        <v>94.0</v>
      </c>
      <c r="P327" s="2">
        <v>6.0</v>
      </c>
      <c r="Q327" s="2">
        <v>37.0</v>
      </c>
      <c r="R327" s="2">
        <v>0.0</v>
      </c>
      <c r="S327" s="3" t="s">
        <v>1362</v>
      </c>
      <c r="T327" s="2" t="s">
        <v>1363</v>
      </c>
      <c r="Y327" s="4" t="str">
        <f>IFERROR(__xludf.DUMMYFUNCTION("""COMPUTED_VALUE"""),"7.1601877")</f>
        <v>7.1601877</v>
      </c>
      <c r="Z327" s="4" t="str">
        <f>IFERROR(__xludf.DUMMYFUNCTION("""COMPUTED_VALUE"""),"3.3452134")</f>
        <v>3.3452134</v>
      </c>
      <c r="AA327" s="4" t="str">
        <f t="shared" si="1"/>
        <v>Not Neighbor</v>
      </c>
      <c r="AC327" s="4">
        <f>IFERROR(__xludf.DUMMYFUNCTION("IFERROR(ABS(O327-AVERAGE(FILTER(O327:O4395,AA327:AA4395=""Neighbor""))) / STDEV(FILTER(O327:O4395, AA327:AA4395 =""Neighbor"")), """")"),0.6258560553861277)</f>
        <v>0.6258560554</v>
      </c>
      <c r="AD327" s="4">
        <f>IFERROR(__xludf.DUMMYFUNCTION("IFERROR(ABS(P327-AVERAGE(FILTER(O327:P4395,AA327:AA4395=""Neighbor""))) / STDEV(FILTER(P327:P4395, AA327:AA4395 =""Neighbor"")), """")"),1.3813279090879393)</f>
        <v>1.381327909</v>
      </c>
      <c r="AE327" s="2">
        <f>IFERROR(__xludf.DUMMYFUNCTION("IFERROR(ABS(Q327-AVERAGE(FILTER(Q327:Q4395,AA327:AA4395=""Neighbor""))) / STDEV(FILTER(Q327:Q4395, AA327:AA4395 =""Neighbor"")), """")"),0.5084474067589171)</f>
        <v>0.5084474068</v>
      </c>
      <c r="AF327" s="2">
        <f>IFERROR(__xludf.DUMMYFUNCTION("IFERROR(ABS(R327-AVERAGE(FILTER(R327:R4395,AA327:AA4395=""Neighbor""))) / STDEV(FILTER(R327:R4395, AA327:AA4395 =""Neighbor"")), """")"),0.10195728246733501)</f>
        <v>0.1019572825</v>
      </c>
    </row>
    <row r="328">
      <c r="A328" s="2" t="s">
        <v>28</v>
      </c>
      <c r="B328" s="2" t="s">
        <v>884</v>
      </c>
      <c r="C328" s="2" t="s">
        <v>1339</v>
      </c>
      <c r="D328" s="2" t="s">
        <v>1364</v>
      </c>
      <c r="E328" s="2" t="s">
        <v>1365</v>
      </c>
      <c r="F328" s="2">
        <v>104.0</v>
      </c>
      <c r="G328" s="2">
        <v>346.0</v>
      </c>
      <c r="H328" s="2" t="b">
        <v>1</v>
      </c>
      <c r="I328" s="2">
        <v>-1.0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s">
        <v>33</v>
      </c>
      <c r="O328" s="2">
        <v>66.0</v>
      </c>
      <c r="P328" s="2">
        <v>2.0</v>
      </c>
      <c r="Q328" s="2">
        <v>16.0</v>
      </c>
      <c r="R328" s="2">
        <v>0.0</v>
      </c>
      <c r="S328" s="3" t="s">
        <v>1366</v>
      </c>
      <c r="T328" s="2" t="s">
        <v>1367</v>
      </c>
      <c r="Y328" s="4" t="str">
        <f>IFERROR(__xludf.DUMMYFUNCTION("""COMPUTED_VALUE"""),"7.1523317")</f>
        <v>7.1523317</v>
      </c>
      <c r="Z328" s="4" t="str">
        <f>IFERROR(__xludf.DUMMYFUNCTION("""COMPUTED_VALUE"""),"3.3572103")</f>
        <v>3.3572103</v>
      </c>
      <c r="AA328" s="4" t="str">
        <f t="shared" si="1"/>
        <v>Not Neighbor</v>
      </c>
      <c r="AC328" s="4">
        <f>IFERROR(__xludf.DUMMYFUNCTION("IFERROR(ABS(O328-AVERAGE(FILTER(O328:O4396,AA328:AA4396=""Neighbor""))) / STDEV(FILTER(O328:O4396, AA328:AA4396 =""Neighbor"")), """")"),0.0209312538848649)</f>
        <v>0.02093125388</v>
      </c>
      <c r="AD328" s="4">
        <f>IFERROR(__xludf.DUMMYFUNCTION("IFERROR(ABS(P328-AVERAGE(FILTER(O328:P4396,AA328:AA4396=""Neighbor""))) / STDEV(FILTER(P328:P4396, AA328:AA4396 =""Neighbor"")), """")"),1.5351899124666695)</f>
        <v>1.535189912</v>
      </c>
      <c r="AE328" s="2">
        <f>IFERROR(__xludf.DUMMYFUNCTION("IFERROR(ABS(Q328-AVERAGE(FILTER(Q328:Q4396,AA328:AA4396=""Neighbor""))) / STDEV(FILTER(Q328:Q4396, AA328:AA4396 =""Neighbor"")), """")"),0.37851407767294537)</f>
        <v>0.3785140777</v>
      </c>
      <c r="AF328" s="2">
        <f>IFERROR(__xludf.DUMMYFUNCTION("IFERROR(ABS(R328-AVERAGE(FILTER(R328:R4396,AA328:AA4396=""Neighbor""))) / STDEV(FILTER(R328:R4396, AA328:AA4396 =""Neighbor"")), """")"),0.10195728246733501)</f>
        <v>0.1019572825</v>
      </c>
    </row>
    <row r="329">
      <c r="A329" s="2" t="s">
        <v>28</v>
      </c>
      <c r="B329" s="2" t="s">
        <v>884</v>
      </c>
      <c r="C329" s="2" t="s">
        <v>1339</v>
      </c>
      <c r="D329" s="2" t="s">
        <v>1368</v>
      </c>
      <c r="E329" s="2" t="s">
        <v>1369</v>
      </c>
      <c r="F329" s="2">
        <v>116.0</v>
      </c>
      <c r="G329" s="2">
        <v>343.0</v>
      </c>
      <c r="H329" s="2" t="b">
        <v>1</v>
      </c>
      <c r="I329" s="2">
        <v>-1.0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s">
        <v>33</v>
      </c>
      <c r="O329" s="2">
        <v>0.0</v>
      </c>
      <c r="P329" s="2">
        <v>0.0</v>
      </c>
      <c r="Q329" s="2">
        <v>0.0</v>
      </c>
      <c r="R329" s="2">
        <v>0.0</v>
      </c>
      <c r="S329" s="3" t="s">
        <v>1370</v>
      </c>
      <c r="T329" s="2" t="s">
        <v>1371</v>
      </c>
      <c r="Y329" s="4" t="str">
        <f>IFERROR(__xludf.DUMMYFUNCTION("""COMPUTED_VALUE"""),"7.1656191")</f>
        <v>7.1656191</v>
      </c>
      <c r="Z329" s="4" t="str">
        <f>IFERROR(__xludf.DUMMYFUNCTION("""COMPUTED_VALUE"""),"3.3407906")</f>
        <v>3.3407906</v>
      </c>
      <c r="AA329" s="4" t="str">
        <f t="shared" si="1"/>
        <v>Not Neighbor</v>
      </c>
      <c r="AC329" s="4">
        <f>IFERROR(__xludf.DUMMYFUNCTION("IFERROR(ABS(O329-AVERAGE(FILTER(O329:O4397,AA329:AA4397=""Neighbor""))) / STDEV(FILTER(O329:O4397, AA329:AA4397 =""Neighbor"")), """")"),1.545501340023633)</f>
        <v>1.54550134</v>
      </c>
      <c r="AD329" s="4">
        <f>IFERROR(__xludf.DUMMYFUNCTION("IFERROR(ABS(P329-AVERAGE(FILTER(O329:P4397,AA329:AA4397=""Neighbor""))) / STDEV(FILTER(P329:P4397, AA329:AA4397 =""Neighbor"")), """")"),1.6121209141560344)</f>
        <v>1.612120914</v>
      </c>
      <c r="AE329" s="2">
        <f>IFERROR(__xludf.DUMMYFUNCTION("IFERROR(ABS(Q329-AVERAGE(FILTER(Q329:Q4397,AA329:AA4397=""Neighbor""))) / STDEV(FILTER(Q329:Q4397, AA329:AA4397 =""Neighbor"")), """")"),1.0542942562876978)</f>
        <v>1.054294256</v>
      </c>
      <c r="AF329" s="2">
        <f>IFERROR(__xludf.DUMMYFUNCTION("IFERROR(ABS(R329-AVERAGE(FILTER(R329:R4397,AA329:AA4397=""Neighbor""))) / STDEV(FILTER(R329:R4397, AA329:AA4397 =""Neighbor"")), """")"),0.10195728246733501)</f>
        <v>0.1019572825</v>
      </c>
    </row>
    <row r="330">
      <c r="A330" s="2" t="s">
        <v>28</v>
      </c>
      <c r="B330" s="2" t="s">
        <v>884</v>
      </c>
      <c r="C330" s="2" t="s">
        <v>1372</v>
      </c>
      <c r="D330" s="2" t="s">
        <v>1373</v>
      </c>
      <c r="E330" s="2" t="s">
        <v>1374</v>
      </c>
      <c r="F330" s="2">
        <v>101.0</v>
      </c>
      <c r="G330" s="2">
        <v>556.0</v>
      </c>
      <c r="H330" s="2" t="b">
        <v>1</v>
      </c>
      <c r="I330" s="2">
        <v>-1.0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s">
        <v>33</v>
      </c>
      <c r="O330" s="2">
        <v>53.0</v>
      </c>
      <c r="P330" s="2">
        <v>19.0</v>
      </c>
      <c r="Q330" s="2">
        <v>20.0</v>
      </c>
      <c r="R330" s="2">
        <v>0.0</v>
      </c>
      <c r="S330" s="3" t="s">
        <v>1375</v>
      </c>
      <c r="T330" s="2" t="s">
        <v>1376</v>
      </c>
      <c r="Y330" s="4" t="str">
        <f>IFERROR(__xludf.DUMMYFUNCTION("""COMPUTED_VALUE"""),"7.1487197")</f>
        <v>7.1487197</v>
      </c>
      <c r="Z330" s="4" t="str">
        <f>IFERROR(__xludf.DUMMYFUNCTION("""COMPUTED_VALUE"""),"3.3521161")</f>
        <v>3.3521161</v>
      </c>
      <c r="AA330" s="4" t="str">
        <f t="shared" si="1"/>
        <v>Neighbor</v>
      </c>
      <c r="AC330" s="4">
        <f>IFERROR(__xludf.DUMMYFUNCTION("IFERROR(ABS(O330-AVERAGE(FILTER(O330:O4398,AA330:AA4398=""Neighbor""))) / STDEV(FILTER(O330:O4398, AA330:AA4398 =""Neighbor"")), """")"),0.3212253617606829)</f>
        <v>0.3212253618</v>
      </c>
      <c r="AD330" s="4">
        <f>IFERROR(__xludf.DUMMYFUNCTION("IFERROR(ABS(P330-AVERAGE(FILTER(O330:P4398,AA330:AA4398=""Neighbor""))) / STDEV(FILTER(P330:P4398, AA330:AA4398 =""Neighbor"")), """")"),0.881276398107067)</f>
        <v>0.8812763981</v>
      </c>
      <c r="AE330" s="2">
        <f>IFERROR(__xludf.DUMMYFUNCTION("IFERROR(ABS(Q330-AVERAGE(FILTER(Q330:Q4398,AA330:AA4398=""Neighbor""))) / STDEV(FILTER(Q330:Q4398, AA330:AA4398 =""Neighbor"")), """")"),0.20956903301925728)</f>
        <v>0.209569033</v>
      </c>
      <c r="AF330" s="2">
        <f>IFERROR(__xludf.DUMMYFUNCTION("IFERROR(ABS(R330-AVERAGE(FILTER(R330:R4398,AA330:AA4398=""Neighbor""))) / STDEV(FILTER(R330:R4398, AA330:AA4398 =""Neighbor"")), """")"),0.10195728246733501)</f>
        <v>0.1019572825</v>
      </c>
    </row>
    <row r="331">
      <c r="A331" s="2" t="s">
        <v>28</v>
      </c>
      <c r="B331" s="2" t="s">
        <v>884</v>
      </c>
      <c r="C331" s="2" t="s">
        <v>1372</v>
      </c>
      <c r="D331" s="2" t="s">
        <v>1377</v>
      </c>
      <c r="E331" s="2" t="s">
        <v>1378</v>
      </c>
      <c r="F331" s="2">
        <v>68.0</v>
      </c>
      <c r="G331" s="2">
        <v>395.0</v>
      </c>
      <c r="H331" s="2" t="b">
        <v>1</v>
      </c>
      <c r="I331" s="2">
        <v>-1.0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s">
        <v>33</v>
      </c>
      <c r="O331" s="2">
        <v>43.0</v>
      </c>
      <c r="P331" s="2">
        <v>2.0</v>
      </c>
      <c r="Q331" s="2">
        <v>18.0</v>
      </c>
      <c r="R331" s="2">
        <v>2.0</v>
      </c>
      <c r="S331" s="3" t="s">
        <v>1379</v>
      </c>
      <c r="T331" s="2" t="s">
        <v>1380</v>
      </c>
      <c r="Y331" s="4" t="str">
        <f>IFERROR(__xludf.DUMMYFUNCTION("""COMPUTED_VALUE"""),"7.1574978")</f>
        <v>7.1574978</v>
      </c>
      <c r="Z331" s="4" t="str">
        <f>IFERROR(__xludf.DUMMYFUNCTION("""COMPUTED_VALUE"""),"3.3467758")</f>
        <v>3.3467758</v>
      </c>
      <c r="AA331" s="4" t="str">
        <f t="shared" si="1"/>
        <v>Neighbor</v>
      </c>
      <c r="AC331" s="4">
        <f>IFERROR(__xludf.DUMMYFUNCTION("IFERROR(ABS(O331-AVERAGE(FILTER(O331:O4399,AA331:AA4399=""Neighbor""))) / STDEV(FILTER(O331:O4399, AA331:AA4399 =""Neighbor"")), """")"),0.5522668421658015)</f>
        <v>0.5522668422</v>
      </c>
      <c r="AD331" s="4">
        <f>IFERROR(__xludf.DUMMYFUNCTION("IFERROR(ABS(P331-AVERAGE(FILTER(O331:P4399,AA331:AA4399=""Neighbor""))) / STDEV(FILTER(P331:P4399, AA331:AA4399 =""Neighbor"")), """")"),1.5348546046149767)</f>
        <v>1.534854605</v>
      </c>
      <c r="AE331" s="2">
        <f>IFERROR(__xludf.DUMMYFUNCTION("IFERROR(ABS(Q331-AVERAGE(FILTER(Q331:Q4399,AA331:AA4399=""Neighbor""))) / STDEV(FILTER(Q331:Q4399, AA331:AA4399 =""Neighbor"")), """")"),0.2940847123137224)</f>
        <v>0.2940847123</v>
      </c>
      <c r="AF331" s="2">
        <f>IFERROR(__xludf.DUMMYFUNCTION("IFERROR(ABS(R331-AVERAGE(FILTER(R331:R4399,AA331:AA4399=""Neighbor""))) / STDEV(FILTER(R331:R4399, AA331:AA4399 =""Neighbor"")), """")"),0.28215494469859115)</f>
        <v>0.2821549447</v>
      </c>
    </row>
    <row r="332">
      <c r="A332" s="2" t="s">
        <v>28</v>
      </c>
      <c r="B332" s="2" t="s">
        <v>884</v>
      </c>
      <c r="C332" s="2" t="s">
        <v>1372</v>
      </c>
      <c r="D332" s="2" t="s">
        <v>1381</v>
      </c>
      <c r="E332" s="2" t="s">
        <v>1382</v>
      </c>
      <c r="F332" s="2">
        <v>154.0</v>
      </c>
      <c r="G332" s="2">
        <v>701.0</v>
      </c>
      <c r="H332" s="2" t="b">
        <v>1</v>
      </c>
      <c r="I332" s="2">
        <v>-1.0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s">
        <v>33</v>
      </c>
      <c r="O332" s="2">
        <v>81.0</v>
      </c>
      <c r="P332" s="2">
        <v>6.0</v>
      </c>
      <c r="Q332" s="2">
        <v>48.0</v>
      </c>
      <c r="R332" s="2">
        <v>0.0</v>
      </c>
      <c r="S332" s="3" t="s">
        <v>1383</v>
      </c>
      <c r="T332" s="2" t="s">
        <v>1384</v>
      </c>
      <c r="Y332" s="4" t="str">
        <f>IFERROR(__xludf.DUMMYFUNCTION("""COMPUTED_VALUE"""),"7.1567847")</f>
        <v>7.1567847</v>
      </c>
      <c r="Z332" s="4" t="str">
        <f>IFERROR(__xludf.DUMMYFUNCTION("""COMPUTED_VALUE"""),"3.3464913")</f>
        <v>3.3464913</v>
      </c>
      <c r="AA332" s="4" t="str">
        <f t="shared" si="1"/>
        <v>Neighbor</v>
      </c>
      <c r="AC332" s="4">
        <f>IFERROR(__xludf.DUMMYFUNCTION("IFERROR(ABS(O332-AVERAGE(FILTER(O332:O4400,AA332:AA4400=""Neighbor""))) / STDEV(FILTER(O332:O4400, AA332:AA4400 =""Neighbor"")), """")"),0.32485265731997565)</f>
        <v>0.3248526573</v>
      </c>
      <c r="AD332" s="4">
        <f>IFERROR(__xludf.DUMMYFUNCTION("IFERROR(ABS(P332-AVERAGE(FILTER(O332:P4400,AA332:AA4400=""Neighbor""))) / STDEV(FILTER(P332:P4400, AA332:AA4400 =""Neighbor"")), """")"),1.3812177863656607)</f>
        <v>1.381217786</v>
      </c>
      <c r="AE332" s="2">
        <f>IFERROR(__xludf.DUMMYFUNCTION("IFERROR(ABS(Q332-AVERAGE(FILTER(Q332:Q4400,AA332:AA4400=""Neighbor""))) / STDEV(FILTER(Q332:Q4400, AA332:AA4400 =""Neighbor"")), """")"),0.9721611774482567)</f>
        <v>0.9721611774</v>
      </c>
      <c r="AF332" s="2">
        <f>IFERROR(__xludf.DUMMYFUNCTION("IFERROR(ABS(R332-AVERAGE(FILTER(R332:R4400,AA332:AA4400=""Neighbor""))) / STDEV(FILTER(R332:R4400, AA332:AA4400 =""Neighbor"")), """")"),0.10178336129345553)</f>
        <v>0.1017833613</v>
      </c>
    </row>
    <row r="333">
      <c r="A333" s="2" t="s">
        <v>28</v>
      </c>
      <c r="B333" s="2" t="s">
        <v>884</v>
      </c>
      <c r="C333" s="2" t="s">
        <v>1372</v>
      </c>
      <c r="D333" s="2" t="s">
        <v>1385</v>
      </c>
      <c r="E333" s="2" t="s">
        <v>1386</v>
      </c>
      <c r="F333" s="2">
        <v>161.0</v>
      </c>
      <c r="G333" s="2">
        <v>687.0</v>
      </c>
      <c r="H333" s="2" t="b">
        <v>1</v>
      </c>
      <c r="I333" s="2">
        <v>-1.0</v>
      </c>
      <c r="J333" s="2" t="b">
        <v>0</v>
      </c>
      <c r="K333" s="2" t="b">
        <v>1</v>
      </c>
      <c r="L333" s="2" t="b">
        <v>0</v>
      </c>
      <c r="M333" s="2" t="b">
        <v>0</v>
      </c>
      <c r="N333" s="2" t="s">
        <v>33</v>
      </c>
      <c r="O333" s="2">
        <v>85.0</v>
      </c>
      <c r="P333" s="2">
        <v>22.0</v>
      </c>
      <c r="Q333" s="2">
        <v>40.0</v>
      </c>
      <c r="R333" s="2">
        <v>0.0</v>
      </c>
      <c r="S333" s="3" t="s">
        <v>1387</v>
      </c>
      <c r="T333" s="2" t="s">
        <v>1388</v>
      </c>
      <c r="Y333" s="4" t="str">
        <f>IFERROR(__xludf.DUMMYFUNCTION("""COMPUTED_VALUE"""),"7.1567847")</f>
        <v>7.1567847</v>
      </c>
      <c r="Z333" s="4" t="str">
        <f>IFERROR(__xludf.DUMMYFUNCTION("""COMPUTED_VALUE"""),"3.3464913")</f>
        <v>3.3464913</v>
      </c>
      <c r="AA333" s="4" t="str">
        <f t="shared" si="1"/>
        <v>Neighbor</v>
      </c>
      <c r="AC333" s="4">
        <f>IFERROR(__xludf.DUMMYFUNCTION("IFERROR(ABS(O333-AVERAGE(FILTER(O333:O4401,AA333:AA4401=""Neighbor""))) / STDEV(FILTER(O333:O4401, AA333:AA4401 =""Neighbor"")), """")"),0.41729139756810735)</f>
        <v>0.4172913976</v>
      </c>
      <c r="AD333" s="4">
        <f>IFERROR(__xludf.DUMMYFUNCTION("IFERROR(ABS(P333-AVERAGE(FILTER(O333:P4401,AA333:AA4401=""Neighbor""))) / STDEV(FILTER(P333:P4401, AA333:AA4401 =""Neighbor"")), """")"),0.765854873858422)</f>
        <v>0.7658548739</v>
      </c>
      <c r="AE333" s="2">
        <f>IFERROR(__xludf.DUMMYFUNCTION("IFERROR(ABS(Q333-AVERAGE(FILTER(Q333:Q4401,AA333:AA4401=""Neighbor""))) / STDEV(FILTER(Q333:Q4401, AA333:AA4401 =""Neighbor"")), """")"),0.6350676173540035)</f>
        <v>0.6350676174</v>
      </c>
      <c r="AF333" s="2">
        <f>IFERROR(__xludf.DUMMYFUNCTION("IFERROR(ABS(R333-AVERAGE(FILTER(R333:R4401,AA333:AA4401=""Neighbor""))) / STDEV(FILTER(R333:R4401, AA333:AA4401 =""Neighbor"")), """")"),0.10181557415744703)</f>
        <v>0.1018155742</v>
      </c>
    </row>
    <row r="334">
      <c r="A334" s="2" t="s">
        <v>28</v>
      </c>
      <c r="B334" s="2" t="s">
        <v>884</v>
      </c>
      <c r="C334" s="2" t="s">
        <v>1372</v>
      </c>
      <c r="D334" s="2" t="s">
        <v>1389</v>
      </c>
      <c r="E334" s="2" t="s">
        <v>1390</v>
      </c>
      <c r="F334" s="2">
        <v>55.0</v>
      </c>
      <c r="G334" s="2">
        <v>256.0</v>
      </c>
      <c r="H334" s="2" t="b">
        <v>1</v>
      </c>
      <c r="I334" s="2">
        <v>-1.0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s">
        <v>33</v>
      </c>
      <c r="O334" s="2">
        <v>27.0</v>
      </c>
      <c r="P334" s="2">
        <v>8.0</v>
      </c>
      <c r="Q334" s="2">
        <v>19.0</v>
      </c>
      <c r="R334" s="2">
        <v>0.0</v>
      </c>
      <c r="S334" s="3" t="s">
        <v>1391</v>
      </c>
      <c r="T334" s="2" t="s">
        <v>1392</v>
      </c>
      <c r="Y334" s="4" t="str">
        <f>IFERROR(__xludf.DUMMYFUNCTION("""COMPUTED_VALUE"""),"7.1554873")</f>
        <v>7.1554873</v>
      </c>
      <c r="Z334" s="4" t="str">
        <f>IFERROR(__xludf.DUMMYFUNCTION("""COMPUTED_VALUE"""),"3.3458183")</f>
        <v>3.3458183</v>
      </c>
      <c r="AA334" s="4" t="str">
        <f t="shared" si="1"/>
        <v>Neighbor</v>
      </c>
      <c r="AC334" s="4">
        <f>IFERROR(__xludf.DUMMYFUNCTION("IFERROR(ABS(O334-AVERAGE(FILTER(O334:O4402,AA334:AA4402=""Neighbor""))) / STDEV(FILTER(O334:O4402, AA334:AA4402 =""Neighbor"")), """")"),0.920938461421351)</f>
        <v>0.9209384614</v>
      </c>
      <c r="AD334" s="4">
        <f>IFERROR(__xludf.DUMMYFUNCTION("IFERROR(ABS(P334-AVERAGE(FILTER(O334:P4402,AA334:AA4402=""Neighbor""))) / STDEV(FILTER(P334:P4402, AA334:AA4402 =""Neighbor"")), """")"),1.3032796227849608)</f>
        <v>1.303279623</v>
      </c>
      <c r="AE334" s="2">
        <f>IFERROR(__xludf.DUMMYFUNCTION("IFERROR(ABS(Q334-AVERAGE(FILTER(Q334:Q4402,AA334:AA4402=""Neighbor""))) / STDEV(FILTER(Q334:Q4402, AA334:AA4402 =""Neighbor"")), """")"),0.2509140501478146)</f>
        <v>0.2509140501</v>
      </c>
      <c r="AF334" s="2">
        <f>IFERROR(__xludf.DUMMYFUNCTION("IFERROR(ABS(R334-AVERAGE(FILTER(R334:R4402,AA334:AA4402=""Neighbor""))) / STDEV(FILTER(R334:R4402, AA334:AA4402 =""Neighbor"")), """")"),0.10184781762567925)</f>
        <v>0.1018478176</v>
      </c>
    </row>
    <row r="335">
      <c r="A335" s="2" t="s">
        <v>28</v>
      </c>
      <c r="B335" s="2" t="s">
        <v>884</v>
      </c>
      <c r="C335" s="2" t="s">
        <v>1372</v>
      </c>
      <c r="D335" s="2" t="s">
        <v>1393</v>
      </c>
      <c r="E335" s="2" t="s">
        <v>1394</v>
      </c>
      <c r="F335" s="2">
        <v>81.0</v>
      </c>
      <c r="G335" s="2">
        <v>490.0</v>
      </c>
      <c r="H335" s="2" t="b">
        <v>1</v>
      </c>
      <c r="I335" s="2">
        <v>-1.0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s">
        <v>33</v>
      </c>
      <c r="O335" s="2">
        <v>49.0</v>
      </c>
      <c r="P335" s="2">
        <v>9.0</v>
      </c>
      <c r="Q335" s="2">
        <v>16.0</v>
      </c>
      <c r="R335" s="2">
        <v>0.0</v>
      </c>
      <c r="S335" s="3" t="s">
        <v>1395</v>
      </c>
      <c r="T335" s="2" t="s">
        <v>1396</v>
      </c>
      <c r="Y335" s="4" t="str">
        <f>IFERROR(__xludf.DUMMYFUNCTION("""COMPUTED_VALUE"""),"7.1554873")</f>
        <v>7.1554873</v>
      </c>
      <c r="Z335" s="4" t="str">
        <f>IFERROR(__xludf.DUMMYFUNCTION("""COMPUTED_VALUE"""),"3.3458183")</f>
        <v>3.3458183</v>
      </c>
      <c r="AA335" s="4" t="str">
        <f t="shared" si="1"/>
        <v>Neighbor</v>
      </c>
      <c r="AC335" s="4">
        <f>IFERROR(__xludf.DUMMYFUNCTION("IFERROR(ABS(O335-AVERAGE(FILTER(O335:O4403,AA335:AA4403=""Neighbor""))) / STDEV(FILTER(O335:O4403, AA335:AA4403 =""Neighbor"")), """")"),0.41383421319771435)</f>
        <v>0.4138342132</v>
      </c>
      <c r="AD335" s="4">
        <f>IFERROR(__xludf.DUMMYFUNCTION("IFERROR(ABS(P335-AVERAGE(FILTER(O335:P4403,AA335:AA4403=""Neighbor""))) / STDEV(FILTER(P335:P4403, AA335:AA4403 =""Neighbor"")), """")"),1.2650941860481324)</f>
        <v>1.265094186</v>
      </c>
      <c r="AE335" s="2">
        <f>IFERROR(__xludf.DUMMYFUNCTION("IFERROR(ABS(Q335-AVERAGE(FILTER(Q335:Q4403,AA335:AA4403=""Neighbor""))) / STDEV(FILTER(Q335:Q4403, AA335:AA4403 =""Neighbor"")), """")"),0.37756919968273717)</f>
        <v>0.3775691997</v>
      </c>
      <c r="AF335" s="2">
        <f>IFERROR(__xludf.DUMMYFUNCTION("IFERROR(ABS(R335-AVERAGE(FILTER(R335:R4403,AA335:AA4403=""Neighbor""))) / STDEV(FILTER(R335:R4403, AA335:AA4403 =""Neighbor"")), """")"),0.10188009174664311)</f>
        <v>0.1018800917</v>
      </c>
    </row>
    <row r="336">
      <c r="A336" s="2" t="s">
        <v>28</v>
      </c>
      <c r="B336" s="2" t="s">
        <v>884</v>
      </c>
      <c r="C336" s="2" t="s">
        <v>1372</v>
      </c>
      <c r="D336" s="2" t="s">
        <v>1397</v>
      </c>
      <c r="E336" s="2" t="s">
        <v>1398</v>
      </c>
      <c r="F336" s="2">
        <v>96.0</v>
      </c>
      <c r="G336" s="2">
        <v>434.0</v>
      </c>
      <c r="H336" s="2" t="b">
        <v>1</v>
      </c>
      <c r="I336" s="2">
        <v>-1.0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s">
        <v>33</v>
      </c>
      <c r="O336" s="2">
        <v>64.0</v>
      </c>
      <c r="P336" s="2">
        <v>4.0</v>
      </c>
      <c r="Q336" s="2">
        <v>23.0</v>
      </c>
      <c r="R336" s="2">
        <v>0.0</v>
      </c>
      <c r="S336" s="3" t="s">
        <v>1399</v>
      </c>
      <c r="T336" s="2" t="s">
        <v>1400</v>
      </c>
      <c r="Y336" s="4" t="str">
        <f>IFERROR(__xludf.DUMMYFUNCTION("""COMPUTED_VALUE"""),"7.1554873")</f>
        <v>7.1554873</v>
      </c>
      <c r="Z336" s="4" t="str">
        <f>IFERROR(__xludf.DUMMYFUNCTION("""COMPUTED_VALUE"""),"3.3458183")</f>
        <v>3.3458183</v>
      </c>
      <c r="AA336" s="4" t="str">
        <f t="shared" si="1"/>
        <v>Neighbor</v>
      </c>
      <c r="AC336" s="4">
        <f>IFERROR(__xludf.DUMMYFUNCTION("IFERROR(ABS(O336-AVERAGE(FILTER(O336:O4404,AA336:AA4404=""Neighbor""))) / STDEV(FILTER(O336:O4404, AA336:AA4404 =""Neighbor"")), """")"),0.06795925993831443)</f>
        <v>0.06795925994</v>
      </c>
      <c r="AD336" s="4">
        <f>IFERROR(__xludf.DUMMYFUNCTION("IFERROR(ABS(P336-AVERAGE(FILTER(O336:P4404,AA336:AA4404=""Neighbor""))) / STDEV(FILTER(P336:P4404, AA336:AA4404 =""Neighbor"")), """")"),1.4570573569767293)</f>
        <v>1.457057357</v>
      </c>
      <c r="AE336" s="2">
        <f>IFERROR(__xludf.DUMMYFUNCTION("IFERROR(ABS(Q336-AVERAGE(FILTER(Q336:Q4404,AA336:AA4404=""Neighbor""))) / STDEV(FILTER(Q336:Q4404, AA336:AA4404 =""Neighbor"")), """")"),0.08245067006495689)</f>
        <v>0.08245067006</v>
      </c>
      <c r="AF336" s="2">
        <f>IFERROR(__xludf.DUMMYFUNCTION("IFERROR(ABS(R336-AVERAGE(FILTER(R336:R4404,AA336:AA4404=""Neighbor""))) / STDEV(FILTER(R336:R4404, AA336:AA4404 =""Neighbor"")), """")"),0.10191239656893726)</f>
        <v>0.1019123966</v>
      </c>
    </row>
    <row r="337">
      <c r="A337" s="2" t="s">
        <v>28</v>
      </c>
      <c r="B337" s="2" t="s">
        <v>884</v>
      </c>
      <c r="C337" s="2" t="s">
        <v>1372</v>
      </c>
      <c r="D337" s="2" t="s">
        <v>1401</v>
      </c>
      <c r="E337" s="2" t="s">
        <v>1402</v>
      </c>
      <c r="F337" s="2">
        <v>118.0</v>
      </c>
      <c r="G337" s="2">
        <v>725.0</v>
      </c>
      <c r="H337" s="2" t="b">
        <v>1</v>
      </c>
      <c r="I337" s="2">
        <v>-1.0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s">
        <v>33</v>
      </c>
      <c r="O337" s="2">
        <v>46.0</v>
      </c>
      <c r="P337" s="2">
        <v>51.0</v>
      </c>
      <c r="Q337" s="2">
        <v>9.0</v>
      </c>
      <c r="R337" s="2">
        <v>0.0</v>
      </c>
      <c r="S337" s="3" t="s">
        <v>1403</v>
      </c>
      <c r="T337" s="2" t="s">
        <v>1404</v>
      </c>
      <c r="Y337" s="4" t="str">
        <f>IFERROR(__xludf.DUMMYFUNCTION("""COMPUTED_VALUE"""),"7.1554873")</f>
        <v>7.1554873</v>
      </c>
      <c r="Z337" s="4" t="str">
        <f>IFERROR(__xludf.DUMMYFUNCTION("""COMPUTED_VALUE"""),"3.3458183")</f>
        <v>3.3458183</v>
      </c>
      <c r="AA337" s="4" t="str">
        <f t="shared" si="1"/>
        <v>Neighbor</v>
      </c>
      <c r="AC337" s="4">
        <f>IFERROR(__xludf.DUMMYFUNCTION("IFERROR(ABS(O337-AVERAGE(FILTER(O337:O4405,AA337:AA4405=""Neighbor""))) / STDEV(FILTER(O337:O4405, AA337:AA4405 =""Neighbor"")), """")"),0.4830833147056016)</f>
        <v>0.4830833147</v>
      </c>
      <c r="AD337" s="4">
        <f>IFERROR(__xludf.DUMMYFUNCTION("IFERROR(ABS(P337-AVERAGE(FILTER(O337:P4405,AA337:AA4405=""Neighbor""))) / STDEV(FILTER(P337:P4405, AA337:AA4405 =""Neighbor"")), """")"),0.34757829821069186)</f>
        <v>0.3475782982</v>
      </c>
      <c r="AE337" s="2">
        <f>IFERROR(__xludf.DUMMYFUNCTION("IFERROR(ABS(Q337-AVERAGE(FILTER(Q337:Q4405,AA337:AA4405=""Neighbor""))) / STDEV(FILTER(Q337:Q4405, AA337:AA4405 =""Neighbor"")), """")"),0.6728002766342014)</f>
        <v>0.6728002766</v>
      </c>
      <c r="AF337" s="2">
        <f>IFERROR(__xludf.DUMMYFUNCTION("IFERROR(ABS(R337-AVERAGE(FILTER(R337:R4405,AA337:AA4405=""Neighbor""))) / STDEV(FILTER(R337:R4405, AA337:AA4405 =""Neighbor"")), """")"),0.10194473214126833)</f>
        <v>0.1019447321</v>
      </c>
    </row>
    <row r="338">
      <c r="A338" s="2" t="s">
        <v>28</v>
      </c>
      <c r="B338" s="2" t="s">
        <v>884</v>
      </c>
      <c r="C338" s="2" t="s">
        <v>1372</v>
      </c>
      <c r="D338" s="2" t="s">
        <v>1405</v>
      </c>
      <c r="E338" s="2" t="s">
        <v>1406</v>
      </c>
      <c r="F338" s="2">
        <v>86.0</v>
      </c>
      <c r="G338" s="2">
        <v>485.0</v>
      </c>
      <c r="H338" s="2" t="b">
        <v>1</v>
      </c>
      <c r="I338" s="2">
        <v>-1.0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s">
        <v>33</v>
      </c>
      <c r="O338" s="2">
        <v>0.0</v>
      </c>
      <c r="P338" s="2">
        <v>0.0</v>
      </c>
      <c r="Q338" s="2">
        <v>0.0</v>
      </c>
      <c r="R338" s="2">
        <v>0.0</v>
      </c>
      <c r="S338" s="3" t="s">
        <v>1407</v>
      </c>
      <c r="T338" s="2" t="s">
        <v>1408</v>
      </c>
      <c r="Y338" s="4" t="str">
        <f>IFERROR(__xludf.DUMMYFUNCTION("""COMPUTED_VALUE"""),"7.1554873")</f>
        <v>7.1554873</v>
      </c>
      <c r="Z338" s="4" t="str">
        <f>IFERROR(__xludf.DUMMYFUNCTION("""COMPUTED_VALUE"""),"3.3458183")</f>
        <v>3.3458183</v>
      </c>
      <c r="AA338" s="4" t="str">
        <f t="shared" si="1"/>
        <v>Not Neighbor</v>
      </c>
      <c r="AC338" s="4">
        <f>IFERROR(__xludf.DUMMYFUNCTION("IFERROR(ABS(O338-AVERAGE(FILTER(O338:O4406,AA338:AA4406=""Neighbor""))) / STDEV(FILTER(O338:O4406, AA338:AA4406 =""Neighbor"")), """")"),1.5438326323211768)</f>
        <v>1.543832632</v>
      </c>
      <c r="AD338" s="4">
        <f>IFERROR(__xludf.DUMMYFUNCTION("IFERROR(ABS(P338-AVERAGE(FILTER(O338:P4406,AA338:AA4406=""Neighbor""))) / STDEV(FILTER(P338:P4406, AA338:AA4406 =""Neighbor"")), """")"),1.6106789792755067)</f>
        <v>1.610678979</v>
      </c>
      <c r="AE338" s="2">
        <f>IFERROR(__xludf.DUMMYFUNCTION("IFERROR(ABS(Q338-AVERAGE(FILTER(Q338:Q4406,AA338:AA4406=""Neighbor""))) / STDEV(FILTER(Q338:Q4406, AA338:AA4406 =""Neighbor"")), """")"),1.0525359591031527)</f>
        <v>1.052535959</v>
      </c>
      <c r="AF338" s="2">
        <f>IFERROR(__xludf.DUMMYFUNCTION("IFERROR(ABS(R338-AVERAGE(FILTER(R338:R4406,AA338:AA4406=""Neighbor""))) / STDEV(FILTER(R338:R4406, AA338:AA4406 =""Neighbor"")), """")"),0.101977098512451)</f>
        <v>0.1019770985</v>
      </c>
    </row>
    <row r="339">
      <c r="A339" s="2" t="s">
        <v>28</v>
      </c>
      <c r="B339" s="2" t="s">
        <v>884</v>
      </c>
      <c r="C339" s="2" t="s">
        <v>1372</v>
      </c>
      <c r="D339" s="2" t="s">
        <v>1409</v>
      </c>
      <c r="E339" s="2" t="s">
        <v>1410</v>
      </c>
      <c r="F339" s="2">
        <v>86.0</v>
      </c>
      <c r="G339" s="2">
        <v>698.0</v>
      </c>
      <c r="H339" s="2" t="b">
        <v>1</v>
      </c>
      <c r="I339" s="2">
        <v>-1.0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s">
        <v>33</v>
      </c>
      <c r="O339" s="2">
        <v>45.0</v>
      </c>
      <c r="P339" s="2">
        <v>15.0</v>
      </c>
      <c r="Q339" s="2">
        <v>15.0</v>
      </c>
      <c r="R339" s="2">
        <v>0.0</v>
      </c>
      <c r="S339" s="3" t="s">
        <v>1411</v>
      </c>
      <c r="T339" s="2" t="s">
        <v>1412</v>
      </c>
      <c r="Y339" s="4" t="str">
        <f>IFERROR(__xludf.DUMMYFUNCTION("""COMPUTED_VALUE"""),"7.1363398")</f>
        <v>7.1363398</v>
      </c>
      <c r="Z339" s="4" t="str">
        <f>IFERROR(__xludf.DUMMYFUNCTION("""COMPUTED_VALUE"""),"3.2920464")</f>
        <v>3.2920464</v>
      </c>
      <c r="AA339" s="4" t="str">
        <f t="shared" si="1"/>
        <v>Not Neighbor</v>
      </c>
      <c r="AC339" s="4">
        <f>IFERROR(__xludf.DUMMYFUNCTION("IFERROR(ABS(O339-AVERAGE(FILTER(O339:O4407,AA339:AA4407=""Neighbor""))) / STDEV(FILTER(O339:O4407, AA339:AA4407 =""Neighbor"")), """")"),0.5063262938666158)</f>
        <v>0.5063262939</v>
      </c>
      <c r="AD339" s="4">
        <f>IFERROR(__xludf.DUMMYFUNCTION("IFERROR(ABS(P339-AVERAGE(FILTER(O339:P4407,AA339:AA4407=""Neighbor""))) / STDEV(FILTER(P339:P4407, AA339:AA4407 =""Neighbor"")), """")"),1.0346515436306352)</f>
        <v>1.034651544</v>
      </c>
      <c r="AE339" s="2">
        <f>IFERROR(__xludf.DUMMYFUNCTION("IFERROR(ABS(Q339-AVERAGE(FILTER(Q339:Q4407,AA339:AA4407=""Neighbor""))) / STDEV(FILTER(Q339:Q4407, AA339:AA4407 =""Neighbor"")), """")"),0.42015530048238003)</f>
        <v>0.4201553005</v>
      </c>
      <c r="AF339" s="2">
        <f>IFERROR(__xludf.DUMMYFUNCTION("IFERROR(ABS(R339-AVERAGE(FILTER(R339:R4407,AA339:AA4407=""Neighbor""))) / STDEV(FILTER(R339:R4407, AA339:AA4407 =""Neighbor"")), """")"),0.101977098512451)</f>
        <v>0.1019770985</v>
      </c>
    </row>
    <row r="340">
      <c r="A340" s="2" t="s">
        <v>28</v>
      </c>
      <c r="B340" s="2" t="s">
        <v>884</v>
      </c>
      <c r="C340" s="2" t="s">
        <v>1372</v>
      </c>
      <c r="D340" s="2" t="s">
        <v>1413</v>
      </c>
      <c r="E340" s="2" t="s">
        <v>1414</v>
      </c>
      <c r="F340" s="2">
        <v>95.0</v>
      </c>
      <c r="G340" s="2">
        <v>656.0</v>
      </c>
      <c r="H340" s="2" t="b">
        <v>1</v>
      </c>
      <c r="I340" s="2">
        <v>-1.0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s">
        <v>33</v>
      </c>
      <c r="O340" s="2">
        <v>57.0</v>
      </c>
      <c r="P340" s="2">
        <v>17.0</v>
      </c>
      <c r="Q340" s="2">
        <v>17.0</v>
      </c>
      <c r="R340" s="2">
        <v>1.0</v>
      </c>
      <c r="S340" s="3" t="s">
        <v>1415</v>
      </c>
      <c r="T340" s="2" t="s">
        <v>1416</v>
      </c>
      <c r="Y340" s="4" t="str">
        <f>IFERROR(__xludf.DUMMYFUNCTION("""COMPUTED_VALUE"""),"7.1487197")</f>
        <v>7.1487197</v>
      </c>
      <c r="Z340" s="4" t="str">
        <f>IFERROR(__xludf.DUMMYFUNCTION("""COMPUTED_VALUE"""),"3.3521161")</f>
        <v>3.3521161</v>
      </c>
      <c r="AA340" s="4" t="str">
        <f t="shared" si="1"/>
        <v>Neighbor</v>
      </c>
      <c r="AC340" s="4">
        <f>IFERROR(__xludf.DUMMYFUNCTION("IFERROR(ABS(O340-AVERAGE(FILTER(O340:O4408,AA340:AA4408=""Neighbor""))) / STDEV(FILTER(O340:O4408, AA340:AA4408 =""Neighbor"")), """")"),0.2296579369453995)</f>
        <v>0.2296579369</v>
      </c>
      <c r="AD340" s="4">
        <f>IFERROR(__xludf.DUMMYFUNCTION("IFERROR(ABS(P340-AVERAGE(FILTER(O340:P4408,AA340:AA4408=""Neighbor""))) / STDEV(FILTER(P340:P4408, AA340:AA4408 =""Neighbor"")), """")"),0.9578478855446524)</f>
        <v>0.9578478855</v>
      </c>
      <c r="AE340" s="2">
        <f>IFERROR(__xludf.DUMMYFUNCTION("IFERROR(ABS(Q340-AVERAGE(FILTER(Q340:Q4408,AA340:AA4408=""Neighbor""))) / STDEV(FILTER(Q340:Q4408, AA340:AA4408 =""Neighbor"")), """")"),0.3358378793329437)</f>
        <v>0.3358378793</v>
      </c>
      <c r="AF340" s="2">
        <f>IFERROR(__xludf.DUMMYFUNCTION("IFERROR(ABS(R340-AVERAGE(FILTER(R340:R4408,AA340:AA4408=""Neighbor""))) / STDEV(FILTER(R340:R4408, AA340:AA4408 =""Neighbor"")), """")"),0.08968198734428315)</f>
        <v>0.08968198734</v>
      </c>
    </row>
    <row r="341">
      <c r="A341" s="2" t="s">
        <v>28</v>
      </c>
      <c r="B341" s="2" t="s">
        <v>884</v>
      </c>
      <c r="C341" s="2" t="s">
        <v>1372</v>
      </c>
      <c r="D341" s="2" t="s">
        <v>1417</v>
      </c>
      <c r="E341" s="2" t="s">
        <v>1418</v>
      </c>
      <c r="F341" s="2">
        <v>53.0</v>
      </c>
      <c r="G341" s="2">
        <v>340.0</v>
      </c>
      <c r="H341" s="2" t="b">
        <v>1</v>
      </c>
      <c r="I341" s="2">
        <v>-1.0</v>
      </c>
      <c r="J341" s="2" t="b">
        <v>0</v>
      </c>
      <c r="K341" s="2" t="b">
        <v>1</v>
      </c>
      <c r="L341" s="2" t="b">
        <v>0</v>
      </c>
      <c r="M341" s="2" t="b">
        <v>0</v>
      </c>
      <c r="N341" s="2" t="s">
        <v>33</v>
      </c>
      <c r="O341" s="2">
        <v>33.0</v>
      </c>
      <c r="P341" s="2">
        <v>3.0</v>
      </c>
      <c r="Q341" s="2">
        <v>9.0</v>
      </c>
      <c r="R341" s="2">
        <v>0.0</v>
      </c>
      <c r="S341" s="3" t="s">
        <v>1419</v>
      </c>
      <c r="T341" s="2" t="s">
        <v>1420</v>
      </c>
      <c r="Y341" s="4" t="str">
        <f>IFERROR(__xludf.DUMMYFUNCTION("""COMPUTED_VALUE"""),"7.1554873")</f>
        <v>7.1554873</v>
      </c>
      <c r="Z341" s="4" t="str">
        <f>IFERROR(__xludf.DUMMYFUNCTION("""COMPUTED_VALUE"""),"3.3458183")</f>
        <v>3.3458183</v>
      </c>
      <c r="AA341" s="4" t="str">
        <f t="shared" si="1"/>
        <v>Neighbor</v>
      </c>
      <c r="AC341" s="4">
        <f>IFERROR(__xludf.DUMMYFUNCTION("IFERROR(ABS(O341-AVERAGE(FILTER(O341:O4409,AA341:AA4409=""Neighbor""))) / STDEV(FILTER(O341:O4409, AA341:AA4409 =""Neighbor"")), """")"),0.7829057182472952)</f>
        <v>0.7829057182</v>
      </c>
      <c r="AD341" s="4">
        <f>IFERROR(__xludf.DUMMYFUNCTION("IFERROR(ABS(P341-AVERAGE(FILTER(O341:P4409,AA341:AA4409=""Neighbor""))) / STDEV(FILTER(P341:P4409, AA341:AA4409 =""Neighbor"")), """")"),1.4951222671158384)</f>
        <v>1.495122267</v>
      </c>
      <c r="AE341" s="2">
        <f>IFERROR(__xludf.DUMMYFUNCTION("IFERROR(ABS(Q341-AVERAGE(FILTER(Q341:Q4409,AA341:AA4409=""Neighbor""))) / STDEV(FILTER(Q341:Q4409, AA341:AA4409 =""Neighbor"")), """")"),0.673130918390904)</f>
        <v>0.6731309184</v>
      </c>
      <c r="AF341" s="2">
        <f>IFERROR(__xludf.DUMMYFUNCTION("IFERROR(ABS(R341-AVERAGE(FILTER(R341:R4409,AA341:AA4409=""Neighbor""))) / STDEV(FILTER(R341:R4409, AA341:AA4409 =""Neighbor"")), """")"),0.10188884153321758)</f>
        <v>0.1018888415</v>
      </c>
    </row>
    <row r="342">
      <c r="A342" s="2" t="s">
        <v>28</v>
      </c>
      <c r="B342" s="2" t="s">
        <v>884</v>
      </c>
      <c r="C342" s="2" t="s">
        <v>1372</v>
      </c>
      <c r="D342" s="2" t="s">
        <v>1421</v>
      </c>
      <c r="E342" s="2" t="s">
        <v>1422</v>
      </c>
      <c r="F342" s="2">
        <v>104.0</v>
      </c>
      <c r="G342" s="2">
        <v>539.0</v>
      </c>
      <c r="H342" s="2" t="b">
        <v>1</v>
      </c>
      <c r="I342" s="2">
        <v>-1.0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s">
        <v>33</v>
      </c>
      <c r="O342" s="2">
        <v>73.0</v>
      </c>
      <c r="P342" s="2">
        <v>6.0</v>
      </c>
      <c r="Q342" s="2">
        <v>8.0</v>
      </c>
      <c r="R342" s="2">
        <v>0.0</v>
      </c>
      <c r="S342" s="3" t="s">
        <v>1423</v>
      </c>
      <c r="T342" s="2" t="s">
        <v>1424</v>
      </c>
      <c r="Y342" s="4" t="str">
        <f>IFERROR(__xludf.DUMMYFUNCTION("""COMPUTED_VALUE"""),"7.1554873")</f>
        <v>7.1554873</v>
      </c>
      <c r="Z342" s="4" t="str">
        <f>IFERROR(__xludf.DUMMYFUNCTION("""COMPUTED_VALUE"""),"3.3458183")</f>
        <v>3.3458183</v>
      </c>
      <c r="AA342" s="4" t="str">
        <f t="shared" si="1"/>
        <v>Neighbor</v>
      </c>
      <c r="AC342" s="4">
        <f>IFERROR(__xludf.DUMMYFUNCTION("IFERROR(ABS(O342-AVERAGE(FILTER(O342:O4410,AA342:AA4410=""Neighbor""))) / STDEV(FILTER(O342:O4410, AA342:AA4410 =""Neighbor"")), """")"),0.13853732193820908)</f>
        <v>0.1385373219</v>
      </c>
      <c r="AD342" s="4">
        <f>IFERROR(__xludf.DUMMYFUNCTION("IFERROR(ABS(P342-AVERAGE(FILTER(O342:P4410,AA342:AA4410=""Neighbor""))) / STDEV(FILTER(P342:P4410, AA342:AA4410 =""Neighbor"")), """")"),1.3802214460581337)</f>
        <v>1.380221446</v>
      </c>
      <c r="AE342" s="2">
        <f>IFERROR(__xludf.DUMMYFUNCTION("IFERROR(ABS(Q342-AVERAGE(FILTER(Q342:Q4410,AA342:AA4410=""Neighbor""))) / STDEV(FILTER(Q342:Q4410, AA342:AA4410 =""Neighbor"")), """")"),0.7155785212821374)</f>
        <v>0.7155785213</v>
      </c>
      <c r="AF342" s="2">
        <f>IFERROR(__xludf.DUMMYFUNCTION("IFERROR(ABS(R342-AVERAGE(FILTER(R342:R4410,AA342:AA4410=""Neighbor""))) / STDEV(FILTER(R342:R4410, AA342:AA4410 =""Neighbor"")), """")"),0.10192123050386406)</f>
        <v>0.1019212305</v>
      </c>
    </row>
    <row r="343">
      <c r="A343" s="2" t="s">
        <v>28</v>
      </c>
      <c r="B343" s="2" t="s">
        <v>884</v>
      </c>
      <c r="C343" s="2" t="s">
        <v>1372</v>
      </c>
      <c r="D343" s="2" t="s">
        <v>1425</v>
      </c>
      <c r="E343" s="2" t="s">
        <v>1426</v>
      </c>
      <c r="F343" s="2">
        <v>131.0</v>
      </c>
      <c r="G343" s="2">
        <v>463.0</v>
      </c>
      <c r="H343" s="2" t="b">
        <v>1</v>
      </c>
      <c r="I343" s="2">
        <v>-1.0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s">
        <v>33</v>
      </c>
      <c r="O343" s="2">
        <v>85.0</v>
      </c>
      <c r="P343" s="2">
        <v>3.0</v>
      </c>
      <c r="Q343" s="2">
        <v>38.0</v>
      </c>
      <c r="R343" s="2">
        <v>0.0</v>
      </c>
      <c r="S343" s="3" t="s">
        <v>1427</v>
      </c>
      <c r="T343" s="2" t="s">
        <v>1428</v>
      </c>
      <c r="Y343" s="4" t="str">
        <f>IFERROR(__xludf.DUMMYFUNCTION("""COMPUTED_VALUE"""),"7.1514358")</f>
        <v>7.1514358</v>
      </c>
      <c r="Z343" s="4" t="str">
        <f>IFERROR(__xludf.DUMMYFUNCTION("""COMPUTED_VALUE"""),"3.3483373")</f>
        <v>3.3483373</v>
      </c>
      <c r="AA343" s="4" t="str">
        <f t="shared" si="1"/>
        <v>Neighbor</v>
      </c>
      <c r="AC343" s="4">
        <f>IFERROR(__xludf.DUMMYFUNCTION("IFERROR(ABS(O343-AVERAGE(FILTER(O343:O4411,AA343:AA4411=""Neighbor""))) / STDEV(FILTER(O343:O4411, AA343:AA4411 =""Neighbor"")), """")"),0.41504849230456897)</f>
        <v>0.4150484923</v>
      </c>
      <c r="AD343" s="4">
        <f>IFERROR(__xludf.DUMMYFUNCTION("IFERROR(ABS(P343-AVERAGE(FILTER(O343:P4411,AA343:AA4411=""Neighbor""))) / STDEV(FILTER(P343:P4411, AA343:AA4411 =""Neighbor"")), """")"),1.4950360678417074)</f>
        <v>1.495036068</v>
      </c>
      <c r="AE343" s="2">
        <f>IFERROR(__xludf.DUMMYFUNCTION("IFERROR(ABS(Q343-AVERAGE(FILTER(Q343:Q4411,AA343:AA4411=""Neighbor""))) / STDEV(FILTER(Q343:Q4411, AA343:AA4411 =""Neighbor"")), """")"),0.5480768204049575)</f>
        <v>0.5480768204</v>
      </c>
      <c r="AF343" s="2">
        <f>IFERROR(__xludf.DUMMYFUNCTION("IFERROR(ABS(R343-AVERAGE(FILTER(R343:R4411,AA343:AA4411=""Neighbor""))) / STDEV(FILTER(R343:R4411, AA343:AA4411 =""Neighbor"")), """")"),0.10195365038234834)</f>
        <v>0.1019536504</v>
      </c>
    </row>
    <row r="344">
      <c r="A344" s="2" t="s">
        <v>28</v>
      </c>
      <c r="B344" s="2" t="s">
        <v>884</v>
      </c>
      <c r="C344" s="2" t="s">
        <v>1372</v>
      </c>
      <c r="D344" s="2" t="s">
        <v>1429</v>
      </c>
      <c r="E344" s="2" t="s">
        <v>1430</v>
      </c>
      <c r="F344" s="2">
        <v>131.0</v>
      </c>
      <c r="G344" s="2">
        <v>654.0</v>
      </c>
      <c r="H344" s="2" t="b">
        <v>1</v>
      </c>
      <c r="I344" s="2">
        <v>-1.0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s">
        <v>33</v>
      </c>
      <c r="O344" s="2">
        <v>91.0</v>
      </c>
      <c r="P344" s="2">
        <v>6.0</v>
      </c>
      <c r="Q344" s="2">
        <v>28.0</v>
      </c>
      <c r="R344" s="2">
        <v>0.0</v>
      </c>
      <c r="S344" s="3" t="s">
        <v>1431</v>
      </c>
      <c r="T344" s="2" t="s">
        <v>1432</v>
      </c>
      <c r="Y344" s="4" t="str">
        <f>IFERROR(__xludf.DUMMYFUNCTION("""COMPUTED_VALUE"""),"7.1575144")</f>
        <v>7.1575144</v>
      </c>
      <c r="Z344" s="4" t="str">
        <f>IFERROR(__xludf.DUMMYFUNCTION("""COMPUTED_VALUE"""),"3.3465275")</f>
        <v>3.3465275</v>
      </c>
      <c r="AA344" s="4" t="str">
        <f t="shared" si="1"/>
        <v>Neighbor</v>
      </c>
      <c r="AC344" s="4">
        <f>IFERROR(__xludf.DUMMYFUNCTION("IFERROR(ABS(O344-AVERAGE(FILTER(O344:O4412,AA344:AA4412=""Neighbor""))) / STDEV(FILTER(O344:O4412, AA344:AA4412 =""Neighbor"")), """")"),0.5533990837723403)</f>
        <v>0.5533990838</v>
      </c>
      <c r="AD344" s="4">
        <f>IFERROR(__xludf.DUMMYFUNCTION("IFERROR(ABS(P344-AVERAGE(FILTER(O344:P4412,AA344:AA4412=""Neighbor""))) / STDEV(FILTER(P344:P4412, AA344:AA4412 =""Neighbor"")), """")"),1.379562772631845)</f>
        <v>1.379562773</v>
      </c>
      <c r="AE344" s="2">
        <f>IFERROR(__xludf.DUMMYFUNCTION("IFERROR(ABS(Q344-AVERAGE(FILTER(Q344:Q4412,AA344:AA4412=""Neighbor""))) / STDEV(FILTER(Q344:Q4412, AA344:AA4412 =""Neighbor"")), """")"),0.12706229598034444)</f>
        <v>0.127062296</v>
      </c>
      <c r="AF344" s="2">
        <f>IFERROR(__xludf.DUMMYFUNCTION("IFERROR(ABS(R344-AVERAGE(FILTER(R344:R4412,AA344:AA4412=""Neighbor""))) / STDEV(FILTER(R344:R4412, AA344:AA4412 =""Neighbor"")), """")"),0.10198610121785964)</f>
        <v>0.1019861012</v>
      </c>
    </row>
    <row r="345">
      <c r="A345" s="2" t="s">
        <v>28</v>
      </c>
      <c r="B345" s="2" t="s">
        <v>884</v>
      </c>
      <c r="C345" s="2" t="s">
        <v>1372</v>
      </c>
      <c r="D345" s="2" t="s">
        <v>1433</v>
      </c>
      <c r="E345" s="2" t="s">
        <v>1434</v>
      </c>
      <c r="F345" s="2">
        <v>102.0</v>
      </c>
      <c r="G345" s="2">
        <v>589.0</v>
      </c>
      <c r="H345" s="2" t="b">
        <v>1</v>
      </c>
      <c r="I345" s="2">
        <v>-1.0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s">
        <v>33</v>
      </c>
      <c r="O345" s="2">
        <v>68.0</v>
      </c>
      <c r="P345" s="2">
        <v>3.0</v>
      </c>
      <c r="Q345" s="2">
        <v>24.0</v>
      </c>
      <c r="R345" s="2">
        <v>0.0</v>
      </c>
      <c r="S345" s="3" t="s">
        <v>1435</v>
      </c>
      <c r="T345" s="2" t="s">
        <v>1436</v>
      </c>
      <c r="Y345" s="4" t="str">
        <f>IFERROR(__xludf.DUMMYFUNCTION("""COMPUTED_VALUE"""),"7.1575144")</f>
        <v>7.1575144</v>
      </c>
      <c r="Z345" s="4" t="str">
        <f>IFERROR(__xludf.DUMMYFUNCTION("""COMPUTED_VALUE"""),"3.3465275")</f>
        <v>3.3465275</v>
      </c>
      <c r="AA345" s="4" t="str">
        <f t="shared" si="1"/>
        <v>Not Neighbor</v>
      </c>
      <c r="AC345" s="4">
        <f>IFERROR(__xludf.DUMMYFUNCTION("IFERROR(ABS(O345-AVERAGE(FILTER(O345:O4413,AA345:AA4413=""Neighbor""))) / STDEV(FILTER(O345:O4413, AA345:AA4413 =""Neighbor"")), """")"),0.023986727698681612)</f>
        <v>0.0239867277</v>
      </c>
      <c r="AD345" s="4">
        <f>IFERROR(__xludf.DUMMYFUNCTION("IFERROR(ABS(P345-AVERAGE(FILTER(O345:P4413,AA345:AA4413=""Neighbor""))) / STDEV(FILTER(P345:P4413, AA345:AA4413 =""Neighbor"")), """")"),1.4941037254478566)</f>
        <v>1.494103725</v>
      </c>
      <c r="AE345" s="2">
        <f>IFERROR(__xludf.DUMMYFUNCTION("IFERROR(ABS(Q345-AVERAGE(FILTER(Q345:Q4413,AA345:AA4413=""Neighbor""))) / STDEV(FILTER(Q345:Q4413, AA345:AA4413 =""Neighbor"")), """")"),0.04134035534930494)</f>
        <v>0.04134035535</v>
      </c>
      <c r="AF345" s="2">
        <f>IFERROR(__xludf.DUMMYFUNCTION("IFERROR(ABS(R345-AVERAGE(FILTER(R345:R4413,AA345:AA4413=""Neighbor""))) / STDEV(FILTER(R345:R4413, AA345:AA4413 =""Neighbor"")), """")"),0.10201858305969677)</f>
        <v>0.1020185831</v>
      </c>
    </row>
    <row r="346">
      <c r="A346" s="2" t="s">
        <v>28</v>
      </c>
      <c r="B346" s="2" t="s">
        <v>884</v>
      </c>
      <c r="C346" s="2" t="s">
        <v>1372</v>
      </c>
      <c r="D346" s="2" t="s">
        <v>1437</v>
      </c>
      <c r="E346" s="2" t="s">
        <v>1438</v>
      </c>
      <c r="F346" s="2">
        <v>95.0</v>
      </c>
      <c r="G346" s="2">
        <v>578.0</v>
      </c>
      <c r="H346" s="2" t="b">
        <v>1</v>
      </c>
      <c r="I346" s="2">
        <v>-1.0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s">
        <v>33</v>
      </c>
      <c r="O346" s="2">
        <v>64.0</v>
      </c>
      <c r="P346" s="2">
        <v>6.0</v>
      </c>
      <c r="Q346" s="2">
        <v>22.0</v>
      </c>
      <c r="R346" s="2">
        <v>0.0</v>
      </c>
      <c r="S346" s="3" t="s">
        <v>1439</v>
      </c>
      <c r="T346" s="2" t="s">
        <v>1440</v>
      </c>
      <c r="Y346" s="4" t="str">
        <f>IFERROR(__xludf.DUMMYFUNCTION("""COMPUTED_VALUE"""),"7.1504074")</f>
        <v>7.1504074</v>
      </c>
      <c r="Z346" s="4" t="str">
        <f>IFERROR(__xludf.DUMMYFUNCTION("""COMPUTED_VALUE"""),"3.3145011")</f>
        <v>3.3145011</v>
      </c>
      <c r="AA346" s="4" t="str">
        <f t="shared" si="1"/>
        <v>Not Neighbor</v>
      </c>
      <c r="AC346" s="4">
        <f>IFERROR(__xludf.DUMMYFUNCTION("IFERROR(ABS(O346-AVERAGE(FILTER(O346:O4414,AA346:AA4414=""Neighbor""))) / STDEV(FILTER(O346:O4414, AA346:AA4414 =""Neighbor"")), """")"),0.06812463124113798)</f>
        <v>0.06812463124</v>
      </c>
      <c r="AD346" s="4">
        <f>IFERROR(__xludf.DUMMYFUNCTION("IFERROR(ABS(P346-AVERAGE(FILTER(O346:P4414,AA346:AA4414=""Neighbor""))) / STDEV(FILTER(P346:P4414, AA346:AA4414 =""Neighbor"")), """")"),1.3790460997412708)</f>
        <v>1.3790461</v>
      </c>
      <c r="AE346" s="2">
        <f>IFERROR(__xludf.DUMMYFUNCTION("IFERROR(ABS(Q346-AVERAGE(FILTER(Q346:Q4414,AA346:AA4414=""Neighbor""))) / STDEV(FILTER(Q346:Q4414, AA346:AA4414 =""Neighbor"")), """")"),0.12556203045039518)</f>
        <v>0.1255620305</v>
      </c>
      <c r="AF346" s="2">
        <f>IFERROR(__xludf.DUMMYFUNCTION("IFERROR(ABS(R346-AVERAGE(FILTER(R346:R4414,AA346:AA4414=""Neighbor""))) / STDEV(FILTER(R346:R4414, AA346:AA4414 =""Neighbor"")), """")"),0.10201858305969677)</f>
        <v>0.1020185831</v>
      </c>
    </row>
    <row r="347">
      <c r="A347" s="2" t="s">
        <v>28</v>
      </c>
      <c r="B347" s="2" t="s">
        <v>884</v>
      </c>
      <c r="C347" s="2" t="s">
        <v>1372</v>
      </c>
      <c r="D347" s="2" t="s">
        <v>1441</v>
      </c>
      <c r="E347" s="2" t="s">
        <v>1442</v>
      </c>
      <c r="F347" s="2">
        <v>66.0</v>
      </c>
      <c r="G347" s="2">
        <v>475.0</v>
      </c>
      <c r="H347" s="2" t="b">
        <v>1</v>
      </c>
      <c r="I347" s="2">
        <v>-1.0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s">
        <v>33</v>
      </c>
      <c r="O347" s="2">
        <v>42.0</v>
      </c>
      <c r="P347" s="2">
        <v>3.0</v>
      </c>
      <c r="Q347" s="2">
        <v>15.0</v>
      </c>
      <c r="R347" s="2">
        <v>1.0</v>
      </c>
      <c r="S347" s="3" t="s">
        <v>1443</v>
      </c>
      <c r="T347" s="2" t="s">
        <v>1444</v>
      </c>
      <c r="Y347" s="4" t="str">
        <f>IFERROR(__xludf.DUMMYFUNCTION("""COMPUTED_VALUE"""),"7.1554873")</f>
        <v>7.1554873</v>
      </c>
      <c r="Z347" s="4" t="str">
        <f>IFERROR(__xludf.DUMMYFUNCTION("""COMPUTED_VALUE"""),"3.3458183")</f>
        <v>3.3458183</v>
      </c>
      <c r="AA347" s="4" t="str">
        <f t="shared" si="1"/>
        <v>Neighbor</v>
      </c>
      <c r="AC347" s="4">
        <f>IFERROR(__xludf.DUMMYFUNCTION("IFERROR(ABS(O347-AVERAGE(FILTER(O347:O4415,AA347:AA4415=""Neighbor""))) / STDEV(FILTER(O347:O4415, AA347:AA4415 =""Neighbor"")), """")"),0.5747371054101457)</f>
        <v>0.5747371054</v>
      </c>
      <c r="AD347" s="4">
        <f>IFERROR(__xludf.DUMMYFUNCTION("IFERROR(ABS(P347-AVERAGE(FILTER(O347:P4415,AA347:AA4415=""Neighbor""))) / STDEV(FILTER(P347:P4415, AA347:AA4415 =""Neighbor"")), """")"),1.4941037254478566)</f>
        <v>1.494103725</v>
      </c>
      <c r="AE347" s="2">
        <f>IFERROR(__xludf.DUMMYFUNCTION("IFERROR(ABS(Q347-AVERAGE(FILTER(Q347:Q4415,AA347:AA4415=""Neighbor""))) / STDEV(FILTER(Q347:Q4415, AA347:AA4415 =""Neighbor"")), """")"),0.42033789330421106)</f>
        <v>0.4203378933</v>
      </c>
      <c r="AF347" s="2">
        <f>IFERROR(__xludf.DUMMYFUNCTION("IFERROR(ABS(R347-AVERAGE(FILTER(R347:R4415,AA347:AA4415=""Neighbor""))) / STDEV(FILTER(R347:R4415, AA347:AA4415 =""Neighbor"")), """")"),0.08934171770908356)</f>
        <v>0.08934171771</v>
      </c>
    </row>
    <row r="348">
      <c r="A348" s="2" t="s">
        <v>28</v>
      </c>
      <c r="B348" s="2" t="s">
        <v>884</v>
      </c>
      <c r="C348" s="2" t="s">
        <v>1372</v>
      </c>
      <c r="D348" s="2" t="s">
        <v>1445</v>
      </c>
      <c r="E348" s="2" t="s">
        <v>1446</v>
      </c>
      <c r="F348" s="2">
        <v>135.0</v>
      </c>
      <c r="G348" s="2">
        <v>640.0</v>
      </c>
      <c r="H348" s="2" t="b">
        <v>1</v>
      </c>
      <c r="I348" s="2">
        <v>-1.0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s">
        <v>33</v>
      </c>
      <c r="O348" s="2">
        <v>85.0</v>
      </c>
      <c r="P348" s="2">
        <v>5.0</v>
      </c>
      <c r="Q348" s="2">
        <v>30.0</v>
      </c>
      <c r="R348" s="2">
        <v>0.0</v>
      </c>
      <c r="S348" s="3" t="s">
        <v>1447</v>
      </c>
      <c r="T348" s="2" t="s">
        <v>1448</v>
      </c>
      <c r="Y348" s="4" t="str">
        <f>IFERROR(__xludf.DUMMYFUNCTION("""COMPUTED_VALUE"""),"7.1556206")</f>
        <v>7.1556206</v>
      </c>
      <c r="Z348" s="4" t="str">
        <f>IFERROR(__xludf.DUMMYFUNCTION("""COMPUTED_VALUE"""),"3.3400181")</f>
        <v>3.3400181</v>
      </c>
      <c r="AA348" s="4" t="str">
        <f t="shared" si="1"/>
        <v>Neighbor</v>
      </c>
      <c r="AC348" s="4">
        <f>IFERROR(__xludf.DUMMYFUNCTION("IFERROR(ABS(O348-AVERAGE(FILTER(O348:O4416,AA348:AA4416=""Neighbor""))) / STDEV(FILTER(O348:O4416, AA348:AA4416 =""Neighbor"")), """")"),0.4150094172837767)</f>
        <v>0.4150094173</v>
      </c>
      <c r="AD348" s="4">
        <f>IFERROR(__xludf.DUMMYFUNCTION("IFERROR(ABS(P348-AVERAGE(FILTER(O348:P4416,AA348:AA4416=""Neighbor""))) / STDEV(FILTER(P348:P4416, AA348:AA4416 =""Neighbor"")), """")"),1.417550391852634)</f>
        <v>1.417550392</v>
      </c>
      <c r="AE348" s="2">
        <f>IFERROR(__xludf.DUMMYFUNCTION("IFERROR(ABS(Q348-AVERAGE(FILTER(Q348:Q4416,AA348:AA4416=""Neighbor""))) / STDEV(FILTER(Q348:Q4416, AA348:AA4416 =""Neighbor"")), """")"),0.2110044481300591)</f>
        <v>0.2110044481</v>
      </c>
      <c r="AF348" s="2">
        <f>IFERROR(__xludf.DUMMYFUNCTION("IFERROR(ABS(R348-AVERAGE(FILTER(R348:R4416,AA348:AA4416=""Neighbor""))) / STDEV(FILTER(R348:R4416, AA348:AA4416 =""Neighbor"")), """")"),0.10193024732818251)</f>
        <v>0.1019302473</v>
      </c>
    </row>
    <row r="349">
      <c r="A349" s="2" t="s">
        <v>28</v>
      </c>
      <c r="B349" s="2" t="s">
        <v>884</v>
      </c>
      <c r="C349" s="2" t="s">
        <v>1372</v>
      </c>
      <c r="D349" s="2" t="s">
        <v>1449</v>
      </c>
      <c r="E349" s="2" t="s">
        <v>1450</v>
      </c>
      <c r="F349" s="2">
        <v>127.0</v>
      </c>
      <c r="G349" s="2">
        <v>777.0</v>
      </c>
      <c r="H349" s="2" t="b">
        <v>1</v>
      </c>
      <c r="I349" s="2">
        <v>-1.0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s">
        <v>33</v>
      </c>
      <c r="O349" s="2">
        <v>95.0</v>
      </c>
      <c r="P349" s="2">
        <v>6.0</v>
      </c>
      <c r="Q349" s="2">
        <v>18.0</v>
      </c>
      <c r="R349" s="2">
        <v>0.0</v>
      </c>
      <c r="S349" s="3" t="s">
        <v>1451</v>
      </c>
      <c r="T349" s="2" t="s">
        <v>1452</v>
      </c>
      <c r="Y349" s="4" t="str">
        <f>IFERROR(__xludf.DUMMYFUNCTION("""COMPUTED_VALUE"""),"7.1556206")</f>
        <v>7.1556206</v>
      </c>
      <c r="Z349" s="4" t="str">
        <f>IFERROR(__xludf.DUMMYFUNCTION("""COMPUTED_VALUE"""),"3.3400181")</f>
        <v>3.3400181</v>
      </c>
      <c r="AA349" s="4" t="str">
        <f t="shared" si="1"/>
        <v>Neighbor</v>
      </c>
      <c r="AC349" s="4">
        <f>IFERROR(__xludf.DUMMYFUNCTION("IFERROR(ABS(O349-AVERAGE(FILTER(O349:O4417,AA349:AA4417=""Neighbor""))) / STDEV(FILTER(O349:O4417, AA349:AA4417 =""Neighbor"")), """")"),0.6453325148640299)</f>
        <v>0.6453325149</v>
      </c>
      <c r="AD349" s="4">
        <f>IFERROR(__xludf.DUMMYFUNCTION("IFERROR(ABS(P349-AVERAGE(FILTER(O349:P4417,AA349:AA4417=""Neighbor""))) / STDEV(FILTER(P349:P4417, AA349:AA4417 =""Neighbor"")), """")"),1.3787891243394101)</f>
        <v>1.378789124</v>
      </c>
      <c r="AE349" s="2">
        <f>IFERROR(__xludf.DUMMYFUNCTION("IFERROR(ABS(Q349-AVERAGE(FILTER(Q349:Q4417,AA349:AA4417=""Neighbor""))) / STDEV(FILTER(Q349:Q4417, AA349:AA4417 =""Neighbor"")), """")"),0.2939722078862256)</f>
        <v>0.2939722079</v>
      </c>
      <c r="AF349" s="2">
        <f>IFERROR(__xludf.DUMMYFUNCTION("IFERROR(ABS(R349-AVERAGE(FILTER(R349:R4417,AA349:AA4417=""Neighbor""))) / STDEV(FILTER(R349:R4417, AA349:AA4417 =""Neighbor"")), """")"),0.10196275199808714)</f>
        <v>0.101962752</v>
      </c>
    </row>
    <row r="350">
      <c r="A350" s="2" t="s">
        <v>28</v>
      </c>
      <c r="B350" s="2" t="s">
        <v>884</v>
      </c>
      <c r="C350" s="2" t="s">
        <v>1372</v>
      </c>
      <c r="D350" s="2" t="s">
        <v>1453</v>
      </c>
      <c r="E350" s="2" t="s">
        <v>1454</v>
      </c>
      <c r="F350" s="2">
        <v>102.0</v>
      </c>
      <c r="G350" s="2">
        <v>588.0</v>
      </c>
      <c r="H350" s="2" t="b">
        <v>1</v>
      </c>
      <c r="I350" s="2">
        <v>-1.0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s">
        <v>33</v>
      </c>
      <c r="O350" s="2">
        <v>67.0</v>
      </c>
      <c r="P350" s="2">
        <v>8.0</v>
      </c>
      <c r="Q350" s="2">
        <v>18.0</v>
      </c>
      <c r="R350" s="2">
        <v>0.0</v>
      </c>
      <c r="S350" s="3" t="s">
        <v>1455</v>
      </c>
      <c r="T350" s="2" t="s">
        <v>1456</v>
      </c>
      <c r="Y350" s="4" t="str">
        <f>IFERROR(__xludf.DUMMYFUNCTION("""COMPUTED_VALUE"""),"7.1578208")</f>
        <v>7.1578208</v>
      </c>
      <c r="Z350" s="4" t="str">
        <f>IFERROR(__xludf.DUMMYFUNCTION("""COMPUTED_VALUE"""),"3.3446744")</f>
        <v>3.3446744</v>
      </c>
      <c r="AA350" s="4" t="str">
        <f t="shared" si="1"/>
        <v>Not Neighbor</v>
      </c>
      <c r="AC350" s="4">
        <f>IFERROR(__xludf.DUMMYFUNCTION("IFERROR(ABS(O350-AVERAGE(FILTER(O350:O4418,AA350:AA4418=""Neighbor""))) / STDEV(FILTER(O350:O4418, AA350:AA4418 =""Neighbor"")), """")"),0.0012655534248451315)</f>
        <v>0.001265553425</v>
      </c>
      <c r="AD350" s="4">
        <f>IFERROR(__xludf.DUMMYFUNCTION("IFERROR(ABS(P350-AVERAGE(FILTER(O350:P4418,AA350:AA4418=""Neighbor""))) / STDEV(FILTER(P350:P4418, AA350:AA4418 =""Neighbor"")), """")"),1.3015749697184549)</f>
        <v>1.30157497</v>
      </c>
      <c r="AE350" s="2">
        <f>IFERROR(__xludf.DUMMYFUNCTION("IFERROR(ABS(Q350-AVERAGE(FILTER(Q350:Q4418,AA350:AA4418=""Neighbor""))) / STDEV(FILTER(Q350:Q4418, AA350:AA4418 =""Neighbor"")), """")"),0.2940730833578703)</f>
        <v>0.2940730834</v>
      </c>
      <c r="AF350" s="2">
        <f>IFERROR(__xludf.DUMMYFUNCTION("IFERROR(ABS(R350-AVERAGE(FILTER(R350:R4418,AA350:AA4418=""Neighbor""))) / STDEV(FILTER(R350:R4418, AA350:AA4418 =""Neighbor"")), """")"),0.10199528778445932)</f>
        <v>0.1019952878</v>
      </c>
    </row>
    <row r="351">
      <c r="A351" s="2" t="s">
        <v>28</v>
      </c>
      <c r="B351" s="2" t="s">
        <v>884</v>
      </c>
      <c r="C351" s="2" t="s">
        <v>1457</v>
      </c>
      <c r="D351" s="2" t="s">
        <v>1458</v>
      </c>
      <c r="E351" s="2" t="s">
        <v>1459</v>
      </c>
      <c r="F351" s="2">
        <v>84.0</v>
      </c>
      <c r="G351" s="2">
        <v>503.0</v>
      </c>
      <c r="H351" s="2" t="b">
        <v>1</v>
      </c>
      <c r="I351" s="2">
        <v>-1.0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s">
        <v>33</v>
      </c>
      <c r="O351" s="2">
        <v>0.0</v>
      </c>
      <c r="P351" s="2">
        <v>0.0</v>
      </c>
      <c r="Q351" s="2">
        <v>0.0</v>
      </c>
      <c r="R351" s="2">
        <v>0.0</v>
      </c>
      <c r="S351" s="3" t="s">
        <v>1460</v>
      </c>
      <c r="T351" s="2" t="s">
        <v>1461</v>
      </c>
      <c r="Y351" s="4" t="str">
        <f>IFERROR(__xludf.DUMMYFUNCTION("""COMPUTED_VALUE"""),"7.1372983")</f>
        <v>7.1372983</v>
      </c>
      <c r="Z351" s="4" t="str">
        <f>IFERROR(__xludf.DUMMYFUNCTION("""COMPUTED_VALUE"""),"3.3514863")</f>
        <v>3.3514863</v>
      </c>
      <c r="AA351" s="4" t="str">
        <f t="shared" si="1"/>
        <v>Neighbor</v>
      </c>
      <c r="AC351" s="4">
        <f>IFERROR(__xludf.DUMMYFUNCTION("IFERROR(ABS(O351-AVERAGE(FILTER(O351:O4419,AA351:AA4419=""Neighbor""))) / STDEV(FILTER(O351:O4419, AA351:AA4419 =""Neighbor"")), """")"),1.5405858225870408)</f>
        <v>1.540585823</v>
      </c>
      <c r="AD351" s="4">
        <f>IFERROR(__xludf.DUMMYFUNCTION("IFERROR(ABS(P351-AVERAGE(FILTER(O351:P4419,AA351:AA4419=""Neighbor""))) / STDEV(FILTER(P351:P4419, AA351:AA4419 =""Neighbor"")), """")"),1.6081699074931117)</f>
        <v>1.608169907</v>
      </c>
      <c r="AE351" s="2">
        <f>IFERROR(__xludf.DUMMYFUNCTION("IFERROR(ABS(Q351-AVERAGE(FILTER(Q351:Q4419,AA351:AA4419=""Neighbor""))) / STDEV(FILTER(Q351:Q4419, AA351:AA4419 =""Neighbor"")), """")"),1.0514236415290483)</f>
        <v>1.051423642</v>
      </c>
      <c r="AF351" s="2">
        <f>IFERROR(__xludf.DUMMYFUNCTION("IFERROR(ABS(R351-AVERAGE(FILTER(R351:R4419,AA351:AA4419=""Neighbor""))) / STDEV(FILTER(R351:R4419, AA351:AA4419 =""Neighbor"")), """")"),0.10199528778445932)</f>
        <v>0.1019952878</v>
      </c>
    </row>
    <row r="352">
      <c r="A352" s="2" t="s">
        <v>28</v>
      </c>
      <c r="B352" s="2" t="s">
        <v>884</v>
      </c>
      <c r="C352" s="2" t="s">
        <v>1457</v>
      </c>
      <c r="D352" s="2" t="s">
        <v>1462</v>
      </c>
      <c r="E352" s="2" t="s">
        <v>1463</v>
      </c>
      <c r="F352" s="2">
        <v>82.0</v>
      </c>
      <c r="G352" s="2">
        <v>587.0</v>
      </c>
      <c r="H352" s="2" t="b">
        <v>1</v>
      </c>
      <c r="I352" s="2">
        <v>-1.0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s">
        <v>33</v>
      </c>
      <c r="O352" s="2">
        <v>55.0</v>
      </c>
      <c r="P352" s="2">
        <v>6.0</v>
      </c>
      <c r="Q352" s="2">
        <v>12.0</v>
      </c>
      <c r="R352" s="2">
        <v>0.0</v>
      </c>
      <c r="S352" s="3" t="s">
        <v>1464</v>
      </c>
      <c r="T352" s="2" t="s">
        <v>1465</v>
      </c>
      <c r="Y352" s="4" t="str">
        <f>IFERROR(__xludf.DUMMYFUNCTION("""COMPUTED_VALUE"""),"7.1372983")</f>
        <v>7.1372983</v>
      </c>
      <c r="Z352" s="4" t="str">
        <f>IFERROR(__xludf.DUMMYFUNCTION("""COMPUTED_VALUE"""),"3.3514863")</f>
        <v>3.3514863</v>
      </c>
      <c r="AA352" s="4" t="str">
        <f t="shared" si="1"/>
        <v>Not Neighbor</v>
      </c>
      <c r="AC352" s="4">
        <f>IFERROR(__xludf.DUMMYFUNCTION("IFERROR(ABS(O352-AVERAGE(FILTER(O352:O4420,AA352:AA4420=""Neighbor""))) / STDEV(FILTER(O352:O4420, AA352:AA4420 =""Neighbor"")), """")"),0.2759814742064683)</f>
        <v>0.2759814742</v>
      </c>
      <c r="AD352" s="4">
        <f>IFERROR(__xludf.DUMMYFUNCTION("IFERROR(ABS(P352-AVERAGE(FILTER(O352:P4420,AA352:AA4420=""Neighbor""))) / STDEV(FILTER(P352:P4420, AA352:AA4420 =""Neighbor"")), """")"),1.3789894202913036)</f>
        <v>1.37898942</v>
      </c>
      <c r="AE352" s="2">
        <f>IFERROR(__xludf.DUMMYFUNCTION("IFERROR(ABS(Q352-AVERAGE(FILTER(Q352:Q4420,AA352:AA4420=""Neighbor""))) / STDEV(FILTER(Q352:Q4420, AA352:AA4420 =""Neighbor"")), """")"),0.5472066955421613)</f>
        <v>0.5472066955</v>
      </c>
      <c r="AF352" s="2">
        <f>IFERROR(__xludf.DUMMYFUNCTION("IFERROR(ABS(R352-AVERAGE(FILTER(R352:R4420,AA352:AA4420=""Neighbor""))) / STDEV(FILTER(R352:R4420, AA352:AA4420 =""Neighbor"")), """")"),0.10202785473697712)</f>
        <v>0.1020278547</v>
      </c>
    </row>
    <row r="353">
      <c r="A353" s="2" t="s">
        <v>28</v>
      </c>
      <c r="B353" s="2" t="s">
        <v>884</v>
      </c>
      <c r="C353" s="2" t="s">
        <v>1457</v>
      </c>
      <c r="D353" s="2" t="s">
        <v>1466</v>
      </c>
      <c r="E353" s="2" t="s">
        <v>1467</v>
      </c>
      <c r="F353" s="2">
        <v>98.0</v>
      </c>
      <c r="G353" s="2">
        <v>447.0</v>
      </c>
      <c r="H353" s="2" t="b">
        <v>1</v>
      </c>
      <c r="I353" s="2">
        <v>-1.0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s">
        <v>33</v>
      </c>
      <c r="O353" s="2">
        <v>65.0</v>
      </c>
      <c r="P353" s="2">
        <v>0.0</v>
      </c>
      <c r="Q353" s="2">
        <v>15.0</v>
      </c>
      <c r="R353" s="2">
        <v>0.0</v>
      </c>
      <c r="S353" s="3" t="s">
        <v>1468</v>
      </c>
      <c r="T353" s="2" t="s">
        <v>1469</v>
      </c>
      <c r="Y353" s="4" t="str">
        <f>IFERROR(__xludf.DUMMYFUNCTION("""COMPUTED_VALUE"""),"7.1487834")</f>
        <v>7.1487834</v>
      </c>
      <c r="Z353" s="4" t="str">
        <f>IFERROR(__xludf.DUMMYFUNCTION("""COMPUTED_VALUE"""),"3.3432994")</f>
        <v>3.3432994</v>
      </c>
      <c r="AA353" s="4" t="str">
        <f t="shared" si="1"/>
        <v>Not Neighbor</v>
      </c>
      <c r="AC353" s="4">
        <f>IFERROR(__xludf.DUMMYFUNCTION("IFERROR(ABS(O353-AVERAGE(FILTER(O353:O4421,AA353:AA4421=""Neighbor""))) / STDEV(FILTER(O353:O4421, AA353:AA4421 =""Neighbor"")), """")"),0.045754210212997165)</f>
        <v>0.04575421021</v>
      </c>
      <c r="AD353" s="4">
        <f>IFERROR(__xludf.DUMMYFUNCTION("IFERROR(ABS(P353-AVERAGE(FILTER(O353:P4421,AA353:AA4421=""Neighbor""))) / STDEV(FILTER(P353:P4421, AA353:AA4421 =""Neighbor"")), """")"),1.608893698840344)</f>
        <v>1.608893699</v>
      </c>
      <c r="AE353" s="2">
        <f>IFERROR(__xludf.DUMMYFUNCTION("IFERROR(ABS(Q353-AVERAGE(FILTER(Q353:Q4421,AA353:AA4421=""Neighbor""))) / STDEV(FILTER(Q353:Q4421, AA353:AA4421 =""Neighbor"")), """")"),0.420977360541117)</f>
        <v>0.4209773605</v>
      </c>
      <c r="AF353" s="2">
        <f>IFERROR(__xludf.DUMMYFUNCTION("IFERROR(ABS(R353-AVERAGE(FILTER(R353:R4421,AA353:AA4421=""Neighbor""))) / STDEV(FILTER(R353:R4421, AA353:AA4421 =""Neighbor"")), """")"),0.10202785473697712)</f>
        <v>0.1020278547</v>
      </c>
    </row>
    <row r="354">
      <c r="A354" s="2" t="s">
        <v>28</v>
      </c>
      <c r="B354" s="2" t="s">
        <v>884</v>
      </c>
      <c r="C354" s="2" t="s">
        <v>1457</v>
      </c>
      <c r="D354" s="2" t="s">
        <v>1470</v>
      </c>
      <c r="E354" s="2" t="s">
        <v>1471</v>
      </c>
      <c r="F354" s="2">
        <v>131.0</v>
      </c>
      <c r="G354" s="2">
        <v>649.0</v>
      </c>
      <c r="H354" s="2" t="b">
        <v>1</v>
      </c>
      <c r="I354" s="2">
        <v>-1.0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s">
        <v>33</v>
      </c>
      <c r="O354" s="2">
        <v>97.0</v>
      </c>
      <c r="P354" s="2">
        <v>19.0</v>
      </c>
      <c r="Q354" s="2">
        <v>9.0</v>
      </c>
      <c r="R354" s="2">
        <v>0.0</v>
      </c>
      <c r="S354" s="3" t="s">
        <v>1472</v>
      </c>
      <c r="T354" s="2" t="s">
        <v>1473</v>
      </c>
      <c r="Y354" s="4" t="str">
        <f>IFERROR(__xludf.DUMMYFUNCTION("""COMPUTED_VALUE"""),"7.1372983")</f>
        <v>7.1372983</v>
      </c>
      <c r="Z354" s="4" t="str">
        <f>IFERROR(__xludf.DUMMYFUNCTION("""COMPUTED_VALUE"""),"3.3514863")</f>
        <v>3.3514863</v>
      </c>
      <c r="AA354" s="4" t="str">
        <f t="shared" si="1"/>
        <v>Not Neighbor</v>
      </c>
      <c r="AC354" s="4">
        <f>IFERROR(__xludf.DUMMYFUNCTION("IFERROR(ABS(O354-AVERAGE(FILTER(O354:O4422,AA354:AA4422=""Neighbor""))) / STDEV(FILTER(O354:O4422, AA354:AA4422 =""Neighbor"")), """")"),0.6909730345661104)</f>
        <v>0.6909730346</v>
      </c>
      <c r="AD354" s="4">
        <f>IFERROR(__xludf.DUMMYFUNCTION("IFERROR(ABS(P354-AVERAGE(FILTER(O354:P4422,AA354:AA4422=""Neighbor""))) / STDEV(FILTER(P354:P4422, AA354:AA4422 =""Neighbor"")), """")"),0.8808634834350492)</f>
        <v>0.8808634834</v>
      </c>
      <c r="AE354" s="2">
        <f>IFERROR(__xludf.DUMMYFUNCTION("IFERROR(ABS(Q354-AVERAGE(FILTER(Q354:Q4422,AA354:AA4422=""Neighbor""))) / STDEV(FILTER(Q354:Q4422, AA354:AA4422 =""Neighbor"")), """")"),0.6734360305432056)</f>
        <v>0.6734360305</v>
      </c>
      <c r="AF354" s="2">
        <f>IFERROR(__xludf.DUMMYFUNCTION("IFERROR(ABS(R354-AVERAGE(FILTER(R354:R4422,AA354:AA4422=""Neighbor""))) / STDEV(FILTER(R354:R4422, AA354:AA4422 =""Neighbor"")), """")"),0.10202785473697712)</f>
        <v>0.1020278547</v>
      </c>
    </row>
    <row r="355">
      <c r="A355" s="2" t="s">
        <v>28</v>
      </c>
      <c r="B355" s="2" t="s">
        <v>884</v>
      </c>
      <c r="C355" s="2" t="s">
        <v>1457</v>
      </c>
      <c r="D355" s="2" t="s">
        <v>1474</v>
      </c>
      <c r="E355" s="2" t="s">
        <v>1475</v>
      </c>
      <c r="F355" s="2">
        <v>134.0</v>
      </c>
      <c r="G355" s="2">
        <v>887.0</v>
      </c>
      <c r="H355" s="2" t="b">
        <v>1</v>
      </c>
      <c r="I355" s="2">
        <v>-1.0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s">
        <v>33</v>
      </c>
      <c r="O355" s="2">
        <v>66.0</v>
      </c>
      <c r="P355" s="2">
        <v>28.0</v>
      </c>
      <c r="Q355" s="2">
        <v>32.0</v>
      </c>
      <c r="R355" s="2">
        <v>0.0</v>
      </c>
      <c r="S355" s="3" t="s">
        <v>1476</v>
      </c>
      <c r="T355" s="2" t="s">
        <v>1477</v>
      </c>
      <c r="Y355" s="4" t="str">
        <f>IFERROR(__xludf.DUMMYFUNCTION("""COMPUTED_VALUE"""),"7.147858")</f>
        <v>7.147858</v>
      </c>
      <c r="Z355" s="4" t="str">
        <f>IFERROR(__xludf.DUMMYFUNCTION("""COMPUTED_VALUE"""),"3.3477835")</f>
        <v>3.3477835</v>
      </c>
      <c r="AA355" s="4" t="str">
        <f t="shared" si="1"/>
        <v>Neighbor</v>
      </c>
      <c r="AC355" s="4">
        <f>IFERROR(__xludf.DUMMYFUNCTION("IFERROR(ABS(O355-AVERAGE(FILTER(O355:O4423,AA355:AA4423=""Neighbor""))) / STDEV(FILTER(O355:O4423, AA355:AA4423 =""Neighbor"")), """")"),0.022731483813650057)</f>
        <v>0.02273148381</v>
      </c>
      <c r="AD355" s="4">
        <f>IFERROR(__xludf.DUMMYFUNCTION("IFERROR(ABS(P355-AVERAGE(FILTER(O355:P4423,AA355:AA4423=""Neighbor""))) / STDEV(FILTER(P355:P4423, AA355:AA4423 =""Neighbor"")), """")"),0.5360070656114885)</f>
        <v>0.5360070656</v>
      </c>
      <c r="AE355" s="2">
        <f>IFERROR(__xludf.DUMMYFUNCTION("IFERROR(ABS(Q355-AVERAGE(FILTER(Q355:Q4423,AA355:AA4423=""Neighbor""))) / STDEV(FILTER(Q355:Q4423, AA355:AA4423 =""Neighbor"")), """")"),0.2943222044648005)</f>
        <v>0.2943222045</v>
      </c>
      <c r="AF355" s="2">
        <f>IFERROR(__xludf.DUMMYFUNCTION("IFERROR(ABS(R355-AVERAGE(FILTER(R355:R4423,AA355:AA4423=""Neighbor""))) / STDEV(FILTER(R355:R4423, AA355:AA4423 =""Neighbor"")), """")"),0.10202785473697712)</f>
        <v>0.1020278547</v>
      </c>
    </row>
    <row r="356">
      <c r="A356" s="2" t="s">
        <v>28</v>
      </c>
      <c r="B356" s="2" t="s">
        <v>884</v>
      </c>
      <c r="C356" s="2" t="s">
        <v>1457</v>
      </c>
      <c r="D356" s="2" t="s">
        <v>1478</v>
      </c>
      <c r="E356" s="2" t="s">
        <v>1479</v>
      </c>
      <c r="F356" s="2">
        <v>117.0</v>
      </c>
      <c r="G356" s="2">
        <v>986.0</v>
      </c>
      <c r="H356" s="2" t="b">
        <v>1</v>
      </c>
      <c r="I356" s="2">
        <v>-1.0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s">
        <v>33</v>
      </c>
      <c r="O356" s="2">
        <v>43.0</v>
      </c>
      <c r="P356" s="2">
        <v>55.0</v>
      </c>
      <c r="Q356" s="2">
        <v>14.0</v>
      </c>
      <c r="R356" s="2">
        <v>0.0</v>
      </c>
      <c r="S356" s="3" t="s">
        <v>1480</v>
      </c>
      <c r="T356" s="2" t="s">
        <v>1481</v>
      </c>
      <c r="Y356" s="4" t="str">
        <f>IFERROR(__xludf.DUMMYFUNCTION("""COMPUTED_VALUE"""),"7.147723")</f>
        <v>7.147723</v>
      </c>
      <c r="Z356" s="4" t="str">
        <f>IFERROR(__xludf.DUMMYFUNCTION("""COMPUTED_VALUE"""),"3.3455493")</f>
        <v>3.3455493</v>
      </c>
      <c r="AA356" s="4" t="str">
        <f t="shared" si="1"/>
        <v>Neighbor</v>
      </c>
      <c r="AC356" s="4">
        <f>IFERROR(__xludf.DUMMYFUNCTION("IFERROR(ABS(O356-AVERAGE(FILTER(O356:O4424,AA356:AA4424=""Neighbor""))) / STDEV(FILTER(O356:O4424, AA356:AA4424 =""Neighbor"")), """")"),0.5520938721493938)</f>
        <v>0.5520938721</v>
      </c>
      <c r="AD356" s="4">
        <f>IFERROR(__xludf.DUMMYFUNCTION("IFERROR(ABS(P356-AVERAGE(FILTER(O356:P4424,AA356:AA4424=""Neighbor""))) / STDEV(FILTER(P356:P4424, AA356:AA4424 =""Neighbor"")), """")"),0.49855398402131085)</f>
        <v>0.498553984</v>
      </c>
      <c r="AE356" s="2">
        <f>IFERROR(__xludf.DUMMYFUNCTION("IFERROR(ABS(Q356-AVERAGE(FILTER(Q356:Q4424,AA356:AA4424=""Neighbor""))) / STDEV(FILTER(Q356:Q4424, AA356:AA4424 =""Neighbor"")), """")"),0.4627337186083396)</f>
        <v>0.4627337186</v>
      </c>
      <c r="AF356" s="2">
        <f>IFERROR(__xludf.DUMMYFUNCTION("IFERROR(ABS(R356-AVERAGE(FILTER(R356:R4424,AA356:AA4424=""Neighbor""))) / STDEV(FILTER(R356:R4424, AA356:AA4424 =""Neighbor"")), """")"),0.10206045290542987)</f>
        <v>0.1020604529</v>
      </c>
    </row>
    <row r="357">
      <c r="A357" s="2" t="s">
        <v>28</v>
      </c>
      <c r="B357" s="2" t="s">
        <v>884</v>
      </c>
      <c r="C357" s="2" t="s">
        <v>1457</v>
      </c>
      <c r="D357" s="2" t="s">
        <v>1482</v>
      </c>
      <c r="E357" s="2" t="s">
        <v>1483</v>
      </c>
      <c r="F357" s="2">
        <v>111.0</v>
      </c>
      <c r="G357" s="2">
        <v>750.0</v>
      </c>
      <c r="H357" s="2" t="b">
        <v>1</v>
      </c>
      <c r="I357" s="2">
        <v>-1.0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s">
        <v>33</v>
      </c>
      <c r="O357" s="2">
        <v>61.0</v>
      </c>
      <c r="P357" s="2">
        <v>32.0</v>
      </c>
      <c r="Q357" s="2">
        <v>15.0</v>
      </c>
      <c r="R357" s="2">
        <v>0.0</v>
      </c>
      <c r="S357" s="3" t="s">
        <v>1484</v>
      </c>
      <c r="T357" s="2" t="s">
        <v>1485</v>
      </c>
      <c r="Y357" s="4" t="str">
        <f>IFERROR(__xludf.DUMMYFUNCTION("""COMPUTED_VALUE"""),"7.1440283")</f>
        <v>7.1440283</v>
      </c>
      <c r="Z357" s="4" t="str">
        <f>IFERROR(__xludf.DUMMYFUNCTION("""COMPUTED_VALUE"""),"3.3502267")</f>
        <v>3.3502267</v>
      </c>
      <c r="AA357" s="4" t="str">
        <f t="shared" si="1"/>
        <v>Neighbor</v>
      </c>
      <c r="AC357" s="4">
        <f>IFERROR(__xludf.DUMMYFUNCTION("IFERROR(ABS(O357-AVERAGE(FILTER(O357:O4425,AA357:AA4425=""Neighbor""))) / STDEV(FILTER(O357:O4425, AA357:AA4425 =""Neighbor"")), """")"),0.13813512373099765)</f>
        <v>0.1381351237</v>
      </c>
      <c r="AD357" s="4">
        <f>IFERROR(__xludf.DUMMYFUNCTION("IFERROR(ABS(P357-AVERAGE(FILTER(O357:P4425,AA357:AA4425=""Neighbor""))) / STDEV(FILTER(P357:P4425, AA357:AA4425 =""Neighbor"")), """")"),0.3824823276681018)</f>
        <v>0.3824823277</v>
      </c>
      <c r="AE357" s="2">
        <f>IFERROR(__xludf.DUMMYFUNCTION("IFERROR(ABS(Q357-AVERAGE(FILTER(Q357:Q4425,AA357:AA4425=""Neighbor""))) / STDEV(FILTER(Q357:Q4425, AA357:AA4425 =""Neighbor"")), """")"),0.4208577251878735)</f>
        <v>0.4208577252</v>
      </c>
      <c r="AF357" s="2">
        <f>IFERROR(__xludf.DUMMYFUNCTION("IFERROR(ABS(R357-AVERAGE(FILTER(R357:R4425,AA357:AA4425=""Neighbor""))) / STDEV(FILTER(R357:R4425, AA357:AA4425 =""Neighbor"")), """")"),0.10209308233971746)</f>
        <v>0.1020930823</v>
      </c>
    </row>
    <row r="358">
      <c r="A358" s="2" t="s">
        <v>28</v>
      </c>
      <c r="B358" s="2" t="s">
        <v>884</v>
      </c>
      <c r="C358" s="2" t="s">
        <v>1457</v>
      </c>
      <c r="D358" s="2" t="s">
        <v>1486</v>
      </c>
      <c r="E358" s="2" t="s">
        <v>1487</v>
      </c>
      <c r="F358" s="2">
        <v>196.0</v>
      </c>
      <c r="G358" s="2">
        <v>1034.0</v>
      </c>
      <c r="H358" s="2" t="b">
        <v>1</v>
      </c>
      <c r="I358" s="2">
        <v>-1.0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s">
        <v>33</v>
      </c>
      <c r="O358" s="2">
        <v>121.0</v>
      </c>
      <c r="P358" s="2">
        <v>40.0</v>
      </c>
      <c r="Q358" s="2">
        <v>23.0</v>
      </c>
      <c r="R358" s="2">
        <v>0.0</v>
      </c>
      <c r="S358" s="3" t="s">
        <v>1488</v>
      </c>
      <c r="T358" s="2" t="s">
        <v>1489</v>
      </c>
      <c r="Y358" s="4" t="str">
        <f>IFERROR(__xludf.DUMMYFUNCTION("""COMPUTED_VALUE"""),"7.1372983")</f>
        <v>7.1372983</v>
      </c>
      <c r="Z358" s="4" t="str">
        <f>IFERROR(__xludf.DUMMYFUNCTION("""COMPUTED_VALUE"""),"3.3514863")</f>
        <v>3.3514863</v>
      </c>
      <c r="AA358" s="4" t="str">
        <f t="shared" si="1"/>
        <v>Not Neighbor</v>
      </c>
      <c r="AC358" s="4">
        <f>IFERROR(__xludf.DUMMYFUNCTION("IFERROR(ABS(O358-AVERAGE(FILTER(O358:O4426,AA358:AA4426=""Neighbor""))) / STDEV(FILTER(O358:O4426, AA358:AA4426 =""Neighbor"")), """")"),1.2420137266563738)</f>
        <v>1.242013727</v>
      </c>
      <c r="AD358" s="4">
        <f>IFERROR(__xludf.DUMMYFUNCTION("IFERROR(ABS(P358-AVERAGE(FILTER(O358:P4426,AA358:AA4426=""Neighbor""))) / STDEV(FILTER(P358:P4426, AA358:AA4426 =""Neighbor"")), """")"),0.07578822393825757)</f>
        <v>0.07578822394</v>
      </c>
      <c r="AE358" s="2">
        <f>IFERROR(__xludf.DUMMYFUNCTION("IFERROR(ABS(Q358-AVERAGE(FILTER(Q358:Q4426,AA358:AA4426=""Neighbor""))) / STDEV(FILTER(Q358:Q4426, AA358:AA4426 =""Neighbor"")), """")"),0.08467184194923054)</f>
        <v>0.08467184195</v>
      </c>
      <c r="AF358" s="2">
        <f>IFERROR(__xludf.DUMMYFUNCTION("IFERROR(ABS(R358-AVERAGE(FILTER(R358:R4426,AA358:AA4426=""Neighbor""))) / STDEV(FILTER(R358:R4426, AA358:AA4426 =""Neighbor"")), """")"),0.10212574308985295)</f>
        <v>0.1021257431</v>
      </c>
    </row>
    <row r="359">
      <c r="A359" s="2" t="s">
        <v>28</v>
      </c>
      <c r="B359" s="2" t="s">
        <v>884</v>
      </c>
      <c r="C359" s="2" t="s">
        <v>1490</v>
      </c>
      <c r="D359" s="2" t="s">
        <v>1491</v>
      </c>
      <c r="E359" s="2" t="s">
        <v>1492</v>
      </c>
      <c r="F359" s="2">
        <v>157.0</v>
      </c>
      <c r="G359" s="2">
        <v>796.0</v>
      </c>
      <c r="H359" s="2" t="b">
        <v>1</v>
      </c>
      <c r="I359" s="2">
        <v>-1.0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s">
        <v>33</v>
      </c>
      <c r="O359" s="2">
        <v>100.0</v>
      </c>
      <c r="P359" s="2">
        <v>15.0</v>
      </c>
      <c r="Q359" s="2">
        <v>32.0</v>
      </c>
      <c r="R359" s="2">
        <v>2.0</v>
      </c>
      <c r="S359" s="3" t="s">
        <v>1493</v>
      </c>
      <c r="T359" s="2" t="s">
        <v>1494</v>
      </c>
      <c r="Y359" s="4" t="str">
        <f>IFERROR(__xludf.DUMMYFUNCTION("""COMPUTED_VALUE"""),"7.1528439")</f>
        <v>7.1528439</v>
      </c>
      <c r="Z359" s="4" t="str">
        <f>IFERROR(__xludf.DUMMYFUNCTION("""COMPUTED_VALUE"""),"3.3395213")</f>
        <v>3.3395213</v>
      </c>
      <c r="AA359" s="4" t="str">
        <f t="shared" si="1"/>
        <v>Neighbor</v>
      </c>
      <c r="AC359" s="4">
        <f>IFERROR(__xludf.DUMMYFUNCTION("IFERROR(ABS(O359-AVERAGE(FILTER(O359:O4427,AA359:AA4427=""Neighbor""))) / STDEV(FILTER(O359:O4427, AA359:AA4427 =""Neighbor"")), """")"),0.7589460294000163)</f>
        <v>0.7589460294</v>
      </c>
      <c r="AD359" s="4">
        <f>IFERROR(__xludf.DUMMYFUNCTION("IFERROR(ABS(P359-AVERAGE(FILTER(O359:P4427,AA359:AA4427=""Neighbor""))) / STDEV(FILTER(P359:P4427, AA359:AA4427 =""Neighbor"")), """")"),1.0336115250320463)</f>
        <v>1.033611525</v>
      </c>
      <c r="AE359" s="2">
        <f>IFERROR(__xludf.DUMMYFUNCTION("IFERROR(ABS(Q359-AVERAGE(FILTER(Q359:Q4427,AA359:AA4427=""Neighbor""))) / STDEV(FILTER(Q359:Q4427, AA359:AA4427 =""Neighbor"")), """")"),0.2937137777370415)</f>
        <v>0.2937137777</v>
      </c>
      <c r="AF359" s="2">
        <f>IFERROR(__xludf.DUMMYFUNCTION("IFERROR(ABS(R359-AVERAGE(FILTER(R359:R4427,AA359:AA4427=""Neighbor""))) / STDEV(FILTER(R359:R4427, AA359:AA4427 =""Neighbor"")), """")"),0.2797567749096446)</f>
        <v>0.2797567749</v>
      </c>
    </row>
    <row r="360">
      <c r="A360" s="2" t="s">
        <v>28</v>
      </c>
      <c r="B360" s="2" t="s">
        <v>884</v>
      </c>
      <c r="C360" s="2" t="s">
        <v>1490</v>
      </c>
      <c r="D360" s="2" t="s">
        <v>1495</v>
      </c>
      <c r="E360" s="2" t="s">
        <v>1496</v>
      </c>
      <c r="F360" s="2">
        <v>153.0</v>
      </c>
      <c r="G360" s="2">
        <v>828.0</v>
      </c>
      <c r="H360" s="2" t="b">
        <v>1</v>
      </c>
      <c r="I360" s="2">
        <v>-1.0</v>
      </c>
      <c r="J360" s="2" t="b">
        <v>1</v>
      </c>
      <c r="K360" s="2" t="b">
        <v>0</v>
      </c>
      <c r="L360" s="2" t="b">
        <v>0</v>
      </c>
      <c r="M360" s="2" t="b">
        <v>0</v>
      </c>
      <c r="N360" s="2" t="s">
        <v>33</v>
      </c>
      <c r="O360" s="2">
        <v>77.0</v>
      </c>
      <c r="P360" s="2">
        <v>16.0</v>
      </c>
      <c r="Q360" s="2">
        <v>18.0</v>
      </c>
      <c r="R360" s="2">
        <v>1.0</v>
      </c>
      <c r="S360" s="3" t="s">
        <v>1497</v>
      </c>
      <c r="T360" s="2" t="s">
        <v>1498</v>
      </c>
      <c r="Y360" s="4" t="str">
        <f>IFERROR(__xludf.DUMMYFUNCTION("""COMPUTED_VALUE"""),"7.153516")</f>
        <v>7.153516</v>
      </c>
      <c r="Z360" s="4" t="str">
        <f>IFERROR(__xludf.DUMMYFUNCTION("""COMPUTED_VALUE"""),"3.3390119")</f>
        <v>3.3390119</v>
      </c>
      <c r="AA360" s="4" t="str">
        <f t="shared" si="1"/>
        <v>Neighbor</v>
      </c>
      <c r="AC360" s="4">
        <f>IFERROR(__xludf.DUMMYFUNCTION("IFERROR(ABS(O360-AVERAGE(FILTER(O360:O4428,AA360:AA4428=""Neighbor""))) / STDEV(FILTER(O360:O4428, AA360:AA4428 =""Neighbor"")), """")"),0.23032219043300908)</f>
        <v>0.2303221904</v>
      </c>
      <c r="AD360" s="4">
        <f>IFERROR(__xludf.DUMMYFUNCTION("IFERROR(ABS(P360-AVERAGE(FILTER(O360:P4428,AA360:AA4428=""Neighbor""))) / STDEV(FILTER(P360:P4428, AA360:AA4428 =""Neighbor"")), """")"),0.9946077545716485)</f>
        <v>0.9946077546</v>
      </c>
      <c r="AE360" s="2">
        <f>IFERROR(__xludf.DUMMYFUNCTION("IFERROR(ABS(Q360-AVERAGE(FILTER(Q360:Q4428,AA360:AA4428=""Neighbor""))) / STDEV(FILTER(Q360:Q4428, AA360:AA4428 =""Neighbor"")), """")"),0.29461443848292695)</f>
        <v>0.2946144385</v>
      </c>
      <c r="AF360" s="2">
        <f>IFERROR(__xludf.DUMMYFUNCTION("IFERROR(ABS(R360-AVERAGE(FILTER(R360:R4428,AA360:AA4428=""Neighbor""))) / STDEV(FILTER(R360:R4428, AA360:AA4428 =""Neighbor"")), """")"),0.08896690269423034)</f>
        <v>0.08896690269</v>
      </c>
    </row>
    <row r="361">
      <c r="A361" s="2" t="s">
        <v>28</v>
      </c>
      <c r="B361" s="2" t="s">
        <v>884</v>
      </c>
      <c r="C361" s="2" t="s">
        <v>1490</v>
      </c>
      <c r="D361" s="2" t="s">
        <v>1499</v>
      </c>
      <c r="E361" s="2" t="s">
        <v>1500</v>
      </c>
      <c r="F361" s="2">
        <v>146.0</v>
      </c>
      <c r="G361" s="2">
        <v>834.0</v>
      </c>
      <c r="H361" s="2" t="b">
        <v>1</v>
      </c>
      <c r="I361" s="2">
        <v>-1.0</v>
      </c>
      <c r="J361" s="2" t="b">
        <v>1</v>
      </c>
      <c r="K361" s="2" t="b">
        <v>0</v>
      </c>
      <c r="L361" s="2" t="b">
        <v>0</v>
      </c>
      <c r="M361" s="2" t="b">
        <v>0</v>
      </c>
      <c r="N361" s="2" t="s">
        <v>33</v>
      </c>
      <c r="O361" s="2">
        <v>78.0</v>
      </c>
      <c r="P361" s="2">
        <v>20.0</v>
      </c>
      <c r="Q361" s="2">
        <v>23.0</v>
      </c>
      <c r="R361" s="2">
        <v>4.0</v>
      </c>
      <c r="S361" s="3" t="s">
        <v>1501</v>
      </c>
      <c r="T361" s="2" t="s">
        <v>1502</v>
      </c>
      <c r="Y361" s="4" t="str">
        <f>IFERROR(__xludf.DUMMYFUNCTION("""COMPUTED_VALUE"""),"7.153516")</f>
        <v>7.153516</v>
      </c>
      <c r="Z361" s="4" t="str">
        <f>IFERROR(__xludf.DUMMYFUNCTION("""COMPUTED_VALUE"""),"3.3390119")</f>
        <v>3.3390119</v>
      </c>
      <c r="AA361" s="4" t="str">
        <f t="shared" si="1"/>
        <v>Neighbor</v>
      </c>
      <c r="AC361" s="4">
        <f>IFERROR(__xludf.DUMMYFUNCTION("IFERROR(ABS(O361-AVERAGE(FILTER(O361:O4429,AA361:AA4429=""Neighbor""))) / STDEV(FILTER(O361:O4429, AA361:AA4429 =""Neighbor"")), """")"),0.25339230603713636)</f>
        <v>0.253392306</v>
      </c>
      <c r="AD361" s="4">
        <f>IFERROR(__xludf.DUMMYFUNCTION("IFERROR(ABS(P361-AVERAGE(FILTER(O361:P4429,AA361:AA4429=""Neighbor""))) / STDEV(FILTER(P361:P4429, AA361:AA4429 =""Neighbor"")), """")"),0.8410276240069118)</f>
        <v>0.841027624</v>
      </c>
      <c r="AE361" s="2">
        <f>IFERROR(__xludf.DUMMYFUNCTION("IFERROR(ABS(Q361-AVERAGE(FILTER(Q361:Q4429,AA361:AA4429=""Neighbor""))) / STDEV(FILTER(Q361:Q4429, AA361:AA4429 =""Neighbor"")), """")"),0.0846235244306425)</f>
        <v>0.08462352443</v>
      </c>
      <c r="AF361" s="2">
        <f>IFERROR(__xludf.DUMMYFUNCTION("IFERROR(ABS(R361-AVERAGE(FILTER(R361:R4429,AA361:AA4429=""Neighbor""))) / STDEV(FILTER(R361:R4429, AA361:AA4429 =""Neighbor"")), """")"),0.6614714079817425)</f>
        <v>0.661471408</v>
      </c>
    </row>
    <row r="362">
      <c r="A362" s="2" t="s">
        <v>28</v>
      </c>
      <c r="B362" s="2" t="s">
        <v>884</v>
      </c>
      <c r="C362" s="2" t="s">
        <v>1490</v>
      </c>
      <c r="D362" s="2" t="s">
        <v>1503</v>
      </c>
      <c r="E362" s="2" t="s">
        <v>1504</v>
      </c>
      <c r="F362" s="2">
        <v>87.0</v>
      </c>
      <c r="G362" s="2">
        <v>401.0</v>
      </c>
      <c r="H362" s="2" t="b">
        <v>1</v>
      </c>
      <c r="I362" s="2">
        <v>-1.0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s">
        <v>33</v>
      </c>
      <c r="O362" s="2">
        <v>41.0</v>
      </c>
      <c r="P362" s="2">
        <v>6.0</v>
      </c>
      <c r="Q362" s="2">
        <v>16.0</v>
      </c>
      <c r="R362" s="2">
        <v>1.0</v>
      </c>
      <c r="S362" s="3" t="s">
        <v>1505</v>
      </c>
      <c r="T362" s="2" t="s">
        <v>1506</v>
      </c>
      <c r="Y362" s="4" t="str">
        <f>IFERROR(__xludf.DUMMYFUNCTION("""COMPUTED_VALUE"""),"7.1521853")</f>
        <v>7.1521853</v>
      </c>
      <c r="Z362" s="4" t="str">
        <f>IFERROR(__xludf.DUMMYFUNCTION("""COMPUTED_VALUE"""),"3.3376324")</f>
        <v>3.3376324</v>
      </c>
      <c r="AA362" s="4" t="str">
        <f t="shared" si="1"/>
        <v>Neighbor</v>
      </c>
      <c r="AC362" s="4">
        <f>IFERROR(__xludf.DUMMYFUNCTION("IFERROR(ABS(O362-AVERAGE(FILTER(O362:O4430,AA362:AA4430=""Neighbor""))) / STDEV(FILTER(O362:O4430, AA362:AA4430 =""Neighbor"")), """")"),0.5970185734660495)</f>
        <v>0.5970185735</v>
      </c>
      <c r="AD362" s="4">
        <f>IFERROR(__xludf.DUMMYFUNCTION("IFERROR(ABS(P362-AVERAGE(FILTER(O362:P4430,AA362:AA4430=""Neighbor""))) / STDEV(FILTER(P362:P4430, AA362:AA4430 =""Neighbor"")), """")"),1.3764673771679439)</f>
        <v>1.376467377</v>
      </c>
      <c r="AE362" s="2">
        <f>IFERROR(__xludf.DUMMYFUNCTION("IFERROR(ABS(Q362-AVERAGE(FILTER(Q362:Q4430,AA362:AA4430=""Neighbor""))) / STDEV(FILTER(Q362:Q4430, AA362:AA4430 =""Neighbor"")), """")"),0.37868724178869867)</f>
        <v>0.3786872418</v>
      </c>
      <c r="AF362" s="2">
        <f>IFERROR(__xludf.DUMMYFUNCTION("IFERROR(ABS(R362-AVERAGE(FILTER(R362:R4430,AA362:AA4430=""Neighbor""))) / STDEV(FILTER(R362:R4430, AA362:AA4430 =""Neighbor"")), """")"),0.08939934757579672)</f>
        <v>0.08939934758</v>
      </c>
    </row>
    <row r="363">
      <c r="A363" s="2" t="s">
        <v>28</v>
      </c>
      <c r="B363" s="2" t="s">
        <v>884</v>
      </c>
      <c r="C363" s="2" t="s">
        <v>1490</v>
      </c>
      <c r="D363" s="2" t="s">
        <v>1507</v>
      </c>
      <c r="E363" s="2" t="s">
        <v>1508</v>
      </c>
      <c r="F363" s="2">
        <v>60.0</v>
      </c>
      <c r="G363" s="2">
        <v>331.0</v>
      </c>
      <c r="H363" s="2" t="b">
        <v>1</v>
      </c>
      <c r="I363" s="2">
        <v>-1.0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s">
        <v>33</v>
      </c>
      <c r="O363" s="2">
        <v>40.0</v>
      </c>
      <c r="P363" s="2">
        <v>1.0</v>
      </c>
      <c r="Q363" s="2">
        <v>6.0</v>
      </c>
      <c r="R363" s="2">
        <v>1.0</v>
      </c>
      <c r="S363" s="3" t="s">
        <v>1509</v>
      </c>
      <c r="T363" s="2" t="s">
        <v>1510</v>
      </c>
      <c r="Y363" s="4" t="str">
        <f>IFERROR(__xludf.DUMMYFUNCTION("""COMPUTED_VALUE"""),"7.1521853")</f>
        <v>7.1521853</v>
      </c>
      <c r="Z363" s="4" t="str">
        <f>IFERROR(__xludf.DUMMYFUNCTION("""COMPUTED_VALUE"""),"3.3376324")</f>
        <v>3.3376324</v>
      </c>
      <c r="AA363" s="4" t="str">
        <f t="shared" si="1"/>
        <v>Neighbor</v>
      </c>
      <c r="AC363" s="4">
        <f>IFERROR(__xludf.DUMMYFUNCTION("IFERROR(ABS(O363-AVERAGE(FILTER(O363:O4431,AA363:AA4431=""Neighbor""))) / STDEV(FILTER(O363:O4431, AA363:AA4431 =""Neighbor"")), """")"),0.620257436845974)</f>
        <v>0.6202574368</v>
      </c>
      <c r="AD363" s="4">
        <f>IFERROR(__xludf.DUMMYFUNCTION("IFERROR(ABS(P363-AVERAGE(FILTER(O363:P4431,AA363:AA4431=""Neighbor""))) / STDEV(FILTER(P363:P4431, AA363:AA4431 =""Neighbor"")), """")"),1.5678891937424793)</f>
        <v>1.567889194</v>
      </c>
      <c r="AE363" s="2">
        <f>IFERROR(__xludf.DUMMYFUNCTION("IFERROR(ABS(Q363-AVERAGE(FILTER(Q363:Q4431,AA363:AA4431=""Neighbor""))) / STDEV(FILTER(Q363:Q4431, AA363:AA4431 =""Neighbor"")), """")"),0.7987627978475974)</f>
        <v>0.7987627978</v>
      </c>
      <c r="AF363" s="2">
        <f>IFERROR(__xludf.DUMMYFUNCTION("IFERROR(ABS(R363-AVERAGE(FILTER(R363:R4431,AA363:AA4431=""Neighbor""))) / STDEV(FILTER(R363:R4431, AA363:AA4431 =""Neighbor"")), """")"),0.08942795098178118)</f>
        <v>0.08942795098</v>
      </c>
    </row>
    <row r="364">
      <c r="A364" s="2" t="s">
        <v>28</v>
      </c>
      <c r="B364" s="2" t="s">
        <v>884</v>
      </c>
      <c r="C364" s="2" t="s">
        <v>1490</v>
      </c>
      <c r="D364" s="2" t="s">
        <v>1511</v>
      </c>
      <c r="E364" s="2" t="s">
        <v>1512</v>
      </c>
      <c r="F364" s="2">
        <v>109.0</v>
      </c>
      <c r="G364" s="2">
        <v>601.0</v>
      </c>
      <c r="H364" s="2" t="b">
        <v>1</v>
      </c>
      <c r="I364" s="2">
        <v>-1.0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s">
        <v>33</v>
      </c>
      <c r="O364" s="2">
        <v>73.0</v>
      </c>
      <c r="P364" s="2">
        <v>10.0</v>
      </c>
      <c r="Q364" s="2">
        <v>12.0</v>
      </c>
      <c r="R364" s="2">
        <v>2.0</v>
      </c>
      <c r="S364" s="3" t="s">
        <v>1513</v>
      </c>
      <c r="T364" s="2" t="s">
        <v>1514</v>
      </c>
      <c r="Y364" s="4" t="str">
        <f>IFERROR(__xludf.DUMMYFUNCTION("""COMPUTED_VALUE"""),"7.1517562")</f>
        <v>7.1517562</v>
      </c>
      <c r="Z364" s="4" t="str">
        <f>IFERROR(__xludf.DUMMYFUNCTION("""COMPUTED_VALUE"""),"3.3330284")</f>
        <v>3.3330284</v>
      </c>
      <c r="AA364" s="4" t="str">
        <f t="shared" si="1"/>
        <v>Neighbor</v>
      </c>
      <c r="AC364" s="4">
        <f>IFERROR(__xludf.DUMMYFUNCTION("IFERROR(ABS(O364-AVERAGE(FILTER(O364:O4432,AA364:AA4432=""Neighbor""))) / STDEV(FILTER(O364:O4432, AA364:AA4432 =""Neighbor"")), """")"),0.13771710571132748)</f>
        <v>0.1377171057</v>
      </c>
      <c r="AD364" s="4">
        <f>IFERROR(__xludf.DUMMYFUNCTION("IFERROR(ABS(P364-AVERAGE(FILTER(O364:P4432,AA364:AA4432=""Neighbor""))) / STDEV(FILTER(P364:P4432, AA364:AA4432 =""Neighbor"")), """")"),1.2237672798491956)</f>
        <v>1.22376728</v>
      </c>
      <c r="AE364" s="2">
        <f>IFERROR(__xludf.DUMMYFUNCTION("IFERROR(ABS(Q364-AVERAGE(FILTER(Q364:Q4432,AA364:AA4432=""Neighbor""))) / STDEV(FILTER(Q364:Q4432, AA364:AA4432 =""Neighbor"")), """")"),0.5472448087296239)</f>
        <v>0.5472448087</v>
      </c>
      <c r="AF364" s="2">
        <f>IFERROR(__xludf.DUMMYFUNCTION("IFERROR(ABS(R364-AVERAGE(FILTER(R364:R4432,AA364:AA4432=""Neighbor""))) / STDEV(FILTER(R364:R4432, AA364:AA4432 =""Neighbor"")), """")"),0.2801275889970048)</f>
        <v>0.280127589</v>
      </c>
    </row>
    <row r="365">
      <c r="A365" s="2" t="s">
        <v>28</v>
      </c>
      <c r="B365" s="2" t="s">
        <v>884</v>
      </c>
      <c r="C365" s="2" t="s">
        <v>1490</v>
      </c>
      <c r="D365" s="2" t="s">
        <v>1515</v>
      </c>
      <c r="E365" s="2" t="s">
        <v>1516</v>
      </c>
      <c r="F365" s="2">
        <v>78.0</v>
      </c>
      <c r="G365" s="2">
        <v>528.0</v>
      </c>
      <c r="H365" s="2" t="b">
        <v>1</v>
      </c>
      <c r="I365" s="2">
        <v>-1.0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s">
        <v>33</v>
      </c>
      <c r="O365" s="2">
        <v>47.0</v>
      </c>
      <c r="P365" s="2">
        <v>7.0</v>
      </c>
      <c r="Q365" s="2">
        <v>17.0</v>
      </c>
      <c r="R365" s="2">
        <v>0.0</v>
      </c>
      <c r="S365" s="3" t="s">
        <v>1517</v>
      </c>
      <c r="T365" s="2" t="s">
        <v>1518</v>
      </c>
      <c r="Y365" s="4" t="str">
        <f>IFERROR(__xludf.DUMMYFUNCTION("""COMPUTED_VALUE"""),"7.1517562")</f>
        <v>7.1517562</v>
      </c>
      <c r="Z365" s="4" t="str">
        <f>IFERROR(__xludf.DUMMYFUNCTION("""COMPUTED_VALUE"""),"3.3330284")</f>
        <v>3.3330284</v>
      </c>
      <c r="AA365" s="4" t="str">
        <f t="shared" si="1"/>
        <v>Neighbor</v>
      </c>
      <c r="AC365" s="4">
        <f>IFERROR(__xludf.DUMMYFUNCTION("IFERROR(ABS(O365-AVERAGE(FILTER(O365:O4433,AA365:AA4433=""Neighbor""))) / STDEV(FILTER(O365:O4433, AA365:AA4433 =""Neighbor"")), """")"),0.4594589595611212)</f>
        <v>0.4594589596</v>
      </c>
      <c r="AD365" s="4">
        <f>IFERROR(__xludf.DUMMYFUNCTION("IFERROR(ABS(P365-AVERAGE(FILTER(O365:P4433,AA365:AA4433=""Neighbor""))) / STDEV(FILTER(P365:P4433, AA365:AA4433 =""Neighbor"")), """")"),1.3381607600129448)</f>
        <v>1.33816076</v>
      </c>
      <c r="AE365" s="2">
        <f>IFERROR(__xludf.DUMMYFUNCTION("IFERROR(ABS(Q365-AVERAGE(FILTER(Q365:Q4433,AA365:AA4433=""Neighbor""))) / STDEV(FILTER(Q365:Q4433, AA365:AA4433 =""Neighbor"")), """")"),0.3375727930501553)</f>
        <v>0.3375727931</v>
      </c>
      <c r="AF365" s="2">
        <f>IFERROR(__xludf.DUMMYFUNCTION("IFERROR(ABS(R365-AVERAGE(FILTER(R365:R4433,AA365:AA4433=""Neighbor""))) / STDEV(FILTER(R365:R4433, AA365:AA4433 =""Neighbor"")), """")"),0.10100660841818618)</f>
        <v>0.1010066084</v>
      </c>
    </row>
    <row r="366">
      <c r="A366" s="2" t="s">
        <v>28</v>
      </c>
      <c r="B366" s="2" t="s">
        <v>884</v>
      </c>
      <c r="C366" s="2" t="s">
        <v>1490</v>
      </c>
      <c r="D366" s="2" t="s">
        <v>1519</v>
      </c>
      <c r="E366" s="2" t="s">
        <v>1520</v>
      </c>
      <c r="F366" s="2">
        <v>89.0</v>
      </c>
      <c r="G366" s="2">
        <v>471.0</v>
      </c>
      <c r="H366" s="2" t="b">
        <v>1</v>
      </c>
      <c r="I366" s="2">
        <v>-1.0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s">
        <v>33</v>
      </c>
      <c r="O366" s="2">
        <v>55.0</v>
      </c>
      <c r="P366" s="2">
        <v>1.0</v>
      </c>
      <c r="Q366" s="2">
        <v>18.0</v>
      </c>
      <c r="R366" s="2">
        <v>0.0</v>
      </c>
      <c r="S366" s="3" t="s">
        <v>1521</v>
      </c>
      <c r="T366" s="2" t="s">
        <v>1522</v>
      </c>
      <c r="Y366" s="4" t="str">
        <f>IFERROR(__xludf.DUMMYFUNCTION("""COMPUTED_VALUE"""),"7.1521853")</f>
        <v>7.1521853</v>
      </c>
      <c r="Z366" s="4" t="str">
        <f>IFERROR(__xludf.DUMMYFUNCTION("""COMPUTED_VALUE"""),"3.3376324")</f>
        <v>3.3376324</v>
      </c>
      <c r="AA366" s="4" t="str">
        <f t="shared" si="1"/>
        <v>Neighbor</v>
      </c>
      <c r="AC366" s="4">
        <f>IFERROR(__xludf.DUMMYFUNCTION("IFERROR(ABS(O366-AVERAGE(FILTER(O366:O4434,AA366:AA4434=""Neighbor""))) / STDEV(FILTER(O366:O4434, AA366:AA4434 =""Neighbor"")), """")"),0.2759219151840191)</f>
        <v>0.2759219152</v>
      </c>
      <c r="AD366" s="4">
        <f>IFERROR(__xludf.DUMMYFUNCTION("IFERROR(ABS(P366-AVERAGE(FILTER(O366:P4434,AA366:AA4434=""Neighbor""))) / STDEV(FILTER(P366:P4434, AA366:AA4434 =""Neighbor"")), """")"),1.5675856828184276)</f>
        <v>1.567585683</v>
      </c>
      <c r="AE366" s="2">
        <f>IFERROR(__xludf.DUMMYFUNCTION("IFERROR(ABS(Q366-AVERAGE(FILTER(Q366:Q4434,AA366:AA4434=""Neighbor""))) / STDEV(FILTER(Q366:Q4434, AA366:AA4434 =""Neighbor"")), """")"),0.29572461749422024)</f>
        <v>0.2957246175</v>
      </c>
      <c r="AF366" s="2">
        <f>IFERROR(__xludf.DUMMYFUNCTION("IFERROR(ABS(R366-AVERAGE(FILTER(R366:R4434,AA366:AA4434=""Neighbor""))) / STDEV(FILTER(R366:R4434, AA366:AA4434 =""Neighbor"")), """")"),0.10103905835998674)</f>
        <v>0.1010390584</v>
      </c>
    </row>
    <row r="367">
      <c r="A367" s="2" t="s">
        <v>28</v>
      </c>
      <c r="B367" s="2" t="s">
        <v>884</v>
      </c>
      <c r="C367" s="2" t="s">
        <v>1490</v>
      </c>
      <c r="D367" s="2" t="s">
        <v>1523</v>
      </c>
      <c r="E367" s="2" t="s">
        <v>1524</v>
      </c>
      <c r="F367" s="2">
        <v>68.0</v>
      </c>
      <c r="G367" s="2">
        <v>489.0</v>
      </c>
      <c r="H367" s="2" t="b">
        <v>1</v>
      </c>
      <c r="I367" s="2">
        <v>-1.0</v>
      </c>
      <c r="J367" s="2" t="b">
        <v>0</v>
      </c>
      <c r="K367" s="2" t="b">
        <v>1</v>
      </c>
      <c r="L367" s="2" t="b">
        <v>0</v>
      </c>
      <c r="M367" s="2" t="b">
        <v>0</v>
      </c>
      <c r="N367" s="2" t="s">
        <v>33</v>
      </c>
      <c r="O367" s="2">
        <v>0.0</v>
      </c>
      <c r="P367" s="2">
        <v>0.0</v>
      </c>
      <c r="Q367" s="2">
        <v>0.0</v>
      </c>
      <c r="R367" s="2">
        <v>0.0</v>
      </c>
      <c r="S367" s="3" t="s">
        <v>1525</v>
      </c>
      <c r="T367" s="2" t="s">
        <v>1526</v>
      </c>
      <c r="Y367" s="4" t="str">
        <f>IFERROR(__xludf.DUMMYFUNCTION("""COMPUTED_VALUE"""),"7.1521853")</f>
        <v>7.1521853</v>
      </c>
      <c r="Z367" s="4" t="str">
        <f>IFERROR(__xludf.DUMMYFUNCTION("""COMPUTED_VALUE"""),"3.3376324")</f>
        <v>3.3376324</v>
      </c>
      <c r="AA367" s="4" t="str">
        <f t="shared" si="1"/>
        <v>Neighbor</v>
      </c>
      <c r="AC367" s="4">
        <f>IFERROR(__xludf.DUMMYFUNCTION("IFERROR(ABS(O367-AVERAGE(FILTER(O367:O4435,AA367:AA4435=""Neighbor""))) / STDEV(FILTER(O367:O4435, AA367:AA4435 =""Neighbor"")), """")"),1.5386789201177085)</f>
        <v>1.53867892</v>
      </c>
      <c r="AD367" s="4">
        <f>IFERROR(__xludf.DUMMYFUNCTION("IFERROR(ABS(P367-AVERAGE(FILTER(O367:P4435,AA367:AA4435=""Neighbor""))) / STDEV(FILTER(P367:P4435, AA367:AA4435 =""Neighbor"")), """")"),1.6058433261319587)</f>
        <v>1.605843326</v>
      </c>
      <c r="AE367" s="2">
        <f>IFERROR(__xludf.DUMMYFUNCTION("IFERROR(ABS(Q367-AVERAGE(FILTER(Q367:Q4435,AA367:AA4435=""Neighbor""))) / STDEV(FILTER(Q367:Q4435, AA367:AA4435 =""Neighbor"")), """")"),1.0510275163188343)</f>
        <v>1.051027516</v>
      </c>
      <c r="AF367" s="2">
        <f>IFERROR(__xludf.DUMMYFUNCTION("IFERROR(ABS(R367-AVERAGE(FILTER(R367:R4435,AA367:AA4435=""Neighbor""))) / STDEV(FILTER(R367:R4435, AA367:AA4435 =""Neighbor"")), """")"),0.10107153959728943)</f>
        <v>0.1010715396</v>
      </c>
    </row>
    <row r="368">
      <c r="A368" s="2" t="s">
        <v>28</v>
      </c>
      <c r="B368" s="2" t="s">
        <v>884</v>
      </c>
      <c r="C368" s="2" t="s">
        <v>1490</v>
      </c>
      <c r="D368" s="2" t="s">
        <v>1527</v>
      </c>
      <c r="E368" s="2" t="s">
        <v>1528</v>
      </c>
      <c r="F368" s="2">
        <v>123.0</v>
      </c>
      <c r="G368" s="2">
        <v>640.0</v>
      </c>
      <c r="H368" s="2" t="b">
        <v>1</v>
      </c>
      <c r="I368" s="2">
        <v>-1.0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s">
        <v>33</v>
      </c>
      <c r="O368" s="2">
        <v>74.0</v>
      </c>
      <c r="P368" s="2">
        <v>13.0</v>
      </c>
      <c r="Q368" s="2">
        <v>14.0</v>
      </c>
      <c r="R368" s="2">
        <v>0.0</v>
      </c>
      <c r="S368" s="3" t="s">
        <v>1529</v>
      </c>
      <c r="T368" s="2" t="s">
        <v>1530</v>
      </c>
      <c r="Y368" s="4" t="str">
        <f>IFERROR(__xludf.DUMMYFUNCTION("""COMPUTED_VALUE"""),"7.1467896")</f>
        <v>7.1467896</v>
      </c>
      <c r="Z368" s="4" t="str">
        <f>IFERROR(__xludf.DUMMYFUNCTION("""COMPUTED_VALUE"""),"3.340151")</f>
        <v>3.340151</v>
      </c>
      <c r="AA368" s="4" t="str">
        <f t="shared" si="1"/>
        <v>Not Neighbor</v>
      </c>
      <c r="AC368" s="4">
        <f>IFERROR(__xludf.DUMMYFUNCTION("IFERROR(ABS(O368-AVERAGE(FILTER(O368:O4436,AA368:AA4436=""Neighbor""))) / STDEV(FILTER(O368:O4436, AA368:AA4436 =""Neighbor"")), """")"),0.15926495508539656)</f>
        <v>0.1592649551</v>
      </c>
      <c r="AD368" s="4">
        <f>IFERROR(__xludf.DUMMYFUNCTION("IFERROR(ABS(P368-AVERAGE(FILTER(O368:P4436,AA368:AA4436=""Neighbor""))) / STDEV(FILTER(P368:P4436, AA368:AA4436 =""Neighbor"")), """")"),1.1096758576943124)</f>
        <v>1.109675858</v>
      </c>
      <c r="AE368" s="2">
        <f>IFERROR(__xludf.DUMMYFUNCTION("IFERROR(ABS(Q368-AVERAGE(FILTER(Q368:Q4436,AA368:AA4436=""Neighbor""))) / STDEV(FILTER(Q368:Q4436, AA368:AA4436 =""Neighbor"")), """")"),0.46433478303031017)</f>
        <v>0.464334783</v>
      </c>
      <c r="AF368" s="2">
        <f>IFERROR(__xludf.DUMMYFUNCTION("IFERROR(ABS(R368-AVERAGE(FILTER(R368:R4436,AA368:AA4436=""Neighbor""))) / STDEV(FILTER(R368:R4436, AA368:AA4436 =""Neighbor"")), """")"),0.10110405218043063)</f>
        <v>0.1011040522</v>
      </c>
    </row>
    <row r="369">
      <c r="A369" s="2" t="s">
        <v>28</v>
      </c>
      <c r="B369" s="2" t="s">
        <v>884</v>
      </c>
      <c r="C369" s="2" t="s">
        <v>1490</v>
      </c>
      <c r="D369" s="2" t="s">
        <v>1531</v>
      </c>
      <c r="E369" s="2" t="s">
        <v>1532</v>
      </c>
      <c r="F369" s="2">
        <v>89.0</v>
      </c>
      <c r="G369" s="2">
        <v>448.0</v>
      </c>
      <c r="H369" s="2" t="b">
        <v>1</v>
      </c>
      <c r="I369" s="2">
        <v>-1.0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s">
        <v>33</v>
      </c>
      <c r="O369" s="2">
        <v>48.0</v>
      </c>
      <c r="P369" s="2">
        <v>4.0</v>
      </c>
      <c r="Q369" s="2">
        <v>26.0</v>
      </c>
      <c r="R369" s="2">
        <v>0.0</v>
      </c>
      <c r="S369" s="3" t="s">
        <v>1533</v>
      </c>
      <c r="T369" s="2" t="s">
        <v>1534</v>
      </c>
      <c r="Y369" s="4" t="str">
        <f>IFERROR(__xludf.DUMMYFUNCTION("""COMPUTED_VALUE"""),"7.1610896")</f>
        <v>7.1610896</v>
      </c>
      <c r="Z369" s="4" t="str">
        <f>IFERROR(__xludf.DUMMYFUNCTION("""COMPUTED_VALUE"""),"3.3874868")</f>
        <v>3.3874868</v>
      </c>
      <c r="AA369" s="4" t="str">
        <f t="shared" si="1"/>
        <v>Not Neighbor</v>
      </c>
      <c r="AC369" s="4">
        <f>IFERROR(__xludf.DUMMYFUNCTION("IFERROR(ABS(O369-AVERAGE(FILTER(O369:O4437,AA369:AA4437=""Neighbor""))) / STDEV(FILTER(O369:O4437, AA369:AA4437 =""Neighbor"")), """")"),0.43789079654637475)</f>
        <v>0.4378907965</v>
      </c>
      <c r="AD369" s="4">
        <f>IFERROR(__xludf.DUMMYFUNCTION("IFERROR(ABS(P369-AVERAGE(FILTER(O369:P4437,AA369:AA4437=""Neighbor""))) / STDEV(FILTER(P369:P4437, AA369:AA4437 =""Neighbor"")), """")"),1.453680002202696)</f>
        <v>1.453680002</v>
      </c>
      <c r="AE369" s="2">
        <f>IFERROR(__xludf.DUMMYFUNCTION("IFERROR(ABS(Q369-AVERAGE(FILTER(Q369:Q4437,AA369:AA4437=""Neighbor""))) / STDEV(FILTER(Q369:Q4437, AA369:AA4437 =""Neighbor"")), """")"),0.03914916622646701)</f>
        <v>0.03914916623</v>
      </c>
      <c r="AF369" s="2">
        <f>IFERROR(__xludf.DUMMYFUNCTION("IFERROR(ABS(R369-AVERAGE(FILTER(R369:R4437,AA369:AA4437=""Neighbor""))) / STDEV(FILTER(R369:R4437, AA369:AA4437 =""Neighbor"")), """")"),0.10110405218043063)</f>
        <v>0.1011040522</v>
      </c>
    </row>
    <row r="370">
      <c r="A370" s="2" t="s">
        <v>28</v>
      </c>
      <c r="B370" s="2" t="s">
        <v>884</v>
      </c>
      <c r="C370" s="2" t="s">
        <v>1490</v>
      </c>
      <c r="D370" s="2" t="s">
        <v>1535</v>
      </c>
      <c r="E370" s="2" t="s">
        <v>1536</v>
      </c>
      <c r="F370" s="2">
        <v>123.0</v>
      </c>
      <c r="G370" s="2">
        <v>532.0</v>
      </c>
      <c r="H370" s="2" t="b">
        <v>1</v>
      </c>
      <c r="I370" s="2">
        <v>-1.0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s">
        <v>33</v>
      </c>
      <c r="O370" s="2">
        <v>64.0</v>
      </c>
      <c r="P370" s="2">
        <v>4.0</v>
      </c>
      <c r="Q370" s="2">
        <v>30.0</v>
      </c>
      <c r="R370" s="2">
        <v>0.0</v>
      </c>
      <c r="S370" s="3" t="s">
        <v>1537</v>
      </c>
      <c r="T370" s="2" t="s">
        <v>1538</v>
      </c>
      <c r="Y370" s="4" t="str">
        <f>IFERROR(__xludf.DUMMYFUNCTION("""COMPUTED_VALUE"""),"7.1670675")</f>
        <v>7.1670675</v>
      </c>
      <c r="Z370" s="4" t="str">
        <f>IFERROR(__xludf.DUMMYFUNCTION("""COMPUTED_VALUE"""),"3.3683717")</f>
        <v>3.3683717</v>
      </c>
      <c r="AA370" s="4" t="str">
        <f t="shared" si="1"/>
        <v>Not Neighbor</v>
      </c>
      <c r="AC370" s="4">
        <f>IFERROR(__xludf.DUMMYFUNCTION("IFERROR(ABS(O370-AVERAGE(FILTER(O370:O4438,AA370:AA4438=""Neighbor""))) / STDEV(FILTER(O370:O4438, AA370:AA4438 =""Neighbor"")), """")"),0.07041033400374626)</f>
        <v>0.070410334</v>
      </c>
      <c r="AD370" s="4">
        <f>IFERROR(__xludf.DUMMYFUNCTION("IFERROR(ABS(P370-AVERAGE(FILTER(O370:P4438,AA370:AA4438=""Neighbor""))) / STDEV(FILTER(P370:P4438, AA370:AA4438 =""Neighbor"")), """")"),1.453680002202696)</f>
        <v>1.453680002</v>
      </c>
      <c r="AE370" s="2">
        <f>IFERROR(__xludf.DUMMYFUNCTION("IFERROR(ABS(Q370-AVERAGE(FILTER(Q370:Q4438,AA370:AA4438=""Neighbor""))) / STDEV(FILTER(Q370:Q4438, AA370:AA4438 =""Neighbor"")), """")"),0.2069771493120594)</f>
        <v>0.2069771493</v>
      </c>
      <c r="AF370" s="2">
        <f>IFERROR(__xludf.DUMMYFUNCTION("IFERROR(ABS(R370-AVERAGE(FILTER(R370:R4438,AA370:AA4438=""Neighbor""))) / STDEV(FILTER(R370:R4438, AA370:AA4438 =""Neighbor"")), """")"),0.10110405218043063)</f>
        <v>0.1011040522</v>
      </c>
    </row>
    <row r="371">
      <c r="A371" s="2" t="s">
        <v>28</v>
      </c>
      <c r="B371" s="2" t="s">
        <v>884</v>
      </c>
      <c r="C371" s="2" t="s">
        <v>1490</v>
      </c>
      <c r="D371" s="2" t="s">
        <v>1539</v>
      </c>
      <c r="E371" s="2" t="s">
        <v>1540</v>
      </c>
      <c r="F371" s="2">
        <v>127.0</v>
      </c>
      <c r="G371" s="2">
        <v>602.0</v>
      </c>
      <c r="H371" s="2" t="b">
        <v>1</v>
      </c>
      <c r="I371" s="2">
        <v>-1.0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s">
        <v>33</v>
      </c>
      <c r="O371" s="2">
        <v>61.0</v>
      </c>
      <c r="P371" s="2">
        <v>7.0</v>
      </c>
      <c r="Q371" s="2">
        <v>34.0</v>
      </c>
      <c r="R371" s="2">
        <v>0.0</v>
      </c>
      <c r="S371" s="3" t="s">
        <v>1541</v>
      </c>
      <c r="T371" s="2" t="s">
        <v>1542</v>
      </c>
      <c r="Y371" s="4" t="str">
        <f>IFERROR(__xludf.DUMMYFUNCTION("""COMPUTED_VALUE"""),"7.1510438")</f>
        <v>7.1510438</v>
      </c>
      <c r="Z371" s="4" t="str">
        <f>IFERROR(__xludf.DUMMYFUNCTION("""COMPUTED_VALUE"""),"3.3403043")</f>
        <v>3.3403043</v>
      </c>
      <c r="AA371" s="4" t="str">
        <f t="shared" si="1"/>
        <v>Neighbor</v>
      </c>
      <c r="AC371" s="4">
        <f>IFERROR(__xludf.DUMMYFUNCTION("IFERROR(ABS(O371-AVERAGE(FILTER(O371:O4439,AA371:AA4439=""Neighbor""))) / STDEV(FILTER(O371:O4439, AA371:AA4439 =""Neighbor"")), """")"),0.1393129207304891)</f>
        <v>0.1393129207</v>
      </c>
      <c r="AD371" s="4">
        <f>IFERROR(__xludf.DUMMYFUNCTION("IFERROR(ABS(P371-AVERAGE(FILTER(O371:P4439,AA371:AA4439=""Neighbor""))) / STDEV(FILTER(P371:P4439, AA371:AA4439 =""Neighbor"")), """")"),1.339011954033235)</f>
        <v>1.339011954</v>
      </c>
      <c r="AE371" s="2">
        <f>IFERROR(__xludf.DUMMYFUNCTION("IFERROR(ABS(Q371-AVERAGE(FILTER(Q371:Q4439,AA371:AA4439=""Neighbor""))) / STDEV(FILTER(Q371:Q4439, AA371:AA4439 =""Neighbor"")), """")"),0.3748051323976518)</f>
        <v>0.3748051324</v>
      </c>
      <c r="AF371" s="2">
        <f>IFERROR(__xludf.DUMMYFUNCTION("IFERROR(ABS(R371-AVERAGE(FILTER(R371:R4439,AA371:AA4439=""Neighbor""))) / STDEV(FILTER(R371:R4439, AA371:AA4439 =""Neighbor"")), """")"),0.10110405218043063)</f>
        <v>0.1011040522</v>
      </c>
    </row>
    <row r="372">
      <c r="A372" s="2" t="s">
        <v>28</v>
      </c>
      <c r="B372" s="2" t="s">
        <v>884</v>
      </c>
      <c r="C372" s="2" t="s">
        <v>1490</v>
      </c>
      <c r="D372" s="2" t="s">
        <v>1543</v>
      </c>
      <c r="E372" s="2" t="s">
        <v>1544</v>
      </c>
      <c r="F372" s="2">
        <v>88.0</v>
      </c>
      <c r="G372" s="2">
        <v>589.0</v>
      </c>
      <c r="H372" s="2" t="b">
        <v>1</v>
      </c>
      <c r="I372" s="2">
        <v>-1.0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s">
        <v>33</v>
      </c>
      <c r="O372" s="2">
        <v>50.0</v>
      </c>
      <c r="P372" s="2">
        <v>3.0</v>
      </c>
      <c r="Q372" s="2">
        <v>16.0</v>
      </c>
      <c r="R372" s="2">
        <v>1.0</v>
      </c>
      <c r="S372" s="3" t="s">
        <v>1545</v>
      </c>
      <c r="T372" s="2" t="s">
        <v>1546</v>
      </c>
      <c r="Y372" s="4" t="str">
        <f>IFERROR(__xludf.DUMMYFUNCTION("""COMPUTED_VALUE"""),"7.1469093")</f>
        <v>7.1469093</v>
      </c>
      <c r="Z372" s="4" t="str">
        <f>IFERROR(__xludf.DUMMYFUNCTION("""COMPUTED_VALUE"""),"3.3389485")</f>
        <v>3.3389485</v>
      </c>
      <c r="AA372" s="4" t="str">
        <f t="shared" si="1"/>
        <v>Neighbor</v>
      </c>
      <c r="AC372" s="4">
        <f>IFERROR(__xludf.DUMMYFUNCTION("IFERROR(ABS(O372-AVERAGE(FILTER(O372:O4440,AA372:AA4440=""Neighbor""))) / STDEV(FILTER(O372:O4440, AA372:AA4440 =""Neighbor"")), """")"),0.3919219791812829)</f>
        <v>0.3919219792</v>
      </c>
      <c r="AD372" s="4">
        <f>IFERROR(__xludf.DUMMYFUNCTION("IFERROR(ABS(P372-AVERAGE(FILTER(O372:P4440,AA372:AA4440=""Neighbor""))) / STDEV(FILTER(P372:P4440, AA372:AA4440 =""Neighbor"")), """")"),1.4916921158999832)</f>
        <v>1.491692116</v>
      </c>
      <c r="AE372" s="2">
        <f>IFERROR(__xludf.DUMMYFUNCTION("IFERROR(ABS(Q372-AVERAGE(FILTER(Q372:Q4440,AA372:AA4440=""Neighbor""))) / STDEV(FILTER(Q372:Q4440, AA372:AA4440 =""Neighbor"")), """")"),0.3800775438669873)</f>
        <v>0.3800775439</v>
      </c>
      <c r="AF372" s="2">
        <f>IFERROR(__xludf.DUMMYFUNCTION("IFERROR(ABS(R372-AVERAGE(FILTER(R372:R4440,AA372:AA4440=""Neighbor""))) / STDEV(FILTER(R372:R4440, AA372:AA4440 =""Neighbor"")), """")"),0.08923817308222952)</f>
        <v>0.08923817308</v>
      </c>
    </row>
    <row r="373">
      <c r="A373" s="2" t="s">
        <v>28</v>
      </c>
      <c r="B373" s="2" t="s">
        <v>884</v>
      </c>
      <c r="C373" s="2" t="s">
        <v>1490</v>
      </c>
      <c r="D373" s="2" t="s">
        <v>1547</v>
      </c>
      <c r="E373" s="2" t="s">
        <v>1548</v>
      </c>
      <c r="F373" s="2">
        <v>21.0</v>
      </c>
      <c r="G373" s="2">
        <v>750.0</v>
      </c>
      <c r="H373" s="2" t="b">
        <v>1</v>
      </c>
      <c r="I373" s="2">
        <v>-1.0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s">
        <v>33</v>
      </c>
      <c r="O373" s="2">
        <v>84.0</v>
      </c>
      <c r="P373" s="2">
        <v>6.0</v>
      </c>
      <c r="Q373" s="2">
        <v>21.0</v>
      </c>
      <c r="R373" s="2">
        <v>0.0</v>
      </c>
      <c r="S373" s="3" t="s">
        <v>1549</v>
      </c>
      <c r="T373" s="2" t="s">
        <v>1550</v>
      </c>
      <c r="Y373" s="4" t="str">
        <f>IFERROR(__xludf.DUMMYFUNCTION("""COMPUTED_VALUE"""),"7.1469093")</f>
        <v>7.1469093</v>
      </c>
      <c r="Z373" s="4" t="str">
        <f>IFERROR(__xludf.DUMMYFUNCTION("""COMPUTED_VALUE"""),"3.3389485")</f>
        <v>3.3389485</v>
      </c>
      <c r="AA373" s="4" t="str">
        <f t="shared" si="1"/>
        <v>Neighbor</v>
      </c>
      <c r="AC373" s="4">
        <f>IFERROR(__xludf.DUMMYFUNCTION("IFERROR(ABS(O373-AVERAGE(FILTER(O373:O4441,AA373:AA4441=""Neighbor""))) / STDEV(FILTER(O373:O4441, AA373:AA4441 =""Neighbor"")), """")"),0.38837474971256564)</f>
        <v>0.3883747497</v>
      </c>
      <c r="AD373" s="4">
        <f>IFERROR(__xludf.DUMMYFUNCTION("IFERROR(ABS(P373-AVERAGE(FILTER(O373:P4441,AA373:AA4441=""Neighbor""))) / STDEV(FILTER(P373:P4441, AA373:AA4441 =""Neighbor"")), """")"),1.3771205164828733)</f>
        <v>1.377120516</v>
      </c>
      <c r="AE373" s="2">
        <f>IFERROR(__xludf.DUMMYFUNCTION("IFERROR(ABS(Q373-AVERAGE(FILTER(Q373:Q4441,AA373:AA4441=""Neighbor""))) / STDEV(FILTER(Q373:Q4441, AA373:AA4441 =""Neighbor"")), """")"),0.17054604622479422)</f>
        <v>0.1705460462</v>
      </c>
      <c r="AF373" s="2">
        <f>IFERROR(__xludf.DUMMYFUNCTION("IFERROR(ABS(R373-AVERAGE(FILTER(R373:R4441,AA373:AA4441=""Neighbor""))) / STDEV(FILTER(R373:R4441, AA373:AA4441 =""Neighbor"")), """")"),0.1010476469183897)</f>
        <v>0.1010476469</v>
      </c>
    </row>
    <row r="374">
      <c r="A374" s="2" t="s">
        <v>28</v>
      </c>
      <c r="B374" s="2" t="s">
        <v>884</v>
      </c>
      <c r="C374" s="2" t="s">
        <v>1490</v>
      </c>
      <c r="D374" s="2" t="s">
        <v>1551</v>
      </c>
      <c r="E374" s="2" t="s">
        <v>1552</v>
      </c>
      <c r="F374" s="2">
        <v>83.0</v>
      </c>
      <c r="G374" s="2">
        <v>521.0</v>
      </c>
      <c r="H374" s="2" t="b">
        <v>1</v>
      </c>
      <c r="I374" s="2">
        <v>-1.0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s">
        <v>33</v>
      </c>
      <c r="O374" s="2">
        <v>60.0</v>
      </c>
      <c r="P374" s="2">
        <v>6.0</v>
      </c>
      <c r="Q374" s="2">
        <v>11.0</v>
      </c>
      <c r="R374" s="2">
        <v>0.0</v>
      </c>
      <c r="S374" s="3" t="s">
        <v>1553</v>
      </c>
      <c r="T374" s="2" t="s">
        <v>1554</v>
      </c>
      <c r="Y374" s="4" t="str">
        <f>IFERROR(__xludf.DUMMYFUNCTION("""COMPUTED_VALUE"""),"7.1521853")</f>
        <v>7.1521853</v>
      </c>
      <c r="Z374" s="4" t="str">
        <f>IFERROR(__xludf.DUMMYFUNCTION("""COMPUTED_VALUE"""),"3.3376324")</f>
        <v>3.3376324</v>
      </c>
      <c r="AA374" s="4" t="str">
        <f t="shared" si="1"/>
        <v>Neighbor</v>
      </c>
      <c r="AC374" s="4">
        <f>IFERROR(__xludf.DUMMYFUNCTION("IFERROR(ABS(O374-AVERAGE(FILTER(O374:O4442,AA374:AA4442=""Neighbor""))) / STDEV(FILTER(O374:O4442, AA374:AA4442 =""Neighbor"")), """")"),0.1622327111093296)</f>
        <v>0.1622327111</v>
      </c>
      <c r="AD374" s="4">
        <f>IFERROR(__xludf.DUMMYFUNCTION("IFERROR(ABS(P374-AVERAGE(FILTER(O374:P4442,AA374:AA4442=""Neighbor""))) / STDEV(FILTER(P374:P4442, AA374:AA4442 =""Neighbor"")), """")"),1.3766866000278861)</f>
        <v>1.3766866</v>
      </c>
      <c r="AE374" s="2">
        <f>IFERROR(__xludf.DUMMYFUNCTION("IFERROR(ABS(Q374-AVERAGE(FILTER(Q374:Q4442,AA374:AA4442=""Neighbor""))) / STDEV(FILTER(Q374:Q4442, AA374:AA4442 =""Neighbor"")), """")"),0.5898124535238889)</f>
        <v>0.5898124535</v>
      </c>
      <c r="AF374" s="2">
        <f>IFERROR(__xludf.DUMMYFUNCTION("IFERROR(ABS(R374-AVERAGE(FILTER(R374:R4442,AA374:AA4442=""Neighbor""))) / STDEV(FILTER(R374:R4442, AA374:AA4442 =""Neighbor"")), """")"),0.10108021388107147)</f>
        <v>0.1010802139</v>
      </c>
    </row>
    <row r="375">
      <c r="A375" s="2" t="s">
        <v>28</v>
      </c>
      <c r="B375" s="2" t="s">
        <v>884</v>
      </c>
      <c r="C375" s="2" t="s">
        <v>1490</v>
      </c>
      <c r="D375" s="2" t="s">
        <v>1555</v>
      </c>
      <c r="E375" s="2" t="s">
        <v>1556</v>
      </c>
      <c r="F375" s="2">
        <v>73.0</v>
      </c>
      <c r="G375" s="2">
        <v>460.0</v>
      </c>
      <c r="H375" s="2" t="b">
        <v>1</v>
      </c>
      <c r="I375" s="2">
        <v>-1.0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s">
        <v>33</v>
      </c>
      <c r="O375" s="2">
        <v>38.0</v>
      </c>
      <c r="P375" s="2">
        <v>3.0</v>
      </c>
      <c r="Q375" s="2">
        <v>12.0</v>
      </c>
      <c r="R375" s="2">
        <v>0.0</v>
      </c>
      <c r="S375" s="3" t="s">
        <v>1557</v>
      </c>
      <c r="T375" s="2" t="s">
        <v>1558</v>
      </c>
      <c r="Y375" s="4" t="str">
        <f>IFERROR(__xludf.DUMMYFUNCTION("""COMPUTED_VALUE"""),"7.1521853")</f>
        <v>7.1521853</v>
      </c>
      <c r="Z375" s="4" t="str">
        <f>IFERROR(__xludf.DUMMYFUNCTION("""COMPUTED_VALUE"""),"3.3376324")</f>
        <v>3.3376324</v>
      </c>
      <c r="AA375" s="4" t="str">
        <f t="shared" si="1"/>
        <v>Neighbor</v>
      </c>
      <c r="AC375" s="4">
        <f>IFERROR(__xludf.DUMMYFUNCTION("IFERROR(ABS(O375-AVERAGE(FILTER(O375:O4443,AA375:AA4443=""Neighbor""))) / STDEV(FILTER(O375:O4443, AA375:AA4443 =""Neighbor"")), """")"),0.6669830388060106)</f>
        <v>0.6669830388</v>
      </c>
      <c r="AD375" s="4">
        <f>IFERROR(__xludf.DUMMYFUNCTION("IFERROR(ABS(P375-AVERAGE(FILTER(O375:P4443,AA375:AA4443=""Neighbor""))) / STDEV(FILTER(P375:P4443, AA375:AA4443 =""Neighbor"")), """")"),1.491095804291851)</f>
        <v>1.491095804</v>
      </c>
      <c r="AE375" s="2">
        <f>IFERROR(__xludf.DUMMYFUNCTION("IFERROR(ABS(Q375-AVERAGE(FILTER(Q375:Q4443,AA375:AA4443=""Neighbor""))) / STDEV(FILTER(Q375:Q4443, AA375:AA4443 =""Neighbor"")), """")"),0.5481540616522974)</f>
        <v>0.5481540617</v>
      </c>
      <c r="AF375" s="2">
        <f>IFERROR(__xludf.DUMMYFUNCTION("IFERROR(ABS(R375-AVERAGE(FILTER(R375:R4443,AA375:AA4443=""Neighbor""))) / STDEV(FILTER(R375:R4443, AA375:AA4443 =""Neighbor"")), """")"),0.10111281235264202)</f>
        <v>0.1011128124</v>
      </c>
    </row>
    <row r="376">
      <c r="A376" s="2" t="s">
        <v>28</v>
      </c>
      <c r="B376" s="2" t="s">
        <v>884</v>
      </c>
      <c r="C376" s="2" t="s">
        <v>1490</v>
      </c>
      <c r="D376" s="2" t="s">
        <v>1559</v>
      </c>
      <c r="E376" s="2" t="s">
        <v>1560</v>
      </c>
      <c r="F376" s="2">
        <v>127.0</v>
      </c>
      <c r="G376" s="2">
        <v>616.0</v>
      </c>
      <c r="H376" s="2" t="b">
        <v>1</v>
      </c>
      <c r="I376" s="2">
        <v>-1.0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s">
        <v>33</v>
      </c>
      <c r="O376" s="2">
        <v>85.0</v>
      </c>
      <c r="P376" s="2">
        <v>10.0</v>
      </c>
      <c r="Q376" s="2">
        <v>13.0</v>
      </c>
      <c r="R376" s="2">
        <v>0.0</v>
      </c>
      <c r="S376" s="3" t="s">
        <v>1561</v>
      </c>
      <c r="T376" s="2" t="s">
        <v>1562</v>
      </c>
      <c r="Y376" s="4" t="str">
        <f>IFERROR(__xludf.DUMMYFUNCTION("""COMPUTED_VALUE"""),"7.1521853")</f>
        <v>7.1521853</v>
      </c>
      <c r="Z376" s="4" t="str">
        <f>IFERROR(__xludf.DUMMYFUNCTION("""COMPUTED_VALUE"""),"3.3376324")</f>
        <v>3.3376324</v>
      </c>
      <c r="AA376" s="4" t="str">
        <f t="shared" si="1"/>
        <v>Neighbor</v>
      </c>
      <c r="AC376" s="4">
        <f>IFERROR(__xludf.DUMMYFUNCTION("IFERROR(ABS(O376-AVERAGE(FILTER(O376:O4444,AA376:AA4444=""Neighbor""))) / STDEV(FILTER(O376:O4444, AA376:AA4444 =""Neighbor"")), """")"),0.4107342904342419)</f>
        <v>0.4107342904</v>
      </c>
      <c r="AD376" s="4">
        <f>IFERROR(__xludf.DUMMYFUNCTION("IFERROR(ABS(P376-AVERAGE(FILTER(O376:P4444,AA376:AA4444=""Neighbor""))) / STDEV(FILTER(P376:P4444, AA376:AA4444 =""Neighbor"")), """")"),1.2240583789562292)</f>
        <v>1.224058379</v>
      </c>
      <c r="AE376" s="2">
        <f>IFERROR(__xludf.DUMMYFUNCTION("IFERROR(ABS(Q376-AVERAGE(FILTER(Q376:Q4444,AA376:AA4444=""Neighbor""))) / STDEV(FILTER(Q376:Q4444, AA376:AA4444 =""Neighbor"")), """")"),0.5064789418806681)</f>
        <v>0.5064789419</v>
      </c>
      <c r="AF376" s="2">
        <f>IFERROR(__xludf.DUMMYFUNCTION("IFERROR(ABS(R376-AVERAGE(FILTER(R376:R4444,AA376:AA4444=""Neighbor""))) / STDEV(FILTER(R376:R4444, AA376:AA4444 =""Neighbor"")), """")"),0.10114544238394281)</f>
        <v>0.1011454424</v>
      </c>
    </row>
    <row r="377">
      <c r="A377" s="2" t="s">
        <v>28</v>
      </c>
      <c r="B377" s="2" t="s">
        <v>884</v>
      </c>
      <c r="C377" s="2" t="s">
        <v>1490</v>
      </c>
      <c r="D377" s="2" t="s">
        <v>1563</v>
      </c>
      <c r="E377" s="2" t="s">
        <v>1564</v>
      </c>
      <c r="F377" s="2">
        <v>111.0</v>
      </c>
      <c r="G377" s="2">
        <v>740.0</v>
      </c>
      <c r="H377" s="2" t="b">
        <v>1</v>
      </c>
      <c r="I377" s="2">
        <v>-1.0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s">
        <v>33</v>
      </c>
      <c r="O377" s="2">
        <v>76.0</v>
      </c>
      <c r="P377" s="2">
        <v>14.0</v>
      </c>
      <c r="Q377" s="2">
        <v>14.0</v>
      </c>
      <c r="R377" s="2">
        <v>0.0</v>
      </c>
      <c r="S377" s="3" t="s">
        <v>1565</v>
      </c>
      <c r="T377" s="2" t="s">
        <v>1566</v>
      </c>
      <c r="Y377" s="4" t="str">
        <f>IFERROR(__xludf.DUMMYFUNCTION("""COMPUTED_VALUE"""),"7.1521853")</f>
        <v>7.1521853</v>
      </c>
      <c r="Z377" s="4" t="str">
        <f>IFERROR(__xludf.DUMMYFUNCTION("""COMPUTED_VALUE"""),"3.3376324")</f>
        <v>3.3376324</v>
      </c>
      <c r="AA377" s="4" t="str">
        <f t="shared" si="1"/>
        <v>Neighbor</v>
      </c>
      <c r="AC377" s="4">
        <f>IFERROR(__xludf.DUMMYFUNCTION("IFERROR(ABS(O377-AVERAGE(FILTER(O377:O4445,AA377:AA4445=""Neighbor""))) / STDEV(FILTER(O377:O4445, AA377:AA4445 =""Neighbor"")), """")"),0.20451228197449686)</f>
        <v>0.204512282</v>
      </c>
      <c r="AD377" s="4">
        <f>IFERROR(__xludf.DUMMYFUNCTION("IFERROR(ABS(P377-AVERAGE(FILTER(O377:P4445,AA377:AA4445=""Neighbor""))) / STDEV(FILTER(P377:P4445, AA377:AA4445 =""Neighbor"")), """")"),1.070908480035916)</f>
        <v>1.07090848</v>
      </c>
      <c r="AE377" s="2">
        <f>IFERROR(__xludf.DUMMYFUNCTION("IFERROR(ABS(Q377-AVERAGE(FILTER(Q377:Q4445,AA377:AA4445=""Neighbor""))) / STDEV(FILTER(Q377:Q4445, AA377:AA4445 =""Neighbor"")), """")"),0.464789473243884)</f>
        <v>0.4647894732</v>
      </c>
      <c r="AF377" s="2">
        <f>IFERROR(__xludf.DUMMYFUNCTION("IFERROR(ABS(R377-AVERAGE(FILTER(R377:R4445,AA377:AA4445=""Neighbor""))) / STDEV(FILTER(R377:R4445, AA377:AA4445 =""Neighbor"")), """")"),0.10117810402593075)</f>
        <v>0.101178104</v>
      </c>
    </row>
    <row r="378">
      <c r="A378" s="2" t="s">
        <v>28</v>
      </c>
      <c r="B378" s="2" t="s">
        <v>884</v>
      </c>
      <c r="C378" s="2" t="s">
        <v>1490</v>
      </c>
      <c r="D378" s="2" t="s">
        <v>1567</v>
      </c>
      <c r="E378" s="2" t="s">
        <v>1568</v>
      </c>
      <c r="F378" s="2">
        <v>59.0</v>
      </c>
      <c r="G378" s="2">
        <v>330.0</v>
      </c>
      <c r="H378" s="2" t="b">
        <v>1</v>
      </c>
      <c r="I378" s="2">
        <v>-1.0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s">
        <v>33</v>
      </c>
      <c r="O378" s="2">
        <v>35.0</v>
      </c>
      <c r="P378" s="2">
        <v>5.0</v>
      </c>
      <c r="Q378" s="2">
        <v>11.0</v>
      </c>
      <c r="R378" s="2">
        <v>2.0</v>
      </c>
      <c r="S378" s="3" t="s">
        <v>1569</v>
      </c>
      <c r="T378" s="2" t="s">
        <v>1570</v>
      </c>
      <c r="Y378" s="4" t="str">
        <f>IFERROR(__xludf.DUMMYFUNCTION("""COMPUTED_VALUE"""),"7.1521853")</f>
        <v>7.1521853</v>
      </c>
      <c r="Z378" s="4" t="str">
        <f>IFERROR(__xludf.DUMMYFUNCTION("""COMPUTED_VALUE"""),"3.3376324")</f>
        <v>3.3376324</v>
      </c>
      <c r="AA378" s="4" t="str">
        <f t="shared" si="1"/>
        <v>Neighbor</v>
      </c>
      <c r="AC378" s="4">
        <f>IFERROR(__xludf.DUMMYFUNCTION("IFERROR(ABS(O378-AVERAGE(FILTER(O378:O4446,AA378:AA4446=""Neighbor""))) / STDEV(FILTER(O378:O4446, AA378:AA4446 =""Neighbor"")), """")"),0.7352861524871768)</f>
        <v>0.7352861525</v>
      </c>
      <c r="AD378" s="4">
        <f>IFERROR(__xludf.DUMMYFUNCTION("IFERROR(ABS(P378-AVERAGE(FILTER(O378:P4446,AA378:AA4446=""Neighbor""))) / STDEV(FILTER(P378:P4446, AA378:AA4446 =""Neighbor"")), """")"),1.41386105358005)</f>
        <v>1.413861054</v>
      </c>
      <c r="AE378" s="2">
        <f>IFERROR(__xludf.DUMMYFUNCTION("IFERROR(ABS(Q378-AVERAGE(FILTER(Q378:Q4446,AA378:AA4446=""Neighbor""))) / STDEV(FILTER(Q378:Q4446, AA378:AA4446 =""Neighbor"")), """")"),0.5906176695162102)</f>
        <v>0.5906176695</v>
      </c>
      <c r="AF378" s="2">
        <f>IFERROR(__xludf.DUMMYFUNCTION("IFERROR(ABS(R378-AVERAGE(FILTER(R378:R4446,AA378:AA4446=""Neighbor""))) / STDEV(FILTER(R378:R4446, AA378:AA4446 =""Neighbor"")), """")"),0.2788162830283915)</f>
        <v>0.278816283</v>
      </c>
    </row>
    <row r="379">
      <c r="A379" s="2" t="s">
        <v>28</v>
      </c>
      <c r="B379" s="2" t="s">
        <v>884</v>
      </c>
      <c r="C379" s="2" t="s">
        <v>1490</v>
      </c>
      <c r="D379" s="2" t="s">
        <v>1571</v>
      </c>
      <c r="E379" s="2" t="s">
        <v>1572</v>
      </c>
      <c r="F379" s="2">
        <v>109.0</v>
      </c>
      <c r="G379" s="2">
        <v>547.0</v>
      </c>
      <c r="H379" s="2" t="b">
        <v>1</v>
      </c>
      <c r="I379" s="2">
        <v>-1.0</v>
      </c>
      <c r="J379" s="2" t="b">
        <v>1</v>
      </c>
      <c r="K379" s="2" t="b">
        <v>1</v>
      </c>
      <c r="L379" s="2" t="b">
        <v>0</v>
      </c>
      <c r="M379" s="2" t="b">
        <v>0</v>
      </c>
      <c r="N379" s="2" t="s">
        <v>33</v>
      </c>
      <c r="O379" s="2">
        <v>51.0</v>
      </c>
      <c r="P379" s="2">
        <v>6.0</v>
      </c>
      <c r="Q379" s="2">
        <v>31.0</v>
      </c>
      <c r="R379" s="2">
        <v>0.0</v>
      </c>
      <c r="S379" s="3" t="s">
        <v>1573</v>
      </c>
      <c r="T379" s="2" t="s">
        <v>1574</v>
      </c>
      <c r="Y379" s="4" t="str">
        <f>IFERROR(__xludf.DUMMYFUNCTION("""COMPUTED_VALUE"""),"7.1467896")</f>
        <v>7.1467896</v>
      </c>
      <c r="Z379" s="4" t="str">
        <f>IFERROR(__xludf.DUMMYFUNCTION("""COMPUTED_VALUE"""),"3.340151")</f>
        <v>3.340151</v>
      </c>
      <c r="AA379" s="4" t="str">
        <f t="shared" si="1"/>
        <v>Neighbor</v>
      </c>
      <c r="AC379" s="4">
        <f>IFERROR(__xludf.DUMMYFUNCTION("IFERROR(ABS(O379-AVERAGE(FILTER(O379:O4447,AA379:AA4447=""Neighbor""))) / STDEV(FILTER(O379:O4447, AA379:AA4447 =""Neighbor"")), """")"),0.36892571126410467)</f>
        <v>0.3689257113</v>
      </c>
      <c r="AD379" s="4">
        <f>IFERROR(__xludf.DUMMYFUNCTION("IFERROR(ABS(P379-AVERAGE(FILTER(O379:P4447,AA379:AA4447=""Neighbor""))) / STDEV(FILTER(P379:P4447, AA379:AA4447 =""Neighbor"")), """")"),1.3759009919663936)</f>
        <v>1.375900992</v>
      </c>
      <c r="AE379" s="2">
        <f>IFERROR(__xludf.DUMMYFUNCTION("IFERROR(ABS(Q379-AVERAGE(FILTER(Q379:Q4447,AA379:AA4447=""Neighbor""))) / STDEV(FILTER(Q379:Q4447, AA379:AA4447 =""Neighbor"")), """")"),0.24660159396948408)</f>
        <v>0.246601594</v>
      </c>
      <c r="AF379" s="2">
        <f>IFERROR(__xludf.DUMMYFUNCTION("IFERROR(ABS(R379-AVERAGE(FILTER(R379:R4447,AA379:AA4447=""Neighbor""))) / STDEV(FILTER(R379:R4447, AA379:AA4447 =""Neighbor"")), """")"),0.10100233351301367)</f>
        <v>0.1010023335</v>
      </c>
    </row>
    <row r="380">
      <c r="A380" s="2" t="s">
        <v>28</v>
      </c>
      <c r="B380" s="2" t="s">
        <v>884</v>
      </c>
      <c r="C380" s="2" t="s">
        <v>1490</v>
      </c>
      <c r="D380" s="2" t="s">
        <v>1575</v>
      </c>
      <c r="E380" s="2" t="s">
        <v>1576</v>
      </c>
      <c r="F380" s="2">
        <v>110.0</v>
      </c>
      <c r="G380" s="2">
        <v>478.0</v>
      </c>
      <c r="H380" s="2" t="b">
        <v>1</v>
      </c>
      <c r="I380" s="2">
        <v>-1.0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s">
        <v>33</v>
      </c>
      <c r="O380" s="2">
        <v>64.0</v>
      </c>
      <c r="P380" s="2">
        <v>9.0</v>
      </c>
      <c r="Q380" s="2">
        <v>25.0</v>
      </c>
      <c r="R380" s="2">
        <v>0.0</v>
      </c>
      <c r="S380" s="3" t="s">
        <v>1577</v>
      </c>
      <c r="T380" s="2" t="s">
        <v>1578</v>
      </c>
      <c r="Y380" s="4" t="str">
        <f>IFERROR(__xludf.DUMMYFUNCTION("""COMPUTED_VALUE"""),"7.1467896")</f>
        <v>7.1467896</v>
      </c>
      <c r="Z380" s="4" t="str">
        <f>IFERROR(__xludf.DUMMYFUNCTION("""COMPUTED_VALUE"""),"3.340151")</f>
        <v>3.340151</v>
      </c>
      <c r="AA380" s="4" t="str">
        <f t="shared" si="1"/>
        <v>Neighbor</v>
      </c>
      <c r="AC380" s="4">
        <f>IFERROR(__xludf.DUMMYFUNCTION("IFERROR(ABS(O380-AVERAGE(FILTER(O380:O4448,AA380:AA4448=""Neighbor""))) / STDEV(FILTER(O380:O4448, AA380:AA4448 =""Neighbor"")), """")"),0.07117983865924159)</f>
        <v>0.07117983866</v>
      </c>
      <c r="AD380" s="4">
        <f>IFERROR(__xludf.DUMMYFUNCTION("IFERROR(ABS(P380-AVERAGE(FILTER(O380:P4448,AA380:AA4448=""Neighbor""))) / STDEV(FILTER(P380:P4448, AA380:AA4448 =""Neighbor"")), """")"),1.261474971520673)</f>
        <v>1.261474972</v>
      </c>
      <c r="AE380" s="2">
        <f>IFERROR(__xludf.DUMMYFUNCTION("IFERROR(ABS(Q380-AVERAGE(FILTER(Q380:Q4448,AA380:AA4448=""Neighbor""))) / STDEV(FILTER(Q380:Q4448, AA380:AA4448 =""Neighbor"")), """")"),0.004481285609821963)</f>
        <v>0.00448128561</v>
      </c>
      <c r="AF380" s="2">
        <f>IFERROR(__xludf.DUMMYFUNCTION("IFERROR(ABS(R380-AVERAGE(FILTER(R380:R4448,AA380:AA4448=""Neighbor""))) / STDEV(FILTER(R380:R4448, AA380:AA4448 =""Neighbor"")), """")"),0.10103501067799829)</f>
        <v>0.1010350107</v>
      </c>
    </row>
    <row r="381">
      <c r="A381" s="2" t="s">
        <v>28</v>
      </c>
      <c r="B381" s="2" t="s">
        <v>884</v>
      </c>
      <c r="C381" s="2" t="s">
        <v>1490</v>
      </c>
      <c r="D381" s="2" t="s">
        <v>1579</v>
      </c>
      <c r="E381" s="2" t="s">
        <v>1580</v>
      </c>
      <c r="F381" s="2">
        <v>113.0</v>
      </c>
      <c r="G381" s="2">
        <v>750.0</v>
      </c>
      <c r="H381" s="2" t="b">
        <v>1</v>
      </c>
      <c r="I381" s="2">
        <v>-1.0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s">
        <v>33</v>
      </c>
      <c r="O381" s="2">
        <v>77.0</v>
      </c>
      <c r="P381" s="2">
        <v>8.0</v>
      </c>
      <c r="Q381" s="2">
        <v>14.0</v>
      </c>
      <c r="R381" s="2">
        <v>1.0</v>
      </c>
      <c r="S381" s="3" t="s">
        <v>1581</v>
      </c>
      <c r="T381" s="2" t="s">
        <v>1582</v>
      </c>
      <c r="Y381" s="4" t="str">
        <f>IFERROR(__xludf.DUMMYFUNCTION("""COMPUTED_VALUE"""),"7.15543")</f>
        <v>7.15543</v>
      </c>
      <c r="Z381" s="4" t="str">
        <f>IFERROR(__xludf.DUMMYFUNCTION("""COMPUTED_VALUE"""),"3.33879")</f>
        <v>3.33879</v>
      </c>
      <c r="AA381" s="4" t="str">
        <f t="shared" si="1"/>
        <v>Not Neighbor</v>
      </c>
      <c r="AC381" s="4">
        <f>IFERROR(__xludf.DUMMYFUNCTION("IFERROR(ABS(O381-AVERAGE(FILTER(O381:O4449,AA381:AA4449=""Neighbor""))) / STDEV(FILTER(O381:O4449, AA381:AA4449 =""Neighbor"")), """")"),0.22658230213610017)</f>
        <v>0.2265823021</v>
      </c>
      <c r="AD381" s="4">
        <f>IFERROR(__xludf.DUMMYFUNCTION("IFERROR(ABS(P381-AVERAGE(FILTER(O381:P4449,AA381:AA4449=""Neighbor""))) / STDEV(FILTER(P381:P4449, AA381:AA4449 =""Neighbor"")), """")"),1.2993656555987116)</f>
        <v>1.299365656</v>
      </c>
      <c r="AE381" s="2">
        <f>IFERROR(__xludf.DUMMYFUNCTION("IFERROR(ABS(Q381-AVERAGE(FILTER(Q381:Q4449,AA381:AA4449=""Neighbor""))) / STDEV(FILTER(Q381:Q4449, AA381:AA4449 =""Neighbor"")), """")"),0.46480724101872123)</f>
        <v>0.464807241</v>
      </c>
      <c r="AF381" s="2">
        <f>IFERROR(__xludf.DUMMYFUNCTION("IFERROR(ABS(R381-AVERAGE(FILTER(R381:R4449,AA381:AA4449=""Neighbor""))) / STDEV(FILTER(R381:R4449, AA381:AA4449 =""Neighbor"")), """")"),0.08876911755863234)</f>
        <v>0.08876911756</v>
      </c>
    </row>
    <row r="382">
      <c r="A382" s="2" t="s">
        <v>28</v>
      </c>
      <c r="B382" s="2" t="s">
        <v>884</v>
      </c>
      <c r="C382" s="2" t="s">
        <v>1583</v>
      </c>
      <c r="D382" s="2" t="s">
        <v>1584</v>
      </c>
      <c r="E382" s="2" t="s">
        <v>1585</v>
      </c>
      <c r="F382" s="2">
        <v>120.0</v>
      </c>
      <c r="G382" s="2">
        <v>750.0</v>
      </c>
      <c r="H382" s="2" t="b">
        <v>1</v>
      </c>
      <c r="I382" s="2">
        <v>-1.0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s">
        <v>33</v>
      </c>
      <c r="O382" s="2">
        <v>71.0</v>
      </c>
      <c r="P382" s="2">
        <v>42.0</v>
      </c>
      <c r="Q382" s="2">
        <v>4.0</v>
      </c>
      <c r="R382" s="2">
        <v>0.0</v>
      </c>
      <c r="S382" s="3" t="s">
        <v>1586</v>
      </c>
      <c r="T382" s="2" t="s">
        <v>1587</v>
      </c>
      <c r="Y382" s="4" t="str">
        <f>IFERROR(__xludf.DUMMYFUNCTION("""COMPUTED_VALUE"""),"7.1241623")</f>
        <v>7.1241623</v>
      </c>
      <c r="Z382" s="4" t="str">
        <f>IFERROR(__xludf.DUMMYFUNCTION("""COMPUTED_VALUE"""),"3.323024")</f>
        <v>3.323024</v>
      </c>
      <c r="AA382" s="4" t="str">
        <f t="shared" si="1"/>
        <v>Neighbor</v>
      </c>
      <c r="AC382" s="4">
        <f>IFERROR(__xludf.DUMMYFUNCTION("IFERROR(ABS(O382-AVERAGE(FILTER(O382:O4450,AA382:AA4450=""Neighbor""))) / STDEV(FILTER(O382:O4450, AA382:AA4450 =""Neighbor"")), """")"),0.08914304046817448)</f>
        <v>0.08914304047</v>
      </c>
      <c r="AD382" s="4">
        <f>IFERROR(__xludf.DUMMYFUNCTION("IFERROR(ABS(P382-AVERAGE(FILTER(O382:P4450,AA382:AA4450=""Neighbor""))) / STDEV(FILTER(P382:P4450, AA382:AA4450 =""Neighbor"")), """")"),0.00326433848685873)</f>
        <v>0.003264338487</v>
      </c>
      <c r="AE382" s="2">
        <f>IFERROR(__xludf.DUMMYFUNCTION("IFERROR(ABS(Q382-AVERAGE(FILTER(Q382:Q4450,AA382:AA4450=""Neighbor""))) / STDEV(FILTER(Q382:Q4450, AA382:AA4450 =""Neighbor"")), """")"),0.8832840767476346)</f>
        <v>0.8832840767</v>
      </c>
      <c r="AF382" s="2">
        <f>IFERROR(__xludf.DUMMYFUNCTION("IFERROR(ABS(R382-AVERAGE(FILTER(R382:R4450,AA382:AA4450=""Neighbor""))) / STDEV(FILTER(R382:R4450, AA382:AA4450 =""Neighbor"")), """")"),0.10106771957978719)</f>
        <v>0.1010677196</v>
      </c>
    </row>
    <row r="383">
      <c r="A383" s="2" t="s">
        <v>28</v>
      </c>
      <c r="B383" s="2" t="s">
        <v>884</v>
      </c>
      <c r="C383" s="2" t="s">
        <v>1583</v>
      </c>
      <c r="D383" s="2" t="s">
        <v>1588</v>
      </c>
      <c r="E383" s="2" t="s">
        <v>1589</v>
      </c>
      <c r="F383" s="2">
        <v>127.0</v>
      </c>
      <c r="G383" s="2">
        <v>750.0</v>
      </c>
      <c r="H383" s="2" t="b">
        <v>1</v>
      </c>
      <c r="I383" s="2">
        <v>-1.0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s">
        <v>33</v>
      </c>
      <c r="O383" s="2">
        <v>60.0</v>
      </c>
      <c r="P383" s="2">
        <v>49.0</v>
      </c>
      <c r="Q383" s="2">
        <v>7.0</v>
      </c>
      <c r="R383" s="2">
        <v>0.0</v>
      </c>
      <c r="S383" s="3" t="s">
        <v>1590</v>
      </c>
      <c r="T383" s="2" t="s">
        <v>1591</v>
      </c>
      <c r="Y383" s="4" t="str">
        <f>IFERROR(__xludf.DUMMYFUNCTION("""COMPUTED_VALUE"""),"7.1330908")</f>
        <v>7.1330908</v>
      </c>
      <c r="Z383" s="4" t="str">
        <f>IFERROR(__xludf.DUMMYFUNCTION("""COMPUTED_VALUE"""),"3.3291331")</f>
        <v>3.3291331</v>
      </c>
      <c r="AA383" s="4" t="str">
        <f t="shared" si="1"/>
        <v>Neighbor</v>
      </c>
      <c r="AC383" s="4">
        <f>IFERROR(__xludf.DUMMYFUNCTION("IFERROR(ABS(O383-AVERAGE(FILTER(O383:O4451,AA383:AA4451=""Neighbor""))) / STDEV(FILTER(O383:O4451, AA383:AA4451 =""Neighbor"")), """")"),0.16271989238578086)</f>
        <v>0.1627198924</v>
      </c>
      <c r="AD383" s="4">
        <f>IFERROR(__xludf.DUMMYFUNCTION("IFERROR(ABS(P383-AVERAGE(FILTER(O383:P4451,AA383:AA4451=""Neighbor""))) / STDEV(FILTER(P383:P4451, AA383:AA4451 =""Neighbor"")), """")"),0.2639246218292374)</f>
        <v>0.2639246218</v>
      </c>
      <c r="AE383" s="2">
        <f>IFERROR(__xludf.DUMMYFUNCTION("IFERROR(ABS(Q383-AVERAGE(FILTER(Q383:Q4451,AA383:AA4451=""Neighbor""))) / STDEV(FILTER(Q383:Q4451, AA383:AA4451 =""Neighbor"")), """")"),0.7582545611888064)</f>
        <v>0.7582545612</v>
      </c>
      <c r="AF383" s="2">
        <f>IFERROR(__xludf.DUMMYFUNCTION("IFERROR(ABS(R383-AVERAGE(FILTER(R383:R4451,AA383:AA4451=""Neighbor""))) / STDEV(FILTER(R383:R4451, AA383:AA4451 =""Neighbor"")), """")"),0.10110046026978659)</f>
        <v>0.1011004603</v>
      </c>
    </row>
    <row r="384">
      <c r="A384" s="2" t="s">
        <v>28</v>
      </c>
      <c r="B384" s="2" t="s">
        <v>884</v>
      </c>
      <c r="C384" s="2" t="s">
        <v>1583</v>
      </c>
      <c r="D384" s="2" t="s">
        <v>1592</v>
      </c>
      <c r="E384" s="2" t="s">
        <v>1593</v>
      </c>
      <c r="F384" s="2">
        <v>139.0</v>
      </c>
      <c r="G384" s="2">
        <v>750.0</v>
      </c>
      <c r="H384" s="2" t="b">
        <v>1</v>
      </c>
      <c r="I384" s="2">
        <v>-1.0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s">
        <v>33</v>
      </c>
      <c r="O384" s="2">
        <v>67.0</v>
      </c>
      <c r="P384" s="2">
        <v>50.0</v>
      </c>
      <c r="Q384" s="2">
        <v>14.0</v>
      </c>
      <c r="R384" s="2">
        <v>2.0</v>
      </c>
      <c r="S384" s="3" t="s">
        <v>1594</v>
      </c>
      <c r="T384" s="2" t="s">
        <v>1595</v>
      </c>
      <c r="Y384" s="4" t="str">
        <f>IFERROR(__xludf.DUMMYFUNCTION("""COMPUTED_VALUE"""),"7.1277855")</f>
        <v>7.1277855</v>
      </c>
      <c r="Z384" s="4" t="str">
        <f>IFERROR(__xludf.DUMMYFUNCTION("""COMPUTED_VALUE"""),"3.3258811")</f>
        <v>3.3258811</v>
      </c>
      <c r="AA384" s="4" t="str">
        <f t="shared" si="1"/>
        <v>Neighbor</v>
      </c>
      <c r="AC384" s="4">
        <f>IFERROR(__xludf.DUMMYFUNCTION("IFERROR(ABS(O384-AVERAGE(FILTER(O384:O4452,AA384:AA4452=""Neighbor""))) / STDEV(FILTER(O384:O4452, AA384:AA4452 =""Neighbor"")), """")"),0.0025288628146174813)</f>
        <v>0.002528862815</v>
      </c>
      <c r="AD384" s="4">
        <f>IFERROR(__xludf.DUMMYFUNCTION("IFERROR(ABS(P384-AVERAGE(FILTER(O384:P4452,AA384:AA4452=""Neighbor""))) / STDEV(FILTER(P384:P4452, AA384:AA4452 =""Neighbor"")), """")"),0.30239532897033267)</f>
        <v>0.302395329</v>
      </c>
      <c r="AE384" s="2">
        <f>IFERROR(__xludf.DUMMYFUNCTION("IFERROR(ABS(Q384-AVERAGE(FILTER(Q384:Q4452,AA384:AA4452=""Neighbor""))) / STDEV(FILTER(Q384:Q4452, AA384:AA4452 =""Neighbor"")), """")"),0.46576484496955256)</f>
        <v>0.465764845</v>
      </c>
      <c r="AF384" s="2">
        <f>IFERROR(__xludf.DUMMYFUNCTION("IFERROR(ABS(R384-AVERAGE(FILTER(R384:R4452,AA384:AA4452=""Neighbor""))) / STDEV(FILTER(R384:R4452, AA384:AA4452 =""Neighbor"")), """")"),0.2782991611013275)</f>
        <v>0.2782991611</v>
      </c>
    </row>
    <row r="385">
      <c r="A385" s="2" t="s">
        <v>28</v>
      </c>
      <c r="B385" s="2" t="s">
        <v>884</v>
      </c>
      <c r="C385" s="2" t="s">
        <v>1583</v>
      </c>
      <c r="D385" s="2" t="s">
        <v>1596</v>
      </c>
      <c r="E385" s="2" t="s">
        <v>1597</v>
      </c>
      <c r="F385" s="2">
        <v>157.0</v>
      </c>
      <c r="G385" s="2">
        <v>750.0</v>
      </c>
      <c r="H385" s="2" t="b">
        <v>1</v>
      </c>
      <c r="I385" s="2">
        <v>-1.0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s">
        <v>33</v>
      </c>
      <c r="O385" s="2">
        <v>89.0</v>
      </c>
      <c r="P385" s="2">
        <v>43.0</v>
      </c>
      <c r="Q385" s="2">
        <v>15.0</v>
      </c>
      <c r="R385" s="2">
        <v>0.0</v>
      </c>
      <c r="S385" s="3" t="s">
        <v>1598</v>
      </c>
      <c r="T385" s="2" t="s">
        <v>1599</v>
      </c>
      <c r="Y385" s="4" t="str">
        <f>IFERROR(__xludf.DUMMYFUNCTION("""COMPUTED_VALUE"""),"7.1277855")</f>
        <v>7.1277855</v>
      </c>
      <c r="Z385" s="4" t="str">
        <f>IFERROR(__xludf.DUMMYFUNCTION("""COMPUTED_VALUE"""),"3.3258811")</f>
        <v>3.3258811</v>
      </c>
      <c r="AA385" s="4" t="str">
        <f t="shared" si="1"/>
        <v>Neighbor</v>
      </c>
      <c r="AC385" s="4">
        <f>IFERROR(__xludf.DUMMYFUNCTION("IFERROR(ABS(O385-AVERAGE(FILTER(O385:O4453,AA385:AA4453=""Neighbor""))) / STDEV(FILTER(O385:O4453, AA385:AA4453 =""Neighbor"")), """")"),0.5009344367732106)</f>
        <v>0.5009344368</v>
      </c>
      <c r="AD385" s="4">
        <f>IFERROR(__xludf.DUMMYFUNCTION("IFERROR(ABS(P385-AVERAGE(FILTER(O385:P4453,AA385:AA4453=""Neighbor""))) / STDEV(FILTER(P385:P4453, AA385:AA4453 =""Neighbor"")), """")"),0.035926912720162435)</f>
        <v>0.03592691272</v>
      </c>
      <c r="AE385" s="2">
        <f>IFERROR(__xludf.DUMMYFUNCTION("IFERROR(ABS(Q385-AVERAGE(FILTER(Q385:Q4453,AA385:AA4453=""Neighbor""))) / STDEV(FILTER(Q385:Q4453, AA385:AA4453 =""Neighbor"")), """")"),0.4241183963999274)</f>
        <v>0.4241183964</v>
      </c>
      <c r="AF385" s="2">
        <f>IFERROR(__xludf.DUMMYFUNCTION("IFERROR(ABS(R385-AVERAGE(FILTER(R385:R4453,AA385:AA4453=""Neighbor""))) / STDEV(FILTER(R385:R4453, AA385:AA4453 =""Neighbor"")), """")"),0.10092444515074954)</f>
        <v>0.1009244452</v>
      </c>
    </row>
    <row r="386">
      <c r="A386" s="2" t="s">
        <v>28</v>
      </c>
      <c r="B386" s="2" t="s">
        <v>884</v>
      </c>
      <c r="C386" s="2" t="s">
        <v>1583</v>
      </c>
      <c r="D386" s="2" t="s">
        <v>1600</v>
      </c>
      <c r="E386" s="2" t="s">
        <v>1601</v>
      </c>
      <c r="F386" s="2">
        <v>161.0</v>
      </c>
      <c r="G386" s="2">
        <v>976.0</v>
      </c>
      <c r="H386" s="2" t="b">
        <v>1</v>
      </c>
      <c r="I386" s="2">
        <v>-1.0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s">
        <v>33</v>
      </c>
      <c r="O386" s="2">
        <v>91.0</v>
      </c>
      <c r="P386" s="2">
        <v>51.0</v>
      </c>
      <c r="Q386" s="2">
        <v>16.0</v>
      </c>
      <c r="R386" s="2">
        <v>0.0</v>
      </c>
      <c r="S386" s="3" t="s">
        <v>1602</v>
      </c>
      <c r="T386" s="2" t="s">
        <v>1603</v>
      </c>
      <c r="Y386" s="4" t="str">
        <f>IFERROR(__xludf.DUMMYFUNCTION("""COMPUTED_VALUE"""),"7.1280525")</f>
        <v>7.1280525</v>
      </c>
      <c r="Z386" s="4" t="str">
        <f>IFERROR(__xludf.DUMMYFUNCTION("""COMPUTED_VALUE"""),"3.3335369")</f>
        <v>3.3335369</v>
      </c>
      <c r="AA386" s="4" t="str">
        <f t="shared" si="1"/>
        <v>Neighbor</v>
      </c>
      <c r="AC386" s="4">
        <f>IFERROR(__xludf.DUMMYFUNCTION("IFERROR(ABS(O386-AVERAGE(FILTER(O386:O4454,AA386:AA4454=""Neighbor""))) / STDEV(FILTER(O386:O4454, AA386:AA4454 =""Neighbor"")), """")"),0.5468942820831705)</f>
        <v>0.5468942821</v>
      </c>
      <c r="AD386" s="4">
        <f>IFERROR(__xludf.DUMMYFUNCTION("IFERROR(ABS(P386-AVERAGE(FILTER(O386:P4454,AA386:AA4454=""Neighbor""))) / STDEV(FILTER(P386:P4454, AA386:AA4454 =""Neighbor"")), """")"),0.34157235954914456)</f>
        <v>0.3415723595</v>
      </c>
      <c r="AE386" s="2">
        <f>IFERROR(__xludf.DUMMYFUNCTION("IFERROR(ABS(Q386-AVERAGE(FILTER(Q386:Q4454,AA386:AA4454=""Neighbor""))) / STDEV(FILTER(Q386:Q4454, AA386:AA4454 =""Neighbor"")), """")"),0.382461748036743)</f>
        <v>0.382461748</v>
      </c>
      <c r="AF386" s="2">
        <f>IFERROR(__xludf.DUMMYFUNCTION("IFERROR(ABS(R386-AVERAGE(FILTER(R386:R4454,AA386:AA4454=""Neighbor""))) / STDEV(FILTER(R386:R4454, AA386:AA4454 =""Neighbor"")), """")"),0.100957201513347)</f>
        <v>0.1009572015</v>
      </c>
    </row>
    <row r="387">
      <c r="A387" s="2" t="s">
        <v>28</v>
      </c>
      <c r="B387" s="2" t="s">
        <v>884</v>
      </c>
      <c r="C387" s="2" t="s">
        <v>1583</v>
      </c>
      <c r="D387" s="2" t="s">
        <v>1604</v>
      </c>
      <c r="E387" s="2" t="s">
        <v>1605</v>
      </c>
      <c r="F387" s="2">
        <v>116.0</v>
      </c>
      <c r="G387" s="2">
        <v>780.0</v>
      </c>
      <c r="H387" s="2" t="b">
        <v>1</v>
      </c>
      <c r="I387" s="2">
        <v>-1.0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s">
        <v>33</v>
      </c>
      <c r="O387" s="2">
        <v>62.0</v>
      </c>
      <c r="P387" s="2">
        <v>33.0</v>
      </c>
      <c r="Q387" s="2">
        <v>14.0</v>
      </c>
      <c r="R387" s="2">
        <v>1.0</v>
      </c>
      <c r="S387" s="3" t="s">
        <v>1606</v>
      </c>
      <c r="T387" s="2" t="s">
        <v>1607</v>
      </c>
      <c r="Y387" s="4" t="str">
        <f>IFERROR(__xludf.DUMMYFUNCTION("""COMPUTED_VALUE"""),"7.1267979")</f>
        <v>7.1267979</v>
      </c>
      <c r="Z387" s="4" t="str">
        <f>IFERROR(__xludf.DUMMYFUNCTION("""COMPUTED_VALUE"""),"3.3338197")</f>
        <v>3.3338197</v>
      </c>
      <c r="AA387" s="4" t="str">
        <f t="shared" si="1"/>
        <v>Neighbor</v>
      </c>
      <c r="AC387" s="4">
        <f>IFERROR(__xludf.DUMMYFUNCTION("IFERROR(ABS(O387-AVERAGE(FILTER(O387:O4455,AA387:AA4455=""Neighbor""))) / STDEV(FILTER(O387:O4455, AA387:AA4455 =""Neighbor"")), """")"),0.11622495464692313)</f>
        <v>0.1162249546</v>
      </c>
      <c r="AD387" s="4">
        <f>IFERROR(__xludf.DUMMYFUNCTION("IFERROR(ABS(P387-AVERAGE(FILTER(O387:P4455,AA387:AA4455=""Neighbor""))) / STDEV(FILTER(P387:P4455, AA387:AA4455 =""Neighbor"")), """")"),0.34417445583268513)</f>
        <v>0.3441744558</v>
      </c>
      <c r="AE387" s="2">
        <f>IFERROR(__xludf.DUMMYFUNCTION("IFERROR(ABS(Q387-AVERAGE(FILTER(Q387:Q4455,AA387:AA4455=""Neighbor""))) / STDEV(FILTER(Q387:Q4455, AA387:AA4455 =""Neighbor"")), """")"),0.46621468355746754)</f>
        <v>0.4662146836</v>
      </c>
      <c r="AF387" s="2">
        <f>IFERROR(__xludf.DUMMYFUNCTION("IFERROR(ABS(R387-AVERAGE(FILTER(R387:R4455,AA387:AA4455=""Neighbor""))) / STDEV(FILTER(R387:R4455, AA387:AA4455 =""Neighbor"")), """")"),0.08854919394757613)</f>
        <v>0.08854919395</v>
      </c>
    </row>
    <row r="388">
      <c r="A388" s="2" t="s">
        <v>28</v>
      </c>
      <c r="B388" s="2" t="s">
        <v>884</v>
      </c>
      <c r="C388" s="2" t="s">
        <v>1583</v>
      </c>
      <c r="D388" s="2" t="s">
        <v>1608</v>
      </c>
      <c r="E388" s="2" t="s">
        <v>1609</v>
      </c>
      <c r="F388" s="2">
        <v>85.0</v>
      </c>
      <c r="G388" s="2">
        <v>725.0</v>
      </c>
      <c r="H388" s="2" t="b">
        <v>1</v>
      </c>
      <c r="I388" s="2">
        <v>-1.0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s">
        <v>33</v>
      </c>
      <c r="O388" s="2">
        <v>52.0</v>
      </c>
      <c r="P388" s="2">
        <v>28.0</v>
      </c>
      <c r="Q388" s="2">
        <v>2.0</v>
      </c>
      <c r="R388" s="2">
        <v>0.0</v>
      </c>
      <c r="S388" s="3" t="s">
        <v>1610</v>
      </c>
      <c r="T388" s="2" t="s">
        <v>1611</v>
      </c>
      <c r="Y388" s="4" t="str">
        <f>IFERROR(__xludf.DUMMYFUNCTION("""COMPUTED_VALUE"""),"7.1253201")</f>
        <v>7.1253201</v>
      </c>
      <c r="Z388" s="4" t="str">
        <f>IFERROR(__xludf.DUMMYFUNCTION("""COMPUTED_VALUE"""),"3.3351139")</f>
        <v>3.3351139</v>
      </c>
      <c r="AA388" s="4" t="str">
        <f t="shared" si="1"/>
        <v>Neighbor</v>
      </c>
      <c r="AC388" s="4">
        <f>IFERROR(__xludf.DUMMYFUNCTION("IFERROR(ABS(O388-AVERAGE(FILTER(O388:O4456,AA388:AA4456=""Neighbor""))) / STDEV(FILTER(O388:O4456, AA388:AA4456 =""Neighbor"")), """")"),0.3449307907377451)</f>
        <v>0.3449307907</v>
      </c>
      <c r="AD388" s="4">
        <f>IFERROR(__xludf.DUMMYFUNCTION("IFERROR(ABS(P388-AVERAGE(FILTER(O388:P4456,AA388:AA4456=""Neighbor""))) / STDEV(FILTER(P388:P4456, AA388:AA4456 =""Neighbor"")), """")"),0.5346357120501645)</f>
        <v>0.5346357121</v>
      </c>
      <c r="AE388" s="2">
        <f>IFERROR(__xludf.DUMMYFUNCTION("IFERROR(ABS(Q388-AVERAGE(FILTER(Q388:Q4456,AA388:AA4456=""Neighbor""))) / STDEV(FILTER(Q388:Q4456, AA388:AA4456 =""Neighbor"")), """")"),0.967942652620707)</f>
        <v>0.9679426526</v>
      </c>
      <c r="AF388" s="2">
        <f>IFERROR(__xludf.DUMMYFUNCTION("IFERROR(ABS(R388-AVERAGE(FILTER(R388:R4456,AA388:AA4456=""Neighbor""))) / STDEV(FILTER(R388:R4456, AA388:AA4456 =""Neighbor"")), """")"),0.10090072516045681)</f>
        <v>0.1009007252</v>
      </c>
    </row>
    <row r="389">
      <c r="A389" s="2" t="s">
        <v>28</v>
      </c>
      <c r="B389" s="2" t="s">
        <v>884</v>
      </c>
      <c r="C389" s="2" t="s">
        <v>1583</v>
      </c>
      <c r="D389" s="2" t="s">
        <v>1612</v>
      </c>
      <c r="E389" s="2" t="s">
        <v>1613</v>
      </c>
      <c r="F389" s="2">
        <v>157.0</v>
      </c>
      <c r="G389" s="2">
        <v>988.0</v>
      </c>
      <c r="H389" s="2" t="b">
        <v>1</v>
      </c>
      <c r="I389" s="2">
        <v>-1.0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s">
        <v>33</v>
      </c>
      <c r="O389" s="2">
        <v>70.0</v>
      </c>
      <c r="P389" s="2">
        <v>60.0</v>
      </c>
      <c r="Q389" s="2">
        <v>13.0</v>
      </c>
      <c r="R389" s="2">
        <v>2.0</v>
      </c>
      <c r="S389" s="3" t="s">
        <v>1614</v>
      </c>
      <c r="T389" s="2" t="s">
        <v>1615</v>
      </c>
      <c r="Y389" s="4" t="str">
        <f>IFERROR(__xludf.DUMMYFUNCTION("""COMPUTED_VALUE"""),"7.1237327")</f>
        <v>7.1237327</v>
      </c>
      <c r="Z389" s="4" t="str">
        <f>IFERROR(__xludf.DUMMYFUNCTION("""COMPUTED_VALUE"""),"3.3339334")</f>
        <v>3.3339334</v>
      </c>
      <c r="AA389" s="4" t="str">
        <f t="shared" si="1"/>
        <v>Neighbor</v>
      </c>
      <c r="AC389" s="4">
        <f>IFERROR(__xludf.DUMMYFUNCTION("IFERROR(ABS(O389-AVERAGE(FILTER(O389:O4457,AA389:AA4457=""Neighbor""))) / STDEV(FILTER(O389:O4457, AA389:AA4457 =""Neighbor"")), """")"),0.06643039031925797)</f>
        <v>0.06643039032</v>
      </c>
      <c r="AD389" s="4">
        <f>IFERROR(__xludf.DUMMYFUNCTION("IFERROR(ABS(P389-AVERAGE(FILTER(O389:P4457,AA389:AA4457=""Neighbor""))) / STDEV(FILTER(P389:P4457, AA389:AA4457 =""Neighbor"")), """")"),0.6853895001585358)</f>
        <v>0.6853895002</v>
      </c>
      <c r="AE389" s="2">
        <f>IFERROR(__xludf.DUMMYFUNCTION("IFERROR(ABS(Q389-AVERAGE(FILTER(Q389:Q4457,AA389:AA4457=""Neighbor""))) / STDEV(FILTER(Q389:Q4457, AA389:AA4457 =""Neighbor"")), """")"),0.5088061940822646)</f>
        <v>0.5088061941</v>
      </c>
      <c r="AF389" s="2">
        <f>IFERROR(__xludf.DUMMYFUNCTION("IFERROR(ABS(R389-AVERAGE(FILTER(R389:R4457,AA389:AA4457=""Neighbor""))) / STDEV(FILTER(R389:R4457, AA389:AA4457 =""Neighbor"")), """")"),0.2779028580053313)</f>
        <v>0.277902858</v>
      </c>
    </row>
    <row r="390">
      <c r="A390" s="2" t="s">
        <v>28</v>
      </c>
      <c r="B390" s="2" t="s">
        <v>884</v>
      </c>
      <c r="C390" s="2" t="s">
        <v>1583</v>
      </c>
      <c r="D390" s="2" t="s">
        <v>1616</v>
      </c>
      <c r="E390" s="2" t="s">
        <v>1617</v>
      </c>
      <c r="F390" s="2">
        <v>149.0</v>
      </c>
      <c r="G390" s="2">
        <v>893.0</v>
      </c>
      <c r="H390" s="2" t="b">
        <v>1</v>
      </c>
      <c r="I390" s="2">
        <v>-1.0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s">
        <v>33</v>
      </c>
      <c r="O390" s="2">
        <v>76.0</v>
      </c>
      <c r="P390" s="2">
        <v>50.0</v>
      </c>
      <c r="Q390" s="2">
        <v>10.0</v>
      </c>
      <c r="R390" s="2">
        <v>0.0</v>
      </c>
      <c r="S390" s="3" t="s">
        <v>1618</v>
      </c>
      <c r="T390" s="2" t="s">
        <v>1619</v>
      </c>
      <c r="Y390" s="4" t="str">
        <f>IFERROR(__xludf.DUMMYFUNCTION("""COMPUTED_VALUE"""),"7.1237327")</f>
        <v>7.1237327</v>
      </c>
      <c r="Z390" s="4" t="str">
        <f>IFERROR(__xludf.DUMMYFUNCTION("""COMPUTED_VALUE"""),"3.3339334")</f>
        <v>3.3339334</v>
      </c>
      <c r="AA390" s="4" t="str">
        <f t="shared" si="1"/>
        <v>Neighbor</v>
      </c>
      <c r="AC390" s="4">
        <f>IFERROR(__xludf.DUMMYFUNCTION("IFERROR(ABS(O390-AVERAGE(FILTER(O390:O4458,AA390:AA4458=""Neighbor""))) / STDEV(FILTER(O390:O4458, AA390:AA4458 =""Neighbor"")), """")"),0.20356967083611)</f>
        <v>0.2035696708</v>
      </c>
      <c r="AD390" s="4">
        <f>IFERROR(__xludf.DUMMYFUNCTION("IFERROR(ABS(P390-AVERAGE(FILTER(O390:P4458,AA390:AA4458=""Neighbor""))) / STDEV(FILTER(P390:P4458, AA390:AA4458 =""Neighbor"")), """")"),0.3048919847598293)</f>
        <v>0.3048919848</v>
      </c>
      <c r="AE390" s="2">
        <f>IFERROR(__xludf.DUMMYFUNCTION("IFERROR(ABS(Q390-AVERAGE(FILTER(Q390:Q4458,AA390:AA4458=""Neighbor""))) / STDEV(FILTER(Q390:Q4458, AA390:AA4458 =""Neighbor"")), """")"),0.6343664454164947)</f>
        <v>0.6343664454</v>
      </c>
      <c r="AF390" s="2">
        <f>IFERROR(__xludf.DUMMYFUNCTION("IFERROR(ABS(R390-AVERAGE(FILTER(R390:R4458,AA390:AA4458=""Neighbor""))) / STDEV(FILTER(R390:R4458, AA390:AA4458 =""Neighbor"")), """")"),0.10072438403136778)</f>
        <v>0.100724384</v>
      </c>
    </row>
    <row r="391">
      <c r="A391" s="2" t="s">
        <v>28</v>
      </c>
      <c r="B391" s="2" t="s">
        <v>884</v>
      </c>
      <c r="C391" s="2" t="s">
        <v>1583</v>
      </c>
      <c r="D391" s="2" t="s">
        <v>1620</v>
      </c>
      <c r="E391" s="2" t="s">
        <v>1621</v>
      </c>
      <c r="F391" s="2">
        <v>189.0</v>
      </c>
      <c r="G391" s="2">
        <v>882.0</v>
      </c>
      <c r="H391" s="2" t="b">
        <v>1</v>
      </c>
      <c r="I391" s="2">
        <v>-1.0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s">
        <v>33</v>
      </c>
      <c r="O391" s="2">
        <v>93.0</v>
      </c>
      <c r="P391" s="2">
        <v>74.0</v>
      </c>
      <c r="Q391" s="2">
        <v>10.0</v>
      </c>
      <c r="R391" s="2">
        <v>0.0</v>
      </c>
      <c r="S391" s="3" t="s">
        <v>1622</v>
      </c>
      <c r="T391" s="2" t="s">
        <v>1623</v>
      </c>
      <c r="Y391" s="4" t="str">
        <f>IFERROR(__xludf.DUMMYFUNCTION("""COMPUTED_VALUE"""),"7.1229022")</f>
        <v>7.1229022</v>
      </c>
      <c r="Z391" s="4" t="str">
        <f>IFERROR(__xludf.DUMMYFUNCTION("""COMPUTED_VALUE"""),"3.3395039")</f>
        <v>3.3395039</v>
      </c>
      <c r="AA391" s="4" t="str">
        <f t="shared" si="1"/>
        <v>Neighbor</v>
      </c>
      <c r="AC391" s="4">
        <f>IFERROR(__xludf.DUMMYFUNCTION("IFERROR(ABS(O391-AVERAGE(FILTER(O391:O4459,AA391:AA4459=""Neighbor""))) / STDEV(FILTER(O391:O4459, AA391:AA4459 =""Neighbor"")), """")"),0.5920182606781628)</f>
        <v>0.5920182607</v>
      </c>
      <c r="AD391" s="4">
        <f>IFERROR(__xludf.DUMMYFUNCTION("IFERROR(ABS(P391-AVERAGE(FILTER(O391:P4459,AA391:AA4459=""Neighbor""))) / STDEV(FILTER(P391:P4459, AA391:AA4459 =""Neighbor"")), """")"),1.2210930065436)</f>
        <v>1.221093007</v>
      </c>
      <c r="AE391" s="2">
        <f>IFERROR(__xludf.DUMMYFUNCTION("IFERROR(ABS(Q391-AVERAGE(FILTER(Q391:Q4459,AA391:AA4459=""Neighbor""))) / STDEV(FILTER(Q391:Q4459, AA391:AA4459 =""Neighbor"")), """")"),0.6346533595578648)</f>
        <v>0.6346533596</v>
      </c>
      <c r="AF391" s="2">
        <f>IFERROR(__xludf.DUMMYFUNCTION("IFERROR(ABS(R391-AVERAGE(FILTER(R391:R4459,AA391:AA4459=""Neighbor""))) / STDEV(FILTER(R391:R4459, AA391:AA4459 =""Neighbor"")), """")"),0.10075717952239338)</f>
        <v>0.1007571795</v>
      </c>
    </row>
    <row r="392">
      <c r="A392" s="2" t="s">
        <v>28</v>
      </c>
      <c r="B392" s="2" t="s">
        <v>884</v>
      </c>
      <c r="C392" s="2" t="s">
        <v>1583</v>
      </c>
      <c r="D392" s="2" t="s">
        <v>1624</v>
      </c>
      <c r="E392" s="2" t="s">
        <v>1625</v>
      </c>
      <c r="F392" s="2">
        <v>124.0</v>
      </c>
      <c r="G392" s="2">
        <v>750.0</v>
      </c>
      <c r="H392" s="2" t="b">
        <v>1</v>
      </c>
      <c r="I392" s="2">
        <v>-1.0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s">
        <v>33</v>
      </c>
      <c r="O392" s="2">
        <v>66.0</v>
      </c>
      <c r="P392" s="2">
        <v>35.0</v>
      </c>
      <c r="Q392" s="2">
        <v>14.0</v>
      </c>
      <c r="R392" s="2">
        <v>0.0</v>
      </c>
      <c r="S392" s="3" t="s">
        <v>1626</v>
      </c>
      <c r="T392" s="2" t="s">
        <v>1627</v>
      </c>
      <c r="Y392" s="4" t="str">
        <f>IFERROR(__xludf.DUMMYFUNCTION("""COMPUTED_VALUE"""),"7.1300313")</f>
        <v>7.1300313</v>
      </c>
      <c r="Z392" s="4" t="str">
        <f>IFERROR(__xludf.DUMMYFUNCTION("""COMPUTED_VALUE"""),"3.33827")</f>
        <v>3.33827</v>
      </c>
      <c r="AA392" s="4" t="str">
        <f t="shared" si="1"/>
        <v>Not Neighbor</v>
      </c>
      <c r="AC392" s="4">
        <f>IFERROR(__xludf.DUMMYFUNCTION("IFERROR(ABS(O392-AVERAGE(FILTER(O392:O4460,AA392:AA4460=""Neighbor""))) / STDEV(FILTER(O392:O4460, AA392:AA4460 =""Neighbor"")), """")"),0.024433644294361605)</f>
        <v>0.02443364429</v>
      </c>
      <c r="AD392" s="4">
        <f>IFERROR(__xludf.DUMMYFUNCTION("IFERROR(ABS(P392-AVERAGE(FILTER(O392:P4460,AA392:AA4460=""Neighbor""))) / STDEV(FILTER(P392:P4460, AA392:AA4460 =""Neighbor"")), """")"),0.2660992129377552)</f>
        <v>0.2660992129</v>
      </c>
      <c r="AE392" s="2">
        <f>IFERROR(__xludf.DUMMYFUNCTION("IFERROR(ABS(Q392-AVERAGE(FILTER(Q392:Q4460,AA392:AA4460=""Neighbor""))) / STDEV(FILTER(Q392:Q4460, AA392:AA4460 =""Neighbor"")), """")"),0.4678666263649985)</f>
        <v>0.4678666264</v>
      </c>
      <c r="AF392" s="2">
        <f>IFERROR(__xludf.DUMMYFUNCTION("IFERROR(ABS(R392-AVERAGE(FILTER(R392:R4460,AA392:AA4460=""Neighbor""))) / STDEV(FILTER(R392:R4460, AA392:AA4460 =""Neighbor"")), """")"),0.10079000706882711)</f>
        <v>0.1007900071</v>
      </c>
    </row>
    <row r="393">
      <c r="A393" s="2" t="s">
        <v>28</v>
      </c>
      <c r="B393" s="2" t="s">
        <v>884</v>
      </c>
      <c r="C393" s="2" t="s">
        <v>1583</v>
      </c>
      <c r="D393" s="2" t="s">
        <v>1628</v>
      </c>
      <c r="E393" s="2" t="s">
        <v>1629</v>
      </c>
      <c r="F393" s="2">
        <v>102.0</v>
      </c>
      <c r="G393" s="2">
        <v>750.0</v>
      </c>
      <c r="H393" s="2" t="b">
        <v>1</v>
      </c>
      <c r="I393" s="2">
        <v>-1.0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s">
        <v>33</v>
      </c>
      <c r="O393" s="2">
        <v>55.0</v>
      </c>
      <c r="P393" s="2">
        <v>40.0</v>
      </c>
      <c r="Q393" s="2">
        <v>6.0</v>
      </c>
      <c r="R393" s="2">
        <v>0.0</v>
      </c>
      <c r="S393" s="3" t="s">
        <v>1630</v>
      </c>
      <c r="T393" s="2" t="s">
        <v>1631</v>
      </c>
      <c r="Y393" s="4" t="str">
        <f>IFERROR(__xludf.DUMMYFUNCTION("""COMPUTED_VALUE"""),"7.1372192")</f>
        <v>7.1372192</v>
      </c>
      <c r="Z393" s="4" t="str">
        <f>IFERROR(__xludf.DUMMYFUNCTION("""COMPUTED_VALUE"""),"3.327237")</f>
        <v>3.327237</v>
      </c>
      <c r="AA393" s="4" t="str">
        <f t="shared" si="1"/>
        <v>Neighbor</v>
      </c>
      <c r="AC393" s="4">
        <f>IFERROR(__xludf.DUMMYFUNCTION("IFERROR(ABS(O393-AVERAGE(FILTER(O393:O4461,AA393:AA4461=""Neighbor""))) / STDEV(FILTER(O393:O4461, AA393:AA4461 =""Neighbor"")), """")"),0.2756858260273901)</f>
        <v>0.275685826</v>
      </c>
      <c r="AD393" s="4">
        <f>IFERROR(__xludf.DUMMYFUNCTION("IFERROR(ABS(P393-AVERAGE(FILTER(O393:P4461,AA393:AA4461=""Neighbor""))) / STDEV(FILTER(P393:P4461, AA393:AA4461 =""Neighbor"")), """")"),0.07511242726423896)</f>
        <v>0.07511242726</v>
      </c>
      <c r="AE393" s="2">
        <f>IFERROR(__xludf.DUMMYFUNCTION("IFERROR(ABS(Q393-AVERAGE(FILTER(Q393:Q4461,AA393:AA4461=""Neighbor""))) / STDEV(FILTER(Q393:Q4461, AA393:AA4461 =""Neighbor"")), """")"),0.8020147004768687)</f>
        <v>0.8020147005</v>
      </c>
      <c r="AF393" s="2">
        <f>IFERROR(__xludf.DUMMYFUNCTION("IFERROR(ABS(R393-AVERAGE(FILTER(R393:R4461,AA393:AA4461=""Neighbor""))) / STDEV(FILTER(R393:R4461, AA393:AA4461 =""Neighbor"")), """")"),0.10079000706882711)</f>
        <v>0.1007900071</v>
      </c>
    </row>
    <row r="394">
      <c r="A394" s="2" t="s">
        <v>28</v>
      </c>
      <c r="B394" s="2" t="s">
        <v>884</v>
      </c>
      <c r="C394" s="2" t="s">
        <v>1583</v>
      </c>
      <c r="D394" s="2" t="s">
        <v>1632</v>
      </c>
      <c r="E394" s="2" t="s">
        <v>1633</v>
      </c>
      <c r="F394" s="2">
        <v>168.0</v>
      </c>
      <c r="G394" s="2">
        <v>1182.0</v>
      </c>
      <c r="H394" s="2" t="b">
        <v>1</v>
      </c>
      <c r="I394" s="2">
        <v>-1.0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s">
        <v>33</v>
      </c>
      <c r="O394" s="2">
        <v>95.0</v>
      </c>
      <c r="P394" s="2">
        <v>33.0</v>
      </c>
      <c r="Q394" s="2">
        <v>24.0</v>
      </c>
      <c r="R394" s="2">
        <v>0.0</v>
      </c>
      <c r="S394" s="3" t="s">
        <v>1634</v>
      </c>
      <c r="T394" s="2" t="s">
        <v>1635</v>
      </c>
      <c r="Y394" s="4" t="str">
        <f>IFERROR(__xludf.DUMMYFUNCTION("""COMPUTED_VALUE"""),"7.1372192")</f>
        <v>7.1372192</v>
      </c>
      <c r="Z394" s="4" t="str">
        <f>IFERROR(__xludf.DUMMYFUNCTION("""COMPUTED_VALUE"""),"3.327237")</f>
        <v>3.327237</v>
      </c>
      <c r="AA394" s="4" t="str">
        <f t="shared" si="1"/>
        <v>Not Neighbor</v>
      </c>
      <c r="AC394" s="4">
        <f>IFERROR(__xludf.DUMMYFUNCTION("IFERROR(ABS(O394-AVERAGE(FILTER(O394:O4462,AA394:AA4462=""Neighbor""))) / STDEV(FILTER(O394:O4462, AA394:AA4462 =""Neighbor"")), """")"),0.6375900071590211)</f>
        <v>0.6375900072</v>
      </c>
      <c r="AD394" s="4">
        <f>IFERROR(__xludf.DUMMYFUNCTION("IFERROR(ABS(P394-AVERAGE(FILTER(O394:P4462,AA394:AA4462=""Neighbor""))) / STDEV(FILTER(P394:P4462, AA394:AA4462 =""Neighbor"")), """")"),0.34233321520739146)</f>
        <v>0.3423332152</v>
      </c>
      <c r="AE394" s="2">
        <f>IFERROR(__xludf.DUMMYFUNCTION("IFERROR(ABS(Q394-AVERAGE(FILTER(Q394:Q4462,AA394:AA4462=""Neighbor""))) / STDEV(FILTER(Q394:Q4462, AA394:AA4462 =""Neighbor"")), """")"),0.05069379266625316)</f>
        <v>0.05069379267</v>
      </c>
      <c r="AF394" s="2">
        <f>IFERROR(__xludf.DUMMYFUNCTION("IFERROR(ABS(R394-AVERAGE(FILTER(R394:R4462,AA394:AA4462=""Neighbor""))) / STDEV(FILTER(R394:R4462, AA394:AA4462 =""Neighbor"")), """")"),0.10082286672292361)</f>
        <v>0.1008228667</v>
      </c>
    </row>
    <row r="395">
      <c r="A395" s="2" t="s">
        <v>28</v>
      </c>
      <c r="B395" s="2" t="s">
        <v>884</v>
      </c>
      <c r="C395" s="2" t="s">
        <v>1583</v>
      </c>
      <c r="D395" s="2" t="s">
        <v>1636</v>
      </c>
      <c r="E395" s="2" t="s">
        <v>1637</v>
      </c>
      <c r="F395" s="2">
        <v>210.0</v>
      </c>
      <c r="G395" s="2">
        <v>1121.0</v>
      </c>
      <c r="H395" s="2" t="b">
        <v>1</v>
      </c>
      <c r="I395" s="2">
        <v>-1.0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s">
        <v>33</v>
      </c>
      <c r="O395" s="2">
        <v>102.0</v>
      </c>
      <c r="P395" s="2">
        <v>79.0</v>
      </c>
      <c r="Q395" s="2">
        <v>15.0</v>
      </c>
      <c r="R395" s="2">
        <v>1.0</v>
      </c>
      <c r="S395" s="3" t="s">
        <v>1638</v>
      </c>
      <c r="T395" s="2" t="s">
        <v>1639</v>
      </c>
      <c r="Y395" s="4" t="str">
        <f>IFERROR(__xludf.DUMMYFUNCTION("""COMPUTED_VALUE"""),"7.1241623")</f>
        <v>7.1241623</v>
      </c>
      <c r="Z395" s="4" t="str">
        <f>IFERROR(__xludf.DUMMYFUNCTION("""COMPUTED_VALUE"""),"3.323024")</f>
        <v>3.323024</v>
      </c>
      <c r="AA395" s="4" t="str">
        <f t="shared" si="1"/>
        <v>Neighbor</v>
      </c>
      <c r="AC395" s="4">
        <f>IFERROR(__xludf.DUMMYFUNCTION("IFERROR(ABS(O395-AVERAGE(FILTER(O395:O4463,AA395:AA4463=""Neighbor""))) / STDEV(FILTER(O395:O4463, AA395:AA4463 =""Neighbor"")), """")"),0.797430033939864)</f>
        <v>0.7974300339</v>
      </c>
      <c r="AD395" s="4">
        <f>IFERROR(__xludf.DUMMYFUNCTION("IFERROR(ABS(P395-AVERAGE(FILTER(O395:P4463,AA395:AA4463=""Neighbor""))) / STDEV(FILTER(P395:P4463, AA395:AA4463 =""Neighbor"")), """")"),1.4146211679046432)</f>
        <v>1.414621168</v>
      </c>
      <c r="AE395" s="2">
        <f>IFERROR(__xludf.DUMMYFUNCTION("IFERROR(ABS(Q395-AVERAGE(FILTER(Q395:Q4463,AA395:AA4463=""Neighbor""))) / STDEV(FILTER(Q395:Q4463, AA395:AA4463 =""Neighbor"")), """")"),0.42656708666638)</f>
        <v>0.4265670867</v>
      </c>
      <c r="AF395" s="2">
        <f>IFERROR(__xludf.DUMMYFUNCTION("IFERROR(ABS(R395-AVERAGE(FILTER(R395:R4463,AA395:AA4463=""Neighbor""))) / STDEV(FILTER(R395:R4463, AA395:AA4463 =""Neighbor"")), """")"),0.08835749410990762)</f>
        <v>0.08835749411</v>
      </c>
    </row>
    <row r="396">
      <c r="A396" s="2" t="s">
        <v>28</v>
      </c>
      <c r="B396" s="2" t="s">
        <v>884</v>
      </c>
      <c r="C396" s="2" t="s">
        <v>1583</v>
      </c>
      <c r="D396" s="2" t="s">
        <v>1640</v>
      </c>
      <c r="E396" s="2" t="s">
        <v>1641</v>
      </c>
      <c r="F396" s="2">
        <v>174.0</v>
      </c>
      <c r="G396" s="2">
        <v>1106.0</v>
      </c>
      <c r="H396" s="2" t="b">
        <v>1</v>
      </c>
      <c r="I396" s="2">
        <v>-1.0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s">
        <v>33</v>
      </c>
      <c r="O396" s="2">
        <v>78.0</v>
      </c>
      <c r="P396" s="2">
        <v>57.0</v>
      </c>
      <c r="Q396" s="2">
        <v>26.0</v>
      </c>
      <c r="R396" s="2">
        <v>0.0</v>
      </c>
      <c r="S396" s="3" t="s">
        <v>1642</v>
      </c>
      <c r="T396" s="2" t="s">
        <v>1643</v>
      </c>
      <c r="Y396" s="4" t="str">
        <f>IFERROR(__xludf.DUMMYFUNCTION("""COMPUTED_VALUE"""),"7.1277855")</f>
        <v>7.1277855</v>
      </c>
      <c r="Z396" s="4" t="str">
        <f>IFERROR(__xludf.DUMMYFUNCTION("""COMPUTED_VALUE"""),"3.3258811")</f>
        <v>3.3258811</v>
      </c>
      <c r="AA396" s="4" t="str">
        <f t="shared" si="1"/>
        <v>Neighbor</v>
      </c>
      <c r="AC396" s="4">
        <f>IFERROR(__xludf.DUMMYFUNCTION("IFERROR(ABS(O396-AVERAGE(FILTER(O396:O4464,AA396:AA4464=""Neighbor""))) / STDEV(FILTER(O396:O4464, AA396:AA4464 =""Neighbor"")), """")"),0.24989316187178567)</f>
        <v>0.2498931619</v>
      </c>
      <c r="AD396" s="4">
        <f>IFERROR(__xludf.DUMMYFUNCTION("IFERROR(ABS(P396-AVERAGE(FILTER(O396:P4464,AA396:AA4464=""Neighbor""))) / STDEV(FILTER(P396:P4464, AA396:AA4464 =""Neighbor"")), """")"),0.5764024137109753)</f>
        <v>0.5764024137</v>
      </c>
      <c r="AE396" s="2">
        <f>IFERROR(__xludf.DUMMYFUNCTION("IFERROR(ABS(Q396-AVERAGE(FILTER(Q396:Q4464,AA396:AA4464=""Neighbor""))) / STDEV(FILTER(Q396:Q4464, AA396:AA4464 =""Neighbor"")), """")"),0.032549258665211925)</f>
        <v>0.03254925867</v>
      </c>
      <c r="AF396" s="2">
        <f>IFERROR(__xludf.DUMMYFUNCTION("IFERROR(ABS(R396-AVERAGE(FILTER(R396:R4464,AA396:AA4464=""Neighbor""))) / STDEV(FILTER(R396:R4464, AA396:AA4464 =""Neighbor"")), """")"),0.10073343230504495)</f>
        <v>0.1007334323</v>
      </c>
    </row>
    <row r="397">
      <c r="A397" s="2" t="s">
        <v>28</v>
      </c>
      <c r="B397" s="2" t="s">
        <v>884</v>
      </c>
      <c r="C397" s="2" t="s">
        <v>1583</v>
      </c>
      <c r="D397" s="2" t="s">
        <v>1644</v>
      </c>
      <c r="E397" s="2" t="s">
        <v>1585</v>
      </c>
      <c r="F397" s="2">
        <v>144.0</v>
      </c>
      <c r="G397" s="2">
        <v>865.0</v>
      </c>
      <c r="H397" s="2" t="b">
        <v>1</v>
      </c>
      <c r="I397" s="2">
        <v>-1.0</v>
      </c>
      <c r="J397" s="2" t="b">
        <v>0</v>
      </c>
      <c r="K397" s="2" t="b">
        <v>1</v>
      </c>
      <c r="L397" s="2" t="b">
        <v>0</v>
      </c>
      <c r="M397" s="2" t="b">
        <v>0</v>
      </c>
      <c r="N397" s="2" t="s">
        <v>33</v>
      </c>
      <c r="O397" s="2">
        <v>68.0</v>
      </c>
      <c r="P397" s="2">
        <v>51.0</v>
      </c>
      <c r="Q397" s="2">
        <v>15.0</v>
      </c>
      <c r="R397" s="2">
        <v>0.0</v>
      </c>
      <c r="S397" s="3" t="s">
        <v>1645</v>
      </c>
      <c r="T397" s="2" t="s">
        <v>1587</v>
      </c>
      <c r="Y397" s="4" t="str">
        <f>IFERROR(__xludf.DUMMYFUNCTION("""COMPUTED_VALUE"""),"7.1241623")</f>
        <v>7.1241623</v>
      </c>
      <c r="Z397" s="4" t="str">
        <f>IFERROR(__xludf.DUMMYFUNCTION("""COMPUTED_VALUE"""),"3.323024")</f>
        <v>3.323024</v>
      </c>
      <c r="AA397" s="4" t="str">
        <f t="shared" si="1"/>
        <v>Not Neighbor</v>
      </c>
      <c r="AC397" s="4">
        <f>IFERROR(__xludf.DUMMYFUNCTION("IFERROR(ABS(O397-AVERAGE(FILTER(O397:O4465,AA397:AA4465=""Neighbor""))) / STDEV(FILTER(O397:O4465, AA397:AA4465 =""Neighbor"")), """")"),0.02173216634036588)</f>
        <v>0.02173216634</v>
      </c>
      <c r="AD397" s="4">
        <f>IFERROR(__xludf.DUMMYFUNCTION("IFERROR(ABS(P397-AVERAGE(FILTER(O397:P4465,AA397:AA4465=""Neighbor""))) / STDEV(FILTER(P397:P4465, AA397:AA4465 =""Neighbor"")), """")"),0.3476761323574677)</f>
        <v>0.3476761324</v>
      </c>
      <c r="AE397" s="2">
        <f>IFERROR(__xludf.DUMMYFUNCTION("IFERROR(ABS(Q397-AVERAGE(FILTER(Q397:Q4465,AA397:AA4465=""Neighbor""))) / STDEV(FILTER(Q397:Q4465, AA397:AA4465 =""Neighbor"")), """")"),0.42657102341423886)</f>
        <v>0.4265710234</v>
      </c>
      <c r="AF397" s="2">
        <f>IFERROR(__xludf.DUMMYFUNCTION("IFERROR(ABS(R397-AVERAGE(FILTER(R397:R4465,AA397:AA4465=""Neighbor""))) / STDEV(FILTER(R397:R4465, AA397:AA4465 =""Neighbor"")), """")"),0.10076631559454961)</f>
        <v>0.1007663156</v>
      </c>
    </row>
    <row r="398">
      <c r="A398" s="2" t="s">
        <v>28</v>
      </c>
      <c r="B398" s="2" t="s">
        <v>884</v>
      </c>
      <c r="C398" s="2" t="s">
        <v>1646</v>
      </c>
      <c r="D398" s="2" t="s">
        <v>1647</v>
      </c>
      <c r="E398" s="2" t="s">
        <v>1648</v>
      </c>
      <c r="F398" s="2">
        <v>131.0</v>
      </c>
      <c r="G398" s="2">
        <v>792.0</v>
      </c>
      <c r="H398" s="2" t="b">
        <v>1</v>
      </c>
      <c r="I398" s="2">
        <v>-1.0</v>
      </c>
      <c r="J398" s="2" t="b">
        <v>1</v>
      </c>
      <c r="K398" s="2" t="b">
        <v>0</v>
      </c>
      <c r="L398" s="2" t="b">
        <v>0</v>
      </c>
      <c r="M398" s="2" t="b">
        <v>0</v>
      </c>
      <c r="N398" s="2" t="s">
        <v>33</v>
      </c>
      <c r="O398" s="2">
        <v>84.0</v>
      </c>
      <c r="P398" s="2">
        <v>15.0</v>
      </c>
      <c r="Q398" s="2">
        <v>17.0</v>
      </c>
      <c r="R398" s="2">
        <v>0.0</v>
      </c>
      <c r="S398" s="3" t="s">
        <v>1649</v>
      </c>
      <c r="T398" s="2" t="s">
        <v>1650</v>
      </c>
      <c r="Y398" s="4" t="str">
        <f>IFERROR(__xludf.DUMMYFUNCTION("""COMPUTED_VALUE"""),"7.140818")</f>
        <v>7.140818</v>
      </c>
      <c r="Z398" s="4" t="str">
        <f>IFERROR(__xludf.DUMMYFUNCTION("""COMPUTED_VALUE"""),"3.3378372")</f>
        <v>3.3378372</v>
      </c>
      <c r="AA398" s="4" t="str">
        <f t="shared" si="1"/>
        <v>Neighbor</v>
      </c>
      <c r="AC398" s="4">
        <f>IFERROR(__xludf.DUMMYFUNCTION("IFERROR(ABS(O398-AVERAGE(FILTER(O398:O4466,AA398:AA4466=""Neighbor""))) / STDEV(FILTER(O398:O4466, AA398:AA4466 =""Neighbor"")), """")"),0.38692704853825394)</f>
        <v>0.3869270485</v>
      </c>
      <c r="AD398" s="4">
        <f>IFERROR(__xludf.DUMMYFUNCTION("IFERROR(ABS(P398-AVERAGE(FILTER(O398:P4466,AA398:AA4466=""Neighbor""))) / STDEV(FILTER(P398:P4466, AA398:AA4466 =""Neighbor"")), """")"),1.030008024311019)</f>
        <v>1.030008024</v>
      </c>
      <c r="AE398" s="2">
        <f>IFERROR(__xludf.DUMMYFUNCTION("IFERROR(ABS(Q398-AVERAGE(FILTER(Q398:Q4466,AA398:AA4466=""Neighbor""))) / STDEV(FILTER(Q398:Q4466, AA398:AA4466 =""Neighbor"")), """")"),0.3430926940220346)</f>
        <v>0.343092694</v>
      </c>
      <c r="AF398" s="2">
        <f>IFERROR(__xludf.DUMMYFUNCTION("IFERROR(ABS(R398-AVERAGE(FILTER(R398:R4466,AA398:AA4466=""Neighbor""))) / STDEV(FILTER(R398:R4466, AA398:AA4466 =""Neighbor"")), """")"),0.10076631559454961)</f>
        <v>0.1007663156</v>
      </c>
    </row>
    <row r="399">
      <c r="A399" s="2" t="s">
        <v>28</v>
      </c>
      <c r="B399" s="2" t="s">
        <v>884</v>
      </c>
      <c r="C399" s="2" t="s">
        <v>1646</v>
      </c>
      <c r="D399" s="2" t="s">
        <v>1651</v>
      </c>
      <c r="E399" s="2" t="s">
        <v>1652</v>
      </c>
      <c r="F399" s="2">
        <v>126.0</v>
      </c>
      <c r="G399" s="2">
        <v>696.0</v>
      </c>
      <c r="H399" s="2" t="b">
        <v>1</v>
      </c>
      <c r="I399" s="2">
        <v>-1.0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s">
        <v>33</v>
      </c>
      <c r="O399" s="2">
        <v>84.0</v>
      </c>
      <c r="P399" s="2">
        <v>14.0</v>
      </c>
      <c r="Q399" s="2">
        <v>19.0</v>
      </c>
      <c r="R399" s="2">
        <v>0.0</v>
      </c>
      <c r="S399" s="3" t="s">
        <v>1653</v>
      </c>
      <c r="T399" s="2" t="s">
        <v>1654</v>
      </c>
      <c r="Y399" s="4" t="str">
        <f>IFERROR(__xludf.DUMMYFUNCTION("""COMPUTED_VALUE"""),"7.1388435")</f>
        <v>7.1388435</v>
      </c>
      <c r="Z399" s="4" t="str">
        <f>IFERROR(__xludf.DUMMYFUNCTION("""COMPUTED_VALUE"""),"3.3348565")</f>
        <v>3.3348565</v>
      </c>
      <c r="AA399" s="4" t="str">
        <f t="shared" si="1"/>
        <v>Neighbor</v>
      </c>
      <c r="AC399" s="4">
        <f>IFERROR(__xludf.DUMMYFUNCTION("IFERROR(ABS(O399-AVERAGE(FILTER(O399:O4467,AA399:AA4467=""Neighbor""))) / STDEV(FILTER(O399:O4467, AA399:AA4467 =""Neighbor"")), """")"),0.38707093275385884)</f>
        <v>0.3870709328</v>
      </c>
      <c r="AD399" s="4">
        <f>IFERROR(__xludf.DUMMYFUNCTION("IFERROR(ABS(P399-AVERAGE(FILTER(O399:P4467,AA399:AA4467=""Neighbor""))) / STDEV(FILTER(P399:P4467, AA399:AA4467 =""Neighbor"")), """")"),1.0677450421563814)</f>
        <v>1.067745042</v>
      </c>
      <c r="AE399" s="2">
        <f>IFERROR(__xludf.DUMMYFUNCTION("IFERROR(ABS(Q399-AVERAGE(FILTER(Q399:Q4467,AA399:AA4467=""Neighbor""))) / STDEV(FILTER(Q399:Q4467, AA399:AA4467 =""Neighbor"")), """")"),0.25976223018308514)</f>
        <v>0.2597622302</v>
      </c>
      <c r="AF399" s="2">
        <f>IFERROR(__xludf.DUMMYFUNCTION("IFERROR(ABS(R399-AVERAGE(FILTER(R399:R4467,AA399:AA4467=""Neighbor""))) / STDEV(FILTER(R399:R4467, AA399:AA4467 =""Neighbor"")), """")"),0.10079923110848688)</f>
        <v>0.1007992311</v>
      </c>
    </row>
    <row r="400">
      <c r="A400" s="2" t="s">
        <v>28</v>
      </c>
      <c r="B400" s="2" t="s">
        <v>884</v>
      </c>
      <c r="C400" s="2" t="s">
        <v>1646</v>
      </c>
      <c r="D400" s="2" t="s">
        <v>1655</v>
      </c>
      <c r="E400" s="2" t="s">
        <v>1656</v>
      </c>
      <c r="F400" s="2">
        <v>111.0</v>
      </c>
      <c r="G400" s="2">
        <v>522.0</v>
      </c>
      <c r="H400" s="2" t="b">
        <v>1</v>
      </c>
      <c r="I400" s="2">
        <v>-1.0</v>
      </c>
      <c r="J400" s="2" t="b">
        <v>0</v>
      </c>
      <c r="K400" s="2" t="b">
        <v>0</v>
      </c>
      <c r="L400" s="2" t="b">
        <v>0</v>
      </c>
      <c r="M400" s="2" t="b">
        <v>0</v>
      </c>
      <c r="N400" s="2" t="s">
        <v>33</v>
      </c>
      <c r="O400" s="2">
        <v>48.0</v>
      </c>
      <c r="P400" s="2">
        <v>7.0</v>
      </c>
      <c r="Q400" s="2">
        <v>30.0</v>
      </c>
      <c r="R400" s="2">
        <v>1.0</v>
      </c>
      <c r="S400" s="3" t="s">
        <v>1657</v>
      </c>
      <c r="T400" s="2" t="s">
        <v>1658</v>
      </c>
      <c r="Y400" s="4" t="str">
        <f>IFERROR(__xludf.DUMMYFUNCTION("""COMPUTED_VALUE"""),"7.1423268")</f>
        <v>7.1423268</v>
      </c>
      <c r="Z400" s="4" t="str">
        <f>IFERROR(__xludf.DUMMYFUNCTION("""COMPUTED_VALUE"""),"3.3352601")</f>
        <v>3.3352601</v>
      </c>
      <c r="AA400" s="4" t="str">
        <f t="shared" si="1"/>
        <v>Neighbor</v>
      </c>
      <c r="AC400" s="4">
        <f>IFERROR(__xludf.DUMMYFUNCTION("IFERROR(ABS(O400-AVERAGE(FILTER(O400:O4468,AA400:AA4468=""Neighbor""))) / STDEV(FILTER(O400:O4468, AA400:AA4468 =""Neighbor"")), """")"),0.43402118370669995)</f>
        <v>0.4340211837</v>
      </c>
      <c r="AD400" s="4">
        <f>IFERROR(__xludf.DUMMYFUNCTION("IFERROR(ABS(P400-AVERAGE(FILTER(O400:P4468,AA400:AA4468=""Neighbor""))) / STDEV(FILTER(P400:P4468, AA400:AA4468 =""Neighbor"")), """")"),1.3349384925683727)</f>
        <v>1.334938493</v>
      </c>
      <c r="AE400" s="2">
        <f>IFERROR(__xludf.DUMMYFUNCTION("IFERROR(ABS(Q400-AVERAGE(FILTER(Q400:Q4468,AA400:AA4468=""Neighbor""))) / STDEV(FILTER(Q400:Q4468, AA400:AA4468 =""Neighbor"")), """")"),0.19900910429723337)</f>
        <v>0.1990091043</v>
      </c>
      <c r="AF400" s="2">
        <f>IFERROR(__xludf.DUMMYFUNCTION("IFERROR(ABS(R400-AVERAGE(FILTER(R400:R4468,AA400:AA4468=""Neighbor""))) / STDEV(FILTER(R400:R4468, AA400:AA4468 =""Neighbor"")), """")"),0.08810578738793233)</f>
        <v>0.08810578739</v>
      </c>
    </row>
    <row r="401">
      <c r="A401" s="2" t="s">
        <v>28</v>
      </c>
      <c r="B401" s="2" t="s">
        <v>884</v>
      </c>
      <c r="C401" s="2" t="s">
        <v>1646</v>
      </c>
      <c r="D401" s="2" t="s">
        <v>1659</v>
      </c>
      <c r="E401" s="2" t="s">
        <v>1660</v>
      </c>
      <c r="F401" s="2">
        <v>153.0</v>
      </c>
      <c r="G401" s="2">
        <v>928.0</v>
      </c>
      <c r="H401" s="2" t="b">
        <v>1</v>
      </c>
      <c r="I401" s="2">
        <v>-1.0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s">
        <v>33</v>
      </c>
      <c r="O401" s="2">
        <v>97.0</v>
      </c>
      <c r="P401" s="2">
        <v>26.0</v>
      </c>
      <c r="Q401" s="2">
        <v>27.0</v>
      </c>
      <c r="R401" s="2">
        <v>0.0</v>
      </c>
      <c r="S401" s="3" t="s">
        <v>1661</v>
      </c>
      <c r="T401" s="2" t="s">
        <v>1662</v>
      </c>
      <c r="Y401" s="4" t="str">
        <f>IFERROR(__xludf.DUMMYFUNCTION("""COMPUTED_VALUE"""),"7.1423268")</f>
        <v>7.1423268</v>
      </c>
      <c r="Z401" s="4" t="str">
        <f>IFERROR(__xludf.DUMMYFUNCTION("""COMPUTED_VALUE"""),"3.3352601")</f>
        <v>3.3352601</v>
      </c>
      <c r="AA401" s="4" t="str">
        <f t="shared" si="1"/>
        <v>Neighbor</v>
      </c>
      <c r="AC401" s="4">
        <f>IFERROR(__xludf.DUMMYFUNCTION("IFERROR(ABS(O401-AVERAGE(FILTER(O401:O4469,AA401:AA4469=""Neighbor""))) / STDEV(FILTER(O401:O4469, AA401:AA4469 =""Neighbor"")), """")"),0.6833114179063537)</f>
        <v>0.6833114179</v>
      </c>
      <c r="AD401" s="4">
        <f>IFERROR(__xludf.DUMMYFUNCTION("IFERROR(ABS(P401-AVERAGE(FILTER(O401:P4469,AA401:AA4469=""Neighbor""))) / STDEV(FILTER(P401:P4469, AA401:AA4469 =""Neighbor"")), """")"),0.6084818395594983)</f>
        <v>0.6084818396</v>
      </c>
      <c r="AE401" s="2">
        <f>IFERROR(__xludf.DUMMYFUNCTION("IFERROR(ABS(Q401-AVERAGE(FILTER(Q401:Q4469,AA401:AA4469=""Neighbor""))) / STDEV(FILTER(Q401:Q4469, AA401:AA4469 =""Neighbor"")), """")"),0.07397112077075359)</f>
        <v>0.07397112077</v>
      </c>
      <c r="AF401" s="2">
        <f>IFERROR(__xludf.DUMMYFUNCTION("IFERROR(ABS(R401-AVERAGE(FILTER(R401:R4469,AA401:AA4469=""Neighbor""))) / STDEV(FILTER(R401:R4469, AA401:AA4469 =""Neighbor"")), """")"),0.10074267130050492)</f>
        <v>0.1007426713</v>
      </c>
    </row>
    <row r="402">
      <c r="A402" s="2" t="s">
        <v>28</v>
      </c>
      <c r="B402" s="2" t="s">
        <v>884</v>
      </c>
      <c r="C402" s="2" t="s">
        <v>1646</v>
      </c>
      <c r="D402" s="2" t="s">
        <v>1663</v>
      </c>
      <c r="E402" s="2" t="s">
        <v>1664</v>
      </c>
      <c r="F402" s="2">
        <v>158.0</v>
      </c>
      <c r="G402" s="2">
        <v>821.0</v>
      </c>
      <c r="H402" s="2" t="b">
        <v>1</v>
      </c>
      <c r="I402" s="2">
        <v>-1.0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s">
        <v>33</v>
      </c>
      <c r="O402" s="2">
        <v>78.0</v>
      </c>
      <c r="P402" s="2">
        <v>24.0</v>
      </c>
      <c r="Q402" s="2">
        <v>48.0</v>
      </c>
      <c r="R402" s="2">
        <v>0.0</v>
      </c>
      <c r="S402" s="3" t="s">
        <v>1665</v>
      </c>
      <c r="T402" s="2" t="s">
        <v>1666</v>
      </c>
      <c r="Y402" s="4" t="str">
        <f>IFERROR(__xludf.DUMMYFUNCTION("""COMPUTED_VALUE"""),"7.1360721")</f>
        <v>7.1360721</v>
      </c>
      <c r="Z402" s="4" t="str">
        <f>IFERROR(__xludf.DUMMYFUNCTION("""COMPUTED_VALUE"""),"3.3351139")</f>
        <v>3.3351139</v>
      </c>
      <c r="AA402" s="4" t="str">
        <f t="shared" si="1"/>
        <v>Neighbor</v>
      </c>
      <c r="AC402" s="4">
        <f>IFERROR(__xludf.DUMMYFUNCTION("IFERROR(ABS(O402-AVERAGE(FILTER(O402:O4470,AA402:AA4470=""Neighbor""))) / STDEV(FILTER(O402:O4470, AA402:AA4470 =""Neighbor"")), """")"),0.25039507800560823)</f>
        <v>0.250395078</v>
      </c>
      <c r="AD402" s="4">
        <f>IFERROR(__xludf.DUMMYFUNCTION("IFERROR(ABS(P402-AVERAGE(FILTER(O402:P4470,AA402:AA4470=""Neighbor""))) / STDEV(FILTER(P402:P4470, AA402:AA4470 =""Neighbor"")), """")"),0.6842693043397066)</f>
        <v>0.6842693043</v>
      </c>
      <c r="AE402" s="2">
        <f>IFERROR(__xludf.DUMMYFUNCTION("IFERROR(ABS(Q402-AVERAGE(FILTER(Q402:Q4470,AA402:AA4470=""Neighbor""))) / STDEV(FILTER(Q402:Q4470, AA402:AA4470 =""Neighbor"")), """")"),0.9494475944084201)</f>
        <v>0.9494475944</v>
      </c>
      <c r="AF402" s="2">
        <f>IFERROR(__xludf.DUMMYFUNCTION("IFERROR(ABS(R402-AVERAGE(FILTER(R402:R4470,AA402:AA4470=""Neighbor""))) / STDEV(FILTER(R402:R4470, AA402:AA4470 =""Neighbor"")), """")"),0.1007756429073248)</f>
        <v>0.1007756429</v>
      </c>
    </row>
    <row r="403">
      <c r="A403" s="2" t="s">
        <v>28</v>
      </c>
      <c r="B403" s="2" t="s">
        <v>884</v>
      </c>
      <c r="C403" s="2" t="s">
        <v>1646</v>
      </c>
      <c r="D403" s="2" t="s">
        <v>1667</v>
      </c>
      <c r="E403" s="2" t="s">
        <v>1668</v>
      </c>
      <c r="F403" s="2">
        <v>87.0</v>
      </c>
      <c r="G403" s="2">
        <v>750.0</v>
      </c>
      <c r="H403" s="2" t="b">
        <v>1</v>
      </c>
      <c r="I403" s="2">
        <v>-1.0</v>
      </c>
      <c r="J403" s="2" t="b">
        <v>0</v>
      </c>
      <c r="K403" s="2" t="b">
        <v>0</v>
      </c>
      <c r="L403" s="2" t="b">
        <v>0</v>
      </c>
      <c r="M403" s="2" t="b">
        <v>0</v>
      </c>
      <c r="N403" s="2" t="s">
        <v>33</v>
      </c>
      <c r="O403" s="2">
        <v>54.0</v>
      </c>
      <c r="P403" s="2">
        <v>18.0</v>
      </c>
      <c r="Q403" s="2">
        <v>13.0</v>
      </c>
      <c r="R403" s="2">
        <v>0.0</v>
      </c>
      <c r="S403" s="3" t="s">
        <v>1669</v>
      </c>
      <c r="T403" s="2" t="s">
        <v>1670</v>
      </c>
      <c r="Y403" s="4" t="str">
        <f>IFERROR(__xludf.DUMMYFUNCTION("""COMPUTED_VALUE"""),"7.1414488")</f>
        <v>7.1414488</v>
      </c>
      <c r="Z403" s="4" t="str">
        <f>IFERROR(__xludf.DUMMYFUNCTION("""COMPUTED_VALUE"""),"3.3351139")</f>
        <v>3.3351139</v>
      </c>
      <c r="AA403" s="4" t="str">
        <f t="shared" si="1"/>
        <v>Neighbor</v>
      </c>
      <c r="AC403" s="4">
        <f>IFERROR(__xludf.DUMMYFUNCTION("IFERROR(ABS(O403-AVERAGE(FILTER(O403:O4471,AA403:AA4471=""Neighbor""))) / STDEV(FILTER(O403:O4471, AA403:AA4471 =""Neighbor"")), """")"),0.296604361709005)</f>
        <v>0.2966043617</v>
      </c>
      <c r="AD403" s="4">
        <f>IFERROR(__xludf.DUMMYFUNCTION("IFERROR(ABS(P403-AVERAGE(FILTER(O403:P4471,AA403:AA4471=""Neighbor""))) / STDEV(FILTER(P403:P4471, AA403:AA4471 =""Neighbor"")), """")"),0.9131072015770617)</f>
        <v>0.9131072016</v>
      </c>
      <c r="AE403" s="2">
        <f>IFERROR(__xludf.DUMMYFUNCTION("IFERROR(ABS(Q403-AVERAGE(FILTER(Q403:Q4471,AA403:AA4471=""Neighbor""))) / STDEV(FILTER(Q403:Q4471, AA403:AA4471 =""Neighbor"")), """")"),0.5090073855091097)</f>
        <v>0.5090073855</v>
      </c>
      <c r="AF403" s="2">
        <f>IFERROR(__xludf.DUMMYFUNCTION("IFERROR(ABS(R403-AVERAGE(FILTER(R403:R4471,AA403:AA4471=""Neighbor""))) / STDEV(FILTER(R403:R4471, AA403:AA4471 =""Neighbor"")), """")"),0.10080864690898969)</f>
        <v>0.1008086469</v>
      </c>
    </row>
    <row r="404">
      <c r="A404" s="2" t="s">
        <v>28</v>
      </c>
      <c r="B404" s="2" t="s">
        <v>884</v>
      </c>
      <c r="C404" s="2" t="s">
        <v>1646</v>
      </c>
      <c r="D404" s="2" t="s">
        <v>1671</v>
      </c>
      <c r="E404" s="2" t="s">
        <v>1672</v>
      </c>
      <c r="F404" s="2">
        <v>106.0</v>
      </c>
      <c r="G404" s="2">
        <v>750.0</v>
      </c>
      <c r="H404" s="2" t="b">
        <v>1</v>
      </c>
      <c r="I404" s="2">
        <v>-1.0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s">
        <v>33</v>
      </c>
      <c r="O404" s="2">
        <v>42.0</v>
      </c>
      <c r="P404" s="2">
        <v>16.0</v>
      </c>
      <c r="Q404" s="2">
        <v>17.0</v>
      </c>
      <c r="R404" s="2">
        <v>0.0</v>
      </c>
      <c r="S404" s="3" t="s">
        <v>1673</v>
      </c>
      <c r="T404" s="2" t="s">
        <v>1674</v>
      </c>
      <c r="Y404" s="4" t="str">
        <f>IFERROR(__xludf.DUMMYFUNCTION("""COMPUTED_VALUE"""),"7.1414488")</f>
        <v>7.1414488</v>
      </c>
      <c r="Z404" s="4" t="str">
        <f>IFERROR(__xludf.DUMMYFUNCTION("""COMPUTED_VALUE"""),"3.3351139")</f>
        <v>3.3351139</v>
      </c>
      <c r="AA404" s="4" t="str">
        <f t="shared" si="1"/>
        <v>Neighbor</v>
      </c>
      <c r="AC404" s="4">
        <f>IFERROR(__xludf.DUMMYFUNCTION("IFERROR(ABS(O404-AVERAGE(FILTER(O404:O4472,AA404:AA4472=""Neighbor""))) / STDEV(FILTER(O404:O4472, AA404:AA4472 =""Neighbor"")), """")"),0.5701709117733851)</f>
        <v>0.5701709118</v>
      </c>
      <c r="AD404" s="4">
        <f>IFERROR(__xludf.DUMMYFUNCTION("IFERROR(ABS(P404-AVERAGE(FILTER(O404:P4472,AA404:AA4472=""Neighbor""))) / STDEV(FILTER(P404:P4472, AA404:AA4472 =""Neighbor"")), """")"),0.9893557102859463)</f>
        <v>0.9893557103</v>
      </c>
      <c r="AE404" s="2">
        <f>IFERROR(__xludf.DUMMYFUNCTION("IFERROR(ABS(Q404-AVERAGE(FILTER(Q404:Q4472,AA404:AA4472=""Neighbor""))) / STDEV(FILTER(Q404:Q4472, AA404:AA4472 =""Neighbor"")), """")"),0.3425079626624686)</f>
        <v>0.3425079627</v>
      </c>
      <c r="AF404" s="2">
        <f>IFERROR(__xludf.DUMMYFUNCTION("IFERROR(ABS(R404-AVERAGE(FILTER(R404:R4472,AA404:AA4472=""Neighbor""))) / STDEV(FILTER(R404:R4472, AA404:AA4472 =""Neighbor"")), """")"),0.10084168335858164)</f>
        <v>0.1008416834</v>
      </c>
    </row>
    <row r="405">
      <c r="A405" s="2" t="s">
        <v>28</v>
      </c>
      <c r="B405" s="2" t="s">
        <v>884</v>
      </c>
      <c r="C405" s="2" t="s">
        <v>1646</v>
      </c>
      <c r="D405" s="2" t="s">
        <v>1675</v>
      </c>
      <c r="E405" s="2" t="s">
        <v>1676</v>
      </c>
      <c r="F405" s="2">
        <v>130.0</v>
      </c>
      <c r="G405" s="2">
        <v>873.0</v>
      </c>
      <c r="H405" s="2" t="b">
        <v>1</v>
      </c>
      <c r="I405" s="2">
        <v>-1.0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s">
        <v>33</v>
      </c>
      <c r="O405" s="2">
        <v>76.0</v>
      </c>
      <c r="P405" s="2">
        <v>30.0</v>
      </c>
      <c r="Q405" s="2">
        <v>19.0</v>
      </c>
      <c r="R405" s="2">
        <v>0.0</v>
      </c>
      <c r="S405" s="3" t="s">
        <v>1677</v>
      </c>
      <c r="T405" s="2" t="s">
        <v>1678</v>
      </c>
      <c r="Y405" s="4" t="str">
        <f>IFERROR(__xludf.DUMMYFUNCTION("""COMPUTED_VALUE"""),"7.1379161")</f>
        <v>7.1379161</v>
      </c>
      <c r="Z405" s="4" t="str">
        <f>IFERROR(__xludf.DUMMYFUNCTION("""COMPUTED_VALUE"""),"3.3389562")</f>
        <v>3.3389562</v>
      </c>
      <c r="AA405" s="4" t="str">
        <f t="shared" si="1"/>
        <v>Neighbor</v>
      </c>
      <c r="AC405" s="4">
        <f>IFERROR(__xludf.DUMMYFUNCTION("IFERROR(ABS(O405-AVERAGE(FILTER(O405:O4473,AA405:AA4473=""Neighbor""))) / STDEV(FILTER(O405:O4473, AA405:AA4473 =""Neighbor"")), """")"),0.20422238548454)</f>
        <v>0.2042223855</v>
      </c>
      <c r="AD405" s="4">
        <f>IFERROR(__xludf.DUMMYFUNCTION("IFERROR(ABS(P405-AVERAGE(FILTER(O405:P4473,AA405:AA4473=""Neighbor""))) / STDEV(FILTER(P405:P4473, AA405:AA4473 =""Neighbor"")), """")"),0.45474134690713325)</f>
        <v>0.4547413469</v>
      </c>
      <c r="AE405" s="2">
        <f>IFERROR(__xludf.DUMMYFUNCTION("IFERROR(ABS(Q405-AVERAGE(FILTER(Q405:Q4473,AA405:AA4473=""Neighbor""))) / STDEV(FILTER(Q405:Q4473, AA405:AA4473 =""Neighbor"")), """")"),0.2593024149494088)</f>
        <v>0.2593024149</v>
      </c>
      <c r="AF405" s="2">
        <f>IFERROR(__xludf.DUMMYFUNCTION("IFERROR(ABS(R405-AVERAGE(FILTER(R405:R4473,AA405:AA4473=""Neighbor""))) / STDEV(FILTER(R405:R4473, AA405:AA4473 =""Neighbor"")), """")"),0.10087475230930462)</f>
        <v>0.1008747523</v>
      </c>
    </row>
    <row r="406">
      <c r="A406" s="2" t="s">
        <v>28</v>
      </c>
      <c r="B406" s="2" t="s">
        <v>884</v>
      </c>
      <c r="C406" s="2" t="s">
        <v>1646</v>
      </c>
      <c r="D406" s="2" t="s">
        <v>1679</v>
      </c>
      <c r="E406" s="2" t="s">
        <v>1680</v>
      </c>
      <c r="F406" s="2">
        <v>112.0</v>
      </c>
      <c r="G406" s="2">
        <v>664.0</v>
      </c>
      <c r="H406" s="2" t="b">
        <v>1</v>
      </c>
      <c r="I406" s="2">
        <v>-1.0</v>
      </c>
      <c r="J406" s="2" t="b">
        <v>0</v>
      </c>
      <c r="K406" s="2" t="b">
        <v>1</v>
      </c>
      <c r="L406" s="2" t="b">
        <v>0</v>
      </c>
      <c r="M406" s="2" t="b">
        <v>0</v>
      </c>
      <c r="N406" s="2" t="s">
        <v>33</v>
      </c>
      <c r="O406" s="2">
        <v>67.0</v>
      </c>
      <c r="P406" s="2">
        <v>24.0</v>
      </c>
      <c r="Q406" s="2">
        <v>16.0</v>
      </c>
      <c r="R406" s="2">
        <v>0.0</v>
      </c>
      <c r="S406" s="3" t="s">
        <v>1681</v>
      </c>
      <c r="T406" s="2" t="s">
        <v>1682</v>
      </c>
      <c r="Y406" s="4" t="str">
        <f>IFERROR(__xludf.DUMMYFUNCTION("""COMPUTED_VALUE"""),"7.1388435")</f>
        <v>7.1388435</v>
      </c>
      <c r="Z406" s="4" t="str">
        <f>IFERROR(__xludf.DUMMYFUNCTION("""COMPUTED_VALUE"""),"3.3348565")</f>
        <v>3.3348565</v>
      </c>
      <c r="AA406" s="4" t="str">
        <f t="shared" si="1"/>
        <v>Not Neighbor</v>
      </c>
      <c r="AC406" s="4">
        <f>IFERROR(__xludf.DUMMYFUNCTION("IFERROR(ABS(O406-AVERAGE(FILTER(O406:O4474,AA406:AA4474=""Neighbor""))) / STDEV(FILTER(O406:O4474, AA406:AA4474 =""Neighbor"")), """")"),6.960275670192335E-4)</f>
        <v>0.000696027567</v>
      </c>
      <c r="AD406" s="4">
        <f>IFERROR(__xludf.DUMMYFUNCTION("IFERROR(ABS(P406-AVERAGE(FILTER(O406:P4474,AA406:AA4474=""Neighbor""))) / STDEV(FILTER(P406:P4474, AA406:AA4474 =""Neighbor"")), """")"),0.6834203105663109)</f>
        <v>0.6834203106</v>
      </c>
      <c r="AE406" s="2">
        <f>IFERROR(__xludf.DUMMYFUNCTION("IFERROR(ABS(Q406-AVERAGE(FILTER(Q406:Q4474,AA406:AA4474=""Neighbor""))) / STDEV(FILTER(Q406:Q4474, AA406:AA4474 =""Neighbor"")), """")"),0.3843491112757928)</f>
        <v>0.3843491113</v>
      </c>
      <c r="AF406" s="2">
        <f>IFERROR(__xludf.DUMMYFUNCTION("IFERROR(ABS(R406-AVERAGE(FILTER(R406:R4474,AA406:AA4474=""Neighbor""))) / STDEV(FILTER(R406:R4474, AA406:AA4474 =""Neighbor"")), """")"),0.10090785381448512)</f>
        <v>0.1009078538</v>
      </c>
    </row>
    <row r="407">
      <c r="A407" s="2" t="s">
        <v>28</v>
      </c>
      <c r="B407" s="2" t="s">
        <v>884</v>
      </c>
      <c r="C407" s="2" t="s">
        <v>1646</v>
      </c>
      <c r="D407" s="2" t="s">
        <v>1683</v>
      </c>
      <c r="E407" s="2" t="s">
        <v>1684</v>
      </c>
      <c r="F407" s="2">
        <v>126.0</v>
      </c>
      <c r="G407" s="2">
        <v>675.0</v>
      </c>
      <c r="H407" s="2" t="b">
        <v>1</v>
      </c>
      <c r="I407" s="2">
        <v>-1.0</v>
      </c>
      <c r="J407" s="2" t="b">
        <v>0</v>
      </c>
      <c r="K407" s="2" t="b">
        <v>0</v>
      </c>
      <c r="L407" s="2" t="b">
        <v>0</v>
      </c>
      <c r="M407" s="2" t="b">
        <v>0</v>
      </c>
      <c r="N407" s="2" t="s">
        <v>33</v>
      </c>
      <c r="O407" s="2">
        <v>39.0</v>
      </c>
      <c r="P407" s="2">
        <v>17.0</v>
      </c>
      <c r="Q407" s="2">
        <v>55.0</v>
      </c>
      <c r="R407" s="2">
        <v>0.0</v>
      </c>
      <c r="S407" s="3" t="s">
        <v>1685</v>
      </c>
      <c r="T407" s="2" t="s">
        <v>1686</v>
      </c>
      <c r="Y407" s="4" t="str">
        <f>IFERROR(__xludf.DUMMYFUNCTION("""COMPUTED_VALUE"""),"7.1265825")</f>
        <v>7.1265825</v>
      </c>
      <c r="Z407" s="4" t="str">
        <f>IFERROR(__xludf.DUMMYFUNCTION("""COMPUTED_VALUE"""),"3.346448")</f>
        <v>3.346448</v>
      </c>
      <c r="AA407" s="4" t="str">
        <f t="shared" si="1"/>
        <v>Not Neighbor</v>
      </c>
      <c r="AC407" s="4">
        <f>IFERROR(__xludf.DUMMYFUNCTION("IFERROR(ABS(O407-AVERAGE(FILTER(O407:O4475,AA407:AA4475=""Neighbor""))) / STDEV(FILTER(O407:O4475, AA407:AA4475 =""Neighbor"")), """")"),0.6384349881226687)</f>
        <v>0.6384349881</v>
      </c>
      <c r="AD407" s="4">
        <f>IFERROR(__xludf.DUMMYFUNCTION("IFERROR(ABS(P407-AVERAGE(FILTER(O407:P4475,AA407:AA4475=""Neighbor""))) / STDEV(FILTER(P407:P4475, AA407:AA4475 =""Neighbor"")), """")"),0.95066217688757)</f>
        <v>0.9506621769</v>
      </c>
      <c r="AE407" s="2">
        <f>IFERROR(__xludf.DUMMYFUNCTION("IFERROR(ABS(Q407-AVERAGE(FILTER(Q407:Q4475,AA407:AA4475=""Neighbor""))) / STDEV(FILTER(Q407:Q4475, AA407:AA4475 =""Neighbor"")), """")"),1.2400891914683312)</f>
        <v>1.240089191</v>
      </c>
      <c r="AF407" s="2">
        <f>IFERROR(__xludf.DUMMYFUNCTION("IFERROR(ABS(R407-AVERAGE(FILTER(R407:R4475,AA407:AA4475=""Neighbor""))) / STDEV(FILTER(R407:R4475, AA407:AA4475 =""Neighbor"")), """")"),0.10090785381448512)</f>
        <v>0.1009078538</v>
      </c>
    </row>
    <row r="408">
      <c r="A408" s="2" t="s">
        <v>28</v>
      </c>
      <c r="B408" s="2" t="s">
        <v>884</v>
      </c>
      <c r="C408" s="2" t="s">
        <v>1646</v>
      </c>
      <c r="D408" s="2" t="s">
        <v>1687</v>
      </c>
      <c r="E408" s="2" t="s">
        <v>1688</v>
      </c>
      <c r="F408" s="2">
        <v>122.0</v>
      </c>
      <c r="G408" s="2">
        <v>750.0</v>
      </c>
      <c r="H408" s="2" t="b">
        <v>1</v>
      </c>
      <c r="I408" s="2">
        <v>-1.0</v>
      </c>
      <c r="J408" s="2" t="b">
        <v>0</v>
      </c>
      <c r="K408" s="2" t="b">
        <v>1</v>
      </c>
      <c r="L408" s="2" t="b">
        <v>0</v>
      </c>
      <c r="M408" s="2" t="b">
        <v>0</v>
      </c>
      <c r="N408" s="2" t="s">
        <v>33</v>
      </c>
      <c r="O408" s="2">
        <v>67.0</v>
      </c>
      <c r="P408" s="2">
        <v>19.0</v>
      </c>
      <c r="Q408" s="2">
        <v>26.0</v>
      </c>
      <c r="R408" s="2">
        <v>0.0</v>
      </c>
      <c r="S408" s="3" t="s">
        <v>1689</v>
      </c>
      <c r="T408" s="2" t="s">
        <v>1690</v>
      </c>
      <c r="Y408" s="4" t="str">
        <f>IFERROR(__xludf.DUMMYFUNCTION("""COMPUTED_VALUE"""),"7.1387649")</f>
        <v>7.1387649</v>
      </c>
      <c r="Z408" s="4" t="str">
        <f>IFERROR(__xludf.DUMMYFUNCTION("""COMPUTED_VALUE"""),"3.3349253")</f>
        <v>3.3349253</v>
      </c>
      <c r="AA408" s="4" t="str">
        <f t="shared" si="1"/>
        <v>Neighbor</v>
      </c>
      <c r="AC408" s="4">
        <f>IFERROR(__xludf.DUMMYFUNCTION("IFERROR(ABS(O408-AVERAGE(FILTER(O408:O4476,AA408:AA4476=""Neighbor""))) / STDEV(FILTER(O408:O4476, AA408:AA4476 =""Neighbor"")), """")"),6.960275670192335E-4)</f>
        <v>0.000696027567</v>
      </c>
      <c r="AD408" s="4">
        <f>IFERROR(__xludf.DUMMYFUNCTION("IFERROR(ABS(P408-AVERAGE(FILTER(O408:P4476,AA408:AA4476=""Neighbor""))) / STDEV(FILTER(P408:P4476, AA408:AA4476 =""Neighbor"")), """")"),0.8743073579386389)</f>
        <v>0.8743073579</v>
      </c>
      <c r="AE408" s="2">
        <f>IFERROR(__xludf.DUMMYFUNCTION("IFERROR(ABS(Q408-AVERAGE(FILTER(Q408:Q4476,AA408:AA4476=""Neighbor""))) / STDEV(FILTER(Q408:Q4476, AA408:AA4476 =""Neighbor"")), """")"),0.03217353045346975)</f>
        <v>0.03217353045</v>
      </c>
      <c r="AF408" s="2">
        <f>IFERROR(__xludf.DUMMYFUNCTION("IFERROR(ABS(R408-AVERAGE(FILTER(R408:R4476,AA408:AA4476=""Neighbor""))) / STDEV(FILTER(R408:R4476, AA408:AA4476 =""Neighbor"")), """")"),0.10090785381448512)</f>
        <v>0.1009078538</v>
      </c>
    </row>
    <row r="409">
      <c r="A409" s="2" t="s">
        <v>28</v>
      </c>
      <c r="B409" s="2" t="s">
        <v>884</v>
      </c>
      <c r="C409" s="2" t="s">
        <v>1646</v>
      </c>
      <c r="D409" s="2" t="s">
        <v>1691</v>
      </c>
      <c r="E409" s="2" t="s">
        <v>1692</v>
      </c>
      <c r="F409" s="2">
        <v>153.0</v>
      </c>
      <c r="G409" s="2">
        <v>959.0</v>
      </c>
      <c r="H409" s="2" t="b">
        <v>1</v>
      </c>
      <c r="I409" s="2">
        <v>-1.0</v>
      </c>
      <c r="J409" s="2" t="b">
        <v>0</v>
      </c>
      <c r="K409" s="2" t="b">
        <v>1</v>
      </c>
      <c r="L409" s="2" t="b">
        <v>0</v>
      </c>
      <c r="M409" s="2" t="b">
        <v>0</v>
      </c>
      <c r="N409" s="2" t="s">
        <v>33</v>
      </c>
      <c r="O409" s="2">
        <v>85.0</v>
      </c>
      <c r="P409" s="2">
        <v>21.0</v>
      </c>
      <c r="Q409" s="2">
        <v>36.0</v>
      </c>
      <c r="R409" s="2">
        <v>0.0</v>
      </c>
      <c r="S409" s="3" t="s">
        <v>1693</v>
      </c>
      <c r="T409" s="2" t="s">
        <v>1694</v>
      </c>
      <c r="Y409" s="4" t="str">
        <f>IFERROR(__xludf.DUMMYFUNCTION("""COMPUTED_VALUE"""),"7.1387649")</f>
        <v>7.1387649</v>
      </c>
      <c r="Z409" s="4" t="str">
        <f>IFERROR(__xludf.DUMMYFUNCTION("""COMPUTED_VALUE"""),"3.3349253")</f>
        <v>3.3349253</v>
      </c>
      <c r="AA409" s="4" t="str">
        <f t="shared" si="1"/>
        <v>Neighbor</v>
      </c>
      <c r="AC409" s="4">
        <f>IFERROR(__xludf.DUMMYFUNCTION("IFERROR(ABS(O409-AVERAGE(FILTER(O409:O4477,AA409:AA4477=""Neighbor""))) / STDEV(FILTER(O409:O4477, AA409:AA4477 =""Neighbor"")), """")"),0.4091454020389123)</f>
        <v>0.409145402</v>
      </c>
      <c r="AD409" s="4">
        <f>IFERROR(__xludf.DUMMYFUNCTION("IFERROR(ABS(P409-AVERAGE(FILTER(O409:P4477,AA409:AA4477=""Neighbor""))) / STDEV(FILTER(P409:P4477, AA409:AA4477 =""Neighbor"")), """")"),0.7976675097344129)</f>
        <v>0.7976675097</v>
      </c>
      <c r="AE409" s="2">
        <f>IFERROR(__xludf.DUMMYFUNCTION("IFERROR(ABS(Q409-AVERAGE(FILTER(Q409:Q4477,AA409:AA4477=""Neighbor""))) / STDEV(FILTER(Q409:Q4477, AA409:AA4477 =""Neighbor"")), """")"),0.448571260530453)</f>
        <v>0.4485712605</v>
      </c>
      <c r="AF409" s="2">
        <f>IFERROR(__xludf.DUMMYFUNCTION("IFERROR(ABS(R409-AVERAGE(FILTER(R409:R4477,AA409:AA4477=""Neighbor""))) / STDEV(FILTER(R409:R4477, AA409:AA4477 =""Neighbor"")), """")"),0.10094098792757143)</f>
        <v>0.1009409879</v>
      </c>
    </row>
    <row r="410">
      <c r="A410" s="2" t="s">
        <v>28</v>
      </c>
      <c r="B410" s="2" t="s">
        <v>884</v>
      </c>
      <c r="C410" s="2" t="s">
        <v>1646</v>
      </c>
      <c r="D410" s="2" t="s">
        <v>1695</v>
      </c>
      <c r="E410" s="2" t="s">
        <v>1696</v>
      </c>
      <c r="F410" s="2">
        <v>134.0</v>
      </c>
      <c r="G410" s="2">
        <v>792.0</v>
      </c>
      <c r="H410" s="2" t="b">
        <v>1</v>
      </c>
      <c r="I410" s="2">
        <v>-1.0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s">
        <v>33</v>
      </c>
      <c r="O410" s="2">
        <v>81.0</v>
      </c>
      <c r="P410" s="2">
        <v>24.0</v>
      </c>
      <c r="Q410" s="2">
        <v>12.0</v>
      </c>
      <c r="R410" s="2">
        <v>0.0</v>
      </c>
      <c r="S410" s="3" t="s">
        <v>1697</v>
      </c>
      <c r="T410" s="2" t="s">
        <v>1698</v>
      </c>
      <c r="Y410" s="4" t="str">
        <f>IFERROR(__xludf.DUMMYFUNCTION("""COMPUTED_VALUE"""),"7.1360721")</f>
        <v>7.1360721</v>
      </c>
      <c r="Z410" s="4" t="str">
        <f>IFERROR(__xludf.DUMMYFUNCTION("""COMPUTED_VALUE"""),"3.3351139")</f>
        <v>3.3351139</v>
      </c>
      <c r="AA410" s="4" t="str">
        <f t="shared" si="1"/>
        <v>Neighbor</v>
      </c>
      <c r="AC410" s="4">
        <f>IFERROR(__xludf.DUMMYFUNCTION("IFERROR(ABS(O410-AVERAGE(FILTER(O410:O4478,AA410:AA4478=""Neighbor""))) / STDEV(FILTER(O410:O4478, AA410:AA4478 =""Neighbor"")), """")"),0.31824956127380155)</f>
        <v>0.3182495613</v>
      </c>
      <c r="AD410" s="4">
        <f>IFERROR(__xludf.DUMMYFUNCTION("IFERROR(ABS(P410-AVERAGE(FILTER(O410:P4478,AA410:AA4478=""Neighbor""))) / STDEV(FILTER(P410:P4478, AA410:AA4478 =""Neighbor"")), """")"),0.6826799464287393)</f>
        <v>0.6826799464</v>
      </c>
      <c r="AE410" s="2">
        <f>IFERROR(__xludf.DUMMYFUNCTION("IFERROR(ABS(Q410-AVERAGE(FILTER(Q410:Q4478,AA410:AA4478=""Neighbor""))) / STDEV(FILTER(Q410:Q4478, AA410:AA4478 =""Neighbor"")), """")"),0.5503229817312416)</f>
        <v>0.5503229817</v>
      </c>
      <c r="AF410" s="2">
        <f>IFERROR(__xludf.DUMMYFUNCTION("IFERROR(ABS(R410-AVERAGE(FILTER(R410:R4478,AA410:AA4478=""Neighbor""))) / STDEV(FILTER(R410:R4478, AA410:AA4478 =""Neighbor"")), """")"),0.10097415470213565)</f>
        <v>0.1009741547</v>
      </c>
    </row>
    <row r="411">
      <c r="A411" s="2" t="s">
        <v>28</v>
      </c>
      <c r="B411" s="2" t="s">
        <v>884</v>
      </c>
      <c r="C411" s="2" t="s">
        <v>1646</v>
      </c>
      <c r="D411" s="2" t="s">
        <v>1699</v>
      </c>
      <c r="E411" s="2" t="s">
        <v>1700</v>
      </c>
      <c r="F411" s="2">
        <v>127.0</v>
      </c>
      <c r="G411" s="2">
        <v>844.0</v>
      </c>
      <c r="H411" s="2" t="b">
        <v>1</v>
      </c>
      <c r="I411" s="2">
        <v>-1.0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s">
        <v>33</v>
      </c>
      <c r="O411" s="2">
        <v>91.0</v>
      </c>
      <c r="P411" s="2">
        <v>5.0</v>
      </c>
      <c r="Q411" s="2">
        <v>17.0</v>
      </c>
      <c r="R411" s="2">
        <v>0.0</v>
      </c>
      <c r="S411" s="3" t="s">
        <v>1701</v>
      </c>
      <c r="T411" s="2" t="s">
        <v>1702</v>
      </c>
      <c r="Y411" s="4" t="str">
        <f>IFERROR(__xludf.DUMMYFUNCTION("""COMPUTED_VALUE"""),"7.1388435")</f>
        <v>7.1388435</v>
      </c>
      <c r="Z411" s="4" t="str">
        <f>IFERROR(__xludf.DUMMYFUNCTION("""COMPUTED_VALUE"""),"3.3348565")</f>
        <v>3.3348565</v>
      </c>
      <c r="AA411" s="4" t="str">
        <f t="shared" si="1"/>
        <v>Neighbor</v>
      </c>
      <c r="AC411" s="4">
        <f>IFERROR(__xludf.DUMMYFUNCTION("IFERROR(ABS(O411-AVERAGE(FILTER(O411:O4479,AA411:AA4479=""Neighbor""))) / STDEV(FILTER(O411:O4479, AA411:AA4479 =""Neighbor"")), """")"),0.5459250971967718)</f>
        <v>0.5459250972</v>
      </c>
      <c r="AD411" s="4">
        <f>IFERROR(__xludf.DUMMYFUNCTION("IFERROR(ABS(P411-AVERAGE(FILTER(O411:P4479,AA411:AA4479=""Neighbor""))) / STDEV(FILTER(P411:P4479, AA411:AA4479 =""Neighbor"")), """")"),1.4068992899998474)</f>
        <v>1.40689929</v>
      </c>
      <c r="AE411" s="2">
        <f>IFERROR(__xludf.DUMMYFUNCTION("IFERROR(ABS(Q411-AVERAGE(FILTER(Q411:Q4479,AA411:AA4479=""Neighbor""))) / STDEV(FILTER(Q411:Q4479, AA411:AA4479 =""Neighbor"")), """")"),0.342464219936822)</f>
        <v>0.3424642199</v>
      </c>
      <c r="AF411" s="2">
        <f>IFERROR(__xludf.DUMMYFUNCTION("IFERROR(ABS(R411-AVERAGE(FILTER(R411:R4479,AA411:AA4479=""Neighbor""))) / STDEV(FILTER(R411:R4479, AA411:AA4479 =""Neighbor"")), """")"),0.10100735419187265)</f>
        <v>0.1010073542</v>
      </c>
    </row>
    <row r="412">
      <c r="A412" s="2" t="s">
        <v>28</v>
      </c>
      <c r="B412" s="2" t="s">
        <v>884</v>
      </c>
      <c r="C412" s="2" t="s">
        <v>1646</v>
      </c>
      <c r="D412" s="2" t="s">
        <v>1703</v>
      </c>
      <c r="E412" s="2" t="s">
        <v>1704</v>
      </c>
      <c r="F412" s="2">
        <v>136.0</v>
      </c>
      <c r="G412" s="2">
        <v>750.0</v>
      </c>
      <c r="H412" s="2" t="b">
        <v>1</v>
      </c>
      <c r="I412" s="2">
        <v>-1.0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s">
        <v>33</v>
      </c>
      <c r="O412" s="2">
        <v>58.0</v>
      </c>
      <c r="P412" s="2">
        <v>62.0</v>
      </c>
      <c r="Q412" s="2">
        <v>9.0</v>
      </c>
      <c r="R412" s="2">
        <v>0.0</v>
      </c>
      <c r="S412" s="3" t="s">
        <v>1705</v>
      </c>
      <c r="T412" s="2" t="s">
        <v>1706</v>
      </c>
      <c r="Y412" s="4" t="str">
        <f>IFERROR(__xludf.DUMMYFUNCTION("""COMPUTED_VALUE"""),"7.1300013")</f>
        <v>7.1300013</v>
      </c>
      <c r="Z412" s="4" t="str">
        <f>IFERROR(__xludf.DUMMYFUNCTION("""COMPUTED_VALUE"""),"3.338262")</f>
        <v>3.338262</v>
      </c>
      <c r="AA412" s="4" t="str">
        <f t="shared" si="1"/>
        <v>Neighbor</v>
      </c>
      <c r="AC412" s="4">
        <f>IFERROR(__xludf.DUMMYFUNCTION("IFERROR(ABS(O412-AVERAGE(FILTER(O412:O4480,AA412:AA4480=""Neighbor""))) / STDEV(FILTER(O412:O4480, AA412:AA4480 =""Neighbor"")), """")"),0.20462495970423186)</f>
        <v>0.2046249597</v>
      </c>
      <c r="AD412" s="4">
        <f>IFERROR(__xludf.DUMMYFUNCTION("IFERROR(ABS(P412-AVERAGE(FILTER(O412:P4480,AA412:AA4480=""Neighbor""))) / STDEV(FILTER(P412:P4480, AA412:AA4480 =""Neighbor"")), """")"),0.7671180480915057)</f>
        <v>0.7671180481</v>
      </c>
      <c r="AE412" s="2">
        <f>IFERROR(__xludf.DUMMYFUNCTION("IFERROR(ABS(Q412-AVERAGE(FILTER(Q412:Q4480,AA412:AA4480=""Neighbor""))) / STDEV(FILTER(Q412:Q4480, AA412:AA4480 =""Neighbor"")), """")"),0.6754406101055355)</f>
        <v>0.6754406101</v>
      </c>
      <c r="AF412" s="2">
        <f>IFERROR(__xludf.DUMMYFUNCTION("IFERROR(ABS(R412-AVERAGE(FILTER(R412:R4480,AA412:AA4480=""Neighbor""))) / STDEV(FILTER(R412:R4480, AA412:AA4480 =""Neighbor"")), """")"),0.10104058645060132)</f>
        <v>0.1010405865</v>
      </c>
    </row>
    <row r="413">
      <c r="A413" s="2" t="s">
        <v>28</v>
      </c>
      <c r="B413" s="2" t="s">
        <v>884</v>
      </c>
      <c r="C413" s="2" t="s">
        <v>1646</v>
      </c>
      <c r="D413" s="2" t="s">
        <v>1707</v>
      </c>
      <c r="E413" s="2" t="s">
        <v>1708</v>
      </c>
      <c r="F413" s="2">
        <v>150.0</v>
      </c>
      <c r="G413" s="2">
        <v>622.0</v>
      </c>
      <c r="H413" s="2" t="b">
        <v>1</v>
      </c>
      <c r="I413" s="2">
        <v>-1.0</v>
      </c>
      <c r="J413" s="2" t="b">
        <v>0</v>
      </c>
      <c r="K413" s="2" t="b">
        <v>1</v>
      </c>
      <c r="L413" s="2" t="b">
        <v>0</v>
      </c>
      <c r="M413" s="2" t="b">
        <v>0</v>
      </c>
      <c r="N413" s="2" t="s">
        <v>33</v>
      </c>
      <c r="O413" s="2">
        <v>65.0</v>
      </c>
      <c r="P413" s="2">
        <v>65.0</v>
      </c>
      <c r="Q413" s="2">
        <v>13.0</v>
      </c>
      <c r="R413" s="2">
        <v>0.0</v>
      </c>
      <c r="S413" s="3" t="s">
        <v>1709</v>
      </c>
      <c r="T413" s="2" t="s">
        <v>1710</v>
      </c>
      <c r="Y413" s="4" t="str">
        <f>IFERROR(__xludf.DUMMYFUNCTION("""COMPUTED_VALUE"""),"7.1300013")</f>
        <v>7.1300013</v>
      </c>
      <c r="Z413" s="4" t="str">
        <f>IFERROR(__xludf.DUMMYFUNCTION("""COMPUTED_VALUE"""),"3.338262")</f>
        <v>3.338262</v>
      </c>
      <c r="AA413" s="4" t="str">
        <f t="shared" si="1"/>
        <v>Not Neighbor</v>
      </c>
      <c r="AC413" s="4">
        <f>IFERROR(__xludf.DUMMYFUNCTION("IFERROR(ABS(O413-AVERAGE(FILTER(O413:O4481,AA413:AA4481=""Neighbor""))) / STDEV(FILTER(O413:O4481, AA413:AA4481 =""Neighbor"")), """")"),0.04548765391151704)</f>
        <v>0.04548765391</v>
      </c>
      <c r="AD413" s="4">
        <f>IFERROR(__xludf.DUMMYFUNCTION("IFERROR(ABS(P413-AVERAGE(FILTER(O413:P4481,AA413:AA4481=""Neighbor""))) / STDEV(FILTER(P413:P4481, AA413:AA4481 =""Neighbor"")), """")"),0.8825328511572516)</f>
        <v>0.8825328512</v>
      </c>
      <c r="AE413" s="2">
        <f>IFERROR(__xludf.DUMMYFUNCTION("IFERROR(ABS(Q413-AVERAGE(FILTER(Q413:Q4481,AA413:AA4481=""Neighbor""))) / STDEV(FILTER(Q413:Q4481, AA413:AA4481 =""Neighbor"")), """")"),0.50936499339279)</f>
        <v>0.5093649934</v>
      </c>
      <c r="AF413" s="2">
        <f>IFERROR(__xludf.DUMMYFUNCTION("IFERROR(ABS(R413-AVERAGE(FILTER(R413:R4481,AA413:AA4481=""Neighbor""))) / STDEV(FILTER(R413:R4481, AA413:AA4481 =""Neighbor"")), """")"),0.10107385153226423)</f>
        <v>0.1010738515</v>
      </c>
    </row>
    <row r="414">
      <c r="A414" s="2" t="s">
        <v>28</v>
      </c>
      <c r="B414" s="2" t="s">
        <v>1711</v>
      </c>
      <c r="C414" s="2" t="s">
        <v>1712</v>
      </c>
      <c r="D414" s="2" t="s">
        <v>1713</v>
      </c>
      <c r="E414" s="2" t="s">
        <v>1714</v>
      </c>
      <c r="F414" s="2">
        <v>230.0</v>
      </c>
      <c r="G414" s="2">
        <v>2042.0</v>
      </c>
      <c r="H414" s="2" t="b">
        <v>1</v>
      </c>
      <c r="I414" s="2">
        <v>-1.0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s">
        <v>33</v>
      </c>
      <c r="O414" s="2">
        <v>156.0</v>
      </c>
      <c r="P414" s="2">
        <v>34.0</v>
      </c>
      <c r="Q414" s="2">
        <v>35.0</v>
      </c>
      <c r="R414" s="2">
        <v>1.0</v>
      </c>
      <c r="S414" s="3" t="s">
        <v>1715</v>
      </c>
      <c r="T414" s="2" t="s">
        <v>1716</v>
      </c>
      <c r="Y414" s="4" t="str">
        <f>IFERROR(__xludf.DUMMYFUNCTION("""COMPUTED_VALUE"""),"6.6117188")</f>
        <v>6.6117188</v>
      </c>
      <c r="Z414" s="4" t="str">
        <f>IFERROR(__xludf.DUMMYFUNCTION("""COMPUTED_VALUE"""),"3.0576199")</f>
        <v>3.0576199</v>
      </c>
      <c r="AA414" s="4" t="str">
        <f t="shared" si="1"/>
        <v>Neighbor</v>
      </c>
      <c r="AC414" s="4">
        <f>IFERROR(__xludf.DUMMYFUNCTION("IFERROR(ABS(O414-AVERAGE(FILTER(O414:O4482,AA414:AA4482=""Neighbor""))) / STDEV(FILTER(O414:O4482, AA414:AA4482 =""Neighbor"")), """")"),2.0242005990625085)</f>
        <v>2.024200599</v>
      </c>
      <c r="AD414" s="4">
        <f>IFERROR(__xludf.DUMMYFUNCTION("IFERROR(ABS(P414-AVERAGE(FILTER(O414:P4482,AA414:AA4482=""Neighbor""))) / STDEV(FILTER(P414:P4482, AA414:AA4482 =""Neighbor"")), """")"),0.300308823680119)</f>
        <v>0.3003088237</v>
      </c>
      <c r="AE414" s="2">
        <f>IFERROR(__xludf.DUMMYFUNCTION("IFERROR(ABS(Q414-AVERAGE(FILTER(Q414:Q4482,AA414:AA4482=""Neighbor""))) / STDEV(FILTER(Q414:Q4482, AA414:AA4482 =""Neighbor"")), """")"),0.405815005923455)</f>
        <v>0.4058150059</v>
      </c>
      <c r="AF414" s="2">
        <f>IFERROR(__xludf.DUMMYFUNCTION("IFERROR(ABS(R414-AVERAGE(FILTER(R414:R4482,AA414:AA4482=""Neighbor""))) / STDEV(FILTER(R414:R4482, AA414:AA4482 =""Neighbor"")), """")"),0.08719615381276742)</f>
        <v>0.08719615381</v>
      </c>
    </row>
    <row r="415">
      <c r="A415" s="2" t="s">
        <v>28</v>
      </c>
      <c r="B415" s="2" t="s">
        <v>1711</v>
      </c>
      <c r="C415" s="2" t="s">
        <v>1712</v>
      </c>
      <c r="D415" s="2" t="s">
        <v>1717</v>
      </c>
      <c r="E415" s="2" t="s">
        <v>1718</v>
      </c>
      <c r="F415" s="2">
        <v>89.0</v>
      </c>
      <c r="G415" s="2">
        <v>750.0</v>
      </c>
      <c r="H415" s="2" t="b">
        <v>1</v>
      </c>
      <c r="I415" s="2">
        <v>-1.0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s">
        <v>33</v>
      </c>
      <c r="O415" s="2">
        <v>52.0</v>
      </c>
      <c r="P415" s="2">
        <v>22.0</v>
      </c>
      <c r="Q415" s="2">
        <v>15.0</v>
      </c>
      <c r="R415" s="2">
        <v>0.0</v>
      </c>
      <c r="S415" s="3" t="s">
        <v>1719</v>
      </c>
      <c r="T415" s="2" t="s">
        <v>1720</v>
      </c>
      <c r="Y415" s="4" t="str">
        <f>IFERROR(__xludf.DUMMYFUNCTION("""COMPUTED_VALUE"""),"6.6117188")</f>
        <v>6.6117188</v>
      </c>
      <c r="Z415" s="4" t="str">
        <f>IFERROR(__xludf.DUMMYFUNCTION("""COMPUTED_VALUE"""),"3.0576199")</f>
        <v>3.0576199</v>
      </c>
      <c r="AA415" s="4" t="str">
        <f t="shared" si="1"/>
        <v>Neighbor</v>
      </c>
      <c r="AC415" s="4">
        <f>IFERROR(__xludf.DUMMYFUNCTION("IFERROR(ABS(O415-AVERAGE(FILTER(O415:O4483,AA415:AA4483=""Neighbor""))) / STDEV(FILTER(O415:O4483, AA415:AA4483 =""Neighbor"")), """")"),0.34018070846427034)</f>
        <v>0.3401807085</v>
      </c>
      <c r="AD415" s="4">
        <f>IFERROR(__xludf.DUMMYFUNCTION("IFERROR(ABS(P415-AVERAGE(FILTER(O415:P4483,AA415:AA4483=""Neighbor""))) / STDEV(FILTER(P415:P4483, AA415:AA4483 =""Neighbor"")), """")"),0.7567198951676755)</f>
        <v>0.7567198952</v>
      </c>
      <c r="AE415" s="2">
        <f>IFERROR(__xludf.DUMMYFUNCTION("IFERROR(ABS(Q415-AVERAGE(FILTER(Q415:Q4483,AA415:AA4483=""Neighbor""))) / STDEV(FILTER(Q415:Q4483, AA415:AA4483 =""Neighbor"")), """")"),0.42578579567249747)</f>
        <v>0.4257857957</v>
      </c>
      <c r="AF415" s="2">
        <f>IFERROR(__xludf.DUMMYFUNCTION("IFERROR(ABS(R415-AVERAGE(FILTER(R415:R4483,AA415:AA4483=""Neighbor""))) / STDEV(FILTER(R415:R4483, AA415:AA4483 =""Neighbor"")), """")"),0.10098421137877217)</f>
        <v>0.1009842114</v>
      </c>
    </row>
    <row r="416">
      <c r="A416" s="2" t="s">
        <v>28</v>
      </c>
      <c r="B416" s="2" t="s">
        <v>1711</v>
      </c>
      <c r="C416" s="2" t="s">
        <v>1712</v>
      </c>
      <c r="D416" s="2" t="s">
        <v>1721</v>
      </c>
      <c r="E416" s="2" t="s">
        <v>1722</v>
      </c>
      <c r="F416" s="2">
        <v>171.0</v>
      </c>
      <c r="G416" s="2">
        <v>853.0</v>
      </c>
      <c r="H416" s="2" t="b">
        <v>1</v>
      </c>
      <c r="I416" s="2">
        <v>-1.0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s">
        <v>33</v>
      </c>
      <c r="O416" s="2">
        <v>105.0</v>
      </c>
      <c r="P416" s="2">
        <v>3.0</v>
      </c>
      <c r="Q416" s="2">
        <v>55.0</v>
      </c>
      <c r="R416" s="2">
        <v>0.0</v>
      </c>
      <c r="S416" s="3" t="s">
        <v>1723</v>
      </c>
      <c r="T416" s="2" t="s">
        <v>1724</v>
      </c>
      <c r="Y416" s="4" t="str">
        <f>IFERROR(__xludf.DUMMYFUNCTION("""COMPUTED_VALUE"""),"6.6117188")</f>
        <v>6.6117188</v>
      </c>
      <c r="Z416" s="4" t="str">
        <f>IFERROR(__xludf.DUMMYFUNCTION("""COMPUTED_VALUE"""),"3.0576199")</f>
        <v>3.0576199</v>
      </c>
      <c r="AA416" s="4" t="str">
        <f t="shared" si="1"/>
        <v>Not Neighbor</v>
      </c>
      <c r="AC416" s="4">
        <f>IFERROR(__xludf.DUMMYFUNCTION("IFERROR(ABS(O416-AVERAGE(FILTER(O416:O4484,AA416:AA4484=""Neighbor""))) / STDEV(FILTER(O416:O4484, AA416:AA4484 =""Neighbor"")), """")"),0.8659919922345803)</f>
        <v>0.8659919922</v>
      </c>
      <c r="AD416" s="4">
        <f>IFERROR(__xludf.DUMMYFUNCTION("IFERROR(ABS(P416-AVERAGE(FILTER(O416:P4484,AA416:AA4484=""Neighbor""))) / STDEV(FILTER(P416:P4484, AA416:AA4484 =""Neighbor"")), """")"),1.4812094871884345)</f>
        <v>1.481209487</v>
      </c>
      <c r="AE416" s="2">
        <f>IFERROR(__xludf.DUMMYFUNCTION("IFERROR(ABS(Q416-AVERAGE(FILTER(Q416:Q4484,AA416:AA4484=""Neighbor""))) / STDEV(FILTER(Q416:Q4484, AA416:AA4484 =""Neighbor"")), """")"),1.2371151448595479)</f>
        <v>1.237115145</v>
      </c>
      <c r="AF416" s="2">
        <f>IFERROR(__xludf.DUMMYFUNCTION("IFERROR(ABS(R416-AVERAGE(FILTER(R416:R4484,AA416:AA4484=""Neighbor""))) / STDEV(FILTER(R416:R4484, AA416:AA4484 =""Neighbor"")), """")"),0.10101750092077909)</f>
        <v>0.1010175009</v>
      </c>
    </row>
    <row r="417">
      <c r="A417" s="2" t="s">
        <v>28</v>
      </c>
      <c r="B417" s="2" t="s">
        <v>1711</v>
      </c>
      <c r="C417" s="2" t="s">
        <v>1712</v>
      </c>
      <c r="D417" s="2" t="s">
        <v>1725</v>
      </c>
      <c r="E417" s="2" t="s">
        <v>1726</v>
      </c>
      <c r="F417" s="2">
        <v>129.0</v>
      </c>
      <c r="G417" s="2">
        <v>1223.0</v>
      </c>
      <c r="H417" s="2" t="b">
        <v>1</v>
      </c>
      <c r="I417" s="2">
        <v>-1.0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s">
        <v>33</v>
      </c>
      <c r="O417" s="2">
        <v>73.0</v>
      </c>
      <c r="P417" s="2">
        <v>30.0</v>
      </c>
      <c r="Q417" s="2">
        <v>19.0</v>
      </c>
      <c r="R417" s="2">
        <v>0.0</v>
      </c>
      <c r="S417" s="3" t="s">
        <v>1727</v>
      </c>
      <c r="T417" s="2" t="s">
        <v>1728</v>
      </c>
      <c r="Y417" s="4" t="str">
        <f>IFERROR(__xludf.DUMMYFUNCTION("""COMPUTED_VALUE"""),"6.6869561")</f>
        <v>6.6869561</v>
      </c>
      <c r="Z417" s="4" t="str">
        <f>IFERROR(__xludf.DUMMYFUNCTION("""COMPUTED_VALUE"""),"3.2333896")</f>
        <v>3.2333896</v>
      </c>
      <c r="AA417" s="4" t="str">
        <f t="shared" si="1"/>
        <v>Neighbor</v>
      </c>
      <c r="AC417" s="4">
        <f>IFERROR(__xludf.DUMMYFUNCTION("IFERROR(ABS(O417-AVERAGE(FILTER(O417:O4485,AA417:AA4485=""Neighbor""))) / STDEV(FILTER(O417:O4485, AA417:AA4485 =""Neighbor"")), """")"),0.1376619832467934)</f>
        <v>0.1376619832</v>
      </c>
      <c r="AD417" s="4">
        <f>IFERROR(__xludf.DUMMYFUNCTION("IFERROR(ABS(P417-AVERAGE(FILTER(O417:P4485,AA417:AA4485=""Neighbor""))) / STDEV(FILTER(P417:P4485, AA417:AA4485 =""Neighbor"")), """")"),0.4515057819639936)</f>
        <v>0.451505782</v>
      </c>
      <c r="AE417" s="2">
        <f>IFERROR(__xludf.DUMMYFUNCTION("IFERROR(ABS(Q417-AVERAGE(FILTER(Q417:Q4485,AA417:AA4485=""Neighbor""))) / STDEV(FILTER(Q417:Q4485, AA417:AA4485 =""Neighbor"")), """")"),0.25964346174958053)</f>
        <v>0.2596434617</v>
      </c>
      <c r="AF417" s="2">
        <f>IFERROR(__xludf.DUMMYFUNCTION("IFERROR(ABS(R417-AVERAGE(FILTER(R417:R4485,AA417:AA4485=""Neighbor""))) / STDEV(FILTER(R417:R4485, AA417:AA4485 =""Neighbor"")), """")"),0.10101750092077909)</f>
        <v>0.1010175009</v>
      </c>
    </row>
    <row r="418">
      <c r="A418" s="2" t="s">
        <v>28</v>
      </c>
      <c r="B418" s="2" t="s">
        <v>1711</v>
      </c>
      <c r="C418" s="2" t="s">
        <v>1712</v>
      </c>
      <c r="D418" s="2" t="s">
        <v>1729</v>
      </c>
      <c r="E418" s="2" t="s">
        <v>1730</v>
      </c>
      <c r="F418" s="2">
        <v>103.0</v>
      </c>
      <c r="G418" s="2">
        <v>750.0</v>
      </c>
      <c r="H418" s="2" t="b">
        <v>1</v>
      </c>
      <c r="I418" s="2">
        <v>-1.0</v>
      </c>
      <c r="J418" s="2" t="b">
        <v>0</v>
      </c>
      <c r="K418" s="2" t="b">
        <v>1</v>
      </c>
      <c r="L418" s="2" t="b">
        <v>0</v>
      </c>
      <c r="M418" s="2" t="b">
        <v>0</v>
      </c>
      <c r="N418" s="2" t="s">
        <v>33</v>
      </c>
      <c r="O418" s="2">
        <v>68.0</v>
      </c>
      <c r="P418" s="2">
        <v>13.0</v>
      </c>
      <c r="Q418" s="2">
        <v>14.0</v>
      </c>
      <c r="R418" s="2">
        <v>0.0</v>
      </c>
      <c r="S418" s="3" t="s">
        <v>1731</v>
      </c>
      <c r="T418" s="2" t="s">
        <v>1732</v>
      </c>
      <c r="Y418" s="4" t="str">
        <f>IFERROR(__xludf.DUMMYFUNCTION("""COMPUTED_VALUE"""),"6.6869561")</f>
        <v>6.6869561</v>
      </c>
      <c r="Z418" s="4" t="str">
        <f>IFERROR(__xludf.DUMMYFUNCTION("""COMPUTED_VALUE"""),"3.2333896")</f>
        <v>3.2333896</v>
      </c>
      <c r="AA418" s="4" t="str">
        <f t="shared" si="1"/>
        <v>Not Neighbor</v>
      </c>
      <c r="AC418" s="4">
        <f>IFERROR(__xludf.DUMMYFUNCTION("IFERROR(ABS(O418-AVERAGE(FILTER(O418:O4486,AA418:AA4486=""Neighbor""))) / STDEV(FILTER(O418:O4486, AA418:AA4486 =""Neighbor"")), """")"),0.023942714665764257)</f>
        <v>0.02394271467</v>
      </c>
      <c r="AD418" s="4">
        <f>IFERROR(__xludf.DUMMYFUNCTION("IFERROR(ABS(P418-AVERAGE(FILTER(O418:P4486,AA418:AA4486=""Neighbor""))) / STDEV(FILTER(P418:P4486, AA418:AA4486 =""Neighbor"")), """")"),1.099329654881626)</f>
        <v>1.099329655</v>
      </c>
      <c r="AE418" s="2">
        <f>IFERROR(__xludf.DUMMYFUNCTION("IFERROR(ABS(Q418-AVERAGE(FILTER(Q418:Q4486,AA418:AA4486=""Neighbor""))) / STDEV(FILTER(Q418:Q4486, AA418:AA4486 =""Neighbor"")), """")"),0.4675537437562304)</f>
        <v>0.4675537438</v>
      </c>
      <c r="AF418" s="2">
        <f>IFERROR(__xludf.DUMMYFUNCTION("IFERROR(ABS(R418-AVERAGE(FILTER(R418:R4486,AA418:AA4486=""Neighbor""))) / STDEV(FILTER(R418:R4486, AA418:AA4486 =""Neighbor"")), """")"),0.10105082340656402)</f>
        <v>0.1010508234</v>
      </c>
    </row>
    <row r="419">
      <c r="A419" s="2" t="s">
        <v>28</v>
      </c>
      <c r="B419" s="2" t="s">
        <v>1711</v>
      </c>
      <c r="C419" s="2" t="s">
        <v>1712</v>
      </c>
      <c r="D419" s="2" t="s">
        <v>1733</v>
      </c>
      <c r="E419" s="2" t="s">
        <v>1734</v>
      </c>
      <c r="F419" s="2">
        <v>137.0</v>
      </c>
      <c r="G419" s="2">
        <v>781.0</v>
      </c>
      <c r="H419" s="2" t="b">
        <v>1</v>
      </c>
      <c r="I419" s="2">
        <v>-1.0</v>
      </c>
      <c r="J419" s="2" t="b">
        <v>0</v>
      </c>
      <c r="K419" s="2" t="b">
        <v>0</v>
      </c>
      <c r="L419" s="2" t="b">
        <v>0</v>
      </c>
      <c r="M419" s="2" t="b">
        <v>0</v>
      </c>
      <c r="N419" s="2" t="s">
        <v>33</v>
      </c>
      <c r="O419" s="2">
        <v>84.0</v>
      </c>
      <c r="P419" s="2">
        <v>10.0</v>
      </c>
      <c r="Q419" s="2">
        <v>41.0</v>
      </c>
      <c r="R419" s="2">
        <v>0.0</v>
      </c>
      <c r="S419" s="3" t="s">
        <v>1735</v>
      </c>
      <c r="T419" s="2" t="s">
        <v>1736</v>
      </c>
      <c r="Y419" s="4" t="str">
        <f>IFERROR(__xludf.DUMMYFUNCTION("""COMPUTED_VALUE"""),"6.7218415")</f>
        <v>6.7218415</v>
      </c>
      <c r="Z419" s="4" t="str">
        <f>IFERROR(__xludf.DUMMYFUNCTION("""COMPUTED_VALUE"""),"3.1632621")</f>
        <v>3.1632621</v>
      </c>
      <c r="AA419" s="4" t="str">
        <f t="shared" si="1"/>
        <v>Not Neighbor</v>
      </c>
      <c r="AC419" s="4">
        <f>IFERROR(__xludf.DUMMYFUNCTION("IFERROR(ABS(O419-AVERAGE(FILTER(O419:O4487,AA419:AA4487=""Neighbor""))) / STDEV(FILTER(O419:O4487, AA419:AA4487 =""Neighbor"")), """")"),0.38799094759614255)</f>
        <v>0.3879909476</v>
      </c>
      <c r="AD419" s="4">
        <f>IFERROR(__xludf.DUMMYFUNCTION("IFERROR(ABS(P419-AVERAGE(FILTER(O419:P4487,AA419:AA4487=""Neighbor""))) / STDEV(FILTER(P419:P4487, AA419:AA4487 =""Neighbor"")), """")"),1.2137133678957863)</f>
        <v>1.213713368</v>
      </c>
      <c r="AE419" s="2">
        <f>IFERROR(__xludf.DUMMYFUNCTION("IFERROR(ABS(Q419-AVERAGE(FILTER(Q419:Q4487,AA419:AA4487=""Neighbor""))) / STDEV(FILTER(Q419:Q4487, AA419:AA4487 =""Neighbor"")), """")"),0.6546730387996859)</f>
        <v>0.6546730388</v>
      </c>
      <c r="AF419" s="2">
        <f>IFERROR(__xludf.DUMMYFUNCTION("IFERROR(ABS(R419-AVERAGE(FILTER(R419:R4487,AA419:AA4487=""Neighbor""))) / STDEV(FILTER(R419:R4487, AA419:AA4487 =""Neighbor"")), """")"),0.10105082340656402)</f>
        <v>0.1010508234</v>
      </c>
    </row>
    <row r="420">
      <c r="A420" s="2" t="s">
        <v>28</v>
      </c>
      <c r="B420" s="2" t="s">
        <v>1711</v>
      </c>
      <c r="C420" s="2" t="s">
        <v>1712</v>
      </c>
      <c r="D420" s="2" t="s">
        <v>1737</v>
      </c>
      <c r="E420" s="2" t="s">
        <v>1738</v>
      </c>
      <c r="F420" s="2">
        <v>142.0</v>
      </c>
      <c r="G420" s="2">
        <v>801.0</v>
      </c>
      <c r="H420" s="2" t="b">
        <v>1</v>
      </c>
      <c r="I420" s="2">
        <v>-1.0</v>
      </c>
      <c r="J420" s="2" t="b">
        <v>0</v>
      </c>
      <c r="K420" s="2" t="b">
        <v>0</v>
      </c>
      <c r="L420" s="2" t="b">
        <v>0</v>
      </c>
      <c r="M420" s="2" t="b">
        <v>0</v>
      </c>
      <c r="N420" s="2" t="s">
        <v>33</v>
      </c>
      <c r="O420" s="2">
        <v>84.0</v>
      </c>
      <c r="P420" s="2">
        <v>16.0</v>
      </c>
      <c r="Q420" s="2">
        <v>27.0</v>
      </c>
      <c r="R420" s="2">
        <v>1.0</v>
      </c>
      <c r="S420" s="3" t="s">
        <v>1739</v>
      </c>
      <c r="T420" s="2" t="s">
        <v>1740</v>
      </c>
      <c r="Y420" s="4" t="str">
        <f>IFERROR(__xludf.DUMMYFUNCTION("""COMPUTED_VALUE"""),"6.6926435")</f>
        <v>6.6926435</v>
      </c>
      <c r="Z420" s="4" t="str">
        <f>IFERROR(__xludf.DUMMYFUNCTION("""COMPUTED_VALUE"""),"3.236561")</f>
        <v>3.236561</v>
      </c>
      <c r="AA420" s="4" t="str">
        <f t="shared" si="1"/>
        <v>Neighbor</v>
      </c>
      <c r="AC420" s="4">
        <f>IFERROR(__xludf.DUMMYFUNCTION("IFERROR(ABS(O420-AVERAGE(FILTER(O420:O4488,AA420:AA4488=""Neighbor""))) / STDEV(FILTER(O420:O4488, AA420:AA4488 =""Neighbor"")), """")"),0.38799094759614255)</f>
        <v>0.3879909476</v>
      </c>
      <c r="AD420" s="4">
        <f>IFERROR(__xludf.DUMMYFUNCTION("IFERROR(ABS(P420-AVERAGE(FILTER(O420:P4488,AA420:AA4488=""Neighbor""))) / STDEV(FILTER(P420:P4488, AA420:AA4488 =""Neighbor"")), """")"),0.9849459418674659)</f>
        <v>0.9849459419</v>
      </c>
      <c r="AE420" s="2">
        <f>IFERROR(__xludf.DUMMYFUNCTION("IFERROR(ABS(Q420-AVERAGE(FILTER(Q420:Q4488,AA420:AA4488=""Neighbor""))) / STDEV(FILTER(Q420:Q4488, AA420:AA4488 =""Neighbor"")), """")"),0.07277767006698857)</f>
        <v>0.07277767007</v>
      </c>
      <c r="AF420" s="2">
        <f>IFERROR(__xludf.DUMMYFUNCTION("IFERROR(ABS(R420-AVERAGE(FILTER(R420:R4488,AA420:AA4488=""Neighbor""))) / STDEV(FILTER(R420:R4488, AA420:AA4488 =""Neighbor"")), """")"),0.08703647563485077)</f>
        <v>0.08703647563</v>
      </c>
    </row>
    <row r="421">
      <c r="A421" s="2" t="s">
        <v>28</v>
      </c>
      <c r="B421" s="2" t="s">
        <v>1711</v>
      </c>
      <c r="C421" s="2" t="s">
        <v>1712</v>
      </c>
      <c r="D421" s="2" t="s">
        <v>1741</v>
      </c>
      <c r="E421" s="2" t="s">
        <v>1742</v>
      </c>
      <c r="F421" s="2">
        <v>57.0</v>
      </c>
      <c r="G421" s="2">
        <v>544.0</v>
      </c>
      <c r="H421" s="2" t="b">
        <v>1</v>
      </c>
      <c r="I421" s="2">
        <v>-1.0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s">
        <v>33</v>
      </c>
      <c r="O421" s="2">
        <v>39.0</v>
      </c>
      <c r="P421" s="2">
        <v>3.0</v>
      </c>
      <c r="Q421" s="2">
        <v>9.0</v>
      </c>
      <c r="R421" s="2">
        <v>0.0</v>
      </c>
      <c r="S421" s="3" t="s">
        <v>1743</v>
      </c>
      <c r="T421" s="2" t="s">
        <v>1744</v>
      </c>
      <c r="Y421" s="4" t="str">
        <f>IFERROR(__xludf.DUMMYFUNCTION("""COMPUTED_VALUE"""),"6.6872982")</f>
        <v>6.6872982</v>
      </c>
      <c r="Z421" s="4" t="str">
        <f>IFERROR(__xludf.DUMMYFUNCTION("""COMPUTED_VALUE"""),"3.2328981")</f>
        <v>3.2328981</v>
      </c>
      <c r="AA421" s="4" t="str">
        <f t="shared" si="1"/>
        <v>Not Neighbor</v>
      </c>
      <c r="AC421" s="4">
        <f>IFERROR(__xludf.DUMMYFUNCTION("IFERROR(ABS(O421-AVERAGE(FILTER(O421:O4489,AA421:AA4489=""Neighbor""))) / STDEV(FILTER(O421:O4489, AA421:AA4489 =""Neighbor"")), """")"),0.6354643605591639)</f>
        <v>0.6354643606</v>
      </c>
      <c r="AD421" s="4">
        <f>IFERROR(__xludf.DUMMYFUNCTION("IFERROR(ABS(P421-AVERAGE(FILTER(O421:P4489,AA421:AA4489=""Neighbor""))) / STDEV(FILTER(P421:P4489, AA421:AA4489 =""Neighbor"")), """")"),1.4799212083872908)</f>
        <v>1.479921208</v>
      </c>
      <c r="AE421" s="2">
        <f>IFERROR(__xludf.DUMMYFUNCTION("IFERROR(ABS(Q421-AVERAGE(FILTER(Q421:Q4489,AA421:AA4489=""Neighbor""))) / STDEV(FILTER(Q421:Q4489, AA421:AA4489 =""Neighbor"")), """")"),0.6751062149635857)</f>
        <v>0.675106215</v>
      </c>
      <c r="AF421" s="2">
        <f>IFERROR(__xludf.DUMMYFUNCTION("IFERROR(ABS(R421-AVERAGE(FILTER(R421:R4489,AA421:AA4489=""Neighbor""))) / STDEV(FILTER(R421:R4489, AA421:AA4489 =""Neighbor"")), """")"),0.10096111835339802)</f>
        <v>0.1009611184</v>
      </c>
    </row>
    <row r="422">
      <c r="A422" s="2" t="s">
        <v>28</v>
      </c>
      <c r="B422" s="2" t="s">
        <v>1711</v>
      </c>
      <c r="C422" s="2" t="s">
        <v>1712</v>
      </c>
      <c r="D422" s="2" t="s">
        <v>1745</v>
      </c>
      <c r="E422" s="2" t="s">
        <v>1746</v>
      </c>
      <c r="F422" s="2">
        <v>134.0</v>
      </c>
      <c r="G422" s="2">
        <v>1351.0</v>
      </c>
      <c r="H422" s="2" t="b">
        <v>1</v>
      </c>
      <c r="I422" s="2">
        <v>-1.0</v>
      </c>
      <c r="J422" s="2" t="b">
        <v>0</v>
      </c>
      <c r="K422" s="2" t="b">
        <v>1</v>
      </c>
      <c r="L422" s="2" t="b">
        <v>0</v>
      </c>
      <c r="M422" s="2" t="b">
        <v>0</v>
      </c>
      <c r="N422" s="2" t="s">
        <v>33</v>
      </c>
      <c r="O422" s="2">
        <v>92.0</v>
      </c>
      <c r="P422" s="2">
        <v>10.0</v>
      </c>
      <c r="Q422" s="2">
        <v>25.0</v>
      </c>
      <c r="R422" s="2">
        <v>0.0</v>
      </c>
      <c r="S422" s="3" t="s">
        <v>1747</v>
      </c>
      <c r="T422" s="2" t="s">
        <v>1748</v>
      </c>
      <c r="Y422" s="4" t="str">
        <f>IFERROR(__xludf.DUMMYFUNCTION("""COMPUTED_VALUE"""),"6.6442016")</f>
        <v>6.6442016</v>
      </c>
      <c r="Z422" s="4" t="str">
        <f>IFERROR(__xludf.DUMMYFUNCTION("""COMPUTED_VALUE"""),"3.1979419")</f>
        <v>3.1979419</v>
      </c>
      <c r="AA422" s="4" t="str">
        <f t="shared" si="1"/>
        <v>Not Neighbor</v>
      </c>
      <c r="AC422" s="4">
        <f>IFERROR(__xludf.DUMMYFUNCTION("IFERROR(ABS(O422-AVERAGE(FILTER(O422:O4490,AA422:AA4490=""Neighbor""))) / STDEV(FILTER(O422:O4490, AA422:AA4490 =""Neighbor"")), """")"),0.570110388045143)</f>
        <v>0.570110388</v>
      </c>
      <c r="AD422" s="4">
        <f>IFERROR(__xludf.DUMMYFUNCTION("IFERROR(ABS(P422-AVERAGE(FILTER(O422:P4490,AA422:AA4490=""Neighbor""))) / STDEV(FILTER(P422:P4490, AA422:AA4490 =""Neighbor"")), """")"),1.2131131046702566)</f>
        <v>1.213113105</v>
      </c>
      <c r="AE422" s="2">
        <f>IFERROR(__xludf.DUMMYFUNCTION("IFERROR(ABS(Q422-AVERAGE(FILTER(Q422:Q4490,AA422:AA4490=""Neighbor""))) / STDEV(FILTER(Q422:Q4490, AA422:AA4490 =""Neighbor"")), """")"),0.010299289758531576)</f>
        <v>0.01029928976</v>
      </c>
      <c r="AF422" s="2">
        <f>IFERROR(__xludf.DUMMYFUNCTION("IFERROR(ABS(R422-AVERAGE(FILTER(R422:R4490,AA422:AA4490=""Neighbor""))) / STDEV(FILTER(R422:R4490, AA422:AA4490 =""Neighbor"")), """")"),0.10096111835339802)</f>
        <v>0.1009611184</v>
      </c>
    </row>
    <row r="423">
      <c r="A423" s="2" t="s">
        <v>28</v>
      </c>
      <c r="B423" s="2" t="s">
        <v>1711</v>
      </c>
      <c r="C423" s="2" t="s">
        <v>1712</v>
      </c>
      <c r="D423" s="2" t="s">
        <v>1749</v>
      </c>
      <c r="E423" s="2" t="s">
        <v>1750</v>
      </c>
      <c r="F423" s="2">
        <v>256.0</v>
      </c>
      <c r="G423" s="2">
        <v>1682.0</v>
      </c>
      <c r="H423" s="2" t="b">
        <v>1</v>
      </c>
      <c r="I423" s="2">
        <v>-1.0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s">
        <v>33</v>
      </c>
      <c r="O423" s="2">
        <v>164.0</v>
      </c>
      <c r="P423" s="2">
        <v>64.0</v>
      </c>
      <c r="Q423" s="2">
        <v>16.0</v>
      </c>
      <c r="R423" s="2">
        <v>0.0</v>
      </c>
      <c r="S423" s="3" t="s">
        <v>1751</v>
      </c>
      <c r="T423" s="2" t="s">
        <v>1752</v>
      </c>
      <c r="Y423" s="4" t="str">
        <f>IFERROR(__xludf.DUMMYFUNCTION("""COMPUTED_VALUE"""),"6.6837259")</f>
        <v>6.6837259</v>
      </c>
      <c r="Z423" s="4" t="str">
        <f>IFERROR(__xludf.DUMMYFUNCTION("""COMPUTED_VALUE"""),"3.2335888")</f>
        <v>3.2335888</v>
      </c>
      <c r="AA423" s="4" t="str">
        <f t="shared" si="1"/>
        <v>Not Neighbor</v>
      </c>
      <c r="AC423" s="4">
        <f>IFERROR(__xludf.DUMMYFUNCTION("IFERROR(ABS(O423-AVERAGE(FILTER(O423:O4491,AA423:AA4491=""Neighbor""))) / STDEV(FILTER(O423:O4491, AA423:AA4491 =""Neighbor"")), """")"),2.207872310677409)</f>
        <v>2.207872311</v>
      </c>
      <c r="AD423" s="4">
        <f>IFERROR(__xludf.DUMMYFUNCTION("IFERROR(ABS(P423-AVERAGE(FILTER(O423:P4491,AA423:AA4491=""Neighbor""))) / STDEV(FILTER(P423:P4491, AA423:AA4491 =""Neighbor"")), """")"),0.8451208382897221)</f>
        <v>0.8451208383</v>
      </c>
      <c r="AE423" s="2">
        <f>IFERROR(__xludf.DUMMYFUNCTION("IFERROR(ABS(Q423-AVERAGE(FILTER(Q423:Q4491,AA423:AA4491=""Neighbor""))) / STDEV(FILTER(Q423:Q4491, AA423:AA4491 =""Neighbor"")), """")"),0.3842531851863745)</f>
        <v>0.3842531852</v>
      </c>
      <c r="AF423" s="2">
        <f>IFERROR(__xludf.DUMMYFUNCTION("IFERROR(ABS(R423-AVERAGE(FILTER(R423:R4491,AA423:AA4491=""Neighbor""))) / STDEV(FILTER(R423:R4491, AA423:AA4491 =""Neighbor"")), """")"),0.10096111835339802)</f>
        <v>0.1009611184</v>
      </c>
    </row>
    <row r="424">
      <c r="A424" s="2" t="s">
        <v>28</v>
      </c>
      <c r="B424" s="2" t="s">
        <v>1711</v>
      </c>
      <c r="C424" s="2" t="s">
        <v>1712</v>
      </c>
      <c r="D424" s="2" t="s">
        <v>1753</v>
      </c>
      <c r="E424" s="2" t="s">
        <v>1754</v>
      </c>
      <c r="F424" s="2">
        <v>159.0</v>
      </c>
      <c r="G424" s="2">
        <v>595.0</v>
      </c>
      <c r="H424" s="2" t="b">
        <v>1</v>
      </c>
      <c r="I424" s="2">
        <v>-1.0</v>
      </c>
      <c r="J424" s="2" t="b">
        <v>0</v>
      </c>
      <c r="K424" s="2" t="b">
        <v>1</v>
      </c>
      <c r="L424" s="2" t="b">
        <v>0</v>
      </c>
      <c r="M424" s="2" t="b">
        <v>0</v>
      </c>
      <c r="N424" s="2" t="s">
        <v>33</v>
      </c>
      <c r="O424" s="2">
        <v>119.0</v>
      </c>
      <c r="P424" s="2">
        <v>5.0</v>
      </c>
      <c r="Q424" s="2">
        <v>15.0</v>
      </c>
      <c r="R424" s="2">
        <v>0.0</v>
      </c>
      <c r="S424" s="3" t="s">
        <v>1755</v>
      </c>
      <c r="T424" s="2" t="s">
        <v>1756</v>
      </c>
      <c r="Y424" s="4" t="str">
        <f>IFERROR(__xludf.DUMMYFUNCTION("""COMPUTED_VALUE"""),"6.6117188")</f>
        <v>6.6117188</v>
      </c>
      <c r="Z424" s="4" t="str">
        <f>IFERROR(__xludf.DUMMYFUNCTION("""COMPUTED_VALUE"""),"3.0576199")</f>
        <v>3.0576199</v>
      </c>
      <c r="AA424" s="4" t="str">
        <f t="shared" si="1"/>
        <v>Not Neighbor</v>
      </c>
      <c r="AC424" s="4">
        <f>IFERROR(__xludf.DUMMYFUNCTION("IFERROR(ABS(O424-AVERAGE(FILTER(O424:O4492,AA424:AA4492=""Neighbor""))) / STDEV(FILTER(O424:O4492, AA424:AA4492 =""Neighbor"")), """")"),1.1842711090322429)</f>
        <v>1.184271109</v>
      </c>
      <c r="AD424" s="4">
        <f>IFERROR(__xludf.DUMMYFUNCTION("IFERROR(ABS(P424-AVERAGE(FILTER(O424:P4492,AA424:AA4492=""Neighbor""))) / STDEV(FILTER(P424:P4492, AA424:AA4492 =""Neighbor"")), """")"),1.4036903216109953)</f>
        <v>1.403690322</v>
      </c>
      <c r="AE424" s="2">
        <f>IFERROR(__xludf.DUMMYFUNCTION("IFERROR(ABS(Q424-AVERAGE(FILTER(Q424:Q4492,AA424:AA4492=""Neighbor""))) / STDEV(FILTER(Q424:Q4492, AA424:AA4492 =""Neighbor"")), """")"),0.42580361801169037)</f>
        <v>0.425803618</v>
      </c>
      <c r="AF424" s="2">
        <f>IFERROR(__xludf.DUMMYFUNCTION("IFERROR(ABS(R424-AVERAGE(FILTER(R424:R4492,AA424:AA4492=""Neighbor""))) / STDEV(FILTER(R424:R4492, AA424:AA4492 =""Neighbor"")), """")"),0.10096111835339802)</f>
        <v>0.1009611184</v>
      </c>
    </row>
    <row r="425">
      <c r="A425" s="2" t="s">
        <v>28</v>
      </c>
      <c r="B425" s="2" t="s">
        <v>1711</v>
      </c>
      <c r="C425" s="2" t="s">
        <v>1712</v>
      </c>
      <c r="D425" s="2" t="s">
        <v>1757</v>
      </c>
      <c r="E425" s="2" t="s">
        <v>1758</v>
      </c>
      <c r="F425" s="2">
        <v>157.0</v>
      </c>
      <c r="G425" s="2">
        <v>754.0</v>
      </c>
      <c r="H425" s="2" t="b">
        <v>1</v>
      </c>
      <c r="I425" s="2">
        <v>-1.0</v>
      </c>
      <c r="J425" s="2" t="b">
        <v>0</v>
      </c>
      <c r="K425" s="2" t="b">
        <v>0</v>
      </c>
      <c r="L425" s="2" t="b">
        <v>0</v>
      </c>
      <c r="M425" s="2" t="b">
        <v>0</v>
      </c>
      <c r="N425" s="2" t="s">
        <v>33</v>
      </c>
      <c r="O425" s="2">
        <v>85.0</v>
      </c>
      <c r="P425" s="2">
        <v>10.0</v>
      </c>
      <c r="Q425" s="2">
        <v>2.0</v>
      </c>
      <c r="R425" s="2">
        <v>0.0</v>
      </c>
      <c r="S425" s="3" t="s">
        <v>1759</v>
      </c>
      <c r="T425" s="2" t="s">
        <v>1760</v>
      </c>
      <c r="Y425" s="4" t="str">
        <f>IFERROR(__xludf.DUMMYFUNCTION("""COMPUTED_VALUE"""),"6.7660286")</f>
        <v>6.7660286</v>
      </c>
      <c r="Z425" s="4" t="str">
        <f>IFERROR(__xludf.DUMMYFUNCTION("""COMPUTED_VALUE"""),"3.2691396")</f>
        <v>3.2691396</v>
      </c>
      <c r="AA425" s="4" t="str">
        <f t="shared" si="1"/>
        <v>Not Neighbor</v>
      </c>
      <c r="AC425" s="4">
        <f>IFERROR(__xludf.DUMMYFUNCTION("IFERROR(ABS(O425-AVERAGE(FILTER(O425:O4493,AA425:AA4493=""Neighbor""))) / STDEV(FILTER(O425:O4493, AA425:AA4493 =""Neighbor"")), """")"),0.410883534455895)</f>
        <v>0.4108835345</v>
      </c>
      <c r="AD425" s="4">
        <f>IFERROR(__xludf.DUMMYFUNCTION("IFERROR(ABS(P425-AVERAGE(FILTER(O425:P4493,AA425:AA4493=""Neighbor""))) / STDEV(FILTER(P425:P4493, AA425:AA4493 =""Neighbor"")), """")"),1.2131131046702566)</f>
        <v>1.213113105</v>
      </c>
      <c r="AE425" s="2">
        <f>IFERROR(__xludf.DUMMYFUNCTION("IFERROR(ABS(Q425-AVERAGE(FILTER(Q425:Q4493,AA425:AA4493=""Neighbor""))) / STDEV(FILTER(Q425:Q4493, AA425:AA4493 =""Neighbor"")), """")"),0.9659592447407969)</f>
        <v>0.9659592447</v>
      </c>
      <c r="AF425" s="2">
        <f>IFERROR(__xludf.DUMMYFUNCTION("IFERROR(ABS(R425-AVERAGE(FILTER(R425:R4493,AA425:AA4493=""Neighbor""))) / STDEV(FILTER(R425:R4493, AA425:AA4493 =""Neighbor"")), """")"),0.10096111835339802)</f>
        <v>0.1009611184</v>
      </c>
    </row>
    <row r="426">
      <c r="A426" s="2" t="s">
        <v>28</v>
      </c>
      <c r="B426" s="2" t="s">
        <v>1711</v>
      </c>
      <c r="C426" s="2" t="s">
        <v>1712</v>
      </c>
      <c r="D426" s="2" t="s">
        <v>1761</v>
      </c>
      <c r="E426" s="2" t="s">
        <v>1762</v>
      </c>
      <c r="F426" s="2">
        <v>73.0</v>
      </c>
      <c r="G426" s="2">
        <v>574.0</v>
      </c>
      <c r="H426" s="2" t="b">
        <v>1</v>
      </c>
      <c r="I426" s="2">
        <v>-1.0</v>
      </c>
      <c r="J426" s="2" t="b">
        <v>0</v>
      </c>
      <c r="K426" s="2" t="b">
        <v>0</v>
      </c>
      <c r="L426" s="2" t="b">
        <v>0</v>
      </c>
      <c r="M426" s="2" t="b">
        <v>0</v>
      </c>
      <c r="N426" s="2" t="s">
        <v>33</v>
      </c>
      <c r="O426" s="2">
        <v>40.0</v>
      </c>
      <c r="P426" s="2">
        <v>8.0</v>
      </c>
      <c r="Q426" s="2">
        <v>20.0</v>
      </c>
      <c r="R426" s="2">
        <v>0.0</v>
      </c>
      <c r="S426" s="3" t="s">
        <v>1763</v>
      </c>
      <c r="T426" s="2" t="s">
        <v>1764</v>
      </c>
      <c r="Y426" s="4" t="str">
        <f>IFERROR(__xludf.DUMMYFUNCTION("""COMPUTED_VALUE"""),"6.6117188")</f>
        <v>6.6117188</v>
      </c>
      <c r="Z426" s="4" t="str">
        <f>IFERROR(__xludf.DUMMYFUNCTION("""COMPUTED_VALUE"""),"3.0576199")</f>
        <v>3.0576199</v>
      </c>
      <c r="AA426" s="4" t="str">
        <f t="shared" si="1"/>
        <v>Not Neighbor</v>
      </c>
      <c r="AC426" s="4">
        <f>IFERROR(__xludf.DUMMYFUNCTION("IFERROR(ABS(O426-AVERAGE(FILTER(O426:O4494,AA426:AA4494=""Neighbor""))) / STDEV(FILTER(O426:O4494, AA426:AA4494 =""Neighbor"")), """")"),0.6127176671892712)</f>
        <v>0.6127176672</v>
      </c>
      <c r="AD426" s="4">
        <f>IFERROR(__xludf.DUMMYFUNCTION("IFERROR(ABS(P426-AVERAGE(FILTER(O426:P4494,AA426:AA4494=""Neighbor""))) / STDEV(FILTER(P426:P4494, AA426:AA4494 =""Neighbor"")), """")"),1.2893439914465519)</f>
        <v>1.289343991</v>
      </c>
      <c r="AE426" s="2">
        <f>IFERROR(__xludf.DUMMYFUNCTION("IFERROR(ABS(Q426-AVERAGE(FILTER(Q426:Q4494,AA426:AA4494=""Neighbor""))) / STDEV(FILTER(Q426:Q4494, AA426:AA4494 =""Neighbor"")), """")"),0.218051453885111)</f>
        <v>0.2180514539</v>
      </c>
      <c r="AF426" s="2">
        <f>IFERROR(__xludf.DUMMYFUNCTION("IFERROR(ABS(R426-AVERAGE(FILTER(R426:R4494,AA426:AA4494=""Neighbor""))) / STDEV(FILTER(R426:R4494, AA426:AA4494 =""Neighbor"")), """")"),0.10096111835339802)</f>
        <v>0.1009611184</v>
      </c>
    </row>
    <row r="427">
      <c r="A427" s="2" t="s">
        <v>28</v>
      </c>
      <c r="B427" s="2" t="s">
        <v>1711</v>
      </c>
      <c r="C427" s="2" t="s">
        <v>1712</v>
      </c>
      <c r="D427" s="2" t="s">
        <v>1765</v>
      </c>
      <c r="E427" s="2" t="s">
        <v>1766</v>
      </c>
      <c r="F427" s="2">
        <v>297.0</v>
      </c>
      <c r="G427" s="2">
        <v>1834.0</v>
      </c>
      <c r="H427" s="2" t="b">
        <v>1</v>
      </c>
      <c r="I427" s="2">
        <v>-1.0</v>
      </c>
      <c r="J427" s="2" t="b">
        <v>0</v>
      </c>
      <c r="K427" s="2" t="b">
        <v>0</v>
      </c>
      <c r="L427" s="2" t="b">
        <v>0</v>
      </c>
      <c r="M427" s="2" t="b">
        <v>0</v>
      </c>
      <c r="N427" s="2" t="s">
        <v>33</v>
      </c>
      <c r="O427" s="2">
        <v>133.0</v>
      </c>
      <c r="P427" s="2">
        <v>132.0</v>
      </c>
      <c r="Q427" s="2">
        <v>20.0</v>
      </c>
      <c r="R427" s="2">
        <v>0.0</v>
      </c>
      <c r="S427" s="3" t="s">
        <v>1767</v>
      </c>
      <c r="T427" s="2" t="s">
        <v>1768</v>
      </c>
      <c r="Y427" s="4" t="str">
        <f>IFERROR(__xludf.DUMMYFUNCTION("""COMPUTED_VALUE"""),"6.6926435")</f>
        <v>6.6926435</v>
      </c>
      <c r="Z427" s="4" t="str">
        <f>IFERROR(__xludf.DUMMYFUNCTION("""COMPUTED_VALUE"""),"3.236561")</f>
        <v>3.236561</v>
      </c>
      <c r="AA427" s="4" t="str">
        <f t="shared" si="1"/>
        <v>Neighbor</v>
      </c>
      <c r="AC427" s="4">
        <f>IFERROR(__xludf.DUMMYFUNCTION("IFERROR(ABS(O427-AVERAGE(FILTER(O427:O4495,AA427:AA4495=""Neighbor""))) / STDEV(FILTER(O427:O4495, AA427:AA4495 =""Neighbor"")), """")"),1.502724816210739)</f>
        <v>1.502724816</v>
      </c>
      <c r="AD427" s="4">
        <f>IFERROR(__xludf.DUMMYFUNCTION("IFERROR(ABS(P427-AVERAGE(FILTER(O427:P4495,AA427:AA4495=""Neighbor""))) / STDEV(FILTER(P427:P4495, AA427:AA4495 =""Neighbor"")), """")"),3.4369709886837687)</f>
        <v>3.436970989</v>
      </c>
      <c r="AE427" s="2">
        <f>IFERROR(__xludf.DUMMYFUNCTION("IFERROR(ABS(Q427-AVERAGE(FILTER(Q427:Q4495,AA427:AA4495=""Neighbor""))) / STDEV(FILTER(Q427:Q4495, AA427:AA4495 =""Neighbor"")), """")"),0.218051453885111)</f>
        <v>0.2180514539</v>
      </c>
      <c r="AF427" s="2">
        <f>IFERROR(__xludf.DUMMYFUNCTION("IFERROR(ABS(R427-AVERAGE(FILTER(R427:R4495,AA427:AA4495=""Neighbor""))) / STDEV(FILTER(R427:R4495, AA427:AA4495 =""Neighbor"")), """")"),0.10096111835339802)</f>
        <v>0.1009611184</v>
      </c>
    </row>
    <row r="428">
      <c r="A428" s="2" t="s">
        <v>28</v>
      </c>
      <c r="B428" s="2" t="s">
        <v>1711</v>
      </c>
      <c r="C428" s="2" t="s">
        <v>1769</v>
      </c>
      <c r="D428" s="2" t="s">
        <v>1770</v>
      </c>
      <c r="E428" s="2" t="s">
        <v>1771</v>
      </c>
      <c r="F428" s="2">
        <v>128.0</v>
      </c>
      <c r="G428" s="2">
        <v>761.0</v>
      </c>
      <c r="H428" s="2" t="b">
        <v>1</v>
      </c>
      <c r="I428" s="2">
        <v>-1.0</v>
      </c>
      <c r="J428" s="2" t="b">
        <v>0</v>
      </c>
      <c r="K428" s="2" t="b">
        <v>1</v>
      </c>
      <c r="L428" s="2" t="b">
        <v>0</v>
      </c>
      <c r="M428" s="2" t="b">
        <v>0</v>
      </c>
      <c r="N428" s="2" t="s">
        <v>33</v>
      </c>
      <c r="O428" s="2">
        <v>82.0</v>
      </c>
      <c r="P428" s="2">
        <v>11.0</v>
      </c>
      <c r="Q428" s="2">
        <v>29.0</v>
      </c>
      <c r="R428" s="2">
        <v>0.0</v>
      </c>
      <c r="S428" s="3" t="s">
        <v>1772</v>
      </c>
      <c r="T428" s="2" t="s">
        <v>1773</v>
      </c>
      <c r="Y428" s="4" t="str">
        <f>IFERROR(__xludf.DUMMYFUNCTION("""COMPUTED_VALUE"""),"6.6888843")</f>
        <v>6.6888843</v>
      </c>
      <c r="Z428" s="4" t="str">
        <f>IFERROR(__xludf.DUMMYFUNCTION("""COMPUTED_VALUE"""),"3.2295277")</f>
        <v>3.2295277</v>
      </c>
      <c r="AA428" s="4" t="str">
        <f t="shared" si="1"/>
        <v>Neighbor</v>
      </c>
      <c r="AC428" s="4">
        <f>IFERROR(__xludf.DUMMYFUNCTION("IFERROR(ABS(O428-AVERAGE(FILTER(O428:O4496,AA428:AA4496=""Neighbor""))) / STDEV(FILTER(O428:O4496, AA428:AA4496 =""Neighbor"")), """")"),0.3437687338782572)</f>
        <v>0.3437687339</v>
      </c>
      <c r="AD428" s="4">
        <f>IFERROR(__xludf.DUMMYFUNCTION("IFERROR(ABS(P428-AVERAGE(FILTER(O428:P4496,AA428:AA4496=""Neighbor""))) / STDEV(FILTER(P428:P4496, AA428:AA4496 =""Neighbor"")), """")"),1.179834700175907)</f>
        <v>1.1798347</v>
      </c>
      <c r="AE428" s="2">
        <f>IFERROR(__xludf.DUMMYFUNCTION("IFERROR(ABS(Q428-AVERAGE(FILTER(Q428:Q4496,AA428:AA4496=""Neighbor""))) / STDEV(FILTER(Q428:Q4496, AA428:AA4496 =""Neighbor"")), """")"),0.15571118508880727)</f>
        <v>0.1557111851</v>
      </c>
      <c r="AF428" s="2">
        <f>IFERROR(__xludf.DUMMYFUNCTION("IFERROR(ABS(R428-AVERAGE(FILTER(R428:R4496,AA428:AA4496=""Neighbor""))) / STDEV(FILTER(R428:R4496, AA428:AA4496 =""Neighbor"")), """")"),0.10099446542031963)</f>
        <v>0.1009944654</v>
      </c>
    </row>
    <row r="429">
      <c r="A429" s="2" t="s">
        <v>28</v>
      </c>
      <c r="B429" s="2" t="s">
        <v>1711</v>
      </c>
      <c r="C429" s="2" t="s">
        <v>1769</v>
      </c>
      <c r="D429" s="2" t="s">
        <v>1774</v>
      </c>
      <c r="E429" s="2" t="s">
        <v>1775</v>
      </c>
      <c r="F429" s="2">
        <v>214.0</v>
      </c>
      <c r="G429" s="2">
        <v>1307.0</v>
      </c>
      <c r="H429" s="2" t="b">
        <v>1</v>
      </c>
      <c r="I429" s="2">
        <v>-1.0</v>
      </c>
      <c r="J429" s="2" t="b">
        <v>0</v>
      </c>
      <c r="K429" s="2" t="b">
        <v>0</v>
      </c>
      <c r="L429" s="2" t="b">
        <v>0</v>
      </c>
      <c r="M429" s="2" t="b">
        <v>0</v>
      </c>
      <c r="N429" s="2" t="s">
        <v>33</v>
      </c>
      <c r="O429" s="2">
        <v>119.0</v>
      </c>
      <c r="P429" s="2">
        <v>32.0</v>
      </c>
      <c r="Q429" s="2">
        <v>48.0</v>
      </c>
      <c r="R429" s="2">
        <v>0.0</v>
      </c>
      <c r="S429" s="3" t="s">
        <v>1776</v>
      </c>
      <c r="T429" s="2" t="s">
        <v>1777</v>
      </c>
      <c r="Y429" s="4" t="str">
        <f>IFERROR(__xludf.DUMMYFUNCTION("""COMPUTED_VALUE"""),"6.690738")</f>
        <v>6.690738</v>
      </c>
      <c r="Z429" s="4" t="str">
        <f>IFERROR(__xludf.DUMMYFUNCTION("""COMPUTED_VALUE"""),"3.2231727")</f>
        <v>3.2231727</v>
      </c>
      <c r="AA429" s="4" t="str">
        <f t="shared" si="1"/>
        <v>Neighbor</v>
      </c>
      <c r="AC429" s="4">
        <f>IFERROR(__xludf.DUMMYFUNCTION("IFERROR(ABS(O429-AVERAGE(FILTER(O429:O4497,AA429:AA4497=""Neighbor""))) / STDEV(FILTER(O429:O4497, AA429:AA4497 =""Neighbor"")), """")"),1.1856263831228895)</f>
        <v>1.185626383</v>
      </c>
      <c r="AD429" s="4">
        <f>IFERROR(__xludf.DUMMYFUNCTION("IFERROR(ABS(P429-AVERAGE(FILTER(O429:P4497,AA429:AA4497=""Neighbor""))) / STDEV(FILTER(P429:P4497, AA429:AA4497 =""Neighbor"")), """")"),0.37432952123426033)</f>
        <v>0.3743295212</v>
      </c>
      <c r="AE429" s="2">
        <f>IFERROR(__xludf.DUMMYFUNCTION("IFERROR(ABS(Q429-AVERAGE(FILTER(Q429:Q4497,AA429:AA4497=""Neighbor""))) / STDEV(FILTER(Q429:Q4497, AA429:AA4497 =""Neighbor"")), """")"),0.9447233108484676)</f>
        <v>0.9447233108</v>
      </c>
      <c r="AF429" s="2">
        <f>IFERROR(__xludf.DUMMYFUNCTION("IFERROR(ABS(R429-AVERAGE(FILTER(R429:R4497,AA429:AA4497=""Neighbor""))) / STDEV(FILTER(R429:R4497, AA429:AA4497 =""Neighbor"")), """")"),0.10102784555257688)</f>
        <v>0.1010278456</v>
      </c>
    </row>
    <row r="430">
      <c r="A430" s="2" t="s">
        <v>28</v>
      </c>
      <c r="B430" s="2" t="s">
        <v>1711</v>
      </c>
      <c r="C430" s="2" t="s">
        <v>1769</v>
      </c>
      <c r="D430" s="2" t="s">
        <v>1778</v>
      </c>
      <c r="E430" s="2" t="s">
        <v>1779</v>
      </c>
      <c r="F430" s="2">
        <v>274.0</v>
      </c>
      <c r="G430" s="2">
        <v>2118.0</v>
      </c>
      <c r="H430" s="2" t="b">
        <v>1</v>
      </c>
      <c r="I430" s="2">
        <v>-1.0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s">
        <v>33</v>
      </c>
      <c r="O430" s="2">
        <v>132.0</v>
      </c>
      <c r="P430" s="2">
        <v>68.0</v>
      </c>
      <c r="Q430" s="2">
        <v>33.0</v>
      </c>
      <c r="R430" s="2">
        <v>9.0</v>
      </c>
      <c r="S430" s="3" t="s">
        <v>1780</v>
      </c>
      <c r="T430" s="2" t="s">
        <v>1781</v>
      </c>
      <c r="Y430" s="4" t="str">
        <f>IFERROR(__xludf.DUMMYFUNCTION("""COMPUTED_VALUE"""),"6.6957161")</f>
        <v>6.6957161</v>
      </c>
      <c r="Z430" s="4" t="str">
        <f>IFERROR(__xludf.DUMMYFUNCTION("""COMPUTED_VALUE"""),"3.2197891")</f>
        <v>3.2197891</v>
      </c>
      <c r="AA430" s="4" t="str">
        <f t="shared" si="1"/>
        <v>Neighbor</v>
      </c>
      <c r="AC430" s="4">
        <f>IFERROR(__xludf.DUMMYFUNCTION("IFERROR(ABS(O430-AVERAGE(FILTER(O430:O4498,AA430:AA4498=""Neighbor""))) / STDEV(FILTER(O430:O4498, AA430:AA4498 =""Neighbor"")), """")"),1.48234460249794)</f>
        <v>1.482344602</v>
      </c>
      <c r="AD430" s="4">
        <f>IFERROR(__xludf.DUMMYFUNCTION("IFERROR(ABS(P430-AVERAGE(FILTER(O430:P4498,AA430:AA4498=""Neighbor""))) / STDEV(FILTER(P430:P4498, AA430:AA4498 =""Neighbor"")), """")"),1.0063333919255713)</f>
        <v>1.006333392</v>
      </c>
      <c r="AE430" s="2">
        <f>IFERROR(__xludf.DUMMYFUNCTION("IFERROR(ABS(Q430-AVERAGE(FILTER(Q430:Q4498,AA430:AA4498=""Neighbor""))) / STDEV(FILTER(Q430:Q4498, AA430:AA4498 =""Neighbor"")), """")"),0.3224679784163772)</f>
        <v>0.3224679784</v>
      </c>
      <c r="AF430" s="2">
        <f>IFERROR(__xludf.DUMMYFUNCTION("IFERROR(ABS(R430-AVERAGE(FILTER(R430:R4498,AA430:AA4498=""Neighbor""))) / STDEV(FILTER(R430:R4498, AA430:AA4498 =""Neighbor"")), """")"),1.5895298842229282)</f>
        <v>1.589529884</v>
      </c>
    </row>
    <row r="431">
      <c r="A431" s="2" t="s">
        <v>28</v>
      </c>
      <c r="B431" s="2" t="s">
        <v>1711</v>
      </c>
      <c r="C431" s="2" t="s">
        <v>1769</v>
      </c>
      <c r="D431" s="2" t="s">
        <v>1782</v>
      </c>
      <c r="E431" s="2" t="s">
        <v>1783</v>
      </c>
      <c r="F431" s="2">
        <v>476.0</v>
      </c>
      <c r="G431" s="2">
        <v>3314.0</v>
      </c>
      <c r="H431" s="2" t="b">
        <v>1</v>
      </c>
      <c r="I431" s="2">
        <v>-1.0</v>
      </c>
      <c r="J431" s="2" t="b">
        <v>0</v>
      </c>
      <c r="K431" s="2" t="b">
        <v>0</v>
      </c>
      <c r="L431" s="2" t="b">
        <v>0</v>
      </c>
      <c r="M431" s="2" t="b">
        <v>0</v>
      </c>
      <c r="N431" s="2" t="s">
        <v>33</v>
      </c>
      <c r="O431" s="2">
        <v>176.0</v>
      </c>
      <c r="P431" s="2">
        <v>194.0</v>
      </c>
      <c r="Q431" s="2">
        <v>78.0</v>
      </c>
      <c r="R431" s="2">
        <v>7.0</v>
      </c>
      <c r="S431" s="3" t="s">
        <v>1784</v>
      </c>
      <c r="T431" s="2" t="s">
        <v>1785</v>
      </c>
      <c r="Y431" s="4" t="str">
        <f>IFERROR(__xludf.DUMMYFUNCTION("""COMPUTED_VALUE"""),"6.6884409")</f>
        <v>6.6884409</v>
      </c>
      <c r="Z431" s="4" t="str">
        <f>IFERROR(__xludf.DUMMYFUNCTION("""COMPUTED_VALUE"""),"3.2235846")</f>
        <v>3.2235846</v>
      </c>
      <c r="AA431" s="4" t="str">
        <f t="shared" si="1"/>
        <v>Neighbor</v>
      </c>
      <c r="AC431" s="4">
        <f>IFERROR(__xludf.DUMMYFUNCTION("IFERROR(ABS(O431-AVERAGE(FILTER(O431:O4499,AA431:AA4499=""Neighbor""))) / STDEV(FILTER(O431:O4499, AA431:AA4499 =""Neighbor"")), """")"),2.4854062498281113)</f>
        <v>2.48540625</v>
      </c>
      <c r="AD431" s="4">
        <f>IFERROR(__xludf.DUMMYFUNCTION("IFERROR(ABS(P431-AVERAGE(FILTER(O431:P4499,AA431:AA4499=""Neighbor""))) / STDEV(FILTER(P431:P4499, AA431:AA4499 =""Neighbor"")), """")"),5.842390424644945)</f>
        <v>5.842390425</v>
      </c>
      <c r="AE431" s="2">
        <f>IFERROR(__xludf.DUMMYFUNCTION("IFERROR(ABS(Q431-AVERAGE(FILTER(Q431:Q4499,AA431:AA4499=""Neighbor""))) / STDEV(FILTER(Q431:Q4499, AA431:AA4499 =""Neighbor"")), """")"),2.190559466321399)</f>
        <v>2.190559466</v>
      </c>
      <c r="AF431" s="2">
        <f>IFERROR(__xludf.DUMMYFUNCTION("IFERROR(ABS(R431-AVERAGE(FILTER(R431:R4499,AA431:AA4499=""Neighbor""))) / STDEV(FILTER(R431:R4499, AA431:AA4499 =""Neighbor"")), """")"),1.2154948781682402)</f>
        <v>1.215494878</v>
      </c>
    </row>
    <row r="432">
      <c r="A432" s="2" t="s">
        <v>28</v>
      </c>
      <c r="B432" s="2" t="s">
        <v>1711</v>
      </c>
      <c r="C432" s="2" t="s">
        <v>1769</v>
      </c>
      <c r="D432" s="2" t="s">
        <v>1786</v>
      </c>
      <c r="E432" s="2" t="s">
        <v>1787</v>
      </c>
      <c r="F432" s="2">
        <v>168.0</v>
      </c>
      <c r="G432" s="2">
        <v>1044.0</v>
      </c>
      <c r="H432" s="2" t="b">
        <v>1</v>
      </c>
      <c r="I432" s="2">
        <v>-1.0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s">
        <v>33</v>
      </c>
      <c r="O432" s="2">
        <v>67.0</v>
      </c>
      <c r="P432" s="2">
        <v>47.0</v>
      </c>
      <c r="Q432" s="2">
        <v>31.0</v>
      </c>
      <c r="R432" s="2">
        <v>2.0</v>
      </c>
      <c r="S432" s="3" t="s">
        <v>1788</v>
      </c>
      <c r="T432" s="2" t="s">
        <v>1789</v>
      </c>
      <c r="Y432" s="4" t="str">
        <f>IFERROR(__xludf.DUMMYFUNCTION("""COMPUTED_VALUE"""),"6.6875695")</f>
        <v>6.6875695</v>
      </c>
      <c r="Z432" s="4" t="str">
        <f>IFERROR(__xludf.DUMMYFUNCTION("""COMPUTED_VALUE"""),"3.2235755")</f>
        <v>3.2235755</v>
      </c>
      <c r="AA432" s="4" t="str">
        <f t="shared" si="1"/>
        <v>Neighbor</v>
      </c>
      <c r="AC432" s="4">
        <f>IFERROR(__xludf.DUMMYFUNCTION("IFERROR(ABS(O432-AVERAGE(FILTER(O432:O4500,AA432:AA4500=""Neighbor""))) / STDEV(FILTER(O432:O4500, AA432:AA4500 =""Neighbor"")), """")"),0.006044177744439755)</f>
        <v>0.006044177744</v>
      </c>
      <c r="AD432" s="4">
        <f>IFERROR(__xludf.DUMMYFUNCTION("IFERROR(ABS(P432-AVERAGE(FILTER(O432:P4500,AA432:AA4500=""Neighbor""))) / STDEV(FILTER(P432:P4500, AA432:AA4500 =""Neighbor"")), """")"),0.20989893342023694)</f>
        <v>0.2098989334</v>
      </c>
      <c r="AE432" s="2">
        <f>IFERROR(__xludf.DUMMYFUNCTION("IFERROR(ABS(Q432-AVERAGE(FILTER(Q432:Q4500,AA432:AA4500=""Neighbor""))) / STDEV(FILTER(Q432:Q4500, AA432:AA4500 =""Neighbor"")), """")"),0.2413022517961233)</f>
        <v>0.2413022518</v>
      </c>
      <c r="AF432" s="2">
        <f>IFERROR(__xludf.DUMMYFUNCTION("IFERROR(ABS(R432-AVERAGE(FILTER(R432:R4500,AA432:AA4500=""Neighbor""))) / STDEV(FILTER(R432:R4500, AA432:AA4500 =""Neighbor"")), """")"),0.2766473218202794)</f>
        <v>0.2766473218</v>
      </c>
    </row>
    <row r="433">
      <c r="A433" s="2" t="s">
        <v>28</v>
      </c>
      <c r="B433" s="2" t="s">
        <v>1711</v>
      </c>
      <c r="C433" s="2" t="s">
        <v>1769</v>
      </c>
      <c r="D433" s="2" t="s">
        <v>1790</v>
      </c>
      <c r="E433" s="2" t="s">
        <v>1791</v>
      </c>
      <c r="F433" s="2">
        <v>230.0</v>
      </c>
      <c r="G433" s="2">
        <v>1607.0</v>
      </c>
      <c r="H433" s="2" t="b">
        <v>1</v>
      </c>
      <c r="I433" s="2">
        <v>-1.0</v>
      </c>
      <c r="J433" s="2" t="b">
        <v>1</v>
      </c>
      <c r="K433" s="2" t="b">
        <v>0</v>
      </c>
      <c r="L433" s="2" t="b">
        <v>0</v>
      </c>
      <c r="M433" s="2" t="b">
        <v>0</v>
      </c>
      <c r="N433" s="2" t="s">
        <v>33</v>
      </c>
      <c r="O433" s="2">
        <v>110.0</v>
      </c>
      <c r="P433" s="2">
        <v>77.0</v>
      </c>
      <c r="Q433" s="2">
        <v>19.0</v>
      </c>
      <c r="R433" s="2">
        <v>1.0</v>
      </c>
      <c r="S433" s="3" t="s">
        <v>1792</v>
      </c>
      <c r="T433" s="2" t="s">
        <v>1793</v>
      </c>
      <c r="Y433" s="4" t="str">
        <f>IFERROR(__xludf.DUMMYFUNCTION("""COMPUTED_VALUE"""),"6.6846873")</f>
        <v>6.6846873</v>
      </c>
      <c r="Z433" s="4" t="str">
        <f>IFERROR(__xludf.DUMMYFUNCTION("""COMPUTED_VALUE"""),"3.2150416")</f>
        <v>3.2150416</v>
      </c>
      <c r="AA433" s="4" t="str">
        <f t="shared" si="1"/>
        <v>Neighbor</v>
      </c>
      <c r="AC433" s="4">
        <f>IFERROR(__xludf.DUMMYFUNCTION("IFERROR(ABS(O433-AVERAGE(FILTER(O433:O4501,AA433:AA4501=""Neighbor""))) / STDEV(FILTER(O433:O4501, AA433:AA4501 =""Neighbor"")), """")"),0.9861377550474525)</f>
        <v>0.986137755</v>
      </c>
      <c r="AD433" s="4">
        <f>IFERROR(__xludf.DUMMYFUNCTION("IFERROR(ABS(P433-AVERAGE(FILTER(O433:P4501,AA433:AA4501=""Neighbor""))) / STDEV(FILTER(P433:P4501, AA433:AA4501 =""Neighbor"")), """")"),1.3788706394243246)</f>
        <v>1.378870639</v>
      </c>
      <c r="AE433" s="2">
        <f>IFERROR(__xludf.DUMMYFUNCTION("IFERROR(ABS(Q433-AVERAGE(FILTER(Q433:Q4501,AA433:AA4501=""Neighbor""))) / STDEV(FILTER(Q433:Q4501, AA433:AA4501 =""Neighbor"")), """")"),0.2572092483843796)</f>
        <v>0.2572092484</v>
      </c>
      <c r="AF433" s="2">
        <f>IFERROR(__xludf.DUMMYFUNCTION("IFERROR(ABS(R433-AVERAGE(FILTER(R433:R4501,AA433:AA4501=""Neighbor""))) / STDEV(FILTER(R433:R4501, AA433:AA4501 =""Neighbor"")), """")"),0.08883478402237156)</f>
        <v>0.08883478402</v>
      </c>
    </row>
    <row r="434">
      <c r="A434" s="2" t="s">
        <v>28</v>
      </c>
      <c r="B434" s="2" t="s">
        <v>1711</v>
      </c>
      <c r="C434" s="2" t="s">
        <v>1769</v>
      </c>
      <c r="D434" s="2" t="s">
        <v>1794</v>
      </c>
      <c r="E434" s="2" t="s">
        <v>1795</v>
      </c>
      <c r="F434" s="2">
        <v>177.0</v>
      </c>
      <c r="G434" s="2">
        <v>1436.0</v>
      </c>
      <c r="H434" s="2" t="b">
        <v>1</v>
      </c>
      <c r="I434" s="2">
        <v>-1.0</v>
      </c>
      <c r="J434" s="2" t="b">
        <v>0</v>
      </c>
      <c r="K434" s="2" t="b">
        <v>0</v>
      </c>
      <c r="L434" s="2" t="b">
        <v>0</v>
      </c>
      <c r="M434" s="2" t="b">
        <v>0</v>
      </c>
      <c r="N434" s="2" t="s">
        <v>33</v>
      </c>
      <c r="O434" s="2">
        <v>82.0</v>
      </c>
      <c r="P434" s="2">
        <v>70.0</v>
      </c>
      <c r="Q434" s="2">
        <v>17.0</v>
      </c>
      <c r="R434" s="2">
        <v>0.0</v>
      </c>
      <c r="S434" s="3" t="s">
        <v>1796</v>
      </c>
      <c r="T434" s="2" t="s">
        <v>1797</v>
      </c>
      <c r="Y434" s="4" t="str">
        <f>IFERROR(__xludf.DUMMYFUNCTION("""COMPUTED_VALUE"""),"6.6846873")</f>
        <v>6.6846873</v>
      </c>
      <c r="Z434" s="4" t="str">
        <f>IFERROR(__xludf.DUMMYFUNCTION("""COMPUTED_VALUE"""),"3.2150416")</f>
        <v>3.2150416</v>
      </c>
      <c r="AA434" s="4" t="str">
        <f t="shared" si="1"/>
        <v>Neighbor</v>
      </c>
      <c r="AC434" s="4">
        <f>IFERROR(__xludf.DUMMYFUNCTION("IFERROR(ABS(O434-AVERAGE(FILTER(O434:O4502,AA434:AA4502=""Neighbor""))) / STDEV(FILTER(O434:O4502, AA434:AA4502 =""Neighbor"")), """")"),0.3485834177990311)</f>
        <v>0.3485834178</v>
      </c>
      <c r="AD434" s="4">
        <f>IFERROR(__xludf.DUMMYFUNCTION("IFERROR(ABS(P434-AVERAGE(FILTER(O434:P4502,AA434:AA4502=""Neighbor""))) / STDEV(FILTER(P434:P4502, AA434:AA4502 =""Neighbor"")), """")"),1.1092024638329088)</f>
        <v>1.109202464</v>
      </c>
      <c r="AE434" s="2">
        <f>IFERROR(__xludf.DUMMYFUNCTION("IFERROR(ABS(Q434-AVERAGE(FILTER(Q434:Q4502,AA434:AA4502=""Neighbor""))) / STDEV(FILTER(Q434:Q4502, AA434:AA4502 =""Neighbor"")), """")"),0.3403729866674501)</f>
        <v>0.3403729867</v>
      </c>
      <c r="AF434" s="2">
        <f>IFERROR(__xludf.DUMMYFUNCTION("IFERROR(ABS(R434-AVERAGE(FILTER(R434:R4502,AA434:AA4502=""Neighbor""))) / STDEV(FILTER(R434:R4502, AA434:AA4502 =""Neighbor"")), """")"),0.09898481620819662)</f>
        <v>0.09898481621</v>
      </c>
    </row>
    <row r="435">
      <c r="A435" s="2" t="s">
        <v>28</v>
      </c>
      <c r="B435" s="2" t="s">
        <v>1711</v>
      </c>
      <c r="C435" s="2" t="s">
        <v>1769</v>
      </c>
      <c r="D435" s="2" t="s">
        <v>1798</v>
      </c>
      <c r="E435" s="2" t="s">
        <v>1799</v>
      </c>
      <c r="F435" s="2">
        <v>109.0</v>
      </c>
      <c r="G435" s="2">
        <v>750.0</v>
      </c>
      <c r="H435" s="2" t="b">
        <v>1</v>
      </c>
      <c r="I435" s="2">
        <v>-1.0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s">
        <v>33</v>
      </c>
      <c r="O435" s="2">
        <v>68.0</v>
      </c>
      <c r="P435" s="2">
        <v>15.0</v>
      </c>
      <c r="Q435" s="2">
        <v>17.0</v>
      </c>
      <c r="R435" s="2">
        <v>1.0</v>
      </c>
      <c r="S435" s="3" t="s">
        <v>1800</v>
      </c>
      <c r="T435" s="2" t="s">
        <v>1801</v>
      </c>
      <c r="Y435" s="4" t="str">
        <f>IFERROR(__xludf.DUMMYFUNCTION("""COMPUTED_VALUE"""),"6.690738")</f>
        <v>6.690738</v>
      </c>
      <c r="Z435" s="4" t="str">
        <f>IFERROR(__xludf.DUMMYFUNCTION("""COMPUTED_VALUE"""),"3.2231727")</f>
        <v>3.2231727</v>
      </c>
      <c r="AA435" s="4" t="str">
        <f t="shared" si="1"/>
        <v>Neighbor</v>
      </c>
      <c r="AC435" s="4">
        <f>IFERROR(__xludf.DUMMYFUNCTION("IFERROR(ABS(O435-AVERAGE(FILTER(O435:O4503,AA435:AA4503=""Neighbor""))) / STDEV(FILTER(O435:O4503, AA435:AA4503 =""Neighbor"")), """")"),0.029707247629934295)</f>
        <v>0.02970724763</v>
      </c>
      <c r="AD435" s="4">
        <f>IFERROR(__xludf.DUMMYFUNCTION("IFERROR(ABS(P435-AVERAGE(FILTER(O435:P4503,AA435:AA4503=""Neighbor""))) / STDEV(FILTER(P435:P4503, AA435:AA4503 =""Neighbor"")), """")"),1.0366263309722128)</f>
        <v>1.036626331</v>
      </c>
      <c r="AE435" s="2">
        <f>IFERROR(__xludf.DUMMYFUNCTION("IFERROR(ABS(Q435-AVERAGE(FILTER(Q435:Q4503,AA435:AA4503=""Neighbor""))) / STDEV(FILTER(Q435:Q4503, AA435:AA4503 =""Neighbor"")), """")"),0.3404977624204797)</f>
        <v>0.3404977624</v>
      </c>
      <c r="AF435" s="2">
        <f>IFERROR(__xludf.DUMMYFUNCTION("IFERROR(ABS(R435-AVERAGE(FILTER(R435:R4503,AA435:AA4503=""Neighbor""))) / STDEV(FILTER(R435:R4503, AA435:AA4503 =""Neighbor"")), """")"),0.08877018566247358)</f>
        <v>0.08877018566</v>
      </c>
    </row>
    <row r="436">
      <c r="A436" s="2" t="s">
        <v>28</v>
      </c>
      <c r="B436" s="2" t="s">
        <v>1711</v>
      </c>
      <c r="C436" s="2" t="s">
        <v>1769</v>
      </c>
      <c r="D436" s="2" t="s">
        <v>1802</v>
      </c>
      <c r="E436" s="2" t="s">
        <v>1803</v>
      </c>
      <c r="F436" s="2">
        <v>244.0</v>
      </c>
      <c r="G436" s="2">
        <v>1271.0</v>
      </c>
      <c r="H436" s="2" t="b">
        <v>1</v>
      </c>
      <c r="I436" s="2">
        <v>-1.0</v>
      </c>
      <c r="J436" s="2" t="b">
        <v>0</v>
      </c>
      <c r="K436" s="2" t="b">
        <v>1</v>
      </c>
      <c r="L436" s="2" t="b">
        <v>0</v>
      </c>
      <c r="M436" s="2" t="b">
        <v>0</v>
      </c>
      <c r="N436" s="2" t="s">
        <v>33</v>
      </c>
      <c r="O436" s="2">
        <v>154.0</v>
      </c>
      <c r="P436" s="2">
        <v>53.0</v>
      </c>
      <c r="Q436" s="2">
        <v>30.0</v>
      </c>
      <c r="R436" s="2">
        <v>0.0</v>
      </c>
      <c r="S436" s="3" t="s">
        <v>1804</v>
      </c>
      <c r="T436" s="2" t="s">
        <v>1805</v>
      </c>
      <c r="Y436" s="4" t="str">
        <f>IFERROR(__xludf.DUMMYFUNCTION("""COMPUTED_VALUE"""),"6.690738")</f>
        <v>6.690738</v>
      </c>
      <c r="Z436" s="4" t="str">
        <f>IFERROR(__xludf.DUMMYFUNCTION("""COMPUTED_VALUE"""),"3.2231727")</f>
        <v>3.2231727</v>
      </c>
      <c r="AA436" s="4" t="str">
        <f t="shared" si="1"/>
        <v>Neighbor</v>
      </c>
      <c r="AC436" s="4">
        <f>IFERROR(__xludf.DUMMYFUNCTION("IFERROR(ABS(O436-AVERAGE(FILTER(O436:O4504,AA436:AA4504=""Neighbor""))) / STDEV(FILTER(O436:O4504, AA436:AA4504 =""Neighbor"")), """")"),1.9886725924977395)</f>
        <v>1.988672592</v>
      </c>
      <c r="AD436" s="4">
        <f>IFERROR(__xludf.DUMMYFUNCTION("IFERROR(ABS(P436-AVERAGE(FILTER(O436:P4504,AA436:AA4504=""Neighbor""))) / STDEV(FILTER(P436:P4504, AA436:AA4504 =""Neighbor"")), """")"),0.44726037700010823)</f>
        <v>0.447260377</v>
      </c>
      <c r="AE436" s="2">
        <f>IFERROR(__xludf.DUMMYFUNCTION("IFERROR(ABS(Q436-AVERAGE(FILTER(Q436:Q4504,AA436:AA4504=""Neighbor""))) / STDEV(FILTER(Q436:Q4504, AA436:AA4504 =""Neighbor"")), """")"),0.19904249992818013)</f>
        <v>0.1990424999</v>
      </c>
      <c r="AF436" s="2">
        <f>IFERROR(__xludf.DUMMYFUNCTION("IFERROR(ABS(R436-AVERAGE(FILTER(R436:R4504,AA436:AA4504=""Neighbor""))) / STDEV(FILTER(R436:R4504, AA436:AA4504 =""Neighbor"")), """")"),0.09892694541052417)</f>
        <v>0.09892694541</v>
      </c>
    </row>
    <row r="437">
      <c r="A437" s="2" t="s">
        <v>28</v>
      </c>
      <c r="B437" s="2" t="s">
        <v>1711</v>
      </c>
      <c r="C437" s="2" t="s">
        <v>1769</v>
      </c>
      <c r="D437" s="2" t="s">
        <v>1806</v>
      </c>
      <c r="E437" s="2" t="s">
        <v>1807</v>
      </c>
      <c r="F437" s="2">
        <v>154.0</v>
      </c>
      <c r="G437" s="2">
        <v>750.0</v>
      </c>
      <c r="H437" s="2" t="b">
        <v>1</v>
      </c>
      <c r="I437" s="2">
        <v>-1.0</v>
      </c>
      <c r="J437" s="2" t="b">
        <v>0</v>
      </c>
      <c r="K437" s="2" t="b">
        <v>0</v>
      </c>
      <c r="L437" s="2" t="b">
        <v>0</v>
      </c>
      <c r="M437" s="2" t="b">
        <v>0</v>
      </c>
      <c r="N437" s="2" t="s">
        <v>33</v>
      </c>
      <c r="O437" s="2">
        <v>109.0</v>
      </c>
      <c r="P437" s="2">
        <v>0.0</v>
      </c>
      <c r="Q437" s="2">
        <v>40.0</v>
      </c>
      <c r="R437" s="2">
        <v>0.0</v>
      </c>
      <c r="S437" s="3" t="s">
        <v>1808</v>
      </c>
      <c r="T437" s="2" t="s">
        <v>1809</v>
      </c>
      <c r="Y437" s="4" t="str">
        <f>IFERROR(__xludf.DUMMYFUNCTION("""COMPUTED_VALUE"""),"6.690738")</f>
        <v>6.690738</v>
      </c>
      <c r="Z437" s="4" t="str">
        <f>IFERROR(__xludf.DUMMYFUNCTION("""COMPUTED_VALUE"""),"3.2231727")</f>
        <v>3.2231727</v>
      </c>
      <c r="AA437" s="4" t="str">
        <f t="shared" si="1"/>
        <v>Neighbor</v>
      </c>
      <c r="AC437" s="4">
        <f>IFERROR(__xludf.DUMMYFUNCTION("IFERROR(ABS(O437-AVERAGE(FILTER(O437:O4505,AA437:AA4505=""Neighbor""))) / STDEV(FILTER(O437:O4505, AA437:AA4505 =""Neighbor"")), """")"),0.9658882464814663)</f>
        <v>0.9658882465</v>
      </c>
      <c r="AD437" s="4">
        <f>IFERROR(__xludf.DUMMYFUNCTION("IFERROR(ABS(P437-AVERAGE(FILTER(O437:P4505,AA437:AA4505=""Neighbor""))) / STDEV(FILTER(P437:P4505, AA437:AA4505 =""Neighbor"")), """")"),1.6208634462334575)</f>
        <v>1.620863446</v>
      </c>
      <c r="AE437" s="2">
        <f>IFERROR(__xludf.DUMMYFUNCTION("IFERROR(ABS(Q437-AVERAGE(FILTER(Q437:Q4505,AA437:AA4505=""Neighbor""))) / STDEV(FILTER(Q437:Q4505, AA437:AA4505 =""Neighbor"")), """")"),0.6141063680488069)</f>
        <v>0.614106368</v>
      </c>
      <c r="AF437" s="2">
        <f>IFERROR(__xludf.DUMMYFUNCTION("IFERROR(ABS(R437-AVERAGE(FILTER(R437:R4505,AA437:AA4505=""Neighbor""))) / STDEV(FILTER(R437:R4505, AA437:AA4505 =""Neighbor"")), """")"),0.09895980078728843)</f>
        <v>0.09895980079</v>
      </c>
    </row>
    <row r="438">
      <c r="A438" s="2" t="s">
        <v>28</v>
      </c>
      <c r="B438" s="2" t="s">
        <v>1711</v>
      </c>
      <c r="C438" s="2" t="s">
        <v>1769</v>
      </c>
      <c r="D438" s="2" t="s">
        <v>1810</v>
      </c>
      <c r="E438" s="2" t="s">
        <v>1811</v>
      </c>
      <c r="F438" s="2">
        <v>294.0</v>
      </c>
      <c r="G438" s="2">
        <v>3360.0</v>
      </c>
      <c r="H438" s="2" t="b">
        <v>1</v>
      </c>
      <c r="I438" s="2">
        <v>-1.0</v>
      </c>
      <c r="J438" s="2" t="b">
        <v>0</v>
      </c>
      <c r="K438" s="2" t="b">
        <v>0</v>
      </c>
      <c r="L438" s="2" t="b">
        <v>0</v>
      </c>
      <c r="M438" s="2" t="b">
        <v>0</v>
      </c>
      <c r="N438" s="2" t="s">
        <v>33</v>
      </c>
      <c r="O438" s="2">
        <v>128.0</v>
      </c>
      <c r="P438" s="2">
        <v>88.0</v>
      </c>
      <c r="Q438" s="2">
        <v>13.0</v>
      </c>
      <c r="R438" s="2">
        <v>0.0</v>
      </c>
      <c r="S438" s="3" t="s">
        <v>1812</v>
      </c>
      <c r="T438" s="2" t="s">
        <v>1813</v>
      </c>
      <c r="Y438" s="4" t="str">
        <f>IFERROR(__xludf.DUMMYFUNCTION("""COMPUTED_VALUE"""),"6.690738")</f>
        <v>6.690738</v>
      </c>
      <c r="Z438" s="4" t="str">
        <f>IFERROR(__xludf.DUMMYFUNCTION("""COMPUTED_VALUE"""),"3.2231727")</f>
        <v>3.2231727</v>
      </c>
      <c r="AA438" s="4" t="str">
        <f t="shared" si="1"/>
        <v>Neighbor</v>
      </c>
      <c r="AC438" s="4">
        <f>IFERROR(__xludf.DUMMYFUNCTION("IFERROR(ABS(O438-AVERAGE(FILTER(O438:O4506,AA438:AA4506=""Neighbor""))) / STDEV(FILTER(O438:O4506, AA438:AA4506 =""Neighbor"")), """")"),1.3997086010103326)</f>
        <v>1.399708601</v>
      </c>
      <c r="AD438" s="4">
        <f>IFERROR(__xludf.DUMMYFUNCTION("IFERROR(ABS(P438-AVERAGE(FILTER(O438:P4506,AA438:AA4506=""Neighbor""))) / STDEV(FILTER(P438:P4506, AA438:AA4506 =""Neighbor"")), """")"),1.8158834967358242)</f>
        <v>1.815883497</v>
      </c>
      <c r="AE438" s="2">
        <f>IFERROR(__xludf.DUMMYFUNCTION("IFERROR(ABS(Q438-AVERAGE(FILTER(Q438:Q4506,AA438:AA4506=""Neighbor""))) / STDEV(FILTER(Q438:Q4506, AA438:AA4506 =""Neighbor"")), """")"),0.5058739561979797)</f>
        <v>0.5058739562</v>
      </c>
      <c r="AF438" s="2">
        <f>IFERROR(__xludf.DUMMYFUNCTION("IFERROR(ABS(R438-AVERAGE(FILTER(R438:R4506,AA438:AA4506=""Neighbor""))) / STDEV(FILTER(R438:R4506, AA438:AA4506 =""Neighbor"")), """")"),0.09899268892161397)</f>
        <v>0.09899268892</v>
      </c>
    </row>
    <row r="439">
      <c r="A439" s="2" t="s">
        <v>28</v>
      </c>
      <c r="B439" s="2" t="s">
        <v>1711</v>
      </c>
      <c r="C439" s="2" t="s">
        <v>1769</v>
      </c>
      <c r="D439" s="2" t="s">
        <v>1814</v>
      </c>
      <c r="E439" s="2" t="s">
        <v>1815</v>
      </c>
      <c r="F439" s="2">
        <v>220.0</v>
      </c>
      <c r="G439" s="2">
        <v>1342.0</v>
      </c>
      <c r="H439" s="2" t="b">
        <v>1</v>
      </c>
      <c r="I439" s="2">
        <v>-1.0</v>
      </c>
      <c r="J439" s="2" t="b">
        <v>0</v>
      </c>
      <c r="K439" s="2" t="b">
        <v>0</v>
      </c>
      <c r="L439" s="2" t="b">
        <v>0</v>
      </c>
      <c r="M439" s="2" t="b">
        <v>0</v>
      </c>
      <c r="N439" s="2" t="s">
        <v>33</v>
      </c>
      <c r="O439" s="2">
        <v>94.0</v>
      </c>
      <c r="P439" s="2">
        <v>69.0</v>
      </c>
      <c r="Q439" s="2">
        <v>39.0</v>
      </c>
      <c r="R439" s="2">
        <v>2.0</v>
      </c>
      <c r="S439" s="3" t="s">
        <v>1816</v>
      </c>
      <c r="T439" s="2" t="s">
        <v>1817</v>
      </c>
      <c r="Y439" s="4" t="str">
        <f>IFERROR(__xludf.DUMMYFUNCTION("""COMPUTED_VALUE"""),"6.6930222")</f>
        <v>6.6930222</v>
      </c>
      <c r="Z439" s="4" t="str">
        <f>IFERROR(__xludf.DUMMYFUNCTION("""COMPUTED_VALUE"""),"3.2289901")</f>
        <v>3.2289901</v>
      </c>
      <c r="AA439" s="4" t="str">
        <f t="shared" si="1"/>
        <v>Neighbor</v>
      </c>
      <c r="AC439" s="4">
        <f>IFERROR(__xludf.DUMMYFUNCTION("IFERROR(ABS(O439-AVERAGE(FILTER(O439:O4507,AA439:AA4507=""Neighbor""))) / STDEV(FILTER(O439:O4507, AA439:AA4507 =""Neighbor"")), """")"),0.6256201374817116)</f>
        <v>0.6256201375</v>
      </c>
      <c r="AD439" s="4">
        <f>IFERROR(__xludf.DUMMYFUNCTION("IFERROR(ABS(P439-AVERAGE(FILTER(O439:P4507,AA439:AA4507=""Neighbor""))) / STDEV(FILTER(P439:P4507, AA439:AA4507 =""Neighbor"")), """")"),1.0781406870761174)</f>
        <v>1.078140687</v>
      </c>
      <c r="AE439" s="2">
        <f>IFERROR(__xludf.DUMMYFUNCTION("IFERROR(ABS(Q439-AVERAGE(FILTER(Q439:Q4507,AA439:AA4507=""Neighbor""))) / STDEV(FILTER(Q439:Q4507, AA439:AA4507 =""Neighbor"")), """")"),0.5724198821945393)</f>
        <v>0.5724198822</v>
      </c>
      <c r="AF439" s="2">
        <f>IFERROR(__xludf.DUMMYFUNCTION("IFERROR(ABS(R439-AVERAGE(FILTER(R439:R4507,AA439:AA4507=""Neighbor""))) / STDEV(FILTER(R439:R4507, AA439:AA4507 =""Neighbor"")), """")"),0.2760601583460418)</f>
        <v>0.2760601583</v>
      </c>
    </row>
    <row r="440">
      <c r="A440" s="2" t="s">
        <v>28</v>
      </c>
      <c r="B440" s="2" t="s">
        <v>1711</v>
      </c>
      <c r="C440" s="2" t="s">
        <v>1818</v>
      </c>
      <c r="D440" s="2" t="s">
        <v>1819</v>
      </c>
      <c r="E440" s="2" t="s">
        <v>1820</v>
      </c>
      <c r="F440" s="2">
        <v>152.0</v>
      </c>
      <c r="G440" s="2">
        <v>1094.0</v>
      </c>
      <c r="H440" s="2" t="b">
        <v>1</v>
      </c>
      <c r="I440" s="2">
        <v>-1.0</v>
      </c>
      <c r="J440" s="2" t="b">
        <v>0</v>
      </c>
      <c r="K440" s="2" t="b">
        <v>0</v>
      </c>
      <c r="L440" s="2" t="b">
        <v>0</v>
      </c>
      <c r="M440" s="2" t="b">
        <v>0</v>
      </c>
      <c r="N440" s="2" t="s">
        <v>33</v>
      </c>
      <c r="O440" s="2">
        <v>51.0</v>
      </c>
      <c r="P440" s="2">
        <v>50.0</v>
      </c>
      <c r="Q440" s="2">
        <v>20.0</v>
      </c>
      <c r="R440" s="2">
        <v>0.0</v>
      </c>
      <c r="S440" s="3" t="s">
        <v>1821</v>
      </c>
      <c r="T440" s="2" t="s">
        <v>1822</v>
      </c>
      <c r="Y440" s="4" t="str">
        <f>IFERROR(__xludf.DUMMYFUNCTION("""COMPUTED_VALUE"""),"6.6927446")</f>
        <v>6.6927446</v>
      </c>
      <c r="Z440" s="4" t="str">
        <f>IFERROR(__xludf.DUMMYFUNCTION("""COMPUTED_VALUE"""),"3.2364854")</f>
        <v>3.2364854</v>
      </c>
      <c r="AA440" s="4" t="str">
        <f t="shared" si="1"/>
        <v>Neighbor</v>
      </c>
      <c r="AC440" s="4">
        <f>IFERROR(__xludf.DUMMYFUNCTION("IFERROR(ABS(O440-AVERAGE(FILTER(O440:O4508,AA440:AA4508=""Neighbor""))) / STDEV(FILTER(O440:O4508, AA440:AA4508 =""Neighbor"")), """")"),0.3546185542636491)</f>
        <v>0.3546185543</v>
      </c>
      <c r="AD440" s="4">
        <f>IFERROR(__xludf.DUMMYFUNCTION("IFERROR(ABS(P440-AVERAGE(FILTER(O440:P4508,AA440:AA4508=""Neighbor""))) / STDEV(FILTER(P440:P4508, AA440:AA4508 =""Neighbor"")), """")"),0.33597481525132594)</f>
        <v>0.3359748153</v>
      </c>
      <c r="AE440" s="2">
        <f>IFERROR(__xludf.DUMMYFUNCTION("IFERROR(ABS(Q440-AVERAGE(FILTER(Q440:Q4508,AA440:AA4508=""Neighbor""))) / STDEV(FILTER(Q440:Q4508, AA440:AA4508 =""Neighbor"")), """")"),0.21529170018748484)</f>
        <v>0.2152917002</v>
      </c>
      <c r="AF440" s="2">
        <f>IFERROR(__xludf.DUMMYFUNCTION("IFERROR(ABS(R440-AVERAGE(FILTER(R440:R4508,AA440:AA4508=""Neighbor""))) / STDEV(FILTER(R440:R4508, AA440:AA4508 =""Neighbor"")), """")"),0.09881339199808045)</f>
        <v>0.098813392</v>
      </c>
    </row>
    <row r="441">
      <c r="A441" s="2" t="s">
        <v>28</v>
      </c>
      <c r="B441" s="2" t="s">
        <v>1711</v>
      </c>
      <c r="C441" s="2" t="s">
        <v>1818</v>
      </c>
      <c r="D441" s="2" t="s">
        <v>1823</v>
      </c>
      <c r="E441" s="2" t="s">
        <v>1824</v>
      </c>
      <c r="F441" s="2">
        <v>163.0</v>
      </c>
      <c r="G441" s="2">
        <v>1200.0</v>
      </c>
      <c r="H441" s="2" t="b">
        <v>1</v>
      </c>
      <c r="I441" s="2">
        <v>-1.0</v>
      </c>
      <c r="J441" s="2" t="b">
        <v>0</v>
      </c>
      <c r="K441" s="2" t="b">
        <v>0</v>
      </c>
      <c r="L441" s="2" t="b">
        <v>0</v>
      </c>
      <c r="M441" s="2" t="b">
        <v>0</v>
      </c>
      <c r="N441" s="2" t="s">
        <v>33</v>
      </c>
      <c r="O441" s="2">
        <v>124.0</v>
      </c>
      <c r="P441" s="2">
        <v>14.0</v>
      </c>
      <c r="Q441" s="2">
        <v>18.0</v>
      </c>
      <c r="R441" s="2">
        <v>1.0</v>
      </c>
      <c r="S441" s="3" t="s">
        <v>1825</v>
      </c>
      <c r="T441" s="2" t="s">
        <v>1826</v>
      </c>
      <c r="Y441" s="4" t="str">
        <f>IFERROR(__xludf.DUMMYFUNCTION("""COMPUTED_VALUE"""),"6.6926435")</f>
        <v>6.6926435</v>
      </c>
      <c r="Z441" s="4" t="str">
        <f>IFERROR(__xludf.DUMMYFUNCTION("""COMPUTED_VALUE"""),"3.236561")</f>
        <v>3.236561</v>
      </c>
      <c r="AA441" s="4" t="str">
        <f t="shared" si="1"/>
        <v>Neighbor</v>
      </c>
      <c r="AC441" s="4">
        <f>IFERROR(__xludf.DUMMYFUNCTION("IFERROR(ABS(O441-AVERAGE(FILTER(O441:O4509,AA441:AA4509=""Neighbor""))) / STDEV(FILTER(O441:O4509, AA441:AA4509 =""Neighbor"")), """")"),1.3093828462048478)</f>
        <v>1.309382846</v>
      </c>
      <c r="AD441" s="4">
        <f>IFERROR(__xludf.DUMMYFUNCTION("IFERROR(ABS(P441-AVERAGE(FILTER(O441:P4509,AA441:AA4509=""Neighbor""))) / STDEV(FILTER(P441:P4509, AA441:AA4509 =""Neighbor"")), """")"),1.074420186793637)</f>
        <v>1.074420187</v>
      </c>
      <c r="AE441" s="2">
        <f>IFERROR(__xludf.DUMMYFUNCTION("IFERROR(ABS(Q441-AVERAGE(FILTER(Q441:Q4509,AA441:AA4509=""Neighbor""))) / STDEV(FILTER(Q441:Q4509, AA441:AA4509 =""Neighbor"")), """")"),0.29828326665705684)</f>
        <v>0.2982832667</v>
      </c>
      <c r="AF441" s="2">
        <f>IFERROR(__xludf.DUMMYFUNCTION("IFERROR(ABS(R441-AVERAGE(FILTER(R441:R4509,AA441:AA4509=""Neighbor""))) / STDEV(FILTER(R441:R4509, AA441:AA4509 =""Neighbor"")), """")"),0.08857815717434957)</f>
        <v>0.08857815717</v>
      </c>
    </row>
    <row r="442">
      <c r="A442" s="2" t="s">
        <v>28</v>
      </c>
      <c r="B442" s="2" t="s">
        <v>1711</v>
      </c>
      <c r="C442" s="2" t="s">
        <v>1818</v>
      </c>
      <c r="D442" s="2" t="s">
        <v>1827</v>
      </c>
      <c r="E442" s="2" t="s">
        <v>1828</v>
      </c>
      <c r="F442" s="2">
        <v>109.0</v>
      </c>
      <c r="G442" s="2">
        <v>1161.0</v>
      </c>
      <c r="H442" s="2" t="b">
        <v>1</v>
      </c>
      <c r="I442" s="2">
        <v>-1.0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s">
        <v>33</v>
      </c>
      <c r="O442" s="2">
        <v>67.0</v>
      </c>
      <c r="P442" s="2">
        <v>14.0</v>
      </c>
      <c r="Q442" s="2">
        <v>20.0</v>
      </c>
      <c r="R442" s="2">
        <v>0.0</v>
      </c>
      <c r="S442" s="3" t="s">
        <v>1829</v>
      </c>
      <c r="T442" s="2" t="s">
        <v>1830</v>
      </c>
      <c r="Y442" s="4" t="str">
        <f>IFERROR(__xludf.DUMMYFUNCTION("""COMPUTED_VALUE"""),"6.6926435")</f>
        <v>6.6926435</v>
      </c>
      <c r="Z442" s="4" t="str">
        <f>IFERROR(__xludf.DUMMYFUNCTION("""COMPUTED_VALUE"""),"3.236561")</f>
        <v>3.236561</v>
      </c>
      <c r="AA442" s="4" t="str">
        <f t="shared" si="1"/>
        <v>Neighbor</v>
      </c>
      <c r="AC442" s="4">
        <f>IFERROR(__xludf.DUMMYFUNCTION("IFERROR(ABS(O442-AVERAGE(FILTER(O442:O4510,AA442:AA4510=""Neighbor""))) / STDEV(FILTER(O442:O4510, AA442:AA4510 =""Neighbor"")), """")"),0.0108586869157812)</f>
        <v>0.01085868692</v>
      </c>
      <c r="AD442" s="4">
        <f>IFERROR(__xludf.DUMMYFUNCTION("IFERROR(ABS(P442-AVERAGE(FILTER(O442:P4510,AA442:AA4510=""Neighbor""))) / STDEV(FILTER(P442:P4510, AA442:AA4510 =""Neighbor"")), """")"),1.0733544601539633)</f>
        <v>1.07335446</v>
      </c>
      <c r="AE442" s="2">
        <f>IFERROR(__xludf.DUMMYFUNCTION("IFERROR(ABS(Q442-AVERAGE(FILTER(Q442:Q4510,AA442:AA4510=""Neighbor""))) / STDEV(FILTER(Q442:Q4510, AA442:AA4510 =""Neighbor"")), """")"),0.21549814298795752)</f>
        <v>0.215498143</v>
      </c>
      <c r="AF442" s="2">
        <f>IFERROR(__xludf.DUMMYFUNCTION("IFERROR(ABS(R442-AVERAGE(FILTER(R442:R4510,AA442:AA4510=""Neighbor""))) / STDEV(FILTER(R442:R4510, AA442:AA4510 =""Neighbor"")), """")"),0.09875541536568365)</f>
        <v>0.09875541537</v>
      </c>
    </row>
    <row r="443">
      <c r="A443" s="2" t="s">
        <v>28</v>
      </c>
      <c r="B443" s="2" t="s">
        <v>1711</v>
      </c>
      <c r="C443" s="2" t="s">
        <v>1818</v>
      </c>
      <c r="D443" s="2" t="s">
        <v>1831</v>
      </c>
      <c r="E443" s="2" t="s">
        <v>1832</v>
      </c>
      <c r="F443" s="2">
        <v>92.0</v>
      </c>
      <c r="G443" s="2">
        <v>1001.0</v>
      </c>
      <c r="H443" s="2" t="b">
        <v>1</v>
      </c>
      <c r="I443" s="2">
        <v>-1.0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s">
        <v>33</v>
      </c>
      <c r="O443" s="2">
        <v>63.0</v>
      </c>
      <c r="P443" s="2">
        <v>9.0</v>
      </c>
      <c r="Q443" s="2">
        <v>18.0</v>
      </c>
      <c r="R443" s="2">
        <v>0.0</v>
      </c>
      <c r="S443" s="3" t="s">
        <v>1833</v>
      </c>
      <c r="T443" s="2" t="s">
        <v>1834</v>
      </c>
      <c r="Y443" s="4" t="str">
        <f>IFERROR(__xludf.DUMMYFUNCTION("""COMPUTED_VALUE"""),"6.6926435")</f>
        <v>6.6926435</v>
      </c>
      <c r="Z443" s="4" t="str">
        <f>IFERROR(__xludf.DUMMYFUNCTION("""COMPUTED_VALUE"""),"3.236561")</f>
        <v>3.236561</v>
      </c>
      <c r="AA443" s="4" t="str">
        <f t="shared" si="1"/>
        <v>Neighbor</v>
      </c>
      <c r="AC443" s="4">
        <f>IFERROR(__xludf.DUMMYFUNCTION("IFERROR(ABS(O443-AVERAGE(FILTER(O443:O4511,AA443:AA4511=""Neighbor""))) / STDEV(FILTER(O443:O4511, AA443:AA4511 =""Neighbor"")), """")"),0.08031453050003713)</f>
        <v>0.0803145305</v>
      </c>
      <c r="AD443" s="4">
        <f>IFERROR(__xludf.DUMMYFUNCTION("IFERROR(ABS(P443-AVERAGE(FILTER(O443:P4511,AA443:AA4511=""Neighbor""))) / STDEV(FILTER(P443:P4511, AA443:AA4511 =""Neighbor"")), """")"),1.2688296546738376)</f>
        <v>1.268829655</v>
      </c>
      <c r="AE443" s="2">
        <f>IFERROR(__xludf.DUMMYFUNCTION("IFERROR(ABS(Q443-AVERAGE(FILTER(Q443:Q4511,AA443:AA4511=""Neighbor""))) / STDEV(FILTER(Q443:Q4511, AA443:AA4511 =""Neighbor"")), """")"),0.29843880921592686)</f>
        <v>0.2984388092</v>
      </c>
      <c r="AF443" s="2">
        <f>IFERROR(__xludf.DUMMYFUNCTION("IFERROR(ABS(R443-AVERAGE(FILTER(R443:R4511,AA443:AA4511=""Neighbor""))) / STDEV(FILTER(R443:R4511, AA443:AA4511 =""Neighbor"")), """")"),0.09878834262767959)</f>
        <v>0.09878834263</v>
      </c>
    </row>
    <row r="444">
      <c r="A444" s="2" t="s">
        <v>28</v>
      </c>
      <c r="B444" s="2" t="s">
        <v>1711</v>
      </c>
      <c r="C444" s="2" t="s">
        <v>1818</v>
      </c>
      <c r="D444" s="2" t="s">
        <v>1835</v>
      </c>
      <c r="E444" s="2" t="s">
        <v>1836</v>
      </c>
      <c r="F444" s="2">
        <v>317.0</v>
      </c>
      <c r="G444" s="2">
        <v>1737.0</v>
      </c>
      <c r="H444" s="2" t="b">
        <v>1</v>
      </c>
      <c r="I444" s="2">
        <v>-1.0</v>
      </c>
      <c r="J444" s="2" t="b">
        <v>0</v>
      </c>
      <c r="K444" s="2" t="b">
        <v>0</v>
      </c>
      <c r="L444" s="2" t="b">
        <v>0</v>
      </c>
      <c r="M444" s="2" t="b">
        <v>0</v>
      </c>
      <c r="N444" s="2" t="s">
        <v>33</v>
      </c>
      <c r="O444" s="2">
        <v>200.0</v>
      </c>
      <c r="P444" s="2">
        <v>67.0</v>
      </c>
      <c r="Q444" s="2">
        <v>35.0</v>
      </c>
      <c r="R444" s="2">
        <v>0.0</v>
      </c>
      <c r="S444" s="3" t="s">
        <v>1837</v>
      </c>
      <c r="T444" s="2" t="s">
        <v>1838</v>
      </c>
      <c r="Y444" s="4" t="str">
        <f>IFERROR(__xludf.DUMMYFUNCTION("""COMPUTED_VALUE"""),"6.6944116")</f>
        <v>6.6944116</v>
      </c>
      <c r="Z444" s="4" t="str">
        <f>IFERROR(__xludf.DUMMYFUNCTION("""COMPUTED_VALUE"""),"3.2352332")</f>
        <v>3.2352332</v>
      </c>
      <c r="AA444" s="4" t="str">
        <f t="shared" si="1"/>
        <v>Neighbor</v>
      </c>
      <c r="AC444" s="4">
        <f>IFERROR(__xludf.DUMMYFUNCTION("IFERROR(ABS(O444-AVERAGE(FILTER(O444:O4512,AA444:AA4512=""Neighbor""))) / STDEV(FILTER(O444:O4512, AA444:AA4512 =""Neighbor"")), """")"),3.041438094028533)</f>
        <v>3.041438094</v>
      </c>
      <c r="AD444" s="4">
        <f>IFERROR(__xludf.DUMMYFUNCTION("IFERROR(ABS(P444-AVERAGE(FILTER(O444:P4512,AA444:AA4512=""Neighbor""))) / STDEV(FILTER(P444:P4512, AA444:AA4512 =""Neighbor"")), """")"),1.0020505435983817)</f>
        <v>1.002050544</v>
      </c>
      <c r="AE444" s="2">
        <f>IFERROR(__xludf.DUMMYFUNCTION("IFERROR(ABS(Q444-AVERAGE(FILTER(Q444:Q4512,AA444:AA4512=""Neighbor""))) / STDEV(FILTER(Q444:Q4512, AA444:AA4512 =""Neighbor"")), """")"),0.4056042654192266)</f>
        <v>0.4056042654</v>
      </c>
      <c r="AF444" s="2">
        <f>IFERROR(__xludf.DUMMYFUNCTION("IFERROR(ABS(R444-AVERAGE(FILTER(R444:R4512,AA444:AA4512=""Neighbor""))) / STDEV(FILTER(R444:R4512, AA444:AA4512 =""Neighbor"")), """")"),0.09882130284796865)</f>
        <v>0.09882130285</v>
      </c>
    </row>
    <row r="445">
      <c r="A445" s="2" t="s">
        <v>28</v>
      </c>
      <c r="B445" s="2" t="s">
        <v>1711</v>
      </c>
      <c r="C445" s="2" t="s">
        <v>1818</v>
      </c>
      <c r="D445" s="2" t="s">
        <v>1839</v>
      </c>
      <c r="E445" s="2" t="s">
        <v>1840</v>
      </c>
      <c r="F445" s="2">
        <v>120.0</v>
      </c>
      <c r="G445" s="2">
        <v>485.0</v>
      </c>
      <c r="H445" s="2" t="b">
        <v>1</v>
      </c>
      <c r="I445" s="2">
        <v>-1.0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s">
        <v>33</v>
      </c>
      <c r="O445" s="2">
        <v>75.0</v>
      </c>
      <c r="P445" s="2">
        <v>17.0</v>
      </c>
      <c r="Q445" s="2">
        <v>14.0</v>
      </c>
      <c r="R445" s="2">
        <v>0.0</v>
      </c>
      <c r="S445" s="3" t="s">
        <v>1841</v>
      </c>
      <c r="T445" s="2" t="s">
        <v>1842</v>
      </c>
      <c r="Y445" s="4" t="str">
        <f>IFERROR(__xludf.DUMMYFUNCTION("""COMPUTED_VALUE"""),"6.693853")</f>
        <v>6.693853</v>
      </c>
      <c r="Z445" s="4" t="str">
        <f>IFERROR(__xludf.DUMMYFUNCTION("""COMPUTED_VALUE"""),"3.2354978")</f>
        <v>3.2354978</v>
      </c>
      <c r="AA445" s="4" t="str">
        <f t="shared" si="1"/>
        <v>Neighbor</v>
      </c>
      <c r="AC445" s="4">
        <f>IFERROR(__xludf.DUMMYFUNCTION("IFERROR(ABS(O445-AVERAGE(FILTER(O445:O4513,AA445:AA4513=""Neighbor""))) / STDEV(FILTER(O445:O4513, AA445:AA4513 =""Neighbor"")), """")"),0.19564777128243502)</f>
        <v>0.1956477713</v>
      </c>
      <c r="AD445" s="4">
        <f>IFERROR(__xludf.DUMMYFUNCTION("IFERROR(ABS(P445-AVERAGE(FILTER(O445:P4513,AA445:AA4513=""Neighbor""))) / STDEV(FILTER(P445:P4513, AA445:AA4513 =""Neighbor"")), """")"),0.9539375160280472)</f>
        <v>0.953937516</v>
      </c>
      <c r="AE445" s="2">
        <f>IFERROR(__xludf.DUMMYFUNCTION("IFERROR(ABS(Q445-AVERAGE(FILTER(Q445:Q4513,AA445:AA4513=""Neighbor""))) / STDEV(FILTER(Q445:Q4513, AA445:AA4513 =""Neighbor"")), """")"),0.4638319637772757)</f>
        <v>0.4638319638</v>
      </c>
      <c r="AF445" s="2">
        <f>IFERROR(__xludf.DUMMYFUNCTION("IFERROR(ABS(R445-AVERAGE(FILTER(R445:R4513,AA445:AA4513=""Neighbor""))) / STDEV(FILTER(R445:R4513, AA445:AA4513 =""Neighbor"")), """")"),0.0988542960815702)</f>
        <v>0.09885429608</v>
      </c>
    </row>
    <row r="446">
      <c r="A446" s="2" t="s">
        <v>28</v>
      </c>
      <c r="B446" s="2" t="s">
        <v>1711</v>
      </c>
      <c r="C446" s="2" t="s">
        <v>1818</v>
      </c>
      <c r="D446" s="2" t="s">
        <v>1843</v>
      </c>
      <c r="E446" s="2" t="s">
        <v>1844</v>
      </c>
      <c r="F446" s="2">
        <v>207.0</v>
      </c>
      <c r="G446" s="2">
        <v>1471.0</v>
      </c>
      <c r="H446" s="2" t="b">
        <v>1</v>
      </c>
      <c r="I446" s="2">
        <v>-1.0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s">
        <v>33</v>
      </c>
      <c r="O446" s="2">
        <v>0.0</v>
      </c>
      <c r="P446" s="2">
        <v>0.0</v>
      </c>
      <c r="Q446" s="2">
        <v>0.0</v>
      </c>
      <c r="R446" s="2">
        <v>0.0</v>
      </c>
      <c r="S446" s="3" t="s">
        <v>1845</v>
      </c>
      <c r="T446" s="2" t="s">
        <v>1846</v>
      </c>
      <c r="Y446" s="4" t="str">
        <f>IFERROR(__xludf.DUMMYFUNCTION("""COMPUTED_VALUE"""),"6.6926435")</f>
        <v>6.6926435</v>
      </c>
      <c r="Z446" s="4" t="str">
        <f>IFERROR(__xludf.DUMMYFUNCTION("""COMPUTED_VALUE"""),"3.236561")</f>
        <v>3.236561</v>
      </c>
      <c r="AA446" s="4" t="str">
        <f t="shared" si="1"/>
        <v>Neighbor</v>
      </c>
      <c r="AC446" s="4">
        <f>IFERROR(__xludf.DUMMYFUNCTION("IFERROR(ABS(O446-AVERAGE(FILTER(O446:O4514,AA446:AA4514=""Neighbor""))) / STDEV(FILTER(O446:O4514, AA446:AA4514 =""Neighbor"")), """")"),1.5174340295233728)</f>
        <v>1.51743403</v>
      </c>
      <c r="AD446" s="4">
        <f>IFERROR(__xludf.DUMMYFUNCTION("IFERROR(ABS(P446-AVERAGE(FILTER(O446:P4514,AA446:AA4514=""Neighbor""))) / STDEV(FILTER(P446:P4514, AA446:AA4514 =""Neighbor"")), """")"),1.6194613532953046)</f>
        <v>1.619461353</v>
      </c>
      <c r="AE446" s="2">
        <f>IFERROR(__xludf.DUMMYFUNCTION("IFERROR(ABS(Q446-AVERAGE(FILTER(Q446:Q4514,AA446:AA4514=""Neighbor""))) / STDEV(FILTER(Q446:Q4514, AA446:AA4514 =""Neighbor"")), """")"),1.0435961177572195)</f>
        <v>1.043596118</v>
      </c>
      <c r="AF446" s="2">
        <f>IFERROR(__xludf.DUMMYFUNCTION("IFERROR(ABS(R446-AVERAGE(FILTER(R446:R4514,AA446:AA4514=""Neighbor""))) / STDEV(FILTER(R446:R4514, AA446:AA4514 =""Neighbor"")), """")"),0.09888732238363221)</f>
        <v>0.09888732238</v>
      </c>
    </row>
    <row r="447">
      <c r="A447" s="2" t="s">
        <v>28</v>
      </c>
      <c r="B447" s="2" t="s">
        <v>1711</v>
      </c>
      <c r="C447" s="2" t="s">
        <v>1818</v>
      </c>
      <c r="D447" s="2" t="s">
        <v>1847</v>
      </c>
      <c r="E447" s="2" t="s">
        <v>1848</v>
      </c>
      <c r="F447" s="2">
        <v>153.0</v>
      </c>
      <c r="G447" s="2">
        <v>888.0</v>
      </c>
      <c r="H447" s="2" t="b">
        <v>1</v>
      </c>
      <c r="I447" s="2">
        <v>-1.0</v>
      </c>
      <c r="J447" s="2" t="b">
        <v>0</v>
      </c>
      <c r="K447" s="2" t="b">
        <v>0</v>
      </c>
      <c r="L447" s="2" t="b">
        <v>0</v>
      </c>
      <c r="M447" s="2" t="b">
        <v>0</v>
      </c>
      <c r="N447" s="2" t="s">
        <v>33</v>
      </c>
      <c r="O447" s="2">
        <v>90.0</v>
      </c>
      <c r="P447" s="2">
        <v>20.0</v>
      </c>
      <c r="Q447" s="2">
        <v>33.0</v>
      </c>
      <c r="R447" s="2">
        <v>0.0</v>
      </c>
      <c r="S447" s="3" t="s">
        <v>1849</v>
      </c>
      <c r="T447" s="2" t="s">
        <v>1850</v>
      </c>
      <c r="Y447" s="4" t="str">
        <f>IFERROR(__xludf.DUMMYFUNCTION("""COMPUTED_VALUE"""),"6.6926435")</f>
        <v>6.6926435</v>
      </c>
      <c r="Z447" s="4" t="str">
        <f>IFERROR(__xludf.DUMMYFUNCTION("""COMPUTED_VALUE"""),"3.236561")</f>
        <v>3.236561</v>
      </c>
      <c r="AA447" s="4" t="str">
        <f t="shared" si="1"/>
        <v>Not Neighbor</v>
      </c>
      <c r="AC447" s="4">
        <f>IFERROR(__xludf.DUMMYFUNCTION("IFERROR(ABS(O447-AVERAGE(FILTER(O447:O4515,AA447:AA4515=""Neighbor""))) / STDEV(FILTER(O447:O4515, AA447:AA4515 =""Neighbor"")), """")"),0.5375716962349225)</f>
        <v>0.5375716962</v>
      </c>
      <c r="AD447" s="4">
        <f>IFERROR(__xludf.DUMMYFUNCTION("IFERROR(ABS(P447-AVERAGE(FILTER(O447:P4515,AA447:AA4515=""Neighbor""))) / STDEV(FILTER(P447:P4515, AA447:AA4515 =""Neighbor"")), """")"),0.8368868769207035)</f>
        <v>0.8368868769</v>
      </c>
      <c r="AE447" s="2">
        <f>IFERROR(__xludf.DUMMYFUNCTION("IFERROR(ABS(Q447-AVERAGE(FILTER(Q447:Q4515,AA447:AA4515=""Neighbor""))) / STDEV(FILTER(Q447:Q4515, AA447:AA4515 =""Neighbor"")), """")"),0.32186912243811566)</f>
        <v>0.3218691224</v>
      </c>
      <c r="AF447" s="2">
        <f>IFERROR(__xludf.DUMMYFUNCTION("IFERROR(ABS(R447-AVERAGE(FILTER(R447:R4515,AA447:AA4515=""Neighbor""))) / STDEV(FILTER(R447:R4515, AA447:AA4515 =""Neighbor"")), """")"),0.09892038180943223)</f>
        <v>0.09892038181</v>
      </c>
    </row>
    <row r="448">
      <c r="A448" s="2" t="s">
        <v>28</v>
      </c>
      <c r="B448" s="2" t="s">
        <v>1711</v>
      </c>
      <c r="C448" s="2" t="s">
        <v>1818</v>
      </c>
      <c r="D448" s="2" t="s">
        <v>1851</v>
      </c>
      <c r="E448" s="2" t="s">
        <v>1852</v>
      </c>
      <c r="F448" s="2">
        <v>270.0</v>
      </c>
      <c r="G448" s="2">
        <v>2016.0</v>
      </c>
      <c r="H448" s="2" t="b">
        <v>1</v>
      </c>
      <c r="I448" s="2">
        <v>-1.0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s">
        <v>33</v>
      </c>
      <c r="O448" s="2">
        <v>140.0</v>
      </c>
      <c r="P448" s="2">
        <v>100.0</v>
      </c>
      <c r="Q448" s="2">
        <v>18.0</v>
      </c>
      <c r="R448" s="2">
        <v>2.0</v>
      </c>
      <c r="S448" s="3" t="s">
        <v>1853</v>
      </c>
      <c r="T448" s="2" t="s">
        <v>1854</v>
      </c>
      <c r="Y448" s="4" t="str">
        <f>IFERROR(__xludf.DUMMYFUNCTION("""COMPUTED_VALUE"""),"6.6915812")</f>
        <v>6.6915812</v>
      </c>
      <c r="Z448" s="4" t="str">
        <f>IFERROR(__xludf.DUMMYFUNCTION("""COMPUTED_VALUE"""),"3.2471698")</f>
        <v>3.2471698</v>
      </c>
      <c r="AA448" s="4" t="str">
        <f t="shared" si="1"/>
        <v>Not Neighbor</v>
      </c>
      <c r="AC448" s="4">
        <f>IFERROR(__xludf.DUMMYFUNCTION("IFERROR(ABS(O448-AVERAGE(FILTER(O448:O4516,AA448:AA4516=""Neighbor""))) / STDEV(FILTER(O448:O4516, AA448:AA4516 =""Neighbor"")), """")"),1.6801652080081182)</f>
        <v>1.680165208</v>
      </c>
      <c r="AD448" s="4">
        <f>IFERROR(__xludf.DUMMYFUNCTION("IFERROR(ABS(P448-AVERAGE(FILTER(O448:P4516,AA448:AA4516=""Neighbor""))) / STDEV(FILTER(P448:P4516, AA448:AA4516 =""Neighbor"")), """")"),2.2964263112216305)</f>
        <v>2.296426311</v>
      </c>
      <c r="AE448" s="2">
        <f>IFERROR(__xludf.DUMMYFUNCTION("IFERROR(ABS(Q448-AVERAGE(FILTER(Q448:Q4516,AA448:AA4516=""Neighbor""))) / STDEV(FILTER(Q448:Q4516, AA448:AA4516 =""Neighbor"")), """")"),0.2991253871413891)</f>
        <v>0.2991253871</v>
      </c>
      <c r="AF448" s="2">
        <f>IFERROR(__xludf.DUMMYFUNCTION("IFERROR(ABS(R448-AVERAGE(FILTER(R448:R4516,AA448:AA4516=""Neighbor""))) / STDEV(FILTER(R448:R4516, AA448:AA4516 =""Neighbor"")), """")"),0.27519203962022504)</f>
        <v>0.2751920396</v>
      </c>
    </row>
    <row r="449">
      <c r="A449" s="2" t="s">
        <v>28</v>
      </c>
      <c r="B449" s="2" t="s">
        <v>1711</v>
      </c>
      <c r="C449" s="2" t="s">
        <v>1818</v>
      </c>
      <c r="D449" s="2" t="s">
        <v>1855</v>
      </c>
      <c r="E449" s="2" t="s">
        <v>1856</v>
      </c>
      <c r="F449" s="2">
        <v>126.0</v>
      </c>
      <c r="G449" s="2">
        <v>1218.0</v>
      </c>
      <c r="H449" s="2" t="b">
        <v>1</v>
      </c>
      <c r="I449" s="2">
        <v>-1.0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s">
        <v>33</v>
      </c>
      <c r="O449" s="2">
        <v>100.0</v>
      </c>
      <c r="P449" s="2">
        <v>12.0</v>
      </c>
      <c r="Q449" s="2">
        <v>4.0</v>
      </c>
      <c r="R449" s="2">
        <v>2.0</v>
      </c>
      <c r="S449" s="3" t="s">
        <v>1857</v>
      </c>
      <c r="T449" s="2" t="s">
        <v>1858</v>
      </c>
      <c r="Y449" s="4" t="str">
        <f>IFERROR(__xludf.DUMMYFUNCTION("""COMPUTED_VALUE"""),"6.699932")</f>
        <v>6.699932</v>
      </c>
      <c r="Z449" s="4" t="str">
        <f>IFERROR(__xludf.DUMMYFUNCTION("""COMPUTED_VALUE"""),"3.2133139")</f>
        <v>3.2133139</v>
      </c>
      <c r="AA449" s="4" t="str">
        <f t="shared" si="1"/>
        <v>Not Neighbor</v>
      </c>
      <c r="AC449" s="4">
        <f>IFERROR(__xludf.DUMMYFUNCTION("IFERROR(ABS(O449-AVERAGE(FILTER(O449:O4517,AA449:AA4517=""Neighbor""))) / STDEV(FILTER(O449:O4517, AA449:AA4517 =""Neighbor"")), """")"),0.7660903985895616)</f>
        <v>0.7660903986</v>
      </c>
      <c r="AD449" s="4">
        <f>IFERROR(__xludf.DUMMYFUNCTION("IFERROR(ABS(P449-AVERAGE(FILTER(O449:P4517,AA449:AA4517=""Neighbor""))) / STDEV(FILTER(P449:P4517, AA449:AA4517 =""Neighbor"")), """")"),1.1502181957349369)</f>
        <v>1.150218196</v>
      </c>
      <c r="AE449" s="2">
        <f>IFERROR(__xludf.DUMMYFUNCTION("IFERROR(ABS(Q449-AVERAGE(FILTER(Q449:Q4517,AA449:AA4517=""Neighbor""))) / STDEV(FILTER(Q449:Q4517, AA449:AA4517 =""Neighbor"")), """")"),0.8787202627489269)</f>
        <v>0.8787202627</v>
      </c>
      <c r="AF449" s="2">
        <f>IFERROR(__xludf.DUMMYFUNCTION("IFERROR(ABS(R449-AVERAGE(FILTER(R449:R4517,AA449:AA4517=""Neighbor""))) / STDEV(FILTER(R449:R4517, AA449:AA4517 =""Neighbor"")), """")"),0.27519203962022504)</f>
        <v>0.2751920396</v>
      </c>
    </row>
    <row r="450">
      <c r="A450" s="2" t="s">
        <v>28</v>
      </c>
      <c r="B450" s="2" t="s">
        <v>1711</v>
      </c>
      <c r="C450" s="2" t="s">
        <v>1818</v>
      </c>
      <c r="D450" s="2" t="s">
        <v>1859</v>
      </c>
      <c r="E450" s="2" t="s">
        <v>1860</v>
      </c>
      <c r="F450" s="2">
        <v>94.0</v>
      </c>
      <c r="G450" s="2">
        <v>750.0</v>
      </c>
      <c r="H450" s="2" t="b">
        <v>1</v>
      </c>
      <c r="I450" s="2">
        <v>-1.0</v>
      </c>
      <c r="J450" s="2" t="b">
        <v>0</v>
      </c>
      <c r="K450" s="2" t="b">
        <v>0</v>
      </c>
      <c r="L450" s="2" t="b">
        <v>0</v>
      </c>
      <c r="M450" s="2" t="b">
        <v>0</v>
      </c>
      <c r="N450" s="2" t="s">
        <v>33</v>
      </c>
      <c r="O450" s="2">
        <v>62.0</v>
      </c>
      <c r="P450" s="2">
        <v>6.0</v>
      </c>
      <c r="Q450" s="2">
        <v>22.0</v>
      </c>
      <c r="R450" s="2">
        <v>0.0</v>
      </c>
      <c r="S450" s="3" t="s">
        <v>1861</v>
      </c>
      <c r="T450" s="2" t="s">
        <v>1862</v>
      </c>
      <c r="Y450" s="4" t="str">
        <f>IFERROR(__xludf.DUMMYFUNCTION("""COMPUTED_VALUE"""),"6.6927944")</f>
        <v>6.6927944</v>
      </c>
      <c r="Z450" s="4" t="str">
        <f>IFERROR(__xludf.DUMMYFUNCTION("""COMPUTED_VALUE"""),"3.2348973")</f>
        <v>3.2348973</v>
      </c>
      <c r="AA450" s="4" t="str">
        <f t="shared" si="1"/>
        <v>Neighbor</v>
      </c>
      <c r="AC450" s="4">
        <f>IFERROR(__xludf.DUMMYFUNCTION("IFERROR(ABS(O450-AVERAGE(FILTER(O450:O4518,AA450:AA4518=""Neighbor""))) / STDEV(FILTER(O450:O4518, AA450:AA4518 =""Neighbor"")), """")"),0.10228067035806708)</f>
        <v>0.1022806704</v>
      </c>
      <c r="AD450" s="4">
        <f>IFERROR(__xludf.DUMMYFUNCTION("IFERROR(ABS(P450-AVERAGE(FILTER(O450:P4518,AA450:AA4518=""Neighbor""))) / STDEV(FILTER(P450:P4518, AA450:AA4518 =""Neighbor"")), """")"),1.385216684845612)</f>
        <v>1.385216685</v>
      </c>
      <c r="AE450" s="2">
        <f>IFERROR(__xludf.DUMMYFUNCTION("IFERROR(ABS(Q450-AVERAGE(FILTER(Q450:Q4518,AA450:AA4518=""Neighbor""))) / STDEV(FILTER(Q450:Q4518, AA450:AA4518 =""Neighbor"")), """")"),0.13352685125352115)</f>
        <v>0.1335268513</v>
      </c>
      <c r="AF450" s="2">
        <f>IFERROR(__xludf.DUMMYFUNCTION("IFERROR(ABS(R450-AVERAGE(FILTER(R450:R4518,AA450:AA4518=""Neighbor""))) / STDEV(FILTER(R450:R4518, AA450:AA4518 =""Neighbor"")), """")"),0.09892038180943223)</f>
        <v>0.09892038181</v>
      </c>
    </row>
    <row r="451">
      <c r="A451" s="2" t="s">
        <v>28</v>
      </c>
      <c r="B451" s="2" t="s">
        <v>1711</v>
      </c>
      <c r="C451" s="2" t="s">
        <v>1818</v>
      </c>
      <c r="D451" s="2" t="s">
        <v>1863</v>
      </c>
      <c r="E451" s="2" t="s">
        <v>1864</v>
      </c>
      <c r="F451" s="2">
        <v>94.0</v>
      </c>
      <c r="G451" s="2">
        <v>1079.0</v>
      </c>
      <c r="H451" s="2" t="b">
        <v>1</v>
      </c>
      <c r="I451" s="2">
        <v>-1.0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s">
        <v>33</v>
      </c>
      <c r="O451" s="2">
        <v>48.0</v>
      </c>
      <c r="P451" s="2">
        <v>36.0</v>
      </c>
      <c r="Q451" s="2">
        <v>7.0</v>
      </c>
      <c r="R451" s="2">
        <v>0.0</v>
      </c>
      <c r="S451" s="3" t="s">
        <v>1865</v>
      </c>
      <c r="T451" s="2" t="s">
        <v>1866</v>
      </c>
      <c r="Y451" s="4" t="str">
        <f>IFERROR(__xludf.DUMMYFUNCTION("""COMPUTED_VALUE"""),"6.6926435")</f>
        <v>6.6926435</v>
      </c>
      <c r="Z451" s="4" t="str">
        <f>IFERROR(__xludf.DUMMYFUNCTION("""COMPUTED_VALUE"""),"3.236561")</f>
        <v>3.236561</v>
      </c>
      <c r="AA451" s="4" t="str">
        <f t="shared" si="1"/>
        <v>Neighbor</v>
      </c>
      <c r="AC451" s="4">
        <f>IFERROR(__xludf.DUMMYFUNCTION("IFERROR(ABS(O451-AVERAGE(FILTER(O451:O4519,AA451:AA4519=""Neighbor""))) / STDEV(FILTER(O451:O4519, AA451:AA4519 =""Neighbor"")), """")"),0.42213610951540875)</f>
        <v>0.4221361095</v>
      </c>
      <c r="AD451" s="4">
        <f>IFERROR(__xludf.DUMMYFUNCTION("IFERROR(ABS(P451-AVERAGE(FILTER(O451:P4519,AA451:AA4519=""Neighbor""))) / STDEV(FILTER(P451:P4519, AA451:AA4519 =""Neighbor"")), """")"),0.21035708078758683)</f>
        <v>0.2103570808</v>
      </c>
      <c r="AE451" s="2">
        <f>IFERROR(__xludf.DUMMYFUNCTION("IFERROR(ABS(Q451-AVERAGE(FILTER(Q451:Q4519,AA451:AA4519=""Neighbor""))) / STDEV(FILTER(Q451:Q4519, AA451:AA4519 =""Neighbor"")), """")"),0.7543641252518112)</f>
        <v>0.7543641253</v>
      </c>
      <c r="AF451" s="2">
        <f>IFERROR(__xludf.DUMMYFUNCTION("IFERROR(ABS(R451-AVERAGE(FILTER(R451:R4519,AA451:AA4519=""Neighbor""))) / STDEV(FILTER(R451:R4519, AA451:AA4519 =""Neighbor"")), """")"),0.09895347441437662)</f>
        <v>0.09895347441</v>
      </c>
    </row>
    <row r="452">
      <c r="A452" s="2" t="s">
        <v>28</v>
      </c>
      <c r="B452" s="2" t="s">
        <v>1711</v>
      </c>
      <c r="C452" s="2" t="s">
        <v>1818</v>
      </c>
      <c r="D452" s="2" t="s">
        <v>1867</v>
      </c>
      <c r="E452" s="2" t="s">
        <v>1868</v>
      </c>
      <c r="F452" s="2">
        <v>154.0</v>
      </c>
      <c r="G452" s="2">
        <v>784.0</v>
      </c>
      <c r="H452" s="2" t="b">
        <v>1</v>
      </c>
      <c r="I452" s="2">
        <v>-1.0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s">
        <v>33</v>
      </c>
      <c r="O452" s="2">
        <v>97.0</v>
      </c>
      <c r="P452" s="2">
        <v>32.0</v>
      </c>
      <c r="Q452" s="2">
        <v>15.0</v>
      </c>
      <c r="R452" s="2">
        <v>1.0</v>
      </c>
      <c r="S452" s="3" t="s">
        <v>1869</v>
      </c>
      <c r="T452" s="2" t="s">
        <v>1870</v>
      </c>
      <c r="Y452" s="4" t="str">
        <f>IFERROR(__xludf.DUMMYFUNCTION("""COMPUTED_VALUE"""),"6.6926435")</f>
        <v>6.6926435</v>
      </c>
      <c r="Z452" s="4" t="str">
        <f>IFERROR(__xludf.DUMMYFUNCTION("""COMPUTED_VALUE"""),"3.236561")</f>
        <v>3.236561</v>
      </c>
      <c r="AA452" s="4" t="str">
        <f t="shared" si="1"/>
        <v>Neighbor</v>
      </c>
      <c r="AC452" s="4">
        <f>IFERROR(__xludf.DUMMYFUNCTION("IFERROR(ABS(O452-AVERAGE(FILTER(O452:O4520,AA452:AA4520=""Neighbor""))) / STDEV(FILTER(O452:O4520, AA452:AA4520 =""Neighbor"")), """")"),0.6967679172164882)</f>
        <v>0.6967679172</v>
      </c>
      <c r="AD452" s="4">
        <f>IFERROR(__xludf.DUMMYFUNCTION("IFERROR(ABS(P452-AVERAGE(FILTER(O452:P4520,AA452:AA4520=""Neighbor""))) / STDEV(FILTER(P452:P4520, AA452:AA4520 =""Neighbor"")), """")"),0.36691383572823744)</f>
        <v>0.3669138357</v>
      </c>
      <c r="AE452" s="2">
        <f>IFERROR(__xludf.DUMMYFUNCTION("IFERROR(ABS(Q452-AVERAGE(FILTER(Q452:Q4520,AA452:AA4520=""Neighbor""))) / STDEV(FILTER(Q452:Q4520, AA452:AA4520 =""Neighbor"")), """")"),0.423714935311915)</f>
        <v>0.4237149353</v>
      </c>
      <c r="AF452" s="2">
        <f>IFERROR(__xludf.DUMMYFUNCTION("IFERROR(ABS(R452-AVERAGE(FILTER(R452:R4520,AA452:AA4520=""Neighbor""))) / STDEV(FILTER(R452:R4520, AA452:AA4520 =""Neighbor"")), """")"),0.08794674132842997)</f>
        <v>0.08794674133</v>
      </c>
    </row>
    <row r="453">
      <c r="A453" s="2" t="s">
        <v>28</v>
      </c>
      <c r="B453" s="2" t="s">
        <v>1711</v>
      </c>
      <c r="C453" s="2" t="s">
        <v>1818</v>
      </c>
      <c r="D453" s="2" t="s">
        <v>1871</v>
      </c>
      <c r="E453" s="2" t="s">
        <v>1872</v>
      </c>
      <c r="F453" s="2">
        <v>192.0</v>
      </c>
      <c r="G453" s="2">
        <v>1223.0</v>
      </c>
      <c r="H453" s="2" t="b">
        <v>1</v>
      </c>
      <c r="I453" s="2">
        <v>-1.0</v>
      </c>
      <c r="J453" s="2" t="b">
        <v>0</v>
      </c>
      <c r="K453" s="2" t="b">
        <v>0</v>
      </c>
      <c r="L453" s="2" t="b">
        <v>0</v>
      </c>
      <c r="M453" s="2" t="b">
        <v>0</v>
      </c>
      <c r="N453" s="2" t="s">
        <v>33</v>
      </c>
      <c r="O453" s="2">
        <v>101.0</v>
      </c>
      <c r="P453" s="2">
        <v>63.0</v>
      </c>
      <c r="Q453" s="2">
        <v>12.0</v>
      </c>
      <c r="R453" s="2">
        <v>4.0</v>
      </c>
      <c r="S453" s="3" t="s">
        <v>1873</v>
      </c>
      <c r="T453" s="2" t="s">
        <v>1874</v>
      </c>
      <c r="Y453" s="4" t="str">
        <f>IFERROR(__xludf.DUMMYFUNCTION("""COMPUTED_VALUE"""),"6.6926435")</f>
        <v>6.6926435</v>
      </c>
      <c r="Z453" s="4" t="str">
        <f>IFERROR(__xludf.DUMMYFUNCTION("""COMPUTED_VALUE"""),"3.236561")</f>
        <v>3.236561</v>
      </c>
      <c r="AA453" s="4" t="str">
        <f t="shared" si="1"/>
        <v>Neighbor</v>
      </c>
      <c r="AC453" s="4">
        <f>IFERROR(__xludf.DUMMYFUNCTION("IFERROR(ABS(O453-AVERAGE(FILTER(O453:O4521,AA453:AA4521=""Neighbor""))) / STDEV(FILTER(O453:O4521, AA453:AA4521 =""Neighbor"")), """")"),0.7884484686865599)</f>
        <v>0.7884484687</v>
      </c>
      <c r="AD453" s="4">
        <f>IFERROR(__xludf.DUMMYFUNCTION("IFERROR(ABS(P453-AVERAGE(FILTER(O453:P4521,AA453:AA4521=""Neighbor""))) / STDEV(FILTER(P453:P4521, AA453:AA4521 =""Neighbor"")), """")"),0.847172072516076)</f>
        <v>0.8471720725</v>
      </c>
      <c r="AE453" s="2">
        <f>IFERROR(__xludf.DUMMYFUNCTION("IFERROR(ABS(Q453-AVERAGE(FILTER(Q453:Q4521,AA453:AA4521=""Neighbor""))) / STDEV(FILTER(Q453:Q4521, AA453:AA4521 =""Neighbor"")), """")"),0.5479876633686835)</f>
        <v>0.5479876634</v>
      </c>
      <c r="AF453" s="2">
        <f>IFERROR(__xludf.DUMMYFUNCTION("IFERROR(ABS(R453-AVERAGE(FILTER(R453:R4521,AA453:AA4521=""Neighbor""))) / STDEV(FILTER(R453:R4521, AA453:AA4521 =""Neighbor"")), """")"),0.6485913877660802)</f>
        <v>0.6485913878</v>
      </c>
    </row>
    <row r="454">
      <c r="A454" s="2" t="s">
        <v>28</v>
      </c>
      <c r="B454" s="2" t="s">
        <v>1711</v>
      </c>
      <c r="C454" s="2" t="s">
        <v>1818</v>
      </c>
      <c r="D454" s="2" t="s">
        <v>1875</v>
      </c>
      <c r="E454" s="2" t="s">
        <v>1876</v>
      </c>
      <c r="F454" s="2">
        <v>146.0</v>
      </c>
      <c r="G454" s="2">
        <v>1147.0</v>
      </c>
      <c r="H454" s="2" t="b">
        <v>1</v>
      </c>
      <c r="I454" s="2">
        <v>-1.0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s">
        <v>33</v>
      </c>
      <c r="O454" s="2">
        <v>92.0</v>
      </c>
      <c r="P454" s="2">
        <v>32.0</v>
      </c>
      <c r="Q454" s="2">
        <v>17.0</v>
      </c>
      <c r="R454" s="2">
        <v>0.0</v>
      </c>
      <c r="S454" s="3" t="s">
        <v>1877</v>
      </c>
      <c r="T454" s="2" t="s">
        <v>1878</v>
      </c>
      <c r="Y454" s="4" t="str">
        <f>IFERROR(__xludf.DUMMYFUNCTION("""COMPUTED_VALUE"""),"6.6926435")</f>
        <v>6.6926435</v>
      </c>
      <c r="Z454" s="4" t="str">
        <f>IFERROR(__xludf.DUMMYFUNCTION("""COMPUTED_VALUE"""),"3.236561")</f>
        <v>3.236561</v>
      </c>
      <c r="AA454" s="4" t="str">
        <f t="shared" si="1"/>
        <v>Not Neighbor</v>
      </c>
      <c r="AC454" s="4">
        <f>IFERROR(__xludf.DUMMYFUNCTION("IFERROR(ABS(O454-AVERAGE(FILTER(O454:O4522,AA454:AA4522=""Neighbor""))) / STDEV(FILTER(O454:O4522, AA454:AA4522 =""Neighbor"")), """")"),0.5833908862071151)</f>
        <v>0.5833908862</v>
      </c>
      <c r="AD454" s="4">
        <f>IFERROR(__xludf.DUMMYFUNCTION("IFERROR(ABS(P454-AVERAGE(FILTER(O454:P4522,AA454:AA4522=""Neighbor""))) / STDEV(FILTER(P454:P4522, AA454:AA4522 =""Neighbor"")), """")"),0.3654660018903394)</f>
        <v>0.3654660019</v>
      </c>
      <c r="AE454" s="2">
        <f>IFERROR(__xludf.DUMMYFUNCTION("IFERROR(ABS(Q454-AVERAGE(FILTER(Q454:Q4522,AA454:AA4522=""Neighbor""))) / STDEV(FILTER(Q454:Q4522, AA454:AA4522 =""Neighbor"")), """")"),0.3414275755438739)</f>
        <v>0.3414275755</v>
      </c>
      <c r="AF454" s="2">
        <f>IFERROR(__xludf.DUMMYFUNCTION("IFERROR(ABS(R454-AVERAGE(FILTER(R454:R4522,AA454:AA4522=""Neighbor""))) / STDEV(FILTER(R454:R4522, AA454:AA4522 =""Neighbor"")), """")"),0.0984456996436912)</f>
        <v>0.09844569964</v>
      </c>
    </row>
    <row r="455">
      <c r="A455" s="2" t="s">
        <v>28</v>
      </c>
      <c r="B455" s="2" t="s">
        <v>1711</v>
      </c>
      <c r="C455" s="2" t="s">
        <v>1818</v>
      </c>
      <c r="D455" s="2" t="s">
        <v>1879</v>
      </c>
      <c r="E455" s="2" t="s">
        <v>1880</v>
      </c>
      <c r="F455" s="2">
        <v>234.0</v>
      </c>
      <c r="G455" s="2">
        <v>2418.0</v>
      </c>
      <c r="H455" s="2" t="b">
        <v>1</v>
      </c>
      <c r="I455" s="2">
        <v>-1.0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s">
        <v>33</v>
      </c>
      <c r="O455" s="2">
        <v>125.0</v>
      </c>
      <c r="P455" s="2">
        <v>82.0</v>
      </c>
      <c r="Q455" s="2">
        <v>16.0</v>
      </c>
      <c r="R455" s="2">
        <v>1.0</v>
      </c>
      <c r="S455" s="3" t="s">
        <v>1881</v>
      </c>
      <c r="T455" s="2" t="s">
        <v>1882</v>
      </c>
      <c r="Y455" s="4" t="str">
        <f>IFERROR(__xludf.DUMMYFUNCTION("""COMPUTED_VALUE"""),"6.6920845")</f>
        <v>6.6920845</v>
      </c>
      <c r="Z455" s="4" t="str">
        <f>IFERROR(__xludf.DUMMYFUNCTION("""COMPUTED_VALUE"""),"3.257736")</f>
        <v>3.257736</v>
      </c>
      <c r="AA455" s="4" t="str">
        <f t="shared" si="1"/>
        <v>Not Neighbor</v>
      </c>
      <c r="AC455" s="4">
        <f>IFERROR(__xludf.DUMMYFUNCTION("IFERROR(ABS(O455-AVERAGE(FILTER(O455:O4523,AA455:AA4523=""Neighbor""))) / STDEV(FILTER(O455:O4523, AA455:AA4523 =""Neighbor"")), """")"),1.3368261983424483)</f>
        <v>1.336826198</v>
      </c>
      <c r="AD455" s="4">
        <f>IFERROR(__xludf.DUMMYFUNCTION("IFERROR(ABS(P455-AVERAGE(FILTER(O455:P4523,AA455:AA4523=""Neighbor""))) / STDEV(FILTER(P455:P4523, AA455:AA4523 =""Neighbor"")), """")"),1.593177730197691)</f>
        <v>1.59317773</v>
      </c>
      <c r="AE455" s="2">
        <f>IFERROR(__xludf.DUMMYFUNCTION("IFERROR(ABS(Q455-AVERAGE(FILTER(Q455:Q4523,AA455:AA4523=""Neighbor""))) / STDEV(FILTER(Q455:Q4523, AA455:AA4523 =""Neighbor"")), """")"),0.3827869204564246)</f>
        <v>0.3827869205</v>
      </c>
      <c r="AF455" s="2">
        <f>IFERROR(__xludf.DUMMYFUNCTION("IFERROR(ABS(R455-AVERAGE(FILTER(R455:R4523,AA455:AA4523=""Neighbor""))) / STDEV(FILTER(R455:R4523, AA455:AA4523 =""Neighbor"")), """")"),0.08839008593481477)</f>
        <v>0.08839008593</v>
      </c>
    </row>
    <row r="456">
      <c r="A456" s="2" t="s">
        <v>28</v>
      </c>
      <c r="B456" s="2" t="s">
        <v>1711</v>
      </c>
      <c r="C456" s="2" t="s">
        <v>1818</v>
      </c>
      <c r="D456" s="2" t="s">
        <v>1883</v>
      </c>
      <c r="E456" s="2" t="s">
        <v>1884</v>
      </c>
      <c r="F456" s="2">
        <v>119.0</v>
      </c>
      <c r="G456" s="2">
        <v>1120.0</v>
      </c>
      <c r="H456" s="2" t="b">
        <v>1</v>
      </c>
      <c r="I456" s="2">
        <v>-1.0</v>
      </c>
      <c r="J456" s="2" t="b">
        <v>0</v>
      </c>
      <c r="K456" s="2" t="b">
        <v>0</v>
      </c>
      <c r="L456" s="2" t="b">
        <v>0</v>
      </c>
      <c r="M456" s="2" t="b">
        <v>0</v>
      </c>
      <c r="N456" s="2" t="s">
        <v>33</v>
      </c>
      <c r="O456" s="2">
        <v>68.0</v>
      </c>
      <c r="P456" s="2">
        <v>35.0</v>
      </c>
      <c r="Q456" s="2">
        <v>4.0</v>
      </c>
      <c r="R456" s="2">
        <v>0.0</v>
      </c>
      <c r="S456" s="3" t="s">
        <v>1885</v>
      </c>
      <c r="T456" s="2" t="s">
        <v>1886</v>
      </c>
      <c r="Y456" s="4" t="str">
        <f>IFERROR(__xludf.DUMMYFUNCTION("""COMPUTED_VALUE"""),"6.6926435")</f>
        <v>6.6926435</v>
      </c>
      <c r="Z456" s="4" t="str">
        <f>IFERROR(__xludf.DUMMYFUNCTION("""COMPUTED_VALUE"""),"3.236561")</f>
        <v>3.236561</v>
      </c>
      <c r="AA456" s="4" t="str">
        <f t="shared" si="1"/>
        <v>Neighbor</v>
      </c>
      <c r="AC456" s="4">
        <f>IFERROR(__xludf.DUMMYFUNCTION("IFERROR(ABS(O456-AVERAGE(FILTER(O456:O4524,AA456:AA4524=""Neighbor""))) / STDEV(FILTER(O456:O4524, AA456:AA4524 =""Neighbor"")), """")"),0.035437931926872675)</f>
        <v>0.03543793193</v>
      </c>
      <c r="AD456" s="4">
        <f>IFERROR(__xludf.DUMMYFUNCTION("IFERROR(ABS(P456-AVERAGE(FILTER(O456:P4524,AA456:AA4524=""Neighbor""))) / STDEV(FILTER(P456:P4524, AA456:AA4524 =""Neighbor"")), """")"),0.24794737796505759)</f>
        <v>0.247947378</v>
      </c>
      <c r="AE456" s="2">
        <f>IFERROR(__xludf.DUMMYFUNCTION("IFERROR(ABS(Q456-AVERAGE(FILTER(Q456:Q4524,AA456:AA4524=""Neighbor""))) / STDEV(FILTER(Q456:Q4524, AA456:AA4524 =""Neighbor"")), """")"),0.8790990594070333)</f>
        <v>0.8790990594</v>
      </c>
      <c r="AF456" s="2">
        <f>IFERROR(__xludf.DUMMYFUNCTION("IFERROR(ABS(R456-AVERAGE(FILTER(R456:R4524,AA456:AA4524=""Neighbor""))) / STDEV(FILTER(R456:R4524, AA456:AA4524 =""Neighbor"")), """")"),0.0984456996436912)</f>
        <v>0.09844569964</v>
      </c>
    </row>
    <row r="457">
      <c r="A457" s="2" t="s">
        <v>28</v>
      </c>
      <c r="B457" s="2" t="s">
        <v>1711</v>
      </c>
      <c r="C457" s="2" t="s">
        <v>1818</v>
      </c>
      <c r="D457" s="2" t="s">
        <v>1887</v>
      </c>
      <c r="E457" s="2" t="s">
        <v>1888</v>
      </c>
      <c r="F457" s="2">
        <v>129.0</v>
      </c>
      <c r="G457" s="2">
        <v>1092.0</v>
      </c>
      <c r="H457" s="2" t="b">
        <v>1</v>
      </c>
      <c r="I457" s="2">
        <v>-1.0</v>
      </c>
      <c r="J457" s="2" t="b">
        <v>0</v>
      </c>
      <c r="K457" s="2" t="b">
        <v>1</v>
      </c>
      <c r="L457" s="2" t="b">
        <v>0</v>
      </c>
      <c r="M457" s="2" t="b">
        <v>0</v>
      </c>
      <c r="N457" s="2" t="s">
        <v>33</v>
      </c>
      <c r="O457" s="2">
        <v>77.0</v>
      </c>
      <c r="P457" s="2">
        <v>32.0</v>
      </c>
      <c r="Q457" s="2">
        <v>9.0</v>
      </c>
      <c r="R457" s="2">
        <v>0.0</v>
      </c>
      <c r="S457" s="3" t="s">
        <v>1889</v>
      </c>
      <c r="T457" s="2" t="s">
        <v>1890</v>
      </c>
      <c r="Y457" s="4" t="str">
        <f>IFERROR(__xludf.DUMMYFUNCTION("""COMPUTED_VALUE"""),"6.6926435")</f>
        <v>6.6926435</v>
      </c>
      <c r="Z457" s="4" t="str">
        <f>IFERROR(__xludf.DUMMYFUNCTION("""COMPUTED_VALUE"""),"3.236561")</f>
        <v>3.236561</v>
      </c>
      <c r="AA457" s="4" t="str">
        <f t="shared" si="1"/>
        <v>Neighbor</v>
      </c>
      <c r="AC457" s="4">
        <f>IFERROR(__xludf.DUMMYFUNCTION("IFERROR(ABS(O457-AVERAGE(FILTER(O457:O4525,AA457:AA4525=""Neighbor""))) / STDEV(FILTER(O457:O4525, AA457:AA4525 =""Neighbor"")), """")"),0.24086383853100282)</f>
        <v>0.2408638385</v>
      </c>
      <c r="AD457" s="4">
        <f>IFERROR(__xludf.DUMMYFUNCTION("IFERROR(ABS(P457-AVERAGE(FILTER(O457:P4525,AA457:AA4525=""Neighbor""))) / STDEV(FILTER(P457:P4525, AA457:AA4525 =""Neighbor"")), """")"),0.3651454830500051)</f>
        <v>0.3651454831</v>
      </c>
      <c r="AE457" s="2">
        <f>IFERROR(__xludf.DUMMYFUNCTION("IFERROR(ABS(Q457-AVERAGE(FILTER(Q457:Q4525,AA457:AA4525=""Neighbor""))) / STDEV(FILTER(Q457:Q4525, AA457:AA4525 =""Neighbor"")), """")"),0.6728361081036907)</f>
        <v>0.6728361081</v>
      </c>
      <c r="AF457" s="2">
        <f>IFERROR(__xludf.DUMMYFUNCTION("IFERROR(ABS(R457-AVERAGE(FILTER(R457:R4525,AA457:AA4525=""Neighbor""))) / STDEV(FILTER(R457:R4525, AA457:AA4525 =""Neighbor"")), """")"),0.09847871789885405)</f>
        <v>0.0984787179</v>
      </c>
    </row>
    <row r="458">
      <c r="A458" s="2" t="s">
        <v>28</v>
      </c>
      <c r="B458" s="2" t="s">
        <v>1711</v>
      </c>
      <c r="C458" s="2" t="s">
        <v>1818</v>
      </c>
      <c r="D458" s="2" t="s">
        <v>1891</v>
      </c>
      <c r="E458" s="2" t="s">
        <v>1892</v>
      </c>
      <c r="F458" s="2">
        <v>108.0</v>
      </c>
      <c r="G458" s="2">
        <v>752.0</v>
      </c>
      <c r="H458" s="2" t="b">
        <v>1</v>
      </c>
      <c r="I458" s="2">
        <v>-1.0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s">
        <v>33</v>
      </c>
      <c r="O458" s="2">
        <v>61.0</v>
      </c>
      <c r="P458" s="2">
        <v>26.0</v>
      </c>
      <c r="Q458" s="2">
        <v>7.0</v>
      </c>
      <c r="R458" s="2">
        <v>1.0</v>
      </c>
      <c r="S458" s="3" t="s">
        <v>1893</v>
      </c>
      <c r="T458" s="2" t="s">
        <v>1894</v>
      </c>
      <c r="Y458" s="4" t="str">
        <f>IFERROR(__xludf.DUMMYFUNCTION("""COMPUTED_VALUE"""),"6.6926435")</f>
        <v>6.6926435</v>
      </c>
      <c r="Z458" s="4" t="str">
        <f>IFERROR(__xludf.DUMMYFUNCTION("""COMPUTED_VALUE"""),"3.236561")</f>
        <v>3.236561</v>
      </c>
      <c r="AA458" s="4" t="str">
        <f t="shared" si="1"/>
        <v>Not Neighbor</v>
      </c>
      <c r="AC458" s="4">
        <f>IFERROR(__xludf.DUMMYFUNCTION("IFERROR(ABS(O458-AVERAGE(FILTER(O458:O4526,AA458:AA4526=""Neighbor""))) / STDEV(FILTER(O458:O4526, AA458:AA4526 =""Neighbor"")), """")"),0.1241176517879685)</f>
        <v>0.1241176518</v>
      </c>
      <c r="AD458" s="4">
        <f>IFERROR(__xludf.DUMMYFUNCTION("IFERROR(ABS(P458-AVERAGE(FILTER(O458:P4526,AA458:AA4526=""Neighbor""))) / STDEV(FILTER(P458:P4526, AA458:AA4526 =""Neighbor"")), """")"),0.5996804440176834)</f>
        <v>0.599680444</v>
      </c>
      <c r="AE458" s="2">
        <f>IFERROR(__xludf.DUMMYFUNCTION("IFERROR(ABS(Q458-AVERAGE(FILTER(Q458:Q4526,AA458:AA4526=""Neighbor""))) / STDEV(FILTER(Q458:Q4526, AA458:AA4526 =""Neighbor"")), """")"),0.7558586034602942)</f>
        <v>0.7558586035</v>
      </c>
      <c r="AF458" s="2">
        <f>IFERROR(__xludf.DUMMYFUNCTION("IFERROR(ABS(R458-AVERAGE(FILTER(R458:R4526,AA458:AA4526=""Neighbor""))) / STDEV(FILTER(R458:R4526, AA458:AA4526 =""Neighbor"")), """")"),0.08820095368646955)</f>
        <v>0.08820095369</v>
      </c>
    </row>
    <row r="459">
      <c r="A459" s="2" t="s">
        <v>28</v>
      </c>
      <c r="B459" s="2" t="s">
        <v>1711</v>
      </c>
      <c r="C459" s="2" t="s">
        <v>1818</v>
      </c>
      <c r="D459" s="2" t="s">
        <v>1895</v>
      </c>
      <c r="E459" s="2" t="s">
        <v>1896</v>
      </c>
      <c r="F459" s="2">
        <v>190.0</v>
      </c>
      <c r="G459" s="2">
        <v>1359.0</v>
      </c>
      <c r="H459" s="2" t="b">
        <v>1</v>
      </c>
      <c r="I459" s="2">
        <v>-1.0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s">
        <v>33</v>
      </c>
      <c r="O459" s="2">
        <v>126.0</v>
      </c>
      <c r="P459" s="2">
        <v>31.0</v>
      </c>
      <c r="Q459" s="2">
        <v>19.0</v>
      </c>
      <c r="R459" s="2">
        <v>0.0</v>
      </c>
      <c r="S459" s="3" t="s">
        <v>1897</v>
      </c>
      <c r="T459" s="2" t="s">
        <v>1898</v>
      </c>
      <c r="Y459" s="4" t="str">
        <f>IFERROR(__xludf.DUMMYFUNCTION("""COMPUTED_VALUE"""),"6.70266")</f>
        <v>6.70266</v>
      </c>
      <c r="Z459" s="4" t="str">
        <f>IFERROR(__xludf.DUMMYFUNCTION("""COMPUTED_VALUE"""),"3.24966")</f>
        <v>3.24966</v>
      </c>
      <c r="AA459" s="4" t="str">
        <f t="shared" si="1"/>
        <v>Not Neighbor</v>
      </c>
      <c r="AC459" s="4">
        <f>IFERROR(__xludf.DUMMYFUNCTION("IFERROR(ABS(O459-AVERAGE(FILTER(O459:O4527,AA459:AA4527=""Neighbor""))) / STDEV(FILTER(O459:O4527, AA459:AA4527 =""Neighbor"")), """")"),1.358963805088936)</f>
        <v>1.358963805</v>
      </c>
      <c r="AD459" s="4">
        <f>IFERROR(__xludf.DUMMYFUNCTION("IFERROR(ABS(P459-AVERAGE(FILTER(O459:P4527,AA459:AA4527=""Neighbor""))) / STDEV(FILTER(P459:P4527, AA459:AA4527 =""Neighbor"")), """")"),0.4038860947630938)</f>
        <v>0.4038860948</v>
      </c>
      <c r="AE459" s="2">
        <f>IFERROR(__xludf.DUMMYFUNCTION("IFERROR(ABS(Q459-AVERAGE(FILTER(Q459:Q4527,AA459:AA4527=""Neighbor""))) / STDEV(FILTER(Q459:Q4527, AA459:AA4527 =""Neighbor"")), """")"),0.25967422595311074)</f>
        <v>0.259674226</v>
      </c>
      <c r="AF459" s="2">
        <f>IFERROR(__xludf.DUMMYFUNCTION("IFERROR(ABS(R459-AVERAGE(FILTER(R459:R4527,AA459:AA4527=""Neighbor""))) / STDEV(FILTER(R459:R4527, AA459:AA4527 =""Neighbor"")), """")"),0.09851176939911314)</f>
        <v>0.0985117694</v>
      </c>
    </row>
    <row r="460">
      <c r="A460" s="2" t="s">
        <v>28</v>
      </c>
      <c r="B460" s="2" t="s">
        <v>1711</v>
      </c>
      <c r="C460" s="2" t="s">
        <v>1818</v>
      </c>
      <c r="D460" s="2" t="s">
        <v>1899</v>
      </c>
      <c r="E460" s="2" t="s">
        <v>1900</v>
      </c>
      <c r="F460" s="2">
        <v>254.0</v>
      </c>
      <c r="G460" s="2">
        <v>1774.0</v>
      </c>
      <c r="H460" s="2" t="b">
        <v>1</v>
      </c>
      <c r="I460" s="2">
        <v>-1.0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s">
        <v>33</v>
      </c>
      <c r="O460" s="2">
        <v>129.0</v>
      </c>
      <c r="P460" s="2">
        <v>87.0</v>
      </c>
      <c r="Q460" s="2">
        <v>20.0</v>
      </c>
      <c r="R460" s="2">
        <v>2.0</v>
      </c>
      <c r="S460" s="3" t="s">
        <v>1901</v>
      </c>
      <c r="T460" s="2" t="s">
        <v>1902</v>
      </c>
      <c r="Y460" s="4" t="str">
        <f>IFERROR(__xludf.DUMMYFUNCTION("""COMPUTED_VALUE"""),"6.6926435")</f>
        <v>6.6926435</v>
      </c>
      <c r="Z460" s="4" t="str">
        <f>IFERROR(__xludf.DUMMYFUNCTION("""COMPUTED_VALUE"""),"3.236561")</f>
        <v>3.236561</v>
      </c>
      <c r="AA460" s="4" t="str">
        <f t="shared" si="1"/>
        <v>Neighbor</v>
      </c>
      <c r="AC460" s="4">
        <f>IFERROR(__xludf.DUMMYFUNCTION("IFERROR(ABS(O460-AVERAGE(FILTER(O460:O4528,AA460:AA4528=""Neighbor""))) / STDEV(FILTER(O460:O4528, AA460:AA4528 =""Neighbor"")), """")"),1.4274137184832547)</f>
        <v>1.427413718</v>
      </c>
      <c r="AD460" s="4">
        <f>IFERROR(__xludf.DUMMYFUNCTION("IFERROR(ABS(P460-AVERAGE(FILTER(O460:P4528,AA460:AA4528=""Neighbor""))) / STDEV(FILTER(P460:P4528, AA460:AA4528 =""Neighbor"")), """")"),1.7890106168883104)</f>
        <v>1.789010617</v>
      </c>
      <c r="AE460" s="2">
        <f>IFERROR(__xludf.DUMMYFUNCTION("IFERROR(ABS(Q460-AVERAGE(FILTER(Q460:Q4528,AA460:AA4528=""Neighbor""))) / STDEV(FILTER(Q460:Q4528, AA460:AA4528 =""Neighbor"")), """")"),0.21832552782751213)</f>
        <v>0.2183255278</v>
      </c>
      <c r="AF460" s="2">
        <f>IFERROR(__xludf.DUMMYFUNCTION("IFERROR(ABS(R460-AVERAGE(FILTER(R460:R4528,AA460:AA4528=""Neighbor""))) / STDEV(FILTER(R460:R4528, AA460:AA4528 =""Neighbor"")), """")"),0.27491367677205225)</f>
        <v>0.2749136768</v>
      </c>
    </row>
    <row r="461">
      <c r="A461" s="2" t="s">
        <v>28</v>
      </c>
      <c r="B461" s="2" t="s">
        <v>1711</v>
      </c>
      <c r="C461" s="2" t="s">
        <v>1818</v>
      </c>
      <c r="D461" s="2" t="s">
        <v>1903</v>
      </c>
      <c r="E461" s="2" t="s">
        <v>1904</v>
      </c>
      <c r="F461" s="2">
        <v>86.0</v>
      </c>
      <c r="G461" s="2">
        <v>1291.0</v>
      </c>
      <c r="H461" s="2" t="b">
        <v>1</v>
      </c>
      <c r="I461" s="2">
        <v>-1.0</v>
      </c>
      <c r="J461" s="2" t="b">
        <v>0</v>
      </c>
      <c r="K461" s="2" t="b">
        <v>0</v>
      </c>
      <c r="L461" s="2" t="b">
        <v>0</v>
      </c>
      <c r="M461" s="2" t="b">
        <v>0</v>
      </c>
      <c r="N461" s="2" t="s">
        <v>33</v>
      </c>
      <c r="O461" s="2">
        <v>76.0</v>
      </c>
      <c r="P461" s="2">
        <v>47.0</v>
      </c>
      <c r="Q461" s="2">
        <v>10.0</v>
      </c>
      <c r="R461" s="2">
        <v>0.0</v>
      </c>
      <c r="S461" s="3" t="s">
        <v>1905</v>
      </c>
      <c r="T461" s="2" t="s">
        <v>1906</v>
      </c>
      <c r="Y461" s="4" t="str">
        <f>IFERROR(__xludf.DUMMYFUNCTION("""COMPUTED_VALUE"""),"6.7026333")</f>
        <v>6.7026333</v>
      </c>
      <c r="Z461" s="4" t="str">
        <f>IFERROR(__xludf.DUMMYFUNCTION("""COMPUTED_VALUE"""),"3.2397235")</f>
        <v>3.2397235</v>
      </c>
      <c r="AA461" s="4" t="str">
        <f t="shared" si="1"/>
        <v>Neighbor</v>
      </c>
      <c r="AC461" s="4">
        <f>IFERROR(__xludf.DUMMYFUNCTION("IFERROR(ABS(O461-AVERAGE(FILTER(O461:O4529,AA461:AA4529=""Neighbor""))) / STDEV(FILTER(O461:O4529, AA461:AA4529 =""Neighbor"")), """")"),0.21915811177649033)</f>
        <v>0.2191581118</v>
      </c>
      <c r="AD461" s="4">
        <f>IFERROR(__xludf.DUMMYFUNCTION("IFERROR(ABS(P461-AVERAGE(FILTER(O461:P4529,AA461:AA4529=""Neighbor""))) / STDEV(FILTER(P461:P4529, AA461:AA4529 =""Neighbor"")), """")"),0.22489645742098402)</f>
        <v>0.2248964574</v>
      </c>
      <c r="AE461" s="2">
        <f>IFERROR(__xludf.DUMMYFUNCTION("IFERROR(ABS(Q461-AVERAGE(FILTER(Q461:Q4529,AA461:AA4529=""Neighbor""))) / STDEV(FILTER(Q461:Q4529, AA461:AA4529 =""Neighbor"")), """")"),0.6317574896535154)</f>
        <v>0.6317574897</v>
      </c>
      <c r="AF461" s="2">
        <f>IFERROR(__xludf.DUMMYFUNCTION("IFERROR(ABS(R461-AVERAGE(FILTER(R461:R4529,AA461:AA4529=""Neighbor""))) / STDEV(FILTER(R461:R4529, AA461:AA4529 =""Neighbor"")), """")"),0.09829847437004144)</f>
        <v>0.09829847437</v>
      </c>
    </row>
    <row r="462">
      <c r="A462" s="2" t="s">
        <v>28</v>
      </c>
      <c r="B462" s="2" t="s">
        <v>1711</v>
      </c>
      <c r="C462" s="2" t="s">
        <v>1818</v>
      </c>
      <c r="D462" s="2" t="s">
        <v>1907</v>
      </c>
      <c r="E462" s="2" t="s">
        <v>1908</v>
      </c>
      <c r="F462" s="2">
        <v>101.0</v>
      </c>
      <c r="G462" s="2">
        <v>1064.0</v>
      </c>
      <c r="H462" s="2" t="b">
        <v>1</v>
      </c>
      <c r="I462" s="2">
        <v>-1.0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s">
        <v>33</v>
      </c>
      <c r="O462" s="2">
        <v>67.0</v>
      </c>
      <c r="P462" s="2">
        <v>14.0</v>
      </c>
      <c r="Q462" s="2">
        <v>15.0</v>
      </c>
      <c r="R462" s="2">
        <v>0.0</v>
      </c>
      <c r="S462" s="3" t="s">
        <v>1909</v>
      </c>
      <c r="T462" s="2" t="s">
        <v>1910</v>
      </c>
      <c r="Y462" s="4" t="str">
        <f>IFERROR(__xludf.DUMMYFUNCTION("""COMPUTED_VALUE"""),"6.6926435")</f>
        <v>6.6926435</v>
      </c>
      <c r="Z462" s="4" t="str">
        <f>IFERROR(__xludf.DUMMYFUNCTION("""COMPUTED_VALUE"""),"3.236561")</f>
        <v>3.236561</v>
      </c>
      <c r="AA462" s="4" t="str">
        <f t="shared" si="1"/>
        <v>Neighbor</v>
      </c>
      <c r="AC462" s="4">
        <f>IFERROR(__xludf.DUMMYFUNCTION("IFERROR(ABS(O462-AVERAGE(FILTER(O462:O4530,AA462:AA4530=""Neighbor""))) / STDEV(FILTER(O462:O4530, AA462:AA4530 =""Neighbor"")), """")"),0.013878876566385702)</f>
        <v>0.01387887657</v>
      </c>
      <c r="AD462" s="4">
        <f>IFERROR(__xludf.DUMMYFUNCTION("IFERROR(ABS(P462-AVERAGE(FILTER(O462:P4530,AA462:AA4530=""Neighbor""))) / STDEV(FILTER(P462:P4530, AA462:AA4530 =""Neighbor"")), """")"),1.069875342358413)</f>
        <v>1.069875342</v>
      </c>
      <c r="AE462" s="2">
        <f>IFERROR(__xludf.DUMMYFUNCTION("IFERROR(ABS(Q462-AVERAGE(FILTER(Q462:Q4530,AA462:AA4530=""Neighbor""))) / STDEV(FILTER(Q462:Q4530, AA462:AA4530 =""Neighbor"")), """")"),0.42541528064203976)</f>
        <v>0.4254152806</v>
      </c>
      <c r="AF462" s="2">
        <f>IFERROR(__xludf.DUMMYFUNCTION("IFERROR(ABS(R462-AVERAGE(FILTER(R462:R4530,AA462:AA4530=""Neighbor""))) / STDEV(FILTER(R462:R4530, AA462:AA4530 =""Neighbor"")), """")"),0.0983315081371196)</f>
        <v>0.09833150814</v>
      </c>
    </row>
    <row r="463">
      <c r="A463" s="2" t="s">
        <v>28</v>
      </c>
      <c r="B463" s="2" t="s">
        <v>1711</v>
      </c>
      <c r="C463" s="2" t="s">
        <v>1818</v>
      </c>
      <c r="D463" s="2" t="s">
        <v>1911</v>
      </c>
      <c r="E463" s="2" t="s">
        <v>1912</v>
      </c>
      <c r="F463" s="2">
        <v>187.0</v>
      </c>
      <c r="G463" s="2">
        <v>1520.0</v>
      </c>
      <c r="H463" s="2" t="b">
        <v>1</v>
      </c>
      <c r="I463" s="2">
        <v>-1.0</v>
      </c>
      <c r="J463" s="2" t="b">
        <v>0</v>
      </c>
      <c r="K463" s="2" t="b">
        <v>1</v>
      </c>
      <c r="L463" s="2" t="b">
        <v>0</v>
      </c>
      <c r="M463" s="2" t="b">
        <v>0</v>
      </c>
      <c r="N463" s="2" t="s">
        <v>33</v>
      </c>
      <c r="O463" s="2">
        <v>84.0</v>
      </c>
      <c r="P463" s="2">
        <v>79.0</v>
      </c>
      <c r="Q463" s="2">
        <v>6.0</v>
      </c>
      <c r="R463" s="2">
        <v>0.0</v>
      </c>
      <c r="S463" s="3" t="s">
        <v>1913</v>
      </c>
      <c r="T463" s="2" t="s">
        <v>1914</v>
      </c>
      <c r="Y463" s="4" t="str">
        <f>IFERROR(__xludf.DUMMYFUNCTION("""COMPUTED_VALUE"""),"6.6926435")</f>
        <v>6.6926435</v>
      </c>
      <c r="Z463" s="4" t="str">
        <f>IFERROR(__xludf.DUMMYFUNCTION("""COMPUTED_VALUE"""),"3.236561")</f>
        <v>3.236561</v>
      </c>
      <c r="AA463" s="4" t="str">
        <f t="shared" si="1"/>
        <v>Neighbor</v>
      </c>
      <c r="AC463" s="4">
        <f>IFERROR(__xludf.DUMMYFUNCTION("IFERROR(ABS(O463-AVERAGE(FILTER(O463:O4531,AA463:AA4531=""Neighbor""))) / STDEV(FILTER(O463:O4531, AA463:AA4531 =""Neighbor"")), """")"),0.4016482833686712)</f>
        <v>0.4016482834</v>
      </c>
      <c r="AD463" s="4">
        <f>IFERROR(__xludf.DUMMYFUNCTION("IFERROR(ABS(P463-AVERAGE(FILTER(O463:P4531,AA463:AA4531=""Neighbor""))) / STDEV(FILTER(P463:P4531, AA463:AA4531 =""Neighbor"")), """")"),1.4810335979366798)</f>
        <v>1.481033598</v>
      </c>
      <c r="AE463" s="2">
        <f>IFERROR(__xludf.DUMMYFUNCTION("IFERROR(ABS(Q463-AVERAGE(FILTER(Q463:Q4531,AA463:AA4531=""Neighbor""))) / STDEV(FILTER(Q463:Q4531, AA463:AA4531 =""Neighbor"")), """")"),0.7974269345146983)</f>
        <v>0.7974269345</v>
      </c>
      <c r="AF463" s="2">
        <f>IFERROR(__xludf.DUMMYFUNCTION("IFERROR(ABS(R463-AVERAGE(FILTER(R463:R4531,AA463:AA4531=""Neighbor""))) / STDEV(FILTER(R463:R4531, AA463:AA4531 =""Neighbor"")), """")"),0.09836457523042123)</f>
        <v>0.09836457523</v>
      </c>
    </row>
    <row r="464">
      <c r="A464" s="2" t="s">
        <v>28</v>
      </c>
      <c r="B464" s="2" t="s">
        <v>1711</v>
      </c>
      <c r="C464" s="2" t="s">
        <v>1818</v>
      </c>
      <c r="D464" s="2" t="s">
        <v>1915</v>
      </c>
      <c r="E464" s="2" t="s">
        <v>1916</v>
      </c>
      <c r="F464" s="2">
        <v>211.0</v>
      </c>
      <c r="G464" s="2">
        <v>1702.0</v>
      </c>
      <c r="H464" s="2" t="b">
        <v>1</v>
      </c>
      <c r="I464" s="2">
        <v>-1.0</v>
      </c>
      <c r="J464" s="2" t="b">
        <v>0</v>
      </c>
      <c r="K464" s="2" t="b">
        <v>0</v>
      </c>
      <c r="L464" s="2" t="b">
        <v>0</v>
      </c>
      <c r="M464" s="2" t="b">
        <v>0</v>
      </c>
      <c r="N464" s="2" t="s">
        <v>33</v>
      </c>
      <c r="O464" s="2">
        <v>102.0</v>
      </c>
      <c r="P464" s="2">
        <v>78.0</v>
      </c>
      <c r="Q464" s="2">
        <v>16.0</v>
      </c>
      <c r="R464" s="2">
        <v>0.0</v>
      </c>
      <c r="S464" s="3" t="s">
        <v>1917</v>
      </c>
      <c r="T464" s="2" t="s">
        <v>1918</v>
      </c>
      <c r="Y464" s="4" t="str">
        <f>IFERROR(__xludf.DUMMYFUNCTION("""COMPUTED_VALUE"""),"6.6926435")</f>
        <v>6.6926435</v>
      </c>
      <c r="Z464" s="4" t="str">
        <f>IFERROR(__xludf.DUMMYFUNCTION("""COMPUTED_VALUE"""),"3.236561")</f>
        <v>3.236561</v>
      </c>
      <c r="AA464" s="4" t="str">
        <f t="shared" si="1"/>
        <v>Not Neighbor</v>
      </c>
      <c r="AC464" s="4">
        <f>IFERROR(__xludf.DUMMYFUNCTION("IFERROR(ABS(O464-AVERAGE(FILTER(O464:O4532,AA464:AA4532=""Neighbor""))) / STDEV(FILTER(O464:O4532, AA464:AA4532 =""Neighbor"")), """")"),0.8122633859650314)</f>
        <v>0.812263386</v>
      </c>
      <c r="AD464" s="4">
        <f>IFERROR(__xludf.DUMMYFUNCTION("IFERROR(ABS(P464-AVERAGE(FILTER(O464:P4532,AA464:AA4532=""Neighbor""))) / STDEV(FILTER(P464:P4532, AA464:AA4532 =""Neighbor"")), """")"),1.4453058201550093)</f>
        <v>1.44530582</v>
      </c>
      <c r="AE464" s="2">
        <f>IFERROR(__xludf.DUMMYFUNCTION("IFERROR(ABS(Q464-AVERAGE(FILTER(Q464:Q4532,AA464:AA4532=""Neighbor""))) / STDEV(FILTER(Q464:Q4532, AA464:AA4532 =""Neighbor"")), """")"),0.3847518987553537)</f>
        <v>0.3847518988</v>
      </c>
      <c r="AF464" s="2">
        <f>IFERROR(__xludf.DUMMYFUNCTION("IFERROR(ABS(R464-AVERAGE(FILTER(R464:R4532,AA464:AA4532=""Neighbor""))) / STDEV(FILTER(R464:R4532, AA464:AA4532 =""Neighbor"")), """")"),0.09839767570601987)</f>
        <v>0.09839767571</v>
      </c>
    </row>
    <row r="465">
      <c r="A465" s="2" t="s">
        <v>28</v>
      </c>
      <c r="B465" s="2" t="s">
        <v>1711</v>
      </c>
      <c r="C465" s="2" t="s">
        <v>1818</v>
      </c>
      <c r="D465" s="2" t="s">
        <v>1919</v>
      </c>
      <c r="E465" s="2" t="s">
        <v>1920</v>
      </c>
      <c r="F465" s="2">
        <v>78.0</v>
      </c>
      <c r="G465" s="2">
        <v>1214.0</v>
      </c>
      <c r="H465" s="2" t="b">
        <v>1</v>
      </c>
      <c r="I465" s="2">
        <v>-1.0</v>
      </c>
      <c r="J465" s="2" t="b">
        <v>0</v>
      </c>
      <c r="K465" s="2" t="b">
        <v>0</v>
      </c>
      <c r="L465" s="2" t="b">
        <v>0</v>
      </c>
      <c r="M465" s="2" t="b">
        <v>0</v>
      </c>
      <c r="N465" s="2" t="s">
        <v>33</v>
      </c>
      <c r="O465" s="2">
        <v>45.0</v>
      </c>
      <c r="P465" s="2">
        <v>25.0</v>
      </c>
      <c r="Q465" s="2">
        <v>4.0</v>
      </c>
      <c r="R465" s="2">
        <v>1.0</v>
      </c>
      <c r="S465" s="3" t="s">
        <v>1921</v>
      </c>
      <c r="T465" s="2" t="s">
        <v>1922</v>
      </c>
      <c r="Y465" s="4" t="str">
        <f>IFERROR(__xludf.DUMMYFUNCTION("""COMPUTED_VALUE"""),"6.7057632")</f>
        <v>6.7057632</v>
      </c>
      <c r="Z465" s="4" t="str">
        <f>IFERROR(__xludf.DUMMYFUNCTION("""COMPUTED_VALUE"""),"3.2439364")</f>
        <v>3.2439364</v>
      </c>
      <c r="AA465" s="4" t="str">
        <f t="shared" si="1"/>
        <v>Neighbor</v>
      </c>
      <c r="AC465" s="4">
        <f>IFERROR(__xludf.DUMMYFUNCTION("IFERROR(ABS(O465-AVERAGE(FILTER(O465:O4533,AA465:AA4533=""Neighbor""))) / STDEV(FILTER(O465:O4533, AA465:AA4533 =""Neighbor"")), """")"),0.4875253674203077)</f>
        <v>0.4875253674</v>
      </c>
      <c r="AD465" s="4">
        <f>IFERROR(__xludf.DUMMYFUNCTION("IFERROR(ABS(P465-AVERAGE(FILTER(O465:P4533,AA465:AA4533=""Neighbor""))) / STDEV(FILTER(P465:P4533, AA465:AA4533 =""Neighbor"")), """")"),0.6379368568745727)</f>
        <v>0.6379368569</v>
      </c>
      <c r="AE465" s="2">
        <f>IFERROR(__xludf.DUMMYFUNCTION("IFERROR(ABS(Q465-AVERAGE(FILTER(Q465:Q4533,AA465:AA4533=""Neighbor""))) / STDEV(FILTER(Q465:Q4533, AA465:AA4533 =""Neighbor"")), """")"),0.8804840923526105)</f>
        <v>0.8804840924</v>
      </c>
      <c r="AF465" s="2">
        <f>IFERROR(__xludf.DUMMYFUNCTION("IFERROR(ABS(R465-AVERAGE(FILTER(R465:R4533,AA465:AA4533=""Neighbor""))) / STDEV(FILTER(R465:R4533, AA465:AA4533 =""Neighbor"")), """")"),0.08807276156746154)</f>
        <v>0.08807276157</v>
      </c>
    </row>
    <row r="466">
      <c r="A466" s="2" t="s">
        <v>28</v>
      </c>
      <c r="B466" s="2" t="s">
        <v>1711</v>
      </c>
      <c r="C466" s="2" t="s">
        <v>1818</v>
      </c>
      <c r="D466" s="2" t="s">
        <v>1923</v>
      </c>
      <c r="E466" s="2" t="s">
        <v>1924</v>
      </c>
      <c r="F466" s="2">
        <v>113.0</v>
      </c>
      <c r="G466" s="2">
        <v>1067.0</v>
      </c>
      <c r="H466" s="2" t="b">
        <v>1</v>
      </c>
      <c r="I466" s="2">
        <v>-1.0</v>
      </c>
      <c r="J466" s="2" t="b">
        <v>1</v>
      </c>
      <c r="K466" s="2" t="b">
        <v>0</v>
      </c>
      <c r="L466" s="2" t="b">
        <v>0</v>
      </c>
      <c r="M466" s="2" t="b">
        <v>0</v>
      </c>
      <c r="N466" s="2" t="s">
        <v>33</v>
      </c>
      <c r="O466" s="2">
        <v>70.0</v>
      </c>
      <c r="P466" s="2">
        <v>25.0</v>
      </c>
      <c r="Q466" s="2">
        <v>13.0</v>
      </c>
      <c r="R466" s="2">
        <v>2.0</v>
      </c>
      <c r="S466" s="3" t="s">
        <v>1925</v>
      </c>
      <c r="T466" s="2" t="s">
        <v>1926</v>
      </c>
      <c r="Y466" s="4" t="str">
        <f>IFERROR(__xludf.DUMMYFUNCTION("""COMPUTED_VALUE"""),"6.7022349")</f>
        <v>6.7022349</v>
      </c>
      <c r="Z466" s="4" t="str">
        <f>IFERROR(__xludf.DUMMYFUNCTION("""COMPUTED_VALUE"""),"3.2450829")</f>
        <v>3.2450829</v>
      </c>
      <c r="AA466" s="4" t="str">
        <f t="shared" si="1"/>
        <v>Neighbor</v>
      </c>
      <c r="AC466" s="4">
        <f>IFERROR(__xludf.DUMMYFUNCTION("IFERROR(ABS(O466-AVERAGE(FILTER(O466:O4534,AA466:AA4534=""Neighbor""))) / STDEV(FILTER(O466:O4534, AA466:AA4534 =""Neighbor"")), """")"),0.08221104311432421)</f>
        <v>0.08221104311</v>
      </c>
      <c r="AD466" s="4">
        <f>IFERROR(__xludf.DUMMYFUNCTION("IFERROR(ABS(P466-AVERAGE(FILTER(O466:P4534,AA466:AA4534=""Neighbor""))) / STDEV(FILTER(P466:P4534, AA466:AA4534 =""Neighbor"")), """")"),0.6379134954742808)</f>
        <v>0.6379134955</v>
      </c>
      <c r="AE466" s="2">
        <f>IFERROR(__xludf.DUMMYFUNCTION("IFERROR(ABS(Q466-AVERAGE(FILTER(Q466:Q4534,AA466:AA4534=""Neighbor""))) / STDEV(FILTER(Q466:Q4534, AA466:AA4534 =""Neighbor"")), """")"),0.5092345834679916)</f>
        <v>0.5092345835</v>
      </c>
      <c r="AF466" s="2">
        <f>IFERROR(__xludf.DUMMYFUNCTION("IFERROR(ABS(R466-AVERAGE(FILTER(R466:R4534,AA466:AA4534=""Neighbor""))) / STDEV(FILTER(R466:R4534, AA466:AA4534 =""Neighbor"")), """")"),0.27451103209922645)</f>
        <v>0.2745110321</v>
      </c>
    </row>
    <row r="467">
      <c r="A467" s="2" t="s">
        <v>28</v>
      </c>
      <c r="B467" s="2" t="s">
        <v>1711</v>
      </c>
      <c r="C467" s="2" t="s">
        <v>1818</v>
      </c>
      <c r="D467" s="2" t="s">
        <v>1927</v>
      </c>
      <c r="E467" s="2" t="s">
        <v>1928</v>
      </c>
      <c r="F467" s="2">
        <v>83.0</v>
      </c>
      <c r="G467" s="2">
        <v>956.0</v>
      </c>
      <c r="H467" s="2" t="b">
        <v>1</v>
      </c>
      <c r="I467" s="2">
        <v>-1.0</v>
      </c>
      <c r="J467" s="2" t="b">
        <v>0</v>
      </c>
      <c r="K467" s="2" t="b">
        <v>0</v>
      </c>
      <c r="L467" s="2" t="b">
        <v>0</v>
      </c>
      <c r="M467" s="2" t="b">
        <v>0</v>
      </c>
      <c r="N467" s="2" t="s">
        <v>33</v>
      </c>
      <c r="O467" s="2">
        <v>47.0</v>
      </c>
      <c r="P467" s="2">
        <v>18.0</v>
      </c>
      <c r="Q467" s="2">
        <v>7.0</v>
      </c>
      <c r="R467" s="2">
        <v>2.0</v>
      </c>
      <c r="S467" s="3" t="s">
        <v>1929</v>
      </c>
      <c r="T467" s="2" t="s">
        <v>1930</v>
      </c>
      <c r="Y467" s="4" t="str">
        <f>IFERROR(__xludf.DUMMYFUNCTION("""COMPUTED_VALUE"""),"6.6926435")</f>
        <v>6.6926435</v>
      </c>
      <c r="Z467" s="4" t="str">
        <f>IFERROR(__xludf.DUMMYFUNCTION("""COMPUTED_VALUE"""),"3.236561")</f>
        <v>3.236561</v>
      </c>
      <c r="AA467" s="4" t="str">
        <f t="shared" si="1"/>
        <v>Neighbor</v>
      </c>
      <c r="AC467" s="4">
        <f>IFERROR(__xludf.DUMMYFUNCTION("IFERROR(ABS(O467-AVERAGE(FILTER(O467:O4535,AA467:AA4535=""Neighbor""))) / STDEV(FILTER(O467:O4535, AA467:AA4535 =""Neighbor"")), """")"),0.44193006168344007)</f>
        <v>0.4419300617</v>
      </c>
      <c r="AD467" s="4">
        <f>IFERROR(__xludf.DUMMYFUNCTION("IFERROR(ABS(P467-AVERAGE(FILTER(O467:P4535,AA467:AA4535=""Neighbor""))) / STDEV(FILTER(P467:P4535, AA467:AA4535 =""Neighbor"")), """")"),0.9125463076326467)</f>
        <v>0.9125463076</v>
      </c>
      <c r="AE467" s="2">
        <f>IFERROR(__xludf.DUMMYFUNCTION("IFERROR(ABS(Q467-AVERAGE(FILTER(Q467:Q4535,AA467:AA4535=""Neighbor""))) / STDEV(FILTER(Q467:Q4535, AA467:AA4535 =""Neighbor"")), """")"),0.7572348997899291)</f>
        <v>0.7572348998</v>
      </c>
      <c r="AF467" s="2">
        <f>IFERROR(__xludf.DUMMYFUNCTION("IFERROR(ABS(R467-AVERAGE(FILTER(R467:R4535,AA467:AA4535=""Neighbor""))) / STDEV(FILTER(R467:R4535, AA467:AA4535 =""Neighbor"")), """")"),0.2746095589578789)</f>
        <v>0.274609559</v>
      </c>
    </row>
    <row r="468">
      <c r="A468" s="2" t="s">
        <v>28</v>
      </c>
      <c r="B468" s="2" t="s">
        <v>1711</v>
      </c>
      <c r="C468" s="2" t="s">
        <v>1818</v>
      </c>
      <c r="D468" s="2" t="s">
        <v>1931</v>
      </c>
      <c r="E468" s="2" t="s">
        <v>1932</v>
      </c>
      <c r="F468" s="2">
        <v>199.0</v>
      </c>
      <c r="G468" s="2">
        <v>1588.0</v>
      </c>
      <c r="H468" s="2" t="b">
        <v>1</v>
      </c>
      <c r="I468" s="2">
        <v>-1.0</v>
      </c>
      <c r="J468" s="2" t="b">
        <v>0</v>
      </c>
      <c r="K468" s="2" t="b">
        <v>1</v>
      </c>
      <c r="L468" s="2" t="b">
        <v>0</v>
      </c>
      <c r="M468" s="2" t="b">
        <v>0</v>
      </c>
      <c r="N468" s="2" t="s">
        <v>33</v>
      </c>
      <c r="O468" s="2">
        <v>107.0</v>
      </c>
      <c r="P468" s="2">
        <v>51.0</v>
      </c>
      <c r="Q468" s="2">
        <v>20.0</v>
      </c>
      <c r="R468" s="2">
        <v>0.0</v>
      </c>
      <c r="S468" s="3" t="s">
        <v>1933</v>
      </c>
      <c r="T468" s="2" t="s">
        <v>1934</v>
      </c>
      <c r="Y468" s="4" t="str">
        <f>IFERROR(__xludf.DUMMYFUNCTION("""COMPUTED_VALUE"""),"6.6927446")</f>
        <v>6.6927446</v>
      </c>
      <c r="Z468" s="4" t="str">
        <f>IFERROR(__xludf.DUMMYFUNCTION("""COMPUTED_VALUE"""),"3.2364854")</f>
        <v>3.2364854</v>
      </c>
      <c r="AA468" s="4" t="str">
        <f t="shared" si="1"/>
        <v>Neighbor</v>
      </c>
      <c r="AC468" s="4">
        <f>IFERROR(__xludf.DUMMYFUNCTION("IFERROR(ABS(O468-AVERAGE(FILTER(O468:O4536,AA468:AA4536=""Neighbor""))) / STDEV(FILTER(O468:O4536, AA468:AA4536 =""Neighbor"")), """")"),0.9249223574298753)</f>
        <v>0.9249223574</v>
      </c>
      <c r="AD468" s="4">
        <f>IFERROR(__xludf.DUMMYFUNCTION("IFERROR(ABS(P468-AVERAGE(FILTER(O468:P4536,AA468:AA4536=""Neighbor""))) / STDEV(FILTER(P468:P4536, AA468:AA4536 =""Neighbor"")), """")"),0.38345067925042425)</f>
        <v>0.3834506793</v>
      </c>
      <c r="AE468" s="2">
        <f>IFERROR(__xludf.DUMMYFUNCTION("IFERROR(ABS(Q468-AVERAGE(FILTER(Q468:Q4536,AA468:AA4536=""Neighbor""))) / STDEV(FILTER(Q468:Q4536, AA468:AA4536 =""Neighbor"")), """")"),0.22083945855966342)</f>
        <v>0.2208394586</v>
      </c>
      <c r="AF468" s="2">
        <f>IFERROR(__xludf.DUMMYFUNCTION("IFERROR(ABS(R468-AVERAGE(FILTER(R468:R4536,AA468:AA4536=""Neighbor""))) / STDEV(FILTER(R468:R4536, AA468:AA4536 =""Neighbor"")), """")"),0.09787880276633817)</f>
        <v>0.09787880277</v>
      </c>
    </row>
    <row r="469">
      <c r="A469" s="2" t="s">
        <v>28</v>
      </c>
      <c r="B469" s="2" t="s">
        <v>1711</v>
      </c>
      <c r="C469" s="2" t="s">
        <v>1818</v>
      </c>
      <c r="D469" s="2" t="s">
        <v>1935</v>
      </c>
      <c r="E469" s="2" t="s">
        <v>1936</v>
      </c>
      <c r="F469" s="2">
        <v>179.0</v>
      </c>
      <c r="G469" s="2">
        <v>1462.0</v>
      </c>
      <c r="H469" s="2" t="b">
        <v>1</v>
      </c>
      <c r="I469" s="2">
        <v>-1.0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s">
        <v>33</v>
      </c>
      <c r="O469" s="2">
        <v>112.0</v>
      </c>
      <c r="P469" s="2">
        <v>41.0</v>
      </c>
      <c r="Q469" s="2">
        <v>17.0</v>
      </c>
      <c r="R469" s="2">
        <v>1.0</v>
      </c>
      <c r="S469" s="3" t="s">
        <v>1937</v>
      </c>
      <c r="T469" s="2" t="s">
        <v>1938</v>
      </c>
      <c r="Y469" s="4" t="str">
        <f>IFERROR(__xludf.DUMMYFUNCTION("""COMPUTED_VALUE"""),"6.6944116")</f>
        <v>6.6944116</v>
      </c>
      <c r="Z469" s="4" t="str">
        <f>IFERROR(__xludf.DUMMYFUNCTION("""COMPUTED_VALUE"""),"3.2352332")</f>
        <v>3.2352332</v>
      </c>
      <c r="AA469" s="4" t="str">
        <f t="shared" si="1"/>
        <v>Neighbor</v>
      </c>
      <c r="AC469" s="4">
        <f>IFERROR(__xludf.DUMMYFUNCTION("IFERROR(ABS(O469-AVERAGE(FILTER(O469:O4537,AA469:AA4537=""Neighbor""))) / STDEV(FILTER(O469:O4537, AA469:AA4537 =""Neighbor"")), """")"),1.0394100355766827)</f>
        <v>1.039410036</v>
      </c>
      <c r="AD469" s="4">
        <f>IFERROR(__xludf.DUMMYFUNCTION("IFERROR(ABS(P469-AVERAGE(FILTER(O469:P4537,AA469:AA4537=""Neighbor""))) / STDEV(FILTER(P469:P4537, AA469:AA4537 =""Neighbor"")), """")"),0.008263672074155046)</f>
        <v>0.008263672074</v>
      </c>
      <c r="AE469" s="2">
        <f>IFERROR(__xludf.DUMMYFUNCTION("IFERROR(ABS(Q469-AVERAGE(FILTER(Q469:Q4537,AA469:AA4537=""Neighbor""))) / STDEV(FILTER(Q469:Q4537, AA469:AA4537 =""Neighbor"")), """")"),0.3447528982079311)</f>
        <v>0.3447528982</v>
      </c>
      <c r="AF469" s="2">
        <f>IFERROR(__xludf.DUMMYFUNCTION("IFERROR(ABS(R469-AVERAGE(FILTER(R469:R4537,AA469:AA4537=""Neighbor""))) / STDEV(FILTER(R469:R4537, AA469:AA4537 =""Neighbor"")), """")"),0.08831995383724234)</f>
        <v>0.08831995384</v>
      </c>
    </row>
    <row r="470">
      <c r="A470" s="2" t="s">
        <v>28</v>
      </c>
      <c r="B470" s="2" t="s">
        <v>1711</v>
      </c>
      <c r="C470" s="2" t="s">
        <v>1818</v>
      </c>
      <c r="D470" s="2" t="s">
        <v>1939</v>
      </c>
      <c r="E470" s="2" t="s">
        <v>1940</v>
      </c>
      <c r="F470" s="2">
        <v>344.0</v>
      </c>
      <c r="G470" s="2">
        <v>2373.0</v>
      </c>
      <c r="H470" s="2" t="b">
        <v>1</v>
      </c>
      <c r="I470" s="2">
        <v>-1.0</v>
      </c>
      <c r="J470" s="2" t="b">
        <v>0</v>
      </c>
      <c r="K470" s="2" t="b">
        <v>1</v>
      </c>
      <c r="L470" s="2" t="b">
        <v>0</v>
      </c>
      <c r="M470" s="2" t="b">
        <v>0</v>
      </c>
      <c r="N470" s="2" t="s">
        <v>33</v>
      </c>
      <c r="O470" s="2">
        <v>141.0</v>
      </c>
      <c r="P470" s="2">
        <v>171.0</v>
      </c>
      <c r="Q470" s="2">
        <v>16.0</v>
      </c>
      <c r="R470" s="2">
        <v>2.0</v>
      </c>
      <c r="S470" s="3" t="s">
        <v>1941</v>
      </c>
      <c r="T470" s="2" t="s">
        <v>1942</v>
      </c>
      <c r="Y470" s="4" t="str">
        <f>IFERROR(__xludf.DUMMYFUNCTION("""COMPUTED_VALUE"""),"6.6926435")</f>
        <v>6.6926435</v>
      </c>
      <c r="Z470" s="4" t="str">
        <f>IFERROR(__xludf.DUMMYFUNCTION("""COMPUTED_VALUE"""),"3.236561")</f>
        <v>3.236561</v>
      </c>
      <c r="AA470" s="4" t="str">
        <f t="shared" si="1"/>
        <v>Not Neighbor</v>
      </c>
      <c r="AC470" s="4">
        <f>IFERROR(__xludf.DUMMYFUNCTION("IFERROR(ABS(O470-AVERAGE(FILTER(O470:O4538,AA470:AA4538=""Neighbor""))) / STDEV(FILTER(O470:O4538, AA470:AA4538 =""Neighbor"")), """")"),1.700850748473523)</f>
        <v>1.700850748</v>
      </c>
      <c r="AD470" s="4">
        <f>IFERROR(__xludf.DUMMYFUNCTION("IFERROR(ABS(P470-AVERAGE(FILTER(O470:P4538,AA470:AA4538=""Neighbor""))) / STDEV(FILTER(P470:P4538, AA470:AA4538 =""Neighbor"")), """")"),5.099259133323422)</f>
        <v>5.099259133</v>
      </c>
      <c r="AE470" s="2">
        <f>IFERROR(__xludf.DUMMYFUNCTION("IFERROR(ABS(Q470-AVERAGE(FILTER(Q470:Q4538,AA470:AA4538=""Neighbor""))) / STDEV(FILTER(Q470:Q4538, AA470:AA4538 =""Neighbor"")), """")"),0.3861484129437194)</f>
        <v>0.3861484129</v>
      </c>
      <c r="AF470" s="2">
        <f>IFERROR(__xludf.DUMMYFUNCTION("IFERROR(ABS(R470-AVERAGE(FILTER(R470:R4538,AA470:AA4538=""Neighbor""))) / STDEV(FILTER(R470:R4538, AA470:AA4538 =""Neighbor"")), """")"),0.2745196459990347)</f>
        <v>0.274519646</v>
      </c>
    </row>
    <row r="471">
      <c r="A471" s="2" t="s">
        <v>28</v>
      </c>
      <c r="B471" s="2" t="s">
        <v>1711</v>
      </c>
      <c r="C471" s="2" t="s">
        <v>1943</v>
      </c>
      <c r="D471" s="2" t="s">
        <v>1944</v>
      </c>
      <c r="E471" s="2" t="s">
        <v>1945</v>
      </c>
      <c r="F471" s="2">
        <v>183.0</v>
      </c>
      <c r="G471" s="2">
        <v>1377.0</v>
      </c>
      <c r="H471" s="2" t="b">
        <v>1</v>
      </c>
      <c r="I471" s="2">
        <v>-1.0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s">
        <v>33</v>
      </c>
      <c r="O471" s="2">
        <v>96.0</v>
      </c>
      <c r="P471" s="2">
        <v>45.0</v>
      </c>
      <c r="Q471" s="2">
        <v>19.0</v>
      </c>
      <c r="R471" s="2">
        <v>0.0</v>
      </c>
      <c r="S471" s="3" t="s">
        <v>1946</v>
      </c>
      <c r="T471" s="2" t="s">
        <v>1947</v>
      </c>
      <c r="Y471" s="4" t="str">
        <f>IFERROR(__xludf.DUMMYFUNCTION("""COMPUTED_VALUE"""),"6.6501712")</f>
        <v>6.6501712</v>
      </c>
      <c r="Z471" s="4" t="str">
        <f>IFERROR(__xludf.DUMMYFUNCTION("""COMPUTED_VALUE"""),"3.2549778")</f>
        <v>3.2549778</v>
      </c>
      <c r="AA471" s="4" t="str">
        <f t="shared" si="1"/>
        <v>Not Neighbor</v>
      </c>
      <c r="AC471" s="4">
        <f>IFERROR(__xludf.DUMMYFUNCTION("IFERROR(ABS(O471-AVERAGE(FILTER(O471:O4539,AA471:AA4539=""Neighbor""))) / STDEV(FILTER(O471:O4539, AA471:AA4539 =""Neighbor"")), """")"),0.6756006335300542)</f>
        <v>0.6756006335</v>
      </c>
      <c r="AD471" s="4">
        <f>IFERROR(__xludf.DUMMYFUNCTION("IFERROR(ABS(P471-AVERAGE(FILTER(O471:P4539,AA471:AA4539=""Neighbor""))) / STDEV(FILTER(P471:P4539, AA471:AA4539 =""Neighbor"")), """")"),0.1497902933497483)</f>
        <v>0.1497902933</v>
      </c>
      <c r="AE471" s="2">
        <f>IFERROR(__xludf.DUMMYFUNCTION("IFERROR(ABS(Q471-AVERAGE(FILTER(Q471:Q4539,AA471:AA4539=""Neighbor""))) / STDEV(FILTER(Q471:Q4539, AA471:AA4539 =""Neighbor"")), """")"),0.26234890029609775)</f>
        <v>0.2623489003</v>
      </c>
      <c r="AF471" s="2">
        <f>IFERROR(__xludf.DUMMYFUNCTION("IFERROR(ABS(R471-AVERAGE(FILTER(R471:R4539,AA471:AA4539=""Neighbor""))) / STDEV(FILTER(R471:R4539, AA471:AA4539 =""Neighbor"")), """")"),0.09782020976361426)</f>
        <v>0.09782020976</v>
      </c>
    </row>
    <row r="472">
      <c r="A472" s="2" t="s">
        <v>28</v>
      </c>
      <c r="B472" s="2" t="s">
        <v>1711</v>
      </c>
      <c r="C472" s="2" t="s">
        <v>1943</v>
      </c>
      <c r="D472" s="2" t="s">
        <v>1948</v>
      </c>
      <c r="E472" s="2" t="s">
        <v>1949</v>
      </c>
      <c r="F472" s="2">
        <v>328.0</v>
      </c>
      <c r="G472" s="2">
        <v>2380.0</v>
      </c>
      <c r="H472" s="2" t="b">
        <v>1</v>
      </c>
      <c r="I472" s="2">
        <v>-1.0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s">
        <v>33</v>
      </c>
      <c r="O472" s="2">
        <v>156.0</v>
      </c>
      <c r="P472" s="2">
        <v>115.0</v>
      </c>
      <c r="Q472" s="2">
        <v>33.0</v>
      </c>
      <c r="R472" s="2">
        <v>3.0</v>
      </c>
      <c r="S472" s="3" t="s">
        <v>1950</v>
      </c>
      <c r="T472" s="2" t="s">
        <v>1951</v>
      </c>
      <c r="Y472" s="4" t="str">
        <f>IFERROR(__xludf.DUMMYFUNCTION("""COMPUTED_VALUE"""),"6.7065913")</f>
        <v>6.7065913</v>
      </c>
      <c r="Z472" s="4" t="str">
        <f>IFERROR(__xludf.DUMMYFUNCTION("""COMPUTED_VALUE"""),"3.2469321")</f>
        <v>3.2469321</v>
      </c>
      <c r="AA472" s="4" t="str">
        <f t="shared" si="1"/>
        <v>Neighbor</v>
      </c>
      <c r="AC472" s="4">
        <f>IFERROR(__xludf.DUMMYFUNCTION("IFERROR(ABS(O472-AVERAGE(FILTER(O472:O4540,AA472:AA4540=""Neighbor""))) / STDEV(FILTER(O472:O4540, AA472:AA4540 =""Neighbor"")), """")"),2.0426007867880123)</f>
        <v>2.042600787</v>
      </c>
      <c r="AD472" s="4">
        <f>IFERROR(__xludf.DUMMYFUNCTION("IFERROR(ABS(P472-AVERAGE(FILTER(O472:P4540,AA472:AA4540=""Neighbor""))) / STDEV(FILTER(P472:P4540, AA472:AA4540 =""Neighbor"")), """")"),2.8994952044462337)</f>
        <v>2.899495204</v>
      </c>
      <c r="AE472" s="2">
        <f>IFERROR(__xludf.DUMMYFUNCTION("IFERROR(ABS(Q472-AVERAGE(FILTER(Q472:Q4540,AA472:AA4540=""Neighbor""))) / STDEV(FILTER(Q472:Q4540, AA472:AA4540 =""Neighbor"")), """")"),0.31538215872613656)</f>
        <v>0.3153821587</v>
      </c>
      <c r="AF472" s="2">
        <f>IFERROR(__xludf.DUMMYFUNCTION("IFERROR(ABS(R472-AVERAGE(FILTER(R472:R4540,AA472:AA4540=""Neighbor""))) / STDEV(FILTER(R472:R4540, AA472:AA4540 =""Neighbor"")), """")"),0.4606895738803592)</f>
        <v>0.4606895739</v>
      </c>
    </row>
    <row r="473">
      <c r="A473" s="2" t="s">
        <v>28</v>
      </c>
      <c r="B473" s="2" t="s">
        <v>1711</v>
      </c>
      <c r="C473" s="2" t="s">
        <v>1943</v>
      </c>
      <c r="D473" s="2" t="s">
        <v>1952</v>
      </c>
      <c r="E473" s="2" t="s">
        <v>1953</v>
      </c>
      <c r="F473" s="2">
        <v>252.0</v>
      </c>
      <c r="G473" s="2">
        <v>1205.0</v>
      </c>
      <c r="H473" s="2" t="b">
        <v>1</v>
      </c>
      <c r="I473" s="2">
        <v>-1.0</v>
      </c>
      <c r="J473" s="2" t="b">
        <v>0</v>
      </c>
      <c r="K473" s="2" t="b">
        <v>1</v>
      </c>
      <c r="L473" s="2" t="b">
        <v>0</v>
      </c>
      <c r="M473" s="2" t="b">
        <v>0</v>
      </c>
      <c r="N473" s="2" t="s">
        <v>33</v>
      </c>
      <c r="O473" s="2">
        <v>122.0</v>
      </c>
      <c r="P473" s="2">
        <v>52.0</v>
      </c>
      <c r="Q473" s="2">
        <v>64.0</v>
      </c>
      <c r="R473" s="2">
        <v>1.0</v>
      </c>
      <c r="S473" s="3" t="s">
        <v>1954</v>
      </c>
      <c r="T473" s="2" t="s">
        <v>1955</v>
      </c>
      <c r="Y473" s="4" t="str">
        <f>IFERROR(__xludf.DUMMYFUNCTION("""COMPUTED_VALUE"""),"6.710554")</f>
        <v>6.710554</v>
      </c>
      <c r="Z473" s="4" t="str">
        <f>IFERROR(__xludf.DUMMYFUNCTION("""COMPUTED_VALUE"""),"3.2447509")</f>
        <v>3.2447509</v>
      </c>
      <c r="AA473" s="4" t="str">
        <f t="shared" si="1"/>
        <v>Neighbor</v>
      </c>
      <c r="AC473" s="4">
        <f>IFERROR(__xludf.DUMMYFUNCTION("IFERROR(ABS(O473-AVERAGE(FILTER(O473:O4541,AA473:AA4541=""Neighbor""))) / STDEV(FILTER(O473:O4541, AA473:AA4541 =""Neighbor"")), """")"),1.2706882328925102)</f>
        <v>1.270688233</v>
      </c>
      <c r="AD473" s="4">
        <f>IFERROR(__xludf.DUMMYFUNCTION("IFERROR(ABS(P473-AVERAGE(FILTER(O473:P4541,AA473:AA4541=""Neighbor""))) / STDEV(FILTER(P473:P4541, AA473:AA4541 =""Neighbor"")), """")"),0.42927910228707095)</f>
        <v>0.4292791023</v>
      </c>
      <c r="AE473" s="2">
        <f>IFERROR(__xludf.DUMMYFUNCTION("IFERROR(ABS(Q473-AVERAGE(FILTER(Q473:Q4541,AA473:AA4541=""Neighbor""))) / STDEV(FILTER(Q473:Q4541, AA473:AA4541 =""Neighbor"")), """")"),1.5943739759082414)</f>
        <v>1.594373976</v>
      </c>
      <c r="AF473" s="2">
        <f>IFERROR(__xludf.DUMMYFUNCTION("IFERROR(ABS(R473-AVERAGE(FILTER(R473:R4541,AA473:AA4541=""Neighbor""))) / STDEV(FILTER(R473:R4541, AA473:AA4541 =""Neighbor"")), """")"),0.08863489249746385)</f>
        <v>0.0886348925</v>
      </c>
    </row>
    <row r="474">
      <c r="A474" s="2" t="s">
        <v>28</v>
      </c>
      <c r="B474" s="2" t="s">
        <v>1711</v>
      </c>
      <c r="C474" s="2" t="s">
        <v>1943</v>
      </c>
      <c r="D474" s="2" t="s">
        <v>1956</v>
      </c>
      <c r="E474" s="2" t="s">
        <v>1957</v>
      </c>
      <c r="F474" s="2">
        <v>227.0</v>
      </c>
      <c r="G474" s="2">
        <v>1317.0</v>
      </c>
      <c r="H474" s="2" t="b">
        <v>1</v>
      </c>
      <c r="I474" s="2">
        <v>-1.0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s">
        <v>33</v>
      </c>
      <c r="O474" s="2">
        <v>125.0</v>
      </c>
      <c r="P474" s="2">
        <v>56.0</v>
      </c>
      <c r="Q474" s="2">
        <v>14.0</v>
      </c>
      <c r="R474" s="2">
        <v>0.0</v>
      </c>
      <c r="S474" s="3" t="s">
        <v>1958</v>
      </c>
      <c r="T474" s="2" t="s">
        <v>1959</v>
      </c>
      <c r="Y474" s="4" t="str">
        <f>IFERROR(__xludf.DUMMYFUNCTION("""COMPUTED_VALUE"""),"6.710554")</f>
        <v>6.710554</v>
      </c>
      <c r="Z474" s="4" t="str">
        <f>IFERROR(__xludf.DUMMYFUNCTION("""COMPUTED_VALUE"""),"3.2447509")</f>
        <v>3.2447509</v>
      </c>
      <c r="AA474" s="4" t="str">
        <f t="shared" si="1"/>
        <v>Not Neighbor</v>
      </c>
      <c r="AC474" s="4">
        <f>IFERROR(__xludf.DUMMYFUNCTION("IFERROR(ABS(O474-AVERAGE(FILTER(O474:O4542,AA474:AA4542=""Neighbor""))) / STDEV(FILTER(O474:O4542, AA474:AA4542 =""Neighbor"")), """")"),1.3402395143634003)</f>
        <v>1.340239514</v>
      </c>
      <c r="AD474" s="4">
        <f>IFERROR(__xludf.DUMMYFUNCTION("IFERROR(ABS(P474-AVERAGE(FILTER(O474:P4542,AA474:AA4542=""Neighbor""))) / STDEV(FILTER(P474:P4542, AA474:AA4542 =""Neighbor"")), """")"),0.5885700782471163)</f>
        <v>0.5885700782</v>
      </c>
      <c r="AE474" s="2">
        <f>IFERROR(__xludf.DUMMYFUNCTION("IFERROR(ABS(Q474-AVERAGE(FILTER(Q474:Q4542,AA474:AA4542=""Neighbor""))) / STDEV(FILTER(Q474:Q4542, AA474:AA4542 =""Neighbor"")), """")"),0.46750234240811767)</f>
        <v>0.4675023424</v>
      </c>
      <c r="AF474" s="2">
        <f>IFERROR(__xludf.DUMMYFUNCTION("IFERROR(ABS(R474-AVERAGE(FILTER(R474:R4542,AA474:AA4542=""Neighbor""))) / STDEV(FILTER(R474:R4542, AA474:AA4542 =""Neighbor"")), """")"),0.09739411023341248)</f>
        <v>0.09739411023</v>
      </c>
    </row>
    <row r="475">
      <c r="A475" s="2" t="s">
        <v>28</v>
      </c>
      <c r="B475" s="2" t="s">
        <v>1711</v>
      </c>
      <c r="C475" s="2" t="s">
        <v>1943</v>
      </c>
      <c r="D475" s="2" t="s">
        <v>1960</v>
      </c>
      <c r="E475" s="2" t="s">
        <v>1961</v>
      </c>
      <c r="F475" s="2">
        <v>216.0</v>
      </c>
      <c r="G475" s="2">
        <v>1289.0</v>
      </c>
      <c r="H475" s="2" t="b">
        <v>1</v>
      </c>
      <c r="I475" s="2">
        <v>-1.0</v>
      </c>
      <c r="J475" s="2" t="b">
        <v>0</v>
      </c>
      <c r="K475" s="2" t="b">
        <v>0</v>
      </c>
      <c r="L475" s="2" t="b">
        <v>0</v>
      </c>
      <c r="M475" s="2" t="b">
        <v>0</v>
      </c>
      <c r="N475" s="2" t="s">
        <v>33</v>
      </c>
      <c r="O475" s="2">
        <v>108.0</v>
      </c>
      <c r="P475" s="2">
        <v>41.0</v>
      </c>
      <c r="Q475" s="2">
        <v>58.0</v>
      </c>
      <c r="R475" s="2">
        <v>0.0</v>
      </c>
      <c r="S475" s="3" t="s">
        <v>1962</v>
      </c>
      <c r="T475" s="2" t="s">
        <v>1963</v>
      </c>
      <c r="Y475" s="4" t="str">
        <f>IFERROR(__xludf.DUMMYFUNCTION("""COMPUTED_VALUE"""),"6.6117188")</f>
        <v>6.6117188</v>
      </c>
      <c r="Z475" s="4" t="str">
        <f>IFERROR(__xludf.DUMMYFUNCTION("""COMPUTED_VALUE"""),"3.0576199")</f>
        <v>3.0576199</v>
      </c>
      <c r="AA475" s="4" t="str">
        <f t="shared" si="1"/>
        <v>Not Neighbor</v>
      </c>
      <c r="AC475" s="4">
        <f>IFERROR(__xludf.DUMMYFUNCTION("IFERROR(ABS(O475-AVERAGE(FILTER(O475:O4543,AA475:AA4543=""Neighbor""))) / STDEV(FILTER(O475:O4543, AA475:AA4543 =""Neighbor"")), """")"),0.952429951500467)</f>
        <v>0.9524299515</v>
      </c>
      <c r="AD475" s="4">
        <f>IFERROR(__xludf.DUMMYFUNCTION("IFERROR(ABS(P475-AVERAGE(FILTER(O475:P4543,AA475:AA4543=""Neighbor""))) / STDEV(FILTER(P475:P4543, AA475:AA4543 =""Neighbor"")), """")"),0.0036650835526930844)</f>
        <v>0.003665083553</v>
      </c>
      <c r="AE475" s="2">
        <f>IFERROR(__xludf.DUMMYFUNCTION("IFERROR(ABS(Q475-AVERAGE(FILTER(Q475:Q4543,AA475:AA4543=""Neighbor""))) / STDEV(FILTER(Q475:Q4543, AA475:AA4543 =""Neighbor"")), """")"),1.3486165861916877)</f>
        <v>1.348616586</v>
      </c>
      <c r="AF475" s="2">
        <f>IFERROR(__xludf.DUMMYFUNCTION("IFERROR(ABS(R475-AVERAGE(FILTER(R475:R4543,AA475:AA4543=""Neighbor""))) / STDEV(FILTER(R475:R4543, AA475:AA4543 =""Neighbor"")), """")"),0.09739411023341248)</f>
        <v>0.09739411023</v>
      </c>
    </row>
    <row r="476">
      <c r="A476" s="2" t="s">
        <v>28</v>
      </c>
      <c r="B476" s="2" t="s">
        <v>1711</v>
      </c>
      <c r="C476" s="2" t="s">
        <v>1943</v>
      </c>
      <c r="D476" s="2" t="s">
        <v>1964</v>
      </c>
      <c r="E476" s="2" t="s">
        <v>1965</v>
      </c>
      <c r="F476" s="2">
        <v>145.0</v>
      </c>
      <c r="G476" s="2">
        <v>750.0</v>
      </c>
      <c r="H476" s="2" t="b">
        <v>1</v>
      </c>
      <c r="I476" s="2">
        <v>-1.0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s">
        <v>33</v>
      </c>
      <c r="O476" s="2">
        <v>71.0</v>
      </c>
      <c r="P476" s="2">
        <v>23.0</v>
      </c>
      <c r="Q476" s="2">
        <v>20.0</v>
      </c>
      <c r="R476" s="2">
        <v>0.0</v>
      </c>
      <c r="S476" s="3" t="s">
        <v>1966</v>
      </c>
      <c r="T476" s="2" t="s">
        <v>1967</v>
      </c>
      <c r="Y476" s="4" t="str">
        <f>IFERROR(__xludf.DUMMYFUNCTION("""COMPUTED_VALUE"""),"6.7131466")</f>
        <v>6.7131466</v>
      </c>
      <c r="Z476" s="4" t="str">
        <f>IFERROR(__xludf.DUMMYFUNCTION("""COMPUTED_VALUE"""),"3.2328121")</f>
        <v>3.2328121</v>
      </c>
      <c r="AA476" s="4" t="str">
        <f t="shared" si="1"/>
        <v>Not Neighbor</v>
      </c>
      <c r="AC476" s="4">
        <f>IFERROR(__xludf.DUMMYFUNCTION("IFERROR(ABS(O476-AVERAGE(FILTER(O476:O4544,AA476:AA4544=""Neighbor""))) / STDEV(FILTER(O476:O4544, AA476:AA4544 =""Neighbor"")), """")"),0.10837384409290628)</f>
        <v>0.1083738441</v>
      </c>
      <c r="AD476" s="4">
        <f>IFERROR(__xludf.DUMMYFUNCTION("IFERROR(ABS(P476-AVERAGE(FILTER(O476:P4544,AA476:AA4544=""Neighbor""))) / STDEV(FILTER(P476:P4544, AA476:AA4544 =""Neighbor"")), """")"),0.7143472777124643)</f>
        <v>0.7143472777</v>
      </c>
      <c r="AE476" s="2">
        <f>IFERROR(__xludf.DUMMYFUNCTION("IFERROR(ABS(Q476-AVERAGE(FILTER(Q476:Q4544,AA476:AA4544=""Neighbor""))) / STDEV(FILTER(Q476:Q4544, AA476:AA4544 =""Neighbor"")), """")"),0.21984976123541694)</f>
        <v>0.2198497612</v>
      </c>
      <c r="AF476" s="2">
        <f>IFERROR(__xludf.DUMMYFUNCTION("IFERROR(ABS(R476-AVERAGE(FILTER(R476:R4544,AA476:AA4544=""Neighbor""))) / STDEV(FILTER(R476:R4544, AA476:AA4544 =""Neighbor"")), """")"),0.09739411023341248)</f>
        <v>0.09739411023</v>
      </c>
    </row>
    <row r="477">
      <c r="A477" s="2" t="s">
        <v>28</v>
      </c>
      <c r="B477" s="2" t="s">
        <v>1711</v>
      </c>
      <c r="C477" s="2" t="s">
        <v>1943</v>
      </c>
      <c r="D477" s="2" t="s">
        <v>1968</v>
      </c>
      <c r="E477" s="2" t="s">
        <v>1969</v>
      </c>
      <c r="F477" s="2">
        <v>221.0</v>
      </c>
      <c r="G477" s="2">
        <v>1090.0</v>
      </c>
      <c r="H477" s="2" t="b">
        <v>1</v>
      </c>
      <c r="I477" s="2">
        <v>-1.0</v>
      </c>
      <c r="J477" s="2" t="b">
        <v>0</v>
      </c>
      <c r="K477" s="2" t="b">
        <v>0</v>
      </c>
      <c r="L477" s="2" t="b">
        <v>0</v>
      </c>
      <c r="M477" s="2" t="b">
        <v>0</v>
      </c>
      <c r="N477" s="2" t="s">
        <v>33</v>
      </c>
      <c r="O477" s="2">
        <v>109.0</v>
      </c>
      <c r="P477" s="2">
        <v>20.0</v>
      </c>
      <c r="Q477" s="2">
        <v>80.0</v>
      </c>
      <c r="R477" s="2">
        <v>0.0</v>
      </c>
      <c r="S477" s="3" t="s">
        <v>1970</v>
      </c>
      <c r="T477" s="2" t="s">
        <v>1971</v>
      </c>
      <c r="Y477" s="4" t="str">
        <f>IFERROR(__xludf.DUMMYFUNCTION("""COMPUTED_VALUE"""),"6.6117188")</f>
        <v>6.6117188</v>
      </c>
      <c r="Z477" s="4" t="str">
        <f>IFERROR(__xludf.DUMMYFUNCTION("""COMPUTED_VALUE"""),"3.0576199")</f>
        <v>3.0576199</v>
      </c>
      <c r="AA477" s="4" t="str">
        <f t="shared" si="1"/>
        <v>Not Neighbor</v>
      </c>
      <c r="AC477" s="4">
        <f>IFERROR(__xludf.DUMMYFUNCTION("IFERROR(ABS(O477-AVERAGE(FILTER(O477:O4545,AA477:AA4545=""Neighbor""))) / STDEV(FILTER(O477:O4545, AA477:AA4545 =""Neighbor"")), """")"),0.9752422787276984)</f>
        <v>0.9752422787</v>
      </c>
      <c r="AD477" s="4">
        <f>IFERROR(__xludf.DUMMYFUNCTION("IFERROR(ABS(P477-AVERAGE(FILTER(O477:P4545,AA477:AA4545=""Neighbor""))) / STDEV(FILTER(P477:P4545, AA477:AA4545 =""Neighbor"")), """")"),0.8327943100724262)</f>
        <v>0.8327943101</v>
      </c>
      <c r="AE477" s="2">
        <f>IFERROR(__xludf.DUMMYFUNCTION("IFERROR(ABS(Q477-AVERAGE(FILTER(Q477:Q4545,AA477:AA4545=""Neighbor""))) / STDEV(FILTER(Q477:Q4545, AA477:AA4545 =""Neighbor"")), """")"),2.25667605049159)</f>
        <v>2.25667605</v>
      </c>
      <c r="AF477" s="2">
        <f>IFERROR(__xludf.DUMMYFUNCTION("IFERROR(ABS(R477-AVERAGE(FILTER(R477:R4545,AA477:AA4545=""Neighbor""))) / STDEV(FILTER(R477:R4545, AA477:AA4545 =""Neighbor"")), """")"),0.09739411023341248)</f>
        <v>0.09739411023</v>
      </c>
    </row>
    <row r="478">
      <c r="A478" s="2" t="s">
        <v>28</v>
      </c>
      <c r="B478" s="2" t="s">
        <v>1711</v>
      </c>
      <c r="C478" s="2" t="s">
        <v>1943</v>
      </c>
      <c r="D478" s="2" t="s">
        <v>1972</v>
      </c>
      <c r="E478" s="2" t="s">
        <v>1973</v>
      </c>
      <c r="F478" s="2">
        <v>179.0</v>
      </c>
      <c r="G478" s="2">
        <v>838.0</v>
      </c>
      <c r="H478" s="2" t="b">
        <v>1</v>
      </c>
      <c r="I478" s="2">
        <v>-1.0</v>
      </c>
      <c r="J478" s="2" t="b">
        <v>0</v>
      </c>
      <c r="K478" s="2" t="b">
        <v>0</v>
      </c>
      <c r="L478" s="2" t="b">
        <v>0</v>
      </c>
      <c r="M478" s="2" t="b">
        <v>0</v>
      </c>
      <c r="N478" s="2" t="s">
        <v>33</v>
      </c>
      <c r="O478" s="2">
        <v>111.0</v>
      </c>
      <c r="P478" s="2">
        <v>20.0</v>
      </c>
      <c r="Q478" s="2">
        <v>42.0</v>
      </c>
      <c r="R478" s="2">
        <v>0.0</v>
      </c>
      <c r="S478" s="3" t="s">
        <v>1974</v>
      </c>
      <c r="T478" s="2" t="s">
        <v>1975</v>
      </c>
      <c r="Y478" s="4" t="str">
        <f>IFERROR(__xludf.DUMMYFUNCTION("""COMPUTED_VALUE"""),"6.710554")</f>
        <v>6.710554</v>
      </c>
      <c r="Z478" s="4" t="str">
        <f>IFERROR(__xludf.DUMMYFUNCTION("""COMPUTED_VALUE"""),"3.2447509")</f>
        <v>3.2447509</v>
      </c>
      <c r="AA478" s="4" t="str">
        <f t="shared" si="1"/>
        <v>Not Neighbor</v>
      </c>
      <c r="AC478" s="4">
        <f>IFERROR(__xludf.DUMMYFUNCTION("IFERROR(ABS(O478-AVERAGE(FILTER(O478:O4546,AA478:AA4546=""Neighbor""))) / STDEV(FILTER(O478:O4546, AA478:AA4546 =""Neighbor"")), """")"),1.0208669331821612)</f>
        <v>1.020866933</v>
      </c>
      <c r="AD478" s="4">
        <f>IFERROR(__xludf.DUMMYFUNCTION("IFERROR(ABS(P478-AVERAGE(FILTER(O478:P4546,AA478:AA4546=""Neighbor""))) / STDEV(FILTER(P478:P4546, AA478:AA4546 =""Neighbor"")), """")"),0.8327943100724262)</f>
        <v>0.8327943101</v>
      </c>
      <c r="AE478" s="2">
        <f>IFERROR(__xludf.DUMMYFUNCTION("IFERROR(ABS(Q478-AVERAGE(FILTER(Q478:Q4546,AA478:AA4546=""Neighbor""))) / STDEV(FILTER(Q478:Q4546, AA478:AA4546 =""Neighbor"")), """")"),0.6882097030644856)</f>
        <v>0.6882097031</v>
      </c>
      <c r="AF478" s="2">
        <f>IFERROR(__xludf.DUMMYFUNCTION("IFERROR(ABS(R478-AVERAGE(FILTER(R478:R4546,AA478:AA4546=""Neighbor""))) / STDEV(FILTER(R478:R4546, AA478:AA4546 =""Neighbor"")), """")"),0.09739411023341248)</f>
        <v>0.09739411023</v>
      </c>
    </row>
    <row r="479">
      <c r="A479" s="2" t="s">
        <v>28</v>
      </c>
      <c r="B479" s="2" t="s">
        <v>1711</v>
      </c>
      <c r="C479" s="2" t="s">
        <v>1943</v>
      </c>
      <c r="D479" s="2" t="s">
        <v>1976</v>
      </c>
      <c r="E479" s="2" t="s">
        <v>1977</v>
      </c>
      <c r="F479" s="2">
        <v>279.0</v>
      </c>
      <c r="G479" s="2">
        <v>2326.0</v>
      </c>
      <c r="H479" s="2" t="b">
        <v>1</v>
      </c>
      <c r="I479" s="2">
        <v>-1.0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s">
        <v>33</v>
      </c>
      <c r="O479" s="2">
        <v>158.0</v>
      </c>
      <c r="P479" s="2">
        <v>70.0</v>
      </c>
      <c r="Q479" s="2">
        <v>37.0</v>
      </c>
      <c r="R479" s="2">
        <v>2.0</v>
      </c>
      <c r="S479" s="3" t="s">
        <v>1978</v>
      </c>
      <c r="T479" s="2" t="s">
        <v>1979</v>
      </c>
      <c r="Y479" s="4" t="str">
        <f>IFERROR(__xludf.DUMMYFUNCTION("""COMPUTED_VALUE"""),"6.7099984")</f>
        <v>6.7099984</v>
      </c>
      <c r="Z479" s="4" t="str">
        <f>IFERROR(__xludf.DUMMYFUNCTION("""COMPUTED_VALUE"""),"3.2552223")</f>
        <v>3.2552223</v>
      </c>
      <c r="AA479" s="4" t="str">
        <f t="shared" si="1"/>
        <v>Not Neighbor</v>
      </c>
      <c r="AC479" s="4">
        <f>IFERROR(__xludf.DUMMYFUNCTION("IFERROR(ABS(O479-AVERAGE(FILTER(O479:O4547,AA479:AA4547=""Neighbor""))) / STDEV(FILTER(O479:O4547, AA479:AA4547 =""Neighbor"")), """")"),2.0930463128620356)</f>
        <v>2.093046313</v>
      </c>
      <c r="AD479" s="4">
        <f>IFERROR(__xludf.DUMMYFUNCTION("IFERROR(ABS(P479-AVERAGE(FILTER(O479:P4547,AA479:AA4547=""Neighbor""))) / STDEV(FILTER(P479:P4547, AA479:AA4547 =""Neighbor"")), """")"),1.1413228959269384)</f>
        <v>1.141322896</v>
      </c>
      <c r="AE479" s="2">
        <f>IFERROR(__xludf.DUMMYFUNCTION("IFERROR(ABS(Q479-AVERAGE(FILTER(Q479:Q4547,AA479:AA4547=""Neighbor""))) / STDEV(FILTER(Q479:Q4547, AA479:AA4547 =""Neighbor"")), """")"),0.481832552087235)</f>
        <v>0.4818325521</v>
      </c>
      <c r="AF479" s="2">
        <f>IFERROR(__xludf.DUMMYFUNCTION("IFERROR(ABS(R479-AVERAGE(FILTER(R479:R4547,AA479:AA4547=""Neighbor""))) / STDEV(FILTER(R479:R4547, AA479:AA4547 =""Neighbor"")), """")"),0.2747237193907909)</f>
        <v>0.2747237194</v>
      </c>
    </row>
    <row r="480">
      <c r="A480" s="2" t="s">
        <v>28</v>
      </c>
      <c r="B480" s="2" t="s">
        <v>1711</v>
      </c>
      <c r="C480" s="2" t="s">
        <v>1980</v>
      </c>
      <c r="D480" s="2" t="s">
        <v>1981</v>
      </c>
      <c r="E480" s="2" t="s">
        <v>1982</v>
      </c>
      <c r="F480" s="2">
        <v>223.0</v>
      </c>
      <c r="G480" s="2">
        <v>1416.0</v>
      </c>
      <c r="H480" s="2" t="b">
        <v>1</v>
      </c>
      <c r="I480" s="2">
        <v>-1.0</v>
      </c>
      <c r="J480" s="2" t="b">
        <v>0</v>
      </c>
      <c r="K480" s="2" t="b">
        <v>0</v>
      </c>
      <c r="L480" s="2" t="b">
        <v>0</v>
      </c>
      <c r="M480" s="2" t="b">
        <v>0</v>
      </c>
      <c r="N480" s="2" t="s">
        <v>33</v>
      </c>
      <c r="O480" s="2">
        <v>140.0</v>
      </c>
      <c r="P480" s="2">
        <v>43.0</v>
      </c>
      <c r="Q480" s="2">
        <v>24.0</v>
      </c>
      <c r="R480" s="2">
        <v>0.0</v>
      </c>
      <c r="S480" s="3" t="s">
        <v>1983</v>
      </c>
      <c r="T480" s="2" t="s">
        <v>1984</v>
      </c>
      <c r="Y480" s="4" t="str">
        <f>IFERROR(__xludf.DUMMYFUNCTION("""COMPUTED_VALUE"""),"6.7496141")</f>
        <v>6.7496141</v>
      </c>
      <c r="Z480" s="4" t="str">
        <f>IFERROR(__xludf.DUMMYFUNCTION("""COMPUTED_VALUE"""),"3.2598504")</f>
        <v>3.2598504</v>
      </c>
      <c r="AA480" s="4" t="str">
        <f t="shared" si="1"/>
        <v>Neighbor</v>
      </c>
      <c r="AC480" s="4">
        <f>IFERROR(__xludf.DUMMYFUNCTION("IFERROR(ABS(O480-AVERAGE(FILTER(O480:O4548,AA480:AA4548=""Neighbor""))) / STDEV(FILTER(O480:O4548, AA480:AA4548 =""Neighbor"")), """")"),1.682424422771871)</f>
        <v>1.682424423</v>
      </c>
      <c r="AD480" s="4">
        <f>IFERROR(__xludf.DUMMYFUNCTION("IFERROR(ABS(P480-AVERAGE(FILTER(O480:P4548,AA480:AA4548=""Neighbor""))) / STDEV(FILTER(P480:P4548, AA480:AA4548 =""Neighbor"")), """")"),0.0752996046872815)</f>
        <v>0.07529960469</v>
      </c>
      <c r="AE480" s="2">
        <f>IFERROR(__xludf.DUMMYFUNCTION("IFERROR(ABS(Q480-AVERAGE(FILTER(Q480:Q4548,AA480:AA4548=""Neighbor""))) / STDEV(FILTER(Q480:Q4548, AA480:AA4548 =""Neighbor"")), """")"),0.05474804045361648)</f>
        <v>0.05474804045</v>
      </c>
      <c r="AF480" s="2">
        <f>IFERROR(__xludf.DUMMYFUNCTION("IFERROR(ABS(R480-AVERAGE(FILTER(R480:R4548,AA480:AA4548=""Neighbor""))) / STDEV(FILTER(R480:R4548, AA480:AA4548 =""Neighbor"")), """")"),0.09739411023341248)</f>
        <v>0.09739411023</v>
      </c>
    </row>
    <row r="481">
      <c r="A481" s="2" t="s">
        <v>28</v>
      </c>
      <c r="B481" s="2" t="s">
        <v>1711</v>
      </c>
      <c r="C481" s="2" t="s">
        <v>1980</v>
      </c>
      <c r="D481" s="2" t="s">
        <v>1985</v>
      </c>
      <c r="E481" s="2" t="s">
        <v>1986</v>
      </c>
      <c r="F481" s="2">
        <v>233.0</v>
      </c>
      <c r="G481" s="2">
        <v>2148.0</v>
      </c>
      <c r="H481" s="2" t="b">
        <v>1</v>
      </c>
      <c r="I481" s="2">
        <v>-1.0</v>
      </c>
      <c r="J481" s="2" t="b">
        <v>0</v>
      </c>
      <c r="K481" s="2" t="b">
        <v>0</v>
      </c>
      <c r="L481" s="2" t="b">
        <v>0</v>
      </c>
      <c r="M481" s="2" t="b">
        <v>0</v>
      </c>
      <c r="N481" s="2" t="s">
        <v>33</v>
      </c>
      <c r="O481" s="2">
        <v>124.0</v>
      </c>
      <c r="P481" s="2">
        <v>61.0</v>
      </c>
      <c r="Q481" s="2">
        <v>30.0</v>
      </c>
      <c r="R481" s="2">
        <v>3.0</v>
      </c>
      <c r="S481" s="3" t="s">
        <v>1987</v>
      </c>
      <c r="T481" s="2" t="s">
        <v>1988</v>
      </c>
      <c r="Y481" s="4" t="str">
        <f>IFERROR(__xludf.DUMMYFUNCTION("""COMPUTED_VALUE"""),"6.74041")</f>
        <v>6.74041</v>
      </c>
      <c r="Z481" s="4" t="str">
        <f>IFERROR(__xludf.DUMMYFUNCTION("""COMPUTED_VALUE"""),"3.26072")</f>
        <v>3.26072</v>
      </c>
      <c r="AA481" s="4" t="str">
        <f t="shared" si="1"/>
        <v>Neighbor</v>
      </c>
      <c r="AC481" s="4">
        <f>IFERROR(__xludf.DUMMYFUNCTION("IFERROR(ABS(O481-AVERAGE(FILTER(O481:O4549,AA481:AA4549=""Neighbor""))) / STDEV(FILTER(O481:O4549, AA481:AA4549 =""Neighbor"")), """")"),1.3193671235887638)</f>
        <v>1.319367124</v>
      </c>
      <c r="AD481" s="4">
        <f>IFERROR(__xludf.DUMMYFUNCTION("IFERROR(ABS(P481-AVERAGE(FILTER(O481:P4549,AA481:AA4549=""Neighbor""))) / STDEV(FILTER(P481:P4549, AA481:AA4549 =""Neighbor"")), """")"),0.787354264374368)</f>
        <v>0.7873542644</v>
      </c>
      <c r="AE481" s="2">
        <f>IFERROR(__xludf.DUMMYFUNCTION("IFERROR(ABS(Q481-AVERAGE(FILTER(Q481:Q4549,AA481:AA4549=""Neighbor""))) / STDEV(FILTER(Q481:Q4549, AA481:AA4549 =""Neighbor"")), """")"),0.19280332745094228)</f>
        <v>0.1928033275</v>
      </c>
      <c r="AF481" s="2">
        <f>IFERROR(__xludf.DUMMYFUNCTION("IFERROR(ABS(R481-AVERAGE(FILTER(R481:R4549,AA481:AA4549=""Neighbor""))) / STDEV(FILTER(R481:R4549, AA481:AA4549 =""Neighbor"")), """")"),0.4605642535396449)</f>
        <v>0.4605642535</v>
      </c>
    </row>
    <row r="482">
      <c r="A482" s="2" t="s">
        <v>28</v>
      </c>
      <c r="B482" s="2" t="s">
        <v>1711</v>
      </c>
      <c r="C482" s="2" t="s">
        <v>1980</v>
      </c>
      <c r="D482" s="2" t="s">
        <v>1989</v>
      </c>
      <c r="E482" s="2" t="s">
        <v>1990</v>
      </c>
      <c r="F482" s="2">
        <v>147.0</v>
      </c>
      <c r="G482" s="2">
        <v>1290.0</v>
      </c>
      <c r="H482" s="2" t="b">
        <v>1</v>
      </c>
      <c r="I482" s="2">
        <v>-1.0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s">
        <v>33</v>
      </c>
      <c r="O482" s="2">
        <v>94.0</v>
      </c>
      <c r="P482" s="2">
        <v>22.0</v>
      </c>
      <c r="Q482" s="2">
        <v>20.0</v>
      </c>
      <c r="R482" s="2">
        <v>1.0</v>
      </c>
      <c r="S482" s="3" t="s">
        <v>1991</v>
      </c>
      <c r="T482" s="2" t="s">
        <v>1992</v>
      </c>
      <c r="Y482" s="4" t="str">
        <f>IFERROR(__xludf.DUMMYFUNCTION("""COMPUTED_VALUE"""),"6.7400688")</f>
        <v>6.7400688</v>
      </c>
      <c r="Z482" s="4" t="str">
        <f>IFERROR(__xludf.DUMMYFUNCTION("""COMPUTED_VALUE"""),"3.2593563")</f>
        <v>3.2593563</v>
      </c>
      <c r="AA482" s="4" t="str">
        <f t="shared" si="1"/>
        <v>Not Neighbor</v>
      </c>
      <c r="AC482" s="4">
        <f>IFERROR(__xludf.DUMMYFUNCTION("IFERROR(ABS(O482-AVERAGE(FILTER(O482:O4550,AA482:AA4550=""Neighbor""))) / STDEV(FILTER(O482:O4550, AA482:AA4550 =""Neighbor"")), """")"),0.63561993871625)</f>
        <v>0.6356199387</v>
      </c>
      <c r="AD482" s="4">
        <f>IFERROR(__xludf.DUMMYFUNCTION("IFERROR(ABS(P482-AVERAGE(FILTER(O482:P4550,AA482:AA4550=""Neighbor""))) / STDEV(FILTER(P482:P4550, AA482:AA4550 =""Neighbor"")), """")"),0.7517157632675421)</f>
        <v>0.7517157633</v>
      </c>
      <c r="AE482" s="2">
        <f>IFERROR(__xludf.DUMMYFUNCTION("IFERROR(ABS(Q482-AVERAGE(FILTER(Q482:Q4550,AA482:AA4550=""Neighbor""))) / STDEV(FILTER(Q482:Q4550, AA482:AA4550 =""Neighbor"")), """")"),0.21961256250147027)</f>
        <v>0.2196125625</v>
      </c>
      <c r="AF482" s="2">
        <f>IFERROR(__xludf.DUMMYFUNCTION("IFERROR(ABS(R482-AVERAGE(FILTER(R482:R4550,AA482:AA4550=""Neighbor""))) / STDEV(FILTER(R482:R4550, AA482:AA4550 =""Neighbor"")), """")"),0.08885565136462921)</f>
        <v>0.08885565136</v>
      </c>
    </row>
    <row r="483">
      <c r="A483" s="2" t="s">
        <v>28</v>
      </c>
      <c r="B483" s="2" t="s">
        <v>1711</v>
      </c>
      <c r="C483" s="2" t="s">
        <v>1980</v>
      </c>
      <c r="D483" s="2" t="s">
        <v>1993</v>
      </c>
      <c r="E483" s="2" t="s">
        <v>1994</v>
      </c>
      <c r="F483" s="2">
        <v>183.0</v>
      </c>
      <c r="G483" s="2">
        <v>2148.0</v>
      </c>
      <c r="H483" s="2" t="b">
        <v>1</v>
      </c>
      <c r="I483" s="2">
        <v>-1.0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s">
        <v>33</v>
      </c>
      <c r="O483" s="2">
        <v>114.0</v>
      </c>
      <c r="P483" s="2">
        <v>45.0</v>
      </c>
      <c r="Q483" s="2">
        <v>12.0</v>
      </c>
      <c r="R483" s="2">
        <v>0.0</v>
      </c>
      <c r="S483" s="3" t="s">
        <v>1995</v>
      </c>
      <c r="T483" s="2" t="s">
        <v>1996</v>
      </c>
      <c r="Y483" s="4" t="str">
        <f>IFERROR(__xludf.DUMMYFUNCTION("""COMPUTED_VALUE"""),"6.7016316")</f>
        <v>6.7016316</v>
      </c>
      <c r="Z483" s="4" t="str">
        <f>IFERROR(__xludf.DUMMYFUNCTION("""COMPUTED_VALUE"""),"3.2802665")</f>
        <v>3.2802665</v>
      </c>
      <c r="AA483" s="4" t="str">
        <f t="shared" si="1"/>
        <v>Neighbor</v>
      </c>
      <c r="AC483" s="4">
        <f>IFERROR(__xludf.DUMMYFUNCTION("IFERROR(ABS(O483-AVERAGE(FILTER(O483:O4551,AA483:AA4551=""Neighbor""))) / STDEV(FILTER(O483:O4551, AA483:AA4551 =""Neighbor"")), """")"),1.0922610711594576)</f>
        <v>1.092261071</v>
      </c>
      <c r="AD483" s="4">
        <f>IFERROR(__xludf.DUMMYFUNCTION("IFERROR(ABS(P483-AVERAGE(FILTER(O483:P4551,AA483:AA4551=""Neighbor""))) / STDEV(FILTER(P483:P4551, AA483:AA4551 =""Neighbor"")), """")"),0.15708423698570484)</f>
        <v>0.157084237</v>
      </c>
      <c r="AE483" s="2">
        <f>IFERROR(__xludf.DUMMYFUNCTION("IFERROR(ABS(Q483-AVERAGE(FILTER(Q483:Q4551,AA483:AA4551=""Neighbor""))) / STDEV(FILTER(Q483:Q4551, AA483:AA4551 =""Neighbor"")), """")"),0.549598916342076)</f>
        <v>0.5495989163</v>
      </c>
      <c r="AF483" s="2">
        <f>IFERROR(__xludf.DUMMYFUNCTION("IFERROR(ABS(R483-AVERAGE(FILTER(R483:R4551,AA483:AA4551=""Neighbor""))) / STDEV(FILTER(R483:R4551, AA483:AA4551 =""Neighbor"")), """")"),0.09709227073269878)</f>
        <v>0.09709227073</v>
      </c>
    </row>
    <row r="484">
      <c r="A484" s="2" t="s">
        <v>28</v>
      </c>
      <c r="B484" s="2" t="s">
        <v>1711</v>
      </c>
      <c r="C484" s="2" t="s">
        <v>1980</v>
      </c>
      <c r="D484" s="2" t="s">
        <v>1997</v>
      </c>
      <c r="E484" s="2" t="s">
        <v>1998</v>
      </c>
      <c r="F484" s="2">
        <v>126.0</v>
      </c>
      <c r="G484" s="2">
        <v>1355.0</v>
      </c>
      <c r="H484" s="2" t="b">
        <v>1</v>
      </c>
      <c r="I484" s="2">
        <v>-1.0</v>
      </c>
      <c r="J484" s="2" t="b">
        <v>0</v>
      </c>
      <c r="K484" s="2" t="b">
        <v>0</v>
      </c>
      <c r="L484" s="2" t="b">
        <v>0</v>
      </c>
      <c r="M484" s="2" t="b">
        <v>0</v>
      </c>
      <c r="N484" s="2" t="s">
        <v>33</v>
      </c>
      <c r="O484" s="2">
        <v>69.0</v>
      </c>
      <c r="P484" s="2">
        <v>26.0</v>
      </c>
      <c r="Q484" s="2">
        <v>6.0</v>
      </c>
      <c r="R484" s="2">
        <v>2.0</v>
      </c>
      <c r="S484" s="3" t="s">
        <v>1999</v>
      </c>
      <c r="T484" s="2" t="s">
        <v>2000</v>
      </c>
      <c r="Y484" s="4" t="str">
        <f>IFERROR(__xludf.DUMMYFUNCTION("""COMPUTED_VALUE"""),"6.7034271")</f>
        <v>6.7034271</v>
      </c>
      <c r="Z484" s="4" t="str">
        <f>IFERROR(__xludf.DUMMYFUNCTION("""COMPUTED_VALUE"""),"3.2749236")</f>
        <v>3.2749236</v>
      </c>
      <c r="AA484" s="4" t="str">
        <f t="shared" si="1"/>
        <v>Not Neighbor</v>
      </c>
      <c r="AC484" s="4">
        <f>IFERROR(__xludf.DUMMYFUNCTION("IFERROR(ABS(O484-AVERAGE(FILTER(O484:O4552,AA484:AA4552=""Neighbor""))) / STDEV(FILTER(O484:O4552, AA484:AA4552 =""Neighbor"")), """")"),0.06555634661491859)</f>
        <v>0.06555634661</v>
      </c>
      <c r="AD484" s="4">
        <f>IFERROR(__xludf.DUMMYFUNCTION("IFERROR(ABS(P484-AVERAGE(FILTER(O484:P4552,AA484:AA4552=""Neighbor""))) / STDEV(FILTER(P484:P4552, AA484:AA4552 =""Neighbor"")), """")"),0.5927071300374639)</f>
        <v>0.59270713</v>
      </c>
      <c r="AE484" s="2">
        <f>IFERROR(__xludf.DUMMYFUNCTION("IFERROR(ABS(Q484-AVERAGE(FILTER(Q484:Q4552,AA484:AA4552=""Neighbor""))) / STDEV(FILTER(Q484:Q4552, AA484:AA4552 =""Neighbor"")), """")"),0.7972708855155438)</f>
        <v>0.7972708855</v>
      </c>
      <c r="AF484" s="2">
        <f>IFERROR(__xludf.DUMMYFUNCTION("IFERROR(ABS(R484-AVERAGE(FILTER(R484:R4552,AA484:AA4552=""Neighbor""))) / STDEV(FILTER(R484:R4552, AA484:AA4552 =""Neighbor"")), """")"),0.2746469655918438)</f>
        <v>0.2746469656</v>
      </c>
    </row>
    <row r="485">
      <c r="A485" s="2" t="s">
        <v>28</v>
      </c>
      <c r="B485" s="2" t="s">
        <v>1711</v>
      </c>
      <c r="C485" s="2" t="s">
        <v>1980</v>
      </c>
      <c r="D485" s="2" t="s">
        <v>2001</v>
      </c>
      <c r="E485" s="2" t="s">
        <v>2002</v>
      </c>
      <c r="F485" s="2">
        <v>216.0</v>
      </c>
      <c r="G485" s="2">
        <v>1630.0</v>
      </c>
      <c r="H485" s="2" t="b">
        <v>1</v>
      </c>
      <c r="I485" s="2">
        <v>-1.0</v>
      </c>
      <c r="J485" s="2" t="b">
        <v>0</v>
      </c>
      <c r="K485" s="2" t="b">
        <v>0</v>
      </c>
      <c r="L485" s="2" t="b">
        <v>0</v>
      </c>
      <c r="M485" s="2" t="b">
        <v>0</v>
      </c>
      <c r="N485" s="2" t="s">
        <v>33</v>
      </c>
      <c r="O485" s="2">
        <v>0.0</v>
      </c>
      <c r="P485" s="2">
        <v>0.0</v>
      </c>
      <c r="Q485" s="2">
        <v>0.0</v>
      </c>
      <c r="R485" s="2">
        <v>0.0</v>
      </c>
      <c r="S485" s="3" t="s">
        <v>2003</v>
      </c>
      <c r="T485" s="2" t="s">
        <v>2004</v>
      </c>
      <c r="Y485" s="4" t="str">
        <f>IFERROR(__xludf.DUMMYFUNCTION("""COMPUTED_VALUE"""),"6.6853427")</f>
        <v>6.6853427</v>
      </c>
      <c r="Z485" s="4" t="str">
        <f>IFERROR(__xludf.DUMMYFUNCTION("""COMPUTED_VALUE"""),"3.2344845")</f>
        <v>3.2344845</v>
      </c>
      <c r="AA485" s="4" t="str">
        <f t="shared" si="1"/>
        <v>Neighbor</v>
      </c>
      <c r="AC485" s="4">
        <f>IFERROR(__xludf.DUMMYFUNCTION("IFERROR(ABS(O485-AVERAGE(FILTER(O485:O4553,AA485:AA4553=""Neighbor""))) / STDEV(FILTER(O485:O4553, AA485:AA4553 =""Neighbor"")), """")"),1.5099581814700767)</f>
        <v>1.509958181</v>
      </c>
      <c r="AD485" s="4">
        <f>IFERROR(__xludf.DUMMYFUNCTION("IFERROR(ABS(P485-AVERAGE(FILTER(O485:P4553,AA485:AA4553=""Neighbor""))) / STDEV(FILTER(P485:P4553, AA485:AA4553 =""Neighbor"")), """")"),1.6201581591097056)</f>
        <v>1.620158159</v>
      </c>
      <c r="AE485" s="2">
        <f>IFERROR(__xludf.DUMMYFUNCTION("IFERROR(ABS(Q485-AVERAGE(FILTER(Q485:Q4553,AA485:AA4553=""Neighbor""))) / STDEV(FILTER(Q485:Q4553, AA485:AA4553 =""Neighbor"")), """")"),1.0447026460739857)</f>
        <v>1.044702646</v>
      </c>
      <c r="AF485" s="2">
        <f>IFERROR(__xludf.DUMMYFUNCTION("IFERROR(ABS(R485-AVERAGE(FILTER(R485:R4553,AA485:AA4553=""Neighbor""))) / STDEV(FILTER(R485:R4553, AA485:AA4553 =""Neighbor"")), """")"),0.09712515419566115)</f>
        <v>0.0971251542</v>
      </c>
    </row>
    <row r="486">
      <c r="A486" s="2" t="s">
        <v>28</v>
      </c>
      <c r="B486" s="2" t="s">
        <v>1711</v>
      </c>
      <c r="C486" s="2" t="s">
        <v>1980</v>
      </c>
      <c r="D486" s="2" t="s">
        <v>2005</v>
      </c>
      <c r="E486" s="2" t="s">
        <v>2006</v>
      </c>
      <c r="F486" s="2">
        <v>99.0</v>
      </c>
      <c r="G486" s="2">
        <v>750.0</v>
      </c>
      <c r="H486" s="2" t="b">
        <v>1</v>
      </c>
      <c r="I486" s="2">
        <v>-1.0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s">
        <v>33</v>
      </c>
      <c r="O486" s="2">
        <v>136.0</v>
      </c>
      <c r="P486" s="2">
        <v>38.0</v>
      </c>
      <c r="Q486" s="2">
        <v>20.0</v>
      </c>
      <c r="R486" s="2">
        <v>0.0</v>
      </c>
      <c r="S486" s="3" t="s">
        <v>2007</v>
      </c>
      <c r="T486" s="2" t="s">
        <v>2008</v>
      </c>
      <c r="Y486" s="4" t="str">
        <f>IFERROR(__xludf.DUMMYFUNCTION("""COMPUTED_VALUE"""),"6.6853427")</f>
        <v>6.6853427</v>
      </c>
      <c r="Z486" s="4" t="str">
        <f>IFERROR(__xludf.DUMMYFUNCTION("""COMPUTED_VALUE"""),"3.2344845")</f>
        <v>3.2344845</v>
      </c>
      <c r="AA486" s="4" t="str">
        <f t="shared" si="1"/>
        <v>Not Neighbor</v>
      </c>
      <c r="AC486" s="4">
        <f>IFERROR(__xludf.DUMMYFUNCTION("IFERROR(ABS(O486-AVERAGE(FILTER(O486:O4554,AA486:AA4554=""Neighbor""))) / STDEV(FILTER(O486:O4554, AA486:AA4554 =""Neighbor"")), """")"),1.5950765017151887)</f>
        <v>1.595076502</v>
      </c>
      <c r="AD486" s="4">
        <f>IFERROR(__xludf.DUMMYFUNCTION("IFERROR(ABS(P486-AVERAGE(FILTER(O486:P4554,AA486:AA4554=""Neighbor""))) / STDEV(FILTER(P486:P4554, AA486:AA4554 =""Neighbor"")), """")"),0.11956339770402821)</f>
        <v>0.1195633977</v>
      </c>
      <c r="AE486" s="2">
        <f>IFERROR(__xludf.DUMMYFUNCTION("IFERROR(ABS(Q486-AVERAGE(FILTER(Q486:Q4554,AA486:AA4554=""Neighbor""))) / STDEV(FILTER(Q486:Q4554, AA486:AA4554 =""Neighbor"")), """")"),0.22063903168446297)</f>
        <v>0.2206390317</v>
      </c>
      <c r="AF486" s="2">
        <f>IFERROR(__xludf.DUMMYFUNCTION("IFERROR(ABS(R486-AVERAGE(FILTER(R486:R4554,AA486:AA4554=""Neighbor""))) / STDEV(FILTER(R486:R4554, AA486:AA4554 =""Neighbor"")), """")"),0.09715807109269979)</f>
        <v>0.09715807109</v>
      </c>
    </row>
    <row r="487">
      <c r="A487" s="2" t="s">
        <v>28</v>
      </c>
      <c r="B487" s="2" t="s">
        <v>1711</v>
      </c>
      <c r="C487" s="2" t="s">
        <v>1980</v>
      </c>
      <c r="D487" s="2" t="s">
        <v>2009</v>
      </c>
      <c r="E487" s="2" t="s">
        <v>2010</v>
      </c>
      <c r="F487" s="2">
        <v>151.0</v>
      </c>
      <c r="G487" s="2">
        <v>1290.0</v>
      </c>
      <c r="H487" s="2" t="b">
        <v>1</v>
      </c>
      <c r="I487" s="2">
        <v>-1.0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s">
        <v>33</v>
      </c>
      <c r="O487" s="2">
        <v>106.0</v>
      </c>
      <c r="P487" s="2">
        <v>17.0</v>
      </c>
      <c r="Q487" s="2">
        <v>8.0</v>
      </c>
      <c r="R487" s="2">
        <v>1.0</v>
      </c>
      <c r="S487" s="3" t="s">
        <v>2011</v>
      </c>
      <c r="T487" s="2" t="s">
        <v>2012</v>
      </c>
      <c r="Y487" s="4" t="str">
        <f>IFERROR(__xludf.DUMMYFUNCTION("""COMPUTED_VALUE"""),"6.7429921")</f>
        <v>6.7429921</v>
      </c>
      <c r="Z487" s="4" t="str">
        <f>IFERROR(__xludf.DUMMYFUNCTION("""COMPUTED_VALUE"""),"3.2666287")</f>
        <v>3.2666287</v>
      </c>
      <c r="AA487" s="4" t="str">
        <f t="shared" si="1"/>
        <v>Neighbor</v>
      </c>
      <c r="AC487" s="4">
        <f>IFERROR(__xludf.DUMMYFUNCTION("IFERROR(ABS(O487-AVERAGE(FILTER(O487:O4555,AA487:AA4555=""Neighbor""))) / STDEV(FILTER(O487:O4555, AA487:AA4555 =""Neighbor"")), """")"),0.9097748228585159)</f>
        <v>0.9097748229</v>
      </c>
      <c r="AD487" s="4">
        <f>IFERROR(__xludf.DUMMYFUNCTION("IFERROR(ABS(P487-AVERAGE(FILTER(O487:P4555,AA487:AA4555=""Neighbor""))) / STDEV(FILTER(P487:P4555, AA487:AA4555 =""Neighbor"")), """")"),0.9492585012917424)</f>
        <v>0.9492585013</v>
      </c>
      <c r="AE487" s="2">
        <f>IFERROR(__xludf.DUMMYFUNCTION("IFERROR(ABS(Q487-AVERAGE(FILTER(Q487:Q4555,AA487:AA4555=""Neighbor""))) / STDEV(FILTER(Q487:Q4555, AA487:AA4555 =""Neighbor"")), """")"),0.7155178848131868)</f>
        <v>0.7155178848</v>
      </c>
      <c r="AF487" s="2">
        <f>IFERROR(__xludf.DUMMYFUNCTION("IFERROR(ABS(R487-AVERAGE(FILTER(R487:R4555,AA487:AA4555=""Neighbor""))) / STDEV(FILTER(R487:R4555, AA487:AA4555 =""Neighbor"")), """")"),0.08866610601004737)</f>
        <v>0.08866610601</v>
      </c>
    </row>
    <row r="488">
      <c r="A488" s="2" t="s">
        <v>28</v>
      </c>
      <c r="B488" s="2" t="s">
        <v>1711</v>
      </c>
      <c r="C488" s="2" t="s">
        <v>1980</v>
      </c>
      <c r="D488" s="2" t="s">
        <v>2013</v>
      </c>
      <c r="E488" s="2" t="s">
        <v>2014</v>
      </c>
      <c r="F488" s="2">
        <v>169.0</v>
      </c>
      <c r="G488" s="2">
        <v>1122.0</v>
      </c>
      <c r="H488" s="2" t="b">
        <v>1</v>
      </c>
      <c r="I488" s="2">
        <v>-1.0</v>
      </c>
      <c r="J488" s="2" t="b">
        <v>0</v>
      </c>
      <c r="K488" s="2" t="b">
        <v>0</v>
      </c>
      <c r="L488" s="2" t="b">
        <v>0</v>
      </c>
      <c r="M488" s="2" t="b">
        <v>0</v>
      </c>
      <c r="N488" s="2" t="s">
        <v>33</v>
      </c>
      <c r="O488" s="2">
        <v>119.0</v>
      </c>
      <c r="P488" s="2">
        <v>25.0</v>
      </c>
      <c r="Q488" s="2">
        <v>12.0</v>
      </c>
      <c r="R488" s="2">
        <v>0.0</v>
      </c>
      <c r="S488" s="3" t="s">
        <v>2015</v>
      </c>
      <c r="T488" s="2" t="s">
        <v>2016</v>
      </c>
      <c r="Y488" s="4" t="str">
        <f>IFERROR(__xludf.DUMMYFUNCTION("""COMPUTED_VALUE"""),"6.7429921")</f>
        <v>6.7429921</v>
      </c>
      <c r="Z488" s="4" t="str">
        <f>IFERROR(__xludf.DUMMYFUNCTION("""COMPUTED_VALUE"""),"3.2666287")</f>
        <v>3.2666287</v>
      </c>
      <c r="AA488" s="4" t="str">
        <f t="shared" si="1"/>
        <v>Neighbor</v>
      </c>
      <c r="AC488" s="4">
        <f>IFERROR(__xludf.DUMMYFUNCTION("IFERROR(ABS(O488-AVERAGE(FILTER(O488:O4556,AA488:AA4556=""Neighbor""))) / STDEV(FILTER(O488:O4556, AA488:AA4556 =""Neighbor"")), """")"),1.2072809354091625)</f>
        <v>1.207280935</v>
      </c>
      <c r="AD488" s="4">
        <f>IFERROR(__xludf.DUMMYFUNCTION("IFERROR(ABS(P488-AVERAGE(FILTER(O488:P4556,AA488:AA4556=""Neighbor""))) / STDEV(FILTER(P488:P4556, AA488:AA4556 =""Neighbor"")), """")"),0.632427849577907)</f>
        <v>0.6324278496</v>
      </c>
      <c r="AE488" s="2">
        <f>IFERROR(__xludf.DUMMYFUNCTION("IFERROR(ABS(Q488-AVERAGE(FILTER(Q488:Q4556,AA488:AA4556=""Neighbor""))) / STDEV(FILTER(Q488:Q4556, AA488:AA4556 =""Neighbor"")), """")"),0.550949048793238)</f>
        <v>0.5509490488</v>
      </c>
      <c r="AF488" s="2">
        <f>IFERROR(__xludf.DUMMYFUNCTION("IFERROR(ABS(R488-AVERAGE(FILTER(R488:R4556,AA488:AA4556=""Neighbor""))) / STDEV(FILTER(R488:R4556, AA488:AA4556 =""Neighbor"")), """")"),0.09706604574992041)</f>
        <v>0.09706604575</v>
      </c>
    </row>
    <row r="489">
      <c r="A489" s="2" t="s">
        <v>28</v>
      </c>
      <c r="B489" s="2" t="s">
        <v>1711</v>
      </c>
      <c r="C489" s="2" t="s">
        <v>1980</v>
      </c>
      <c r="D489" s="2" t="s">
        <v>2017</v>
      </c>
      <c r="E489" s="2" t="s">
        <v>2018</v>
      </c>
      <c r="F489" s="2">
        <v>145.0</v>
      </c>
      <c r="G489" s="2">
        <v>1165.0</v>
      </c>
      <c r="H489" s="2" t="b">
        <v>1</v>
      </c>
      <c r="I489" s="2">
        <v>-1.0</v>
      </c>
      <c r="J489" s="2" t="b">
        <v>0</v>
      </c>
      <c r="K489" s="2" t="b">
        <v>0</v>
      </c>
      <c r="L489" s="2" t="b">
        <v>0</v>
      </c>
      <c r="M489" s="2" t="b">
        <v>0</v>
      </c>
      <c r="N489" s="2" t="s">
        <v>33</v>
      </c>
      <c r="O489" s="2">
        <v>96.0</v>
      </c>
      <c r="P489" s="2">
        <v>26.0</v>
      </c>
      <c r="Q489" s="2">
        <v>16.0</v>
      </c>
      <c r="R489" s="2">
        <v>0.0</v>
      </c>
      <c r="S489" s="3" t="s">
        <v>2019</v>
      </c>
      <c r="T489" s="2" t="s">
        <v>2020</v>
      </c>
      <c r="Y489" s="4" t="str">
        <f>IFERROR(__xludf.DUMMYFUNCTION("""COMPUTED_VALUE"""),"6.7429921")</f>
        <v>6.7429921</v>
      </c>
      <c r="Z489" s="4" t="str">
        <f>IFERROR(__xludf.DUMMYFUNCTION("""COMPUTED_VALUE"""),"3.2666287")</f>
        <v>3.2666287</v>
      </c>
      <c r="AA489" s="4" t="str">
        <f t="shared" si="1"/>
        <v>Neighbor</v>
      </c>
      <c r="AC489" s="4">
        <f>IFERROR(__xludf.DUMMYFUNCTION("IFERROR(ABS(O489-AVERAGE(FILTER(O489:O4557,AA489:AA4557=""Neighbor""))) / STDEV(FILTER(O489:O4557, AA489:AA4557 =""Neighbor"")), """")"),0.682831202163192)</f>
        <v>0.6828312022</v>
      </c>
      <c r="AD489" s="4">
        <f>IFERROR(__xludf.DUMMYFUNCTION("IFERROR(ABS(P489-AVERAGE(FILTER(O489:P4557,AA489:AA4557=""Neighbor""))) / STDEV(FILTER(P489:P4557, AA489:AA4557 =""Neighbor"")), """")"),0.5919348163210862)</f>
        <v>0.5919348163</v>
      </c>
      <c r="AE489" s="2">
        <f>IFERROR(__xludf.DUMMYFUNCTION("IFERROR(ABS(Q489-AVERAGE(FILTER(Q489:Q4557,AA489:AA4557=""Neighbor""))) / STDEV(FILTER(Q489:Q4557, AA489:AA4557 =""Neighbor"")), """")"),0.386296705120395)</f>
        <v>0.3862967051</v>
      </c>
      <c r="AF489" s="2">
        <f>IFERROR(__xludf.DUMMYFUNCTION("IFERROR(ABS(R489-AVERAGE(FILTER(R489:R4557,AA489:AA4557=""Neighbor""))) / STDEV(FILTER(R489:R4557, AA489:AA4557 =""Neighbor"")), """")"),0.09709898647832545)</f>
        <v>0.09709898648</v>
      </c>
    </row>
    <row r="490">
      <c r="A490" s="2" t="s">
        <v>28</v>
      </c>
      <c r="B490" s="2" t="s">
        <v>1711</v>
      </c>
      <c r="C490" s="2" t="s">
        <v>1980</v>
      </c>
      <c r="D490" s="2" t="s">
        <v>2021</v>
      </c>
      <c r="E490" s="2" t="s">
        <v>2022</v>
      </c>
      <c r="F490" s="2">
        <v>170.0</v>
      </c>
      <c r="G490" s="2">
        <v>1674.0</v>
      </c>
      <c r="H490" s="2" t="b">
        <v>1</v>
      </c>
      <c r="I490" s="2">
        <v>-1.0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s">
        <v>33</v>
      </c>
      <c r="O490" s="2">
        <v>104.0</v>
      </c>
      <c r="P490" s="2">
        <v>22.0</v>
      </c>
      <c r="Q490" s="2">
        <v>17.0</v>
      </c>
      <c r="R490" s="2">
        <v>1.0</v>
      </c>
      <c r="S490" s="3" t="s">
        <v>2023</v>
      </c>
      <c r="T490" s="2" t="s">
        <v>2024</v>
      </c>
      <c r="Y490" s="4" t="str">
        <f>IFERROR(__xludf.DUMMYFUNCTION("""COMPUTED_VALUE"""),"6.7429921")</f>
        <v>6.7429921</v>
      </c>
      <c r="Z490" s="4" t="str">
        <f>IFERROR(__xludf.DUMMYFUNCTION("""COMPUTED_VALUE"""),"3.2666287")</f>
        <v>3.2666287</v>
      </c>
      <c r="AA490" s="4" t="str">
        <f t="shared" si="1"/>
        <v>Neighbor</v>
      </c>
      <c r="AC490" s="4">
        <f>IFERROR(__xludf.DUMMYFUNCTION("IFERROR(ABS(O490-AVERAGE(FILTER(O490:O4558,AA490:AA4558=""Neighbor""))) / STDEV(FILTER(O490:O4558, AA490:AA4558 =""Neighbor"")), """")"),0.8659001817425735)</f>
        <v>0.8659001817</v>
      </c>
      <c r="AD490" s="4">
        <f>IFERROR(__xludf.DUMMYFUNCTION("IFERROR(ABS(P490-AVERAGE(FILTER(O490:P4558,AA490:AA4558=""Neighbor""))) / STDEV(FILTER(P490:P4558, AA490:AA4558 =""Neighbor"")), """")"),0.7491286876708872)</f>
        <v>0.7491286877</v>
      </c>
      <c r="AE490" s="2">
        <f>IFERROR(__xludf.DUMMYFUNCTION("IFERROR(ABS(Q490-AVERAGE(FILTER(Q490:Q4558,AA490:AA4558=""Neighbor""))) / STDEV(FILTER(Q490:Q4558, AA490:AA4558 =""Neighbor"")), """")"),0.3452344262344718)</f>
        <v>0.3452344262</v>
      </c>
      <c r="AF490" s="2">
        <f>IFERROR(__xludf.DUMMYFUNCTION("IFERROR(ABS(R490-AVERAGE(FILTER(R490:R4558,AA490:AA4558=""Neighbor""))) / STDEV(FILTER(R490:R4558, AA490:AA4558 =""Neighbor"")), """")"),0.08850634262890482)</f>
        <v>0.08850634263</v>
      </c>
    </row>
    <row r="491">
      <c r="A491" s="2" t="s">
        <v>28</v>
      </c>
      <c r="B491" s="2" t="s">
        <v>1711</v>
      </c>
      <c r="C491" s="2" t="s">
        <v>1980</v>
      </c>
      <c r="D491" s="2" t="s">
        <v>2025</v>
      </c>
      <c r="E491" s="2" t="s">
        <v>2026</v>
      </c>
      <c r="F491" s="2">
        <v>153.0</v>
      </c>
      <c r="G491" s="2">
        <v>1649.0</v>
      </c>
      <c r="H491" s="2" t="b">
        <v>1</v>
      </c>
      <c r="I491" s="2">
        <v>-1.0</v>
      </c>
      <c r="J491" s="2" t="b">
        <v>0</v>
      </c>
      <c r="K491" s="2" t="b">
        <v>1</v>
      </c>
      <c r="L491" s="2" t="b">
        <v>0</v>
      </c>
      <c r="M491" s="2" t="b">
        <v>0</v>
      </c>
      <c r="N491" s="2" t="s">
        <v>33</v>
      </c>
      <c r="O491" s="2">
        <v>97.0</v>
      </c>
      <c r="P491" s="2">
        <v>38.0</v>
      </c>
      <c r="Q491" s="2">
        <v>9.0</v>
      </c>
      <c r="R491" s="2">
        <v>1.0</v>
      </c>
      <c r="S491" s="3" t="s">
        <v>2027</v>
      </c>
      <c r="T491" s="2" t="s">
        <v>2028</v>
      </c>
      <c r="Y491" s="4" t="str">
        <f>IFERROR(__xludf.DUMMYFUNCTION("""COMPUTED_VALUE"""),"6.74041")</f>
        <v>6.74041</v>
      </c>
      <c r="Z491" s="4" t="str">
        <f>IFERROR(__xludf.DUMMYFUNCTION("""COMPUTED_VALUE"""),"3.26072")</f>
        <v>3.26072</v>
      </c>
      <c r="AA491" s="4" t="str">
        <f t="shared" si="1"/>
        <v>Not Neighbor</v>
      </c>
      <c r="AC491" s="4">
        <f>IFERROR(__xludf.DUMMYFUNCTION("IFERROR(ABS(O491-AVERAGE(FILTER(O491:O4559,AA491:AA4559=""Neighbor""))) / STDEV(FILTER(O491:O4559, AA491:AA4559 =""Neighbor"")), """")"),0.7065337496510493)</f>
        <v>0.7065337497</v>
      </c>
      <c r="AD491" s="4">
        <f>IFERROR(__xludf.DUMMYFUNCTION("IFERROR(ABS(P491-AVERAGE(FILTER(O491:P4559,AA491:AA4559=""Neighbor""))) / STDEV(FILTER(P491:P4559, AA491:AA4559 =""Neighbor"")), """")"),0.11693311664959645)</f>
        <v>0.1169331166</v>
      </c>
      <c r="AE491" s="2">
        <f>IFERROR(__xludf.DUMMYFUNCTION("IFERROR(ABS(Q491-AVERAGE(FILTER(Q491:Q4559,AA491:AA4559=""Neighbor""))) / STDEV(FILTER(Q491:Q4559, AA491:AA4559 =""Neighbor"")), """")"),0.6749599957657237)</f>
        <v>0.6749599958</v>
      </c>
      <c r="AF491" s="2">
        <f>IFERROR(__xludf.DUMMYFUNCTION("IFERROR(ABS(R491-AVERAGE(FILTER(R491:R4559,AA491:AA4559=""Neighbor""))) / STDEV(FILTER(R491:R4559, AA491:AA4559 =""Neighbor"")), """")"),0.08853637153177418)</f>
        <v>0.08853637153</v>
      </c>
    </row>
    <row r="492">
      <c r="A492" s="2" t="s">
        <v>28</v>
      </c>
      <c r="B492" s="2" t="s">
        <v>1711</v>
      </c>
      <c r="C492" s="2" t="s">
        <v>2029</v>
      </c>
      <c r="D492" s="2" t="s">
        <v>2030</v>
      </c>
      <c r="E492" s="2" t="s">
        <v>2031</v>
      </c>
      <c r="F492" s="2">
        <v>177.0</v>
      </c>
      <c r="G492" s="2">
        <v>1089.0</v>
      </c>
      <c r="H492" s="2" t="b">
        <v>1</v>
      </c>
      <c r="I492" s="2">
        <v>-1.0</v>
      </c>
      <c r="J492" s="2" t="b">
        <v>0</v>
      </c>
      <c r="K492" s="2" t="b">
        <v>0</v>
      </c>
      <c r="L492" s="2" t="b">
        <v>0</v>
      </c>
      <c r="M492" s="2" t="b">
        <v>0</v>
      </c>
      <c r="N492" s="2" t="s">
        <v>33</v>
      </c>
      <c r="O492" s="2">
        <v>111.0</v>
      </c>
      <c r="P492" s="2">
        <v>34.0</v>
      </c>
      <c r="Q492" s="2">
        <v>16.0</v>
      </c>
      <c r="R492" s="2">
        <v>0.0</v>
      </c>
      <c r="S492" s="3" t="s">
        <v>2032</v>
      </c>
      <c r="T492" s="2" t="s">
        <v>2033</v>
      </c>
      <c r="Y492" s="4" t="str">
        <f>IFERROR(__xludf.DUMMYFUNCTION("""COMPUTED_VALUE"""),"6.6609382")</f>
        <v>6.6609382</v>
      </c>
      <c r="Z492" s="4" t="str">
        <f>IFERROR(__xludf.DUMMYFUNCTION("""COMPUTED_VALUE"""),"3.0889198")</f>
        <v>3.0889198</v>
      </c>
      <c r="AA492" s="4" t="str">
        <f t="shared" si="1"/>
        <v>Not Neighbor</v>
      </c>
      <c r="AC492" s="4">
        <f>IFERROR(__xludf.DUMMYFUNCTION("IFERROR(ABS(O492-AVERAGE(FILTER(O492:O4560,AA492:AA4560=""Neighbor""))) / STDEV(FILTER(O492:O4560, AA492:AA4560 =""Neighbor"")), """")"),1.0262877127231342)</f>
        <v>1.026287713</v>
      </c>
      <c r="AD492" s="4">
        <f>IFERROR(__xludf.DUMMYFUNCTION("IFERROR(ABS(P492-AVERAGE(FILTER(O492:P4560,AA492:AA4560=""Neighbor""))) / STDEV(FILTER(P492:P4560, AA492:AA4560 =""Neighbor"")), """")"),0.27477620486608423)</f>
        <v>0.2747762049</v>
      </c>
      <c r="AE492" s="2">
        <f>IFERROR(__xludf.DUMMYFUNCTION("IFERROR(ABS(Q492-AVERAGE(FILTER(Q492:Q4560,AA492:AA4560=""Neighbor""))) / STDEV(FILTER(Q492:Q4560, AA492:AA4560 =""Neighbor"")), """")"),0.38656395940448907)</f>
        <v>0.3865639594</v>
      </c>
      <c r="AF492" s="2">
        <f>IFERROR(__xludf.DUMMYFUNCTION("IFERROR(ABS(R492-AVERAGE(FILTER(R492:R4560,AA492:AA4560=""Neighbor""))) / STDEV(FILTER(R492:R4560, AA492:AA4560 =""Neighbor"")), """")"),0.09703986484273555)</f>
        <v>0.09703986484</v>
      </c>
    </row>
    <row r="493">
      <c r="A493" s="2" t="s">
        <v>28</v>
      </c>
      <c r="B493" s="2" t="s">
        <v>1711</v>
      </c>
      <c r="C493" s="2" t="s">
        <v>2029</v>
      </c>
      <c r="D493" s="2" t="s">
        <v>2034</v>
      </c>
      <c r="E493" s="2" t="s">
        <v>2035</v>
      </c>
      <c r="F493" s="2">
        <v>132.0</v>
      </c>
      <c r="G493" s="2">
        <v>678.0</v>
      </c>
      <c r="H493" s="2" t="b">
        <v>1</v>
      </c>
      <c r="I493" s="2">
        <v>-1.0</v>
      </c>
      <c r="J493" s="2" t="b">
        <v>0</v>
      </c>
      <c r="K493" s="2" t="b">
        <v>0</v>
      </c>
      <c r="L493" s="2" t="b">
        <v>0</v>
      </c>
      <c r="M493" s="2" t="b">
        <v>0</v>
      </c>
      <c r="N493" s="2" t="s">
        <v>33</v>
      </c>
      <c r="O493" s="2">
        <v>80.0</v>
      </c>
      <c r="P493" s="2">
        <v>14.0</v>
      </c>
      <c r="Q493" s="2">
        <v>27.0</v>
      </c>
      <c r="R493" s="2">
        <v>2.0</v>
      </c>
      <c r="S493" s="3" t="s">
        <v>2036</v>
      </c>
      <c r="T493" s="2" t="s">
        <v>2037</v>
      </c>
      <c r="Y493" s="4" t="str">
        <f>IFERROR(__xludf.DUMMYFUNCTION("""COMPUTED_VALUE"""),"6.6463575")</f>
        <v>6.6463575</v>
      </c>
      <c r="Z493" s="4" t="str">
        <f>IFERROR(__xludf.DUMMYFUNCTION("""COMPUTED_VALUE"""),"3.0651328")</f>
        <v>3.0651328</v>
      </c>
      <c r="AA493" s="4" t="str">
        <f t="shared" si="1"/>
        <v>Not Neighbor</v>
      </c>
      <c r="AC493" s="4">
        <f>IFERROR(__xludf.DUMMYFUNCTION("IFERROR(ABS(O493-AVERAGE(FILTER(O493:O4561,AA493:AA4561=""Neighbor""))) / STDEV(FILTER(O493:O4561, AA493:AA4561 =""Neighbor"")), """")"),0.3182610802063747)</f>
        <v>0.3182610802</v>
      </c>
      <c r="AD493" s="4">
        <f>IFERROR(__xludf.DUMMYFUNCTION("IFERROR(ABS(P493-AVERAGE(FILTER(O493:P4561,AA493:AA4561=""Neighbor""))) / STDEV(FILTER(P493:P4561, AA493:AA4561 =""Neighbor"")), """")"),1.0639916459485232)</f>
        <v>1.063991646</v>
      </c>
      <c r="AE493" s="2">
        <f>IFERROR(__xludf.DUMMYFUNCTION("IFERROR(ABS(Q493-AVERAGE(FILTER(Q493:Q4561,AA493:AA4561=""Neighbor""))) / STDEV(FILTER(Q493:Q4561, AA493:AA4561 =""Neighbor"")), """")"),0.06662981202030832)</f>
        <v>0.06662981202</v>
      </c>
      <c r="AF493" s="2">
        <f>IFERROR(__xludf.DUMMYFUNCTION("IFERROR(ABS(R493-AVERAGE(FILTER(R493:R4561,AA493:AA4561=""Neighbor""))) / STDEV(FILTER(R493:R4561, AA493:AA4561 =""Neighbor"")), """")"),0.27411260790628394)</f>
        <v>0.2741126079</v>
      </c>
    </row>
    <row r="494">
      <c r="A494" s="2" t="s">
        <v>28</v>
      </c>
      <c r="B494" s="2" t="s">
        <v>1711</v>
      </c>
      <c r="C494" s="2" t="s">
        <v>2029</v>
      </c>
      <c r="D494" s="2" t="s">
        <v>2038</v>
      </c>
      <c r="E494" s="2" t="s">
        <v>2039</v>
      </c>
      <c r="F494" s="2">
        <v>74.0</v>
      </c>
      <c r="G494" s="2">
        <v>723.0</v>
      </c>
      <c r="H494" s="2" t="b">
        <v>1</v>
      </c>
      <c r="I494" s="2">
        <v>-1.0</v>
      </c>
      <c r="J494" s="2" t="b">
        <v>0</v>
      </c>
      <c r="K494" s="2" t="b">
        <v>0</v>
      </c>
      <c r="L494" s="2" t="b">
        <v>0</v>
      </c>
      <c r="M494" s="2" t="b">
        <v>0</v>
      </c>
      <c r="N494" s="2" t="s">
        <v>33</v>
      </c>
      <c r="O494" s="2">
        <v>30.0</v>
      </c>
      <c r="P494" s="2">
        <v>6.0</v>
      </c>
      <c r="Q494" s="2">
        <v>33.0</v>
      </c>
      <c r="R494" s="2">
        <v>0.0</v>
      </c>
      <c r="S494" s="3" t="s">
        <v>2040</v>
      </c>
      <c r="T494" s="2" t="s">
        <v>2041</v>
      </c>
      <c r="Y494" s="4" t="str">
        <f>IFERROR(__xludf.DUMMYFUNCTION("""COMPUTED_VALUE"""),"6.6117188")</f>
        <v>6.6117188</v>
      </c>
      <c r="Z494" s="4" t="str">
        <f>IFERROR(__xludf.DUMMYFUNCTION("""COMPUTED_VALUE"""),"3.0576199")</f>
        <v>3.0576199</v>
      </c>
      <c r="AA494" s="4" t="str">
        <f t="shared" si="1"/>
        <v>Not Neighbor</v>
      </c>
      <c r="AC494" s="4">
        <f>IFERROR(__xludf.DUMMYFUNCTION("IFERROR(ABS(O494-AVERAGE(FILTER(O494:O4562,AA494:AA4562=""Neighbor""))) / STDEV(FILTER(O494:O4562, AA494:AA4562 =""Neighbor"")), """")"),0.8237173593367858)</f>
        <v>0.8237173593</v>
      </c>
      <c r="AD494" s="4">
        <f>IFERROR(__xludf.DUMMYFUNCTION("IFERROR(ABS(P494-AVERAGE(FILTER(O494:P4562,AA494:AA4562=""Neighbor""))) / STDEV(FILTER(P494:P4562, AA494:AA4562 =""Neighbor"")), """")"),1.3796778223814987)</f>
        <v>1.379677822</v>
      </c>
      <c r="AE494" s="2">
        <f>IFERROR(__xludf.DUMMYFUNCTION("IFERROR(ABS(Q494-AVERAGE(FILTER(Q494:Q4562,AA494:AA4562=""Neighbor""))) / STDEV(FILTER(Q494:Q4562, AA494:AA4562 =""Neighbor"")), """")"),0.31382641461565236)</f>
        <v>0.3138264146</v>
      </c>
      <c r="AF494" s="2">
        <f>IFERROR(__xludf.DUMMYFUNCTION("IFERROR(ABS(R494-AVERAGE(FILTER(R494:R4562,AA494:AA4562=""Neighbor""))) / STDEV(FILTER(R494:R4562, AA494:AA4562 =""Neighbor"")), """")"),0.09703986484273555)</f>
        <v>0.09703986484</v>
      </c>
    </row>
    <row r="495">
      <c r="A495" s="2" t="s">
        <v>28</v>
      </c>
      <c r="B495" s="2" t="s">
        <v>1711</v>
      </c>
      <c r="C495" s="2" t="s">
        <v>2029</v>
      </c>
      <c r="D495" s="2" t="s">
        <v>2042</v>
      </c>
      <c r="E495" s="2" t="s">
        <v>2043</v>
      </c>
      <c r="F495" s="2">
        <v>101.0</v>
      </c>
      <c r="G495" s="2">
        <v>445.0</v>
      </c>
      <c r="H495" s="2" t="b">
        <v>1</v>
      </c>
      <c r="I495" s="2">
        <v>-1.0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s">
        <v>33</v>
      </c>
      <c r="O495" s="2">
        <v>58.0</v>
      </c>
      <c r="P495" s="2">
        <v>11.0</v>
      </c>
      <c r="Q495" s="2">
        <v>25.0</v>
      </c>
      <c r="R495" s="2">
        <v>0.0</v>
      </c>
      <c r="S495" s="3" t="s">
        <v>2044</v>
      </c>
      <c r="T495" s="2" t="s">
        <v>2045</v>
      </c>
      <c r="Y495" s="4" t="str">
        <f>IFERROR(__xludf.DUMMYFUNCTION("""COMPUTED_VALUE"""),"6.628804")</f>
        <v>6.628804</v>
      </c>
      <c r="Z495" s="4" t="str">
        <f>IFERROR(__xludf.DUMMYFUNCTION("""COMPUTED_VALUE"""),"3.0989551")</f>
        <v>3.0989551</v>
      </c>
      <c r="AA495" s="4" t="str">
        <f t="shared" si="1"/>
        <v>Not Neighbor</v>
      </c>
      <c r="AC495" s="4">
        <f>IFERROR(__xludf.DUMMYFUNCTION("IFERROR(ABS(O495-AVERAGE(FILTER(O495:O4563,AA495:AA4563=""Neighbor""))) / STDEV(FILTER(O495:O4563, AA495:AA4563 =""Neighbor"")), """")"),0.18420943319261587)</f>
        <v>0.1842094332</v>
      </c>
      <c r="AD495" s="4">
        <f>IFERROR(__xludf.DUMMYFUNCTION("IFERROR(ABS(P495-AVERAGE(FILTER(O495:P4563,AA495:AA4563=""Neighbor""))) / STDEV(FILTER(P495:P4563, AA495:AA4563 =""Neighbor"")), """")"),1.182373962110889)</f>
        <v>1.182373962</v>
      </c>
      <c r="AE495" s="2">
        <f>IFERROR(__xludf.DUMMYFUNCTION("IFERROR(ABS(Q495-AVERAGE(FILTER(Q495:Q4563,AA495:AA4563=""Neighbor""))) / STDEV(FILTER(Q495:Q4563, AA495:AA4563 =""Neighbor"")), """")"),0.015769055511473024)</f>
        <v>0.01576905551</v>
      </c>
      <c r="AF495" s="2">
        <f>IFERROR(__xludf.DUMMYFUNCTION("IFERROR(ABS(R495-AVERAGE(FILTER(R495:R4563,AA495:AA4563=""Neighbor""))) / STDEV(FILTER(R495:R4563, AA495:AA4563 =""Neighbor"")), """")"),0.09703986484273555)</f>
        <v>0.09703986484</v>
      </c>
    </row>
    <row r="496">
      <c r="A496" s="2" t="s">
        <v>28</v>
      </c>
      <c r="B496" s="2" t="s">
        <v>1711</v>
      </c>
      <c r="C496" s="2" t="s">
        <v>2029</v>
      </c>
      <c r="D496" s="2" t="s">
        <v>2046</v>
      </c>
      <c r="E496" s="2" t="s">
        <v>2047</v>
      </c>
      <c r="F496" s="2">
        <v>50.0</v>
      </c>
      <c r="G496" s="2">
        <v>750.0</v>
      </c>
      <c r="H496" s="2" t="b">
        <v>1</v>
      </c>
      <c r="I496" s="2">
        <v>-1.0</v>
      </c>
      <c r="J496" s="2" t="b">
        <v>0</v>
      </c>
      <c r="K496" s="2" t="b">
        <v>0</v>
      </c>
      <c r="L496" s="2" t="b">
        <v>0</v>
      </c>
      <c r="M496" s="2" t="b">
        <v>0</v>
      </c>
      <c r="N496" s="2" t="s">
        <v>33</v>
      </c>
      <c r="O496" s="2">
        <v>32.0</v>
      </c>
      <c r="P496" s="2">
        <v>6.0</v>
      </c>
      <c r="Q496" s="2">
        <v>12.0</v>
      </c>
      <c r="R496" s="2">
        <v>0.0</v>
      </c>
      <c r="S496" s="3" t="s">
        <v>2048</v>
      </c>
      <c r="T496" s="2" t="s">
        <v>2049</v>
      </c>
      <c r="Y496" s="4" t="str">
        <f>IFERROR(__xludf.DUMMYFUNCTION("""COMPUTED_VALUE"""),"6.6609382")</f>
        <v>6.6609382</v>
      </c>
      <c r="Z496" s="4" t="str">
        <f>IFERROR(__xludf.DUMMYFUNCTION("""COMPUTED_VALUE"""),"3.0889198")</f>
        <v>3.0889198</v>
      </c>
      <c r="AA496" s="4" t="str">
        <f t="shared" si="1"/>
        <v>Neighbor</v>
      </c>
      <c r="AC496" s="4">
        <f>IFERROR(__xludf.DUMMYFUNCTION("IFERROR(ABS(O496-AVERAGE(FILTER(O496:O4564,AA496:AA4564=""Neighbor""))) / STDEV(FILTER(O496:O4564, AA496:AA4564 =""Neighbor"")), """")"),0.7780382217550593)</f>
        <v>0.7780382218</v>
      </c>
      <c r="AD496" s="4">
        <f>IFERROR(__xludf.DUMMYFUNCTION("IFERROR(ABS(P496-AVERAGE(FILTER(O496:P4564,AA496:AA4564=""Neighbor""))) / STDEV(FILTER(P496:P4564, AA496:AA4564 =""Neighbor"")), """")"),1.3796778223814987)</f>
        <v>1.379677822</v>
      </c>
      <c r="AE496" s="2">
        <f>IFERROR(__xludf.DUMMYFUNCTION("IFERROR(ABS(Q496-AVERAGE(FILTER(Q496:Q4564,AA496:AA4564=""Neighbor""))) / STDEV(FILTER(Q496:Q4564, AA496:AA4564 =""Neighbor"")), """")"),0.5513616944680517)</f>
        <v>0.5513616945</v>
      </c>
      <c r="AF496" s="2">
        <f>IFERROR(__xludf.DUMMYFUNCTION("IFERROR(ABS(R496-AVERAGE(FILTER(R496:R4564,AA496:AA4564=""Neighbor""))) / STDEV(FILTER(R496:R4564, AA496:AA4564 =""Neighbor"")), """")"),0.09703986484273555)</f>
        <v>0.09703986484</v>
      </c>
    </row>
    <row r="497">
      <c r="A497" s="2" t="s">
        <v>28</v>
      </c>
      <c r="B497" s="2" t="s">
        <v>1711</v>
      </c>
      <c r="C497" s="2" t="s">
        <v>2029</v>
      </c>
      <c r="D497" s="2" t="s">
        <v>2050</v>
      </c>
      <c r="E497" s="2" t="s">
        <v>2051</v>
      </c>
      <c r="F497" s="2">
        <v>57.0</v>
      </c>
      <c r="G497" s="2">
        <v>757.0</v>
      </c>
      <c r="H497" s="2" t="b">
        <v>1</v>
      </c>
      <c r="I497" s="2">
        <v>-1.0</v>
      </c>
      <c r="J497" s="2" t="b">
        <v>0</v>
      </c>
      <c r="K497" s="2" t="b">
        <v>0</v>
      </c>
      <c r="L497" s="2" t="b">
        <v>0</v>
      </c>
      <c r="M497" s="2" t="b">
        <v>0</v>
      </c>
      <c r="N497" s="2" t="s">
        <v>33</v>
      </c>
      <c r="O497" s="2">
        <v>46.0</v>
      </c>
      <c r="P497" s="2">
        <v>4.0</v>
      </c>
      <c r="Q497" s="2">
        <v>6.0</v>
      </c>
      <c r="R497" s="2">
        <v>1.0</v>
      </c>
      <c r="S497" s="3" t="s">
        <v>2052</v>
      </c>
      <c r="T497" s="2" t="s">
        <v>2053</v>
      </c>
      <c r="Y497" s="4" t="str">
        <f>IFERROR(__xludf.DUMMYFUNCTION("""COMPUTED_VALUE"""),"6.6609382")</f>
        <v>6.6609382</v>
      </c>
      <c r="Z497" s="4" t="str">
        <f>IFERROR(__xludf.DUMMYFUNCTION("""COMPUTED_VALUE"""),"3.0889198")</f>
        <v>3.0889198</v>
      </c>
      <c r="AA497" s="4" t="str">
        <f t="shared" si="1"/>
        <v>Not Neighbor</v>
      </c>
      <c r="AC497" s="4">
        <f>IFERROR(__xludf.DUMMYFUNCTION("IFERROR(ABS(O497-AVERAGE(FILTER(O497:O4565,AA497:AA4565=""Neighbor""))) / STDEV(FILTER(O497:O4565, AA497:AA4565 =""Neighbor"")), """")"),0.4587478816940005)</f>
        <v>0.4587478817</v>
      </c>
      <c r="AD497" s="4">
        <f>IFERROR(__xludf.DUMMYFUNCTION("IFERROR(ABS(P497-AVERAGE(FILTER(O497:P4565,AA497:AA4565=""Neighbor""))) / STDEV(FILTER(P497:P4565, AA497:AA4565 =""Neighbor"")), """")"),1.4587662545080589)</f>
        <v>1.458766255</v>
      </c>
      <c r="AE497" s="2">
        <f>IFERROR(__xludf.DUMMYFUNCTION("IFERROR(ABS(Q497-AVERAGE(FILTER(Q497:Q4565,AA497:AA4565=""Neighbor""))) / STDEV(FILTER(Q497:Q4565, AA497:AA4565 =""Neighbor"")), """")"),0.7987426033004444)</f>
        <v>0.7987426033</v>
      </c>
      <c r="AF497" s="2">
        <f>IFERROR(__xludf.DUMMYFUNCTION("IFERROR(ABS(R497-AVERAGE(FILTER(R497:R4565,AA497:AA4565=""Neighbor""))) / STDEV(FILTER(R497:R4565, AA497:AA4565 =""Neighbor"")), """")"),0.08844138427837778)</f>
        <v>0.08844138428</v>
      </c>
    </row>
    <row r="498">
      <c r="A498" s="2" t="s">
        <v>28</v>
      </c>
      <c r="B498" s="2" t="s">
        <v>1711</v>
      </c>
      <c r="C498" s="2" t="s">
        <v>2029</v>
      </c>
      <c r="D498" s="2" t="s">
        <v>2054</v>
      </c>
      <c r="E498" s="2" t="s">
        <v>2055</v>
      </c>
      <c r="F498" s="2">
        <v>41.0</v>
      </c>
      <c r="G498" s="2">
        <v>470.0</v>
      </c>
      <c r="H498" s="2" t="b">
        <v>1</v>
      </c>
      <c r="I498" s="2">
        <v>-1.0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s">
        <v>33</v>
      </c>
      <c r="O498" s="2">
        <v>26.0</v>
      </c>
      <c r="P498" s="2">
        <v>6.0</v>
      </c>
      <c r="Q498" s="2">
        <v>4.0</v>
      </c>
      <c r="R498" s="2">
        <v>0.0</v>
      </c>
      <c r="S498" s="3" t="s">
        <v>2056</v>
      </c>
      <c r="T498" s="2" t="s">
        <v>2057</v>
      </c>
      <c r="Y498" s="4" t="str">
        <f>IFERROR(__xludf.DUMMYFUNCTION("""COMPUTED_VALUE"""),"6.6993998")</f>
        <v>6.6993998</v>
      </c>
      <c r="Z498" s="4" t="str">
        <f>IFERROR(__xludf.DUMMYFUNCTION("""COMPUTED_VALUE"""),"3.0685765")</f>
        <v>3.0685765</v>
      </c>
      <c r="AA498" s="4" t="str">
        <f t="shared" si="1"/>
        <v>Not Neighbor</v>
      </c>
      <c r="AC498" s="4">
        <f>IFERROR(__xludf.DUMMYFUNCTION("IFERROR(ABS(O498-AVERAGE(FILTER(O498:O4566,AA498:AA4566=""Neighbor""))) / STDEV(FILTER(O498:O4566, AA498:AA4566 =""Neighbor"")), """")"),0.9154785107780881)</f>
        <v>0.9154785108</v>
      </c>
      <c r="AD498" s="4">
        <f>IFERROR(__xludf.DUMMYFUNCTION("IFERROR(ABS(P498-AVERAGE(FILTER(O498:P4566,AA498:AA4566=""Neighbor""))) / STDEV(FILTER(P498:P4566, AA498:AA4566 =""Neighbor"")), """")"),1.3798672928137947)</f>
        <v>1.379867293</v>
      </c>
      <c r="AE498" s="2">
        <f>IFERROR(__xludf.DUMMYFUNCTION("IFERROR(ABS(Q498-AVERAGE(FILTER(Q498:Q4566,AA498:AA4566=""Neighbor""))) / STDEV(FILTER(Q498:Q4566, AA498:AA4566 =""Neighbor"")), """")"),0.8811221346096146)</f>
        <v>0.8811221346</v>
      </c>
      <c r="AF498" s="2">
        <f>IFERROR(__xludf.DUMMYFUNCTION("IFERROR(ABS(R498-AVERAGE(FILTER(R498:R4566,AA498:AA4566=""Neighbor""))) / STDEV(FILTER(R498:R4566, AA498:AA4566 =""Neighbor"")), """")"),0.09707286308348112)</f>
        <v>0.09707286308</v>
      </c>
    </row>
    <row r="499">
      <c r="A499" s="2" t="s">
        <v>28</v>
      </c>
      <c r="B499" s="2" t="s">
        <v>1711</v>
      </c>
      <c r="C499" s="2" t="s">
        <v>2029</v>
      </c>
      <c r="D499" s="2" t="s">
        <v>2058</v>
      </c>
      <c r="E499" s="2" t="s">
        <v>2059</v>
      </c>
      <c r="F499" s="2">
        <v>104.0</v>
      </c>
      <c r="G499" s="2">
        <v>750.0</v>
      </c>
      <c r="H499" s="2" t="b">
        <v>1</v>
      </c>
      <c r="I499" s="2">
        <v>-1.0</v>
      </c>
      <c r="J499" s="2" t="b">
        <v>0</v>
      </c>
      <c r="K499" s="2" t="b">
        <v>0</v>
      </c>
      <c r="L499" s="2" t="b">
        <v>0</v>
      </c>
      <c r="M499" s="2" t="b">
        <v>0</v>
      </c>
      <c r="N499" s="2" t="s">
        <v>33</v>
      </c>
      <c r="O499" s="2">
        <v>58.0</v>
      </c>
      <c r="P499" s="2">
        <v>24.0</v>
      </c>
      <c r="Q499" s="2">
        <v>18.0</v>
      </c>
      <c r="R499" s="2">
        <v>0.0</v>
      </c>
      <c r="S499" s="3" t="s">
        <v>2060</v>
      </c>
      <c r="T499" s="2" t="s">
        <v>2061</v>
      </c>
      <c r="Y499" s="4" t="str">
        <f>IFERROR(__xludf.DUMMYFUNCTION("""COMPUTED_VALUE"""),"6.6825119")</f>
        <v>6.6825119</v>
      </c>
      <c r="Z499" s="4" t="str">
        <f>IFERROR(__xludf.DUMMYFUNCTION("""COMPUTED_VALUE"""),"3.0463528")</f>
        <v>3.0463528</v>
      </c>
      <c r="AA499" s="4" t="str">
        <f t="shared" si="1"/>
        <v>Not Neighbor</v>
      </c>
      <c r="AC499" s="4">
        <f>IFERROR(__xludf.DUMMYFUNCTION("IFERROR(ABS(O499-AVERAGE(FILTER(O499:O4567,AA499:AA4567=""Neighbor""))) / STDEV(FILTER(O499:O4567, AA499:AA4567 =""Neighbor"")), """")"),0.1847095042435479)</f>
        <v>0.1847095042</v>
      </c>
      <c r="AD499" s="4">
        <f>IFERROR(__xludf.DUMMYFUNCTION("IFERROR(ABS(P499-AVERAGE(FILTER(O499:P4567,AA499:AA4567=""Neighbor""))) / STDEV(FILTER(P499:P4567, AA499:AA4567 =""Neighbor"")), """")"),0.6697766375654178)</f>
        <v>0.6697766376</v>
      </c>
      <c r="AE499" s="2">
        <f>IFERROR(__xludf.DUMMYFUNCTION("IFERROR(ABS(Q499-AVERAGE(FILTER(Q499:Q4567,AA499:AA4567=""Neighbor""))) / STDEV(FILTER(Q499:Q4567, AA499:AA4567 =""Neighbor"")), """")"),0.3044654154454229)</f>
        <v>0.3044654154</v>
      </c>
      <c r="AF499" s="2">
        <f>IFERROR(__xludf.DUMMYFUNCTION("IFERROR(ABS(R499-AVERAGE(FILTER(R499:R4567,AA499:AA4567=""Neighbor""))) / STDEV(FILTER(R499:R4567, AA499:AA4567 =""Neighbor"")), """")"),0.09707286308348112)</f>
        <v>0.09707286308</v>
      </c>
    </row>
    <row r="500">
      <c r="A500" s="2" t="s">
        <v>28</v>
      </c>
      <c r="B500" s="2" t="s">
        <v>1711</v>
      </c>
      <c r="C500" s="2" t="s">
        <v>2029</v>
      </c>
      <c r="D500" s="2" t="s">
        <v>2062</v>
      </c>
      <c r="E500" s="2" t="s">
        <v>2063</v>
      </c>
      <c r="F500" s="2">
        <v>158.0</v>
      </c>
      <c r="G500" s="2">
        <v>964.0</v>
      </c>
      <c r="H500" s="2" t="b">
        <v>1</v>
      </c>
      <c r="I500" s="2">
        <v>-1.0</v>
      </c>
      <c r="J500" s="2" t="b">
        <v>0</v>
      </c>
      <c r="K500" s="2" t="b">
        <v>1</v>
      </c>
      <c r="L500" s="2" t="b">
        <v>0</v>
      </c>
      <c r="M500" s="2" t="b">
        <v>0</v>
      </c>
      <c r="N500" s="2" t="s">
        <v>33</v>
      </c>
      <c r="O500" s="2">
        <v>106.0</v>
      </c>
      <c r="P500" s="2">
        <v>13.0</v>
      </c>
      <c r="Q500" s="2">
        <v>28.0</v>
      </c>
      <c r="R500" s="2">
        <v>1.0</v>
      </c>
      <c r="S500" s="3" t="s">
        <v>2064</v>
      </c>
      <c r="T500" s="2" t="s">
        <v>2065</v>
      </c>
      <c r="Y500" s="4" t="str">
        <f>IFERROR(__xludf.DUMMYFUNCTION("""COMPUTED_VALUE"""),"6.6386447")</f>
        <v>6.6386447</v>
      </c>
      <c r="Z500" s="4" t="str">
        <f>IFERROR(__xludf.DUMMYFUNCTION("""COMPUTED_VALUE"""),"3.0868689")</f>
        <v>3.0868689</v>
      </c>
      <c r="AA500" s="4" t="str">
        <f t="shared" si="1"/>
        <v>Not Neighbor</v>
      </c>
      <c r="AC500" s="4">
        <f>IFERROR(__xludf.DUMMYFUNCTION("IFERROR(ABS(O500-AVERAGE(FILTER(O500:O4568,AA500:AA4568=""Neighbor""))) / STDEV(FILTER(O500:O4568, AA500:AA4568 =""Neighbor"")), """")"),0.9114440055582623)</f>
        <v>0.9114440056</v>
      </c>
      <c r="AD500" s="4">
        <f>IFERROR(__xludf.DUMMYFUNCTION("IFERROR(ABS(P500-AVERAGE(FILTER(O500:P4568,AA500:AA4568=""Neighbor""))) / STDEV(FILTER(P500:P4568, AA500:AA4568 =""Neighbor"")), """")"),1.1037209268838704)</f>
        <v>1.103720927</v>
      </c>
      <c r="AE500" s="2">
        <f>IFERROR(__xludf.DUMMYFUNCTION("IFERROR(ABS(Q500-AVERAGE(FILTER(Q500:Q4568,AA500:AA4568=""Neighbor""))) / STDEV(FILTER(Q500:Q4568, AA500:AA4568 =""Neighbor"")), """")"),0.10743224110042843)</f>
        <v>0.1074322411</v>
      </c>
      <c r="AF500" s="2">
        <f>IFERROR(__xludf.DUMMYFUNCTION("IFERROR(ABS(R500-AVERAGE(FILTER(R500:R4568,AA500:AA4568=""Neighbor""))) / STDEV(FILTER(R500:R4568, AA500:AA4568 =""Neighbor"")), """")"),0.08844138427837778)</f>
        <v>0.08844138428</v>
      </c>
    </row>
    <row r="501">
      <c r="A501" s="2" t="s">
        <v>28</v>
      </c>
      <c r="B501" s="2" t="s">
        <v>1711</v>
      </c>
      <c r="C501" s="2" t="s">
        <v>2029</v>
      </c>
      <c r="D501" s="2" t="s">
        <v>2066</v>
      </c>
      <c r="E501" s="2" t="s">
        <v>2067</v>
      </c>
      <c r="F501" s="2">
        <v>75.0</v>
      </c>
      <c r="G501" s="2">
        <v>750.0</v>
      </c>
      <c r="H501" s="2" t="b">
        <v>1</v>
      </c>
      <c r="I501" s="2">
        <v>-1.0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s">
        <v>33</v>
      </c>
      <c r="O501" s="2">
        <v>36.0</v>
      </c>
      <c r="P501" s="2">
        <v>12.0</v>
      </c>
      <c r="Q501" s="2">
        <v>8.0</v>
      </c>
      <c r="R501" s="2">
        <v>0.0</v>
      </c>
      <c r="S501" s="3" t="s">
        <v>2068</v>
      </c>
      <c r="T501" s="2" t="s">
        <v>2069</v>
      </c>
      <c r="Y501" s="4" t="str">
        <f>IFERROR(__xludf.DUMMYFUNCTION("""COMPUTED_VALUE"""),"6.6732048")</f>
        <v>6.6732048</v>
      </c>
      <c r="Z501" s="4" t="str">
        <f>IFERROR(__xludf.DUMMYFUNCTION("""COMPUTED_VALUE"""),"3.0400945")</f>
        <v>3.0400945</v>
      </c>
      <c r="AA501" s="4" t="str">
        <f t="shared" si="1"/>
        <v>Not Neighbor</v>
      </c>
      <c r="AC501" s="4">
        <f>IFERROR(__xludf.DUMMYFUNCTION("IFERROR(ABS(O501-AVERAGE(FILTER(O501:O4569,AA501:AA4569=""Neighbor""))) / STDEV(FILTER(O501:O4569, AA501:AA4569 =""Neighbor"")), """")"),0.6871131962360443)</f>
        <v>0.6871131962</v>
      </c>
      <c r="AD501" s="4">
        <f>IFERROR(__xludf.DUMMYFUNCTION("IFERROR(ABS(P501-AVERAGE(FILTER(O501:P4569,AA501:AA4569=""Neighbor""))) / STDEV(FILTER(P501:P4569, AA501:AA4569 =""Neighbor"")), """")"),1.1431704077310025)</f>
        <v>1.143170408</v>
      </c>
      <c r="AE501" s="2">
        <f>IFERROR(__xludf.DUMMYFUNCTION("IFERROR(ABS(Q501-AVERAGE(FILTER(Q501:Q4569,AA501:AA4569=""Neighbor""))) / STDEV(FILTER(Q501:Q4569, AA501:AA4569 =""Neighbor"")), """")"),0.7163630719912741)</f>
        <v>0.716363072</v>
      </c>
      <c r="AF501" s="2">
        <f>IFERROR(__xludf.DUMMYFUNCTION("IFERROR(ABS(R501-AVERAGE(FILTER(R501:R4569,AA501:AA4569=""Neighbor""))) / STDEV(FILTER(R501:R4569, AA501:AA4569 =""Neighbor"")), """")"),0.09707286308348112)</f>
        <v>0.09707286308</v>
      </c>
    </row>
    <row r="502">
      <c r="A502" s="2" t="s">
        <v>28</v>
      </c>
      <c r="B502" s="2" t="s">
        <v>1711</v>
      </c>
      <c r="C502" s="2" t="s">
        <v>2029</v>
      </c>
      <c r="D502" s="2" t="s">
        <v>2070</v>
      </c>
      <c r="E502" s="2" t="s">
        <v>2071</v>
      </c>
      <c r="F502" s="2">
        <v>123.0</v>
      </c>
      <c r="G502" s="2">
        <v>1064.0</v>
      </c>
      <c r="H502" s="2" t="b">
        <v>1</v>
      </c>
      <c r="I502" s="2">
        <v>-1.0</v>
      </c>
      <c r="J502" s="2" t="b">
        <v>0</v>
      </c>
      <c r="K502" s="2" t="b">
        <v>0</v>
      </c>
      <c r="L502" s="2" t="b">
        <v>0</v>
      </c>
      <c r="M502" s="2" t="b">
        <v>0</v>
      </c>
      <c r="N502" s="2" t="s">
        <v>33</v>
      </c>
      <c r="O502" s="2">
        <v>80.0</v>
      </c>
      <c r="P502" s="2">
        <v>22.0</v>
      </c>
      <c r="Q502" s="2">
        <v>18.0</v>
      </c>
      <c r="R502" s="2">
        <v>0.0</v>
      </c>
      <c r="S502" s="3" t="s">
        <v>2072</v>
      </c>
      <c r="T502" s="2" t="s">
        <v>2073</v>
      </c>
      <c r="Y502" s="4" t="str">
        <f>IFERROR(__xludf.DUMMYFUNCTION("""COMPUTED_VALUE"""),"6.6943199")</f>
        <v>6.6943199</v>
      </c>
      <c r="Z502" s="4" t="str">
        <f>IFERROR(__xludf.DUMMYFUNCTION("""COMPUTED_VALUE"""),"3.080162")</f>
        <v>3.080162</v>
      </c>
      <c r="AA502" s="4" t="str">
        <f t="shared" si="1"/>
        <v>Not Neighbor</v>
      </c>
      <c r="AC502" s="4">
        <f>IFERROR(__xludf.DUMMYFUNCTION("IFERROR(ABS(O502-AVERAGE(FILTER(O502:O4570,AA502:AA4570=""Neighbor""))) / STDEV(FILTER(O502:O4570, AA502:AA4570 =""Neighbor"")), """")"),0.3176941877489485)</f>
        <v>0.3176941877</v>
      </c>
      <c r="AD502" s="4">
        <f>IFERROR(__xludf.DUMMYFUNCTION("IFERROR(ABS(P502-AVERAGE(FILTER(O502:P4570,AA502:AA4570=""Neighbor""))) / STDEV(FILTER(P502:P4570, AA502:AA4570 =""Neighbor"")), """")"),0.748675599259682)</f>
        <v>0.7486755993</v>
      </c>
      <c r="AE502" s="2">
        <f>IFERROR(__xludf.DUMMYFUNCTION("IFERROR(ABS(Q502-AVERAGE(FILTER(Q502:Q4570,AA502:AA4570=""Neighbor""))) / STDEV(FILTER(Q502:Q4570, AA502:AA4570 =""Neighbor"")), """")"),0.3044654154454229)</f>
        <v>0.3044654154</v>
      </c>
      <c r="AF502" s="2">
        <f>IFERROR(__xludf.DUMMYFUNCTION("IFERROR(ABS(R502-AVERAGE(FILTER(R502:R4570,AA502:AA4570=""Neighbor""))) / STDEV(FILTER(R502:R4570, AA502:AA4570 =""Neighbor"")), """")"),0.09707286308348112)</f>
        <v>0.09707286308</v>
      </c>
    </row>
    <row r="503">
      <c r="A503" s="2" t="s">
        <v>28</v>
      </c>
      <c r="B503" s="2" t="s">
        <v>1711</v>
      </c>
      <c r="C503" s="2" t="s">
        <v>2029</v>
      </c>
      <c r="D503" s="2" t="s">
        <v>2074</v>
      </c>
      <c r="E503" s="2" t="s">
        <v>2075</v>
      </c>
      <c r="F503" s="2">
        <v>83.0</v>
      </c>
      <c r="G503" s="2">
        <v>807.0</v>
      </c>
      <c r="H503" s="2" t="b">
        <v>1</v>
      </c>
      <c r="I503" s="2">
        <v>-1.0</v>
      </c>
      <c r="J503" s="2" t="b">
        <v>0</v>
      </c>
      <c r="K503" s="2" t="b">
        <v>0</v>
      </c>
      <c r="L503" s="2" t="b">
        <v>0</v>
      </c>
      <c r="M503" s="2" t="b">
        <v>0</v>
      </c>
      <c r="N503" s="2" t="s">
        <v>33</v>
      </c>
      <c r="O503" s="2">
        <v>48.0</v>
      </c>
      <c r="P503" s="2">
        <v>5.0</v>
      </c>
      <c r="Q503" s="2">
        <v>15.0</v>
      </c>
      <c r="R503" s="2">
        <v>1.0</v>
      </c>
      <c r="S503" s="3" t="s">
        <v>2076</v>
      </c>
      <c r="T503" s="2" t="s">
        <v>2077</v>
      </c>
      <c r="Y503" s="4" t="str">
        <f>IFERROR(__xludf.DUMMYFUNCTION("""COMPUTED_VALUE"""),"6.6117188")</f>
        <v>6.6117188</v>
      </c>
      <c r="Z503" s="4" t="str">
        <f>IFERROR(__xludf.DUMMYFUNCTION("""COMPUTED_VALUE"""),"3.0576199")</f>
        <v>3.0576199</v>
      </c>
      <c r="AA503" s="4" t="str">
        <f t="shared" si="1"/>
        <v>Neighbor</v>
      </c>
      <c r="AC503" s="4">
        <f>IFERROR(__xludf.DUMMYFUNCTION("IFERROR(ABS(O503-AVERAGE(FILTER(O503:O4571,AA503:AA4571=""Neighbor""))) / STDEV(FILTER(O503:O4571, AA503:AA4571 =""Neighbor"")), """")"),0.4130748187855917)</f>
        <v>0.4130748188</v>
      </c>
      <c r="AD503" s="4">
        <f>IFERROR(__xludf.DUMMYFUNCTION("IFERROR(ABS(P503-AVERAGE(FILTER(O503:P4571,AA503:AA4571=""Neighbor""))) / STDEV(FILTER(P503:P4571, AA503:AA4571 =""Neighbor"")), """")"),1.419316773660927)</f>
        <v>1.419316774</v>
      </c>
      <c r="AE503" s="2">
        <f>IFERROR(__xludf.DUMMYFUNCTION("IFERROR(ABS(Q503-AVERAGE(FILTER(Q503:Q4571,AA503:AA4571=""Neighbor""))) / STDEV(FILTER(Q503:Q4571, AA503:AA4571 =""Neighbor"")), """")"),0.42803471240917823)</f>
        <v>0.4280347124</v>
      </c>
      <c r="AF503" s="2">
        <f>IFERROR(__xludf.DUMMYFUNCTION("IFERROR(ABS(R503-AVERAGE(FILTER(R503:R4571,AA503:AA4571=""Neighbor""))) / STDEV(FILTER(R503:R4571, AA503:AA4571 =""Neighbor"")), """")"),0.08844138427837778)</f>
        <v>0.08844138428</v>
      </c>
    </row>
    <row r="504">
      <c r="A504" s="2" t="s">
        <v>28</v>
      </c>
      <c r="B504" s="2" t="s">
        <v>1711</v>
      </c>
      <c r="C504" s="2" t="s">
        <v>2029</v>
      </c>
      <c r="D504" s="2" t="s">
        <v>2078</v>
      </c>
      <c r="E504" s="2" t="s">
        <v>2079</v>
      </c>
      <c r="F504" s="2">
        <v>83.0</v>
      </c>
      <c r="G504" s="2">
        <v>750.0</v>
      </c>
      <c r="H504" s="2" t="b">
        <v>1</v>
      </c>
      <c r="I504" s="2">
        <v>-1.0</v>
      </c>
      <c r="J504" s="2" t="b">
        <v>0</v>
      </c>
      <c r="K504" s="2" t="b">
        <v>0</v>
      </c>
      <c r="L504" s="2" t="b">
        <v>0</v>
      </c>
      <c r="M504" s="2" t="b">
        <v>0</v>
      </c>
      <c r="N504" s="2" t="s">
        <v>33</v>
      </c>
      <c r="O504" s="2">
        <v>32.0</v>
      </c>
      <c r="P504" s="2">
        <v>9.0</v>
      </c>
      <c r="Q504" s="2">
        <v>29.0</v>
      </c>
      <c r="R504" s="2">
        <v>0.0</v>
      </c>
      <c r="S504" s="3" t="s">
        <v>2080</v>
      </c>
      <c r="T504" s="2" t="s">
        <v>2081</v>
      </c>
      <c r="Y504" s="4" t="str">
        <f>IFERROR(__xludf.DUMMYFUNCTION("""COMPUTED_VALUE"""),"6.6117188")</f>
        <v>6.6117188</v>
      </c>
      <c r="Z504" s="4" t="str">
        <f>IFERROR(__xludf.DUMMYFUNCTION("""COMPUTED_VALUE"""),"3.0576199")</f>
        <v>3.0576199</v>
      </c>
      <c r="AA504" s="4" t="str">
        <f t="shared" si="1"/>
        <v>Neighbor</v>
      </c>
      <c r="AC504" s="4">
        <f>IFERROR(__xludf.DUMMYFUNCTION("IFERROR(ABS(O504-AVERAGE(FILTER(O504:O4572,AA504:AA4572=""Neighbor""))) / STDEV(FILTER(O504:O4572, AA504:AA4572 =""Neighbor"")), """")"),0.7785201227132676)</f>
        <v>0.7785201227</v>
      </c>
      <c r="AD504" s="4">
        <f>IFERROR(__xludf.DUMMYFUNCTION("IFERROR(ABS(P504-AVERAGE(FILTER(O504:P4572,AA504:AA4572=""Neighbor""))) / STDEV(FILTER(P504:P4572, AA504:AA4572 =""Neighbor"")), """")"),1.261556717633212)</f>
        <v>1.261556718</v>
      </c>
      <c r="AE504" s="2">
        <f>IFERROR(__xludf.DUMMYFUNCTION("IFERROR(ABS(Q504-AVERAGE(FILTER(Q504:Q4572,AA504:AA4572=""Neighbor""))) / STDEV(FILTER(Q504:Q4572, AA504:AA4572 =""Neighbor"")), """")"),0.1482923038931497)</f>
        <v>0.1482923039</v>
      </c>
      <c r="AF504" s="2">
        <f>IFERROR(__xludf.DUMMYFUNCTION("IFERROR(ABS(R504-AVERAGE(FILTER(R504:R4572,AA504:AA4572=""Neighbor""))) / STDEV(FILTER(R504:R4572, AA504:AA4572 =""Neighbor"")), """")"),0.0969807061195104)</f>
        <v>0.09698070612</v>
      </c>
    </row>
    <row r="505">
      <c r="A505" s="2" t="s">
        <v>28</v>
      </c>
      <c r="B505" s="2" t="s">
        <v>1711</v>
      </c>
      <c r="C505" s="2" t="s">
        <v>2029</v>
      </c>
      <c r="D505" s="2" t="s">
        <v>2082</v>
      </c>
      <c r="E505" s="2" t="s">
        <v>2083</v>
      </c>
      <c r="F505" s="2">
        <v>54.0</v>
      </c>
      <c r="G505" s="2">
        <v>867.0</v>
      </c>
      <c r="H505" s="2" t="b">
        <v>1</v>
      </c>
      <c r="I505" s="2">
        <v>-1.0</v>
      </c>
      <c r="J505" s="2" t="b">
        <v>0</v>
      </c>
      <c r="K505" s="2" t="b">
        <v>0</v>
      </c>
      <c r="L505" s="2" t="b">
        <v>0</v>
      </c>
      <c r="M505" s="2" t="b">
        <v>0</v>
      </c>
      <c r="N505" s="2" t="s">
        <v>33</v>
      </c>
      <c r="O505" s="2">
        <v>0.0</v>
      </c>
      <c r="P505" s="2">
        <v>0.0</v>
      </c>
      <c r="Q505" s="2">
        <v>0.0</v>
      </c>
      <c r="R505" s="2">
        <v>0.0</v>
      </c>
      <c r="S505" s="3" t="s">
        <v>2084</v>
      </c>
      <c r="T505" s="2" t="s">
        <v>2085</v>
      </c>
      <c r="Y505" s="4" t="str">
        <f>IFERROR(__xludf.DUMMYFUNCTION("""COMPUTED_VALUE"""),"6.6117188")</f>
        <v>6.6117188</v>
      </c>
      <c r="Z505" s="4" t="str">
        <f>IFERROR(__xludf.DUMMYFUNCTION("""COMPUTED_VALUE"""),"3.0576199")</f>
        <v>3.0576199</v>
      </c>
      <c r="AA505" s="4" t="str">
        <f t="shared" si="1"/>
        <v>Neighbor</v>
      </c>
      <c r="AC505" s="4">
        <f>IFERROR(__xludf.DUMMYFUNCTION("IFERROR(ABS(O505-AVERAGE(FILTER(O505:O4573,AA505:AA4573=""Neighbor""))) / STDEV(FILTER(O505:O4573, AA505:AA4573 =""Neighbor"")), """")"),1.5094096529482042)</f>
        <v>1.509409653</v>
      </c>
      <c r="AD505" s="4">
        <f>IFERROR(__xludf.DUMMYFUNCTION("IFERROR(ABS(P505-AVERAGE(FILTER(O505:P4573,AA505:AA4573=""Neighbor""))) / STDEV(FILTER(P505:P4573, AA505:AA4573 =""Neighbor"")), """")"),1.6165439807206476)</f>
        <v>1.616543981</v>
      </c>
      <c r="AE505" s="2">
        <f>IFERROR(__xludf.DUMMYFUNCTION("IFERROR(ABS(Q505-AVERAGE(FILTER(Q505:Q4573,AA505:AA4573=""Neighbor""))) / STDEV(FILTER(Q505:Q4573, AA505:AA4573 =""Neighbor"")), """")"),1.0454362072171923)</f>
        <v>1.045436207</v>
      </c>
      <c r="AF505" s="2">
        <f>IFERROR(__xludf.DUMMYFUNCTION("IFERROR(ABS(R505-AVERAGE(FILTER(R505:R4573,AA505:AA4573=""Neighbor""))) / STDEV(FILTER(R505:R4573, AA505:AA4573 =""Neighbor"")), """")"),0.09701372836532036)</f>
        <v>0.09701372837</v>
      </c>
    </row>
    <row r="506">
      <c r="A506" s="2" t="s">
        <v>28</v>
      </c>
      <c r="B506" s="2" t="s">
        <v>1711</v>
      </c>
      <c r="C506" s="2" t="s">
        <v>2029</v>
      </c>
      <c r="D506" s="2" t="s">
        <v>2086</v>
      </c>
      <c r="E506" s="2" t="s">
        <v>2087</v>
      </c>
      <c r="F506" s="2">
        <v>72.0</v>
      </c>
      <c r="G506" s="2">
        <v>730.0</v>
      </c>
      <c r="H506" s="2" t="b">
        <v>1</v>
      </c>
      <c r="I506" s="2">
        <v>-1.0</v>
      </c>
      <c r="J506" s="2" t="b">
        <v>0</v>
      </c>
      <c r="K506" s="2" t="b">
        <v>0</v>
      </c>
      <c r="L506" s="2" t="b">
        <v>0</v>
      </c>
      <c r="M506" s="2" t="b">
        <v>0</v>
      </c>
      <c r="N506" s="2" t="s">
        <v>33</v>
      </c>
      <c r="O506" s="2">
        <v>25.0</v>
      </c>
      <c r="P506" s="2">
        <v>32.0</v>
      </c>
      <c r="Q506" s="2">
        <v>6.0</v>
      </c>
      <c r="R506" s="2">
        <v>1.0</v>
      </c>
      <c r="S506" s="3" t="s">
        <v>2088</v>
      </c>
      <c r="T506" s="2" t="s">
        <v>2089</v>
      </c>
      <c r="Y506" s="4" t="str">
        <f>IFERROR(__xludf.DUMMYFUNCTION("""COMPUTED_VALUE"""),"6.6117188")</f>
        <v>6.6117188</v>
      </c>
      <c r="Z506" s="4" t="str">
        <f>IFERROR(__xludf.DUMMYFUNCTION("""COMPUTED_VALUE"""),"3.0576199")</f>
        <v>3.0576199</v>
      </c>
      <c r="AA506" s="4" t="str">
        <f t="shared" si="1"/>
        <v>Not Neighbor</v>
      </c>
      <c r="AC506" s="4">
        <f>IFERROR(__xludf.DUMMYFUNCTION("IFERROR(ABS(O506-AVERAGE(FILTER(O506:O4574,AA506:AA4574=""Neighbor""))) / STDEV(FILTER(O506:O4574, AA506:AA4574 =""Neighbor"")), """")"),0.9401587386031875)</f>
        <v>0.9401587386</v>
      </c>
      <c r="AD506" s="4">
        <f>IFERROR(__xludf.DUMMYFUNCTION("IFERROR(ABS(P506-AVERAGE(FILTER(O506:P4574,AA506:AA4574=""Neighbor""))) / STDEV(FILTER(P506:P4574, AA506:AA4574 =""Neighbor"")), """")"),0.35592220035704525)</f>
        <v>0.3559222004</v>
      </c>
      <c r="AE506" s="2">
        <f>IFERROR(__xludf.DUMMYFUNCTION("IFERROR(ABS(Q506-AVERAGE(FILTER(Q506:Q4574,AA506:AA4574=""Neighbor""))) / STDEV(FILTER(Q506:Q4574, AA506:AA4574 =""Neighbor"")), """")"),0.7991790020330187)</f>
        <v>0.799179002</v>
      </c>
      <c r="AF506" s="2">
        <f>IFERROR(__xludf.DUMMYFUNCTION("IFERROR(ABS(R506-AVERAGE(FILTER(R506:R4574,AA506:AA4574=""Neighbor""))) / STDEV(FILTER(R506:R4574, AA506:AA4574 =""Neighbor"")), """")"),0.08828126835959113)</f>
        <v>0.08828126836</v>
      </c>
    </row>
    <row r="507">
      <c r="A507" s="2" t="s">
        <v>28</v>
      </c>
      <c r="B507" s="2" t="s">
        <v>1711</v>
      </c>
      <c r="C507" s="2" t="s">
        <v>2029</v>
      </c>
      <c r="D507" s="2" t="s">
        <v>2090</v>
      </c>
      <c r="E507" s="2" t="s">
        <v>2091</v>
      </c>
      <c r="F507" s="2">
        <v>144.0</v>
      </c>
      <c r="G507" s="2">
        <v>1282.0</v>
      </c>
      <c r="H507" s="2" t="b">
        <v>1</v>
      </c>
      <c r="I507" s="2">
        <v>-1.0</v>
      </c>
      <c r="J507" s="2" t="b">
        <v>0</v>
      </c>
      <c r="K507" s="2" t="b">
        <v>0</v>
      </c>
      <c r="L507" s="2" t="b">
        <v>0</v>
      </c>
      <c r="M507" s="2" t="b">
        <v>0</v>
      </c>
      <c r="N507" s="2" t="s">
        <v>33</v>
      </c>
      <c r="O507" s="2">
        <v>75.0</v>
      </c>
      <c r="P507" s="2">
        <v>39.0</v>
      </c>
      <c r="Q507" s="2">
        <v>24.0</v>
      </c>
      <c r="R507" s="2">
        <v>1.0</v>
      </c>
      <c r="S507" s="3" t="s">
        <v>2092</v>
      </c>
      <c r="T507" s="2" t="s">
        <v>2093</v>
      </c>
      <c r="Y507" s="4" t="str">
        <f>IFERROR(__xludf.DUMMYFUNCTION("""COMPUTED_VALUE"""),"6.6616023")</f>
        <v>6.6616023</v>
      </c>
      <c r="Z507" s="4" t="str">
        <f>IFERROR(__xludf.DUMMYFUNCTION("""COMPUTED_VALUE"""),"3.0924147")</f>
        <v>3.0924147</v>
      </c>
      <c r="AA507" s="4" t="str">
        <f t="shared" si="1"/>
        <v>Neighbor</v>
      </c>
      <c r="AC507" s="4">
        <f>IFERROR(__xludf.DUMMYFUNCTION("IFERROR(ABS(O507-AVERAGE(FILTER(O507:O4575,AA507:AA4575=""Neighbor""))) / STDEV(FILTER(O507:O4575, AA507:AA4575 =""Neighbor"")), """")"),0.20169073630426024)</f>
        <v>0.2016907363</v>
      </c>
      <c r="AD507" s="4">
        <f>IFERROR(__xludf.DUMMYFUNCTION("IFERROR(ABS(P507-AVERAGE(FILTER(O507:P4575,AA507:AA4575=""Neighbor""))) / STDEV(FILTER(P507:P4575, AA507:AA4575 =""Neighbor"")), """")"),0.07999493611496875)</f>
        <v>0.07999493611</v>
      </c>
      <c r="AE507" s="2">
        <f>IFERROR(__xludf.DUMMYFUNCTION("IFERROR(ABS(Q507-AVERAGE(FILTER(Q507:Q4575,AA507:AA4575=""Neighbor""))) / STDEV(FILTER(Q507:Q4575, AA507:AA4575 =""Neighbor"")), """")"),0.05818886510695657)</f>
        <v>0.05818886511</v>
      </c>
      <c r="AF507" s="2">
        <f>IFERROR(__xludf.DUMMYFUNCTION("IFERROR(ABS(R507-AVERAGE(FILTER(R507:R4575,AA507:AA4575=""Neighbor""))) / STDEV(FILTER(R507:R4575, AA507:AA4575 =""Neighbor"")), """")"),0.08828126835959113)</f>
        <v>0.08828126836</v>
      </c>
    </row>
    <row r="508">
      <c r="A508" s="2" t="s">
        <v>28</v>
      </c>
      <c r="B508" s="2" t="s">
        <v>1711</v>
      </c>
      <c r="C508" s="2" t="s">
        <v>2029</v>
      </c>
      <c r="D508" s="2" t="s">
        <v>2094</v>
      </c>
      <c r="E508" s="2" t="s">
        <v>2095</v>
      </c>
      <c r="F508" s="2">
        <v>87.0</v>
      </c>
      <c r="G508" s="2">
        <v>436.0</v>
      </c>
      <c r="H508" s="2" t="b">
        <v>1</v>
      </c>
      <c r="I508" s="2">
        <v>-1.0</v>
      </c>
      <c r="J508" s="2" t="b">
        <v>0</v>
      </c>
      <c r="K508" s="2" t="b">
        <v>0</v>
      </c>
      <c r="L508" s="2" t="b">
        <v>0</v>
      </c>
      <c r="M508" s="2" t="b">
        <v>0</v>
      </c>
      <c r="N508" s="2" t="s">
        <v>33</v>
      </c>
      <c r="O508" s="2">
        <v>44.0</v>
      </c>
      <c r="P508" s="2">
        <v>26.0</v>
      </c>
      <c r="Q508" s="2">
        <v>11.0</v>
      </c>
      <c r="R508" s="2">
        <v>0.0</v>
      </c>
      <c r="S508" s="3" t="s">
        <v>2096</v>
      </c>
      <c r="T508" s="2" t="s">
        <v>2097</v>
      </c>
      <c r="Y508" s="4" t="str">
        <f>IFERROR(__xludf.DUMMYFUNCTION("""COMPUTED_VALUE"""),"6.6609382")</f>
        <v>6.6609382</v>
      </c>
      <c r="Z508" s="4" t="str">
        <f>IFERROR(__xludf.DUMMYFUNCTION("""COMPUTED_VALUE"""),"3.0889198")</f>
        <v>3.0889198</v>
      </c>
      <c r="AA508" s="4" t="str">
        <f t="shared" si="1"/>
        <v>Not Neighbor</v>
      </c>
      <c r="AC508" s="4">
        <f>IFERROR(__xludf.DUMMYFUNCTION("IFERROR(ABS(O508-AVERAGE(FILTER(O508:O4576,AA508:AA4576=""Neighbor""))) / STDEV(FILTER(O508:O4576, AA508:AA4576 =""Neighbor"")), """")"),0.5059554003675573)</f>
        <v>0.5059554004</v>
      </c>
      <c r="AD508" s="4">
        <f>IFERROR(__xludf.DUMMYFUNCTION("IFERROR(ABS(P508-AVERAGE(FILTER(O508:P4576,AA508:AA4576=""Neighbor""))) / STDEV(FILTER(P508:P4576, AA508:AA4576 =""Neighbor"")), """")"),0.5919716653525141)</f>
        <v>0.5919716654</v>
      </c>
      <c r="AE508" s="2">
        <f>IFERROR(__xludf.DUMMYFUNCTION("IFERROR(ABS(Q508-AVERAGE(FILTER(Q508:Q4576,AA508:AA4576=""Neighbor""))) / STDEV(FILTER(Q508:Q4576, AA508:AA4576 =""Neighbor"")), """")"),0.5931877929935281)</f>
        <v>0.593187793</v>
      </c>
      <c r="AF508" s="2">
        <f>IFERROR(__xludf.DUMMYFUNCTION("IFERROR(ABS(R508-AVERAGE(FILTER(R508:R4576,AA508:AA4576=""Neighbor""))) / STDEV(FILTER(R508:R4576, AA508:AA4576 =""Neighbor"")), """")"),0.09695455654555797)</f>
        <v>0.09695455655</v>
      </c>
    </row>
    <row r="509">
      <c r="A509" s="2" t="s">
        <v>28</v>
      </c>
      <c r="B509" s="2" t="s">
        <v>1711</v>
      </c>
      <c r="C509" s="2" t="s">
        <v>2098</v>
      </c>
      <c r="D509" s="2" t="s">
        <v>2099</v>
      </c>
      <c r="E509" s="2" t="s">
        <v>2100</v>
      </c>
      <c r="F509" s="2">
        <v>410.0</v>
      </c>
      <c r="G509" s="2">
        <v>2448.0</v>
      </c>
      <c r="H509" s="2" t="b">
        <v>1</v>
      </c>
      <c r="I509" s="2">
        <v>-1.0</v>
      </c>
      <c r="J509" s="2" t="b">
        <v>0</v>
      </c>
      <c r="K509" s="2" t="b">
        <v>0</v>
      </c>
      <c r="L509" s="2" t="b">
        <v>0</v>
      </c>
      <c r="M509" s="2" t="b">
        <v>0</v>
      </c>
      <c r="N509" s="2" t="s">
        <v>33</v>
      </c>
      <c r="O509" s="2">
        <v>249.0</v>
      </c>
      <c r="P509" s="2">
        <v>107.0</v>
      </c>
      <c r="Q509" s="2">
        <v>32.0</v>
      </c>
      <c r="R509" s="2">
        <v>2.0</v>
      </c>
      <c r="S509" s="3" t="s">
        <v>2101</v>
      </c>
      <c r="T509" s="2" t="s">
        <v>2102</v>
      </c>
      <c r="Y509" s="4" t="str">
        <f>IFERROR(__xludf.DUMMYFUNCTION("""COMPUTED_VALUE"""),"6.677735")</f>
        <v>6.677735</v>
      </c>
      <c r="Z509" s="4" t="str">
        <f>IFERROR(__xludf.DUMMYFUNCTION("""COMPUTED_VALUE"""),"3.141273")</f>
        <v>3.141273</v>
      </c>
      <c r="AA509" s="4" t="str">
        <f t="shared" si="1"/>
        <v>Neighbor</v>
      </c>
      <c r="AC509" s="4">
        <f>IFERROR(__xludf.DUMMYFUNCTION("IFERROR(ABS(O509-AVERAGE(FILTER(O509:O4577,AA509:AA4577=""Neighbor""))) / STDEV(FILTER(O509:O4577, AA509:AA4577 =""Neighbor"")), """")"),4.174108899298119)</f>
        <v>4.174108899</v>
      </c>
      <c r="AD509" s="4">
        <f>IFERROR(__xludf.DUMMYFUNCTION("IFERROR(ABS(P509-AVERAGE(FILTER(O509:P4577,AA509:AA4577=""Neighbor""))) / STDEV(FILTER(P509:P4577, AA509:AA4577 =""Neighbor"")), """")"),2.6007177454551775)</f>
        <v>2.600717745</v>
      </c>
      <c r="AE509" s="2">
        <f>IFERROR(__xludf.DUMMYFUNCTION("IFERROR(ABS(Q509-AVERAGE(FILTER(Q509:Q4577,AA509:AA4577=""Neighbor""))) / STDEV(FILTER(Q509:Q4577, AA509:AA4577 =""Neighbor"")), """")"),0.27100938616994047)</f>
        <v>0.2710093862</v>
      </c>
      <c r="AF509" s="2">
        <f>IFERROR(__xludf.DUMMYFUNCTION("IFERROR(ABS(R509-AVERAGE(FILTER(R509:R4577,AA509:AA4577=""Neighbor""))) / STDEV(FILTER(R509:R4577, AA509:AA4577 =""Neighbor"")), """")"),0.27357719831459765)</f>
        <v>0.2735771983</v>
      </c>
    </row>
    <row r="510">
      <c r="A510" s="2" t="s">
        <v>28</v>
      </c>
      <c r="B510" s="2" t="s">
        <v>1711</v>
      </c>
      <c r="C510" s="2" t="s">
        <v>2098</v>
      </c>
      <c r="D510" s="2" t="s">
        <v>2103</v>
      </c>
      <c r="E510" s="2" t="s">
        <v>2100</v>
      </c>
      <c r="F510" s="2">
        <v>410.0</v>
      </c>
      <c r="G510" s="2">
        <v>2448.0</v>
      </c>
      <c r="H510" s="2" t="b">
        <v>1</v>
      </c>
      <c r="I510" s="2">
        <v>-1.0</v>
      </c>
      <c r="J510" s="2" t="b">
        <v>0</v>
      </c>
      <c r="K510" s="2" t="b">
        <v>0</v>
      </c>
      <c r="L510" s="2" t="b">
        <v>0</v>
      </c>
      <c r="M510" s="2" t="b">
        <v>0</v>
      </c>
      <c r="N510" s="2" t="s">
        <v>33</v>
      </c>
      <c r="O510" s="2">
        <v>38.0</v>
      </c>
      <c r="P510" s="2">
        <v>8.0</v>
      </c>
      <c r="Q510" s="2">
        <v>20.0</v>
      </c>
      <c r="R510" s="2">
        <v>0.0</v>
      </c>
      <c r="S510" s="3" t="s">
        <v>2101</v>
      </c>
      <c r="T510" s="2" t="s">
        <v>2102</v>
      </c>
      <c r="Y510" s="4" t="str">
        <f>IFERROR(__xludf.DUMMYFUNCTION("""COMPUTED_VALUE"""),"6.677735")</f>
        <v>6.677735</v>
      </c>
      <c r="Z510" s="4" t="str">
        <f>IFERROR(__xludf.DUMMYFUNCTION("""COMPUTED_VALUE"""),"3.141273")</f>
        <v>3.141273</v>
      </c>
      <c r="AA510" s="4" t="str">
        <f t="shared" si="1"/>
        <v>Not Neighbor</v>
      </c>
      <c r="AC510" s="4">
        <f>IFERROR(__xludf.DUMMYFUNCTION("IFERROR(ABS(O510-AVERAGE(FILTER(O510:O4578,AA510:AA4578=""Neighbor""))) / STDEV(FILTER(O510:O4578, AA510:AA4578 =""Neighbor"")), """")"),0.6437000613961825)</f>
        <v>0.6437000614</v>
      </c>
      <c r="AD510" s="4">
        <f>IFERROR(__xludf.DUMMYFUNCTION("IFERROR(ABS(P510-AVERAGE(FILTER(O510:P4578,AA510:AA4578=""Neighbor""))) / STDEV(FILTER(P510:P4578, AA510:AA4578 =""Neighbor"")), """")"),1.303069325364497)</f>
        <v>1.303069325</v>
      </c>
      <c r="AE510" s="2">
        <f>IFERROR(__xludf.DUMMYFUNCTION("IFERROR(ABS(Q510-AVERAGE(FILTER(Q510:Q4578,AA510:AA4578=""Neighbor""))) / STDEV(FILTER(Q510:Q4578, AA510:AA4578 =""Neighbor"")), """")"),0.22256441607685812)</f>
        <v>0.2225644161</v>
      </c>
      <c r="AF510" s="2">
        <f>IFERROR(__xludf.DUMMYFUNCTION("IFERROR(ABS(R510-AVERAGE(FILTER(R510:R4578,AA510:AA4578=""Neighbor""))) / STDEV(FILTER(R510:R4578, AA510:AA4578 =""Neighbor"")), """")"),0.09673916586762489)</f>
        <v>0.09673916587</v>
      </c>
    </row>
    <row r="511">
      <c r="A511" s="2" t="s">
        <v>28</v>
      </c>
      <c r="B511" s="2" t="s">
        <v>1711</v>
      </c>
      <c r="C511" s="2" t="s">
        <v>2098</v>
      </c>
      <c r="D511" s="2" t="s">
        <v>2104</v>
      </c>
      <c r="E511" s="2" t="s">
        <v>2105</v>
      </c>
      <c r="F511" s="2">
        <v>352.0</v>
      </c>
      <c r="G511" s="2">
        <v>1942.0</v>
      </c>
      <c r="H511" s="2" t="b">
        <v>1</v>
      </c>
      <c r="I511" s="2">
        <v>-1.0</v>
      </c>
      <c r="J511" s="2" t="b">
        <v>0</v>
      </c>
      <c r="K511" s="2" t="b">
        <v>1</v>
      </c>
      <c r="L511" s="2" t="b">
        <v>0</v>
      </c>
      <c r="M511" s="2" t="b">
        <v>0</v>
      </c>
      <c r="N511" s="2" t="s">
        <v>33</v>
      </c>
      <c r="O511" s="2">
        <v>0.0</v>
      </c>
      <c r="P511" s="2">
        <v>0.0</v>
      </c>
      <c r="Q511" s="2">
        <v>0.0</v>
      </c>
      <c r="R511" s="2">
        <v>0.0</v>
      </c>
      <c r="S511" s="3" t="s">
        <v>2106</v>
      </c>
      <c r="T511" s="2" t="s">
        <v>2107</v>
      </c>
      <c r="Y511" s="4" t="str">
        <f>IFERROR(__xludf.DUMMYFUNCTION("""COMPUTED_VALUE"""),"6.8164591")</f>
        <v>6.8164591</v>
      </c>
      <c r="Z511" s="4" t="str">
        <f>IFERROR(__xludf.DUMMYFUNCTION("""COMPUTED_VALUE"""),"3.332753")</f>
        <v>3.332753</v>
      </c>
      <c r="AA511" s="4" t="str">
        <f t="shared" si="1"/>
        <v>Not Neighbor</v>
      </c>
      <c r="AC511" s="4">
        <f>IFERROR(__xludf.DUMMYFUNCTION("IFERROR(ABS(O511-AVERAGE(FILTER(O511:O4579,AA511:AA4579=""Neighbor""))) / STDEV(FILTER(O511:O4579, AA511:AA4579 =""Neighbor"")), """")"),1.5160914189468013)</f>
        <v>1.516091419</v>
      </c>
      <c r="AD511" s="4">
        <f>IFERROR(__xludf.DUMMYFUNCTION("IFERROR(ABS(P511-AVERAGE(FILTER(O511:P4579,AA511:AA4579=""Neighbor""))) / STDEV(FILTER(P511:P4579, AA511:AA4579 =""Neighbor"")), """")"),1.6196757161238762)</f>
        <v>1.619675716</v>
      </c>
      <c r="AE511" s="2">
        <f>IFERROR(__xludf.DUMMYFUNCTION("IFERROR(ABS(Q511-AVERAGE(FILTER(Q511:Q4579,AA511:AA4579=""Neighbor""))) / STDEV(FILTER(Q511:Q4579, AA511:AA4579 =""Neighbor"")), """")"),1.0453513269362784)</f>
        <v>1.045351327</v>
      </c>
      <c r="AF511" s="2">
        <f>IFERROR(__xludf.DUMMYFUNCTION("IFERROR(ABS(R511-AVERAGE(FILTER(R511:R4579,AA511:AA4579=""Neighbor""))) / STDEV(FILTER(R511:R4579, AA511:AA4579 =""Neighbor"")), """")"),0.09673916586762489)</f>
        <v>0.09673916587</v>
      </c>
    </row>
    <row r="512">
      <c r="A512" s="2" t="s">
        <v>28</v>
      </c>
      <c r="B512" s="2" t="s">
        <v>1711</v>
      </c>
      <c r="C512" s="2" t="s">
        <v>2098</v>
      </c>
      <c r="D512" s="2" t="s">
        <v>2108</v>
      </c>
      <c r="E512" s="2" t="s">
        <v>2109</v>
      </c>
      <c r="F512" s="2">
        <v>56.0</v>
      </c>
      <c r="G512" s="2">
        <v>399.0</v>
      </c>
      <c r="H512" s="2" t="b">
        <v>1</v>
      </c>
      <c r="I512" s="2">
        <v>-1.0</v>
      </c>
      <c r="J512" s="2" t="b">
        <v>0</v>
      </c>
      <c r="K512" s="2" t="b">
        <v>0</v>
      </c>
      <c r="L512" s="2" t="b">
        <v>0</v>
      </c>
      <c r="M512" s="2" t="b">
        <v>0</v>
      </c>
      <c r="N512" s="2" t="s">
        <v>33</v>
      </c>
      <c r="O512" s="2">
        <v>40.0</v>
      </c>
      <c r="P512" s="2">
        <v>10.0</v>
      </c>
      <c r="Q512" s="2">
        <v>4.0</v>
      </c>
      <c r="R512" s="2">
        <v>0.0</v>
      </c>
      <c r="S512" s="3" t="s">
        <v>2110</v>
      </c>
      <c r="T512" s="2" t="s">
        <v>2111</v>
      </c>
      <c r="Y512" s="4" t="str">
        <f>IFERROR(__xludf.DUMMYFUNCTION("""COMPUTED_VALUE"""),"6.6117188")</f>
        <v>6.6117188</v>
      </c>
      <c r="Z512" s="4" t="str">
        <f>IFERROR(__xludf.DUMMYFUNCTION("""COMPUTED_VALUE"""),"3.0576199")</f>
        <v>3.0576199</v>
      </c>
      <c r="AA512" s="4" t="str">
        <f t="shared" si="1"/>
        <v>Not Neighbor</v>
      </c>
      <c r="AC512" s="4">
        <f>IFERROR(__xludf.DUMMYFUNCTION("IFERROR(ABS(O512-AVERAGE(FILTER(O512:O4580,AA512:AA4580=""Neighbor""))) / STDEV(FILTER(O512:O4580, AA512:AA4580 =""Neighbor"")), """")"),0.5977847267882552)</f>
        <v>0.5977847268</v>
      </c>
      <c r="AD512" s="4">
        <f>IFERROR(__xludf.DUMMYFUNCTION("IFERROR(ABS(P512-AVERAGE(FILTER(O512:P4580,AA512:AA4580=""Neighbor""))) / STDEV(FILTER(P512:P4580, AA512:AA4580 =""Neighbor"")), """")"),1.223917727674652)</f>
        <v>1.223917728</v>
      </c>
      <c r="AE512" s="2">
        <f>IFERROR(__xludf.DUMMYFUNCTION("IFERROR(ABS(Q512-AVERAGE(FILTER(Q512:Q4580,AA512:AA4580=""Neighbor""))) / STDEV(FILTER(Q512:Q4580, AA512:AA4580 =""Neighbor"")), """")"),0.8807939447643943)</f>
        <v>0.8807939448</v>
      </c>
      <c r="AF512" s="2">
        <f>IFERROR(__xludf.DUMMYFUNCTION("IFERROR(ABS(R512-AVERAGE(FILTER(R512:R4580,AA512:AA4580=""Neighbor""))) / STDEV(FILTER(R512:R4580, AA512:AA4580 =""Neighbor"")), """")"),0.09673916586762489)</f>
        <v>0.09673916587</v>
      </c>
    </row>
    <row r="513">
      <c r="A513" s="2" t="s">
        <v>28</v>
      </c>
      <c r="B513" s="2" t="s">
        <v>1711</v>
      </c>
      <c r="C513" s="2" t="s">
        <v>2098</v>
      </c>
      <c r="D513" s="2" t="s">
        <v>2112</v>
      </c>
      <c r="E513" s="2" t="s">
        <v>2113</v>
      </c>
      <c r="F513" s="2">
        <v>111.0</v>
      </c>
      <c r="G513" s="2">
        <v>813.0</v>
      </c>
      <c r="H513" s="2" t="b">
        <v>1</v>
      </c>
      <c r="I513" s="2">
        <v>-1.0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s">
        <v>33</v>
      </c>
      <c r="O513" s="2">
        <v>82.0</v>
      </c>
      <c r="P513" s="2">
        <v>12.0</v>
      </c>
      <c r="Q513" s="2">
        <v>12.0</v>
      </c>
      <c r="R513" s="2">
        <v>0.0</v>
      </c>
      <c r="S513" s="3" t="s">
        <v>2114</v>
      </c>
      <c r="T513" s="2" t="s">
        <v>2115</v>
      </c>
      <c r="Y513" s="4" t="str">
        <f>IFERROR(__xludf.DUMMYFUNCTION("""COMPUTED_VALUE"""),"6.6017225")</f>
        <v>6.6017225</v>
      </c>
      <c r="Z513" s="4" t="str">
        <f>IFERROR(__xludf.DUMMYFUNCTION("""COMPUTED_VALUE"""),"3.1641611")</f>
        <v>3.1641611</v>
      </c>
      <c r="AA513" s="4" t="str">
        <f t="shared" si="1"/>
        <v>Not Neighbor</v>
      </c>
      <c r="AC513" s="4">
        <f>IFERROR(__xludf.DUMMYFUNCTION("IFERROR(ABS(O513-AVERAGE(FILTER(O513:O4581,AA513:AA4581=""Neighbor""))) / STDEV(FILTER(O513:O4581, AA513:AA4581 =""Neighbor"")), """")"),0.3664372999782183)</f>
        <v>0.3664373</v>
      </c>
      <c r="AD513" s="4">
        <f>IFERROR(__xludf.DUMMYFUNCTION("IFERROR(ABS(P513-AVERAGE(FILTER(O513:P4581,AA513:AA4581=""Neighbor""))) / STDEV(FILTER(P513:P4581, AA513:AA4581 =""Neighbor"")), """")"),1.1447661299848073)</f>
        <v>1.14476613</v>
      </c>
      <c r="AE513" s="2">
        <f>IFERROR(__xludf.DUMMYFUNCTION("IFERROR(ABS(Q513-AVERAGE(FILTER(Q513:Q4581,AA513:AA4581=""Neighbor""))) / STDEV(FILTER(Q513:Q4581, AA513:AA4581 =""Neighbor"")), """")"),0.5516791804206262)</f>
        <v>0.5516791804</v>
      </c>
      <c r="AF513" s="2">
        <f>IFERROR(__xludf.DUMMYFUNCTION("IFERROR(ABS(R513-AVERAGE(FILTER(R513:R4581,AA513:AA4581=""Neighbor""))) / STDEV(FILTER(R513:R4581, AA513:AA4581 =""Neighbor"")), """")"),0.09673916586762489)</f>
        <v>0.09673916587</v>
      </c>
    </row>
    <row r="514">
      <c r="A514" s="2" t="s">
        <v>28</v>
      </c>
      <c r="B514" s="2" t="s">
        <v>1711</v>
      </c>
      <c r="C514" s="2" t="s">
        <v>2098</v>
      </c>
      <c r="D514" s="2" t="s">
        <v>2116</v>
      </c>
      <c r="E514" s="2" t="s">
        <v>2117</v>
      </c>
      <c r="F514" s="2">
        <v>241.0</v>
      </c>
      <c r="G514" s="2">
        <v>1488.0</v>
      </c>
      <c r="H514" s="2" t="b">
        <v>1</v>
      </c>
      <c r="I514" s="2">
        <v>-1.0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s">
        <v>33</v>
      </c>
      <c r="O514" s="2">
        <v>159.0</v>
      </c>
      <c r="P514" s="2">
        <v>54.0</v>
      </c>
      <c r="Q514" s="2">
        <v>13.0</v>
      </c>
      <c r="R514" s="2">
        <v>0.0</v>
      </c>
      <c r="S514" s="3" t="s">
        <v>2118</v>
      </c>
      <c r="T514" s="2" t="s">
        <v>2119</v>
      </c>
      <c r="Y514" s="4" t="str">
        <f>IFERROR(__xludf.DUMMYFUNCTION("""COMPUTED_VALUE"""),"6.670027")</f>
        <v>6.670027</v>
      </c>
      <c r="Z514" s="4" t="str">
        <f>IFERROR(__xludf.DUMMYFUNCTION("""COMPUTED_VALUE"""),"3.1347552")</f>
        <v>3.1347552</v>
      </c>
      <c r="AA514" s="4" t="str">
        <f t="shared" si="1"/>
        <v>Not Neighbor</v>
      </c>
      <c r="AC514" s="4">
        <f>IFERROR(__xludf.DUMMYFUNCTION("IFERROR(ABS(O514-AVERAGE(FILTER(O514:O4582,AA514:AA4582=""Neighbor""))) / STDEV(FILTER(O514:O4582, AA514:AA4582 =""Neighbor"")), """")"),2.1341776823834198)</f>
        <v>2.134177682</v>
      </c>
      <c r="AD514" s="4">
        <f>IFERROR(__xludf.DUMMYFUNCTION("IFERROR(ABS(P514-AVERAGE(FILTER(O514:P4582,AA514:AA4582=""Neighbor""))) / STDEV(FILTER(P514:P4582, AA514:AA4582 =""Neighbor"")), """")"),0.5174174215019337)</f>
        <v>0.5174174215</v>
      </c>
      <c r="AE514" s="2">
        <f>IFERROR(__xludf.DUMMYFUNCTION("IFERROR(ABS(Q514-AVERAGE(FILTER(Q514:Q4582,AA514:AA4582=""Neighbor""))) / STDEV(FILTER(Q514:Q4582, AA514:AA4582 =""Neighbor"")), """")"),0.5105398348776552)</f>
        <v>0.5105398349</v>
      </c>
      <c r="AF514" s="2">
        <f>IFERROR(__xludf.DUMMYFUNCTION("IFERROR(ABS(R514-AVERAGE(FILTER(R514:R4582,AA514:AA4582=""Neighbor""))) / STDEV(FILTER(R514:R4582, AA514:AA4582 =""Neighbor"")), """")"),0.09673916586762489)</f>
        <v>0.09673916587</v>
      </c>
    </row>
    <row r="515">
      <c r="A515" s="2" t="s">
        <v>28</v>
      </c>
      <c r="B515" s="2" t="s">
        <v>1711</v>
      </c>
      <c r="C515" s="2" t="s">
        <v>2098</v>
      </c>
      <c r="D515" s="2" t="s">
        <v>2120</v>
      </c>
      <c r="E515" s="2" t="s">
        <v>2121</v>
      </c>
      <c r="F515" s="2">
        <v>182.0</v>
      </c>
      <c r="G515" s="2">
        <v>4187.0</v>
      </c>
      <c r="H515" s="2" t="b">
        <v>1</v>
      </c>
      <c r="I515" s="2">
        <v>-1.0</v>
      </c>
      <c r="J515" s="2" t="b">
        <v>0</v>
      </c>
      <c r="K515" s="2" t="b">
        <v>0</v>
      </c>
      <c r="L515" s="2" t="b">
        <v>0</v>
      </c>
      <c r="M515" s="2" t="b">
        <v>0</v>
      </c>
      <c r="N515" s="2" t="s">
        <v>33</v>
      </c>
      <c r="O515" s="2">
        <v>207.0</v>
      </c>
      <c r="P515" s="2">
        <v>176.0</v>
      </c>
      <c r="Q515" s="2">
        <v>22.0</v>
      </c>
      <c r="R515" s="2">
        <v>0.0</v>
      </c>
      <c r="S515" s="3" t="s">
        <v>2122</v>
      </c>
      <c r="T515" s="2" t="s">
        <v>2123</v>
      </c>
      <c r="Y515" s="4" t="str">
        <f>IFERROR(__xludf.DUMMYFUNCTION("""COMPUTED_VALUE"""),"6.6689235")</f>
        <v>6.6689235</v>
      </c>
      <c r="Z515" s="4" t="str">
        <f>IFERROR(__xludf.DUMMYFUNCTION("""COMPUTED_VALUE"""),"3.1702494")</f>
        <v>3.1702494</v>
      </c>
      <c r="AA515" s="4" t="str">
        <f t="shared" si="1"/>
        <v>Not Neighbor</v>
      </c>
      <c r="AC515" s="4">
        <f>IFERROR(__xludf.DUMMYFUNCTION("IFERROR(ABS(O515-AVERAGE(FILTER(O515:O4583,AA515:AA4583=""Neighbor""))) / STDEV(FILTER(O515:O4583, AA515:AA4583 =""Neighbor"")), """")"),3.2361457129736753)</f>
        <v>3.236145713</v>
      </c>
      <c r="AD515" s="4">
        <f>IFERROR(__xludf.DUMMYFUNCTION("IFERROR(ABS(P515-AVERAGE(FILTER(O515:P4583,AA515:AA4583=""Neighbor""))) / STDEV(FILTER(P515:P4583, AA515:AA4583 =""Neighbor"")), """")"),5.345664880582467)</f>
        <v>5.345664881</v>
      </c>
      <c r="AE515" s="2">
        <f>IFERROR(__xludf.DUMMYFUNCTION("IFERROR(ABS(Q515-AVERAGE(FILTER(Q515:Q4583,AA515:AA4583=""Neighbor""))) / STDEV(FILTER(Q515:Q4583, AA515:AA4583 =""Neighbor"")), """")"),0.1402857249909161)</f>
        <v>0.140285725</v>
      </c>
      <c r="AF515" s="2">
        <f>IFERROR(__xludf.DUMMYFUNCTION("IFERROR(ABS(R515-AVERAGE(FILTER(R515:R4583,AA515:AA4583=""Neighbor""))) / STDEV(FILTER(R515:R4583, AA515:AA4583 =""Neighbor"")), """")"),0.09673916586762489)</f>
        <v>0.09673916587</v>
      </c>
    </row>
    <row r="516">
      <c r="A516" s="2" t="s">
        <v>28</v>
      </c>
      <c r="B516" s="2" t="s">
        <v>1711</v>
      </c>
      <c r="C516" s="2" t="s">
        <v>2098</v>
      </c>
      <c r="D516" s="2" t="s">
        <v>2124</v>
      </c>
      <c r="E516" s="2" t="s">
        <v>2125</v>
      </c>
      <c r="F516" s="2">
        <v>91.0</v>
      </c>
      <c r="G516" s="2">
        <v>750.0</v>
      </c>
      <c r="H516" s="2" t="b">
        <v>1</v>
      </c>
      <c r="I516" s="2">
        <v>-1.0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s">
        <v>33</v>
      </c>
      <c r="O516" s="2">
        <v>50.0</v>
      </c>
      <c r="P516" s="2">
        <v>10.0</v>
      </c>
      <c r="Q516" s="2">
        <v>18.0</v>
      </c>
      <c r="R516" s="2">
        <v>0.0</v>
      </c>
      <c r="S516" s="3" t="s">
        <v>2126</v>
      </c>
      <c r="T516" s="2" t="s">
        <v>2127</v>
      </c>
      <c r="Y516" s="4" t="str">
        <f>IFERROR(__xludf.DUMMYFUNCTION("""COMPUTED_VALUE"""),"6.6379144")</f>
        <v>6.6379144</v>
      </c>
      <c r="Z516" s="4" t="str">
        <f>IFERROR(__xludf.DUMMYFUNCTION("""COMPUTED_VALUE"""),"3.1552606")</f>
        <v>3.1552606</v>
      </c>
      <c r="AA516" s="4" t="str">
        <f t="shared" si="1"/>
        <v>Not Neighbor</v>
      </c>
      <c r="AC516" s="4">
        <f>IFERROR(__xludf.DUMMYFUNCTION("IFERROR(ABS(O516-AVERAGE(FILTER(O516:O4584,AA516:AA4584=""Neighbor""))) / STDEV(FILTER(O516:O4584, AA516:AA4584 =""Neighbor"")), """")"),0.36820805374861865)</f>
        <v>0.3682080537</v>
      </c>
      <c r="AD516" s="4">
        <f>IFERROR(__xludf.DUMMYFUNCTION("IFERROR(ABS(P516-AVERAGE(FILTER(O516:P4584,AA516:AA4584=""Neighbor""))) / STDEV(FILTER(P516:P4584, AA516:AA4584 =""Neighbor"")), """")"),1.223917727674652)</f>
        <v>1.223917728</v>
      </c>
      <c r="AE516" s="2">
        <f>IFERROR(__xludf.DUMMYFUNCTION("IFERROR(ABS(Q516-AVERAGE(FILTER(Q516:Q4584,AA516:AA4584=""Neighbor""))) / STDEV(FILTER(Q516:Q4584, AA516:AA4584 =""Neighbor"")), """")"),0.30484310716280016)</f>
        <v>0.3048431072</v>
      </c>
      <c r="AF516" s="2">
        <f>IFERROR(__xludf.DUMMYFUNCTION("IFERROR(ABS(R516-AVERAGE(FILTER(R516:R4584,AA516:AA4584=""Neighbor""))) / STDEV(FILTER(R516:R4584, AA516:AA4584 =""Neighbor"")), """")"),0.09673916586762489)</f>
        <v>0.09673916587</v>
      </c>
    </row>
    <row r="517">
      <c r="A517" s="2" t="s">
        <v>28</v>
      </c>
      <c r="B517" s="2" t="s">
        <v>1711</v>
      </c>
      <c r="C517" s="2" t="s">
        <v>2098</v>
      </c>
      <c r="D517" s="2" t="s">
        <v>2128</v>
      </c>
      <c r="E517" s="2" t="s">
        <v>2129</v>
      </c>
      <c r="F517" s="2">
        <v>389.0</v>
      </c>
      <c r="G517" s="2">
        <v>4221.0</v>
      </c>
      <c r="H517" s="2" t="b">
        <v>1</v>
      </c>
      <c r="I517" s="2">
        <v>-1.0</v>
      </c>
      <c r="J517" s="2" t="b">
        <v>0</v>
      </c>
      <c r="K517" s="2" t="b">
        <v>1</v>
      </c>
      <c r="L517" s="2" t="b">
        <v>0</v>
      </c>
      <c r="M517" s="2" t="b">
        <v>0</v>
      </c>
      <c r="N517" s="2" t="s">
        <v>33</v>
      </c>
      <c r="O517" s="2">
        <v>124.0</v>
      </c>
      <c r="P517" s="2">
        <v>196.0</v>
      </c>
      <c r="Q517" s="2">
        <v>18.0</v>
      </c>
      <c r="R517" s="2">
        <v>4.0</v>
      </c>
      <c r="S517" s="3" t="s">
        <v>2130</v>
      </c>
      <c r="T517" s="2" t="s">
        <v>2131</v>
      </c>
      <c r="Y517" s="4" t="str">
        <f>IFERROR(__xludf.DUMMYFUNCTION("""COMPUTED_VALUE"""),"6.7291029")</f>
        <v>6.7291029</v>
      </c>
      <c r="Z517" s="4" t="str">
        <f>IFERROR(__xludf.DUMMYFUNCTION("""COMPUTED_VALUE"""),"3.2319054")</f>
        <v>3.2319054</v>
      </c>
      <c r="AA517" s="4" t="str">
        <f t="shared" si="1"/>
        <v>Not Neighbor</v>
      </c>
      <c r="AC517" s="4">
        <f>IFERROR(__xludf.DUMMYFUNCTION("IFERROR(ABS(O517-AVERAGE(FILTER(O517:O4585,AA517:AA4585=""Neighbor""))) / STDEV(FILTER(O517:O4585, AA517:AA4585 =""Neighbor"")), """")"),1.3306593267446918)</f>
        <v>1.330659327</v>
      </c>
      <c r="AD517" s="4">
        <f>IFERROR(__xludf.DUMMYFUNCTION("IFERROR(ABS(P517-AVERAGE(FILTER(O517:P4585,AA517:AA4585=""Neighbor""))) / STDEV(FILTER(P517:P4585, AA517:AA4585 =""Neighbor"")), """")"),6.137180857480915)</f>
        <v>6.137180857</v>
      </c>
      <c r="AE517" s="2">
        <f>IFERROR(__xludf.DUMMYFUNCTION("IFERROR(ABS(Q517-AVERAGE(FILTER(Q517:Q4585,AA517:AA4585=""Neighbor""))) / STDEV(FILTER(Q517:Q4585, AA517:AA4585 =""Neighbor"")), """")"),0.30484310716280016)</f>
        <v>0.3048431072</v>
      </c>
      <c r="AF517" s="2">
        <f>IFERROR(__xludf.DUMMYFUNCTION("IFERROR(ABS(R517-AVERAGE(FILTER(R517:R4585,AA517:AA4585=""Neighbor""))) / STDEV(FILTER(R517:R4585, AA517:AA4585 =""Neighbor"")), """")"),0.6440923737818548)</f>
        <v>0.6440923738</v>
      </c>
    </row>
    <row r="518">
      <c r="A518" s="2" t="s">
        <v>28</v>
      </c>
      <c r="B518" s="2" t="s">
        <v>1711</v>
      </c>
      <c r="C518" s="2" t="s">
        <v>2098</v>
      </c>
      <c r="D518" s="2" t="s">
        <v>2132</v>
      </c>
      <c r="E518" s="2" t="s">
        <v>2133</v>
      </c>
      <c r="F518" s="2">
        <v>268.0</v>
      </c>
      <c r="G518" s="2">
        <v>2629.0</v>
      </c>
      <c r="H518" s="2" t="b">
        <v>1</v>
      </c>
      <c r="I518" s="2">
        <v>-1.0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s">
        <v>33</v>
      </c>
      <c r="O518" s="2">
        <v>160.0</v>
      </c>
      <c r="P518" s="2">
        <v>195.0</v>
      </c>
      <c r="Q518" s="2">
        <v>21.0</v>
      </c>
      <c r="R518" s="2">
        <v>0.0</v>
      </c>
      <c r="S518" s="3" t="s">
        <v>2134</v>
      </c>
      <c r="T518" s="2" t="s">
        <v>2135</v>
      </c>
      <c r="Y518" s="4" t="str">
        <f>IFERROR(__xludf.DUMMYFUNCTION("""COMPUTED_VALUE"""),"6.67002")</f>
        <v>6.67002</v>
      </c>
      <c r="Z518" s="4" t="str">
        <f>IFERROR(__xludf.DUMMYFUNCTION("""COMPUTED_VALUE"""),"3.1347543")</f>
        <v>3.1347543</v>
      </c>
      <c r="AA518" s="4" t="str">
        <f t="shared" si="1"/>
        <v>Not Neighbor</v>
      </c>
      <c r="AC518" s="4">
        <f>IFERROR(__xludf.DUMMYFUNCTION("IFERROR(ABS(O518-AVERAGE(FILTER(O518:O4586,AA518:AA4586=""Neighbor""))) / STDEV(FILTER(O518:O4586, AA518:AA4586 =""Neighbor"")), """")"),2.1571353496873833)</f>
        <v>2.15713535</v>
      </c>
      <c r="AD518" s="4">
        <f>IFERROR(__xludf.DUMMYFUNCTION("IFERROR(ABS(P518-AVERAGE(FILTER(O518:P4586,AA518:AA4586=""Neighbor""))) / STDEV(FILTER(P518:P4586, AA518:AA4586 =""Neighbor"")), """")"),6.097605058635993)</f>
        <v>6.097605059</v>
      </c>
      <c r="AE518" s="2">
        <f>IFERROR(__xludf.DUMMYFUNCTION("IFERROR(ABS(Q518-AVERAGE(FILTER(Q518:Q4586,AA518:AA4586=""Neighbor""))) / STDEV(FILTER(Q518:Q4586, AA518:AA4586 =""Neighbor"")), """")"),0.1814250705338871)</f>
        <v>0.1814250705</v>
      </c>
      <c r="AF518" s="2">
        <f>IFERROR(__xludf.DUMMYFUNCTION("IFERROR(ABS(R518-AVERAGE(FILTER(R518:R4586,AA518:AA4586=""Neighbor""))) / STDEV(FILTER(R518:R4586, AA518:AA4586 =""Neighbor"")), """")"),0.09673916586762489)</f>
        <v>0.09673916587</v>
      </c>
    </row>
    <row r="519">
      <c r="A519" s="2" t="s">
        <v>28</v>
      </c>
      <c r="B519" s="2" t="s">
        <v>1711</v>
      </c>
      <c r="C519" s="2" t="s">
        <v>2098</v>
      </c>
      <c r="D519" s="2" t="s">
        <v>2136</v>
      </c>
      <c r="E519" s="2" t="s">
        <v>2137</v>
      </c>
      <c r="F519" s="2">
        <v>258.0</v>
      </c>
      <c r="G519" s="2">
        <v>1491.0</v>
      </c>
      <c r="H519" s="2" t="b">
        <v>1</v>
      </c>
      <c r="I519" s="2">
        <v>-1.0</v>
      </c>
      <c r="J519" s="2" t="b">
        <v>0</v>
      </c>
      <c r="K519" s="2" t="b">
        <v>0</v>
      </c>
      <c r="L519" s="2" t="b">
        <v>0</v>
      </c>
      <c r="M519" s="2" t="b">
        <v>0</v>
      </c>
      <c r="N519" s="2" t="s">
        <v>33</v>
      </c>
      <c r="O519" s="2">
        <v>178.0</v>
      </c>
      <c r="P519" s="2">
        <v>49.0</v>
      </c>
      <c r="Q519" s="2">
        <v>17.0</v>
      </c>
      <c r="R519" s="2">
        <v>0.0</v>
      </c>
      <c r="S519" s="3" t="s">
        <v>2138</v>
      </c>
      <c r="T519" s="2" t="s">
        <v>2139</v>
      </c>
      <c r="Y519" s="4" t="str">
        <f>IFERROR(__xludf.DUMMYFUNCTION("""COMPUTED_VALUE"""),"6.6379144")</f>
        <v>6.6379144</v>
      </c>
      <c r="Z519" s="4" t="str">
        <f>IFERROR(__xludf.DUMMYFUNCTION("""COMPUTED_VALUE"""),"3.1552606")</f>
        <v>3.1552606</v>
      </c>
      <c r="AA519" s="4" t="str">
        <f t="shared" si="1"/>
        <v>Not Neighbor</v>
      </c>
      <c r="AC519" s="4">
        <f>IFERROR(__xludf.DUMMYFUNCTION("IFERROR(ABS(O519-AVERAGE(FILTER(O519:O4587,AA519:AA4587=""Neighbor""))) / STDEV(FILTER(O519:O4587, AA519:AA4587 =""Neighbor"")), """")"),2.570373361158729)</f>
        <v>2.570373361</v>
      </c>
      <c r="AD519" s="4">
        <f>IFERROR(__xludf.DUMMYFUNCTION("IFERROR(ABS(P519-AVERAGE(FILTER(O519:P4587,AA519:AA4587=""Neighbor""))) / STDEV(FILTER(P519:P4587, AA519:AA4587 =""Neighbor"")), """")"),0.31953842727732173)</f>
        <v>0.3195384273</v>
      </c>
      <c r="AE519" s="2">
        <f>IFERROR(__xludf.DUMMYFUNCTION("IFERROR(ABS(Q519-AVERAGE(FILTER(Q519:Q4587,AA519:AA4587=""Neighbor""))) / STDEV(FILTER(Q519:Q4587, AA519:AA4587 =""Neighbor"")), """")"),0.34598245270577116)</f>
        <v>0.3459824527</v>
      </c>
      <c r="AF519" s="2">
        <f>IFERROR(__xludf.DUMMYFUNCTION("IFERROR(ABS(R519-AVERAGE(FILTER(R519:R4587,AA519:AA4587=""Neighbor""))) / STDEV(FILTER(R519:R4587, AA519:AA4587 =""Neighbor"")), """")"),0.09673916586762489)</f>
        <v>0.09673916587</v>
      </c>
    </row>
    <row r="520">
      <c r="A520" s="2" t="s">
        <v>28</v>
      </c>
      <c r="B520" s="2" t="s">
        <v>1711</v>
      </c>
      <c r="C520" s="2" t="s">
        <v>2098</v>
      </c>
      <c r="D520" s="2" t="s">
        <v>2140</v>
      </c>
      <c r="E520" s="2" t="s">
        <v>2141</v>
      </c>
      <c r="F520" s="2">
        <v>348.0</v>
      </c>
      <c r="G520" s="2">
        <v>2379.0</v>
      </c>
      <c r="H520" s="2" t="b">
        <v>1</v>
      </c>
      <c r="I520" s="2">
        <v>-1.0</v>
      </c>
      <c r="J520" s="2" t="b">
        <v>0</v>
      </c>
      <c r="K520" s="2" t="b">
        <v>0</v>
      </c>
      <c r="L520" s="2" t="b">
        <v>0</v>
      </c>
      <c r="M520" s="2" t="b">
        <v>0</v>
      </c>
      <c r="N520" s="2" t="s">
        <v>33</v>
      </c>
      <c r="O520" s="2">
        <v>231.0</v>
      </c>
      <c r="P520" s="2">
        <v>74.0</v>
      </c>
      <c r="Q520" s="2">
        <v>7.0</v>
      </c>
      <c r="R520" s="2">
        <v>1.0</v>
      </c>
      <c r="S520" s="3" t="s">
        <v>2142</v>
      </c>
      <c r="T520" s="2" t="s">
        <v>2143</v>
      </c>
      <c r="Y520" s="4" t="str">
        <f>IFERROR(__xludf.DUMMYFUNCTION("""COMPUTED_VALUE"""),"6.670027")</f>
        <v>6.670027</v>
      </c>
      <c r="Z520" s="4" t="str">
        <f>IFERROR(__xludf.DUMMYFUNCTION("""COMPUTED_VALUE"""),"3.1347552")</f>
        <v>3.1347552</v>
      </c>
      <c r="AA520" s="4" t="str">
        <f t="shared" si="1"/>
        <v>Neighbor</v>
      </c>
      <c r="AC520" s="4">
        <f>IFERROR(__xludf.DUMMYFUNCTION("IFERROR(ABS(O520-AVERAGE(FILTER(O520:O4588,AA520:AA4588=""Neighbor""))) / STDEV(FILTER(O520:O4588, AA520:AA4588 =""Neighbor"")), """")"),3.787129728268803)</f>
        <v>3.787129728</v>
      </c>
      <c r="AD520" s="4">
        <f>IFERROR(__xludf.DUMMYFUNCTION("IFERROR(ABS(P520-AVERAGE(FILTER(O520:P4588,AA520:AA4588=""Neighbor""))) / STDEV(FILTER(P520:P4588, AA520:AA4588 =""Neighbor"")), """")"),1.308933398400382)</f>
        <v>1.308933398</v>
      </c>
      <c r="AE520" s="2">
        <f>IFERROR(__xludf.DUMMYFUNCTION("IFERROR(ABS(Q520-AVERAGE(FILTER(Q520:Q4588,AA520:AA4588=""Neighbor""))) / STDEV(FILTER(Q520:Q4588, AA520:AA4588 =""Neighbor"")), """")"),0.7573759081354813)</f>
        <v>0.7573759081</v>
      </c>
      <c r="AF520" s="2">
        <f>IFERROR(__xludf.DUMMYFUNCTION("IFERROR(ABS(R520-AVERAGE(FILTER(R520:R4588,AA520:AA4588=""Neighbor""))) / STDEV(FILTER(R520:R4588, AA520:AA4588 =""Neighbor"")), """")"),0.08846871904474501)</f>
        <v>0.08846871904</v>
      </c>
    </row>
    <row r="521">
      <c r="A521" s="2" t="s">
        <v>28</v>
      </c>
      <c r="B521" s="2" t="s">
        <v>1711</v>
      </c>
      <c r="C521" s="2" t="s">
        <v>2098</v>
      </c>
      <c r="D521" s="2" t="s">
        <v>2144</v>
      </c>
      <c r="E521" s="2" t="s">
        <v>2145</v>
      </c>
      <c r="F521" s="2">
        <v>142.0</v>
      </c>
      <c r="G521" s="2">
        <v>694.0</v>
      </c>
      <c r="H521" s="2" t="b">
        <v>1</v>
      </c>
      <c r="I521" s="2">
        <v>-1.0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s">
        <v>33</v>
      </c>
      <c r="O521" s="2">
        <v>107.0</v>
      </c>
      <c r="P521" s="2">
        <v>13.0</v>
      </c>
      <c r="Q521" s="2">
        <v>9.0</v>
      </c>
      <c r="R521" s="2">
        <v>0.0</v>
      </c>
      <c r="S521" s="3" t="s">
        <v>2146</v>
      </c>
      <c r="T521" s="2" t="s">
        <v>2147</v>
      </c>
      <c r="Y521" s="4" t="str">
        <f>IFERROR(__xludf.DUMMYFUNCTION("""COMPUTED_VALUE"""),"6.677735")</f>
        <v>6.677735</v>
      </c>
      <c r="Z521" s="4" t="str">
        <f>IFERROR(__xludf.DUMMYFUNCTION("""COMPUTED_VALUE"""),"3.141273")</f>
        <v>3.141273</v>
      </c>
      <c r="AA521" s="4" t="str">
        <f t="shared" si="1"/>
        <v>Not Neighbor</v>
      </c>
      <c r="AC521" s="4">
        <f>IFERROR(__xludf.DUMMYFUNCTION("IFERROR(ABS(O521-AVERAGE(FILTER(O521:O4589,AA521:AA4589=""Neighbor""))) / STDEV(FILTER(O521:O4589, AA521:AA4589 =""Neighbor"")), """")"),0.9472371919320778)</f>
        <v>0.9472371919</v>
      </c>
      <c r="AD521" s="4">
        <f>IFERROR(__xludf.DUMMYFUNCTION("IFERROR(ABS(P521-AVERAGE(FILTER(O521:P4589,AA521:AA4589=""Neighbor""))) / STDEV(FILTER(P521:P4589, AA521:AA4589 =""Neighbor"")), """")"),1.103812166992189)</f>
        <v>1.103812167</v>
      </c>
      <c r="AE521" s="2">
        <f>IFERROR(__xludf.DUMMYFUNCTION("IFERROR(ABS(Q521-AVERAGE(FILTER(Q521:Q4589,AA521:AA4589=""Neighbor""))) / STDEV(FILTER(Q521:Q4589, AA521:AA4589 =""Neighbor"")), """")"),0.6755125229989732)</f>
        <v>0.675512523</v>
      </c>
      <c r="AF521" s="2">
        <f>IFERROR(__xludf.DUMMYFUNCTION("IFERROR(ABS(R521-AVERAGE(FILTER(R521:R4589,AA521:AA4589=""Neighbor""))) / STDEV(FILTER(R521:R4589, AA521:AA4589 =""Neighbor"")), """")"),0.09664679073692198)</f>
        <v>0.09664679074</v>
      </c>
    </row>
    <row r="522">
      <c r="A522" s="2" t="s">
        <v>28</v>
      </c>
      <c r="B522" s="2" t="s">
        <v>1711</v>
      </c>
      <c r="C522" s="2" t="s">
        <v>2098</v>
      </c>
      <c r="D522" s="2" t="s">
        <v>2148</v>
      </c>
      <c r="E522" s="2" t="s">
        <v>2149</v>
      </c>
      <c r="F522" s="2">
        <v>444.0</v>
      </c>
      <c r="G522" s="2">
        <v>3304.0</v>
      </c>
      <c r="H522" s="2" t="b">
        <v>1</v>
      </c>
      <c r="I522" s="2">
        <v>-1.0</v>
      </c>
      <c r="J522" s="2" t="b">
        <v>1</v>
      </c>
      <c r="K522" s="2" t="b">
        <v>0</v>
      </c>
      <c r="L522" s="2" t="b">
        <v>0</v>
      </c>
      <c r="M522" s="2" t="b">
        <v>0</v>
      </c>
      <c r="N522" s="2" t="s">
        <v>33</v>
      </c>
      <c r="O522" s="2">
        <v>150.0</v>
      </c>
      <c r="P522" s="2">
        <v>229.0</v>
      </c>
      <c r="Q522" s="2">
        <v>37.0</v>
      </c>
      <c r="R522" s="2">
        <v>4.0</v>
      </c>
      <c r="S522" s="3" t="s">
        <v>2150</v>
      </c>
      <c r="T522" s="2" t="s">
        <v>2151</v>
      </c>
      <c r="Y522" s="4" t="str">
        <f>IFERROR(__xludf.DUMMYFUNCTION("""COMPUTED_VALUE"""),"6.7291029")</f>
        <v>6.7291029</v>
      </c>
      <c r="Z522" s="4" t="str">
        <f>IFERROR(__xludf.DUMMYFUNCTION("""COMPUTED_VALUE"""),"3.2319054")</f>
        <v>3.2319054</v>
      </c>
      <c r="AA522" s="4" t="str">
        <f t="shared" si="1"/>
        <v>Not Neighbor</v>
      </c>
      <c r="AC522" s="4">
        <f>IFERROR(__xludf.DUMMYFUNCTION("IFERROR(ABS(O522-AVERAGE(FILTER(O522:O4590,AA522:AA4590=""Neighbor""))) / STDEV(FILTER(O522:O4590, AA522:AA4590 =""Neighbor"")), """")"),1.938912479112465)</f>
        <v>1.938912479</v>
      </c>
      <c r="AD522" s="4">
        <f>IFERROR(__xludf.DUMMYFUNCTION("IFERROR(ABS(P522-AVERAGE(FILTER(O522:P4590,AA522:AA4590=""Neighbor""))) / STDEV(FILTER(P522:P4590, AA522:AA4590 =""Neighbor"")), """")"),7.457058217348447)</f>
        <v>7.457058217</v>
      </c>
      <c r="AE522" s="2">
        <f>IFERROR(__xludf.DUMMYFUNCTION("IFERROR(ABS(Q522-AVERAGE(FILTER(Q522:Q4590,AA522:AA4590=""Neighbor""))) / STDEV(FILTER(Q522:Q4590, AA522:AA4590 =""Neighbor"")), """")"),0.4762229610522115)</f>
        <v>0.4762229611</v>
      </c>
      <c r="AF522" s="2">
        <f>IFERROR(__xludf.DUMMYFUNCTION("IFERROR(ABS(R522-AVERAGE(FILTER(R522:R4590,AA522:AA4590=""Neighbor""))) / STDEV(FILTER(R522:R4590, AA522:AA4590 =""Neighbor"")), """")"),0.6439358806946411)</f>
        <v>0.6439358807</v>
      </c>
    </row>
    <row r="523">
      <c r="A523" s="2" t="s">
        <v>28</v>
      </c>
      <c r="B523" s="2" t="s">
        <v>1711</v>
      </c>
      <c r="C523" s="2" t="s">
        <v>2152</v>
      </c>
      <c r="D523" s="2" t="s">
        <v>2153</v>
      </c>
      <c r="E523" s="2" t="s">
        <v>2154</v>
      </c>
      <c r="F523" s="2">
        <v>96.0</v>
      </c>
      <c r="G523" s="2">
        <v>904.0</v>
      </c>
      <c r="H523" s="2" t="b">
        <v>1</v>
      </c>
      <c r="I523" s="2">
        <v>-1.0</v>
      </c>
      <c r="J523" s="2" t="b">
        <v>1</v>
      </c>
      <c r="K523" s="2" t="b">
        <v>0</v>
      </c>
      <c r="L523" s="2" t="b">
        <v>0</v>
      </c>
      <c r="M523" s="2" t="b">
        <v>0</v>
      </c>
      <c r="N523" s="2" t="s">
        <v>33</v>
      </c>
      <c r="O523" s="2">
        <v>60.0</v>
      </c>
      <c r="P523" s="2">
        <v>17.0</v>
      </c>
      <c r="Q523" s="2">
        <v>9.0</v>
      </c>
      <c r="R523" s="2">
        <v>2.0</v>
      </c>
      <c r="S523" s="3" t="s">
        <v>2155</v>
      </c>
      <c r="T523" s="2" t="s">
        <v>2156</v>
      </c>
      <c r="Y523" s="4" t="str">
        <f>IFERROR(__xludf.DUMMYFUNCTION("""COMPUTED_VALUE"""),"6.7033926")</f>
        <v>6.7033926</v>
      </c>
      <c r="Z523" s="4" t="str">
        <f>IFERROR(__xludf.DUMMYFUNCTION("""COMPUTED_VALUE"""),"3.1240239")</f>
        <v>3.1240239</v>
      </c>
      <c r="AA523" s="4" t="str">
        <f t="shared" si="1"/>
        <v>Not Neighbor</v>
      </c>
      <c r="AC523" s="4">
        <f>IFERROR(__xludf.DUMMYFUNCTION("IFERROR(ABS(O523-AVERAGE(FILTER(O523:O4591,AA523:AA4591=""Neighbor""))) / STDEV(FILTER(O523:O4591, AA523:AA4591 =""Neighbor"")), """")"),0.13668695917206652)</f>
        <v>0.1366869592</v>
      </c>
      <c r="AD523" s="4">
        <f>IFERROR(__xludf.DUMMYFUNCTION("IFERROR(ABS(P523-AVERAGE(FILTER(O523:P4591,AA523:AA4591=""Neighbor""))) / STDEV(FILTER(P523:P4591, AA523:AA4591 =""Neighbor"")), """")"),0.9452775302451402)</f>
        <v>0.9452775302</v>
      </c>
      <c r="AE523" s="2">
        <f>IFERROR(__xludf.DUMMYFUNCTION("IFERROR(ABS(Q523-AVERAGE(FILTER(Q523:Q4591,AA523:AA4591=""Neighbor""))) / STDEV(FILTER(Q523:Q4591, AA523:AA4591 =""Neighbor"")), """")"),0.6755125229989732)</f>
        <v>0.675512523</v>
      </c>
      <c r="AF523" s="2">
        <f>IFERROR(__xludf.DUMMYFUNCTION("IFERROR(ABS(R523-AVERAGE(FILTER(R523:R4591,AA523:AA4591=""Neighbor""))) / STDEV(FILTER(R523:R4591, AA523:AA4591 =""Neighbor"")), """")"),0.27364454497885954)</f>
        <v>0.273644545</v>
      </c>
    </row>
    <row r="524">
      <c r="A524" s="2" t="s">
        <v>28</v>
      </c>
      <c r="B524" s="2" t="s">
        <v>1711</v>
      </c>
      <c r="C524" s="2" t="s">
        <v>2152</v>
      </c>
      <c r="D524" s="2" t="s">
        <v>2157</v>
      </c>
      <c r="E524" s="2" t="s">
        <v>2158</v>
      </c>
      <c r="F524" s="2">
        <v>133.0</v>
      </c>
      <c r="G524" s="2">
        <v>923.0</v>
      </c>
      <c r="H524" s="2" t="b">
        <v>1</v>
      </c>
      <c r="I524" s="2">
        <v>-1.0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s">
        <v>33</v>
      </c>
      <c r="O524" s="2">
        <v>94.0</v>
      </c>
      <c r="P524" s="2">
        <v>17.0</v>
      </c>
      <c r="Q524" s="2">
        <v>15.0</v>
      </c>
      <c r="R524" s="2">
        <v>0.0</v>
      </c>
      <c r="S524" s="3" t="s">
        <v>2159</v>
      </c>
      <c r="T524" s="2" t="s">
        <v>2160</v>
      </c>
      <c r="Y524" s="4" t="str">
        <f>IFERROR(__xludf.DUMMYFUNCTION("""COMPUTED_VALUE"""),"6.6428468")</f>
        <v>6.6428468</v>
      </c>
      <c r="Z524" s="4" t="str">
        <f>IFERROR(__xludf.DUMMYFUNCTION("""COMPUTED_VALUE"""),"3.3286858")</f>
        <v>3.3286858</v>
      </c>
      <c r="AA524" s="4" t="str">
        <f t="shared" si="1"/>
        <v>Not Neighbor</v>
      </c>
      <c r="AC524" s="4">
        <f>IFERROR(__xludf.DUMMYFUNCTION("IFERROR(ABS(O524-AVERAGE(FILTER(O524:O4592,AA524:AA4592=""Neighbor""))) / STDEV(FILTER(O524:O4592, AA524:AA4592 =""Neighbor"")), """")"),0.6474283841798676)</f>
        <v>0.6474283842</v>
      </c>
      <c r="AD524" s="4">
        <f>IFERROR(__xludf.DUMMYFUNCTION("IFERROR(ABS(P524-AVERAGE(FILTER(O524:P4592,AA524:AA4592=""Neighbor""))) / STDEV(FILTER(P524:P4592, AA524:AA4592 =""Neighbor"")), """")"),0.9452775302451402)</f>
        <v>0.9452775302</v>
      </c>
      <c r="AE524" s="2">
        <f>IFERROR(__xludf.DUMMYFUNCTION("IFERROR(ABS(Q524-AVERAGE(FILTER(Q524:Q4592,AA524:AA4592=""Neighbor""))) / STDEV(FILTER(Q524:Q4592, AA524:AA4592 =""Neighbor"")), """")"),0.42871206213086227)</f>
        <v>0.4287120621</v>
      </c>
      <c r="AF524" s="2">
        <f>IFERROR(__xludf.DUMMYFUNCTION("IFERROR(ABS(R524-AVERAGE(FILTER(R524:R4592,AA524:AA4592=""Neighbor""))) / STDEV(FILTER(R524:R4592, AA524:AA4592 =""Neighbor"")), """")"),0.09664679073692198)</f>
        <v>0.09664679074</v>
      </c>
    </row>
    <row r="525">
      <c r="A525" s="2" t="s">
        <v>28</v>
      </c>
      <c r="B525" s="2" t="s">
        <v>1711</v>
      </c>
      <c r="C525" s="2" t="s">
        <v>2152</v>
      </c>
      <c r="D525" s="2" t="s">
        <v>2161</v>
      </c>
      <c r="E525" s="2" t="s">
        <v>2162</v>
      </c>
      <c r="F525" s="2">
        <v>46.0</v>
      </c>
      <c r="G525" s="2">
        <v>870.0</v>
      </c>
      <c r="H525" s="2" t="b">
        <v>1</v>
      </c>
      <c r="I525" s="2">
        <v>-1.0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s">
        <v>33</v>
      </c>
      <c r="O525" s="2">
        <v>0.0</v>
      </c>
      <c r="P525" s="2">
        <v>0.0</v>
      </c>
      <c r="Q525" s="2">
        <v>0.0</v>
      </c>
      <c r="R525" s="2">
        <v>0.0</v>
      </c>
      <c r="S525" s="3" t="s">
        <v>2163</v>
      </c>
      <c r="T525" s="2" t="s">
        <v>2164</v>
      </c>
      <c r="Y525" s="4" t="str">
        <f>IFERROR(__xludf.DUMMYFUNCTION("""COMPUTED_VALUE"""),"6.718483")</f>
        <v>6.718483</v>
      </c>
      <c r="Z525" s="4" t="str">
        <f>IFERROR(__xludf.DUMMYFUNCTION("""COMPUTED_VALUE"""),"3.103281")</f>
        <v>3.103281</v>
      </c>
      <c r="AA525" s="4" t="str">
        <f t="shared" si="1"/>
        <v>Neighbor</v>
      </c>
      <c r="AC525" s="4">
        <f>IFERROR(__xludf.DUMMYFUNCTION("IFERROR(ABS(O525-AVERAGE(FILTER(O525:O4593,AA525:AA4593=""Neighbor""))) / STDEV(FILTER(O525:O4593, AA525:AA4593 =""Neighbor"")), """")"),1.5204199180284208)</f>
        <v>1.520419918</v>
      </c>
      <c r="AD525" s="4">
        <f>IFERROR(__xludf.DUMMYFUNCTION("IFERROR(ABS(P525-AVERAGE(FILTER(O525:P4593,AA525:AA4593=""Neighbor""))) / STDEV(FILTER(P525:P4593, AA525:AA4593 =""Neighbor"")), """")"),1.6190497364200975)</f>
        <v>1.619049736</v>
      </c>
      <c r="AE525" s="2">
        <f>IFERROR(__xludf.DUMMYFUNCTION("IFERROR(ABS(Q525-AVERAGE(FILTER(Q525:Q4593,AA525:AA4593=""Neighbor""))) / STDEV(FILTER(Q525:Q4593, AA525:AA4593 =""Neighbor"")), """")"),1.0457132143011398)</f>
        <v>1.045713214</v>
      </c>
      <c r="AF525" s="2">
        <f>IFERROR(__xludf.DUMMYFUNCTION("IFERROR(ABS(R525-AVERAGE(FILTER(R525:R4593,AA525:AA4593=""Neighbor""))) / STDEV(FILTER(R525:R4593, AA525:AA4593 =""Neighbor"")), """")"),0.09664679073692198)</f>
        <v>0.09664679074</v>
      </c>
    </row>
    <row r="526">
      <c r="A526" s="2" t="s">
        <v>28</v>
      </c>
      <c r="B526" s="2" t="s">
        <v>1711</v>
      </c>
      <c r="C526" s="2" t="s">
        <v>2152</v>
      </c>
      <c r="D526" s="2" t="s">
        <v>2165</v>
      </c>
      <c r="E526" s="2" t="s">
        <v>2166</v>
      </c>
      <c r="F526" s="2">
        <v>25.0</v>
      </c>
      <c r="G526" s="2">
        <v>755.0</v>
      </c>
      <c r="H526" s="2" t="b">
        <v>1</v>
      </c>
      <c r="I526" s="2">
        <v>-1.0</v>
      </c>
      <c r="J526" s="2" t="b">
        <v>1</v>
      </c>
      <c r="K526" s="2" t="b">
        <v>0</v>
      </c>
      <c r="L526" s="2" t="b">
        <v>0</v>
      </c>
      <c r="M526" s="2" t="b">
        <v>0</v>
      </c>
      <c r="N526" s="2" t="s">
        <v>33</v>
      </c>
      <c r="O526" s="2">
        <v>18.0</v>
      </c>
      <c r="P526" s="2">
        <v>0.0</v>
      </c>
      <c r="Q526" s="2">
        <v>4.0</v>
      </c>
      <c r="R526" s="2">
        <v>0.0</v>
      </c>
      <c r="S526" s="3" t="s">
        <v>2167</v>
      </c>
      <c r="T526" s="2" t="s">
        <v>2168</v>
      </c>
      <c r="Y526" s="4" t="str">
        <f>IFERROR(__xludf.DUMMYFUNCTION("""COMPUTED_VALUE"""),"6.718483")</f>
        <v>6.718483</v>
      </c>
      <c r="Z526" s="4" t="str">
        <f>IFERROR(__xludf.DUMMYFUNCTION("""COMPUTED_VALUE"""),"3.103281")</f>
        <v>3.103281</v>
      </c>
      <c r="AA526" s="4" t="str">
        <f t="shared" si="1"/>
        <v>Not Neighbor</v>
      </c>
      <c r="AC526" s="4">
        <f>IFERROR(__xludf.DUMMYFUNCTION("IFERROR(ABS(O526-AVERAGE(FILTER(O526:O4594,AA526:AA4594=""Neighbor""))) / STDEV(FILTER(O526:O4594, AA526:AA4594 =""Neighbor"")), """")"),1.1068229560374845)</f>
        <v>1.106822956</v>
      </c>
      <c r="AD526" s="4">
        <f>IFERROR(__xludf.DUMMYFUNCTION("IFERROR(ABS(P526-AVERAGE(FILTER(O526:P4594,AA526:AA4594=""Neighbor""))) / STDEV(FILTER(P526:P4594, AA526:AA4594 =""Neighbor"")), """")"),1.6198123532476618)</f>
        <v>1.619812353</v>
      </c>
      <c r="AE526" s="2">
        <f>IFERROR(__xludf.DUMMYFUNCTION("IFERROR(ABS(Q526-AVERAGE(FILTER(Q526:Q4594,AA526:AA4594=""Neighbor""))) / STDEV(FILTER(Q526:Q4594, AA526:AA4594 =""Neighbor"")), """")"),0.8819162305262699)</f>
        <v>0.8819162305</v>
      </c>
      <c r="AF526" s="2">
        <f>IFERROR(__xludf.DUMMYFUNCTION("IFERROR(ABS(R526-AVERAGE(FILTER(R526:R4594,AA526:AA4594=""Neighbor""))) / STDEV(FILTER(R526:R4594, AA526:AA4594 =""Neighbor"")), """")"),0.09667980855074508)</f>
        <v>0.09667980855</v>
      </c>
    </row>
    <row r="527">
      <c r="A527" s="2" t="s">
        <v>28</v>
      </c>
      <c r="B527" s="2" t="s">
        <v>1711</v>
      </c>
      <c r="C527" s="2" t="s">
        <v>2152</v>
      </c>
      <c r="D527" s="2" t="s">
        <v>2169</v>
      </c>
      <c r="E527" s="2" t="s">
        <v>2170</v>
      </c>
      <c r="F527" s="2">
        <v>174.0</v>
      </c>
      <c r="G527" s="2">
        <v>1048.0</v>
      </c>
      <c r="H527" s="2" t="b">
        <v>1</v>
      </c>
      <c r="I527" s="2">
        <v>-1.0</v>
      </c>
      <c r="J527" s="2" t="b">
        <v>1</v>
      </c>
      <c r="K527" s="2" t="b">
        <v>0</v>
      </c>
      <c r="L527" s="2" t="b">
        <v>0</v>
      </c>
      <c r="M527" s="2" t="b">
        <v>0</v>
      </c>
      <c r="N527" s="2" t="s">
        <v>33</v>
      </c>
      <c r="O527" s="2">
        <v>99.0</v>
      </c>
      <c r="P527" s="2">
        <v>34.0</v>
      </c>
      <c r="Q527" s="2">
        <v>17.0</v>
      </c>
      <c r="R527" s="2">
        <v>1.0</v>
      </c>
      <c r="S527" s="3" t="s">
        <v>2171</v>
      </c>
      <c r="T527" s="2" t="s">
        <v>2172</v>
      </c>
      <c r="Y527" s="4" t="str">
        <f>IFERROR(__xludf.DUMMYFUNCTION("""COMPUTED_VALUE"""),"6.7394558")</f>
        <v>6.7394558</v>
      </c>
      <c r="Z527" s="4" t="str">
        <f>IFERROR(__xludf.DUMMYFUNCTION("""COMPUTED_VALUE"""),"3.215828")</f>
        <v>3.215828</v>
      </c>
      <c r="AA527" s="4" t="str">
        <f t="shared" si="1"/>
        <v>Not Neighbor</v>
      </c>
      <c r="AC527" s="4">
        <f>IFERROR(__xludf.DUMMYFUNCTION("IFERROR(ABS(O527-AVERAGE(FILTER(O527:O4595,AA527:AA4595=""Neighbor""))) / STDEV(FILTER(O527:O4595, AA527:AA4595 =""Neighbor"")), """")"),0.7620486838237913)</f>
        <v>0.7620486838</v>
      </c>
      <c r="AD527" s="4">
        <f>IFERROR(__xludf.DUMMYFUNCTION("IFERROR(ABS(P527-AVERAGE(FILTER(O527:P4595,AA527:AA4595=""Neighbor""))) / STDEV(FILTER(P527:P4595, AA527:AA4595 =""Neighbor"")), """")"),0.27254599261088336)</f>
        <v>0.2725459926</v>
      </c>
      <c r="AE527" s="2">
        <f>IFERROR(__xludf.DUMMYFUNCTION("IFERROR(ABS(Q527-AVERAGE(FILTER(Q527:Q4595,AA527:AA4595=""Neighbor""))) / STDEV(FILTER(Q527:Q4595, AA527:AA4595 =""Neighbor"")), """")"),0.34716481225045803)</f>
        <v>0.3471648123</v>
      </c>
      <c r="AF527" s="2">
        <f>IFERROR(__xludf.DUMMYFUNCTION("IFERROR(ABS(R527-AVERAGE(FILTER(R527:R4595,AA527:AA4595=""Neighbor""))) / STDEV(FILTER(R527:R4595, AA527:AA4595 =""Neighbor"")), """")"),0.08840371598998092)</f>
        <v>0.08840371599</v>
      </c>
    </row>
    <row r="528">
      <c r="A528" s="2" t="s">
        <v>28</v>
      </c>
      <c r="B528" s="2" t="s">
        <v>1711</v>
      </c>
      <c r="C528" s="2" t="s">
        <v>2152</v>
      </c>
      <c r="D528" s="2" t="s">
        <v>2173</v>
      </c>
      <c r="E528" s="2" t="s">
        <v>2174</v>
      </c>
      <c r="F528" s="2">
        <v>144.0</v>
      </c>
      <c r="G528" s="2">
        <v>569.0</v>
      </c>
      <c r="H528" s="2" t="b">
        <v>1</v>
      </c>
      <c r="I528" s="2">
        <v>-1.0</v>
      </c>
      <c r="J528" s="2" t="b">
        <v>0</v>
      </c>
      <c r="K528" s="2" t="b">
        <v>1</v>
      </c>
      <c r="L528" s="2" t="b">
        <v>0</v>
      </c>
      <c r="M528" s="2" t="b">
        <v>0</v>
      </c>
      <c r="N528" s="2" t="s">
        <v>33</v>
      </c>
      <c r="O528" s="2">
        <v>99.0</v>
      </c>
      <c r="P528" s="2">
        <v>20.0</v>
      </c>
      <c r="Q528" s="2">
        <v>6.0</v>
      </c>
      <c r="R528" s="2">
        <v>1.0</v>
      </c>
      <c r="S528" s="3" t="s">
        <v>2175</v>
      </c>
      <c r="T528" s="2" t="s">
        <v>2176</v>
      </c>
      <c r="Y528" s="4" t="str">
        <f>IFERROR(__xludf.DUMMYFUNCTION("""COMPUTED_VALUE"""),"6.6922475")</f>
        <v>6.6922475</v>
      </c>
      <c r="Z528" s="4" t="str">
        <f>IFERROR(__xludf.DUMMYFUNCTION("""COMPUTED_VALUE"""),"2.9825559")</f>
        <v>2.9825559</v>
      </c>
      <c r="AA528" s="4" t="str">
        <f t="shared" si="1"/>
        <v>Not Neighbor</v>
      </c>
      <c r="AC528" s="4">
        <f>IFERROR(__xludf.DUMMYFUNCTION("IFERROR(ABS(O528-AVERAGE(FILTER(O528:O4596,AA528:AA4596=""Neighbor""))) / STDEV(FILTER(O528:O4596, AA528:AA4596 =""Neighbor"")), """")"),0.7620486838237913)</f>
        <v>0.7620486838</v>
      </c>
      <c r="AD528" s="4">
        <f>IFERROR(__xludf.DUMMYFUNCTION("IFERROR(ABS(P528-AVERAGE(FILTER(O528:P4596,AA528:AA4596=""Neighbor""))) / STDEV(FILTER(P528:P4596, AA528:AA4596 =""Neighbor"")), """")"),0.8273027293436745)</f>
        <v>0.8273027293</v>
      </c>
      <c r="AE528" s="2">
        <f>IFERROR(__xludf.DUMMYFUNCTION("IFERROR(ABS(Q528-AVERAGE(FILTER(Q528:Q4596,AA528:AA4596=""Neighbor""))) / STDEV(FILTER(Q528:Q4596, AA528:AA4596 =""Neighbor"")), """")"),0.7996467815607603)</f>
        <v>0.7996467816</v>
      </c>
      <c r="AF528" s="2">
        <f>IFERROR(__xludf.DUMMYFUNCTION("IFERROR(ABS(R528-AVERAGE(FILTER(R528:R4596,AA528:AA4596=""Neighbor""))) / STDEV(FILTER(R528:R4596, AA528:AA4596 =""Neighbor"")), """")"),0.08840371598998092)</f>
        <v>0.08840371599</v>
      </c>
    </row>
    <row r="529">
      <c r="A529" s="2" t="s">
        <v>28</v>
      </c>
      <c r="B529" s="2" t="s">
        <v>1711</v>
      </c>
      <c r="C529" s="2" t="s">
        <v>2152</v>
      </c>
      <c r="D529" s="2" t="s">
        <v>2177</v>
      </c>
      <c r="E529" s="2" t="s">
        <v>2178</v>
      </c>
      <c r="F529" s="2">
        <v>86.0</v>
      </c>
      <c r="G529" s="2">
        <v>750.0</v>
      </c>
      <c r="H529" s="2" t="b">
        <v>1</v>
      </c>
      <c r="I529" s="2">
        <v>-1.0</v>
      </c>
      <c r="J529" s="2" t="b">
        <v>0</v>
      </c>
      <c r="K529" s="2" t="b">
        <v>0</v>
      </c>
      <c r="L529" s="2" t="b">
        <v>0</v>
      </c>
      <c r="M529" s="2" t="b">
        <v>0</v>
      </c>
      <c r="N529" s="2" t="s">
        <v>33</v>
      </c>
      <c r="O529" s="2">
        <v>58.0</v>
      </c>
      <c r="P529" s="2">
        <v>15.0</v>
      </c>
      <c r="Q529" s="2">
        <v>9.0</v>
      </c>
      <c r="R529" s="2">
        <v>0.0</v>
      </c>
      <c r="S529" s="3" t="s">
        <v>2179</v>
      </c>
      <c r="T529" s="2" t="s">
        <v>2180</v>
      </c>
      <c r="Y529" s="4" t="str">
        <f>IFERROR(__xludf.DUMMYFUNCTION("""COMPUTED_VALUE"""),"6.7218415")</f>
        <v>6.7218415</v>
      </c>
      <c r="Z529" s="4" t="str">
        <f>IFERROR(__xludf.DUMMYFUNCTION("""COMPUTED_VALUE"""),"3.1632621")</f>
        <v>3.1632621</v>
      </c>
      <c r="AA529" s="4" t="str">
        <f t="shared" si="1"/>
        <v>Not Neighbor</v>
      </c>
      <c r="AC529" s="4">
        <f>IFERROR(__xludf.DUMMYFUNCTION("IFERROR(ABS(O529-AVERAGE(FILTER(O529:O4597,AA529:AA4597=""Neighbor""))) / STDEV(FILTER(O529:O4597, AA529:AA4597 =""Neighbor"")), """")"),0.1839233807973482)</f>
        <v>0.1839233808</v>
      </c>
      <c r="AD529" s="4">
        <f>IFERROR(__xludf.DUMMYFUNCTION("IFERROR(ABS(P529-AVERAGE(FILTER(O529:P4597,AA529:AA4597=""Neighbor""))) / STDEV(FILTER(P529:P4597, AA529:AA4597 =""Neighbor"")), """")"),1.0254301353196713)</f>
        <v>1.025430135</v>
      </c>
      <c r="AE529" s="2">
        <f>IFERROR(__xludf.DUMMYFUNCTION("IFERROR(ABS(Q529-AVERAGE(FILTER(Q529:Q4597,AA529:AA4597=""Neighbor""))) / STDEV(FILTER(Q529:Q4597, AA529:AA4597 =""Neighbor"")), """")"),0.676242608112496)</f>
        <v>0.6762426081</v>
      </c>
      <c r="AF529" s="2">
        <f>IFERROR(__xludf.DUMMYFUNCTION("IFERROR(ABS(R529-AVERAGE(FILTER(R529:R4597,AA529:AA4597=""Neighbor""))) / STDEV(FILTER(R529:R4597, AA529:AA4597 =""Neighbor"")), """")"),0.09667980855074508)</f>
        <v>0.09667980855</v>
      </c>
    </row>
    <row r="530">
      <c r="A530" s="2" t="s">
        <v>28</v>
      </c>
      <c r="B530" s="2" t="s">
        <v>1711</v>
      </c>
      <c r="C530" s="2" t="s">
        <v>2152</v>
      </c>
      <c r="D530" s="2" t="s">
        <v>2181</v>
      </c>
      <c r="E530" s="2" t="s">
        <v>2182</v>
      </c>
      <c r="F530" s="2">
        <v>207.0</v>
      </c>
      <c r="G530" s="2">
        <v>1034.0</v>
      </c>
      <c r="H530" s="2" t="b">
        <v>1</v>
      </c>
      <c r="I530" s="2">
        <v>-1.0</v>
      </c>
      <c r="J530" s="2" t="b">
        <v>0</v>
      </c>
      <c r="K530" s="2" t="b">
        <v>0</v>
      </c>
      <c r="L530" s="2" t="b">
        <v>0</v>
      </c>
      <c r="M530" s="2" t="b">
        <v>0</v>
      </c>
      <c r="N530" s="2" t="s">
        <v>33</v>
      </c>
      <c r="O530" s="2">
        <v>134.0</v>
      </c>
      <c r="P530" s="2">
        <v>40.0</v>
      </c>
      <c r="Q530" s="2">
        <v>15.0</v>
      </c>
      <c r="R530" s="2">
        <v>0.0</v>
      </c>
      <c r="S530" s="3" t="s">
        <v>2183</v>
      </c>
      <c r="T530" s="2" t="s">
        <v>2184</v>
      </c>
      <c r="Y530" s="4" t="str">
        <f>IFERROR(__xludf.DUMMYFUNCTION("""COMPUTED_VALUE"""),"6.718483")</f>
        <v>6.718483</v>
      </c>
      <c r="Z530" s="4" t="str">
        <f>IFERROR(__xludf.DUMMYFUNCTION("""COMPUTED_VALUE"""),"3.103281")</f>
        <v>3.103281</v>
      </c>
      <c r="AA530" s="4" t="str">
        <f t="shared" si="1"/>
        <v>Not Neighbor</v>
      </c>
      <c r="AC530" s="4">
        <f>IFERROR(__xludf.DUMMYFUNCTION("IFERROR(ABS(O530-AVERAGE(FILTER(O530:O4598,AA530:AA4598=""Neighbor""))) / STDEV(FILTER(O530:O4598, AA530:AA4598 =""Neighbor"")), """")"),1.5695858121589106)</f>
        <v>1.569585812</v>
      </c>
      <c r="AD530" s="4">
        <f>IFERROR(__xludf.DUMMYFUNCTION("IFERROR(ABS(P530-AVERAGE(FILTER(O530:P4598,AA530:AA4598=""Neighbor""))) / STDEV(FILTER(P530:P4598, AA530:AA4598 =""Neighbor"")), """")"),0.03479310543968714)</f>
        <v>0.03479310544</v>
      </c>
      <c r="AE530" s="2">
        <f>IFERROR(__xludf.DUMMYFUNCTION("IFERROR(ABS(Q530-AVERAGE(FILTER(Q530:Q4598,AA530:AA4598=""Neighbor""))) / STDEV(FILTER(Q530:Q4598, AA530:AA4598 =""Neighbor"")), """")"),0.4294342612159675)</f>
        <v>0.4294342612</v>
      </c>
      <c r="AF530" s="2">
        <f>IFERROR(__xludf.DUMMYFUNCTION("IFERROR(ABS(R530-AVERAGE(FILTER(R530:R4598,AA530:AA4598=""Neighbor""))) / STDEV(FILTER(R530:R4598, AA530:AA4598 =""Neighbor"")), """")"),0.09667980855074508)</f>
        <v>0.09667980855</v>
      </c>
    </row>
    <row r="531">
      <c r="A531" s="2" t="s">
        <v>28</v>
      </c>
      <c r="B531" s="2" t="s">
        <v>1711</v>
      </c>
      <c r="C531" s="2" t="s">
        <v>2152</v>
      </c>
      <c r="D531" s="2" t="s">
        <v>2185</v>
      </c>
      <c r="E531" s="2" t="s">
        <v>2186</v>
      </c>
      <c r="F531" s="2">
        <v>233.0</v>
      </c>
      <c r="G531" s="2">
        <v>1777.0</v>
      </c>
      <c r="H531" s="2" t="b">
        <v>1</v>
      </c>
      <c r="I531" s="2">
        <v>-1.0</v>
      </c>
      <c r="J531" s="2" t="b">
        <v>0</v>
      </c>
      <c r="K531" s="2" t="b">
        <v>0</v>
      </c>
      <c r="L531" s="2" t="b">
        <v>0</v>
      </c>
      <c r="M531" s="2" t="b">
        <v>0</v>
      </c>
      <c r="N531" s="2" t="s">
        <v>33</v>
      </c>
      <c r="O531" s="2">
        <v>117.0</v>
      </c>
      <c r="P531" s="2">
        <v>72.0</v>
      </c>
      <c r="Q531" s="2">
        <v>27.0</v>
      </c>
      <c r="R531" s="2">
        <v>0.0</v>
      </c>
      <c r="S531" s="3" t="s">
        <v>2187</v>
      </c>
      <c r="T531" s="2" t="s">
        <v>2188</v>
      </c>
      <c r="Y531" s="4" t="str">
        <f>IFERROR(__xludf.DUMMYFUNCTION("""COMPUTED_VALUE"""),"6.7429921")</f>
        <v>6.7429921</v>
      </c>
      <c r="Z531" s="4" t="str">
        <f>IFERROR(__xludf.DUMMYFUNCTION("""COMPUTED_VALUE"""),"3.2666287")</f>
        <v>3.2666287</v>
      </c>
      <c r="AA531" s="4" t="str">
        <f t="shared" si="1"/>
        <v>Not Neighbor</v>
      </c>
      <c r="AC531" s="4">
        <f>IFERROR(__xludf.DUMMYFUNCTION("IFERROR(ABS(O531-AVERAGE(FILTER(O531:O4599,AA531:AA4599=""Neighbor""))) / STDEV(FILTER(O531:O4599, AA531:AA4599 =""Neighbor"")), """")"),1.1773534926818527)</f>
        <v>1.177353493</v>
      </c>
      <c r="AD531" s="4">
        <f>IFERROR(__xludf.DUMMYFUNCTION("IFERROR(ABS(P531-AVERAGE(FILTER(O531:P4599,AA531:AA4599=""Neighbor""))) / STDEV(FILTER(P531:P4599, AA531:AA4599 =""Neighbor"")), """")"),1.2332222928066927)</f>
        <v>1.233222293</v>
      </c>
      <c r="AE531" s="2">
        <f>IFERROR(__xludf.DUMMYFUNCTION("IFERROR(ABS(Q531-AVERAGE(FILTER(Q531:Q4599,AA531:AA4599=""Neighbor""))) / STDEV(FILTER(Q531:Q4599, AA531:AA4599 =""Neighbor"")), """")"),0.06418243257708955)</f>
        <v>0.06418243258</v>
      </c>
      <c r="AF531" s="2">
        <f>IFERROR(__xludf.DUMMYFUNCTION("IFERROR(ABS(R531-AVERAGE(FILTER(R531:R4599,AA531:AA4599=""Neighbor""))) / STDEV(FILTER(R531:R4599, AA531:AA4599 =""Neighbor"")), """")"),0.09667980855074508)</f>
        <v>0.09667980855</v>
      </c>
    </row>
    <row r="532">
      <c r="A532" s="2" t="s">
        <v>28</v>
      </c>
      <c r="B532" s="2" t="s">
        <v>1711</v>
      </c>
      <c r="C532" s="2" t="s">
        <v>2152</v>
      </c>
      <c r="D532" s="2" t="s">
        <v>2189</v>
      </c>
      <c r="E532" s="2" t="s">
        <v>2190</v>
      </c>
      <c r="F532" s="2">
        <v>124.0</v>
      </c>
      <c r="G532" s="2">
        <v>944.0</v>
      </c>
      <c r="H532" s="2" t="b">
        <v>1</v>
      </c>
      <c r="I532" s="2">
        <v>-1.0</v>
      </c>
      <c r="J532" s="2" t="b">
        <v>0</v>
      </c>
      <c r="K532" s="2" t="b">
        <v>0</v>
      </c>
      <c r="L532" s="2" t="b">
        <v>0</v>
      </c>
      <c r="M532" s="2" t="b">
        <v>0</v>
      </c>
      <c r="N532" s="2" t="s">
        <v>33</v>
      </c>
      <c r="O532" s="2">
        <v>78.0</v>
      </c>
      <c r="P532" s="2">
        <v>23.0</v>
      </c>
      <c r="Q532" s="2">
        <v>10.0</v>
      </c>
      <c r="R532" s="2">
        <v>0.0</v>
      </c>
      <c r="S532" s="3" t="s">
        <v>2191</v>
      </c>
      <c r="T532" s="2" t="s">
        <v>2192</v>
      </c>
      <c r="Y532" s="4" t="str">
        <f>IFERROR(__xludf.DUMMYFUNCTION("""COMPUTED_VALUE"""),"6.7494156")</f>
        <v>6.7494156</v>
      </c>
      <c r="Z532" s="4" t="str">
        <f>IFERROR(__xludf.DUMMYFUNCTION("""COMPUTED_VALUE"""),"3.2144555")</f>
        <v>3.2144555</v>
      </c>
      <c r="AA532" s="4" t="str">
        <f t="shared" si="1"/>
        <v>Not Neighbor</v>
      </c>
      <c r="AC532" s="4">
        <f>IFERROR(__xludf.DUMMYFUNCTION("IFERROR(ABS(O532-AVERAGE(FILTER(O532:O4600,AA532:AA4600=""Neighbor""))) / STDEV(FILTER(O532:O4600, AA532:AA4600 =""Neighbor"")), """")"),0.2775264068227199)</f>
        <v>0.2775264068</v>
      </c>
      <c r="AD532" s="4">
        <f>IFERROR(__xludf.DUMMYFUNCTION("IFERROR(ABS(P532-AVERAGE(FILTER(O532:P4600,AA532:AA4600=""Neighbor""))) / STDEV(FILTER(P532:P4600, AA532:AA4600 =""Neighbor"")), """")"),0.7084262857580764)</f>
        <v>0.7084262858</v>
      </c>
      <c r="AE532" s="2">
        <f>IFERROR(__xludf.DUMMYFUNCTION("IFERROR(ABS(Q532-AVERAGE(FILTER(Q532:Q4600,AA532:AA4600=""Neighbor""))) / STDEV(FILTER(Q532:Q4600, AA532:AA4600 =""Neighbor"")), """")"),0.6351078836297414)</f>
        <v>0.6351078836</v>
      </c>
      <c r="AF532" s="2">
        <f>IFERROR(__xludf.DUMMYFUNCTION("IFERROR(ABS(R532-AVERAGE(FILTER(R532:R4600,AA532:AA4600=""Neighbor""))) / STDEV(FILTER(R532:R4600, AA532:AA4600 =""Neighbor"")), """")"),0.09667980855074508)</f>
        <v>0.09667980855</v>
      </c>
    </row>
    <row r="533">
      <c r="A533" s="2" t="s">
        <v>28</v>
      </c>
      <c r="B533" s="2" t="s">
        <v>1711</v>
      </c>
      <c r="C533" s="2" t="s">
        <v>2152</v>
      </c>
      <c r="D533" s="2" t="s">
        <v>2193</v>
      </c>
      <c r="E533" s="2" t="s">
        <v>2194</v>
      </c>
      <c r="F533" s="2">
        <v>149.0</v>
      </c>
      <c r="G533" s="2">
        <v>750.0</v>
      </c>
      <c r="H533" s="2" t="b">
        <v>1</v>
      </c>
      <c r="I533" s="2">
        <v>-1.0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s">
        <v>33</v>
      </c>
      <c r="O533" s="2">
        <v>99.0</v>
      </c>
      <c r="P533" s="2">
        <v>28.0</v>
      </c>
      <c r="Q533" s="2">
        <v>19.0</v>
      </c>
      <c r="R533" s="2">
        <v>0.0</v>
      </c>
      <c r="S533" s="3" t="s">
        <v>2195</v>
      </c>
      <c r="T533" s="2" t="s">
        <v>2196</v>
      </c>
      <c r="Y533" s="4" t="str">
        <f>IFERROR(__xludf.DUMMYFUNCTION("""COMPUTED_VALUE"""),"6.7429921")</f>
        <v>6.7429921</v>
      </c>
      <c r="Z533" s="4" t="str">
        <f>IFERROR(__xludf.DUMMYFUNCTION("""COMPUTED_VALUE"""),"3.2666287")</f>
        <v>3.2666287</v>
      </c>
      <c r="AA533" s="4" t="str">
        <f t="shared" si="1"/>
        <v>Not Neighbor</v>
      </c>
      <c r="AC533" s="4">
        <f>IFERROR(__xludf.DUMMYFUNCTION("IFERROR(ABS(O533-AVERAGE(FILTER(O533:O4601,AA533:AA4601=""Neighbor""))) / STDEV(FILTER(O533:O4601, AA533:AA4601 =""Neighbor"")), """")"),0.7620486838237913)</f>
        <v>0.7620486838</v>
      </c>
      <c r="AD533" s="4">
        <f>IFERROR(__xludf.DUMMYFUNCTION("IFERROR(ABS(P533-AVERAGE(FILTER(O533:P4601,AA533:AA4601=""Neighbor""))) / STDEV(FILTER(P533:P4601, AA533:AA4601 =""Neighbor"")), """")"),0.5102988797820796)</f>
        <v>0.5102988798</v>
      </c>
      <c r="AE533" s="2">
        <f>IFERROR(__xludf.DUMMYFUNCTION("IFERROR(ABS(Q533-AVERAGE(FILTER(Q533:Q4601,AA533:AA4601=""Neighbor""))) / STDEV(FILTER(Q533:Q4601, AA533:AA4601 =""Neighbor"")), """")"),0.2648953632849485)</f>
        <v>0.2648953633</v>
      </c>
      <c r="AF533" s="2">
        <f>IFERROR(__xludf.DUMMYFUNCTION("IFERROR(ABS(R533-AVERAGE(FILTER(R533:R4601,AA533:AA4601=""Neighbor""))) / STDEV(FILTER(R533:R4601, AA533:AA4601 =""Neighbor"")), """")"),0.09667980855074508)</f>
        <v>0.09667980855</v>
      </c>
    </row>
    <row r="534">
      <c r="A534" s="2" t="s">
        <v>28</v>
      </c>
      <c r="B534" s="2" t="s">
        <v>1711</v>
      </c>
      <c r="C534" s="2" t="s">
        <v>2152</v>
      </c>
      <c r="D534" s="2" t="s">
        <v>2197</v>
      </c>
      <c r="E534" s="2" t="s">
        <v>2198</v>
      </c>
      <c r="F534" s="2">
        <v>25.0</v>
      </c>
      <c r="G534" s="2">
        <v>515.0</v>
      </c>
      <c r="H534" s="2" t="b">
        <v>1</v>
      </c>
      <c r="I534" s="2">
        <v>-1.0</v>
      </c>
      <c r="J534" s="2" t="b">
        <v>0</v>
      </c>
      <c r="K534" s="2" t="b">
        <v>0</v>
      </c>
      <c r="L534" s="2" t="b">
        <v>0</v>
      </c>
      <c r="M534" s="2" t="b">
        <v>0</v>
      </c>
      <c r="N534" s="2" t="s">
        <v>33</v>
      </c>
      <c r="O534" s="2">
        <v>17.0</v>
      </c>
      <c r="P534" s="2">
        <v>0.0</v>
      </c>
      <c r="Q534" s="2">
        <v>6.0</v>
      </c>
      <c r="R534" s="2">
        <v>0.0</v>
      </c>
      <c r="S534" s="3" t="s">
        <v>2199</v>
      </c>
      <c r="T534" s="2" t="s">
        <v>2200</v>
      </c>
      <c r="Y534" s="4" t="str">
        <f>IFERROR(__xludf.DUMMYFUNCTION("""COMPUTED_VALUE"""),"6.7284914")</f>
        <v>6.7284914</v>
      </c>
      <c r="Z534" s="4" t="str">
        <f>IFERROR(__xludf.DUMMYFUNCTION("""COMPUTED_VALUE"""),"3.1679257")</f>
        <v>3.1679257</v>
      </c>
      <c r="AA534" s="4" t="str">
        <f t="shared" si="1"/>
        <v>Neighbor</v>
      </c>
      <c r="AC534" s="4">
        <f>IFERROR(__xludf.DUMMYFUNCTION("IFERROR(ABS(O534-AVERAGE(FILTER(O534:O4602,AA534:AA4602=""Neighbor""))) / STDEV(FILTER(O534:O4602, AA534:AA4602 =""Neighbor"")), """")"),1.1298954454184877)</f>
        <v>1.129895445</v>
      </c>
      <c r="AD534" s="4">
        <f>IFERROR(__xludf.DUMMYFUNCTION("IFERROR(ABS(P534-AVERAGE(FILTER(O534:P4602,AA534:AA4602=""Neighbor""))) / STDEV(FILTER(P534:P4602, AA534:AA4602 =""Neighbor"")), """")"),1.6198123532476618)</f>
        <v>1.619812353</v>
      </c>
      <c r="AE534" s="2">
        <f>IFERROR(__xludf.DUMMYFUNCTION("IFERROR(ABS(Q534-AVERAGE(FILTER(Q534:Q4602,AA534:AA4602=""Neighbor""))) / STDEV(FILTER(Q534:Q4602, AA534:AA4602 =""Neighbor"")), """")"),0.7996467815607603)</f>
        <v>0.7996467816</v>
      </c>
      <c r="AF534" s="2">
        <f>IFERROR(__xludf.DUMMYFUNCTION("IFERROR(ABS(R534-AVERAGE(FILTER(R534:R4602,AA534:AA4602=""Neighbor""))) / STDEV(FILTER(R534:R4602, AA534:AA4602 =""Neighbor"")), """")"),0.09667980855074508)</f>
        <v>0.09667980855</v>
      </c>
    </row>
    <row r="535">
      <c r="A535" s="2" t="s">
        <v>28</v>
      </c>
      <c r="B535" s="2" t="s">
        <v>1711</v>
      </c>
      <c r="C535" s="2" t="s">
        <v>2152</v>
      </c>
      <c r="D535" s="2" t="s">
        <v>2201</v>
      </c>
      <c r="E535" s="2" t="s">
        <v>2202</v>
      </c>
      <c r="F535" s="2">
        <v>117.0</v>
      </c>
      <c r="G535" s="2">
        <v>955.0</v>
      </c>
      <c r="H535" s="2" t="b">
        <v>1</v>
      </c>
      <c r="I535" s="2">
        <v>-1.0</v>
      </c>
      <c r="J535" s="2" t="b">
        <v>0</v>
      </c>
      <c r="K535" s="2" t="b">
        <v>0</v>
      </c>
      <c r="L535" s="2" t="b">
        <v>0</v>
      </c>
      <c r="M535" s="2" t="b">
        <v>0</v>
      </c>
      <c r="N535" s="2" t="s">
        <v>33</v>
      </c>
      <c r="O535" s="2">
        <v>72.0</v>
      </c>
      <c r="P535" s="2">
        <v>17.0</v>
      </c>
      <c r="Q535" s="2">
        <v>19.0</v>
      </c>
      <c r="R535" s="2">
        <v>0.0</v>
      </c>
      <c r="S535" s="3" t="s">
        <v>2203</v>
      </c>
      <c r="T535" s="2" t="s">
        <v>2204</v>
      </c>
      <c r="Y535" s="4" t="str">
        <f>IFERROR(__xludf.DUMMYFUNCTION("""COMPUTED_VALUE"""),"6.7284914")</f>
        <v>6.7284914</v>
      </c>
      <c r="Z535" s="4" t="str">
        <f>IFERROR(__xludf.DUMMYFUNCTION("""COMPUTED_VALUE"""),"3.1679257")</f>
        <v>3.1679257</v>
      </c>
      <c r="AA535" s="4" t="str">
        <f t="shared" si="1"/>
        <v>Not Neighbor</v>
      </c>
      <c r="AC535" s="4">
        <f>IFERROR(__xludf.DUMMYFUNCTION("IFERROR(ABS(O535-AVERAGE(FILTER(O535:O4603,AA535:AA4603=""Neighbor""))) / STDEV(FILTER(O535:O4603, AA535:AA4603 =""Neighbor"")), """")"),0.13833846373498498)</f>
        <v>0.1383384637</v>
      </c>
      <c r="AD535" s="4">
        <f>IFERROR(__xludf.DUMMYFUNCTION("IFERROR(ABS(P535-AVERAGE(FILTER(O535:P4603,AA535:AA4603=""Neighbor""))) / STDEV(FILTER(P535:P4603, AA535:AA4603 =""Neighbor"")), """")"),0.9468535727404881)</f>
        <v>0.9468535727</v>
      </c>
      <c r="AE535" s="2">
        <f>IFERROR(__xludf.DUMMYFUNCTION("IFERROR(ABS(Q535-AVERAGE(FILTER(Q535:Q4603,AA535:AA4603=""Neighbor""))) / STDEV(FILTER(Q535:Q4603, AA535:AA4603 =""Neighbor"")), """")"),0.2654050764474005)</f>
        <v>0.2654050764</v>
      </c>
      <c r="AF535" s="2">
        <f>IFERROR(__xludf.DUMMYFUNCTION("IFERROR(ABS(R535-AVERAGE(FILTER(R535:R4603,AA535:AA4603=""Neighbor""))) / STDEV(FILTER(R535:R4603, AA535:AA4603 =""Neighbor"")), """")"),0.0967128602279747)</f>
        <v>0.09671286023</v>
      </c>
    </row>
    <row r="536">
      <c r="A536" s="2" t="s">
        <v>28</v>
      </c>
      <c r="B536" s="2" t="s">
        <v>1711</v>
      </c>
      <c r="C536" s="2" t="s">
        <v>2152</v>
      </c>
      <c r="D536" s="2" t="s">
        <v>2205</v>
      </c>
      <c r="E536" s="2" t="s">
        <v>2206</v>
      </c>
      <c r="F536" s="2">
        <v>265.0</v>
      </c>
      <c r="G536" s="2">
        <v>3219.0</v>
      </c>
      <c r="H536" s="2" t="b">
        <v>1</v>
      </c>
      <c r="I536" s="2">
        <v>-1.0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s">
        <v>33</v>
      </c>
      <c r="O536" s="2">
        <v>155.0</v>
      </c>
      <c r="P536" s="2">
        <v>63.0</v>
      </c>
      <c r="Q536" s="2">
        <v>17.0</v>
      </c>
      <c r="R536" s="2">
        <v>0.0</v>
      </c>
      <c r="S536" s="3" t="s">
        <v>2207</v>
      </c>
      <c r="T536" s="2" t="s">
        <v>2208</v>
      </c>
      <c r="Y536" s="4" t="str">
        <f>IFERROR(__xludf.DUMMYFUNCTION("""COMPUTED_VALUE"""),"6.7163185")</f>
        <v>6.7163185</v>
      </c>
      <c r="Z536" s="4" t="str">
        <f>IFERROR(__xludf.DUMMYFUNCTION("""COMPUTED_VALUE"""),"3.2034815")</f>
        <v>3.2034815</v>
      </c>
      <c r="AA536" s="4" t="str">
        <f t="shared" si="1"/>
        <v>Not Neighbor</v>
      </c>
      <c r="AC536" s="4">
        <f>IFERROR(__xludf.DUMMYFUNCTION("IFERROR(ABS(O536-AVERAGE(FILTER(O536:O4604,AA536:AA4604=""Neighbor""))) / STDEV(FILTER(O536:O4604, AA536:AA4604 =""Neighbor"")), """")"),2.0535353904290403)</f>
        <v>2.05353539</v>
      </c>
      <c r="AD536" s="4">
        <f>IFERROR(__xludf.DUMMYFUNCTION("IFERROR(ABS(P536-AVERAGE(FILTER(O536:P4604,AA536:AA4604=""Neighbor""))) / STDEV(FILTER(P536:P4604, AA536:AA4604 =""Neighbor"")), """")"),0.875542425002711)</f>
        <v>0.875542425</v>
      </c>
      <c r="AE536" s="2">
        <f>IFERROR(__xludf.DUMMYFUNCTION("IFERROR(ABS(Q536-AVERAGE(FILTER(Q536:Q4604,AA536:AA4604=""Neighbor""))) / STDEV(FILTER(Q536:Q4604, AA536:AA4604 =""Neighbor"")), """")"),0.34766447711138787)</f>
        <v>0.3476644771</v>
      </c>
      <c r="AF536" s="2">
        <f>IFERROR(__xludf.DUMMYFUNCTION("IFERROR(ABS(R536-AVERAGE(FILTER(R536:R4604,AA536:AA4604=""Neighbor""))) / STDEV(FILTER(R536:R4604, AA536:AA4604 =""Neighbor"")), """")"),0.0967128602279747)</f>
        <v>0.09671286023</v>
      </c>
    </row>
    <row r="537">
      <c r="A537" s="2" t="s">
        <v>28</v>
      </c>
      <c r="B537" s="2" t="s">
        <v>1711</v>
      </c>
      <c r="C537" s="2" t="s">
        <v>2152</v>
      </c>
      <c r="D537" s="2" t="s">
        <v>2209</v>
      </c>
      <c r="E537" s="2" t="s">
        <v>2210</v>
      </c>
      <c r="F537" s="2">
        <v>186.0</v>
      </c>
      <c r="G537" s="2">
        <v>1238.0</v>
      </c>
      <c r="H537" s="2" t="b">
        <v>1</v>
      </c>
      <c r="I537" s="2">
        <v>-1.0</v>
      </c>
      <c r="J537" s="2" t="b">
        <v>0</v>
      </c>
      <c r="K537" s="2" t="b">
        <v>0</v>
      </c>
      <c r="L537" s="2" t="b">
        <v>0</v>
      </c>
      <c r="M537" s="2" t="b">
        <v>0</v>
      </c>
      <c r="N537" s="2" t="s">
        <v>33</v>
      </c>
      <c r="O537" s="2">
        <v>108.0</v>
      </c>
      <c r="P537" s="2">
        <v>42.0</v>
      </c>
      <c r="Q537" s="2">
        <v>12.0</v>
      </c>
      <c r="R537" s="2">
        <v>0.0</v>
      </c>
      <c r="S537" s="3" t="s">
        <v>2211</v>
      </c>
      <c r="T537" s="2" t="s">
        <v>2212</v>
      </c>
      <c r="Y537" s="4" t="str">
        <f>IFERROR(__xludf.DUMMYFUNCTION("""COMPUTED_VALUE"""),"6.7284914")</f>
        <v>6.7284914</v>
      </c>
      <c r="Z537" s="4" t="str">
        <f>IFERROR(__xludf.DUMMYFUNCTION("""COMPUTED_VALUE"""),"3.1679257")</f>
        <v>3.1679257</v>
      </c>
      <c r="AA537" s="4" t="str">
        <f t="shared" si="1"/>
        <v>Not Neighbor</v>
      </c>
      <c r="AC537" s="4">
        <f>IFERROR(__xludf.DUMMYFUNCTION("IFERROR(ABS(O537-AVERAGE(FILTER(O537:O4605,AA537:AA4605=""Neighbor""))) / STDEV(FILTER(O537:O4605, AA537:AA4605 =""Neighbor"")), """")"),0.9690262873613222)</f>
        <v>0.9690262874</v>
      </c>
      <c r="AD537" s="4">
        <f>IFERROR(__xludf.DUMMYFUNCTION("IFERROR(ABS(P537-AVERAGE(FILTER(O537:P4605,AA537:AA4605=""Neighbor""))) / STDEV(FILTER(P537:P4605, AA537:AA4605 =""Neighbor"")), """")"),0.043579034728641775)</f>
        <v>0.04357903473</v>
      </c>
      <c r="AE537" s="2">
        <f>IFERROR(__xludf.DUMMYFUNCTION("IFERROR(ABS(Q537-AVERAGE(FILTER(Q537:Q4605,AA537:AA4605=""Neighbor""))) / STDEV(FILTER(Q537:Q4605, AA537:AA4605 =""Neighbor"")), """")"),0.5533129787713562)</f>
        <v>0.5533129788</v>
      </c>
      <c r="AF537" s="2">
        <f>IFERROR(__xludf.DUMMYFUNCTION("IFERROR(ABS(R537-AVERAGE(FILTER(R537:R4605,AA537:AA4605=""Neighbor""))) / STDEV(FILTER(R537:R4605, AA537:AA4605 =""Neighbor"")), """")"),0.0967128602279747)</f>
        <v>0.09671286023</v>
      </c>
    </row>
    <row r="538">
      <c r="A538" s="2" t="s">
        <v>28</v>
      </c>
      <c r="B538" s="2" t="s">
        <v>1711</v>
      </c>
      <c r="C538" s="2" t="s">
        <v>2213</v>
      </c>
      <c r="D538" s="2" t="s">
        <v>2214</v>
      </c>
      <c r="E538" s="2" t="s">
        <v>2215</v>
      </c>
      <c r="F538" s="2">
        <v>222.0</v>
      </c>
      <c r="G538" s="2">
        <v>795.0</v>
      </c>
      <c r="H538" s="2" t="b">
        <v>1</v>
      </c>
      <c r="I538" s="2">
        <v>-1.0</v>
      </c>
      <c r="J538" s="2" t="b">
        <v>0</v>
      </c>
      <c r="K538" s="2" t="b">
        <v>0</v>
      </c>
      <c r="L538" s="2" t="b">
        <v>0</v>
      </c>
      <c r="M538" s="2" t="b">
        <v>0</v>
      </c>
      <c r="N538" s="2" t="s">
        <v>33</v>
      </c>
      <c r="O538" s="2">
        <v>157.0</v>
      </c>
      <c r="P538" s="2">
        <v>21.0</v>
      </c>
      <c r="Q538" s="2">
        <v>31.0</v>
      </c>
      <c r="R538" s="2">
        <v>0.0</v>
      </c>
      <c r="S538" s="3" t="s">
        <v>2216</v>
      </c>
      <c r="T538" s="2" t="s">
        <v>2217</v>
      </c>
      <c r="Y538" s="4" t="str">
        <f>IFERROR(__xludf.DUMMYFUNCTION("""COMPUTED_VALUE"""),"6.5811824")</f>
        <v>6.5811824</v>
      </c>
      <c r="Z538" s="4" t="str">
        <f>IFERROR(__xludf.DUMMYFUNCTION("""COMPUTED_VALUE"""),"2.930951")</f>
        <v>2.930951</v>
      </c>
      <c r="AA538" s="4" t="str">
        <f t="shared" si="1"/>
        <v>Neighbor</v>
      </c>
      <c r="AC538" s="4">
        <f>IFERROR(__xludf.DUMMYFUNCTION("IFERROR(ABS(O538-AVERAGE(FILTER(O538:O4606,AA538:AA4606=""Neighbor""))) / STDEV(FILTER(O538:O4606, AA538:AA4606 =""Neighbor"")), """")"),2.099684713963837)</f>
        <v>2.099684714</v>
      </c>
      <c r="AD538" s="4">
        <f>IFERROR(__xludf.DUMMYFUNCTION("IFERROR(ABS(P538-AVERAGE(FILTER(O538:P4606,AA538:AA4606=""Neighbor""))) / STDEV(FILTER(P538:P4606, AA538:AA4606 =""Neighbor"")), """")"),0.7883843555454274)</f>
        <v>0.7883843555</v>
      </c>
      <c r="AE538" s="2">
        <f>IFERROR(__xludf.DUMMYFUNCTION("IFERROR(ABS(Q538-AVERAGE(FILTER(Q538:Q4606,AA538:AA4606=""Neighbor""))) / STDEV(FILTER(Q538:Q4606, AA538:AA4606 =""Neighbor"")), """")"),0.2281513275365236)</f>
        <v>0.2281513275</v>
      </c>
      <c r="AF538" s="2">
        <f>IFERROR(__xludf.DUMMYFUNCTION("IFERROR(ABS(R538-AVERAGE(FILTER(R538:R4606,AA538:AA4606=""Neighbor""))) / STDEV(FILTER(R538:R4606, AA538:AA4606 =""Neighbor"")), """")"),0.0967128602279747)</f>
        <v>0.09671286023</v>
      </c>
    </row>
    <row r="539">
      <c r="A539" s="2" t="s">
        <v>28</v>
      </c>
      <c r="B539" s="2" t="s">
        <v>1711</v>
      </c>
      <c r="C539" s="2" t="s">
        <v>2213</v>
      </c>
      <c r="D539" s="2" t="s">
        <v>2218</v>
      </c>
      <c r="E539" s="2" t="s">
        <v>2219</v>
      </c>
      <c r="F539" s="2">
        <v>149.0</v>
      </c>
      <c r="G539" s="2">
        <v>635.0</v>
      </c>
      <c r="H539" s="2" t="b">
        <v>1</v>
      </c>
      <c r="I539" s="2">
        <v>-1.0</v>
      </c>
      <c r="J539" s="2" t="b">
        <v>0</v>
      </c>
      <c r="K539" s="2" t="b">
        <v>0</v>
      </c>
      <c r="L539" s="2" t="b">
        <v>0</v>
      </c>
      <c r="M539" s="2" t="b">
        <v>0</v>
      </c>
      <c r="N539" s="2" t="s">
        <v>33</v>
      </c>
      <c r="O539" s="2">
        <v>108.0</v>
      </c>
      <c r="P539" s="2">
        <v>5.0</v>
      </c>
      <c r="Q539" s="2">
        <v>33.0</v>
      </c>
      <c r="R539" s="2">
        <v>0.0</v>
      </c>
      <c r="S539" s="3" t="s">
        <v>2220</v>
      </c>
      <c r="T539" s="2" t="s">
        <v>2221</v>
      </c>
      <c r="Y539" s="4" t="str">
        <f>IFERROR(__xludf.DUMMYFUNCTION("""COMPUTED_VALUE"""),"6.5811824")</f>
        <v>6.5811824</v>
      </c>
      <c r="Z539" s="4" t="str">
        <f>IFERROR(__xludf.DUMMYFUNCTION("""COMPUTED_VALUE"""),"2.930951")</f>
        <v>2.930951</v>
      </c>
      <c r="AA539" s="4" t="str">
        <f t="shared" si="1"/>
        <v>Not Neighbor</v>
      </c>
      <c r="AC539" s="4">
        <f>IFERROR(__xludf.DUMMYFUNCTION("IFERROR(ABS(O539-AVERAGE(FILTER(O539:O4607,AA539:AA4607=""Neighbor""))) / STDEV(FILTER(O539:O4607, AA539:AA4607 =""Neighbor"")), """")"),0.9715765716800862)</f>
        <v>0.9715765717</v>
      </c>
      <c r="AD539" s="4">
        <f>IFERROR(__xludf.DUMMYFUNCTION("IFERROR(ABS(P539-AVERAGE(FILTER(O539:P4607,AA539:AA4607=""Neighbor""))) / STDEV(FILTER(P539:P4607, AA539:AA4607 =""Neighbor"")), """")"),1.4205068294104348)</f>
        <v>1.420506829</v>
      </c>
      <c r="AE539" s="2">
        <f>IFERROR(__xludf.DUMMYFUNCTION("IFERROR(ABS(Q539-AVERAGE(FILTER(Q539:Q4607,AA539:AA4607=""Neighbor""))) / STDEV(FILTER(Q539:Q4607, AA539:AA4607 =""Neighbor"")), """")"),0.3104656319434781)</f>
        <v>0.3104656319</v>
      </c>
      <c r="AF539" s="2">
        <f>IFERROR(__xludf.DUMMYFUNCTION("IFERROR(ABS(R539-AVERAGE(FILTER(R539:R4607,AA539:AA4607=""Neighbor""))) / STDEV(FILTER(R539:R4607, AA539:AA4607 =""Neighbor"")), """")"),0.09674594582653559)</f>
        <v>0.09674594583</v>
      </c>
    </row>
    <row r="540">
      <c r="A540" s="2" t="s">
        <v>28</v>
      </c>
      <c r="B540" s="2" t="s">
        <v>1711</v>
      </c>
      <c r="C540" s="2" t="s">
        <v>2213</v>
      </c>
      <c r="D540" s="2" t="s">
        <v>2222</v>
      </c>
      <c r="E540" s="2" t="s">
        <v>2223</v>
      </c>
      <c r="F540" s="2">
        <v>104.0</v>
      </c>
      <c r="G540" s="2">
        <v>326.0</v>
      </c>
      <c r="H540" s="2" t="b">
        <v>1</v>
      </c>
      <c r="I540" s="2">
        <v>-1.0</v>
      </c>
      <c r="J540" s="2" t="b">
        <v>1</v>
      </c>
      <c r="K540" s="2" t="b">
        <v>0</v>
      </c>
      <c r="L540" s="2" t="b">
        <v>0</v>
      </c>
      <c r="M540" s="2" t="b">
        <v>0</v>
      </c>
      <c r="N540" s="2" t="s">
        <v>33</v>
      </c>
      <c r="O540" s="2">
        <v>66.0</v>
      </c>
      <c r="P540" s="2">
        <v>5.0</v>
      </c>
      <c r="Q540" s="2">
        <v>23.0</v>
      </c>
      <c r="R540" s="2">
        <v>0.0</v>
      </c>
      <c r="S540" s="3" t="s">
        <v>2224</v>
      </c>
      <c r="T540" s="2" t="s">
        <v>2225</v>
      </c>
      <c r="Y540" s="4" t="str">
        <f>IFERROR(__xludf.DUMMYFUNCTION("""COMPUTED_VALUE"""),"6.6117244")</f>
        <v>6.6117244</v>
      </c>
      <c r="Z540" s="4" t="str">
        <f>IFERROR(__xludf.DUMMYFUNCTION("""COMPUTED_VALUE"""),"3.0016236")</f>
        <v>3.0016236</v>
      </c>
      <c r="AA540" s="4" t="str">
        <f t="shared" si="1"/>
        <v>Neighbor</v>
      </c>
      <c r="AC540" s="4">
        <f>IFERROR(__xludf.DUMMYFUNCTION("IFERROR(ABS(O540-AVERAGE(FILTER(O540:O4608,AA540:AA4608=""Neighbor""))) / STDEV(FILTER(O540:O4608, AA540:AA4608 =""Neighbor"")), """")"),0.0013164994196206915)</f>
        <v>0.00131649942</v>
      </c>
      <c r="AD540" s="4">
        <f>IFERROR(__xludf.DUMMYFUNCTION("IFERROR(ABS(P540-AVERAGE(FILTER(O540:P4608,AA540:AA4608=""Neighbor""))) / STDEV(FILTER(P540:P4608, AA540:AA4608 =""Neighbor"")), """")"),1.4205068294104348)</f>
        <v>1.420506829</v>
      </c>
      <c r="AE540" s="2">
        <f>IFERROR(__xludf.DUMMYFUNCTION("IFERROR(ABS(Q540-AVERAGE(FILTER(Q540:Q4608,AA540:AA4608=""Neighbor""))) / STDEV(FILTER(Q540:Q4608, AA540:AA4608 =""Neighbor"")), """")"),0.10069909535633018)</f>
        <v>0.1006990954</v>
      </c>
      <c r="AF540" s="2">
        <f>IFERROR(__xludf.DUMMYFUNCTION("IFERROR(ABS(R540-AVERAGE(FILTER(R540:R4608,AA540:AA4608=""Neighbor""))) / STDEV(FILTER(R540:R4608, AA540:AA4608 =""Neighbor"")), """")"),0.09674594582653559)</f>
        <v>0.09674594583</v>
      </c>
    </row>
    <row r="541">
      <c r="A541" s="2" t="s">
        <v>28</v>
      </c>
      <c r="B541" s="2" t="s">
        <v>1711</v>
      </c>
      <c r="C541" s="2" t="s">
        <v>2213</v>
      </c>
      <c r="D541" s="2" t="s">
        <v>2226</v>
      </c>
      <c r="E541" s="2" t="s">
        <v>2227</v>
      </c>
      <c r="F541" s="2">
        <v>94.0</v>
      </c>
      <c r="G541" s="2">
        <v>244.0</v>
      </c>
      <c r="H541" s="2" t="b">
        <v>1</v>
      </c>
      <c r="I541" s="2">
        <v>-1.0</v>
      </c>
      <c r="J541" s="2" t="b">
        <v>1</v>
      </c>
      <c r="K541" s="2" t="b">
        <v>1</v>
      </c>
      <c r="L541" s="2" t="b">
        <v>0</v>
      </c>
      <c r="M541" s="2" t="b">
        <v>0</v>
      </c>
      <c r="N541" s="2" t="s">
        <v>33</v>
      </c>
      <c r="O541" s="2">
        <v>49.0</v>
      </c>
      <c r="P541" s="2">
        <v>1.0</v>
      </c>
      <c r="Q541" s="2">
        <v>37.0</v>
      </c>
      <c r="R541" s="2">
        <v>0.0</v>
      </c>
      <c r="S541" s="3" t="s">
        <v>2228</v>
      </c>
      <c r="T541" s="2" t="s">
        <v>2229</v>
      </c>
      <c r="Y541" s="4" t="str">
        <f>IFERROR(__xludf.DUMMYFUNCTION("""COMPUTED_VALUE"""),"6.6117244")</f>
        <v>6.6117244</v>
      </c>
      <c r="Z541" s="4" t="str">
        <f>IFERROR(__xludf.DUMMYFUNCTION("""COMPUTED_VALUE"""),"3.0016236")</f>
        <v>3.0016236</v>
      </c>
      <c r="AA541" s="4" t="str">
        <f t="shared" si="1"/>
        <v>Not Neighbor</v>
      </c>
      <c r="AC541" s="4">
        <f>IFERROR(__xludf.DUMMYFUNCTION("IFERROR(ABS(O541-AVERAGE(FILTER(O541:O4609,AA541:AA4609=""Neighbor""))) / STDEV(FILTER(O541:O4609, AA541:AA4609 =""Neighbor"")), """")"),0.39127403900024216)</f>
        <v>0.391274039</v>
      </c>
      <c r="AD541" s="4">
        <f>IFERROR(__xludf.DUMMYFUNCTION("IFERROR(ABS(P541-AVERAGE(FILTER(O541:P4609,AA541:AA4609=""Neighbor""))) / STDEV(FILTER(P541:P4609, AA541:AA4609 =""Neighbor"")), """")"),1.5786307403270925)</f>
        <v>1.57863074</v>
      </c>
      <c r="AE541" s="2">
        <f>IFERROR(__xludf.DUMMYFUNCTION("IFERROR(ABS(Q541-AVERAGE(FILTER(Q541:Q4609,AA541:AA4609=""Neighbor""))) / STDEV(FILTER(Q541:Q4609, AA541:AA4609 =""Neighbor"")), """")"),0.4747035781737791)</f>
        <v>0.4747035782</v>
      </c>
      <c r="AF541" s="2">
        <f>IFERROR(__xludf.DUMMYFUNCTION("IFERROR(ABS(R541-AVERAGE(FILTER(R541:R4609,AA541:AA4609=""Neighbor""))) / STDEV(FILTER(R541:R4609, AA541:AA4609 =""Neighbor"")), """")"),0.09677906540449097)</f>
        <v>0.0967790654</v>
      </c>
    </row>
    <row r="542">
      <c r="A542" s="2" t="s">
        <v>28</v>
      </c>
      <c r="B542" s="2" t="s">
        <v>1711</v>
      </c>
      <c r="C542" s="2" t="s">
        <v>2213</v>
      </c>
      <c r="D542" s="2" t="s">
        <v>2230</v>
      </c>
      <c r="E542" s="2" t="s">
        <v>2231</v>
      </c>
      <c r="F542" s="2">
        <v>76.0</v>
      </c>
      <c r="G542" s="2">
        <v>288.0</v>
      </c>
      <c r="H542" s="2" t="b">
        <v>1</v>
      </c>
      <c r="I542" s="2">
        <v>-1.0</v>
      </c>
      <c r="J542" s="2" t="b">
        <v>0</v>
      </c>
      <c r="K542" s="2" t="b">
        <v>0</v>
      </c>
      <c r="L542" s="2" t="b">
        <v>0</v>
      </c>
      <c r="M542" s="2" t="b">
        <v>0</v>
      </c>
      <c r="N542" s="2" t="s">
        <v>33</v>
      </c>
      <c r="O542" s="2">
        <v>53.0</v>
      </c>
      <c r="P542" s="2">
        <v>3.0</v>
      </c>
      <c r="Q542" s="2">
        <v>15.0</v>
      </c>
      <c r="R542" s="2">
        <v>0.0</v>
      </c>
      <c r="S542" s="3" t="s">
        <v>2232</v>
      </c>
      <c r="T542" s="2" t="s">
        <v>2233</v>
      </c>
      <c r="Y542" s="4" t="str">
        <f>IFERROR(__xludf.DUMMYFUNCTION("""COMPUTED_VALUE"""),"6.5831444")</f>
        <v>6.5831444</v>
      </c>
      <c r="Z542" s="4" t="str">
        <f>IFERROR(__xludf.DUMMYFUNCTION("""COMPUTED_VALUE"""),"2.930081")</f>
        <v>2.930081</v>
      </c>
      <c r="AA542" s="4" t="str">
        <f t="shared" si="1"/>
        <v>Neighbor</v>
      </c>
      <c r="AC542" s="4">
        <f>IFERROR(__xludf.DUMMYFUNCTION("IFERROR(ABS(O542-AVERAGE(FILTER(O542:O4610,AA542:AA4610=""Neighbor""))) / STDEV(FILTER(O542:O4610, AA542:AA4610 =""Neighbor"")), """")"),0.2988996896077099)</f>
        <v>0.2988996896</v>
      </c>
      <c r="AD542" s="4">
        <f>IFERROR(__xludf.DUMMYFUNCTION("IFERROR(ABS(P542-AVERAGE(FILTER(O542:P4610,AA542:AA4610=""Neighbor""))) / STDEV(FILTER(P542:P4610, AA542:AA4610 =""Neighbor"")), """")"),1.4994438484319177)</f>
        <v>1.499443848</v>
      </c>
      <c r="AE542" s="2">
        <f>IFERROR(__xludf.DUMMYFUNCTION("IFERROR(ABS(Q542-AVERAGE(FILTER(Q542:Q4610,AA542:AA4610=""Neighbor""))) / STDEV(FILTER(Q542:Q4610, AA542:AA4610 =""Neighbor"")), """")"),0.42955483672743694)</f>
        <v>0.4295548367</v>
      </c>
      <c r="AF542" s="2">
        <f>IFERROR(__xludf.DUMMYFUNCTION("IFERROR(ABS(R542-AVERAGE(FILTER(R542:R4610,AA542:AA4610=""Neighbor""))) / STDEV(FILTER(R542:R4610, AA542:AA4610 =""Neighbor"")), """")"),0.09677906540449097)</f>
        <v>0.0967790654</v>
      </c>
    </row>
    <row r="543">
      <c r="A543" s="2" t="s">
        <v>28</v>
      </c>
      <c r="B543" s="2" t="s">
        <v>1711</v>
      </c>
      <c r="C543" s="2" t="s">
        <v>2213</v>
      </c>
      <c r="D543" s="2" t="s">
        <v>2234</v>
      </c>
      <c r="E543" s="2" t="s">
        <v>2235</v>
      </c>
      <c r="F543" s="2">
        <v>101.0</v>
      </c>
      <c r="G543" s="2">
        <v>357.0</v>
      </c>
      <c r="H543" s="2" t="b">
        <v>1</v>
      </c>
      <c r="I543" s="2">
        <v>-1.0</v>
      </c>
      <c r="J543" s="2" t="b">
        <v>1</v>
      </c>
      <c r="K543" s="2" t="b">
        <v>0</v>
      </c>
      <c r="L543" s="2" t="b">
        <v>0</v>
      </c>
      <c r="M543" s="2" t="b">
        <v>0</v>
      </c>
      <c r="N543" s="2" t="s">
        <v>33</v>
      </c>
      <c r="O543" s="2">
        <v>69.0</v>
      </c>
      <c r="P543" s="2">
        <v>5.0</v>
      </c>
      <c r="Q543" s="2">
        <v>19.0</v>
      </c>
      <c r="R543" s="2">
        <v>0.0</v>
      </c>
      <c r="S543" s="3" t="s">
        <v>2236</v>
      </c>
      <c r="T543" s="2" t="s">
        <v>2237</v>
      </c>
      <c r="Y543" s="4" t="str">
        <f>IFERROR(__xludf.DUMMYFUNCTION("""COMPUTED_VALUE"""),"6.5831444")</f>
        <v>6.5831444</v>
      </c>
      <c r="Z543" s="4" t="str">
        <f>IFERROR(__xludf.DUMMYFUNCTION("""COMPUTED_VALUE"""),"2.930081")</f>
        <v>2.930081</v>
      </c>
      <c r="AA543" s="4" t="str">
        <f t="shared" si="1"/>
        <v>Not Neighbor</v>
      </c>
      <c r="AC543" s="4">
        <f>IFERROR(__xludf.DUMMYFUNCTION("IFERROR(ABS(O543-AVERAGE(FILTER(O543:O4611,AA543:AA4611=""Neighbor""))) / STDEV(FILTER(O543:O4611, AA543:AA4611 =""Neighbor"")), """")"),0.07037287289491684)</f>
        <v>0.07037287289</v>
      </c>
      <c r="AD543" s="4">
        <f>IFERROR(__xludf.DUMMYFUNCTION("IFERROR(ABS(P543-AVERAGE(FILTER(O543:P4611,AA543:AA4611=""Neighbor""))) / STDEV(FILTER(P543:P4611, AA543:AA4611 =""Neighbor"")), """")"),1.4202445106414923)</f>
        <v>1.420244511</v>
      </c>
      <c r="AE543" s="2">
        <f>IFERROR(__xludf.DUMMYFUNCTION("IFERROR(ABS(Q543-AVERAGE(FILTER(Q543:Q4611,AA543:AA4611=""Neighbor""))) / STDEV(FILTER(Q543:Q4611, AA543:AA4611 =""Neighbor"")), """")"),0.26536249957671554)</f>
        <v>0.2653624996</v>
      </c>
      <c r="AF543" s="2">
        <f>IFERROR(__xludf.DUMMYFUNCTION("IFERROR(ABS(R543-AVERAGE(FILTER(R543:R4611,AA543:AA4611=""Neighbor""))) / STDEV(FILTER(R543:R4611, AA543:AA4611 =""Neighbor"")), """")"),0.09681221902004322)</f>
        <v>0.09681221902</v>
      </c>
    </row>
    <row r="544">
      <c r="A544" s="2" t="s">
        <v>28</v>
      </c>
      <c r="B544" s="2" t="s">
        <v>1711</v>
      </c>
      <c r="C544" s="2" t="s">
        <v>2213</v>
      </c>
      <c r="D544" s="2" t="s">
        <v>2238</v>
      </c>
      <c r="E544" s="2" t="s">
        <v>2239</v>
      </c>
      <c r="F544" s="2">
        <v>61.0</v>
      </c>
      <c r="G544" s="2">
        <v>158.0</v>
      </c>
      <c r="H544" s="2" t="b">
        <v>1</v>
      </c>
      <c r="I544" s="2">
        <v>-1.0</v>
      </c>
      <c r="J544" s="2" t="b">
        <v>1</v>
      </c>
      <c r="K544" s="2" t="b">
        <v>0</v>
      </c>
      <c r="L544" s="2" t="b">
        <v>0</v>
      </c>
      <c r="M544" s="2" t="b">
        <v>0</v>
      </c>
      <c r="N544" s="2" t="s">
        <v>33</v>
      </c>
      <c r="O544" s="2">
        <v>41.0</v>
      </c>
      <c r="P544" s="2">
        <v>1.0</v>
      </c>
      <c r="Q544" s="2">
        <v>12.0</v>
      </c>
      <c r="R544" s="2">
        <v>0.0</v>
      </c>
      <c r="S544" s="3" t="s">
        <v>2240</v>
      </c>
      <c r="T544" s="2" t="s">
        <v>2241</v>
      </c>
      <c r="Y544" s="4" t="str">
        <f>IFERROR(__xludf.DUMMYFUNCTION("""COMPUTED_VALUE"""),"6.5937233")</f>
        <v>6.5937233</v>
      </c>
      <c r="Z544" s="4" t="str">
        <f>IFERROR(__xludf.DUMMYFUNCTION("""COMPUTED_VALUE"""),"2.945068")</f>
        <v>2.945068</v>
      </c>
      <c r="AA544" s="4" t="str">
        <f t="shared" si="1"/>
        <v>Not Neighbor</v>
      </c>
      <c r="AC544" s="4">
        <f>IFERROR(__xludf.DUMMYFUNCTION("IFERROR(ABS(O544-AVERAGE(FILTER(O544:O4612,AA544:AA4612=""Neighbor""))) / STDEV(FILTER(O544:O4612, AA544:AA4612 =""Neighbor"")), """")"),0.5760475258652558)</f>
        <v>0.5760475259</v>
      </c>
      <c r="AD544" s="4">
        <f>IFERROR(__xludf.DUMMYFUNCTION("IFERROR(ABS(P544-AVERAGE(FILTER(O544:P4612,AA544:AA4612=""Neighbor""))) / STDEV(FILTER(P544:P4612, AA544:AA4612 =""Neighbor"")), """")"),1.5785783112408884)</f>
        <v>1.578578311</v>
      </c>
      <c r="AE544" s="2">
        <f>IFERROR(__xludf.DUMMYFUNCTION("IFERROR(ABS(Q544-AVERAGE(FILTER(Q544:Q4612,AA544:AA4612=""Neighbor""))) / STDEV(FILTER(Q544:Q4612, AA544:AA4612 =""Neighbor"")), """")"),0.5530013798248196)</f>
        <v>0.5530013798</v>
      </c>
      <c r="AF544" s="2">
        <f>IFERROR(__xludf.DUMMYFUNCTION("IFERROR(ABS(R544-AVERAGE(FILTER(R544:R4612,AA544:AA4612=""Neighbor""))) / STDEV(FILTER(R544:R4612, AA544:AA4612 =""Neighbor"")), """")"),0.09681221902004322)</f>
        <v>0.09681221902</v>
      </c>
    </row>
    <row r="545">
      <c r="A545" s="2" t="s">
        <v>28</v>
      </c>
      <c r="B545" s="2" t="s">
        <v>1711</v>
      </c>
      <c r="C545" s="2" t="s">
        <v>2213</v>
      </c>
      <c r="D545" s="2" t="s">
        <v>2242</v>
      </c>
      <c r="E545" s="2" t="s">
        <v>2243</v>
      </c>
      <c r="F545" s="2">
        <v>93.0</v>
      </c>
      <c r="G545" s="2">
        <v>307.0</v>
      </c>
      <c r="H545" s="2" t="b">
        <v>1</v>
      </c>
      <c r="I545" s="2">
        <v>-1.0</v>
      </c>
      <c r="J545" s="2" t="b">
        <v>1</v>
      </c>
      <c r="K545" s="2" t="b">
        <v>0</v>
      </c>
      <c r="L545" s="2" t="b">
        <v>1</v>
      </c>
      <c r="M545" s="2" t="b">
        <v>0</v>
      </c>
      <c r="N545" s="2" t="s">
        <v>33</v>
      </c>
      <c r="O545" s="2">
        <v>60.0</v>
      </c>
      <c r="P545" s="2">
        <v>3.0</v>
      </c>
      <c r="Q545" s="2">
        <v>22.0</v>
      </c>
      <c r="R545" s="2">
        <v>0.0</v>
      </c>
      <c r="S545" s="3" t="s">
        <v>2244</v>
      </c>
      <c r="T545" s="2" t="s">
        <v>2245</v>
      </c>
      <c r="Y545" s="4" t="str">
        <f>IFERROR(__xludf.DUMMYFUNCTION("""COMPUTED_VALUE"""),"6.5831444")</f>
        <v>6.5831444</v>
      </c>
      <c r="Z545" s="4" t="str">
        <f>IFERROR(__xludf.DUMMYFUNCTION("""COMPUTED_VALUE"""),"2.930081")</f>
        <v>2.930081</v>
      </c>
      <c r="AA545" s="4" t="str">
        <f t="shared" si="1"/>
        <v>Neighbor</v>
      </c>
      <c r="AC545" s="4">
        <f>IFERROR(__xludf.DUMMYFUNCTION("IFERROR(ABS(O545-AVERAGE(FILTER(O545:O4613,AA545:AA4613=""Neighbor""))) / STDEV(FILTER(O545:O4613, AA545:AA4613 =""Neighbor"")), """")"),0.1374051124208529)</f>
        <v>0.1374051124</v>
      </c>
      <c r="AD545" s="4">
        <f>IFERROR(__xludf.DUMMYFUNCTION("IFERROR(ABS(P545-AVERAGE(FILTER(O545:P4613,AA545:AA4613=""Neighbor""))) / STDEV(FILTER(P545:P4613, AA545:AA4613 =""Neighbor"")), """")"),1.4994114109411902)</f>
        <v>1.499411411</v>
      </c>
      <c r="AE545" s="2">
        <f>IFERROR(__xludf.DUMMYFUNCTION("IFERROR(ABS(Q545-AVERAGE(FILTER(Q545:Q4613,AA545:AA4613=""Neighbor""))) / STDEV(FILTER(Q545:Q4613, AA545:AA4613 =""Neighbor"")), """")"),0.14208869375609953)</f>
        <v>0.1420886938</v>
      </c>
      <c r="AF545" s="2">
        <f>IFERROR(__xludf.DUMMYFUNCTION("IFERROR(ABS(R545-AVERAGE(FILTER(R545:R4613,AA545:AA4613=""Neighbor""))) / STDEV(FILTER(R545:R4613, AA545:AA4613 =""Neighbor"")), """")"),0.09681221902004322)</f>
        <v>0.09681221902</v>
      </c>
    </row>
    <row r="546">
      <c r="A546" s="2" t="s">
        <v>28</v>
      </c>
      <c r="B546" s="2" t="s">
        <v>1711</v>
      </c>
      <c r="C546" s="2" t="s">
        <v>2213</v>
      </c>
      <c r="D546" s="2" t="s">
        <v>2246</v>
      </c>
      <c r="E546" s="2" t="s">
        <v>2247</v>
      </c>
      <c r="F546" s="2">
        <v>103.0</v>
      </c>
      <c r="G546" s="2">
        <v>416.0</v>
      </c>
      <c r="H546" s="2" t="b">
        <v>1</v>
      </c>
      <c r="I546" s="2">
        <v>-1.0</v>
      </c>
      <c r="J546" s="2" t="b">
        <v>0</v>
      </c>
      <c r="K546" s="2" t="b">
        <v>1</v>
      </c>
      <c r="L546" s="2" t="b">
        <v>0</v>
      </c>
      <c r="M546" s="2" t="b">
        <v>0</v>
      </c>
      <c r="N546" s="2" t="s">
        <v>33</v>
      </c>
      <c r="O546" s="2">
        <v>0.0</v>
      </c>
      <c r="P546" s="2">
        <v>0.0</v>
      </c>
      <c r="Q546" s="2">
        <v>0.0</v>
      </c>
      <c r="R546" s="2">
        <v>0.0</v>
      </c>
      <c r="S546" s="3" t="s">
        <v>2248</v>
      </c>
      <c r="T546" s="2" t="s">
        <v>2249</v>
      </c>
      <c r="Y546" s="4" t="str">
        <f>IFERROR(__xludf.DUMMYFUNCTION("""COMPUTED_VALUE"""),"6.5831444")</f>
        <v>6.5831444</v>
      </c>
      <c r="Z546" s="4" t="str">
        <f>IFERROR(__xludf.DUMMYFUNCTION("""COMPUTED_VALUE"""),"2.930081")</f>
        <v>2.930081</v>
      </c>
      <c r="AA546" s="4" t="str">
        <f t="shared" si="1"/>
        <v>Neighbor</v>
      </c>
      <c r="AC546" s="4">
        <f>IFERROR(__xludf.DUMMYFUNCTION("IFERROR(ABS(O546-AVERAGE(FILTER(O546:O4614,AA546:AA4614=""Neighbor""))) / STDEV(FILTER(O546:O4614, AA546:AA4614 =""Neighbor"")), """")"),1.5221772096931416)</f>
        <v>1.52217721</v>
      </c>
      <c r="AD546" s="4">
        <f>IFERROR(__xludf.DUMMYFUNCTION("IFERROR(ABS(P546-AVERAGE(FILTER(O546:P4614,AA546:AA4614=""Neighbor""))) / STDEV(FILTER(P546:P4614, AA546:AA4614 =""Neighbor"")), """")"),1.6180054197701879)</f>
        <v>1.61800542</v>
      </c>
      <c r="AE546" s="2">
        <f>IFERROR(__xludf.DUMMYFUNCTION("IFERROR(ABS(Q546-AVERAGE(FILTER(Q546:Q4614,AA546:AA4614=""Neighbor""))) / STDEV(FILTER(Q546:Q4614, AA546:AA4614 =""Neighbor"")), """")"),1.04584471171333)</f>
        <v>1.045844712</v>
      </c>
      <c r="AF546" s="2">
        <f>IFERROR(__xludf.DUMMYFUNCTION("IFERROR(ABS(R546-AVERAGE(FILTER(R546:R4614,AA546:AA4614=""Neighbor""))) / STDEV(FILTER(R546:R4614, AA546:AA4614 =""Neighbor"")), """")"),0.09684540673153463)</f>
        <v>0.09684540673</v>
      </c>
    </row>
    <row r="547">
      <c r="A547" s="2" t="s">
        <v>28</v>
      </c>
      <c r="B547" s="2" t="s">
        <v>1711</v>
      </c>
      <c r="C547" s="2" t="s">
        <v>2213</v>
      </c>
      <c r="D547" s="2" t="s">
        <v>2250</v>
      </c>
      <c r="E547" s="2" t="s">
        <v>2251</v>
      </c>
      <c r="F547" s="2">
        <v>67.0</v>
      </c>
      <c r="G547" s="2">
        <v>261.0</v>
      </c>
      <c r="H547" s="2" t="b">
        <v>1</v>
      </c>
      <c r="I547" s="2">
        <v>-1.0</v>
      </c>
      <c r="J547" s="2" t="b">
        <v>0</v>
      </c>
      <c r="K547" s="2" t="b">
        <v>0</v>
      </c>
      <c r="L547" s="2" t="b">
        <v>0</v>
      </c>
      <c r="M547" s="2" t="b">
        <v>0</v>
      </c>
      <c r="N547" s="2" t="s">
        <v>33</v>
      </c>
      <c r="O547" s="2">
        <v>44.0</v>
      </c>
      <c r="P547" s="2">
        <v>4.0</v>
      </c>
      <c r="Q547" s="2">
        <v>19.0</v>
      </c>
      <c r="R547" s="2">
        <v>0.0</v>
      </c>
      <c r="S547" s="3" t="s">
        <v>2252</v>
      </c>
      <c r="T547" s="2" t="s">
        <v>2253</v>
      </c>
      <c r="Y547" s="4" t="str">
        <f>IFERROR(__xludf.DUMMYFUNCTION("""COMPUTED_VALUE"""),"6.5831444")</f>
        <v>6.5831444</v>
      </c>
      <c r="Z547" s="4" t="str">
        <f>IFERROR(__xludf.DUMMYFUNCTION("""COMPUTED_VALUE"""),"2.930081")</f>
        <v>2.930081</v>
      </c>
      <c r="AA547" s="4" t="str">
        <f t="shared" si="1"/>
        <v>Not Neighbor</v>
      </c>
      <c r="AC547" s="4">
        <f>IFERROR(__xludf.DUMMYFUNCTION("IFERROR(ABS(O547-AVERAGE(FILTER(O547:O4615,AA547:AA4615=""Neighbor""))) / STDEV(FILTER(O547:O4615, AA547:AA4615 =""Neighbor"")), """")"),0.5079760698929608)</f>
        <v>0.5079760699</v>
      </c>
      <c r="AD547" s="4">
        <f>IFERROR(__xludf.DUMMYFUNCTION("IFERROR(ABS(P547-AVERAGE(FILTER(O547:P4615,AA547:AA4615=""Neighbor""))) / STDEV(FILTER(P547:P4615, AA547:AA4615 =""Neighbor"")), """")"),1.4605100956169192)</f>
        <v>1.460510096</v>
      </c>
      <c r="AE547" s="2">
        <f>IFERROR(__xludf.DUMMYFUNCTION("IFERROR(ABS(Q547-AVERAGE(FILTER(Q547:Q4615,AA547:AA4615=""Neighbor""))) / STDEV(FILTER(Q547:Q4615, AA547:AA4615 =""Neighbor"")), """")"),0.2660906900545898)</f>
        <v>0.2660906901</v>
      </c>
      <c r="AF547" s="2">
        <f>IFERROR(__xludf.DUMMYFUNCTION("IFERROR(ABS(R547-AVERAGE(FILTER(R547:R4615,AA547:AA4615=""Neighbor""))) / STDEV(FILTER(R547:R4615, AA547:AA4615 =""Neighbor"")), """")"),0.09687862859744746)</f>
        <v>0.0968786286</v>
      </c>
    </row>
    <row r="548">
      <c r="A548" s="2" t="s">
        <v>28</v>
      </c>
      <c r="B548" s="2" t="s">
        <v>1711</v>
      </c>
      <c r="C548" s="2" t="s">
        <v>2213</v>
      </c>
      <c r="D548" s="2" t="s">
        <v>2254</v>
      </c>
      <c r="E548" s="2" t="s">
        <v>2255</v>
      </c>
      <c r="F548" s="2">
        <v>150.0</v>
      </c>
      <c r="G548" s="2">
        <v>432.0</v>
      </c>
      <c r="H548" s="2" t="b">
        <v>1</v>
      </c>
      <c r="I548" s="2">
        <v>-1.0</v>
      </c>
      <c r="J548" s="2" t="b">
        <v>1</v>
      </c>
      <c r="K548" s="2" t="b">
        <v>0</v>
      </c>
      <c r="L548" s="2" t="b">
        <v>0</v>
      </c>
      <c r="M548" s="2" t="b">
        <v>0</v>
      </c>
      <c r="N548" s="2" t="s">
        <v>33</v>
      </c>
      <c r="O548" s="2">
        <v>97.0</v>
      </c>
      <c r="P548" s="2">
        <v>2.0</v>
      </c>
      <c r="Q548" s="2">
        <v>41.0</v>
      </c>
      <c r="R548" s="2">
        <v>0.0</v>
      </c>
      <c r="S548" s="3" t="s">
        <v>2256</v>
      </c>
      <c r="T548" s="2" t="s">
        <v>2257</v>
      </c>
      <c r="Y548" s="4" t="str">
        <f>IFERROR(__xludf.DUMMYFUNCTION("""COMPUTED_VALUE"""),"6.5937233")</f>
        <v>6.5937233</v>
      </c>
      <c r="Z548" s="4" t="str">
        <f>IFERROR(__xludf.DUMMYFUNCTION("""COMPUTED_VALUE"""),"2.945068")</f>
        <v>2.945068</v>
      </c>
      <c r="AA548" s="4" t="str">
        <f t="shared" si="1"/>
        <v>Not Neighbor</v>
      </c>
      <c r="AC548" s="4">
        <f>IFERROR(__xludf.DUMMYFUNCTION("IFERROR(ABS(O548-AVERAGE(FILTER(O548:O4616,AA548:AA4616=""Neighbor""))) / STDEV(FILTER(O548:O4616, AA548:AA4616 =""Neighbor"")), """")"),0.7157466228302262)</f>
        <v>0.7157466228</v>
      </c>
      <c r="AD548" s="4">
        <f>IFERROR(__xludf.DUMMYFUNCTION("IFERROR(ABS(P548-AVERAGE(FILTER(O548:P4616,AA548:AA4616=""Neighbor""))) / STDEV(FILTER(P548:P4616, AA548:AA4616 =""Neighbor"")), """")"),1.53964062868452)</f>
        <v>1.539640629</v>
      </c>
      <c r="AE548" s="2">
        <f>IFERROR(__xludf.DUMMYFUNCTION("IFERROR(ABS(Q548-AVERAGE(FILTER(Q548:Q4616,AA548:AA4616=""Neighbor""))) / STDEV(FILTER(Q548:Q4616, AA548:AA4616 =""Neighbor"")), """")"),0.6376451759783268)</f>
        <v>0.637645176</v>
      </c>
      <c r="AF548" s="2">
        <f>IFERROR(__xludf.DUMMYFUNCTION("IFERROR(ABS(R548-AVERAGE(FILTER(R548:R4616,AA548:AA4616=""Neighbor""))) / STDEV(FILTER(R548:R4616, AA548:AA4616 =""Neighbor"")), """")"),0.09687862859744746)</f>
        <v>0.0968786286</v>
      </c>
    </row>
    <row r="549">
      <c r="A549" s="2" t="s">
        <v>28</v>
      </c>
      <c r="B549" s="2" t="s">
        <v>1711</v>
      </c>
      <c r="C549" s="2" t="s">
        <v>2213</v>
      </c>
      <c r="D549" s="2" t="s">
        <v>2258</v>
      </c>
      <c r="E549" s="2" t="s">
        <v>2259</v>
      </c>
      <c r="F549" s="2">
        <v>107.0</v>
      </c>
      <c r="G549" s="2">
        <v>349.0</v>
      </c>
      <c r="H549" s="2" t="b">
        <v>1</v>
      </c>
      <c r="I549" s="2">
        <v>-1.0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s">
        <v>33</v>
      </c>
      <c r="O549" s="2">
        <v>78.0</v>
      </c>
      <c r="P549" s="2">
        <v>7.0</v>
      </c>
      <c r="Q549" s="2">
        <v>16.0</v>
      </c>
      <c r="R549" s="2">
        <v>1.0</v>
      </c>
      <c r="S549" s="3" t="s">
        <v>2260</v>
      </c>
      <c r="T549" s="2" t="s">
        <v>2261</v>
      </c>
      <c r="Y549" s="4" t="str">
        <f>IFERROR(__xludf.DUMMYFUNCTION("""COMPUTED_VALUE"""),"6.5831444")</f>
        <v>6.5831444</v>
      </c>
      <c r="Z549" s="4" t="str">
        <f>IFERROR(__xludf.DUMMYFUNCTION("""COMPUTED_VALUE"""),"2.930081")</f>
        <v>2.930081</v>
      </c>
      <c r="AA549" s="4" t="str">
        <f t="shared" si="1"/>
        <v>Not Neighbor</v>
      </c>
      <c r="AC549" s="4">
        <f>IFERROR(__xludf.DUMMYFUNCTION("IFERROR(ABS(O549-AVERAGE(FILTER(O549:O4617,AA549:AA4617=""Neighbor""))) / STDEV(FILTER(O549:O4617, AA549:AA4617 =""Neighbor"")), """")"),0.2770535820426685)</f>
        <v>0.277053582</v>
      </c>
      <c r="AD549" s="4">
        <f>IFERROR(__xludf.DUMMYFUNCTION("IFERROR(ABS(P549-AVERAGE(FILTER(O549:P4617,AA549:AA4617=""Neighbor""))) / STDEV(FILTER(P549:P4617, AA549:AA4617 =""Neighbor"")), """")"),1.3418142960155184)</f>
        <v>1.341814296</v>
      </c>
      <c r="AE549" s="2">
        <f>IFERROR(__xludf.DUMMYFUNCTION("IFERROR(ABS(Q549-AVERAGE(FILTER(Q549:Q4617,AA549:AA4617=""Neighbor""))) / STDEV(FILTER(Q549:Q4617, AA549:AA4617 =""Neighbor"")), """")"),0.3893273990590784)</f>
        <v>0.3893273991</v>
      </c>
      <c r="AF549" s="2">
        <f>IFERROR(__xludf.DUMMYFUNCTION("IFERROR(ABS(R549-AVERAGE(FILTER(R549:R4617,AA549:AA4617=""Neighbor""))) / STDEV(FILTER(R549:R4617, AA549:AA4617 =""Neighbor"")), """")"),0.0878315971330944)</f>
        <v>0.08783159713</v>
      </c>
    </row>
    <row r="550">
      <c r="A550" s="2" t="s">
        <v>28</v>
      </c>
      <c r="B550" s="2" t="s">
        <v>1711</v>
      </c>
      <c r="C550" s="2" t="s">
        <v>2213</v>
      </c>
      <c r="D550" s="2" t="s">
        <v>2262</v>
      </c>
      <c r="E550" s="2" t="s">
        <v>2263</v>
      </c>
      <c r="F550" s="2">
        <v>109.0</v>
      </c>
      <c r="G550" s="2">
        <v>284.0</v>
      </c>
      <c r="H550" s="2" t="b">
        <v>1</v>
      </c>
      <c r="I550" s="2">
        <v>-1.0</v>
      </c>
      <c r="J550" s="2" t="b">
        <v>0</v>
      </c>
      <c r="K550" s="2" t="b">
        <v>0</v>
      </c>
      <c r="L550" s="2" t="b">
        <v>0</v>
      </c>
      <c r="M550" s="2" t="b">
        <v>0</v>
      </c>
      <c r="N550" s="2" t="s">
        <v>33</v>
      </c>
      <c r="O550" s="2">
        <v>82.0</v>
      </c>
      <c r="P550" s="2">
        <v>0.0</v>
      </c>
      <c r="Q550" s="2">
        <v>21.0</v>
      </c>
      <c r="R550" s="2">
        <v>0.0</v>
      </c>
      <c r="S550" s="3" t="s">
        <v>2264</v>
      </c>
      <c r="T550" s="2" t="s">
        <v>2265</v>
      </c>
      <c r="Y550" s="4" t="str">
        <f>IFERROR(__xludf.DUMMYFUNCTION("""COMPUTED_VALUE"""),"6.5937233")</f>
        <v>6.5937233</v>
      </c>
      <c r="Z550" s="4" t="str">
        <f>IFERROR(__xludf.DUMMYFUNCTION("""COMPUTED_VALUE"""),"2.945068")</f>
        <v>2.945068</v>
      </c>
      <c r="AA550" s="4" t="str">
        <f t="shared" si="1"/>
        <v>Neighbor</v>
      </c>
      <c r="AC550" s="4">
        <f>IFERROR(__xludf.DUMMYFUNCTION("IFERROR(ABS(O550-AVERAGE(FILTER(O550:O4618,AA550:AA4618=""Neighbor""))) / STDEV(FILTER(O550:O4618, AA550:AA4618 =""Neighbor"")), """")"),0.3694100116821543)</f>
        <v>0.3694100117</v>
      </c>
      <c r="AD550" s="4">
        <f>IFERROR(__xludf.DUMMYFUNCTION("IFERROR(ABS(P550-AVERAGE(FILTER(O550:P4618,AA550:AA4618=""Neighbor""))) / STDEV(FILTER(P550:P4618, AA550:AA4618 =""Neighbor"")), """")"),1.6187711617521203)</f>
        <v>1.618771162</v>
      </c>
      <c r="AE550" s="2">
        <f>IFERROR(__xludf.DUMMYFUNCTION("IFERROR(ABS(Q550-AVERAGE(FILTER(Q550:Q4618,AA550:AA4618=""Neighbor""))) / STDEV(FILTER(Q550:Q4618, AA550:AA4618 =""Neighbor"")), """")"),0.18393288405159736)</f>
        <v>0.1839328841</v>
      </c>
      <c r="AF550" s="2">
        <f>IFERROR(__xludf.DUMMYFUNCTION("IFERROR(ABS(R550-AVERAGE(FILTER(R550:R4618,AA550:AA4618=""Neighbor""))) / STDEV(FILTER(R550:R4618, AA550:AA4618 =""Neighbor"")), """")"),0.09687862859744746)</f>
        <v>0.0968786286</v>
      </c>
    </row>
    <row r="551">
      <c r="A551" s="2" t="s">
        <v>28</v>
      </c>
      <c r="B551" s="2" t="s">
        <v>1711</v>
      </c>
      <c r="C551" s="2" t="s">
        <v>2213</v>
      </c>
      <c r="D551" s="2" t="s">
        <v>2266</v>
      </c>
      <c r="E551" s="2" t="s">
        <v>2267</v>
      </c>
      <c r="F551" s="2">
        <v>105.0</v>
      </c>
      <c r="G551" s="2">
        <v>319.0</v>
      </c>
      <c r="H551" s="2" t="b">
        <v>1</v>
      </c>
      <c r="I551" s="2">
        <v>-1.0</v>
      </c>
      <c r="J551" s="2" t="b">
        <v>1</v>
      </c>
      <c r="K551" s="2" t="b">
        <v>0</v>
      </c>
      <c r="L551" s="2" t="b">
        <v>0</v>
      </c>
      <c r="M551" s="2" t="b">
        <v>0</v>
      </c>
      <c r="N551" s="2" t="s">
        <v>33</v>
      </c>
      <c r="O551" s="2">
        <v>78.0</v>
      </c>
      <c r="P551" s="2">
        <v>2.0</v>
      </c>
      <c r="Q551" s="2">
        <v>21.0</v>
      </c>
      <c r="R551" s="2">
        <v>0.0</v>
      </c>
      <c r="S551" s="3" t="s">
        <v>2268</v>
      </c>
      <c r="T551" s="2" t="s">
        <v>2269</v>
      </c>
      <c r="Y551" s="4" t="str">
        <f>IFERROR(__xludf.DUMMYFUNCTION("""COMPUTED_VALUE"""),"6.590545")</f>
        <v>6.590545</v>
      </c>
      <c r="Z551" s="4" t="str">
        <f>IFERROR(__xludf.DUMMYFUNCTION("""COMPUTED_VALUE"""),"2.939635")</f>
        <v>2.939635</v>
      </c>
      <c r="AA551" s="4" t="str">
        <f t="shared" si="1"/>
        <v>Neighbor</v>
      </c>
      <c r="AC551" s="4">
        <f>IFERROR(__xludf.DUMMYFUNCTION("IFERROR(ABS(O551-AVERAGE(FILTER(O551:O4619,AA551:AA4619=""Neighbor""))) / STDEV(FILTER(O551:O4619, AA551:AA4619 =""Neighbor"")), """")"),0.27722353621554974)</f>
        <v>0.2772235362</v>
      </c>
      <c r="AD551" s="4">
        <f>IFERROR(__xludf.DUMMYFUNCTION("IFERROR(ABS(P551-AVERAGE(FILTER(O551:P4619,AA551:AA4619=""Neighbor""))) / STDEV(FILTER(P551:P4619, AA551:AA4619 =""Neighbor"")), """")"),1.5393197860550896)</f>
        <v>1.539319786</v>
      </c>
      <c r="AE551" s="2">
        <f>IFERROR(__xludf.DUMMYFUNCTION("IFERROR(ABS(Q551-AVERAGE(FILTER(Q551:Q4619,AA551:AA4619=""Neighbor""))) / STDEV(FILTER(Q551:Q4619, AA551:AA4619 =""Neighbor"")), """")"),0.18399755576400587)</f>
        <v>0.1839975558</v>
      </c>
      <c r="AF551" s="2">
        <f>IFERROR(__xludf.DUMMYFUNCTION("IFERROR(ABS(R551-AVERAGE(FILTER(R551:R4619,AA551:AA4619=""Neighbor""))) / STDEV(FILTER(R551:R4619, AA551:AA4619 =""Neighbor"")), """")"),0.09691188467640448)</f>
        <v>0.09691188468</v>
      </c>
    </row>
    <row r="552">
      <c r="A552" s="2" t="s">
        <v>28</v>
      </c>
      <c r="B552" s="2" t="s">
        <v>1711</v>
      </c>
      <c r="C552" s="2" t="s">
        <v>2213</v>
      </c>
      <c r="D552" s="2" t="s">
        <v>2270</v>
      </c>
      <c r="E552" s="2" t="s">
        <v>2271</v>
      </c>
      <c r="F552" s="2">
        <v>117.0</v>
      </c>
      <c r="G552" s="2">
        <v>390.0</v>
      </c>
      <c r="H552" s="2" t="b">
        <v>1</v>
      </c>
      <c r="I552" s="2">
        <v>-1.0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s">
        <v>33</v>
      </c>
      <c r="O552" s="2">
        <v>75.0</v>
      </c>
      <c r="P552" s="2">
        <v>1.0</v>
      </c>
      <c r="Q552" s="2">
        <v>30.0</v>
      </c>
      <c r="R552" s="2">
        <v>0.0</v>
      </c>
      <c r="S552" s="3" t="s">
        <v>2272</v>
      </c>
      <c r="T552" s="2" t="s">
        <v>2273</v>
      </c>
      <c r="Y552" s="4" t="str">
        <f>IFERROR(__xludf.DUMMYFUNCTION("""COMPUTED_VALUE"""),"6.5831444")</f>
        <v>6.5831444</v>
      </c>
      <c r="Z552" s="4" t="str">
        <f>IFERROR(__xludf.DUMMYFUNCTION("""COMPUTED_VALUE"""),"2.930081")</f>
        <v>2.930081</v>
      </c>
      <c r="AA552" s="4" t="str">
        <f t="shared" si="1"/>
        <v>Neighbor</v>
      </c>
      <c r="AC552" s="4">
        <f>IFERROR(__xludf.DUMMYFUNCTION("IFERROR(ABS(O552-AVERAGE(FILTER(O552:O4620,AA552:AA4620=""Neighbor""))) / STDEV(FILTER(O552:O4620, AA552:AA4620 =""Neighbor"")), """")"),0.20809995799645498)</f>
        <v>0.208099958</v>
      </c>
      <c r="AD552" s="4">
        <f>IFERROR(__xludf.DUMMYFUNCTION("IFERROR(ABS(P552-AVERAGE(FILTER(O552:P4620,AA552:AA4620=""Neighbor""))) / STDEV(FILTER(P552:P4620, AA552:AA4620 =""Neighbor"")), """")"),1.5785248441811959)</f>
        <v>1.578524844</v>
      </c>
      <c r="AE552" s="2">
        <f>IFERROR(__xludf.DUMMYFUNCTION("IFERROR(ABS(Q552-AVERAGE(FILTER(Q552:Q4620,AA552:AA4620=""Neighbor""))) / STDEV(FILTER(Q552:Q4620, AA552:AA4620 =""Neighbor"")), """")"),0.18540459142757668)</f>
        <v>0.1854045914</v>
      </c>
      <c r="AF552" s="2">
        <f>IFERROR(__xludf.DUMMYFUNCTION("IFERROR(ABS(R552-AVERAGE(FILTER(R552:R4620,AA552:AA4620=""Neighbor""))) / STDEV(FILTER(R552:R4620, AA552:AA4620 =""Neighbor"")), """")"),0.09694517502716968)</f>
        <v>0.09694517503</v>
      </c>
    </row>
    <row r="553">
      <c r="A553" s="2" t="s">
        <v>28</v>
      </c>
      <c r="B553" s="2" t="s">
        <v>1711</v>
      </c>
      <c r="C553" s="2" t="s">
        <v>2213</v>
      </c>
      <c r="D553" s="2" t="s">
        <v>2274</v>
      </c>
      <c r="E553" s="2" t="s">
        <v>2275</v>
      </c>
      <c r="F553" s="2">
        <v>94.0</v>
      </c>
      <c r="G553" s="2">
        <v>229.0</v>
      </c>
      <c r="H553" s="2" t="b">
        <v>1</v>
      </c>
      <c r="I553" s="2">
        <v>-1.0</v>
      </c>
      <c r="J553" s="2" t="b">
        <v>0</v>
      </c>
      <c r="K553" s="2" t="b">
        <v>1</v>
      </c>
      <c r="L553" s="2" t="b">
        <v>0</v>
      </c>
      <c r="M553" s="2" t="b">
        <v>0</v>
      </c>
      <c r="N553" s="2" t="s">
        <v>33</v>
      </c>
      <c r="O553" s="2">
        <v>74.0</v>
      </c>
      <c r="P553" s="2">
        <v>2.0</v>
      </c>
      <c r="Q553" s="2">
        <v>15.0</v>
      </c>
      <c r="R553" s="2">
        <v>0.0</v>
      </c>
      <c r="S553" s="3" t="s">
        <v>2276</v>
      </c>
      <c r="T553" s="2" t="s">
        <v>2277</v>
      </c>
      <c r="Y553" s="4" t="str">
        <f>IFERROR(__xludf.DUMMYFUNCTION("""COMPUTED_VALUE"""),"6.5831444")</f>
        <v>6.5831444</v>
      </c>
      <c r="Z553" s="4" t="str">
        <f>IFERROR(__xludf.DUMMYFUNCTION("""COMPUTED_VALUE"""),"2.930081")</f>
        <v>2.930081</v>
      </c>
      <c r="AA553" s="4" t="str">
        <f t="shared" si="1"/>
        <v>Neighbor</v>
      </c>
      <c r="AC553" s="4">
        <f>IFERROR(__xludf.DUMMYFUNCTION("IFERROR(ABS(O553-AVERAGE(FILTER(O553:O4621,AA553:AA4621=""Neighbor""))) / STDEV(FILTER(O553:O4621, AA553:AA4621 =""Neighbor"")), """")"),0.18510636324970942)</f>
        <v>0.1851063632</v>
      </c>
      <c r="AD553" s="4">
        <f>IFERROR(__xludf.DUMMYFUNCTION("IFERROR(ABS(P553-AVERAGE(FILTER(O553:P4621,AA553:AA4621=""Neighbor""))) / STDEV(FILTER(P553:P4621, AA553:AA4621 =""Neighbor"")), """")"),1.5387120721679053)</f>
        <v>1.538712072</v>
      </c>
      <c r="AE553" s="2">
        <f>IFERROR(__xludf.DUMMYFUNCTION("IFERROR(ABS(Q553-AVERAGE(FILTER(Q553:Q4621,AA553:AA4621=""Neighbor""))) / STDEV(FILTER(Q553:Q4621, AA553:AA4621 =""Neighbor"")), """")"),0.43010554611474083)</f>
        <v>0.4301055461</v>
      </c>
      <c r="AF553" s="2">
        <f>IFERROR(__xludf.DUMMYFUNCTION("IFERROR(ABS(R553-AVERAGE(FILTER(R553:R4621,AA553:AA4621=""Neighbor""))) / STDEV(FILTER(R553:R4621, AA553:AA4621 =""Neighbor"")), """")"),0.09697849970864804)</f>
        <v>0.09697849971</v>
      </c>
    </row>
    <row r="554">
      <c r="A554" s="2" t="s">
        <v>28</v>
      </c>
      <c r="B554" s="2" t="s">
        <v>1711</v>
      </c>
      <c r="C554" s="2" t="s">
        <v>2213</v>
      </c>
      <c r="D554" s="2" t="s">
        <v>2278</v>
      </c>
      <c r="E554" s="2" t="s">
        <v>2279</v>
      </c>
      <c r="F554" s="2">
        <v>110.0</v>
      </c>
      <c r="G554" s="2">
        <v>288.0</v>
      </c>
      <c r="H554" s="2" t="b">
        <v>1</v>
      </c>
      <c r="I554" s="2">
        <v>-1.0</v>
      </c>
      <c r="J554" s="2" t="b">
        <v>1</v>
      </c>
      <c r="K554" s="2" t="b">
        <v>0</v>
      </c>
      <c r="L554" s="2" t="b">
        <v>0</v>
      </c>
      <c r="M554" s="2" t="b">
        <v>0</v>
      </c>
      <c r="N554" s="2" t="s">
        <v>33</v>
      </c>
      <c r="O554" s="2">
        <v>59.0</v>
      </c>
      <c r="P554" s="2">
        <v>1.0</v>
      </c>
      <c r="Q554" s="2">
        <v>45.0</v>
      </c>
      <c r="R554" s="2">
        <v>0.0</v>
      </c>
      <c r="S554" s="3" t="s">
        <v>2280</v>
      </c>
      <c r="T554" s="2" t="s">
        <v>2281</v>
      </c>
      <c r="Y554" s="4" t="str">
        <f>IFERROR(__xludf.DUMMYFUNCTION("""COMPUTED_VALUE"""),"6.5831444")</f>
        <v>6.5831444</v>
      </c>
      <c r="Z554" s="4" t="str">
        <f>IFERROR(__xludf.DUMMYFUNCTION("""COMPUTED_VALUE"""),"2.930081")</f>
        <v>2.930081</v>
      </c>
      <c r="AA554" s="4" t="str">
        <f t="shared" si="1"/>
        <v>Neighbor</v>
      </c>
      <c r="AC554" s="4">
        <f>IFERROR(__xludf.DUMMYFUNCTION("IFERROR(ABS(O554-AVERAGE(FILTER(O554:O4622,AA554:AA4622=""Neighbor""))) / STDEV(FILTER(O554:O4622, AA554:AA4622 =""Neighbor"")), """")"),0.16072744569265449)</f>
        <v>0.1607274457</v>
      </c>
      <c r="AD554" s="4">
        <f>IFERROR(__xludf.DUMMYFUNCTION("IFERROR(ABS(P554-AVERAGE(FILTER(O554:P4622,AA554:AA4622=""Neighbor""))) / STDEV(FILTER(P554:P4622, AA554:AA4622 =""Neighbor"")), """")"),1.577952825522813)</f>
        <v>1.577952826</v>
      </c>
      <c r="AE554" s="2">
        <f>IFERROR(__xludf.DUMMYFUNCTION("IFERROR(ABS(Q554-AVERAGE(FILTER(Q554:Q4622,AA554:AA4622=""Neighbor""))) / STDEV(FILTER(Q554:Q4622, AA554:AA4622 =""Neighbor"")), """")"),0.8005293566193821)</f>
        <v>0.8005293566</v>
      </c>
      <c r="AF554" s="2">
        <f>IFERROR(__xludf.DUMMYFUNCTION("IFERROR(ABS(R554-AVERAGE(FILTER(R554:R4622,AA554:AA4622=""Neighbor""))) / STDEV(FILTER(R554:R4622, AA554:AA4622 =""Neighbor"")), """")"),0.09701185877988676)</f>
        <v>0.09701185878</v>
      </c>
    </row>
    <row r="555">
      <c r="A555" s="2" t="s">
        <v>28</v>
      </c>
      <c r="B555" s="2" t="s">
        <v>1711</v>
      </c>
      <c r="C555" s="2" t="s">
        <v>2213</v>
      </c>
      <c r="D555" s="2" t="s">
        <v>2282</v>
      </c>
      <c r="E555" s="2" t="s">
        <v>2283</v>
      </c>
      <c r="F555" s="2">
        <v>124.0</v>
      </c>
      <c r="G555" s="2">
        <v>286.0</v>
      </c>
      <c r="H555" s="2" t="b">
        <v>1</v>
      </c>
      <c r="I555" s="2">
        <v>-1.0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s">
        <v>33</v>
      </c>
      <c r="O555" s="2">
        <v>95.0</v>
      </c>
      <c r="P555" s="2">
        <v>0.0</v>
      </c>
      <c r="Q555" s="2">
        <v>25.0</v>
      </c>
      <c r="R555" s="2">
        <v>0.0</v>
      </c>
      <c r="S555" s="3" t="s">
        <v>2284</v>
      </c>
      <c r="T555" s="2" t="s">
        <v>2285</v>
      </c>
      <c r="Y555" s="4" t="str">
        <f>IFERROR(__xludf.DUMMYFUNCTION("""COMPUTED_VALUE"""),"6.5831444")</f>
        <v>6.5831444</v>
      </c>
      <c r="Z555" s="4" t="str">
        <f>IFERROR(__xludf.DUMMYFUNCTION("""COMPUTED_VALUE"""),"2.930081")</f>
        <v>2.930081</v>
      </c>
      <c r="AA555" s="4" t="str">
        <f t="shared" si="1"/>
        <v>Not Neighbor</v>
      </c>
      <c r="AC555" s="4">
        <f>IFERROR(__xludf.DUMMYFUNCTION("IFERROR(ABS(O555-AVERAGE(FILTER(O555:O4623,AA555:AA4623=""Neighbor""))) / STDEV(FILTER(O555:O4623, AA555:AA4623 =""Neighbor"")), """")"),0.669097998963167)</f>
        <v>0.669097999</v>
      </c>
      <c r="AD555" s="4">
        <f>IFERROR(__xludf.DUMMYFUNCTION("IFERROR(ABS(P555-AVERAGE(FILTER(O555:P4623,AA555:AA4623=""Neighbor""))) / STDEV(FILTER(P555:P4623, AA555:AA4623 =""Neighbor"")), """")"),1.6174153656940187)</f>
        <v>1.617415366</v>
      </c>
      <c r="AE555" s="2">
        <f>IFERROR(__xludf.DUMMYFUNCTION("IFERROR(ABS(Q555-AVERAGE(FILTER(Q555:Q4623,AA555:AA4623=""Neighbor""))) / STDEV(FILTER(Q555:Q4623, AA555:AA4623 =""Neighbor"")), """")"),0.01946091523825939)</f>
        <v>0.01946091524</v>
      </c>
      <c r="AF555" s="2">
        <f>IFERROR(__xludf.DUMMYFUNCTION("IFERROR(ABS(R555-AVERAGE(FILTER(R555:R4623,AA555:AA4623=""Neighbor""))) / STDEV(FILTER(R555:R4623, AA555:AA4623 =""Neighbor"")), """")"),0.09704525230007506)</f>
        <v>0.0970452523</v>
      </c>
    </row>
    <row r="556">
      <c r="A556" s="2" t="s">
        <v>28</v>
      </c>
      <c r="B556" s="2" t="s">
        <v>1711</v>
      </c>
      <c r="C556" s="2" t="s">
        <v>2286</v>
      </c>
      <c r="D556" s="2" t="s">
        <v>2287</v>
      </c>
      <c r="E556" s="2" t="s">
        <v>2288</v>
      </c>
      <c r="F556" s="2">
        <v>168.0</v>
      </c>
      <c r="G556" s="2">
        <v>601.0</v>
      </c>
      <c r="H556" s="2" t="b">
        <v>1</v>
      </c>
      <c r="I556" s="2">
        <v>-1.0</v>
      </c>
      <c r="J556" s="2" t="b">
        <v>0</v>
      </c>
      <c r="K556" s="2" t="b">
        <v>0</v>
      </c>
      <c r="L556" s="2" t="b">
        <v>0</v>
      </c>
      <c r="M556" s="2" t="b">
        <v>0</v>
      </c>
      <c r="N556" s="2" t="s">
        <v>33</v>
      </c>
      <c r="O556" s="2">
        <v>119.0</v>
      </c>
      <c r="P556" s="2">
        <v>19.0</v>
      </c>
      <c r="Q556" s="2">
        <v>18.0</v>
      </c>
      <c r="R556" s="2">
        <v>0.0</v>
      </c>
      <c r="S556" s="3" t="s">
        <v>2289</v>
      </c>
      <c r="T556" s="2" t="s">
        <v>2290</v>
      </c>
      <c r="Y556" s="4" t="str">
        <f>IFERROR(__xludf.DUMMYFUNCTION("""COMPUTED_VALUE"""),"6.5918379")</f>
        <v>6.5918379</v>
      </c>
      <c r="Z556" s="4" t="str">
        <f>IFERROR(__xludf.DUMMYFUNCTION("""COMPUTED_VALUE"""),"2.8998792")</f>
        <v>2.8998792</v>
      </c>
      <c r="AA556" s="4" t="str">
        <f t="shared" si="1"/>
        <v>Neighbor</v>
      </c>
      <c r="AC556" s="4">
        <f>IFERROR(__xludf.DUMMYFUNCTION("IFERROR(ABS(O556-AVERAGE(FILTER(O556:O4624,AA556:AA4624=""Neighbor""))) / STDEV(FILTER(O556:O4624, AA556:AA4624 =""Neighbor"")), """")"),1.2223524470969556)</f>
        <v>1.222352447</v>
      </c>
      <c r="AD556" s="4">
        <f>IFERROR(__xludf.DUMMYFUNCTION("IFERROR(ABS(P556-AVERAGE(FILTER(O556:P4624,AA556:AA4624=""Neighbor""))) / STDEV(FILTER(P556:P4624, AA556:AA4624 =""Neighbor"")), """")"),0.8665250251288922)</f>
        <v>0.8665250251</v>
      </c>
      <c r="AE556" s="2">
        <f>IFERROR(__xludf.DUMMYFUNCTION("IFERROR(ABS(Q556-AVERAGE(FILTER(Q556:Q4624,AA556:AA4624=""Neighbor""))) / STDEV(FILTER(Q556:Q4624, AA556:AA4624 =""Neighbor"")), """")"),0.3066144199409209)</f>
        <v>0.3066144199</v>
      </c>
      <c r="AF556" s="2">
        <f>IFERROR(__xludf.DUMMYFUNCTION("IFERROR(ABS(R556-AVERAGE(FILTER(R556:R4624,AA556:AA4624=""Neighbor""))) / STDEV(FILTER(R556:R4624, AA556:AA4624 =""Neighbor"")), """")"),0.09704525230007506)</f>
        <v>0.0970452523</v>
      </c>
    </row>
    <row r="557">
      <c r="A557" s="2" t="s">
        <v>28</v>
      </c>
      <c r="B557" s="2" t="s">
        <v>1711</v>
      </c>
      <c r="C557" s="2" t="s">
        <v>2286</v>
      </c>
      <c r="D557" s="2" t="s">
        <v>2291</v>
      </c>
      <c r="E557" s="2" t="s">
        <v>2292</v>
      </c>
      <c r="F557" s="2">
        <v>123.0</v>
      </c>
      <c r="G557" s="2">
        <v>625.0</v>
      </c>
      <c r="H557" s="2" t="b">
        <v>1</v>
      </c>
      <c r="I557" s="2">
        <v>-1.0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s">
        <v>33</v>
      </c>
      <c r="O557" s="2">
        <v>91.0</v>
      </c>
      <c r="P557" s="2">
        <v>2.0</v>
      </c>
      <c r="Q557" s="2">
        <v>20.0</v>
      </c>
      <c r="R557" s="2">
        <v>1.0</v>
      </c>
      <c r="S557" s="3" t="s">
        <v>2293</v>
      </c>
      <c r="T557" s="2" t="s">
        <v>2294</v>
      </c>
      <c r="Y557" s="4" t="str">
        <f>IFERROR(__xludf.DUMMYFUNCTION("""COMPUTED_VALUE"""),"6.5918379")</f>
        <v>6.5918379</v>
      </c>
      <c r="Z557" s="4" t="str">
        <f>IFERROR(__xludf.DUMMYFUNCTION("""COMPUTED_VALUE"""),"2.8998792")</f>
        <v>2.8998792</v>
      </c>
      <c r="AA557" s="4" t="str">
        <f t="shared" si="1"/>
        <v>Not Neighbor</v>
      </c>
      <c r="AC557" s="4">
        <f>IFERROR(__xludf.DUMMYFUNCTION("IFERROR(ABS(O557-AVERAGE(FILTER(O557:O4625,AA557:AA4625=""Neighbor""))) / STDEV(FILTER(O557:O4625, AA557:AA4625 =""Neighbor"")), """")"),0.5778216573302573)</f>
        <v>0.5778216573</v>
      </c>
      <c r="AD557" s="4">
        <f>IFERROR(__xludf.DUMMYFUNCTION("IFERROR(ABS(P557-AVERAGE(FILTER(O557:P4625,AA557:AA4625=""Neighbor""))) / STDEV(FILTER(P557:P4625, AA557:AA4625 =""Neighbor"")), """")"),1.5370991902836242)</f>
        <v>1.53709919</v>
      </c>
      <c r="AE557" s="2">
        <f>IFERROR(__xludf.DUMMYFUNCTION("IFERROR(ABS(Q557-AVERAGE(FILTER(Q557:Q4625,AA557:AA4625=""Neighbor""))) / STDEV(FILTER(Q557:Q4625, AA557:AA4625 =""Neighbor"")), """")"),0.22471043535547974)</f>
        <v>0.2247104354</v>
      </c>
      <c r="AF557" s="2">
        <f>IFERROR(__xludf.DUMMYFUNCTION("IFERROR(ABS(R557-AVERAGE(FILTER(R557:R4625,AA557:AA4625=""Neighbor""))) / STDEV(FILTER(R557:R4625, AA557:AA4625 =""Neighbor"")), """")"),0.0872574908789645)</f>
        <v>0.08725749088</v>
      </c>
    </row>
    <row r="558">
      <c r="A558" s="2" t="s">
        <v>28</v>
      </c>
      <c r="B558" s="2" t="s">
        <v>1711</v>
      </c>
      <c r="C558" s="2" t="s">
        <v>2286</v>
      </c>
      <c r="D558" s="2" t="s">
        <v>2295</v>
      </c>
      <c r="E558" s="2" t="s">
        <v>2296</v>
      </c>
      <c r="F558" s="2">
        <v>201.0</v>
      </c>
      <c r="G558" s="2">
        <v>750.0</v>
      </c>
      <c r="H558" s="2" t="b">
        <v>1</v>
      </c>
      <c r="I558" s="2">
        <v>-1.0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s">
        <v>33</v>
      </c>
      <c r="O558" s="2">
        <v>155.0</v>
      </c>
      <c r="P558" s="2">
        <v>6.0</v>
      </c>
      <c r="Q558" s="2">
        <v>24.0</v>
      </c>
      <c r="R558" s="2">
        <v>0.0</v>
      </c>
      <c r="S558" s="3" t="s">
        <v>2297</v>
      </c>
      <c r="T558" s="2" t="s">
        <v>2298</v>
      </c>
      <c r="Y558" s="4" t="str">
        <f>IFERROR(__xludf.DUMMYFUNCTION("""COMPUTED_VALUE"""),"6.6070735")</f>
        <v>6.6070735</v>
      </c>
      <c r="Z558" s="4" t="str">
        <f>IFERROR(__xludf.DUMMYFUNCTION("""COMPUTED_VALUE"""),"2.9425698")</f>
        <v>2.9425698</v>
      </c>
      <c r="AA558" s="4" t="str">
        <f t="shared" si="1"/>
        <v>Neighbor</v>
      </c>
      <c r="AC558" s="4">
        <f>IFERROR(__xludf.DUMMYFUNCTION("IFERROR(ABS(O558-AVERAGE(FILTER(O558:O4626,AA558:AA4626=""Neighbor""))) / STDEV(FILTER(O558:O4626, AA558:AA4626 =""Neighbor"")), """")"),2.0534165879711894)</f>
        <v>2.053416588</v>
      </c>
      <c r="AD558" s="4">
        <f>IFERROR(__xludf.DUMMYFUNCTION("IFERROR(ABS(P558-AVERAGE(FILTER(O558:P4626,AA558:AA4626=""Neighbor""))) / STDEV(FILTER(P558:P4626, AA558:AA4626 =""Neighbor"")), """")"),1.3790701897077606)</f>
        <v>1.37907019</v>
      </c>
      <c r="AE558" s="2">
        <f>IFERROR(__xludf.DUMMYFUNCTION("IFERROR(ABS(Q558-AVERAGE(FILTER(Q558:Q4626,AA558:AA4626=""Neighbor""))) / STDEV(FILTER(Q558:Q4626, AA558:AA4626 =""Neighbor"")), """")"),0.06067349825230233)</f>
        <v>0.06067349825</v>
      </c>
      <c r="AF558" s="2">
        <f>IFERROR(__xludf.DUMMYFUNCTION("IFERROR(ABS(R558-AVERAGE(FILTER(R558:R4626,AA558:AA4626=""Neighbor""))) / STDEV(FILTER(R558:R4626, AA558:AA4626 =""Neighbor"")), """")"),0.09707868032854493)</f>
        <v>0.09707868033</v>
      </c>
    </row>
    <row r="559">
      <c r="A559" s="2" t="s">
        <v>28</v>
      </c>
      <c r="B559" s="2" t="s">
        <v>1711</v>
      </c>
      <c r="C559" s="2" t="s">
        <v>2286</v>
      </c>
      <c r="D559" s="2" t="s">
        <v>2299</v>
      </c>
      <c r="E559" s="2" t="s">
        <v>2300</v>
      </c>
      <c r="F559" s="2">
        <v>166.0</v>
      </c>
      <c r="G559" s="2">
        <v>680.0</v>
      </c>
      <c r="H559" s="2" t="b">
        <v>1</v>
      </c>
      <c r="I559" s="2">
        <v>-1.0</v>
      </c>
      <c r="J559" s="2" t="b">
        <v>0</v>
      </c>
      <c r="K559" s="2" t="b">
        <v>0</v>
      </c>
      <c r="L559" s="2" t="b">
        <v>0</v>
      </c>
      <c r="M559" s="2" t="b">
        <v>0</v>
      </c>
      <c r="N559" s="2" t="s">
        <v>33</v>
      </c>
      <c r="O559" s="2">
        <v>132.0</v>
      </c>
      <c r="P559" s="2">
        <v>11.0</v>
      </c>
      <c r="Q559" s="2">
        <v>16.0</v>
      </c>
      <c r="R559" s="2">
        <v>0.0</v>
      </c>
      <c r="S559" s="3" t="s">
        <v>2301</v>
      </c>
      <c r="T559" s="2" t="s">
        <v>2302</v>
      </c>
      <c r="Y559" s="4" t="str">
        <f>IFERROR(__xludf.DUMMYFUNCTION("""COMPUTED_VALUE"""),"6.6070735")</f>
        <v>6.6070735</v>
      </c>
      <c r="Z559" s="4" t="str">
        <f>IFERROR(__xludf.DUMMYFUNCTION("""COMPUTED_VALUE"""),"2.9425698")</f>
        <v>2.9425698</v>
      </c>
      <c r="AA559" s="4" t="str">
        <f t="shared" si="1"/>
        <v>Neighbor</v>
      </c>
      <c r="AC559" s="4">
        <f>IFERROR(__xludf.DUMMYFUNCTION("IFERROR(ABS(O559-AVERAGE(FILTER(O559:O4627,AA559:AA4627=""Neighbor""))) / STDEV(FILTER(O559:O4627, AA559:AA4627 =""Neighbor"")), """")"),1.5262095488677536)</f>
        <v>1.526209549</v>
      </c>
      <c r="AD559" s="4">
        <f>IFERROR(__xludf.DUMMYFUNCTION("IFERROR(ABS(P559-AVERAGE(FILTER(O559:P4627,AA559:AA4627=""Neighbor""))) / STDEV(FILTER(P559:P4627, AA559:AA4627 =""Neighbor"")), """")"),1.1801226748506604)</f>
        <v>1.180122675</v>
      </c>
      <c r="AE559" s="2">
        <f>IFERROR(__xludf.DUMMYFUNCTION("IFERROR(ABS(Q559-AVERAGE(FILTER(Q559:Q4627,AA559:AA4627=""Neighbor""))) / STDEV(FILTER(Q559:Q4627, AA559:AA4627 =""Neighbor"")), """")"),0.38865643719614734)</f>
        <v>0.3886564372</v>
      </c>
      <c r="AF559" s="2">
        <f>IFERROR(__xludf.DUMMYFUNCTION("IFERROR(ABS(R559-AVERAGE(FILTER(R559:R4627,AA559:AA4627=""Neighbor""))) / STDEV(FILTER(R559:R4627, AA559:AA4627 =""Neighbor"")), """")"),0.09711214292477163)</f>
        <v>0.09711214292</v>
      </c>
    </row>
    <row r="560">
      <c r="A560" s="2" t="s">
        <v>28</v>
      </c>
      <c r="B560" s="2" t="s">
        <v>1711</v>
      </c>
      <c r="C560" s="2" t="s">
        <v>2286</v>
      </c>
      <c r="D560" s="2" t="s">
        <v>2303</v>
      </c>
      <c r="E560" s="2" t="s">
        <v>2304</v>
      </c>
      <c r="F560" s="2">
        <v>148.0</v>
      </c>
      <c r="G560" s="2">
        <v>364.0</v>
      </c>
      <c r="H560" s="2" t="b">
        <v>1</v>
      </c>
      <c r="I560" s="2">
        <v>-1.0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s">
        <v>33</v>
      </c>
      <c r="O560" s="2">
        <v>106.0</v>
      </c>
      <c r="P560" s="2">
        <v>4.0</v>
      </c>
      <c r="Q560" s="2">
        <v>33.0</v>
      </c>
      <c r="R560" s="2">
        <v>1.0</v>
      </c>
      <c r="S560" s="3" t="s">
        <v>2305</v>
      </c>
      <c r="T560" s="2" t="s">
        <v>2306</v>
      </c>
      <c r="Y560" s="4" t="str">
        <f>IFERROR(__xludf.DUMMYFUNCTION("""COMPUTED_VALUE"""),"6.6070735")</f>
        <v>6.6070735</v>
      </c>
      <c r="Z560" s="4" t="str">
        <f>IFERROR(__xludf.DUMMYFUNCTION("""COMPUTED_VALUE"""),"2.9425698")</f>
        <v>2.9425698</v>
      </c>
      <c r="AA560" s="4" t="str">
        <f t="shared" si="1"/>
        <v>Neighbor</v>
      </c>
      <c r="AC560" s="4">
        <f>IFERROR(__xludf.DUMMYFUNCTION("IFERROR(ABS(O560-AVERAGE(FILTER(O560:O4628,AA560:AA4628=""Neighbor""))) / STDEV(FILTER(O560:O4628, AA560:AA4628 =""Neighbor"")), """")"),0.9275544909191868)</f>
        <v>0.9275544909</v>
      </c>
      <c r="AD560" s="4">
        <f>IFERROR(__xludf.DUMMYFUNCTION("IFERROR(ABS(P560-AVERAGE(FILTER(O560:P4628,AA560:AA4628=""Neighbor""))) / STDEV(FILTER(P560:P4628, AA560:AA4628 =""Neighbor"")), """")"),1.4552866434831608)</f>
        <v>1.455286643</v>
      </c>
      <c r="AE560" s="2">
        <f>IFERROR(__xludf.DUMMYFUNCTION("IFERROR(ABS(Q560-AVERAGE(FILTER(Q560:Q4628,AA560:AA4628=""Neighbor""))) / STDEV(FILTER(Q560:Q4628, AA560:AA4628 =""Neighbor"")), """")"),0.30790784605269844)</f>
        <v>0.3079078461</v>
      </c>
      <c r="AF560" s="2">
        <f>IFERROR(__xludf.DUMMYFUNCTION("IFERROR(ABS(R560-AVERAGE(FILTER(R560:R4628,AA560:AA4628=""Neighbor""))) / STDEV(FILTER(R560:R4628, AA560:AA4628 =""Neighbor"")), """")"),0.08706567748706415)</f>
        <v>0.08706567749</v>
      </c>
    </row>
    <row r="561">
      <c r="A561" s="2" t="s">
        <v>28</v>
      </c>
      <c r="B561" s="2" t="s">
        <v>1711</v>
      </c>
      <c r="C561" s="2" t="s">
        <v>2286</v>
      </c>
      <c r="D561" s="2" t="s">
        <v>2307</v>
      </c>
      <c r="E561" s="2" t="s">
        <v>2308</v>
      </c>
      <c r="F561" s="2">
        <v>191.0</v>
      </c>
      <c r="G561" s="2">
        <v>664.0</v>
      </c>
      <c r="H561" s="2" t="b">
        <v>1</v>
      </c>
      <c r="I561" s="2">
        <v>-1.0</v>
      </c>
      <c r="J561" s="2" t="b">
        <v>0</v>
      </c>
      <c r="K561" s="2" t="b">
        <v>0</v>
      </c>
      <c r="L561" s="2" t="b">
        <v>0</v>
      </c>
      <c r="M561" s="2" t="b">
        <v>0</v>
      </c>
      <c r="N561" s="2" t="s">
        <v>33</v>
      </c>
      <c r="O561" s="2">
        <v>147.0</v>
      </c>
      <c r="P561" s="2">
        <v>10.0</v>
      </c>
      <c r="Q561" s="2">
        <v>19.0</v>
      </c>
      <c r="R561" s="2">
        <v>0.0</v>
      </c>
      <c r="S561" s="3" t="s">
        <v>2309</v>
      </c>
      <c r="T561" s="2" t="s">
        <v>2310</v>
      </c>
      <c r="Y561" s="4" t="str">
        <f>IFERROR(__xludf.DUMMYFUNCTION("""COMPUTED_VALUE"""),"6.6070735")</f>
        <v>6.6070735</v>
      </c>
      <c r="Z561" s="4" t="str">
        <f>IFERROR(__xludf.DUMMYFUNCTION("""COMPUTED_VALUE"""),"2.9425698")</f>
        <v>2.9425698</v>
      </c>
      <c r="AA561" s="4" t="str">
        <f t="shared" si="1"/>
        <v>Neighbor</v>
      </c>
      <c r="AC561" s="4">
        <f>IFERROR(__xludf.DUMMYFUNCTION("IFERROR(ABS(O561-AVERAGE(FILTER(O561:O4629,AA561:AA4629=""Neighbor""))) / STDEV(FILTER(O561:O4629, AA561:AA4629 =""Neighbor"")), """")"),1.8748769489356998)</f>
        <v>1.874876949</v>
      </c>
      <c r="AD561" s="4">
        <f>IFERROR(__xludf.DUMMYFUNCTION("IFERROR(ABS(P561-AVERAGE(FILTER(O561:P4629,AA561:AA4629=""Neighbor""))) / STDEV(FILTER(P561:P4629, AA561:AA4629 =""Neighbor"")), """")"),1.2176826371384761)</f>
        <v>1.217682637</v>
      </c>
      <c r="AE561" s="2">
        <f>IFERROR(__xludf.DUMMYFUNCTION("IFERROR(ABS(Q561-AVERAGE(FILTER(Q561:Q4629,AA561:AA4629=""Neighbor""))) / STDEV(FILTER(Q561:Q4629, AA561:AA4629 =""Neighbor"")), """")"),0.2655661932673703)</f>
        <v>0.2655661933</v>
      </c>
      <c r="AF561" s="2">
        <f>IFERROR(__xludf.DUMMYFUNCTION("IFERROR(ABS(R561-AVERAGE(FILTER(R561:R4629,AA561:AA4629=""Neighbor""))) / STDEV(FILTER(R561:R4629, AA561:AA4629 =""Neighbor"")), """")"),0.0970530673174937)</f>
        <v>0.09705306732</v>
      </c>
    </row>
    <row r="562">
      <c r="A562" s="2" t="s">
        <v>28</v>
      </c>
      <c r="B562" s="2" t="s">
        <v>1711</v>
      </c>
      <c r="C562" s="2" t="s">
        <v>2286</v>
      </c>
      <c r="D562" s="2" t="s">
        <v>2311</v>
      </c>
      <c r="E562" s="2" t="s">
        <v>2312</v>
      </c>
      <c r="F562" s="2">
        <v>129.0</v>
      </c>
      <c r="G562" s="2">
        <v>343.0</v>
      </c>
      <c r="H562" s="2" t="b">
        <v>1</v>
      </c>
      <c r="I562" s="2">
        <v>-1.0</v>
      </c>
      <c r="J562" s="2" t="b">
        <v>0</v>
      </c>
      <c r="K562" s="2" t="b">
        <v>0</v>
      </c>
      <c r="L562" s="2" t="b">
        <v>0</v>
      </c>
      <c r="M562" s="2" t="b">
        <v>0</v>
      </c>
      <c r="N562" s="2" t="s">
        <v>33</v>
      </c>
      <c r="O562" s="2">
        <v>99.0</v>
      </c>
      <c r="P562" s="2">
        <v>0.0</v>
      </c>
      <c r="Q562" s="2">
        <v>21.0</v>
      </c>
      <c r="R562" s="2">
        <v>0.0</v>
      </c>
      <c r="S562" s="3" t="s">
        <v>2313</v>
      </c>
      <c r="T562" s="2" t="s">
        <v>2314</v>
      </c>
      <c r="Y562" s="4" t="str">
        <f>IFERROR(__xludf.DUMMYFUNCTION("""COMPUTED_VALUE"""),"6.6070735")</f>
        <v>6.6070735</v>
      </c>
      <c r="Z562" s="4" t="str">
        <f>IFERROR(__xludf.DUMMYFUNCTION("""COMPUTED_VALUE"""),"2.9425698")</f>
        <v>2.9425698</v>
      </c>
      <c r="AA562" s="4" t="str">
        <f t="shared" si="1"/>
        <v>Not Neighbor</v>
      </c>
      <c r="AC562" s="4">
        <f>IFERROR(__xludf.DUMMYFUNCTION("IFERROR(ABS(O562-AVERAGE(FILTER(O562:O4630,AA562:AA4630=""Neighbor""))) / STDEV(FILTER(O562:O4630, AA562:AA4630 =""Neighbor"")), """")"),0.7684554870169332)</f>
        <v>0.768455487</v>
      </c>
      <c r="AD562" s="4">
        <f>IFERROR(__xludf.DUMMYFUNCTION("IFERROR(ABS(P562-AVERAGE(FILTER(O562:P4630,AA562:AA4630=""Neighbor""))) / STDEV(FILTER(P562:P4630, AA562:AA4630 =""Neighbor"")), """")"),1.6108652114954816)</f>
        <v>1.610865211</v>
      </c>
      <c r="AE562" s="2">
        <f>IFERROR(__xludf.DUMMYFUNCTION("IFERROR(ABS(Q562-AVERAGE(FILTER(Q562:Q4630,AA562:AA4630=""Neighbor""))) / STDEV(FILTER(Q562:Q4630, AA562:AA4630 =""Neighbor"")), """")"),0.18374823841429216)</f>
        <v>0.1837482384</v>
      </c>
      <c r="AF562" s="2">
        <f>IFERROR(__xludf.DUMMYFUNCTION("IFERROR(ABS(R562-AVERAGE(FILTER(R562:R4630,AA562:AA4630=""Neighbor""))) / STDEV(FILTER(R562:R4630, AA562:AA4630 =""Neighbor"")), """")"),0.09708658960249464)</f>
        <v>0.0970865896</v>
      </c>
    </row>
    <row r="563">
      <c r="A563" s="2" t="s">
        <v>28</v>
      </c>
      <c r="B563" s="2" t="s">
        <v>1711</v>
      </c>
      <c r="C563" s="2" t="s">
        <v>2286</v>
      </c>
      <c r="D563" s="2" t="s">
        <v>2315</v>
      </c>
      <c r="E563" s="2" t="s">
        <v>2316</v>
      </c>
      <c r="F563" s="2">
        <v>186.0</v>
      </c>
      <c r="G563" s="2">
        <v>743.0</v>
      </c>
      <c r="H563" s="2" t="b">
        <v>1</v>
      </c>
      <c r="I563" s="2">
        <v>-1.0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s">
        <v>33</v>
      </c>
      <c r="O563" s="2">
        <v>123.0</v>
      </c>
      <c r="P563" s="2">
        <v>8.0</v>
      </c>
      <c r="Q563" s="2">
        <v>44.0</v>
      </c>
      <c r="R563" s="2">
        <v>1.0</v>
      </c>
      <c r="S563" s="3" t="s">
        <v>2317</v>
      </c>
      <c r="T563" s="2" t="s">
        <v>2318</v>
      </c>
      <c r="Y563" s="4" t="str">
        <f>IFERROR(__xludf.DUMMYFUNCTION("""COMPUTED_VALUE"""),"6.5831444")</f>
        <v>6.5831444</v>
      </c>
      <c r="Z563" s="4" t="str">
        <f>IFERROR(__xludf.DUMMYFUNCTION("""COMPUTED_VALUE"""),"2.930081")</f>
        <v>2.930081</v>
      </c>
      <c r="AA563" s="4" t="str">
        <f t="shared" si="1"/>
        <v>Not Neighbor</v>
      </c>
      <c r="AC563" s="4">
        <f>IFERROR(__xludf.DUMMYFUNCTION("IFERROR(ABS(O563-AVERAGE(FILTER(O563:O4631,AA563:AA4631=""Neighbor""))) / STDEV(FILTER(O563:O4631, AA563:AA4631 =""Neighbor"")), """")"),1.323118698508577)</f>
        <v>1.323118699</v>
      </c>
      <c r="AD563" s="4">
        <f>IFERROR(__xludf.DUMMYFUNCTION("IFERROR(ABS(P563-AVERAGE(FILTER(O563:P4631,AA563:AA4631=""Neighbor""))) / STDEV(FILTER(P563:P4631, AA563:AA4631 =""Neighbor"")), """")"),1.29518946789179)</f>
        <v>1.295189468</v>
      </c>
      <c r="AE563" s="2">
        <f>IFERROR(__xludf.DUMMYFUNCTION("IFERROR(ABS(Q563-AVERAGE(FILTER(Q563:Q4631,AA563:AA4631=""Neighbor""))) / STDEV(FILTER(Q563:Q4631, AA563:AA4631 =""Neighbor"")), """")"),0.758277081578369)</f>
        <v>0.7582770816</v>
      </c>
      <c r="AF563" s="2">
        <f>IFERROR(__xludf.DUMMYFUNCTION("IFERROR(ABS(R563-AVERAGE(FILTER(R563:R4631,AA563:AA4631=""Neighbor""))) / STDEV(FILTER(R563:R4631, AA563:AA4631 =""Neighbor"")), """")"),0.08699967120223547)</f>
        <v>0.0869996712</v>
      </c>
    </row>
    <row r="564">
      <c r="A564" s="2" t="s">
        <v>28</v>
      </c>
      <c r="B564" s="2" t="s">
        <v>1711</v>
      </c>
      <c r="C564" s="2" t="s">
        <v>2286</v>
      </c>
      <c r="D564" s="2" t="s">
        <v>2319</v>
      </c>
      <c r="E564" s="2" t="s">
        <v>2320</v>
      </c>
      <c r="F564" s="2">
        <v>162.0</v>
      </c>
      <c r="G564" s="2">
        <v>567.0</v>
      </c>
      <c r="H564" s="2" t="b">
        <v>1</v>
      </c>
      <c r="I564" s="2">
        <v>-1.0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s">
        <v>33</v>
      </c>
      <c r="O564" s="2">
        <v>127.0</v>
      </c>
      <c r="P564" s="2">
        <v>3.0</v>
      </c>
      <c r="Q564" s="2">
        <v>22.0</v>
      </c>
      <c r="R564" s="2">
        <v>0.0</v>
      </c>
      <c r="S564" s="3" t="s">
        <v>2321</v>
      </c>
      <c r="T564" s="2" t="s">
        <v>2322</v>
      </c>
      <c r="Y564" s="4" t="str">
        <f>IFERROR(__xludf.DUMMYFUNCTION("""COMPUTED_VALUE"""),"6.6070735")</f>
        <v>6.6070735</v>
      </c>
      <c r="Z564" s="4" t="str">
        <f>IFERROR(__xludf.DUMMYFUNCTION("""COMPUTED_VALUE"""),"2.9425698")</f>
        <v>2.9425698</v>
      </c>
      <c r="AA564" s="4" t="str">
        <f t="shared" si="1"/>
        <v>Neighbor</v>
      </c>
      <c r="AC564" s="4">
        <f>IFERROR(__xludf.DUMMYFUNCTION("IFERROR(ABS(O564-AVERAGE(FILTER(O564:O4632,AA564:AA4632=""Neighbor""))) / STDEV(FILTER(O564:O4632, AA564:AA4632 =""Neighbor"")), """")"),1.4155625670905176)</f>
        <v>1.415562567</v>
      </c>
      <c r="AD564" s="4">
        <f>IFERROR(__xludf.DUMMYFUNCTION("IFERROR(ABS(P564-AVERAGE(FILTER(O564:P4632,AA564:AA4632=""Neighbor""))) / STDEV(FILTER(P564:P4632, AA564:AA4632 =""Neighbor"")), """")"),1.4924868076440971)</f>
        <v>1.492486808</v>
      </c>
      <c r="AE564" s="2">
        <f>IFERROR(__xludf.DUMMYFUNCTION("IFERROR(ABS(Q564-AVERAGE(FILTER(Q564:Q4632,AA564:AA4632=""Neighbor""))) / STDEV(FILTER(Q564:Q4632, AA564:AA4632 =""Neighbor"")), """")"),0.1427906158059156)</f>
        <v>0.1427906158</v>
      </c>
      <c r="AF564" s="2">
        <f>IFERROR(__xludf.DUMMYFUNCTION("IFERROR(ABS(R564-AVERAGE(FILTER(R564:R4632,AA564:AA4632=""Neighbor""))) / STDEV(FILTER(R564:R4632, AA564:AA4632 =""Neighbor"")), """")"),0.09708658960249464)</f>
        <v>0.0970865896</v>
      </c>
    </row>
    <row r="565">
      <c r="A565" s="2" t="s">
        <v>28</v>
      </c>
      <c r="B565" s="2" t="s">
        <v>1711</v>
      </c>
      <c r="C565" s="2" t="s">
        <v>2286</v>
      </c>
      <c r="D565" s="2" t="s">
        <v>2323</v>
      </c>
      <c r="E565" s="2" t="s">
        <v>2324</v>
      </c>
      <c r="F565" s="2">
        <v>153.0</v>
      </c>
      <c r="G565" s="2">
        <v>555.0</v>
      </c>
      <c r="H565" s="2" t="b">
        <v>1</v>
      </c>
      <c r="I565" s="2">
        <v>-1.0</v>
      </c>
      <c r="J565" s="2" t="b">
        <v>0</v>
      </c>
      <c r="K565" s="2" t="b">
        <v>0</v>
      </c>
      <c r="L565" s="2" t="b">
        <v>0</v>
      </c>
      <c r="M565" s="2" t="b">
        <v>0</v>
      </c>
      <c r="N565" s="2" t="s">
        <v>33</v>
      </c>
      <c r="O565" s="2">
        <v>0.0</v>
      </c>
      <c r="P565" s="2">
        <v>0.0</v>
      </c>
      <c r="Q565" s="2">
        <v>0.0</v>
      </c>
      <c r="R565" s="2">
        <v>0.0</v>
      </c>
      <c r="S565" s="3" t="s">
        <v>2325</v>
      </c>
      <c r="T565" s="2" t="s">
        <v>2326</v>
      </c>
      <c r="Y565" s="4" t="str">
        <f>IFERROR(__xludf.DUMMYFUNCTION("""COMPUTED_VALUE"""),"6.6070735")</f>
        <v>6.6070735</v>
      </c>
      <c r="Z565" s="4" t="str">
        <f>IFERROR(__xludf.DUMMYFUNCTION("""COMPUTED_VALUE"""),"2.9425698")</f>
        <v>2.9425698</v>
      </c>
      <c r="AA565" s="4" t="str">
        <f t="shared" si="1"/>
        <v>Neighbor</v>
      </c>
      <c r="AC565" s="4">
        <f>IFERROR(__xludf.DUMMYFUNCTION("IFERROR(ABS(O565-AVERAGE(FILTER(O565:O4633,AA565:AA4633=""Neighbor""))) / STDEV(FILTER(O565:O4633, AA565:AA4633 =""Neighbor"")), """")"),1.5190837746631176)</f>
        <v>1.519083775</v>
      </c>
      <c r="AD565" s="4">
        <f>IFERROR(__xludf.DUMMYFUNCTION("IFERROR(ABS(P565-AVERAGE(FILTER(O565:P4633,AA565:AA4633=""Neighbor""))) / STDEV(FILTER(P565:P4633, AA565:AA4633 =""Neighbor"")), """")"),1.60980241268807)</f>
        <v>1.609802413</v>
      </c>
      <c r="AE565" s="2">
        <f>IFERROR(__xludf.DUMMYFUNCTION("IFERROR(ABS(Q565-AVERAGE(FILTER(Q565:Q4633,AA565:AA4633=""Neighbor""))) / STDEV(FILTER(Q565:Q4633, AA565:AA4633 =""Neighbor"")), """")"),1.04360565349428)</f>
        <v>1.043605653</v>
      </c>
      <c r="AF565" s="2">
        <f>IFERROR(__xludf.DUMMYFUNCTION("IFERROR(ABS(R565-AVERAGE(FILTER(R565:R4633,AA565:AA4633=""Neighbor""))) / STDEV(FILTER(R565:R4633, AA565:AA4633 =""Neighbor"")), """")"),0.09712014664773516)</f>
        <v>0.09712014665</v>
      </c>
    </row>
    <row r="566">
      <c r="A566" s="2" t="s">
        <v>28</v>
      </c>
      <c r="B566" s="2" t="s">
        <v>1711</v>
      </c>
      <c r="C566" s="2" t="s">
        <v>2286</v>
      </c>
      <c r="D566" s="2" t="s">
        <v>2327</v>
      </c>
      <c r="E566" s="2" t="s">
        <v>2328</v>
      </c>
      <c r="F566" s="2">
        <v>184.0</v>
      </c>
      <c r="G566" s="2">
        <v>797.0</v>
      </c>
      <c r="H566" s="2" t="b">
        <v>1</v>
      </c>
      <c r="I566" s="2">
        <v>-1.0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s">
        <v>33</v>
      </c>
      <c r="O566" s="2">
        <v>105.0</v>
      </c>
      <c r="P566" s="2">
        <v>3.0</v>
      </c>
      <c r="Q566" s="2">
        <v>60.0</v>
      </c>
      <c r="R566" s="2">
        <v>0.0</v>
      </c>
      <c r="S566" s="3" t="s">
        <v>2329</v>
      </c>
      <c r="T566" s="2" t="s">
        <v>2330</v>
      </c>
      <c r="Y566" s="4" t="str">
        <f>IFERROR(__xludf.DUMMYFUNCTION("""COMPUTED_VALUE"""),"6.6070735")</f>
        <v>6.6070735</v>
      </c>
      <c r="Z566" s="4" t="str">
        <f>IFERROR(__xludf.DUMMYFUNCTION("""COMPUTED_VALUE"""),"2.9425698")</f>
        <v>2.9425698</v>
      </c>
      <c r="AA566" s="4" t="str">
        <f t="shared" si="1"/>
        <v>Neighbor</v>
      </c>
      <c r="AC566" s="4">
        <f>IFERROR(__xludf.DUMMYFUNCTION("IFERROR(ABS(O566-AVERAGE(FILTER(O566:O4634,AA566:AA4634=""Neighbor""))) / STDEV(FILTER(O566:O4634, AA566:AA4634 =""Neighbor"")), """")"),0.9077707512952722)</f>
        <v>0.9077707513</v>
      </c>
      <c r="AD566" s="4">
        <f>IFERROR(__xludf.DUMMYFUNCTION("IFERROR(ABS(P566-AVERAGE(FILTER(O566:P4634,AA566:AA4634=""Neighbor""))) / STDEV(FILTER(P566:P4634, AA566:AA4634 =""Neighbor"")), """")"),1.4922478959402898)</f>
        <v>1.492247896</v>
      </c>
      <c r="AE566" s="2">
        <f>IFERROR(__xludf.DUMMYFUNCTION("IFERROR(ABS(Q566-AVERAGE(FILTER(Q566:Q4634,AA566:AA4634=""Neighbor""))) / STDEV(FILTER(Q566:Q4634, AA566:AA4634 =""Neighbor"")), """")"),1.4123543389585964)</f>
        <v>1.412354339</v>
      </c>
      <c r="AF566" s="2">
        <f>IFERROR(__xludf.DUMMYFUNCTION("IFERROR(ABS(R566-AVERAGE(FILTER(R566:R4634,AA566:AA4634=""Neighbor""))) / STDEV(FILTER(R566:R4634, AA566:AA4634 =""Neighbor"")), """")"),0.09715373851332981)</f>
        <v>0.09715373851</v>
      </c>
    </row>
    <row r="567">
      <c r="A567" s="2" t="s">
        <v>28</v>
      </c>
      <c r="B567" s="2" t="s">
        <v>1711</v>
      </c>
      <c r="C567" s="2" t="s">
        <v>2286</v>
      </c>
      <c r="D567" s="2" t="s">
        <v>2331</v>
      </c>
      <c r="E567" s="2" t="s">
        <v>2332</v>
      </c>
      <c r="F567" s="2">
        <v>108.0</v>
      </c>
      <c r="G567" s="2">
        <v>411.0</v>
      </c>
      <c r="H567" s="2" t="b">
        <v>1</v>
      </c>
      <c r="I567" s="2">
        <v>-1.0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s">
        <v>33</v>
      </c>
      <c r="O567" s="2">
        <v>69.0</v>
      </c>
      <c r="P567" s="2">
        <v>0.0</v>
      </c>
      <c r="Q567" s="2">
        <v>36.0</v>
      </c>
      <c r="R567" s="2">
        <v>0.0</v>
      </c>
      <c r="S567" s="3" t="s">
        <v>2333</v>
      </c>
      <c r="T567" s="2" t="s">
        <v>2334</v>
      </c>
      <c r="Y567" s="4" t="str">
        <f>IFERROR(__xludf.DUMMYFUNCTION("""COMPUTED_VALUE"""),"6.6070735")</f>
        <v>6.6070735</v>
      </c>
      <c r="Z567" s="4" t="str">
        <f>IFERROR(__xludf.DUMMYFUNCTION("""COMPUTED_VALUE"""),"2.9425698")</f>
        <v>2.9425698</v>
      </c>
      <c r="AA567" s="4" t="str">
        <f t="shared" si="1"/>
        <v>Not Neighbor</v>
      </c>
      <c r="AC567" s="4">
        <f>IFERROR(__xludf.DUMMYFUNCTION("IFERROR(ABS(O567-AVERAGE(FILTER(O567:O4635,AA567:AA4635=""Neighbor""))) / STDEV(FILTER(O567:O4635, AA567:AA4635 =""Neighbor"")), """")"),0.07573328517606037)</f>
        <v>0.07573328518</v>
      </c>
      <c r="AD567" s="4">
        <f>IFERROR(__xludf.DUMMYFUNCTION("IFERROR(ABS(P567-AVERAGE(FILTER(O567:P4635,AA567:AA4635=""Neighbor""))) / STDEV(FILTER(P567:P4635, AA567:AA4635 =""Neighbor"")), """")"),1.609806063727431)</f>
        <v>1.609806064</v>
      </c>
      <c r="AE567" s="2">
        <f>IFERROR(__xludf.DUMMYFUNCTION("IFERROR(ABS(Q567-AVERAGE(FILTER(Q567:Q4635,AA567:AA4635=""Neighbor""))) / STDEV(FILTER(Q567:Q4635, AA567:AA4635 =""Neighbor"")), """")"),0.4307878917490856)</f>
        <v>0.4307878917</v>
      </c>
      <c r="AF567" s="2">
        <f>IFERROR(__xludf.DUMMYFUNCTION("IFERROR(ABS(R567-AVERAGE(FILTER(R567:R4635,AA567:AA4635=""Neighbor""))) / STDEV(FILTER(R567:R4635, AA567:AA4635 =""Neighbor"")), """")"),0.09718736525953982)</f>
        <v>0.09718736526</v>
      </c>
    </row>
    <row r="568">
      <c r="A568" s="2" t="s">
        <v>28</v>
      </c>
      <c r="B568" s="2" t="s">
        <v>1711</v>
      </c>
      <c r="C568" s="2" t="s">
        <v>2335</v>
      </c>
      <c r="D568" s="2" t="s">
        <v>2336</v>
      </c>
      <c r="E568" s="2" t="s">
        <v>2337</v>
      </c>
      <c r="F568" s="2">
        <v>237.0</v>
      </c>
      <c r="G568" s="2">
        <v>950.0</v>
      </c>
      <c r="H568" s="2" t="b">
        <v>1</v>
      </c>
      <c r="I568" s="2">
        <v>-1.0</v>
      </c>
      <c r="J568" s="2" t="b">
        <v>0</v>
      </c>
      <c r="K568" s="2" t="b">
        <v>0</v>
      </c>
      <c r="L568" s="2" t="b">
        <v>0</v>
      </c>
      <c r="M568" s="2" t="b">
        <v>0</v>
      </c>
      <c r="N568" s="2" t="s">
        <v>33</v>
      </c>
      <c r="O568" s="2">
        <v>128.0</v>
      </c>
      <c r="P568" s="2">
        <v>11.0</v>
      </c>
      <c r="Q568" s="2">
        <v>78.0</v>
      </c>
      <c r="R568" s="2">
        <v>0.0</v>
      </c>
      <c r="S568" s="3" t="s">
        <v>2338</v>
      </c>
      <c r="T568" s="2" t="s">
        <v>2339</v>
      </c>
      <c r="Y568" s="4" t="str">
        <f>IFERROR(__xludf.DUMMYFUNCTION("""COMPUTED_VALUE"""),"6.6117188")</f>
        <v>6.6117188</v>
      </c>
      <c r="Z568" s="4" t="str">
        <f>IFERROR(__xludf.DUMMYFUNCTION("""COMPUTED_VALUE"""),"3.0576199")</f>
        <v>3.0576199</v>
      </c>
      <c r="AA568" s="4" t="str">
        <f t="shared" si="1"/>
        <v>Not Neighbor</v>
      </c>
      <c r="AC568" s="4">
        <f>IFERROR(__xludf.DUMMYFUNCTION("IFERROR(ABS(O568-AVERAGE(FILTER(O568:O4636,AA568:AA4636=""Neighbor""))) / STDEV(FILTER(O568:O4636, AA568:AA4636 =""Neighbor"")), """")"),1.440281680395025)</f>
        <v>1.44028168</v>
      </c>
      <c r="AD568" s="4">
        <f>IFERROR(__xludf.DUMMYFUNCTION("IFERROR(ABS(P568-AVERAGE(FILTER(O568:P4636,AA568:AA4636=""Neighbor""))) / STDEV(FILTER(P568:P4636, AA568:AA4636 =""Neighbor"")), """")"),1.1760626112559764)</f>
        <v>1.176062611</v>
      </c>
      <c r="AE568" s="2">
        <f>IFERROR(__xludf.DUMMYFUNCTION("IFERROR(ABS(Q568-AVERAGE(FILTER(Q568:Q4636,AA568:AA4636=""Neighbor""))) / STDEV(FILTER(Q568:Q4636, AA568:AA4636 =""Neighbor"")), """")"),2.151072037382963)</f>
        <v>2.151072037</v>
      </c>
      <c r="AF568" s="2">
        <f>IFERROR(__xludf.DUMMYFUNCTION("IFERROR(ABS(R568-AVERAGE(FILTER(R568:R4636,AA568:AA4636=""Neighbor""))) / STDEV(FILTER(R568:R4636, AA568:AA4636 =""Neighbor"")), """")"),0.09718736525953982)</f>
        <v>0.09718736526</v>
      </c>
    </row>
    <row r="569">
      <c r="A569" s="2" t="s">
        <v>28</v>
      </c>
      <c r="B569" s="2" t="s">
        <v>1711</v>
      </c>
      <c r="C569" s="2" t="s">
        <v>2335</v>
      </c>
      <c r="D569" s="2" t="s">
        <v>2340</v>
      </c>
      <c r="E569" s="2" t="s">
        <v>2341</v>
      </c>
      <c r="F569" s="2">
        <v>92.0</v>
      </c>
      <c r="G569" s="2">
        <v>361.0</v>
      </c>
      <c r="H569" s="2" t="b">
        <v>1</v>
      </c>
      <c r="I569" s="2">
        <v>-1.0</v>
      </c>
      <c r="J569" s="2" t="b">
        <v>0</v>
      </c>
      <c r="K569" s="2" t="b">
        <v>0</v>
      </c>
      <c r="L569" s="2" t="b">
        <v>0</v>
      </c>
      <c r="M569" s="2" t="b">
        <v>0</v>
      </c>
      <c r="N569" s="2" t="s">
        <v>33</v>
      </c>
      <c r="O569" s="2">
        <v>44.0</v>
      </c>
      <c r="P569" s="2">
        <v>1.0</v>
      </c>
      <c r="Q569" s="2">
        <v>39.0</v>
      </c>
      <c r="R569" s="2">
        <v>0.0</v>
      </c>
      <c r="S569" s="3" t="s">
        <v>2342</v>
      </c>
      <c r="T569" s="2" t="s">
        <v>2343</v>
      </c>
      <c r="Y569" s="4" t="str">
        <f>IFERROR(__xludf.DUMMYFUNCTION("""COMPUTED_VALUE"""),"6.5411875")</f>
        <v>6.5411875</v>
      </c>
      <c r="Z569" s="4" t="str">
        <f>IFERROR(__xludf.DUMMYFUNCTION("""COMPUTED_VALUE"""),"2.9257107")</f>
        <v>2.9257107</v>
      </c>
      <c r="AA569" s="4" t="str">
        <f t="shared" si="1"/>
        <v>Neighbor</v>
      </c>
      <c r="AC569" s="4">
        <f>IFERROR(__xludf.DUMMYFUNCTION("IFERROR(ABS(O569-AVERAGE(FILTER(O569:O4637,AA569:AA4637=""Neighbor""))) / STDEV(FILTER(O569:O4637, AA569:AA4637 =""Neighbor"")), """")"),0.5024651873743483)</f>
        <v>0.5024651874</v>
      </c>
      <c r="AD569" s="4">
        <f>IFERROR(__xludf.DUMMYFUNCTION("IFERROR(ABS(P569-AVERAGE(FILTER(O569:P4637,AA569:AA4637=""Neighbor""))) / STDEV(FILTER(P569:P4637, AA569:AA4637 =""Neighbor"")), """")"),1.5703748407754805)</f>
        <v>1.570374841</v>
      </c>
      <c r="AE569" s="2">
        <f>IFERROR(__xludf.DUMMYFUNCTION("IFERROR(ABS(Q569-AVERAGE(FILTER(Q569:Q4637,AA569:AA4637=""Neighbor""))) / STDEV(FILTER(Q569:Q4637, AA569:AA4637 =""Neighbor"")), """")"),0.553665330722934)</f>
        <v>0.5536653307</v>
      </c>
      <c r="AF569" s="2">
        <f>IFERROR(__xludf.DUMMYFUNCTION("IFERROR(ABS(R569-AVERAGE(FILTER(R569:R4637,AA569:AA4637=""Neighbor""))) / STDEV(FILTER(R569:R4637, AA569:AA4637 =""Neighbor"")), """")"),0.09718736525953982)</f>
        <v>0.09718736526</v>
      </c>
    </row>
    <row r="570">
      <c r="A570" s="2" t="s">
        <v>28</v>
      </c>
      <c r="B570" s="2" t="s">
        <v>1711</v>
      </c>
      <c r="C570" s="2" t="s">
        <v>2335</v>
      </c>
      <c r="D570" s="2" t="s">
        <v>2344</v>
      </c>
      <c r="E570" s="2" t="s">
        <v>2345</v>
      </c>
      <c r="F570" s="2">
        <v>138.0</v>
      </c>
      <c r="G570" s="2">
        <v>662.0</v>
      </c>
      <c r="H570" s="2" t="b">
        <v>1</v>
      </c>
      <c r="I570" s="2">
        <v>-1.0</v>
      </c>
      <c r="J570" s="2" t="b">
        <v>0</v>
      </c>
      <c r="K570" s="2" t="b">
        <v>1</v>
      </c>
      <c r="L570" s="2" t="b">
        <v>0</v>
      </c>
      <c r="M570" s="2" t="b">
        <v>0</v>
      </c>
      <c r="N570" s="2" t="s">
        <v>33</v>
      </c>
      <c r="O570" s="2">
        <v>74.0</v>
      </c>
      <c r="P570" s="2">
        <v>5.0</v>
      </c>
      <c r="Q570" s="2">
        <v>51.0</v>
      </c>
      <c r="R570" s="2">
        <v>0.0</v>
      </c>
      <c r="S570" s="3" t="s">
        <v>2346</v>
      </c>
      <c r="T570" s="2" t="s">
        <v>2347</v>
      </c>
      <c r="Y570" s="4" t="str">
        <f>IFERROR(__xludf.DUMMYFUNCTION("""COMPUTED_VALUE"""),"6.5411875")</f>
        <v>6.5411875</v>
      </c>
      <c r="Z570" s="4" t="str">
        <f>IFERROR(__xludf.DUMMYFUNCTION("""COMPUTED_VALUE"""),"2.9257107")</f>
        <v>2.9257107</v>
      </c>
      <c r="AA570" s="4" t="str">
        <f t="shared" si="1"/>
        <v>Not Neighbor</v>
      </c>
      <c r="AC570" s="4">
        <f>IFERROR(__xludf.DUMMYFUNCTION("IFERROR(ABS(O570-AVERAGE(FILTER(O570:O4638,AA570:AA4638=""Neighbor""))) / STDEV(FILTER(O570:O4638, AA570:AA4638 =""Neighbor"")), """")"),0.1909788384814177)</f>
        <v>0.1909788385</v>
      </c>
      <c r="AD570" s="4">
        <f>IFERROR(__xludf.DUMMYFUNCTION("IFERROR(ABS(P570-AVERAGE(FILTER(O570:P4638,AA570:AA4638=""Neighbor""))) / STDEV(FILTER(P570:P4638, AA570:AA4638 =""Neighbor"")), """")"),1.4128290586302215)</f>
        <v>1.412829059</v>
      </c>
      <c r="AE570" s="2">
        <f>IFERROR(__xludf.DUMMYFUNCTION("IFERROR(ABS(Q570-AVERAGE(FILTER(Q570:Q4638,AA570:AA4638=""Neighbor""))) / STDEV(FILTER(Q570:Q4638, AA570:AA4638 =""Neighbor"")), """")"),1.0453063594350092)</f>
        <v>1.045306359</v>
      </c>
      <c r="AF570" s="2">
        <f>IFERROR(__xludf.DUMMYFUNCTION("IFERROR(ABS(R570-AVERAGE(FILTER(R570:R4638,AA570:AA4638=""Neighbor""))) / STDEV(FILTER(R570:R4638, AA570:AA4638 =""Neighbor"")), """")"),0.09722102694677204)</f>
        <v>0.09722102695</v>
      </c>
    </row>
    <row r="571">
      <c r="A571" s="2" t="s">
        <v>28</v>
      </c>
      <c r="B571" s="2" t="s">
        <v>1711</v>
      </c>
      <c r="C571" s="2" t="s">
        <v>2335</v>
      </c>
      <c r="D571" s="2" t="s">
        <v>2348</v>
      </c>
      <c r="E571" s="2" t="s">
        <v>2349</v>
      </c>
      <c r="F571" s="2">
        <v>247.0</v>
      </c>
      <c r="G571" s="2">
        <v>950.0</v>
      </c>
      <c r="H571" s="2" t="b">
        <v>1</v>
      </c>
      <c r="I571" s="2">
        <v>-1.0</v>
      </c>
      <c r="J571" s="2" t="b">
        <v>1</v>
      </c>
      <c r="K571" s="2" t="b">
        <v>0</v>
      </c>
      <c r="L571" s="2" t="b">
        <v>0</v>
      </c>
      <c r="M571" s="2" t="b">
        <v>0</v>
      </c>
      <c r="N571" s="2" t="s">
        <v>33</v>
      </c>
      <c r="O571" s="2">
        <v>152.0</v>
      </c>
      <c r="P571" s="2">
        <v>30.0</v>
      </c>
      <c r="Q571" s="2">
        <v>40.0</v>
      </c>
      <c r="R571" s="2">
        <v>0.0</v>
      </c>
      <c r="S571" s="3" t="s">
        <v>2350</v>
      </c>
      <c r="T571" s="2" t="s">
        <v>2351</v>
      </c>
      <c r="Y571" s="4" t="str">
        <f>IFERROR(__xludf.DUMMYFUNCTION("""COMPUTED_VALUE"""),"6.6117188")</f>
        <v>6.6117188</v>
      </c>
      <c r="Z571" s="4" t="str">
        <f>IFERROR(__xludf.DUMMYFUNCTION("""COMPUTED_VALUE"""),"3.0576199")</f>
        <v>3.0576199</v>
      </c>
      <c r="AA571" s="4" t="str">
        <f t="shared" si="1"/>
        <v>Neighbor</v>
      </c>
      <c r="AC571" s="4">
        <f>IFERROR(__xludf.DUMMYFUNCTION("IFERROR(ABS(O571-AVERAGE(FILTER(O571:O4639,AA571:AA4639=""Neighbor""))) / STDEV(FILTER(O571:O4639, AA571:AA4639 =""Neighbor"")), """")"),1.9944949476330591)</f>
        <v>1.994494948</v>
      </c>
      <c r="AD571" s="4">
        <f>IFERROR(__xludf.DUMMYFUNCTION("IFERROR(ABS(P571-AVERAGE(FILTER(O571:P4639,AA571:AA4639=""Neighbor""))) / STDEV(FILTER(P571:P4639, AA571:AA4639 =""Neighbor"")), """")"),0.42726974558914177)</f>
        <v>0.4272697456</v>
      </c>
      <c r="AE571" s="2">
        <f>IFERROR(__xludf.DUMMYFUNCTION("IFERROR(ABS(Q571-AVERAGE(FILTER(Q571:Q4639,AA571:AA4639=""Neighbor""))) / STDEV(FILTER(Q571:Q4639, AA571:AA4639 =""Neighbor"")), """")"),0.5948630454007555)</f>
        <v>0.5948630454</v>
      </c>
      <c r="AF571" s="2">
        <f>IFERROR(__xludf.DUMMYFUNCTION("IFERROR(ABS(R571-AVERAGE(FILTER(R571:R4639,AA571:AA4639=""Neighbor""))) / STDEV(FILTER(R571:R4639, AA571:AA4639 =""Neighbor"")), """")"),0.09722102694677204)</f>
        <v>0.09722102695</v>
      </c>
    </row>
    <row r="572">
      <c r="A572" s="2" t="s">
        <v>28</v>
      </c>
      <c r="B572" s="2" t="s">
        <v>1711</v>
      </c>
      <c r="C572" s="2" t="s">
        <v>2335</v>
      </c>
      <c r="D572" s="2" t="s">
        <v>2352</v>
      </c>
      <c r="E572" s="2" t="s">
        <v>2353</v>
      </c>
      <c r="F572" s="2">
        <v>116.0</v>
      </c>
      <c r="G572" s="2">
        <v>327.0</v>
      </c>
      <c r="H572" s="2" t="b">
        <v>1</v>
      </c>
      <c r="I572" s="2">
        <v>-1.0</v>
      </c>
      <c r="J572" s="2" t="b">
        <v>0</v>
      </c>
      <c r="K572" s="2" t="b">
        <v>0</v>
      </c>
      <c r="L572" s="2" t="b">
        <v>0</v>
      </c>
      <c r="M572" s="2" t="b">
        <v>0</v>
      </c>
      <c r="N572" s="2" t="s">
        <v>33</v>
      </c>
      <c r="O572" s="2">
        <v>72.0</v>
      </c>
      <c r="P572" s="2">
        <v>11.0</v>
      </c>
      <c r="Q572" s="2">
        <v>24.0</v>
      </c>
      <c r="R572" s="2">
        <v>2.0</v>
      </c>
      <c r="S572" s="3" t="s">
        <v>2354</v>
      </c>
      <c r="T572" s="2" t="s">
        <v>2355</v>
      </c>
      <c r="Y572" s="4" t="str">
        <f>IFERROR(__xludf.DUMMYFUNCTION("""COMPUTED_VALUE"""),"6.6117188")</f>
        <v>6.6117188</v>
      </c>
      <c r="Z572" s="4" t="str">
        <f>IFERROR(__xludf.DUMMYFUNCTION("""COMPUTED_VALUE"""),"3.0576199")</f>
        <v>3.0576199</v>
      </c>
      <c r="AA572" s="4" t="str">
        <f t="shared" si="1"/>
        <v>Not Neighbor</v>
      </c>
      <c r="AC572" s="4">
        <f>IFERROR(__xludf.DUMMYFUNCTION("IFERROR(ABS(O572-AVERAGE(FILTER(O572:O4640,AA572:AA4640=""Neighbor""))) / STDEV(FILTER(O572:O4640, AA572:AA4640 =""Neighbor"")), """")"),0.1462556137225117)</f>
        <v>0.1462556137</v>
      </c>
      <c r="AD572" s="4">
        <f>IFERROR(__xludf.DUMMYFUNCTION("IFERROR(ABS(P572-AVERAGE(FILTER(O572:P4640,AA572:AA4640=""Neighbor""))) / STDEV(FILTER(P572:P4640, AA572:AA4640 =""Neighbor"")), """")"),1.17465606813981)</f>
        <v>1.174656068</v>
      </c>
      <c r="AE572" s="2">
        <f>IFERROR(__xludf.DUMMYFUNCTION("IFERROR(ABS(Q572-AVERAGE(FILTER(Q572:Q4640,AA572:AA4640=""Neighbor""))) / STDEV(FILTER(Q572:Q4640, AA572:AA4640 =""Neighbor"")), """")"),0.05990508495923324)</f>
        <v>0.05990508496</v>
      </c>
      <c r="AF572" s="2">
        <f>IFERROR(__xludf.DUMMYFUNCTION("IFERROR(ABS(R572-AVERAGE(FILTER(R572:R4640,AA572:AA4640=""Neighbor""))) / STDEV(FILTER(R572:R4640, AA572:AA4640 =""Neighbor"")), """")"),0.2702923488053788)</f>
        <v>0.2702923488</v>
      </c>
    </row>
    <row r="573">
      <c r="A573" s="2" t="s">
        <v>28</v>
      </c>
      <c r="B573" s="2" t="s">
        <v>1711</v>
      </c>
      <c r="C573" s="2" t="s">
        <v>2335</v>
      </c>
      <c r="D573" s="2" t="s">
        <v>2356</v>
      </c>
      <c r="E573" s="2" t="s">
        <v>2357</v>
      </c>
      <c r="F573" s="2">
        <v>141.0</v>
      </c>
      <c r="G573" s="2">
        <v>651.0</v>
      </c>
      <c r="H573" s="2" t="b">
        <v>1</v>
      </c>
      <c r="I573" s="2">
        <v>-1.0</v>
      </c>
      <c r="J573" s="2" t="b">
        <v>0</v>
      </c>
      <c r="K573" s="2" t="b">
        <v>0</v>
      </c>
      <c r="L573" s="2" t="b">
        <v>0</v>
      </c>
      <c r="M573" s="2" t="b">
        <v>0</v>
      </c>
      <c r="N573" s="2" t="s">
        <v>33</v>
      </c>
      <c r="O573" s="2">
        <v>0.0</v>
      </c>
      <c r="P573" s="2">
        <v>0.0</v>
      </c>
      <c r="Q573" s="2">
        <v>0.0</v>
      </c>
      <c r="R573" s="2">
        <v>0.0</v>
      </c>
      <c r="S573" s="3" t="s">
        <v>2358</v>
      </c>
      <c r="T573" s="2" t="s">
        <v>2359</v>
      </c>
      <c r="Y573" s="4" t="str">
        <f>IFERROR(__xludf.DUMMYFUNCTION("""COMPUTED_VALUE"""),"6.5936921")</f>
        <v>6.5936921</v>
      </c>
      <c r="Z573" s="4" t="str">
        <f>IFERROR(__xludf.DUMMYFUNCTION("""COMPUTED_VALUE"""),"2.9450393")</f>
        <v>2.9450393</v>
      </c>
      <c r="AA573" s="4" t="str">
        <f t="shared" si="1"/>
        <v>Not Neighbor</v>
      </c>
      <c r="AC573" s="4">
        <f>IFERROR(__xludf.DUMMYFUNCTION("IFERROR(ABS(O573-AVERAGE(FILTER(O573:O4641,AA573:AA4641=""Neighbor""))) / STDEV(FILTER(O573:O4641, AA573:AA4641 =""Neighbor"")), """")"),1.5202375441598384)</f>
        <v>1.520237544</v>
      </c>
      <c r="AD573" s="4">
        <f>IFERROR(__xludf.DUMMYFUNCTION("IFERROR(ABS(P573-AVERAGE(FILTER(O573:P4641,AA573:AA4641=""Neighbor""))) / STDEV(FILTER(P573:P4641, AA573:AA4641 =""Neighbor"")), """")"),1.6081989516177162)</f>
        <v>1.608198952</v>
      </c>
      <c r="AE573" s="2">
        <f>IFERROR(__xludf.DUMMYFUNCTION("IFERROR(ABS(Q573-AVERAGE(FILTER(Q573:Q4641,AA573:AA4641=""Neighbor""))) / STDEV(FILTER(Q573:Q4641, AA573:AA4641 =""Neighbor"")), """")"),1.0424722840087528)</f>
        <v>1.042472284</v>
      </c>
      <c r="AF573" s="2">
        <f>IFERROR(__xludf.DUMMYFUNCTION("IFERROR(ABS(R573-AVERAGE(FILTER(R573:R4641,AA573:AA4641=""Neighbor""))) / STDEV(FILTER(R573:R4641, AA573:AA4641 =""Neighbor"")), """")"),0.0972547236355802)</f>
        <v>0.09725472364</v>
      </c>
    </row>
    <row r="574">
      <c r="A574" s="2" t="s">
        <v>28</v>
      </c>
      <c r="B574" s="2" t="s">
        <v>1711</v>
      </c>
      <c r="C574" s="2" t="s">
        <v>2335</v>
      </c>
      <c r="D574" s="2" t="s">
        <v>2360</v>
      </c>
      <c r="E574" s="2" t="s">
        <v>2361</v>
      </c>
      <c r="F574" s="2">
        <v>96.0</v>
      </c>
      <c r="G574" s="2">
        <v>423.0</v>
      </c>
      <c r="H574" s="2" t="b">
        <v>1</v>
      </c>
      <c r="I574" s="2">
        <v>-1.0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s">
        <v>33</v>
      </c>
      <c r="O574" s="2">
        <v>56.0</v>
      </c>
      <c r="P574" s="2">
        <v>11.0</v>
      </c>
      <c r="Q574" s="2">
        <v>22.0</v>
      </c>
      <c r="R574" s="2">
        <v>0.0</v>
      </c>
      <c r="S574" s="3" t="s">
        <v>2362</v>
      </c>
      <c r="T574" s="2" t="s">
        <v>2363</v>
      </c>
      <c r="Y574" s="4" t="str">
        <f>IFERROR(__xludf.DUMMYFUNCTION("""COMPUTED_VALUE"""),"6.6117188")</f>
        <v>6.6117188</v>
      </c>
      <c r="Z574" s="4" t="str">
        <f>IFERROR(__xludf.DUMMYFUNCTION("""COMPUTED_VALUE"""),"3.0576199")</f>
        <v>3.0576199</v>
      </c>
      <c r="AA574" s="4" t="str">
        <f t="shared" si="1"/>
        <v>Neighbor</v>
      </c>
      <c r="AC574" s="4">
        <f>IFERROR(__xludf.DUMMYFUNCTION("IFERROR(ABS(O574-AVERAGE(FILTER(O574:O4642,AA574:AA4642=""Neighbor""))) / STDEV(FILTER(O574:O4642, AA574:AA4642 =""Neighbor"")), """")"),0.22407619914023277)</f>
        <v>0.2240761991</v>
      </c>
      <c r="AD574" s="4">
        <f>IFERROR(__xludf.DUMMYFUNCTION("IFERROR(ABS(P574-AVERAGE(FILTER(O574:P4642,AA574:AA4642=""Neighbor""))) / STDEV(FILTER(P574:P4642, AA574:AA4642 =""Neighbor"")), """")"),1.17465606813981)</f>
        <v>1.174656068</v>
      </c>
      <c r="AE574" s="2">
        <f>IFERROR(__xludf.DUMMYFUNCTION("IFERROR(ABS(Q574-AVERAGE(FILTER(Q574:Q4642,AA574:AA4642=""Neighbor""))) / STDEV(FILTER(Q574:Q4642, AA574:AA4642 =""Neighbor"")), """")"),0.14178568488002655)</f>
        <v>0.1417856849</v>
      </c>
      <c r="AF574" s="2">
        <f>IFERROR(__xludf.DUMMYFUNCTION("IFERROR(ABS(R574-AVERAGE(FILTER(R574:R4642,AA574:AA4642=""Neighbor""))) / STDEV(FILTER(R574:R4642, AA574:AA4642 =""Neighbor"")), """")"),0.0972547236355802)</f>
        <v>0.09725472364</v>
      </c>
    </row>
    <row r="575">
      <c r="A575" s="2" t="s">
        <v>28</v>
      </c>
      <c r="B575" s="2" t="s">
        <v>1711</v>
      </c>
      <c r="C575" s="2" t="s">
        <v>2335</v>
      </c>
      <c r="D575" s="2" t="s">
        <v>2364</v>
      </c>
      <c r="E575" s="2" t="s">
        <v>2365</v>
      </c>
      <c r="F575" s="2">
        <v>79.0</v>
      </c>
      <c r="G575" s="2">
        <v>376.0</v>
      </c>
      <c r="H575" s="2" t="b">
        <v>1</v>
      </c>
      <c r="I575" s="2">
        <v>-1.0</v>
      </c>
      <c r="J575" s="2" t="b">
        <v>0</v>
      </c>
      <c r="K575" s="2" t="b">
        <v>0</v>
      </c>
      <c r="L575" s="2" t="b">
        <v>0</v>
      </c>
      <c r="M575" s="2" t="b">
        <v>0</v>
      </c>
      <c r="N575" s="2" t="s">
        <v>33</v>
      </c>
      <c r="O575" s="2">
        <v>44.0</v>
      </c>
      <c r="P575" s="2">
        <v>5.0</v>
      </c>
      <c r="Q575" s="2">
        <v>23.0</v>
      </c>
      <c r="R575" s="2">
        <v>0.0</v>
      </c>
      <c r="S575" s="3" t="s">
        <v>2366</v>
      </c>
      <c r="T575" s="2" t="s">
        <v>2367</v>
      </c>
      <c r="Y575" s="4" t="str">
        <f>IFERROR(__xludf.DUMMYFUNCTION("""COMPUTED_VALUE"""),"6.6117188")</f>
        <v>6.6117188</v>
      </c>
      <c r="Z575" s="4" t="str">
        <f>IFERROR(__xludf.DUMMYFUNCTION("""COMPUTED_VALUE"""),"3.0576199")</f>
        <v>3.0576199</v>
      </c>
      <c r="AA575" s="4" t="str">
        <f t="shared" si="1"/>
        <v>Neighbor</v>
      </c>
      <c r="AC575" s="4">
        <f>IFERROR(__xludf.DUMMYFUNCTION("IFERROR(ABS(O575-AVERAGE(FILTER(O575:O4643,AA575:AA4643=""Neighbor""))) / STDEV(FILTER(O575:O4643, AA575:AA4643 =""Neighbor"")), """")"),0.5018151896843851)</f>
        <v>0.5018151897</v>
      </c>
      <c r="AD575" s="4">
        <f>IFERROR(__xludf.DUMMYFUNCTION("IFERROR(ABS(P575-AVERAGE(FILTER(O575:P4643,AA575:AA4643=""Neighbor""))) / STDEV(FILTER(P575:P4643, AA575:AA4643 =""Neighbor"")), """")"),1.410864878145395)</f>
        <v>1.410864878</v>
      </c>
      <c r="AE575" s="2">
        <f>IFERROR(__xludf.DUMMYFUNCTION("IFERROR(ABS(Q575-AVERAGE(FILTER(Q575:Q4643,AA575:AA4643=""Neighbor""))) / STDEV(FILTER(Q575:Q4643, AA575:AA4643 =""Neighbor"")), """")"),0.10090887910813684)</f>
        <v>0.1009088791</v>
      </c>
      <c r="AF575" s="2">
        <f>IFERROR(__xludf.DUMMYFUNCTION("IFERROR(ABS(R575-AVERAGE(FILTER(R575:R4643,AA575:AA4643=""Neighbor""))) / STDEV(FILTER(R575:R4643, AA575:AA4643 =""Neighbor"")), """")"),0.09728845538666464)</f>
        <v>0.09728845539</v>
      </c>
    </row>
    <row r="576">
      <c r="A576" s="2" t="s">
        <v>28</v>
      </c>
      <c r="B576" s="2" t="s">
        <v>1711</v>
      </c>
      <c r="C576" s="2" t="s">
        <v>2335</v>
      </c>
      <c r="D576" s="2" t="s">
        <v>2368</v>
      </c>
      <c r="E576" s="2" t="s">
        <v>2369</v>
      </c>
      <c r="F576" s="2">
        <v>170.0</v>
      </c>
      <c r="G576" s="2">
        <v>619.0</v>
      </c>
      <c r="H576" s="2" t="b">
        <v>1</v>
      </c>
      <c r="I576" s="2">
        <v>-1.0</v>
      </c>
      <c r="J576" s="2" t="b">
        <v>0</v>
      </c>
      <c r="K576" s="2" t="b">
        <v>0</v>
      </c>
      <c r="L576" s="2" t="b">
        <v>0</v>
      </c>
      <c r="M576" s="2" t="b">
        <v>0</v>
      </c>
      <c r="N576" s="2" t="s">
        <v>33</v>
      </c>
      <c r="O576" s="2">
        <v>65.0</v>
      </c>
      <c r="P576" s="2">
        <v>32.0</v>
      </c>
      <c r="Q576" s="2">
        <v>54.0</v>
      </c>
      <c r="R576" s="2">
        <v>2.0</v>
      </c>
      <c r="S576" s="3" t="s">
        <v>2370</v>
      </c>
      <c r="T576" s="2" t="s">
        <v>2371</v>
      </c>
      <c r="Y576" s="4" t="str">
        <f>IFERROR(__xludf.DUMMYFUNCTION("""COMPUTED_VALUE"""),"6.6117188")</f>
        <v>6.6117188</v>
      </c>
      <c r="Z576" s="4" t="str">
        <f>IFERROR(__xludf.DUMMYFUNCTION("""COMPUTED_VALUE"""),"3.0576199")</f>
        <v>3.0576199</v>
      </c>
      <c r="AA576" s="4" t="str">
        <f t="shared" si="1"/>
        <v>Not Neighbor</v>
      </c>
      <c r="AC576" s="4">
        <f>IFERROR(__xludf.DUMMYFUNCTION("IFERROR(ABS(O576-AVERAGE(FILTER(O576:O4644,AA576:AA4644=""Neighbor""))) / STDEV(FILTER(O576:O4644, AA576:AA4644 =""Neighbor"")), """")"),0.016254643088733214)</f>
        <v>0.01625464309</v>
      </c>
      <c r="AD576" s="4">
        <f>IFERROR(__xludf.DUMMYFUNCTION("IFERROR(ABS(P576-AVERAGE(FILTER(O576:P4644,AA576:AA4644=""Neighbor""))) / STDEV(FILTER(P576:P4644, AA576:AA4644 =""Neighbor"")), """")"),0.3474111812994622)</f>
        <v>0.3474111813</v>
      </c>
      <c r="AE576" s="2">
        <f>IFERROR(__xludf.DUMMYFUNCTION("IFERROR(ABS(Q576-AVERAGE(FILTER(Q576:Q4644,AA576:AA4644=""Neighbor""))) / STDEV(FILTER(Q576:Q4644, AA576:AA4644 =""Neighbor"")), """")"),1.1673454243686248)</f>
        <v>1.167345424</v>
      </c>
      <c r="AF576" s="2">
        <f>IFERROR(__xludf.DUMMYFUNCTION("IFERROR(ABS(R576-AVERAGE(FILTER(R576:R4644,AA576:AA4644=""Neighbor""))) / STDEV(FILTER(R576:R4644, AA576:AA4644 =""Neighbor"")), """")"),0.26997437240159217)</f>
        <v>0.2699743724</v>
      </c>
    </row>
    <row r="577">
      <c r="A577" s="2" t="s">
        <v>28</v>
      </c>
      <c r="B577" s="2" t="s">
        <v>1711</v>
      </c>
      <c r="C577" s="2" t="s">
        <v>2335</v>
      </c>
      <c r="D577" s="2" t="s">
        <v>2372</v>
      </c>
      <c r="E577" s="2" t="s">
        <v>2373</v>
      </c>
      <c r="F577" s="2">
        <v>115.0</v>
      </c>
      <c r="G577" s="2">
        <v>343.0</v>
      </c>
      <c r="H577" s="2" t="b">
        <v>1</v>
      </c>
      <c r="I577" s="2">
        <v>-1.0</v>
      </c>
      <c r="J577" s="2" t="b">
        <v>0</v>
      </c>
      <c r="K577" s="2" t="b">
        <v>0</v>
      </c>
      <c r="L577" s="2" t="b">
        <v>0</v>
      </c>
      <c r="M577" s="2" t="b">
        <v>0</v>
      </c>
      <c r="N577" s="2" t="s">
        <v>33</v>
      </c>
      <c r="O577" s="2">
        <v>58.0</v>
      </c>
      <c r="P577" s="2">
        <v>16.0</v>
      </c>
      <c r="Q577" s="2">
        <v>29.0</v>
      </c>
      <c r="R577" s="2">
        <v>0.0</v>
      </c>
      <c r="S577" s="3" t="s">
        <v>2374</v>
      </c>
      <c r="T577" s="2" t="s">
        <v>2375</v>
      </c>
      <c r="Y577" s="4" t="str">
        <f>IFERROR(__xludf.DUMMYFUNCTION("""COMPUTED_VALUE"""),"6.5503984")</f>
        <v>6.5503984</v>
      </c>
      <c r="Z577" s="4" t="str">
        <f>IFERROR(__xludf.DUMMYFUNCTION("""COMPUTED_VALUE"""),"2.9456925")</f>
        <v>2.9456925</v>
      </c>
      <c r="AA577" s="4" t="str">
        <f t="shared" si="1"/>
        <v>Not Neighbor</v>
      </c>
      <c r="AC577" s="4">
        <f>IFERROR(__xludf.DUMMYFUNCTION("IFERROR(ABS(O577-AVERAGE(FILTER(O577:O4645,AA577:AA4645=""Neighbor""))) / STDEV(FILTER(O577:O4645, AA577:AA4645 =""Neighbor"")), """")"),0.17818018163477187)</f>
        <v>0.1781801816</v>
      </c>
      <c r="AD577" s="4">
        <f>IFERROR(__xludf.DUMMYFUNCTION("IFERROR(ABS(P577-AVERAGE(FILTER(O577:P4645,AA577:AA4645=""Neighbor""))) / STDEV(FILTER(P577:P4645, AA577:AA4645 =""Neighbor"")), """")"),0.9776335793994113)</f>
        <v>0.9776335794</v>
      </c>
      <c r="AE577" s="2">
        <f>IFERROR(__xludf.DUMMYFUNCTION("IFERROR(ABS(Q577-AVERAGE(FILTER(Q577:Q4645,AA577:AA4645=""Neighbor""))) / STDEV(FILTER(Q577:Q4645, AA577:AA4645 =""Neighbor"")), """")"),0.14453143092489149)</f>
        <v>0.1445314309</v>
      </c>
      <c r="AF577" s="2">
        <f>IFERROR(__xludf.DUMMYFUNCTION("IFERROR(ABS(R577-AVERAGE(FILTER(R577:R4645,AA577:AA4645=""Neighbor""))) / STDEV(FILTER(R577:R4645, AA577:AA4645 =""Neighbor"")), """")"),0.09732222226087359)</f>
        <v>0.09732222226</v>
      </c>
    </row>
    <row r="578">
      <c r="A578" s="2" t="s">
        <v>28</v>
      </c>
      <c r="B578" s="2" t="s">
        <v>1711</v>
      </c>
      <c r="C578" s="2" t="s">
        <v>2335</v>
      </c>
      <c r="D578" s="2" t="s">
        <v>2376</v>
      </c>
      <c r="E578" s="2" t="s">
        <v>2377</v>
      </c>
      <c r="F578" s="2">
        <v>152.0</v>
      </c>
      <c r="G578" s="2">
        <v>291.0</v>
      </c>
      <c r="H578" s="2" t="b">
        <v>1</v>
      </c>
      <c r="I578" s="2">
        <v>-1.0</v>
      </c>
      <c r="J578" s="2" t="b">
        <v>0</v>
      </c>
      <c r="K578" s="2" t="b">
        <v>0</v>
      </c>
      <c r="L578" s="2" t="b">
        <v>0</v>
      </c>
      <c r="M578" s="2" t="b">
        <v>0</v>
      </c>
      <c r="N578" s="2" t="s">
        <v>33</v>
      </c>
      <c r="O578" s="2">
        <v>91.0</v>
      </c>
      <c r="P578" s="2">
        <v>5.0</v>
      </c>
      <c r="Q578" s="2">
        <v>35.0</v>
      </c>
      <c r="R578" s="2">
        <v>2.0</v>
      </c>
      <c r="S578" s="3" t="s">
        <v>2378</v>
      </c>
      <c r="T578" s="2" t="s">
        <v>2379</v>
      </c>
      <c r="Y578" s="4" t="str">
        <f>IFERROR(__xludf.DUMMYFUNCTION("""COMPUTED_VALUE"""),"6.718483")</f>
        <v>6.718483</v>
      </c>
      <c r="Z578" s="4" t="str">
        <f>IFERROR(__xludf.DUMMYFUNCTION("""COMPUTED_VALUE"""),"3.103281")</f>
        <v>3.103281</v>
      </c>
      <c r="AA578" s="4" t="str">
        <f t="shared" si="1"/>
        <v>Not Neighbor</v>
      </c>
      <c r="AC578" s="4">
        <f>IFERROR(__xludf.DUMMYFUNCTION("IFERROR(ABS(O578-AVERAGE(FILTER(O578:O4646,AA578:AA4646=""Neighbor""))) / STDEV(FILTER(O578:O4646, AA578:AA4646 =""Neighbor"")), """")"),0.5851830715108389)</f>
        <v>0.5851830715</v>
      </c>
      <c r="AD578" s="4">
        <f>IFERROR(__xludf.DUMMYFUNCTION("IFERROR(ABS(P578-AVERAGE(FILTER(O578:P4646,AA578:AA4646=""Neighbor""))) / STDEV(FILTER(P578:P4646, AA578:AA4646 =""Neighbor"")), """")"),1.4109114780931262)</f>
        <v>1.410911478</v>
      </c>
      <c r="AE578" s="2">
        <f>IFERROR(__xludf.DUMMYFUNCTION("IFERROR(ABS(Q578-AVERAGE(FILTER(Q578:Q4646,AA578:AA4646=""Neighbor""))) / STDEV(FILTER(Q578:Q4646, AA578:AA4646 =""Neighbor"")), """")"),0.39000678935138744)</f>
        <v>0.3900067894</v>
      </c>
      <c r="AF578" s="2">
        <f>IFERROR(__xludf.DUMMYFUNCTION("IFERROR(ABS(R578-AVERAGE(FILTER(R578:R4646,AA578:AA4646=""Neighbor""))) / STDEV(FILTER(R578:R4646, AA578:AA4646 =""Neighbor"")), """")"),0.26997437240159217)</f>
        <v>0.2699743724</v>
      </c>
    </row>
    <row r="579">
      <c r="A579" s="2" t="s">
        <v>28</v>
      </c>
      <c r="B579" s="2" t="s">
        <v>1711</v>
      </c>
      <c r="C579" s="2" t="s">
        <v>2335</v>
      </c>
      <c r="D579" s="2" t="s">
        <v>2380</v>
      </c>
      <c r="E579" s="2" t="s">
        <v>2381</v>
      </c>
      <c r="F579" s="2">
        <v>198.0</v>
      </c>
      <c r="G579" s="2">
        <v>807.0</v>
      </c>
      <c r="H579" s="2" t="b">
        <v>1</v>
      </c>
      <c r="I579" s="2">
        <v>-1.0</v>
      </c>
      <c r="J579" s="2" t="b">
        <v>1</v>
      </c>
      <c r="K579" s="2" t="b">
        <v>0</v>
      </c>
      <c r="L579" s="2" t="b">
        <v>0</v>
      </c>
      <c r="M579" s="2" t="b">
        <v>0</v>
      </c>
      <c r="N579" s="2" t="s">
        <v>33</v>
      </c>
      <c r="O579" s="2">
        <v>112.0</v>
      </c>
      <c r="P579" s="2">
        <v>27.0</v>
      </c>
      <c r="Q579" s="2">
        <v>37.0</v>
      </c>
      <c r="R579" s="2">
        <v>0.0</v>
      </c>
      <c r="S579" s="3" t="s">
        <v>2382</v>
      </c>
      <c r="T579" s="2" t="s">
        <v>2383</v>
      </c>
      <c r="Y579" s="4" t="str">
        <f>IFERROR(__xludf.DUMMYFUNCTION("""COMPUTED_VALUE"""),"6.5294289")</f>
        <v>6.5294289</v>
      </c>
      <c r="Z579" s="4" t="str">
        <f>IFERROR(__xludf.DUMMYFUNCTION("""COMPUTED_VALUE"""),"3.0000604")</f>
        <v>3.0000604</v>
      </c>
      <c r="AA579" s="4" t="str">
        <f t="shared" si="1"/>
        <v>Neighbor</v>
      </c>
      <c r="AC579" s="4">
        <f>IFERROR(__xludf.DUMMYFUNCTION("IFERROR(ABS(O579-AVERAGE(FILTER(O579:O4647,AA579:AA4647=""Neighbor""))) / STDEV(FILTER(O579:O4647, AA579:AA4647 =""Neighbor"")), """")"),1.0709596871489548)</f>
        <v>1.070959687</v>
      </c>
      <c r="AD579" s="4">
        <f>IFERROR(__xludf.DUMMYFUNCTION("IFERROR(ABS(P579-AVERAGE(FILTER(O579:P4647,AA579:AA4647=""Neighbor""))) / STDEV(FILTER(P579:P4647, AA579:AA4647 =""Neighbor"")), """")"),0.5443556807056963)</f>
        <v>0.5443556807</v>
      </c>
      <c r="AE579" s="2">
        <f>IFERROR(__xludf.DUMMYFUNCTION("IFERROR(ABS(Q579-AVERAGE(FILTER(Q579:Q4647,AA579:AA4647=""Neighbor""))) / STDEV(FILTER(Q579:Q4647, AA579:AA4647 =""Neighbor"")), """")"),0.47183190882688614)</f>
        <v>0.4718319088</v>
      </c>
      <c r="AF579" s="2">
        <f>IFERROR(__xludf.DUMMYFUNCTION("IFERROR(ABS(R579-AVERAGE(FILTER(R579:R4647,AA579:AA4647=""Neighbor""))) / STDEV(FILTER(R579:R4647, AA579:AA4647 =""Neighbor"")), """")"),0.09732222226087359)</f>
        <v>0.09732222226</v>
      </c>
    </row>
    <row r="580">
      <c r="A580" s="2" t="s">
        <v>28</v>
      </c>
      <c r="B580" s="2" t="s">
        <v>1711</v>
      </c>
      <c r="C580" s="2" t="s">
        <v>2335</v>
      </c>
      <c r="D580" s="2" t="s">
        <v>2384</v>
      </c>
      <c r="E580" s="2" t="s">
        <v>2385</v>
      </c>
      <c r="F580" s="2">
        <v>79.0</v>
      </c>
      <c r="G580" s="2">
        <v>509.0</v>
      </c>
      <c r="H580" s="2" t="b">
        <v>1</v>
      </c>
      <c r="I580" s="2">
        <v>-1.0</v>
      </c>
      <c r="J580" s="2" t="b">
        <v>0</v>
      </c>
      <c r="K580" s="2" t="b">
        <v>0</v>
      </c>
      <c r="L580" s="2" t="b">
        <v>0</v>
      </c>
      <c r="M580" s="2" t="b">
        <v>0</v>
      </c>
      <c r="N580" s="2" t="s">
        <v>33</v>
      </c>
      <c r="O580" s="2">
        <v>53.0</v>
      </c>
      <c r="P580" s="2">
        <v>1.0</v>
      </c>
      <c r="Q580" s="2">
        <v>17.0</v>
      </c>
      <c r="R580" s="2">
        <v>0.0</v>
      </c>
      <c r="S580" s="3" t="s">
        <v>2386</v>
      </c>
      <c r="T580" s="2" t="s">
        <v>2387</v>
      </c>
      <c r="Y580" s="4" t="str">
        <f>IFERROR(__xludf.DUMMYFUNCTION("""COMPUTED_VALUE"""),"6.5294289")</f>
        <v>6.5294289</v>
      </c>
      <c r="Z580" s="4" t="str">
        <f>IFERROR(__xludf.DUMMYFUNCTION("""COMPUTED_VALUE"""),"3.0000604")</f>
        <v>3.0000604</v>
      </c>
      <c r="AA580" s="4" t="str">
        <f t="shared" si="1"/>
        <v>Not Neighbor</v>
      </c>
      <c r="AC580" s="4">
        <f>IFERROR(__xludf.DUMMYFUNCTION("IFERROR(ABS(O580-AVERAGE(FILTER(O580:O4648,AA580:AA4648=""Neighbor""))) / STDEV(FILTER(O580:O4648, AA580:AA4648 =""Neighbor"")), """")"),0.2931186284816687)</f>
        <v>0.2931186285</v>
      </c>
      <c r="AD580" s="4">
        <f>IFERROR(__xludf.DUMMYFUNCTION("IFERROR(ABS(P580-AVERAGE(FILTER(O580:P4648,AA580:AA4648=""Neighbor""))) / STDEV(FILTER(P580:P4648, AA580:AA4648 =""Neighbor"")), """")"),1.5672516816381323)</f>
        <v>1.567251682</v>
      </c>
      <c r="AE580" s="2">
        <f>IFERROR(__xludf.DUMMYFUNCTION("IFERROR(ABS(Q580-AVERAGE(FILTER(Q580:Q4648,AA580:AA4648=""Neighbor""))) / STDEV(FILTER(Q580:Q4648, AA580:AA4648 =""Neighbor"")), """")"),0.34600167814279753)</f>
        <v>0.3460016781</v>
      </c>
      <c r="AF580" s="2">
        <f>IFERROR(__xludf.DUMMYFUNCTION("IFERROR(ABS(R580-AVERAGE(FILTER(R580:R4648,AA580:AA4648=""Neighbor""))) / STDEV(FILTER(R580:R4648, AA580:AA4648 =""Neighbor"")), """")"),0.09735602431920264)</f>
        <v>0.09735602432</v>
      </c>
    </row>
    <row r="581">
      <c r="A581" s="2" t="s">
        <v>28</v>
      </c>
      <c r="B581" s="2" t="s">
        <v>1711</v>
      </c>
      <c r="C581" s="2" t="s">
        <v>2335</v>
      </c>
      <c r="D581" s="2" t="s">
        <v>2388</v>
      </c>
      <c r="E581" s="2" t="s">
        <v>2389</v>
      </c>
      <c r="F581" s="2">
        <v>107.0</v>
      </c>
      <c r="G581" s="2">
        <v>870.0</v>
      </c>
      <c r="H581" s="2" t="b">
        <v>1</v>
      </c>
      <c r="I581" s="2">
        <v>-1.0</v>
      </c>
      <c r="J581" s="2" t="b">
        <v>0</v>
      </c>
      <c r="K581" s="2" t="b">
        <v>0</v>
      </c>
      <c r="L581" s="2" t="b">
        <v>0</v>
      </c>
      <c r="M581" s="2" t="b">
        <v>0</v>
      </c>
      <c r="N581" s="2" t="s">
        <v>33</v>
      </c>
      <c r="O581" s="2">
        <v>46.0</v>
      </c>
      <c r="P581" s="2">
        <v>8.0</v>
      </c>
      <c r="Q581" s="2">
        <v>31.0</v>
      </c>
      <c r="R581" s="2">
        <v>2.0</v>
      </c>
      <c r="S581" s="3" t="s">
        <v>2390</v>
      </c>
      <c r="T581" s="2" t="s">
        <v>2391</v>
      </c>
      <c r="Y581" s="4" t="str">
        <f>IFERROR(__xludf.DUMMYFUNCTION("""COMPUTED_VALUE"""),"6.5337406")</f>
        <v>6.5337406</v>
      </c>
      <c r="Z581" s="4" t="str">
        <f>IFERROR(__xludf.DUMMYFUNCTION("""COMPUTED_VALUE"""),"2.9463171")</f>
        <v>2.9463171</v>
      </c>
      <c r="AA581" s="4" t="str">
        <f t="shared" si="1"/>
        <v>Not Neighbor</v>
      </c>
      <c r="AC581" s="4">
        <f>IFERROR(__xludf.DUMMYFUNCTION("IFERROR(ABS(O581-AVERAGE(FILTER(O581:O4649,AA581:AA4649=""Neighbor""))) / STDEV(FILTER(O581:O4649, AA581:AA4649 =""Neighbor"")), """")"),0.4550524114954572)</f>
        <v>0.4550524115</v>
      </c>
      <c r="AD581" s="4">
        <f>IFERROR(__xludf.DUMMYFUNCTION("IFERROR(ABS(P581-AVERAGE(FILTER(O581:P4649,AA581:AA4649=""Neighbor""))) / STDEV(FILTER(P581:P4649, AA581:AA4649 =""Neighbor"")), """")"),1.2916063088717373)</f>
        <v>1.291606309</v>
      </c>
      <c r="AE581" s="2">
        <f>IFERROR(__xludf.DUMMYFUNCTION("IFERROR(ABS(Q581-AVERAGE(FILTER(Q581:Q4649,AA581:AA4649=""Neighbor""))) / STDEV(FILTER(Q581:Q4649, AA581:AA4649 =""Neighbor"")), """")"),0.226620817443524)</f>
        <v>0.2266208174</v>
      </c>
      <c r="AF581" s="2">
        <f>IFERROR(__xludf.DUMMYFUNCTION("IFERROR(ABS(R581-AVERAGE(FILTER(R581:R4649,AA581:AA4649=""Neighbor""))) / STDEV(FILTER(R581:R4649, AA581:AA4649 =""Neighbor"")), """")"),0.269815267398933)</f>
        <v>0.2698152674</v>
      </c>
    </row>
    <row r="582">
      <c r="A582" s="2" t="s">
        <v>28</v>
      </c>
      <c r="B582" s="2" t="s">
        <v>1711</v>
      </c>
      <c r="C582" s="2" t="s">
        <v>2335</v>
      </c>
      <c r="D582" s="2" t="s">
        <v>2392</v>
      </c>
      <c r="E582" s="2" t="s">
        <v>2393</v>
      </c>
      <c r="F582" s="2">
        <v>71.0</v>
      </c>
      <c r="G582" s="2">
        <v>726.0</v>
      </c>
      <c r="H582" s="2" t="b">
        <v>1</v>
      </c>
      <c r="I582" s="2">
        <v>-1.0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s">
        <v>33</v>
      </c>
      <c r="O582" s="2">
        <v>42.0</v>
      </c>
      <c r="P582" s="2">
        <v>2.0</v>
      </c>
      <c r="Q582" s="2">
        <v>20.0</v>
      </c>
      <c r="R582" s="2">
        <v>1.0</v>
      </c>
      <c r="S582" s="3" t="s">
        <v>2394</v>
      </c>
      <c r="T582" s="2" t="s">
        <v>2395</v>
      </c>
      <c r="Y582" s="4" t="str">
        <f>IFERROR(__xludf.DUMMYFUNCTION("""COMPUTED_VALUE"""),"6.718483")</f>
        <v>6.718483</v>
      </c>
      <c r="Z582" s="4" t="str">
        <f>IFERROR(__xludf.DUMMYFUNCTION("""COMPUTED_VALUE"""),"3.103281")</f>
        <v>3.103281</v>
      </c>
      <c r="AA582" s="4" t="str">
        <f t="shared" si="1"/>
        <v>Not Neighbor</v>
      </c>
      <c r="AC582" s="4">
        <f>IFERROR(__xludf.DUMMYFUNCTION("IFERROR(ABS(O582-AVERAGE(FILTER(O582:O4650,AA582:AA4650=""Neighbor""))) / STDEV(FILTER(O582:O4650, AA582:AA4650 =""Neighbor"")), """")"),0.5475860017890506)</f>
        <v>0.5475860018</v>
      </c>
      <c r="AD582" s="4">
        <f>IFERROR(__xludf.DUMMYFUNCTION("IFERROR(ABS(P582-AVERAGE(FILTER(O582:P4650,AA582:AA4650=""Neighbor""))) / STDEV(FILTER(P582:P4650, AA582:AA4650 =""Neighbor"")), """")"),1.527873771242933)</f>
        <v>1.527873771</v>
      </c>
      <c r="AE582" s="2">
        <f>IFERROR(__xludf.DUMMYFUNCTION("IFERROR(ABS(Q582-AVERAGE(FILTER(Q582:Q4650,AA582:AA4650=""Neighbor""))) / STDEV(FILTER(Q582:Q4650, AA582:AA4650 =""Neighbor"")), """")"),0.22329685766001434)</f>
        <v>0.2232968577</v>
      </c>
      <c r="AF582" s="2">
        <f>IFERROR(__xludf.DUMMYFUNCTION("IFERROR(ABS(R582-AVERAGE(FILTER(R582:R4650,AA582:AA4650=""Neighbor""))) / STDEV(FILTER(R582:R4650, AA582:AA4650 =""Neighbor"")), """")"),0.0862296215398652)</f>
        <v>0.08622962154</v>
      </c>
    </row>
    <row r="583">
      <c r="A583" s="2" t="s">
        <v>28</v>
      </c>
      <c r="B583" s="2" t="s">
        <v>1711</v>
      </c>
      <c r="C583" s="2" t="s">
        <v>2335</v>
      </c>
      <c r="D583" s="2" t="s">
        <v>2396</v>
      </c>
      <c r="E583" s="2" t="s">
        <v>2397</v>
      </c>
      <c r="F583" s="2">
        <v>99.0</v>
      </c>
      <c r="G583" s="2">
        <v>414.0</v>
      </c>
      <c r="H583" s="2" t="b">
        <v>1</v>
      </c>
      <c r="I583" s="2">
        <v>-1.0</v>
      </c>
      <c r="J583" s="2" t="b">
        <v>0</v>
      </c>
      <c r="K583" s="2" t="b">
        <v>0</v>
      </c>
      <c r="L583" s="2" t="b">
        <v>0</v>
      </c>
      <c r="M583" s="2" t="b">
        <v>0</v>
      </c>
      <c r="N583" s="2" t="s">
        <v>33</v>
      </c>
      <c r="O583" s="2">
        <v>54.0</v>
      </c>
      <c r="P583" s="2">
        <v>0.0</v>
      </c>
      <c r="Q583" s="2">
        <v>38.0</v>
      </c>
      <c r="R583" s="2">
        <v>0.0</v>
      </c>
      <c r="S583" s="3" t="s">
        <v>2398</v>
      </c>
      <c r="T583" s="2" t="s">
        <v>2399</v>
      </c>
      <c r="Y583" s="4" t="str">
        <f>IFERROR(__xludf.DUMMYFUNCTION("""COMPUTED_VALUE"""),"6.6117188")</f>
        <v>6.6117188</v>
      </c>
      <c r="Z583" s="4" t="str">
        <f>IFERROR(__xludf.DUMMYFUNCTION("""COMPUTED_VALUE"""),"3.0576199")</f>
        <v>3.0576199</v>
      </c>
      <c r="AA583" s="4" t="str">
        <f t="shared" si="1"/>
        <v>Not Neighbor</v>
      </c>
      <c r="AC583" s="4">
        <f>IFERROR(__xludf.DUMMYFUNCTION("IFERROR(ABS(O583-AVERAGE(FILTER(O583:O4651,AA583:AA4651=""Neighbor""))) / STDEV(FILTER(O583:O4651, AA583:AA4651 =""Neighbor"")), """")"),0.26998523090827037)</f>
        <v>0.2699852309</v>
      </c>
      <c r="AD583" s="4">
        <f>IFERROR(__xludf.DUMMYFUNCTION("IFERROR(ABS(P583-AVERAGE(FILTER(O583:P4651,AA583:AA4651=""Neighbor""))) / STDEV(FILTER(P583:P4651, AA583:AA4651 =""Neighbor"")), """")"),1.6066295920333318)</f>
        <v>1.606629592</v>
      </c>
      <c r="AE583" s="2">
        <f>IFERROR(__xludf.DUMMYFUNCTION("IFERROR(ABS(Q583-AVERAGE(FILTER(Q583:Q4651,AA583:AA4651=""Neighbor""))) / STDEV(FILTER(Q583:Q4651, AA583:AA4651 =""Neighbor"")), """")"),0.5129320652366848)</f>
        <v>0.5129320652</v>
      </c>
      <c r="AF583" s="2">
        <f>IFERROR(__xludf.DUMMYFUNCTION("IFERROR(ABS(R583-AVERAGE(FILTER(R583:R4651,AA583:AA4651=""Neighbor""))) / STDEV(FILTER(R583:R4651, AA583:AA4651 =""Neighbor"")), """")"),0.09735602431920264)</f>
        <v>0.09735602432</v>
      </c>
    </row>
    <row r="584">
      <c r="A584" s="2" t="s">
        <v>28</v>
      </c>
      <c r="B584" s="2" t="s">
        <v>1711</v>
      </c>
      <c r="C584" s="2" t="s">
        <v>2335</v>
      </c>
      <c r="D584" s="2" t="s">
        <v>2400</v>
      </c>
      <c r="E584" s="2" t="s">
        <v>2401</v>
      </c>
      <c r="F584" s="2">
        <v>68.0</v>
      </c>
      <c r="G584" s="2">
        <v>188.0</v>
      </c>
      <c r="H584" s="2" t="b">
        <v>1</v>
      </c>
      <c r="I584" s="2">
        <v>-1.0</v>
      </c>
      <c r="J584" s="2" t="b">
        <v>0</v>
      </c>
      <c r="K584" s="2" t="b">
        <v>0</v>
      </c>
      <c r="L584" s="2" t="b">
        <v>0</v>
      </c>
      <c r="M584" s="2" t="b">
        <v>0</v>
      </c>
      <c r="N584" s="2" t="s">
        <v>33</v>
      </c>
      <c r="O584" s="2">
        <v>41.0</v>
      </c>
      <c r="P584" s="2">
        <v>2.0</v>
      </c>
      <c r="Q584" s="2">
        <v>14.0</v>
      </c>
      <c r="R584" s="2">
        <v>0.0</v>
      </c>
      <c r="S584" s="3" t="s">
        <v>2402</v>
      </c>
      <c r="T584" s="2" t="s">
        <v>2403</v>
      </c>
      <c r="Y584" s="4" t="str">
        <f>IFERROR(__xludf.DUMMYFUNCTION("""COMPUTED_VALUE"""),"6.5743311")</f>
        <v>6.5743311</v>
      </c>
      <c r="Z584" s="4" t="str">
        <f>IFERROR(__xludf.DUMMYFUNCTION("""COMPUTED_VALUE"""),"3.0116293")</f>
        <v>3.0116293</v>
      </c>
      <c r="AA584" s="4" t="str">
        <f t="shared" si="1"/>
        <v>Not Neighbor</v>
      </c>
      <c r="AC584" s="4">
        <f>IFERROR(__xludf.DUMMYFUNCTION("IFERROR(ABS(O584-AVERAGE(FILTER(O584:O4652,AA584:AA4652=""Neighbor""))) / STDEV(FILTER(O584:O4652, AA584:AA4652 =""Neighbor"")), """")"),0.570719399362449)</f>
        <v>0.5707193994</v>
      </c>
      <c r="AD584" s="4">
        <f>IFERROR(__xludf.DUMMYFUNCTION("IFERROR(ABS(P584-AVERAGE(FILTER(O584:P4652,AA584:AA4652=""Neighbor""))) / STDEV(FILTER(P584:P4652, AA584:AA4652 =""Neighbor"")), """")"),1.527873771242933)</f>
        <v>1.527873771</v>
      </c>
      <c r="AE584" s="2">
        <f>IFERROR(__xludf.DUMMYFUNCTION("IFERROR(ABS(Q584-AVERAGE(FILTER(Q584:Q4652,AA584:AA4652=""Neighbor""))) / STDEV(FILTER(Q584:Q4652, AA584:AA4652 =""Neighbor"")), """")"),0.4687064986255807)</f>
        <v>0.4687064986</v>
      </c>
      <c r="AF584" s="2">
        <f>IFERROR(__xludf.DUMMYFUNCTION("IFERROR(ABS(R584-AVERAGE(FILTER(R584:R4652,AA584:AA4652=""Neighbor""))) / STDEV(FILTER(R584:R4652, AA584:AA4652 =""Neighbor"")), """")"),0.09735602431920264)</f>
        <v>0.09735602432</v>
      </c>
    </row>
    <row r="585">
      <c r="A585" s="2" t="s">
        <v>28</v>
      </c>
      <c r="B585" s="2" t="s">
        <v>1711</v>
      </c>
      <c r="C585" s="2" t="s">
        <v>2335</v>
      </c>
      <c r="D585" s="2" t="s">
        <v>2404</v>
      </c>
      <c r="E585" s="2" t="s">
        <v>2405</v>
      </c>
      <c r="F585" s="2">
        <v>43.0</v>
      </c>
      <c r="G585" s="2">
        <v>345.0</v>
      </c>
      <c r="H585" s="2" t="b">
        <v>1</v>
      </c>
      <c r="I585" s="2">
        <v>-1.0</v>
      </c>
      <c r="J585" s="2" t="b">
        <v>0</v>
      </c>
      <c r="K585" s="2" t="b">
        <v>0</v>
      </c>
      <c r="L585" s="2" t="b">
        <v>0</v>
      </c>
      <c r="M585" s="2" t="b">
        <v>0</v>
      </c>
      <c r="N585" s="2" t="s">
        <v>33</v>
      </c>
      <c r="O585" s="2">
        <v>32.0</v>
      </c>
      <c r="P585" s="2">
        <v>1.0</v>
      </c>
      <c r="Q585" s="2">
        <v>7.0</v>
      </c>
      <c r="R585" s="2">
        <v>0.0</v>
      </c>
      <c r="S585" s="3" t="s">
        <v>2406</v>
      </c>
      <c r="T585" s="2" t="s">
        <v>2407</v>
      </c>
      <c r="Y585" s="4" t="str">
        <f>IFERROR(__xludf.DUMMYFUNCTION("""COMPUTED_VALUE"""),"6.5615758")</f>
        <v>6.5615758</v>
      </c>
      <c r="Z585" s="4" t="str">
        <f>IFERROR(__xludf.DUMMYFUNCTION("""COMPUTED_VALUE"""),"3.0272674")</f>
        <v>3.0272674</v>
      </c>
      <c r="AA585" s="4" t="str">
        <f t="shared" si="1"/>
        <v>Not Neighbor</v>
      </c>
      <c r="AC585" s="4">
        <f>IFERROR(__xludf.DUMMYFUNCTION("IFERROR(ABS(O585-AVERAGE(FILTER(O585:O4653,AA585:AA4653=""Neighbor""))) / STDEV(FILTER(O585:O4653, AA585:AA4653 =""Neighbor"")), """")"),0.7789199775230342)</f>
        <v>0.7789199775</v>
      </c>
      <c r="AD585" s="4">
        <f>IFERROR(__xludf.DUMMYFUNCTION("IFERROR(ABS(P585-AVERAGE(FILTER(O585:P4653,AA585:AA4653=""Neighbor""))) / STDEV(FILTER(P585:P4653, AA585:AA4653 =""Neighbor"")), """")"),1.5672516816381323)</f>
        <v>1.567251682</v>
      </c>
      <c r="AE585" s="2">
        <f>IFERROR(__xludf.DUMMYFUNCTION("IFERROR(ABS(Q585-AVERAGE(FILTER(Q585:Q4653,AA585:AA4653=""Neighbor""))) / STDEV(FILTER(Q585:Q4653, AA585:AA4653 =""Neighbor"")), """")"),0.7550177464187415)</f>
        <v>0.7550177464</v>
      </c>
      <c r="AF585" s="2">
        <f>IFERROR(__xludf.DUMMYFUNCTION("IFERROR(ABS(R585-AVERAGE(FILTER(R585:R4653,AA585:AA4653=""Neighbor""))) / STDEV(FILTER(R585:R4653, AA585:AA4653 =""Neighbor"")), """")"),0.09735602431920264)</f>
        <v>0.09735602432</v>
      </c>
    </row>
    <row r="586">
      <c r="A586" s="2" t="s">
        <v>28</v>
      </c>
      <c r="B586" s="2" t="s">
        <v>1711</v>
      </c>
      <c r="C586" s="2" t="s">
        <v>2335</v>
      </c>
      <c r="D586" s="2" t="s">
        <v>2408</v>
      </c>
      <c r="E586" s="2" t="s">
        <v>2409</v>
      </c>
      <c r="F586" s="2">
        <v>153.0</v>
      </c>
      <c r="G586" s="2">
        <v>685.0</v>
      </c>
      <c r="H586" s="2" t="b">
        <v>1</v>
      </c>
      <c r="I586" s="2">
        <v>-1.0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s">
        <v>33</v>
      </c>
      <c r="O586" s="2">
        <v>82.0</v>
      </c>
      <c r="P586" s="2">
        <v>7.0</v>
      </c>
      <c r="Q586" s="2">
        <v>55.0</v>
      </c>
      <c r="R586" s="2">
        <v>0.0</v>
      </c>
      <c r="S586" s="3" t="s">
        <v>2410</v>
      </c>
      <c r="T586" s="2" t="s">
        <v>2411</v>
      </c>
      <c r="Y586" s="4" t="str">
        <f>IFERROR(__xludf.DUMMYFUNCTION("""COMPUTED_VALUE"""),"6.6432944")</f>
        <v>6.6432944</v>
      </c>
      <c r="Z586" s="4" t="str">
        <f>IFERROR(__xludf.DUMMYFUNCTION("""COMPUTED_VALUE"""),"2.9418468")</f>
        <v>2.9418468</v>
      </c>
      <c r="AA586" s="4" t="str">
        <f t="shared" si="1"/>
        <v>Not Neighbor</v>
      </c>
      <c r="AC586" s="4">
        <f>IFERROR(__xludf.DUMMYFUNCTION("IFERROR(ABS(O586-AVERAGE(FILTER(O586:O4654,AA586:AA4654=""Neighbor""))) / STDEV(FILTER(O586:O4654, AA586:AA4654 =""Neighbor"")), """")"),0.3777499011468837)</f>
        <v>0.3777499011</v>
      </c>
      <c r="AD586" s="4">
        <f>IFERROR(__xludf.DUMMYFUNCTION("IFERROR(ABS(P586-AVERAGE(FILTER(O586:P4654,AA586:AA4654=""Neighbor""))) / STDEV(FILTER(P586:P4654, AA586:AA4654 =""Neighbor"")), """")"),1.3309842192669366)</f>
        <v>1.330984219</v>
      </c>
      <c r="AE586" s="2">
        <f>IFERROR(__xludf.DUMMYFUNCTION("IFERROR(ABS(Q586-AVERAGE(FILTER(Q586:Q4654,AA586:AA4654=""Neighbor""))) / STDEV(FILTER(Q586:Q4654, AA586:AA4654 =""Neighbor"")), """")"),1.2082593813057896)</f>
        <v>1.208259381</v>
      </c>
      <c r="AF586" s="2">
        <f>IFERROR(__xludf.DUMMYFUNCTION("IFERROR(ABS(R586-AVERAGE(FILTER(R586:R4654,AA586:AA4654=""Neighbor""))) / STDEV(FILTER(R586:R4654, AA586:AA4654 =""Neighbor"")), """")"),0.09735602431920264)</f>
        <v>0.09735602432</v>
      </c>
    </row>
    <row r="587">
      <c r="A587" s="2" t="s">
        <v>28</v>
      </c>
      <c r="B587" s="2" t="s">
        <v>1711</v>
      </c>
      <c r="C587" s="2" t="s">
        <v>2335</v>
      </c>
      <c r="D587" s="2" t="s">
        <v>2412</v>
      </c>
      <c r="E587" s="2" t="s">
        <v>2413</v>
      </c>
      <c r="F587" s="2">
        <v>170.0</v>
      </c>
      <c r="G587" s="2">
        <v>493.0</v>
      </c>
      <c r="H587" s="2" t="b">
        <v>1</v>
      </c>
      <c r="I587" s="2">
        <v>-1.0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s">
        <v>33</v>
      </c>
      <c r="O587" s="2">
        <v>89.0</v>
      </c>
      <c r="P587" s="2">
        <v>14.0</v>
      </c>
      <c r="Q587" s="2">
        <v>54.0</v>
      </c>
      <c r="R587" s="2">
        <v>0.0</v>
      </c>
      <c r="S587" s="3" t="s">
        <v>2414</v>
      </c>
      <c r="T587" s="2" t="s">
        <v>2415</v>
      </c>
      <c r="Y587" s="4" t="str">
        <f>IFERROR(__xludf.DUMMYFUNCTION("""COMPUTED_VALUE"""),"6.6117188")</f>
        <v>6.6117188</v>
      </c>
      <c r="Z587" s="4" t="str">
        <f>IFERROR(__xludf.DUMMYFUNCTION("""COMPUTED_VALUE"""),"3.0576199")</f>
        <v>3.0576199</v>
      </c>
      <c r="AA587" s="4" t="str">
        <f t="shared" si="1"/>
        <v>Not Neighbor</v>
      </c>
      <c r="AC587" s="4">
        <f>IFERROR(__xludf.DUMMYFUNCTION("IFERROR(ABS(O587-AVERAGE(FILTER(O587:O4655,AA587:AA4655=""Neighbor""))) / STDEV(FILTER(O587:O4655, AA587:AA4655 =""Neighbor"")), """")"),0.5396836841606723)</f>
        <v>0.5396836842</v>
      </c>
      <c r="AD587" s="4">
        <f>IFERROR(__xludf.DUMMYFUNCTION("IFERROR(ABS(P587-AVERAGE(FILTER(O587:P4655,AA587:AA4655=""Neighbor""))) / STDEV(FILTER(P587:P4655, AA587:AA4655 =""Neighbor"")), """")"),1.0553388465005413)</f>
        <v>1.055338847</v>
      </c>
      <c r="AE587" s="2">
        <f>IFERROR(__xludf.DUMMYFUNCTION("IFERROR(ABS(Q587-AVERAGE(FILTER(Q587:Q4655,AA587:AA4655=""Neighbor""))) / STDEV(FILTER(Q587:Q4655, AA587:AA4655 =""Neighbor"")), """")"),1.167357774478195)</f>
        <v>1.167357774</v>
      </c>
      <c r="AF587" s="2">
        <f>IFERROR(__xludf.DUMMYFUNCTION("IFERROR(ABS(R587-AVERAGE(FILTER(R587:R4655,AA587:AA4655=""Neighbor""))) / STDEV(FILTER(R587:R4655, AA587:AA4655 =""Neighbor"")), """")"),0.09735602431920264)</f>
        <v>0.09735602432</v>
      </c>
    </row>
    <row r="588">
      <c r="A588" s="2" t="s">
        <v>28</v>
      </c>
      <c r="B588" s="2" t="s">
        <v>1711</v>
      </c>
      <c r="C588" s="2" t="s">
        <v>2416</v>
      </c>
      <c r="D588" s="2" t="s">
        <v>2417</v>
      </c>
      <c r="E588" s="2" t="s">
        <v>2418</v>
      </c>
      <c r="F588" s="2">
        <v>183.0</v>
      </c>
      <c r="G588" s="2">
        <v>1357.0</v>
      </c>
      <c r="H588" s="2" t="b">
        <v>1</v>
      </c>
      <c r="I588" s="2">
        <v>-1.0</v>
      </c>
      <c r="J588" s="2" t="b">
        <v>0</v>
      </c>
      <c r="K588" s="2" t="b">
        <v>0</v>
      </c>
      <c r="L588" s="2" t="b">
        <v>0</v>
      </c>
      <c r="M588" s="2" t="b">
        <v>0</v>
      </c>
      <c r="N588" s="2" t="s">
        <v>33</v>
      </c>
      <c r="O588" s="2">
        <v>106.0</v>
      </c>
      <c r="P588" s="2">
        <v>17.0</v>
      </c>
      <c r="Q588" s="2">
        <v>48.0</v>
      </c>
      <c r="R588" s="2">
        <v>0.0</v>
      </c>
      <c r="S588" s="3" t="s">
        <v>2419</v>
      </c>
      <c r="T588" s="2" t="s">
        <v>2420</v>
      </c>
      <c r="Y588" s="4" t="str">
        <f>IFERROR(__xludf.DUMMYFUNCTION("""COMPUTED_VALUE"""),"6.630678")</f>
        <v>6.630678</v>
      </c>
      <c r="Z588" s="4" t="str">
        <f>IFERROR(__xludf.DUMMYFUNCTION("""COMPUTED_VALUE"""),"3.0320459")</f>
        <v>3.0320459</v>
      </c>
      <c r="AA588" s="4" t="str">
        <f t="shared" si="1"/>
        <v>Neighbor</v>
      </c>
      <c r="AC588" s="4">
        <f>IFERROR(__xludf.DUMMYFUNCTION("IFERROR(ABS(O588-AVERAGE(FILTER(O588:O4656,AA588:AA4656=""Neighbor""))) / STDEV(FILTER(O588:O4656, AA588:AA4656 =""Neighbor"")), """")"),0.9329514429084443)</f>
        <v>0.9329514429</v>
      </c>
      <c r="AD588" s="4">
        <f>IFERROR(__xludf.DUMMYFUNCTION("IFERROR(ABS(P588-AVERAGE(FILTER(O588:P4656,AA588:AA4656=""Neighbor""))) / STDEV(FILTER(P588:P4656, AA588:AA4656 =""Neighbor"")), """")"),0.9372051153149434)</f>
        <v>0.9372051153</v>
      </c>
      <c r="AE588" s="2">
        <f>IFERROR(__xludf.DUMMYFUNCTION("IFERROR(ABS(Q588-AVERAGE(FILTER(Q588:Q4656,AA588:AA4656=""Neighbor""))) / STDEV(FILTER(Q588:Q4656, AA588:AA4656 =""Neighbor"")), """")"),0.9219481335126287)</f>
        <v>0.9219481335</v>
      </c>
      <c r="AF588" s="2">
        <f>IFERROR(__xludf.DUMMYFUNCTION("IFERROR(ABS(R588-AVERAGE(FILTER(R588:R4656,AA588:AA4656=""Neighbor""))) / STDEV(FILTER(R588:R4656, AA588:AA4656 =""Neighbor"")), """")"),0.09735602431920264)</f>
        <v>0.09735602432</v>
      </c>
    </row>
    <row r="589">
      <c r="A589" s="2" t="s">
        <v>28</v>
      </c>
      <c r="B589" s="2" t="s">
        <v>1711</v>
      </c>
      <c r="C589" s="2" t="s">
        <v>2416</v>
      </c>
      <c r="D589" s="2" t="s">
        <v>2421</v>
      </c>
      <c r="E589" s="2" t="s">
        <v>2422</v>
      </c>
      <c r="F589" s="2">
        <v>175.0</v>
      </c>
      <c r="G589" s="2">
        <v>750.0</v>
      </c>
      <c r="H589" s="2" t="b">
        <v>1</v>
      </c>
      <c r="I589" s="2">
        <v>-1.0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s">
        <v>33</v>
      </c>
      <c r="O589" s="2">
        <v>123.0</v>
      </c>
      <c r="P589" s="2">
        <v>6.0</v>
      </c>
      <c r="Q589" s="2">
        <v>33.0</v>
      </c>
      <c r="R589" s="2">
        <v>1.0</v>
      </c>
      <c r="S589" s="3" t="s">
        <v>2423</v>
      </c>
      <c r="T589" s="2" t="s">
        <v>2424</v>
      </c>
      <c r="Y589" s="4" t="str">
        <f>IFERROR(__xludf.DUMMYFUNCTION("""COMPUTED_VALUE"""),"6.630678")</f>
        <v>6.630678</v>
      </c>
      <c r="Z589" s="4" t="str">
        <f>IFERROR(__xludf.DUMMYFUNCTION("""COMPUTED_VALUE"""),"3.0320459")</f>
        <v>3.0320459</v>
      </c>
      <c r="AA589" s="4" t="str">
        <f t="shared" si="1"/>
        <v>Neighbor</v>
      </c>
      <c r="AC589" s="4">
        <f>IFERROR(__xludf.DUMMYFUNCTION("IFERROR(ABS(O589-AVERAGE(FILTER(O589:O4657,AA589:AA4657=""Neighbor""))) / STDEV(FILTER(O589:O4657, AA589:AA4657 =""Neighbor"")), """")"),1.3268031536661786)</f>
        <v>1.326803154</v>
      </c>
      <c r="AD589" s="4">
        <f>IFERROR(__xludf.DUMMYFUNCTION("IFERROR(ABS(P589-AVERAGE(FILTER(O589:P4657,AA589:AA4657=""Neighbor""))) / STDEV(FILTER(P589:P4657, AA589:AA4657 =""Neighbor"")), """")"),1.3693291088224986)</f>
        <v>1.369329109</v>
      </c>
      <c r="AE589" s="2">
        <f>IFERROR(__xludf.DUMMYFUNCTION("IFERROR(ABS(Q589-AVERAGE(FILTER(Q589:Q4657,AA589:AA4657=""Neighbor""))) / STDEV(FILTER(Q589:Q4657, AA589:AA4657 =""Neighbor"")), """")"),0.3090434957867174)</f>
        <v>0.3090434958</v>
      </c>
      <c r="AF589" s="2">
        <f>IFERROR(__xludf.DUMMYFUNCTION("IFERROR(ABS(R589-AVERAGE(FILTER(R589:R4657,AA589:AA4657=""Neighbor""))) / STDEV(FILTER(R589:R4657, AA589:AA4657 =""Neighbor"")), """")"),0.08613311138327859)</f>
        <v>0.08613311138</v>
      </c>
    </row>
    <row r="590">
      <c r="A590" s="2" t="s">
        <v>28</v>
      </c>
      <c r="B590" s="2" t="s">
        <v>1711</v>
      </c>
      <c r="C590" s="2" t="s">
        <v>2416</v>
      </c>
      <c r="D590" s="2" t="s">
        <v>2425</v>
      </c>
      <c r="E590" s="2" t="s">
        <v>2426</v>
      </c>
      <c r="F590" s="2">
        <v>70.0</v>
      </c>
      <c r="G590" s="2">
        <v>492.0</v>
      </c>
      <c r="H590" s="2" t="b">
        <v>1</v>
      </c>
      <c r="I590" s="2">
        <v>-1.0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s">
        <v>33</v>
      </c>
      <c r="O590" s="2">
        <v>40.0</v>
      </c>
      <c r="P590" s="2">
        <v>1.0</v>
      </c>
      <c r="Q590" s="2">
        <v>25.0</v>
      </c>
      <c r="R590" s="2">
        <v>0.0</v>
      </c>
      <c r="S590" s="3" t="s">
        <v>2427</v>
      </c>
      <c r="T590" s="2" t="s">
        <v>2428</v>
      </c>
      <c r="Y590" s="4" t="str">
        <f>IFERROR(__xludf.DUMMYFUNCTION("""COMPUTED_VALUE"""),"6.6252247")</f>
        <v>6.6252247</v>
      </c>
      <c r="Z590" s="4" t="str">
        <f>IFERROR(__xludf.DUMMYFUNCTION("""COMPUTED_VALUE"""),"3.0300828")</f>
        <v>3.0300828</v>
      </c>
      <c r="AA590" s="4" t="str">
        <f t="shared" si="1"/>
        <v>Neighbor</v>
      </c>
      <c r="AC590" s="4">
        <f>IFERROR(__xludf.DUMMYFUNCTION("IFERROR(ABS(O590-AVERAGE(FILTER(O590:O4658,AA590:AA4658=""Neighbor""))) / STDEV(FILTER(O590:O4658, AA590:AA4658 =""Neighbor"")), """")"),0.5924241176079772)</f>
        <v>0.5924241176</v>
      </c>
      <c r="AD590" s="4">
        <f>IFERROR(__xludf.DUMMYFUNCTION("IFERROR(ABS(P590-AVERAGE(FILTER(O590:P4658,AA590:AA4658=""Neighbor""))) / STDEV(FILTER(P590:P4658, AA590:AA4658 =""Neighbor"")), """")"),1.5650497179041114)</f>
        <v>1.565049718</v>
      </c>
      <c r="AE590" s="2">
        <f>IFERROR(__xludf.DUMMYFUNCTION("IFERROR(ABS(Q590-AVERAGE(FILTER(Q590:Q4658,AA590:AA4658=""Neighbor""))) / STDEV(FILTER(Q590:Q4658, AA590:AA4658 =""Neighbor"")), """")"),0.017933770659989134)</f>
        <v>0.01793377066</v>
      </c>
      <c r="AF590" s="2">
        <f>IFERROR(__xludf.DUMMYFUNCTION("IFERROR(ABS(R590-AVERAGE(FILTER(R590:R4658,AA590:AA4658=""Neighbor""))) / STDEV(FILTER(R590:R4658, AA590:AA4658 =""Neighbor"")), """")"),0.09729714054300576)</f>
        <v>0.09729714054</v>
      </c>
    </row>
    <row r="591">
      <c r="A591" s="2" t="s">
        <v>28</v>
      </c>
      <c r="B591" s="2" t="s">
        <v>1711</v>
      </c>
      <c r="C591" s="2" t="s">
        <v>2416</v>
      </c>
      <c r="D591" s="2" t="s">
        <v>2429</v>
      </c>
      <c r="E591" s="2" t="s">
        <v>2430</v>
      </c>
      <c r="F591" s="2">
        <v>96.0</v>
      </c>
      <c r="G591" s="2">
        <v>850.0</v>
      </c>
      <c r="H591" s="2" t="b">
        <v>1</v>
      </c>
      <c r="I591" s="2">
        <v>-1.0</v>
      </c>
      <c r="J591" s="2" t="b">
        <v>0</v>
      </c>
      <c r="K591" s="2" t="b">
        <v>0</v>
      </c>
      <c r="L591" s="2" t="b">
        <v>0</v>
      </c>
      <c r="M591" s="2" t="b">
        <v>0</v>
      </c>
      <c r="N591" s="2" t="s">
        <v>33</v>
      </c>
      <c r="O591" s="2">
        <v>69.0</v>
      </c>
      <c r="P591" s="2">
        <v>2.0</v>
      </c>
      <c r="Q591" s="2">
        <v>19.0</v>
      </c>
      <c r="R591" s="2">
        <v>1.0</v>
      </c>
      <c r="S591" s="3" t="s">
        <v>2431</v>
      </c>
      <c r="T591" s="2" t="s">
        <v>2432</v>
      </c>
      <c r="Y591" s="4" t="str">
        <f>IFERROR(__xludf.DUMMYFUNCTION("""COMPUTED_VALUE"""),"6.6252247")</f>
        <v>6.6252247</v>
      </c>
      <c r="Z591" s="4" t="str">
        <f>IFERROR(__xludf.DUMMYFUNCTION("""COMPUTED_VALUE"""),"3.0300828")</f>
        <v>3.0300828</v>
      </c>
      <c r="AA591" s="4" t="str">
        <f t="shared" si="1"/>
        <v>Neighbor</v>
      </c>
      <c r="AC591" s="4">
        <f>IFERROR(__xludf.DUMMYFUNCTION("IFERROR(ABS(O591-AVERAGE(FILTER(O591:O4659,AA591:AA4659=""Neighbor""))) / STDEV(FILTER(O591:O4659, AA591:AA4659 =""Neighbor"")), """")"),0.07816458395918097)</f>
        <v>0.07816458396</v>
      </c>
      <c r="AD591" s="4">
        <f>IFERROR(__xludf.DUMMYFUNCTION("IFERROR(ABS(P591-AVERAGE(FILTER(O591:P4659,AA591:AA4659=""Neighbor""))) / STDEV(FILTER(P591:P4659, AA591:AA4659 =""Neighbor"")), """")"),1.525902646760467)</f>
        <v>1.525902647</v>
      </c>
      <c r="AE591" s="2">
        <f>IFERROR(__xludf.DUMMYFUNCTION("IFERROR(ABS(Q591-AVERAGE(FILTER(Q591:Q4659,AA591:AA4659=""Neighbor""))) / STDEV(FILTER(Q591:Q4659, AA591:AA4659 =""Neighbor"")), """")"),0.2631757643334129)</f>
        <v>0.2631757643</v>
      </c>
      <c r="AF591" s="2">
        <f>IFERROR(__xludf.DUMMYFUNCTION("IFERROR(ABS(R591-AVERAGE(FILTER(R591:R4659,AA591:AA4659=""Neighbor""))) / STDEV(FILTER(R591:R4659, AA591:AA4659 =""Neighbor"")), """")"),0.08606642713901241)</f>
        <v>0.08606642714</v>
      </c>
    </row>
    <row r="592">
      <c r="A592" s="2" t="s">
        <v>28</v>
      </c>
      <c r="B592" s="2" t="s">
        <v>1711</v>
      </c>
      <c r="C592" s="2" t="s">
        <v>2416</v>
      </c>
      <c r="D592" s="2" t="s">
        <v>2433</v>
      </c>
      <c r="E592" s="2" t="s">
        <v>2434</v>
      </c>
      <c r="F592" s="2">
        <v>84.0</v>
      </c>
      <c r="G592" s="2">
        <v>653.0</v>
      </c>
      <c r="H592" s="2" t="b">
        <v>1</v>
      </c>
      <c r="I592" s="2">
        <v>-1.0</v>
      </c>
      <c r="J592" s="2" t="b">
        <v>0</v>
      </c>
      <c r="K592" s="2" t="b">
        <v>0</v>
      </c>
      <c r="L592" s="2" t="b">
        <v>0</v>
      </c>
      <c r="M592" s="2" t="b">
        <v>0</v>
      </c>
      <c r="N592" s="2" t="s">
        <v>33</v>
      </c>
      <c r="O592" s="2">
        <v>40.0</v>
      </c>
      <c r="P592" s="2">
        <v>3.0</v>
      </c>
      <c r="Q592" s="2">
        <v>34.0</v>
      </c>
      <c r="R592" s="2">
        <v>0.0</v>
      </c>
      <c r="S592" s="3" t="s">
        <v>2435</v>
      </c>
      <c r="T592" s="2" t="s">
        <v>2436</v>
      </c>
      <c r="Y592" s="4" t="str">
        <f>IFERROR(__xludf.DUMMYFUNCTION("""COMPUTED_VALUE"""),"6.6252247")</f>
        <v>6.6252247</v>
      </c>
      <c r="Z592" s="4" t="str">
        <f>IFERROR(__xludf.DUMMYFUNCTION("""COMPUTED_VALUE"""),"3.0300828")</f>
        <v>3.0300828</v>
      </c>
      <c r="AA592" s="4" t="str">
        <f t="shared" si="1"/>
        <v>Not Neighbor</v>
      </c>
      <c r="AC592" s="4">
        <f>IFERROR(__xludf.DUMMYFUNCTION("IFERROR(ABS(O592-AVERAGE(FILTER(O592:O4660,AA592:AA4660=""Neighbor""))) / STDEV(FILTER(O592:O4660, AA592:AA4660 =""Neighbor"")), """")"),0.5924427913595166)</f>
        <v>0.5924427914</v>
      </c>
      <c r="AD592" s="4">
        <f>IFERROR(__xludf.DUMMYFUNCTION("IFERROR(ABS(P592-AVERAGE(FILTER(O592:P4660,AA592:AA4660=""Neighbor""))) / STDEV(FILTER(P592:P4660, AA592:AA4660 =""Neighbor"")), """")"),1.4863434196155314)</f>
        <v>1.48634342</v>
      </c>
      <c r="AE592" s="2">
        <f>IFERROR(__xludf.DUMMYFUNCTION("IFERROR(ABS(Q592-AVERAGE(FILTER(Q592:Q4660,AA592:AA4660=""Neighbor""))) / STDEV(FILTER(Q592:Q4660, AA592:AA4660 =""Neighbor"")), """")"),0.34961958897841183)</f>
        <v>0.349619589</v>
      </c>
      <c r="AF592" s="2">
        <f>IFERROR(__xludf.DUMMYFUNCTION("IFERROR(ABS(R592-AVERAGE(FILTER(R592:R4660,AA592:AA4660=""Neighbor""))) / STDEV(FILTER(R592:R4660, AA592:AA4660 =""Neighbor"")), """")"),0.09723822033246936)</f>
        <v>0.09723822033</v>
      </c>
    </row>
    <row r="593">
      <c r="A593" s="2" t="s">
        <v>28</v>
      </c>
      <c r="B593" s="2" t="s">
        <v>1711</v>
      </c>
      <c r="C593" s="2" t="s">
        <v>2416</v>
      </c>
      <c r="D593" s="2" t="s">
        <v>2437</v>
      </c>
      <c r="E593" s="2" t="s">
        <v>2438</v>
      </c>
      <c r="F593" s="2">
        <v>82.0</v>
      </c>
      <c r="G593" s="2">
        <v>790.0</v>
      </c>
      <c r="H593" s="2" t="b">
        <v>1</v>
      </c>
      <c r="I593" s="2">
        <v>-1.0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s">
        <v>33</v>
      </c>
      <c r="O593" s="2">
        <v>54.0</v>
      </c>
      <c r="P593" s="2">
        <v>5.0</v>
      </c>
      <c r="Q593" s="2">
        <v>13.0</v>
      </c>
      <c r="R593" s="2">
        <v>1.0</v>
      </c>
      <c r="S593" s="3" t="s">
        <v>2439</v>
      </c>
      <c r="T593" s="2" t="s">
        <v>2440</v>
      </c>
      <c r="Y593" s="4" t="str">
        <f>IFERROR(__xludf.DUMMYFUNCTION("""COMPUTED_VALUE"""),"6.6117244")</f>
        <v>6.6117244</v>
      </c>
      <c r="Z593" s="4" t="str">
        <f>IFERROR(__xludf.DUMMYFUNCTION("""COMPUTED_VALUE"""),"3.0016236")</f>
        <v>3.0016236</v>
      </c>
      <c r="AA593" s="4" t="str">
        <f t="shared" si="1"/>
        <v>Not Neighbor</v>
      </c>
      <c r="AC593" s="4">
        <f>IFERROR(__xludf.DUMMYFUNCTION("IFERROR(ABS(O593-AVERAGE(FILTER(O593:O4661,AA593:AA4661=""Neighbor""))) / STDEV(FILTER(O593:O4661, AA593:AA4661 =""Neighbor"")), """")"),0.26868820147273303)</f>
        <v>0.2686882015</v>
      </c>
      <c r="AD593" s="4">
        <f>IFERROR(__xludf.DUMMYFUNCTION("IFERROR(ABS(P593-AVERAGE(FILTER(O593:P4661,AA593:AA4661=""Neighbor""))) / STDEV(FILTER(P593:P4661, AA593:AA4661 =""Neighbor"")), """")"),1.407674464589459)</f>
        <v>1.407674465</v>
      </c>
      <c r="AE593" s="2">
        <f>IFERROR(__xludf.DUMMYFUNCTION("IFERROR(ABS(Q593-AVERAGE(FILTER(Q593:Q4661,AA593:AA4661=""Neighbor""))) / STDEV(FILTER(Q593:Q4661, AA593:AA4661 =""Neighbor"")), """")"),0.5084298429550466)</f>
        <v>0.508429843</v>
      </c>
      <c r="AF593" s="2">
        <f>IFERROR(__xludf.DUMMYFUNCTION("IFERROR(ABS(R593-AVERAGE(FILTER(R593:R4661,AA593:AA4661=""Neighbor""))) / STDEV(FILTER(R593:R4661, AA593:AA4661 =""Neighbor"")), """")"),0.08609634091937392)</f>
        <v>0.08609634092</v>
      </c>
    </row>
    <row r="594">
      <c r="A594" s="2" t="s">
        <v>28</v>
      </c>
      <c r="B594" s="2" t="s">
        <v>1711</v>
      </c>
      <c r="C594" s="2" t="s">
        <v>2416</v>
      </c>
      <c r="D594" s="2" t="s">
        <v>2441</v>
      </c>
      <c r="E594" s="2" t="s">
        <v>2442</v>
      </c>
      <c r="F594" s="2">
        <v>114.0</v>
      </c>
      <c r="G594" s="2">
        <v>369.0</v>
      </c>
      <c r="H594" s="2" t="b">
        <v>1</v>
      </c>
      <c r="I594" s="2">
        <v>-1.0</v>
      </c>
      <c r="J594" s="2" t="b">
        <v>0</v>
      </c>
      <c r="K594" s="2" t="b">
        <v>0</v>
      </c>
      <c r="L594" s="2" t="b">
        <v>0</v>
      </c>
      <c r="M594" s="2" t="b">
        <v>0</v>
      </c>
      <c r="N594" s="2" t="s">
        <v>33</v>
      </c>
      <c r="O594" s="2">
        <v>58.0</v>
      </c>
      <c r="P594" s="2">
        <v>0.0</v>
      </c>
      <c r="Q594" s="2">
        <v>52.0</v>
      </c>
      <c r="R594" s="2">
        <v>1.0</v>
      </c>
      <c r="S594" s="3" t="s">
        <v>2443</v>
      </c>
      <c r="T594" s="2" t="s">
        <v>2444</v>
      </c>
      <c r="Y594" s="4" t="str">
        <f>IFERROR(__xludf.DUMMYFUNCTION("""COMPUTED_VALUE"""),"6.6432944")</f>
        <v>6.6432944</v>
      </c>
      <c r="Z594" s="4" t="str">
        <f>IFERROR(__xludf.DUMMYFUNCTION("""COMPUTED_VALUE"""),"2.9418468")</f>
        <v>2.9418468</v>
      </c>
      <c r="AA594" s="4" t="str">
        <f t="shared" si="1"/>
        <v>Not Neighbor</v>
      </c>
      <c r="AC594" s="4">
        <f>IFERROR(__xludf.DUMMYFUNCTION("IFERROR(ABS(O594-AVERAGE(FILTER(O594:O4662,AA594:AA4662=""Neighbor""))) / STDEV(FILTER(O594:O4662, AA594:AA4662 =""Neighbor"")), """")"),0.17618689007650915)</f>
        <v>0.1761868901</v>
      </c>
      <c r="AD594" s="4">
        <f>IFERROR(__xludf.DUMMYFUNCTION("IFERROR(ABS(P594-AVERAGE(FILTER(O594:P4662,AA594:AA4662=""Neighbor""))) / STDEV(FILTER(P594:P4662, AA594:AA4662 =""Neighbor"")), """")"),1.6043468521546402)</f>
        <v>1.604346852</v>
      </c>
      <c r="AE594" s="2">
        <f>IFERROR(__xludf.DUMMYFUNCTION("IFERROR(ABS(Q594-AVERAGE(FILTER(Q594:Q4662,AA594:AA4662=""Neighbor""))) / STDEV(FILTER(Q594:Q4662, AA594:AA4662 =""Neighbor"")), """")"),1.085090530635662)</f>
        <v>1.085090531</v>
      </c>
      <c r="AF594" s="2">
        <f>IFERROR(__xludf.DUMMYFUNCTION("IFERROR(ABS(R594-AVERAGE(FILTER(R594:R4662,AA594:AA4662=""Neighbor""))) / STDEV(FILTER(R594:R4662, AA594:AA4662 =""Neighbor"")), """")"),0.08609634091937392)</f>
        <v>0.08609634092</v>
      </c>
    </row>
    <row r="595">
      <c r="A595" s="2" t="s">
        <v>28</v>
      </c>
      <c r="B595" s="2" t="s">
        <v>1711</v>
      </c>
      <c r="C595" s="2" t="s">
        <v>2416</v>
      </c>
      <c r="D595" s="2" t="s">
        <v>2445</v>
      </c>
      <c r="E595" s="2" t="s">
        <v>2446</v>
      </c>
      <c r="F595" s="2">
        <v>181.0</v>
      </c>
      <c r="G595" s="2">
        <v>682.0</v>
      </c>
      <c r="H595" s="2" t="b">
        <v>1</v>
      </c>
      <c r="I595" s="2">
        <v>-1.0</v>
      </c>
      <c r="J595" s="2" t="b">
        <v>0</v>
      </c>
      <c r="K595" s="2" t="b">
        <v>0</v>
      </c>
      <c r="L595" s="2" t="b">
        <v>0</v>
      </c>
      <c r="M595" s="2" t="b">
        <v>0</v>
      </c>
      <c r="N595" s="2" t="s">
        <v>33</v>
      </c>
      <c r="O595" s="2">
        <v>86.0</v>
      </c>
      <c r="P595" s="2">
        <v>14.0</v>
      </c>
      <c r="Q595" s="2">
        <v>60.0</v>
      </c>
      <c r="R595" s="2">
        <v>3.0</v>
      </c>
      <c r="S595" s="3" t="s">
        <v>2447</v>
      </c>
      <c r="T595" s="2" t="s">
        <v>2448</v>
      </c>
      <c r="Y595" s="4" t="str">
        <f>IFERROR(__xludf.DUMMYFUNCTION("""COMPUTED_VALUE"""),"6.6252247")</f>
        <v>6.6252247</v>
      </c>
      <c r="Z595" s="4" t="str">
        <f>IFERROR(__xludf.DUMMYFUNCTION("""COMPUTED_VALUE"""),"3.0300828")</f>
        <v>3.0300828</v>
      </c>
      <c r="AA595" s="4" t="str">
        <f t="shared" si="1"/>
        <v>Not Neighbor</v>
      </c>
      <c r="AC595" s="4">
        <f>IFERROR(__xludf.DUMMYFUNCTION("IFERROR(ABS(O595-AVERAGE(FILTER(O595:O4663,AA595:AA4663=""Neighbor""))) / STDEV(FILTER(O595:O4663, AA595:AA4663 =""Neighbor"")), """")"),0.47132228969705803)</f>
        <v>0.4713222897</v>
      </c>
      <c r="AD595" s="4">
        <f>IFERROR(__xludf.DUMMYFUNCTION("IFERROR(ABS(P595-AVERAGE(FILTER(O595:P4663,AA595:AA4663=""Neighbor""))) / STDEV(FILTER(P595:P4663, AA595:AA4663 =""Neighbor"")), """")"),1.0536641669721332)</f>
        <v>1.053664167</v>
      </c>
      <c r="AE595" s="2">
        <f>IFERROR(__xludf.DUMMYFUNCTION("IFERROR(ABS(Q595-AVERAGE(FILTER(Q595:Q4663,AA595:AA4663=""Neighbor""))) / STDEV(FILTER(Q595:Q4663, AA595:AA4663 =""Neighbor"")), """")"),1.4119665047055507)</f>
        <v>1.411966505</v>
      </c>
      <c r="AF595" s="2">
        <f>IFERROR(__xludf.DUMMYFUNCTION("IFERROR(ABS(R595-AVERAGE(FILTER(R595:R4663,AA595:AA4663=""Neighbor""))) / STDEV(FILTER(R595:R4663, AA595:AA4663 =""Neighbor"")), """")"),0.45276546342306045)</f>
        <v>0.4527654634</v>
      </c>
    </row>
    <row r="596">
      <c r="A596" s="2" t="s">
        <v>28</v>
      </c>
      <c r="B596" s="2" t="s">
        <v>1711</v>
      </c>
      <c r="C596" s="2" t="s">
        <v>2416</v>
      </c>
      <c r="D596" s="2" t="s">
        <v>2449</v>
      </c>
      <c r="E596" s="2" t="s">
        <v>2450</v>
      </c>
      <c r="F596" s="2">
        <v>140.0</v>
      </c>
      <c r="G596" s="2">
        <v>949.0</v>
      </c>
      <c r="H596" s="2" t="b">
        <v>1</v>
      </c>
      <c r="I596" s="2">
        <v>-1.0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s">
        <v>33</v>
      </c>
      <c r="O596" s="2">
        <v>83.0</v>
      </c>
      <c r="P596" s="2">
        <v>1.0</v>
      </c>
      <c r="Q596" s="2">
        <v>41.0</v>
      </c>
      <c r="R596" s="2">
        <v>0.0</v>
      </c>
      <c r="S596" s="3" t="s">
        <v>2451</v>
      </c>
      <c r="T596" s="2" t="s">
        <v>2452</v>
      </c>
      <c r="Y596" s="4" t="str">
        <f>IFERROR(__xludf.DUMMYFUNCTION("""COMPUTED_VALUE"""),"6.6517878")</f>
        <v>6.6517878</v>
      </c>
      <c r="Z596" s="4" t="str">
        <f>IFERROR(__xludf.DUMMYFUNCTION("""COMPUTED_VALUE"""),"2.9896797")</f>
        <v>2.9896797</v>
      </c>
      <c r="AA596" s="4" t="str">
        <f t="shared" si="1"/>
        <v>Neighbor</v>
      </c>
      <c r="AC596" s="4">
        <f>IFERROR(__xludf.DUMMYFUNCTION("IFERROR(ABS(O596-AVERAGE(FILTER(O596:O4664,AA596:AA4664=""Neighbor""))) / STDEV(FILTER(O596:O4664, AA596:AA4664 =""Neighbor"")), """")"),0.40194630614989013)</f>
        <v>0.4019463061</v>
      </c>
      <c r="AD596" s="4">
        <f>IFERROR(__xludf.DUMMYFUNCTION("IFERROR(ABS(P596-AVERAGE(FILTER(O596:P4664,AA596:AA4664=""Neighbor""))) / STDEV(FILTER(P596:P4664, AA596:AA4664 =""Neighbor"")), """")"),1.565012374641604)</f>
        <v>1.565012375</v>
      </c>
      <c r="AE596" s="2">
        <f>IFERROR(__xludf.DUMMYFUNCTION("IFERROR(ABS(Q596-AVERAGE(FILTER(Q596:Q4664,AA596:AA4664=""Neighbor""))) / STDEV(FILTER(Q596:Q4664, AA596:AA4664 =""Neighbor"")), """")"),0.6356360662895647)</f>
        <v>0.6356360663</v>
      </c>
      <c r="AF596" s="2">
        <f>IFERROR(__xludf.DUMMYFUNCTION("IFERROR(ABS(R596-AVERAGE(FILTER(R596:R4664,AA596:AA4664=""Neighbor""))) / STDEV(FILTER(R596:R4664, AA596:AA4664 =""Neighbor"")), """")"),0.09723822033246936)</f>
        <v>0.09723822033</v>
      </c>
    </row>
    <row r="597">
      <c r="A597" s="2" t="s">
        <v>28</v>
      </c>
      <c r="B597" s="2" t="s">
        <v>1711</v>
      </c>
      <c r="C597" s="2" t="s">
        <v>2416</v>
      </c>
      <c r="D597" s="2" t="s">
        <v>2453</v>
      </c>
      <c r="E597" s="2" t="s">
        <v>2454</v>
      </c>
      <c r="F597" s="2">
        <v>120.0</v>
      </c>
      <c r="G597" s="2">
        <v>378.0</v>
      </c>
      <c r="H597" s="2" t="b">
        <v>1</v>
      </c>
      <c r="I597" s="2">
        <v>-1.0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s">
        <v>33</v>
      </c>
      <c r="O597" s="2">
        <v>71.0</v>
      </c>
      <c r="P597" s="2">
        <v>5.0</v>
      </c>
      <c r="Q597" s="2">
        <v>33.0</v>
      </c>
      <c r="R597" s="2">
        <v>0.0</v>
      </c>
      <c r="S597" s="3" t="s">
        <v>2455</v>
      </c>
      <c r="T597" s="2" t="s">
        <v>2456</v>
      </c>
      <c r="Y597" s="4" t="str">
        <f>IFERROR(__xludf.DUMMYFUNCTION("""COMPUTED_VALUE"""),"6.6517878")</f>
        <v>6.6517878</v>
      </c>
      <c r="Z597" s="4" t="str">
        <f>IFERROR(__xludf.DUMMYFUNCTION("""COMPUTED_VALUE"""),"2.9896797")</f>
        <v>2.9896797</v>
      </c>
      <c r="AA597" s="4" t="str">
        <f t="shared" si="1"/>
        <v>Not Neighbor</v>
      </c>
      <c r="AC597" s="4">
        <f>IFERROR(__xludf.DUMMYFUNCTION("IFERROR(ABS(O597-AVERAGE(FILTER(O597:O4665,AA597:AA4665=""Neighbor""))) / STDEV(FILTER(O597:O4665, AA597:AA4665 =""Neighbor"")), """")"),0.12468401309568046)</f>
        <v>0.1246840131</v>
      </c>
      <c r="AD597" s="4">
        <f>IFERROR(__xludf.DUMMYFUNCTION("IFERROR(ABS(P597-AVERAGE(FILTER(O597:P4665,AA597:AA4665=""Neighbor""))) / STDEV(FILTER(P597:P4665, AA597:AA4665 =""Neighbor"")), """")"),1.407323432599905)</f>
        <v>1.407323433</v>
      </c>
      <c r="AE597" s="2">
        <f>IFERROR(__xludf.DUMMYFUNCTION("IFERROR(ABS(Q597-AVERAGE(FILTER(Q597:Q4665,AA597:AA4665=""Neighbor""))) / STDEV(FILTER(Q597:Q4665, AA597:AA4665 =""Neighbor"")), """")"),0.3091357022616979)</f>
        <v>0.3091357023</v>
      </c>
      <c r="AF597" s="2">
        <f>IFERROR(__xludf.DUMMYFUNCTION("IFERROR(ABS(R597-AVERAGE(FILTER(R597:R4665,AA597:AA4665=""Neighbor""))) / STDEV(FILTER(R597:R4665, AA597:AA4665 =""Neighbor"")), """")"),0.0972721092662589)</f>
        <v>0.09727210927</v>
      </c>
    </row>
    <row r="598">
      <c r="A598" s="2" t="s">
        <v>28</v>
      </c>
      <c r="B598" s="2" t="s">
        <v>1711</v>
      </c>
      <c r="C598" s="2" t="s">
        <v>2416</v>
      </c>
      <c r="D598" s="2" t="s">
        <v>2457</v>
      </c>
      <c r="E598" s="2" t="s">
        <v>2458</v>
      </c>
      <c r="F598" s="2">
        <v>115.0</v>
      </c>
      <c r="G598" s="2">
        <v>437.0</v>
      </c>
      <c r="H598" s="2" t="b">
        <v>1</v>
      </c>
      <c r="I598" s="2">
        <v>-1.0</v>
      </c>
      <c r="J598" s="2" t="b">
        <v>0</v>
      </c>
      <c r="K598" s="2" t="b">
        <v>1</v>
      </c>
      <c r="L598" s="2" t="b">
        <v>0</v>
      </c>
      <c r="M598" s="2" t="b">
        <v>0</v>
      </c>
      <c r="N598" s="2" t="s">
        <v>33</v>
      </c>
      <c r="O598" s="2">
        <v>55.0</v>
      </c>
      <c r="P598" s="2">
        <v>2.0</v>
      </c>
      <c r="Q598" s="2">
        <v>49.0</v>
      </c>
      <c r="R598" s="2">
        <v>0.0</v>
      </c>
      <c r="S598" s="3" t="s">
        <v>2459</v>
      </c>
      <c r="T598" s="2" t="s">
        <v>2460</v>
      </c>
      <c r="Y598" s="4" t="str">
        <f>IFERROR(__xludf.DUMMYFUNCTION("""COMPUTED_VALUE"""),"6.6252247")</f>
        <v>6.6252247</v>
      </c>
      <c r="Z598" s="4" t="str">
        <f>IFERROR(__xludf.DUMMYFUNCTION("""COMPUTED_VALUE"""),"3.0300828")</f>
        <v>3.0300828</v>
      </c>
      <c r="AA598" s="4" t="str">
        <f t="shared" si="1"/>
        <v>Not Neighbor</v>
      </c>
      <c r="AC598" s="4">
        <f>IFERROR(__xludf.DUMMYFUNCTION("IFERROR(ABS(O598-AVERAGE(FILTER(O598:O4666,AA598:AA4666=""Neighbor""))) / STDEV(FILTER(O598:O4666, AA598:AA4666 =""Neighbor"")), """")"),0.24521402267971648)</f>
        <v>0.2452140227</v>
      </c>
      <c r="AD598" s="4">
        <f>IFERROR(__xludf.DUMMYFUNCTION("IFERROR(ABS(P598-AVERAGE(FILTER(O598:P4666,AA598:AA4666=""Neighbor""))) / STDEV(FILTER(P598:P4666, AA598:AA4666 =""Neighbor"")), """")"),1.5253002014413433)</f>
        <v>1.525300201</v>
      </c>
      <c r="AE598" s="2">
        <f>IFERROR(__xludf.DUMMYFUNCTION("IFERROR(ABS(Q598-AVERAGE(FILTER(Q598:Q4666,AA598:AA4666=""Neighbor""))) / STDEV(FILTER(Q598:Q4666, AA598:AA4666 =""Neighbor"")), """")"),0.9627530336555636)</f>
        <v>0.9627530337</v>
      </c>
      <c r="AF598" s="2">
        <f>IFERROR(__xludf.DUMMYFUNCTION("IFERROR(ABS(R598-AVERAGE(FILTER(R598:R4666,AA598:AA4666=""Neighbor""))) / STDEV(FILTER(R598:R4666, AA598:AA4666 =""Neighbor"")), """")"),0.0972721092662589)</f>
        <v>0.09727210927</v>
      </c>
    </row>
    <row r="599">
      <c r="A599" s="2" t="s">
        <v>28</v>
      </c>
      <c r="B599" s="2" t="s">
        <v>1711</v>
      </c>
      <c r="C599" s="2" t="s">
        <v>2416</v>
      </c>
      <c r="D599" s="2" t="s">
        <v>2461</v>
      </c>
      <c r="E599" s="2" t="s">
        <v>2462</v>
      </c>
      <c r="F599" s="2">
        <v>39.0</v>
      </c>
      <c r="G599" s="2">
        <v>151.0</v>
      </c>
      <c r="H599" s="2" t="b">
        <v>1</v>
      </c>
      <c r="I599" s="2">
        <v>-1.0</v>
      </c>
      <c r="J599" s="2" t="b">
        <v>0</v>
      </c>
      <c r="K599" s="2" t="b">
        <v>0</v>
      </c>
      <c r="L599" s="2" t="b">
        <v>0</v>
      </c>
      <c r="M599" s="2" t="b">
        <v>0</v>
      </c>
      <c r="N599" s="2" t="s">
        <v>33</v>
      </c>
      <c r="O599" s="2">
        <v>30.0</v>
      </c>
      <c r="P599" s="2">
        <v>0.0</v>
      </c>
      <c r="Q599" s="2">
        <v>5.0</v>
      </c>
      <c r="R599" s="2">
        <v>0.0</v>
      </c>
      <c r="S599" s="3" t="s">
        <v>2463</v>
      </c>
      <c r="T599" s="2" t="s">
        <v>2464</v>
      </c>
      <c r="Y599" s="4" t="str">
        <f>IFERROR(__xludf.DUMMYFUNCTION("""COMPUTED_VALUE"""),"6.6506799")</f>
        <v>6.6506799</v>
      </c>
      <c r="Z599" s="4" t="str">
        <f>IFERROR(__xludf.DUMMYFUNCTION("""COMPUTED_VALUE"""),"2.9572483")</f>
        <v>2.9572483</v>
      </c>
      <c r="AA599" s="4" t="str">
        <f t="shared" si="1"/>
        <v>Not Neighbor</v>
      </c>
      <c r="AC599" s="4">
        <f>IFERROR(__xludf.DUMMYFUNCTION("IFERROR(ABS(O599-AVERAGE(FILTER(O599:O4667,AA599:AA4667=""Neighbor""))) / STDEV(FILTER(O599:O4667, AA599:AA4667 =""Neighbor"")), """")"),0.8231797035787742)</f>
        <v>0.8231797036</v>
      </c>
      <c r="AD599" s="4">
        <f>IFERROR(__xludf.DUMMYFUNCTION("IFERROR(ABS(P599-AVERAGE(FILTER(O599:P4667,AA599:AA4667=""Neighbor""))) / STDEV(FILTER(P599:P4667, AA599:AA4667 =""Neighbor"")), """")"),1.6039513806689687)</f>
        <v>1.603951381</v>
      </c>
      <c r="AE599" s="2">
        <f>IFERROR(__xludf.DUMMYFUNCTION("IFERROR(ABS(Q599-AVERAGE(FILTER(Q599:Q4667,AA599:AA4667=""Neighbor""))) / STDEV(FILTER(Q599:Q4667, AA599:AA4667 =""Neighbor"")), """")"),0.8346946276775672)</f>
        <v>0.8346946277</v>
      </c>
      <c r="AF599" s="2">
        <f>IFERROR(__xludf.DUMMYFUNCTION("IFERROR(ABS(R599-AVERAGE(FILTER(R599:R4667,AA599:AA4667=""Neighbor""))) / STDEV(FILTER(R599:R4667, AA599:AA4667 =""Neighbor"")), """")"),0.0972721092662589)</f>
        <v>0.09727210927</v>
      </c>
    </row>
    <row r="600">
      <c r="A600" s="2" t="s">
        <v>28</v>
      </c>
      <c r="B600" s="2" t="s">
        <v>1711</v>
      </c>
      <c r="C600" s="2" t="s">
        <v>2416</v>
      </c>
      <c r="D600" s="2" t="s">
        <v>2465</v>
      </c>
      <c r="E600" s="2" t="s">
        <v>2466</v>
      </c>
      <c r="F600" s="2">
        <v>107.0</v>
      </c>
      <c r="G600" s="2">
        <v>750.0</v>
      </c>
      <c r="H600" s="2" t="b">
        <v>1</v>
      </c>
      <c r="I600" s="2">
        <v>-1.0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s">
        <v>33</v>
      </c>
      <c r="O600" s="2">
        <v>0.0</v>
      </c>
      <c r="P600" s="2">
        <v>0.0</v>
      </c>
      <c r="Q600" s="2">
        <v>0.0</v>
      </c>
      <c r="R600" s="2">
        <v>0.0</v>
      </c>
      <c r="S600" s="3" t="s">
        <v>2467</v>
      </c>
      <c r="T600" s="2" t="s">
        <v>2468</v>
      </c>
      <c r="Y600" s="4" t="str">
        <f>IFERROR(__xludf.DUMMYFUNCTION("""COMPUTED_VALUE"""),"6.6252247")</f>
        <v>6.6252247</v>
      </c>
      <c r="Z600" s="4" t="str">
        <f>IFERROR(__xludf.DUMMYFUNCTION("""COMPUTED_VALUE"""),"3.0300828")</f>
        <v>3.0300828</v>
      </c>
      <c r="AA600" s="4" t="str">
        <f t="shared" si="1"/>
        <v>Not Neighbor</v>
      </c>
      <c r="AC600" s="4">
        <f>IFERROR(__xludf.DUMMYFUNCTION("IFERROR(ABS(O600-AVERAGE(FILTER(O600:O4668,AA600:AA4668=""Neighbor""))) / STDEV(FILTER(O600:O4668, AA600:AA4668 =""Neighbor"")), """")"),1.5167385206576436)</f>
        <v>1.516738521</v>
      </c>
      <c r="AD600" s="4">
        <f>IFERROR(__xludf.DUMMYFUNCTION("IFERROR(ABS(P600-AVERAGE(FILTER(O600:P4668,AA600:AA4668=""Neighbor""))) / STDEV(FILTER(P600:P4668, AA600:AA4668 =""Neighbor"")), """")"),1.6039513806689687)</f>
        <v>1.603951381</v>
      </c>
      <c r="AE600" s="2">
        <f>IFERROR(__xludf.DUMMYFUNCTION("IFERROR(ABS(Q600-AVERAGE(FILTER(Q600:Q4668,AA600:AA4668=""Neighbor""))) / STDEV(FILTER(Q600:Q4668, AA600:AA4668 =""Neighbor"")), """")"),1.0389500437381503)</f>
        <v>1.038950044</v>
      </c>
      <c r="AF600" s="2">
        <f>IFERROR(__xludf.DUMMYFUNCTION("IFERROR(ABS(R600-AVERAGE(FILTER(R600:R4668,AA600:AA4668=""Neighbor""))) / STDEV(FILTER(R600:R4668, AA600:AA4668 =""Neighbor"")), """")"),0.0972721092662589)</f>
        <v>0.09727210927</v>
      </c>
    </row>
    <row r="601">
      <c r="A601" s="2" t="s">
        <v>28</v>
      </c>
      <c r="B601" s="2" t="s">
        <v>1711</v>
      </c>
      <c r="C601" s="2" t="s">
        <v>2416</v>
      </c>
      <c r="D601" s="2" t="s">
        <v>2469</v>
      </c>
      <c r="E601" s="2" t="s">
        <v>2470</v>
      </c>
      <c r="F601" s="2">
        <v>87.0</v>
      </c>
      <c r="G601" s="2">
        <v>665.0</v>
      </c>
      <c r="H601" s="2" t="b">
        <v>1</v>
      </c>
      <c r="I601" s="2">
        <v>-1.0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s">
        <v>33</v>
      </c>
      <c r="O601" s="2">
        <v>60.0</v>
      </c>
      <c r="P601" s="2">
        <v>3.0</v>
      </c>
      <c r="Q601" s="2">
        <v>19.0</v>
      </c>
      <c r="R601" s="2">
        <v>0.0</v>
      </c>
      <c r="S601" s="3" t="s">
        <v>2471</v>
      </c>
      <c r="T601" s="2" t="s">
        <v>2472</v>
      </c>
      <c r="Y601" s="4" t="str">
        <f>IFERROR(__xludf.DUMMYFUNCTION("""COMPUTED_VALUE"""),"6.6202493")</f>
        <v>6.6202493</v>
      </c>
      <c r="Z601" s="4" t="str">
        <f>IFERROR(__xludf.DUMMYFUNCTION("""COMPUTED_VALUE"""),"2.9700567")</f>
        <v>2.9700567</v>
      </c>
      <c r="AA601" s="4" t="str">
        <f t="shared" si="1"/>
        <v>Not Neighbor</v>
      </c>
      <c r="AC601" s="4">
        <f>IFERROR(__xludf.DUMMYFUNCTION("IFERROR(ABS(O601-AVERAGE(FILTER(O601:O4669,AA601:AA4669=""Neighbor""))) / STDEV(FILTER(O601:O4669, AA601:AA4669 =""Neighbor"")), """")"),0.12962088649990494)</f>
        <v>0.1296208865</v>
      </c>
      <c r="AD601" s="4">
        <f>IFERROR(__xludf.DUMMYFUNCTION("IFERROR(ABS(P601-AVERAGE(FILTER(O601:P4669,AA601:AA4669=""Neighbor""))) / STDEV(FILTER(P601:P4669, AA601:AA4669 =""Neighbor"")), """")"),1.4859746118275305)</f>
        <v>1.485974612</v>
      </c>
      <c r="AE601" s="2">
        <f>IFERROR(__xludf.DUMMYFUNCTION("IFERROR(ABS(Q601-AVERAGE(FILTER(Q601:Q4669,AA601:AA4669=""Neighbor""))) / STDEV(FILTER(Q601:Q4669, AA601:AA4669 =""Neighbor"")), """")"),0.2627794627079346)</f>
        <v>0.2627794627</v>
      </c>
      <c r="AF601" s="2">
        <f>IFERROR(__xludf.DUMMYFUNCTION("IFERROR(ABS(R601-AVERAGE(FILTER(R601:R4669,AA601:AA4669=""Neighbor""))) / STDEV(FILTER(R601:R4669, AA601:AA4669 =""Neighbor"")), """")"),0.0972721092662589)</f>
        <v>0.09727210927</v>
      </c>
    </row>
    <row r="602">
      <c r="A602" s="2" t="s">
        <v>28</v>
      </c>
      <c r="B602" s="2" t="s">
        <v>1711</v>
      </c>
      <c r="C602" s="2" t="s">
        <v>2473</v>
      </c>
      <c r="D602" s="2" t="s">
        <v>2474</v>
      </c>
      <c r="E602" s="2" t="s">
        <v>2475</v>
      </c>
      <c r="F602" s="2">
        <v>135.0</v>
      </c>
      <c r="G602" s="2">
        <v>750.0</v>
      </c>
      <c r="H602" s="2" t="b">
        <v>1</v>
      </c>
      <c r="I602" s="2">
        <v>-1.0</v>
      </c>
      <c r="J602" s="2" t="b">
        <v>0</v>
      </c>
      <c r="K602" s="2" t="b">
        <v>0</v>
      </c>
      <c r="L602" s="2" t="b">
        <v>0</v>
      </c>
      <c r="M602" s="2" t="b">
        <v>0</v>
      </c>
      <c r="N602" s="2" t="s">
        <v>33</v>
      </c>
      <c r="O602" s="2">
        <v>61.0</v>
      </c>
      <c r="P602" s="2">
        <v>44.0</v>
      </c>
      <c r="Q602" s="2">
        <v>15.0</v>
      </c>
      <c r="R602" s="2">
        <v>0.0</v>
      </c>
      <c r="S602" s="3" t="s">
        <v>2476</v>
      </c>
      <c r="T602" s="2" t="s">
        <v>2477</v>
      </c>
      <c r="Y602" s="4" t="str">
        <f>IFERROR(__xludf.DUMMYFUNCTION("""COMPUTED_VALUE"""),"6.521017")</f>
        <v>6.521017</v>
      </c>
      <c r="Z602" s="4" t="str">
        <f>IFERROR(__xludf.DUMMYFUNCTION("""COMPUTED_VALUE"""),"3.0621666")</f>
        <v>3.0621666</v>
      </c>
      <c r="AA602" s="4" t="str">
        <f t="shared" si="1"/>
        <v>Not Neighbor</v>
      </c>
      <c r="AC602" s="4">
        <f>IFERROR(__xludf.DUMMYFUNCTION("IFERROR(ABS(O602-AVERAGE(FILTER(O602:O4670,AA602:AA4670=""Neighbor""))) / STDEV(FILTER(O602:O4670, AA602:AA4670 =""Neighbor"")), """")"),0.10650225926394263)</f>
        <v>0.1065022593</v>
      </c>
      <c r="AD602" s="4">
        <f>IFERROR(__xludf.DUMMYFUNCTION("IFERROR(ABS(P602-AVERAGE(FILTER(O602:P4670,AA602:AA4670=""Neighbor""))) / STDEV(FILTER(P602:P4670, AA602:AA4670 =""Neighbor"")), """")"),0.1263745623387899)</f>
        <v>0.1263745623</v>
      </c>
      <c r="AE602" s="2">
        <f>IFERROR(__xludf.DUMMYFUNCTION("IFERROR(ABS(Q602-AVERAGE(FILTER(Q602:Q4670,AA602:AA4670=""Neighbor""))) / STDEV(FILTER(Q602:Q4670, AA602:AA4670 =""Neighbor"")), """")"),0.42618379555640107)</f>
        <v>0.4261837956</v>
      </c>
      <c r="AF602" s="2">
        <f>IFERROR(__xludf.DUMMYFUNCTION("IFERROR(ABS(R602-AVERAGE(FILTER(R602:R4670,AA602:AA4670=""Neighbor""))) / STDEV(FILTER(R602:R4670, AA602:AA4670 =""Neighbor"")), """")"),0.0972721092662589)</f>
        <v>0.09727210927</v>
      </c>
    </row>
    <row r="603">
      <c r="A603" s="2" t="s">
        <v>28</v>
      </c>
      <c r="B603" s="2" t="s">
        <v>1711</v>
      </c>
      <c r="C603" s="2" t="s">
        <v>2473</v>
      </c>
      <c r="D603" s="2" t="s">
        <v>2478</v>
      </c>
      <c r="E603" s="2" t="s">
        <v>2479</v>
      </c>
      <c r="F603" s="2">
        <v>203.0</v>
      </c>
      <c r="G603" s="2">
        <v>1528.0</v>
      </c>
      <c r="H603" s="2" t="b">
        <v>1</v>
      </c>
      <c r="I603" s="2">
        <v>-1.0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s">
        <v>33</v>
      </c>
      <c r="O603" s="2">
        <v>72.0</v>
      </c>
      <c r="P603" s="2">
        <v>90.0</v>
      </c>
      <c r="Q603" s="2">
        <v>23.0</v>
      </c>
      <c r="R603" s="2">
        <v>0.0</v>
      </c>
      <c r="S603" s="3" t="s">
        <v>2480</v>
      </c>
      <c r="T603" s="2" t="s">
        <v>2481</v>
      </c>
      <c r="Y603" s="4" t="str">
        <f>IFERROR(__xludf.DUMMYFUNCTION("""COMPUTED_VALUE"""),"6.6379144")</f>
        <v>6.6379144</v>
      </c>
      <c r="Z603" s="4" t="str">
        <f>IFERROR(__xludf.DUMMYFUNCTION("""COMPUTED_VALUE"""),"3.1552606")</f>
        <v>3.1552606</v>
      </c>
      <c r="AA603" s="4" t="str">
        <f t="shared" si="1"/>
        <v>Not Neighbor</v>
      </c>
      <c r="AC603" s="4">
        <f>IFERROR(__xludf.DUMMYFUNCTION("IFERROR(ABS(O603-AVERAGE(FILTER(O603:O4671,AA603:AA4671=""Neighbor""))) / STDEV(FILTER(O603:O4671, AA603:AA4671 =""Neighbor"")), """")"),0.14780264033164278)</f>
        <v>0.1478026403</v>
      </c>
      <c r="AD603" s="4">
        <f>IFERROR(__xludf.DUMMYFUNCTION("IFERROR(ABS(P603-AVERAGE(FILTER(O603:P4671,AA603:AA4671=""Neighbor""))) / STDEV(FILTER(P603:P4671, AA603:AA4671 =""Neighbor"")), """")"),1.9353516845741738)</f>
        <v>1.935351685</v>
      </c>
      <c r="AE603" s="2">
        <f>IFERROR(__xludf.DUMMYFUNCTION("IFERROR(ABS(Q603-AVERAGE(FILTER(Q603:Q4671,AA603:AA4671=""Neighbor""))) / STDEV(FILTER(Q603:Q4671, AA603:AA4671 =""Neighbor"")), """")"),0.09937512985946821)</f>
        <v>0.09937512986</v>
      </c>
      <c r="AF603" s="2">
        <f>IFERROR(__xludf.DUMMYFUNCTION("IFERROR(ABS(R603-AVERAGE(FILTER(R603:R4671,AA603:AA4671=""Neighbor""))) / STDEV(FILTER(R603:R4671, AA603:AA4671 =""Neighbor"")), """")"),0.0972721092662589)</f>
        <v>0.09727210927</v>
      </c>
    </row>
    <row r="604">
      <c r="A604" s="2" t="s">
        <v>28</v>
      </c>
      <c r="B604" s="2" t="s">
        <v>1711</v>
      </c>
      <c r="C604" s="2" t="s">
        <v>2473</v>
      </c>
      <c r="D604" s="2" t="s">
        <v>2482</v>
      </c>
      <c r="E604" s="2" t="s">
        <v>2483</v>
      </c>
      <c r="F604" s="2">
        <v>137.0</v>
      </c>
      <c r="G604" s="2">
        <v>906.0</v>
      </c>
      <c r="H604" s="2" t="b">
        <v>1</v>
      </c>
      <c r="I604" s="2">
        <v>-1.0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s">
        <v>33</v>
      </c>
      <c r="O604" s="2">
        <v>56.0</v>
      </c>
      <c r="P604" s="2">
        <v>25.0</v>
      </c>
      <c r="Q604" s="2">
        <v>36.0</v>
      </c>
      <c r="R604" s="2">
        <v>1.0</v>
      </c>
      <c r="S604" s="3" t="s">
        <v>2484</v>
      </c>
      <c r="T604" s="2" t="s">
        <v>2485</v>
      </c>
      <c r="Y604" s="4" t="str">
        <f>IFERROR(__xludf.DUMMYFUNCTION("""COMPUTED_VALUE"""),"6.6034392")</f>
        <v>6.6034392</v>
      </c>
      <c r="Z604" s="4" t="str">
        <f>IFERROR(__xludf.DUMMYFUNCTION("""COMPUTED_VALUE"""),"3.0485435")</f>
        <v>3.0485435</v>
      </c>
      <c r="AA604" s="4" t="str">
        <f t="shared" si="1"/>
        <v>Not Neighbor</v>
      </c>
      <c r="AC604" s="4">
        <f>IFERROR(__xludf.DUMMYFUNCTION("IFERROR(ABS(O604-AVERAGE(FILTER(O604:O4672,AA604:AA4672=""Neighbor""))) / STDEV(FILTER(O604:O4672, AA604:AA4672 =""Neighbor"")), """")"),0.22209539544375417)</f>
        <v>0.2220953954</v>
      </c>
      <c r="AD604" s="4">
        <f>IFERROR(__xludf.DUMMYFUNCTION("IFERROR(ABS(P604-AVERAGE(FILTER(O604:P4672,AA604:AA4672=""Neighbor""))) / STDEV(FILTER(P604:P4672, AA604:AA4672 =""Neighbor"")), """")"),0.6208116403236512)</f>
        <v>0.6208116403</v>
      </c>
      <c r="AE604" s="2">
        <f>IFERROR(__xludf.DUMMYFUNCTION("IFERROR(ABS(Q604-AVERAGE(FILTER(Q604:Q4672,AA604:AA4672=""Neighbor""))) / STDEV(FILTER(Q604:Q4672, AA604:AA4672 =""Neighbor"")), """")"),0.4316889518980477)</f>
        <v>0.4316889519</v>
      </c>
      <c r="AF604" s="2">
        <f>IFERROR(__xludf.DUMMYFUNCTION("IFERROR(ABS(R604-AVERAGE(FILTER(R604:R4672,AA604:AA4672=""Neighbor""))) / STDEV(FILTER(R604:R4672, AA604:AA4672 =""Neighbor"")), """")"),0.08599969035389296)</f>
        <v>0.08599969035</v>
      </c>
    </row>
    <row r="605">
      <c r="A605" s="2" t="s">
        <v>28</v>
      </c>
      <c r="B605" s="2" t="s">
        <v>1711</v>
      </c>
      <c r="C605" s="2" t="s">
        <v>2473</v>
      </c>
      <c r="D605" s="2" t="s">
        <v>2486</v>
      </c>
      <c r="E605" s="2" t="s">
        <v>2487</v>
      </c>
      <c r="F605" s="2">
        <v>106.0</v>
      </c>
      <c r="G605" s="2">
        <v>643.0</v>
      </c>
      <c r="H605" s="2" t="b">
        <v>1</v>
      </c>
      <c r="I605" s="2">
        <v>-1.0</v>
      </c>
      <c r="J605" s="2" t="b">
        <v>0</v>
      </c>
      <c r="K605" s="2" t="b">
        <v>0</v>
      </c>
      <c r="L605" s="2" t="b">
        <v>0</v>
      </c>
      <c r="M605" s="2" t="b">
        <v>0</v>
      </c>
      <c r="N605" s="2" t="s">
        <v>33</v>
      </c>
      <c r="O605" s="2">
        <v>66.0</v>
      </c>
      <c r="P605" s="2">
        <v>9.0</v>
      </c>
      <c r="Q605" s="2">
        <v>26.0</v>
      </c>
      <c r="R605" s="2">
        <v>0.0</v>
      </c>
      <c r="S605" s="3" t="s">
        <v>2488</v>
      </c>
      <c r="T605" s="2" t="s">
        <v>2489</v>
      </c>
      <c r="Y605" s="4" t="str">
        <f>IFERROR(__xludf.DUMMYFUNCTION("""COMPUTED_VALUE"""),"6.583333")</f>
        <v>6.583333</v>
      </c>
      <c r="Z605" s="4" t="str">
        <f>IFERROR(__xludf.DUMMYFUNCTION("""COMPUTED_VALUE"""),"3.05")</f>
        <v>3.05</v>
      </c>
      <c r="AA605" s="4" t="str">
        <f t="shared" si="1"/>
        <v>Not Neighbor</v>
      </c>
      <c r="AC605" s="4">
        <f>IFERROR(__xludf.DUMMYFUNCTION("IFERROR(ABS(O605-AVERAGE(FILTER(O605:O4673,AA605:AA4673=""Neighbor""))) / STDEV(FILTER(O605:O4673, AA605:AA4673 =""Neighbor"")), """")"),0.009090876915868917)</f>
        <v>0.009090876916</v>
      </c>
      <c r="AD605" s="4">
        <f>IFERROR(__xludf.DUMMYFUNCTION("IFERROR(ABS(P605-AVERAGE(FILTER(O605:P4673,AA605:AA4673=""Neighbor""))) / STDEV(FILTER(P605:P4673, AA605:AA4673 =""Neighbor"")), """")"),1.2500210741446545)</f>
        <v>1.250021074</v>
      </c>
      <c r="AE605" s="2">
        <f>IFERROR(__xludf.DUMMYFUNCTION("IFERROR(ABS(Q605-AVERAGE(FILTER(Q605:Q4673,AA605:AA4673=""Neighbor""))) / STDEV(FILTER(Q605:Q4673, AA605:AA4673 =""Neighbor"")), """")"),0.023178119776881615)</f>
        <v>0.02317811978</v>
      </c>
      <c r="AF605" s="2">
        <f>IFERROR(__xludf.DUMMYFUNCTION("IFERROR(ABS(R605-AVERAGE(FILTER(R605:R4673,AA605:AA4673=""Neighbor""))) / STDEV(FILTER(R605:R4673, AA605:AA4673 =""Neighbor"")), """")"),0.0972721092662589)</f>
        <v>0.09727210927</v>
      </c>
    </row>
    <row r="606">
      <c r="A606" s="2" t="s">
        <v>28</v>
      </c>
      <c r="B606" s="2" t="s">
        <v>1711</v>
      </c>
      <c r="C606" s="2" t="s">
        <v>2473</v>
      </c>
      <c r="D606" s="2" t="s">
        <v>2490</v>
      </c>
      <c r="E606" s="2" t="s">
        <v>2491</v>
      </c>
      <c r="F606" s="2">
        <v>95.0</v>
      </c>
      <c r="G606" s="2">
        <v>750.0</v>
      </c>
      <c r="H606" s="2" t="b">
        <v>1</v>
      </c>
      <c r="I606" s="2">
        <v>-1.0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s">
        <v>33</v>
      </c>
      <c r="O606" s="2">
        <v>31.0</v>
      </c>
      <c r="P606" s="2">
        <v>21.0</v>
      </c>
      <c r="Q606" s="2">
        <v>35.0</v>
      </c>
      <c r="R606" s="2">
        <v>0.0</v>
      </c>
      <c r="S606" s="3" t="s">
        <v>2492</v>
      </c>
      <c r="T606" s="2" t="s">
        <v>2493</v>
      </c>
      <c r="Y606" s="4" t="str">
        <f>IFERROR(__xludf.DUMMYFUNCTION("""COMPUTED_VALUE"""),"6.5384987")</f>
        <v>6.5384987</v>
      </c>
      <c r="Z606" s="4" t="str">
        <f>IFERROR(__xludf.DUMMYFUNCTION("""COMPUTED_VALUE"""),"3.0634501")</f>
        <v>3.0634501</v>
      </c>
      <c r="AA606" s="4" t="str">
        <f t="shared" si="1"/>
        <v>Not Neighbor</v>
      </c>
      <c r="AC606" s="4">
        <f>IFERROR(__xludf.DUMMYFUNCTION("IFERROR(ABS(O606-AVERAGE(FILTER(O606:O4674,AA606:AA4674=""Neighbor""))) / STDEV(FILTER(O606:O4674, AA606:AA4674 =""Neighbor"")), """")"),0.800061076342812)</f>
        <v>0.8000610763</v>
      </c>
      <c r="AD606" s="4">
        <f>IFERROR(__xludf.DUMMYFUNCTION("IFERROR(ABS(P606-AVERAGE(FILTER(O606:P4674,AA606:AA4674=""Neighbor""))) / STDEV(FILTER(P606:P4674, AA606:AA4674 =""Neighbor"")), """")"),0.7781139987789021)</f>
        <v>0.7781139988</v>
      </c>
      <c r="AE606" s="2">
        <f>IFERROR(__xludf.DUMMYFUNCTION("IFERROR(ABS(Q606-AVERAGE(FILTER(Q606:Q4674,AA606:AA4674=""Neighbor""))) / STDEV(FILTER(Q606:Q4674, AA606:AA4674 =""Neighbor"")), """")"),0.39083786868593107)</f>
        <v>0.3908378687</v>
      </c>
      <c r="AF606" s="2">
        <f>IFERROR(__xludf.DUMMYFUNCTION("IFERROR(ABS(R606-AVERAGE(FILTER(R606:R4674,AA606:AA4674=""Neighbor""))) / STDEV(FILTER(R606:R4674, AA606:AA4674 =""Neighbor"")), """")"),0.0972721092662589)</f>
        <v>0.09727210927</v>
      </c>
    </row>
    <row r="607">
      <c r="A607" s="2" t="s">
        <v>28</v>
      </c>
      <c r="B607" s="2" t="s">
        <v>1711</v>
      </c>
      <c r="C607" s="2" t="s">
        <v>2473</v>
      </c>
      <c r="D607" s="2" t="s">
        <v>2494</v>
      </c>
      <c r="E607" s="2" t="s">
        <v>2495</v>
      </c>
      <c r="F607" s="2">
        <v>73.0</v>
      </c>
      <c r="G607" s="2">
        <v>479.0</v>
      </c>
      <c r="H607" s="2" t="b">
        <v>1</v>
      </c>
      <c r="I607" s="2">
        <v>-1.0</v>
      </c>
      <c r="J607" s="2" t="b">
        <v>0</v>
      </c>
      <c r="K607" s="2" t="b">
        <v>0</v>
      </c>
      <c r="L607" s="2" t="b">
        <v>0</v>
      </c>
      <c r="M607" s="2" t="b">
        <v>0</v>
      </c>
      <c r="N607" s="2" t="s">
        <v>33</v>
      </c>
      <c r="O607" s="2">
        <v>30.0</v>
      </c>
      <c r="P607" s="2">
        <v>15.0</v>
      </c>
      <c r="Q607" s="2">
        <v>21.0</v>
      </c>
      <c r="R607" s="2">
        <v>1.0</v>
      </c>
      <c r="S607" s="3" t="s">
        <v>2496</v>
      </c>
      <c r="T607" s="2" t="s">
        <v>2497</v>
      </c>
      <c r="Y607" s="4" t="str">
        <f>IFERROR(__xludf.DUMMYFUNCTION("""COMPUTED_VALUE"""),"6.5902612")</f>
        <v>6.5902612</v>
      </c>
      <c r="Z607" s="4" t="str">
        <f>IFERROR(__xludf.DUMMYFUNCTION("""COMPUTED_VALUE"""),"3.0776568")</f>
        <v>3.0776568</v>
      </c>
      <c r="AA607" s="4" t="str">
        <f t="shared" si="1"/>
        <v>Not Neighbor</v>
      </c>
      <c r="AC607" s="4">
        <f>IFERROR(__xludf.DUMMYFUNCTION("IFERROR(ABS(O607-AVERAGE(FILTER(O607:O4675,AA607:AA4675=""Neighbor""))) / STDEV(FILTER(O607:O4675, AA607:AA4675 =""Neighbor"")), """")"),0.8231797035787742)</f>
        <v>0.8231797036</v>
      </c>
      <c r="AD607" s="4">
        <f>IFERROR(__xludf.DUMMYFUNCTION("IFERROR(ABS(P607-AVERAGE(FILTER(O607:P4675,AA607:AA4675=""Neighbor""))) / STDEV(FILTER(P607:P4675, AA607:AA4675 =""Neighbor"")), """")"),1.0140675364617782)</f>
        <v>1.014067536</v>
      </c>
      <c r="AE607" s="2">
        <f>IFERROR(__xludf.DUMMYFUNCTION("IFERROR(ABS(Q607-AVERAGE(FILTER(Q607:Q4675,AA607:AA4675=""Neighbor""))) / STDEV(FILTER(Q607:Q4675, AA607:AA4675 =""Neighbor"")), """")"),0.18107729628370142)</f>
        <v>0.1810772963</v>
      </c>
      <c r="AF607" s="2">
        <f>IFERROR(__xludf.DUMMYFUNCTION("IFERROR(ABS(R607-AVERAGE(FILTER(R607:R4675,AA607:AA4675=""Neighbor""))) / STDEV(FILTER(R607:R4675, AA607:AA4675 =""Neighbor"")), """")"),0.08599969035389296)</f>
        <v>0.08599969035</v>
      </c>
    </row>
    <row r="608">
      <c r="A608" s="2" t="s">
        <v>28</v>
      </c>
      <c r="B608" s="2" t="s">
        <v>1711</v>
      </c>
      <c r="C608" s="2" t="s">
        <v>2473</v>
      </c>
      <c r="D608" s="2" t="s">
        <v>2498</v>
      </c>
      <c r="E608" s="2" t="s">
        <v>2499</v>
      </c>
      <c r="F608" s="2">
        <v>174.0</v>
      </c>
      <c r="G608" s="2">
        <v>632.0</v>
      </c>
      <c r="H608" s="2" t="b">
        <v>1</v>
      </c>
      <c r="I608" s="2">
        <v>-1.0</v>
      </c>
      <c r="J608" s="2" t="b">
        <v>0</v>
      </c>
      <c r="K608" s="2" t="b">
        <v>0</v>
      </c>
      <c r="L608" s="2" t="b">
        <v>0</v>
      </c>
      <c r="M608" s="2" t="b">
        <v>0</v>
      </c>
      <c r="N608" s="2" t="s">
        <v>33</v>
      </c>
      <c r="O608" s="2">
        <v>86.0</v>
      </c>
      <c r="P608" s="2">
        <v>16.0</v>
      </c>
      <c r="Q608" s="2">
        <v>64.0</v>
      </c>
      <c r="R608" s="2">
        <v>1.0</v>
      </c>
      <c r="S608" s="3" t="s">
        <v>2500</v>
      </c>
      <c r="T608" s="2" t="s">
        <v>2501</v>
      </c>
      <c r="Y608" s="4" t="str">
        <f>IFERROR(__xludf.DUMMYFUNCTION("""COMPUTED_VALUE"""),"6.6174783")</f>
        <v>6.6174783</v>
      </c>
      <c r="Z608" s="4" t="str">
        <f>IFERROR(__xludf.DUMMYFUNCTION("""COMPUTED_VALUE"""),"3.085449")</f>
        <v>3.085449</v>
      </c>
      <c r="AA608" s="4" t="str">
        <f t="shared" si="1"/>
        <v>Not Neighbor</v>
      </c>
      <c r="AC608" s="4">
        <f>IFERROR(__xludf.DUMMYFUNCTION("IFERROR(ABS(O608-AVERAGE(FILTER(O608:O4676,AA608:AA4676=""Neighbor""))) / STDEV(FILTER(O608:O4676, AA608:AA4676 =""Neighbor"")), """")"),0.4714634216351151)</f>
        <v>0.4714634216</v>
      </c>
      <c r="AD608" s="4">
        <f>IFERROR(__xludf.DUMMYFUNCTION("IFERROR(ABS(P608-AVERAGE(FILTER(O608:P4676,AA608:AA4676=""Neighbor""))) / STDEV(FILTER(P608:P4676, AA608:AA4676 =""Neighbor"")), """")"),0.9747419468479656)</f>
        <v>0.9747419468</v>
      </c>
      <c r="AE608" s="2">
        <f>IFERROR(__xludf.DUMMYFUNCTION("IFERROR(ABS(Q608-AVERAGE(FILTER(Q608:Q4676,AA608:AA4676=""Neighbor""))) / STDEV(FILTER(Q608:Q4676, AA608:AA4676 =""Neighbor"")), """")"),1.5755192818373127)</f>
        <v>1.575519282</v>
      </c>
      <c r="AF608" s="2">
        <f>IFERROR(__xludf.DUMMYFUNCTION("IFERROR(ABS(R608-AVERAGE(FILTER(R608:R4676,AA608:AA4676=""Neighbor""))) / STDEV(FILTER(R608:R4676, AA608:AA4676 =""Neighbor"")), """")"),0.08599969035389296)</f>
        <v>0.08599969035</v>
      </c>
    </row>
    <row r="609">
      <c r="A609" s="2" t="s">
        <v>28</v>
      </c>
      <c r="B609" s="2" t="s">
        <v>1711</v>
      </c>
      <c r="C609" s="2" t="s">
        <v>2473</v>
      </c>
      <c r="D609" s="2" t="s">
        <v>2502</v>
      </c>
      <c r="E609" s="2" t="s">
        <v>2503</v>
      </c>
      <c r="F609" s="2">
        <v>170.0</v>
      </c>
      <c r="G609" s="2">
        <v>950.0</v>
      </c>
      <c r="H609" s="2" t="b">
        <v>1</v>
      </c>
      <c r="I609" s="2">
        <v>-1.0</v>
      </c>
      <c r="J609" s="2" t="b">
        <v>1</v>
      </c>
      <c r="K609" s="2" t="b">
        <v>0</v>
      </c>
      <c r="L609" s="2" t="b">
        <v>0</v>
      </c>
      <c r="M609" s="2" t="b">
        <v>0</v>
      </c>
      <c r="N609" s="2" t="s">
        <v>33</v>
      </c>
      <c r="O609" s="2">
        <v>90.0</v>
      </c>
      <c r="P609" s="2">
        <v>50.0</v>
      </c>
      <c r="Q609" s="2">
        <v>15.0</v>
      </c>
      <c r="R609" s="2">
        <v>1.0</v>
      </c>
      <c r="S609" s="3" t="s">
        <v>2504</v>
      </c>
      <c r="T609" s="2" t="s">
        <v>2505</v>
      </c>
      <c r="Y609" s="4" t="str">
        <f>IFERROR(__xludf.DUMMYFUNCTION("""COMPUTED_VALUE"""),"6.5439411")</f>
        <v>6.5439411</v>
      </c>
      <c r="Z609" s="4" t="str">
        <f>IFERROR(__xludf.DUMMYFUNCTION("""COMPUTED_VALUE"""),"3.0238266")</f>
        <v>3.0238266</v>
      </c>
      <c r="AA609" s="4" t="str">
        <f t="shared" si="1"/>
        <v>Not Neighbor</v>
      </c>
      <c r="AC609" s="4">
        <f>IFERROR(__xludf.DUMMYFUNCTION("IFERROR(ABS(O609-AVERAGE(FILTER(O609:O4677,AA609:AA4677=""Neighbor""))) / STDEV(FILTER(O609:O4677, AA609:AA4677 =""Neighbor"")), """")"),0.5639379305789644)</f>
        <v>0.5639379306</v>
      </c>
      <c r="AD609" s="4">
        <f>IFERROR(__xludf.DUMMYFUNCTION("IFERROR(ABS(P609-AVERAGE(FILTER(O609:P4677,AA609:AA4677=""Neighbor""))) / STDEV(FILTER(P609:P4677, AA609:AA4677 =""Neighbor"")), """")"),0.3623281000216661)</f>
        <v>0.3623281</v>
      </c>
      <c r="AE609" s="2">
        <f>IFERROR(__xludf.DUMMYFUNCTION("IFERROR(ABS(Q609-AVERAGE(FILTER(Q609:Q4677,AA609:AA4677=""Neighbor""))) / STDEV(FILTER(Q609:Q4677, AA609:AA4677 =""Neighbor"")), """")"),0.42618379555640107)</f>
        <v>0.4261837956</v>
      </c>
      <c r="AF609" s="2">
        <f>IFERROR(__xludf.DUMMYFUNCTION("IFERROR(ABS(R609-AVERAGE(FILTER(R609:R4677,AA609:AA4677=""Neighbor""))) / STDEV(FILTER(R609:R4677, AA609:AA4677 =""Neighbor"")), """")"),0.08599969035389296)</f>
        <v>0.08599969035</v>
      </c>
    </row>
    <row r="610">
      <c r="A610" s="2" t="s">
        <v>28</v>
      </c>
      <c r="B610" s="2" t="s">
        <v>1711</v>
      </c>
      <c r="C610" s="2" t="s">
        <v>2473</v>
      </c>
      <c r="D610" s="2" t="s">
        <v>2506</v>
      </c>
      <c r="E610" s="2" t="s">
        <v>2507</v>
      </c>
      <c r="F610" s="2">
        <v>104.0</v>
      </c>
      <c r="G610" s="2">
        <v>753.0</v>
      </c>
      <c r="H610" s="2" t="b">
        <v>1</v>
      </c>
      <c r="I610" s="2">
        <v>-1.0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s">
        <v>33</v>
      </c>
      <c r="O610" s="2">
        <v>61.0</v>
      </c>
      <c r="P610" s="2">
        <v>13.0</v>
      </c>
      <c r="Q610" s="2">
        <v>16.0</v>
      </c>
      <c r="R610" s="2">
        <v>1.0</v>
      </c>
      <c r="S610" s="3" t="s">
        <v>2508</v>
      </c>
      <c r="T610" s="2" t="s">
        <v>2509</v>
      </c>
      <c r="Y610" s="4" t="str">
        <f>IFERROR(__xludf.DUMMYFUNCTION("""COMPUTED_VALUE"""),"6.5902612")</f>
        <v>6.5902612</v>
      </c>
      <c r="Z610" s="4" t="str">
        <f>IFERROR(__xludf.DUMMYFUNCTION("""COMPUTED_VALUE"""),"3.0776568")</f>
        <v>3.0776568</v>
      </c>
      <c r="AA610" s="4" t="str">
        <f t="shared" si="1"/>
        <v>Neighbor</v>
      </c>
      <c r="AC610" s="4">
        <f>IFERROR(__xludf.DUMMYFUNCTION("IFERROR(ABS(O610-AVERAGE(FILTER(O610:O4678,AA610:AA4678=""Neighbor""))) / STDEV(FILTER(O610:O4678, AA610:AA4678 =""Neighbor"")), """")"),0.10650225926394263)</f>
        <v>0.1065022593</v>
      </c>
      <c r="AD610" s="4">
        <f>IFERROR(__xludf.DUMMYFUNCTION("IFERROR(ABS(P610-AVERAGE(FILTER(O610:P4678,AA610:AA4678=""Neighbor""))) / STDEV(FILTER(P610:P4678, AA610:AA4678 =""Neighbor"")), """")"),1.0927187156894036)</f>
        <v>1.092718716</v>
      </c>
      <c r="AE610" s="2">
        <f>IFERROR(__xludf.DUMMYFUNCTION("IFERROR(ABS(Q610-AVERAGE(FILTER(Q610:Q4678,AA610:AA4678=""Neighbor""))) / STDEV(FILTER(Q610:Q4678, AA610:AA4678 =""Neighbor"")), """")"),0.38533271234428446)</f>
        <v>0.3853327123</v>
      </c>
      <c r="AF610" s="2">
        <f>IFERROR(__xludf.DUMMYFUNCTION("IFERROR(ABS(R610-AVERAGE(FILTER(R610:R4678,AA610:AA4678=""Neighbor""))) / STDEV(FILTER(R610:R4678, AA610:AA4678 =""Neighbor"")), """")"),0.08599969035389296)</f>
        <v>0.08599969035</v>
      </c>
    </row>
    <row r="611">
      <c r="A611" s="2" t="s">
        <v>28</v>
      </c>
      <c r="B611" s="2" t="s">
        <v>1711</v>
      </c>
      <c r="C611" s="2" t="s">
        <v>2473</v>
      </c>
      <c r="D611" s="2" t="s">
        <v>2510</v>
      </c>
      <c r="E611" s="2" t="s">
        <v>2511</v>
      </c>
      <c r="F611" s="2">
        <v>101.0</v>
      </c>
      <c r="G611" s="2">
        <v>970.0</v>
      </c>
      <c r="H611" s="2" t="b">
        <v>1</v>
      </c>
      <c r="I611" s="2">
        <v>-1.0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s">
        <v>33</v>
      </c>
      <c r="O611" s="2">
        <v>44.0</v>
      </c>
      <c r="P611" s="2">
        <v>31.0</v>
      </c>
      <c r="Q611" s="2">
        <v>18.0</v>
      </c>
      <c r="R611" s="2">
        <v>0.0</v>
      </c>
      <c r="S611" s="3" t="s">
        <v>2512</v>
      </c>
      <c r="T611" s="2" t="s">
        <v>2513</v>
      </c>
      <c r="Y611" s="4" t="str">
        <f>IFERROR(__xludf.DUMMYFUNCTION("""COMPUTED_VALUE"""),"6.5902612")</f>
        <v>6.5902612</v>
      </c>
      <c r="Z611" s="4" t="str">
        <f>IFERROR(__xludf.DUMMYFUNCTION("""COMPUTED_VALUE"""),"3.0776568")</f>
        <v>3.0776568</v>
      </c>
      <c r="AA611" s="4" t="str">
        <f t="shared" si="1"/>
        <v>Neighbor</v>
      </c>
      <c r="AC611" s="4">
        <f>IFERROR(__xludf.DUMMYFUNCTION("IFERROR(ABS(O611-AVERAGE(FILTER(O611:O4679,AA611:AA4679=""Neighbor""))) / STDEV(FILTER(O611:O4679, AA611:AA4679 =""Neighbor"")), """")"),0.4994217557033336)</f>
        <v>0.4994217557</v>
      </c>
      <c r="AD611" s="4">
        <f>IFERROR(__xludf.DUMMYFUNCTION("IFERROR(ABS(P611-AVERAGE(FILTER(O611:P4679,AA611:AA4679=""Neighbor""))) / STDEV(FILTER(P611:P4679, AA611:AA4679 =""Neighbor"")), """")"),0.38482975586585616)</f>
        <v>0.3848297559</v>
      </c>
      <c r="AE611" s="2">
        <f>IFERROR(__xludf.DUMMYFUNCTION("IFERROR(ABS(Q611-AVERAGE(FILTER(Q611:Q4679,AA611:AA4679=""Neighbor""))) / STDEV(FILTER(Q611:Q4679, AA611:AA4679 =""Neighbor"")), """")"),0.3038075369060395)</f>
        <v>0.3038075369</v>
      </c>
      <c r="AF611" s="2">
        <f>IFERROR(__xludf.DUMMYFUNCTION("IFERROR(ABS(R611-AVERAGE(FILTER(R611:R4679,AA611:AA4679=""Neighbor""))) / STDEV(FILTER(R611:R4679, AA611:AA4679 =""Neighbor"")), """")"),0.09717926362375322)</f>
        <v>0.09717926362</v>
      </c>
    </row>
    <row r="612">
      <c r="A612" s="2" t="s">
        <v>28</v>
      </c>
      <c r="B612" s="2" t="s">
        <v>1711</v>
      </c>
      <c r="C612" s="2" t="s">
        <v>2473</v>
      </c>
      <c r="D612" s="2" t="s">
        <v>2514</v>
      </c>
      <c r="E612" s="2" t="s">
        <v>2515</v>
      </c>
      <c r="F612" s="2">
        <v>125.0</v>
      </c>
      <c r="G612" s="2">
        <v>999.0</v>
      </c>
      <c r="H612" s="2" t="b">
        <v>1</v>
      </c>
      <c r="I612" s="2">
        <v>-1.0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s">
        <v>33</v>
      </c>
      <c r="O612" s="2">
        <v>82.0</v>
      </c>
      <c r="P612" s="2">
        <v>8.0</v>
      </c>
      <c r="Q612" s="2">
        <v>25.0</v>
      </c>
      <c r="R612" s="2">
        <v>0.0</v>
      </c>
      <c r="S612" s="3" t="s">
        <v>2516</v>
      </c>
      <c r="T612" s="2" t="s">
        <v>2517</v>
      </c>
      <c r="Y612" s="4" t="str">
        <f>IFERROR(__xludf.DUMMYFUNCTION("""COMPUTED_VALUE"""),"6.5902612")</f>
        <v>6.5902612</v>
      </c>
      <c r="Z612" s="4" t="str">
        <f>IFERROR(__xludf.DUMMYFUNCTION("""COMPUTED_VALUE"""),"3.0776568")</f>
        <v>3.0776568</v>
      </c>
      <c r="AA612" s="4" t="str">
        <f t="shared" si="1"/>
        <v>Neighbor</v>
      </c>
      <c r="AC612" s="4">
        <f>IFERROR(__xludf.DUMMYFUNCTION("IFERROR(ABS(O612-AVERAGE(FILTER(O612:O4680,AA612:AA4680=""Neighbor""))) / STDEV(FILTER(O612:O4680, AA612:AA4680 =""Neighbor"")), """")"),0.3783417873099461)</f>
        <v>0.3783417873</v>
      </c>
      <c r="AD612" s="4">
        <f>IFERROR(__xludf.DUMMYFUNCTION("IFERROR(ABS(P612-AVERAGE(FILTER(O612:P4680,AA612:AA4680=""Neighbor""))) / STDEV(FILTER(P612:P4680, AA612:AA4680 =""Neighbor"")), """")"),1.2888089589604887)</f>
        <v>1.288808959</v>
      </c>
      <c r="AE612" s="2">
        <f>IFERROR(__xludf.DUMMYFUNCTION("IFERROR(ABS(Q612-AVERAGE(FILTER(Q612:Q4680,AA612:AA4680=""Neighbor""))) / STDEV(FILTER(Q612:Q4680, AA612:AA4680 =""Neighbor"")), """")"),0.018138710207074176)</f>
        <v>0.01813871021</v>
      </c>
      <c r="AF612" s="2">
        <f>IFERROR(__xludf.DUMMYFUNCTION("IFERROR(ABS(R612-AVERAGE(FILTER(R612:R4680,AA612:AA4680=""Neighbor""))) / STDEV(FILTER(R612:R4680, AA612:AA4680 =""Neighbor"")), """")"),0.09721317846133587)</f>
        <v>0.09721317846</v>
      </c>
    </row>
    <row r="613">
      <c r="A613" s="2" t="s">
        <v>28</v>
      </c>
      <c r="B613" s="2" t="s">
        <v>1711</v>
      </c>
      <c r="C613" s="2" t="s">
        <v>2473</v>
      </c>
      <c r="D613" s="2" t="s">
        <v>2518</v>
      </c>
      <c r="E613" s="2" t="s">
        <v>2519</v>
      </c>
      <c r="F613" s="2">
        <v>46.0</v>
      </c>
      <c r="G613" s="2">
        <v>753.0</v>
      </c>
      <c r="H613" s="2" t="b">
        <v>1</v>
      </c>
      <c r="I613" s="2">
        <v>-1.0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s">
        <v>33</v>
      </c>
      <c r="O613" s="2">
        <v>20.0</v>
      </c>
      <c r="P613" s="2">
        <v>4.0</v>
      </c>
      <c r="Q613" s="2">
        <v>18.0</v>
      </c>
      <c r="R613" s="2">
        <v>0.0</v>
      </c>
      <c r="S613" s="3" t="s">
        <v>2520</v>
      </c>
      <c r="T613" s="2" t="s">
        <v>2521</v>
      </c>
      <c r="Y613" s="4" t="str">
        <f>IFERROR(__xludf.DUMMYFUNCTION("""COMPUTED_VALUE"""),"6.5902612")</f>
        <v>6.5902612</v>
      </c>
      <c r="Z613" s="4" t="str">
        <f>IFERROR(__xludf.DUMMYFUNCTION("""COMPUTED_VALUE"""),"3.0776568")</f>
        <v>3.0776568</v>
      </c>
      <c r="AA613" s="4" t="str">
        <f t="shared" si="1"/>
        <v>Not Neighbor</v>
      </c>
      <c r="AC613" s="4">
        <f>IFERROR(__xludf.DUMMYFUNCTION("IFERROR(ABS(O613-AVERAGE(FILTER(O613:O4681,AA613:AA4681=""Neighbor""))) / STDEV(FILTER(O613:O4681, AA613:AA4681 =""Neighbor"")), """")"),1.0535761123205525)</f>
        <v>1.053576112</v>
      </c>
      <c r="AD613" s="4">
        <f>IFERROR(__xludf.DUMMYFUNCTION("IFERROR(ABS(P613-AVERAGE(FILTER(O613:P4681,AA613:AA4681=""Neighbor""))) / STDEV(FILTER(P613:P4681, AA613:AA4681 =""Neighbor"")), """")"),1.445455941838358)</f>
        <v>1.445455942</v>
      </c>
      <c r="AE613" s="2">
        <f>IFERROR(__xludf.DUMMYFUNCTION("IFERROR(ABS(Q613-AVERAGE(FILTER(Q613:Q4681,AA613:AA4681=""Neighbor""))) / STDEV(FILTER(Q613:Q4681, AA613:AA4681 =""Neighbor"")), """")"),0.30382962026531307)</f>
        <v>0.3038296203</v>
      </c>
      <c r="AF613" s="2">
        <f>IFERROR(__xludf.DUMMYFUNCTION("IFERROR(ABS(R613-AVERAGE(FILTER(R613:R4681,AA613:AA4681=""Neighbor""))) / STDEV(FILTER(R613:R4681, AA613:AA4681 =""Neighbor"")), """")"),0.09724712883207871)</f>
        <v>0.09724712883</v>
      </c>
    </row>
    <row r="614">
      <c r="A614" s="2" t="s">
        <v>28</v>
      </c>
      <c r="B614" s="2" t="s">
        <v>1711</v>
      </c>
      <c r="C614" s="2" t="s">
        <v>2473</v>
      </c>
      <c r="D614" s="2" t="s">
        <v>2522</v>
      </c>
      <c r="E614" s="2" t="s">
        <v>2523</v>
      </c>
      <c r="F614" s="2">
        <v>280.0</v>
      </c>
      <c r="G614" s="2">
        <v>1241.0</v>
      </c>
      <c r="H614" s="2" t="b">
        <v>1</v>
      </c>
      <c r="I614" s="2">
        <v>-1.0</v>
      </c>
      <c r="J614" s="2" t="b">
        <v>0</v>
      </c>
      <c r="K614" s="2" t="b">
        <v>1</v>
      </c>
      <c r="L614" s="2" t="b">
        <v>0</v>
      </c>
      <c r="M614" s="2" t="b">
        <v>0</v>
      </c>
      <c r="N614" s="2" t="s">
        <v>33</v>
      </c>
      <c r="O614" s="2">
        <v>0.0</v>
      </c>
      <c r="P614" s="2">
        <v>0.0</v>
      </c>
      <c r="Q614" s="2">
        <v>0.0</v>
      </c>
      <c r="R614" s="2">
        <v>0.0</v>
      </c>
      <c r="S614" s="3" t="s">
        <v>2524</v>
      </c>
      <c r="T614" s="2" t="s">
        <v>2525</v>
      </c>
      <c r="Y614" s="4" t="str">
        <f>IFERROR(__xludf.DUMMYFUNCTION("""COMPUTED_VALUE"""),"6.5384987")</f>
        <v>6.5384987</v>
      </c>
      <c r="Z614" s="4" t="str">
        <f>IFERROR(__xludf.DUMMYFUNCTION("""COMPUTED_VALUE"""),"3.0634501")</f>
        <v>3.0634501</v>
      </c>
      <c r="AA614" s="4" t="str">
        <f t="shared" si="1"/>
        <v>Not Neighbor</v>
      </c>
      <c r="AC614" s="4">
        <f>IFERROR(__xludf.DUMMYFUNCTION("IFERROR(ABS(O614-AVERAGE(FILTER(O614:O4682,AA614:AA4682=""Neighbor""))) / STDEV(FILTER(O614:O4682, AA614:AA4682 =""Neighbor"")), """")"),1.5155333910959081)</f>
        <v>1.515533391</v>
      </c>
      <c r="AD614" s="4">
        <f>IFERROR(__xludf.DUMMYFUNCTION("IFERROR(ABS(P614-AVERAGE(FILTER(O614:P4682,AA614:AA4682=""Neighbor""))) / STDEV(FILTER(P614:P4682, AA614:AA4682 =""Neighbor"")), """")"),1.6026201099414847)</f>
        <v>1.60262011</v>
      </c>
      <c r="AE614" s="2">
        <f>IFERROR(__xludf.DUMMYFUNCTION("IFERROR(ABS(Q614-AVERAGE(FILTER(Q614:Q4682,AA614:AA4682=""Neighbor""))) / STDEV(FILTER(Q614:Q4682, AA614:AA4682 =""Neighbor"")), """")"),1.0384472472361053)</f>
        <v>1.038447247</v>
      </c>
      <c r="AF614" s="2">
        <f>IFERROR(__xludf.DUMMYFUNCTION("IFERROR(ABS(R614-AVERAGE(FILTER(R614:R4682,AA614:AA4682=""Neighbor""))) / STDEV(FILTER(R614:R4682, AA614:AA4682 =""Neighbor"")), """")"),0.09724712883207871)</f>
        <v>0.09724712883</v>
      </c>
    </row>
    <row r="615">
      <c r="A615" s="2" t="s">
        <v>28</v>
      </c>
      <c r="B615" s="2" t="s">
        <v>1711</v>
      </c>
      <c r="C615" s="2" t="s">
        <v>2473</v>
      </c>
      <c r="D615" s="2" t="s">
        <v>2526</v>
      </c>
      <c r="E615" s="2" t="s">
        <v>2527</v>
      </c>
      <c r="F615" s="2">
        <v>293.0</v>
      </c>
      <c r="G615" s="2">
        <v>1277.0</v>
      </c>
      <c r="H615" s="2" t="b">
        <v>1</v>
      </c>
      <c r="I615" s="2">
        <v>-1.0</v>
      </c>
      <c r="J615" s="2" t="b">
        <v>0</v>
      </c>
      <c r="K615" s="2" t="b">
        <v>0</v>
      </c>
      <c r="L615" s="2" t="b">
        <v>0</v>
      </c>
      <c r="M615" s="2" t="b">
        <v>0</v>
      </c>
      <c r="N615" s="2" t="s">
        <v>33</v>
      </c>
      <c r="O615" s="2">
        <v>128.0</v>
      </c>
      <c r="P615" s="2">
        <v>130.0</v>
      </c>
      <c r="Q615" s="2">
        <v>13.0</v>
      </c>
      <c r="R615" s="2">
        <v>3.0</v>
      </c>
      <c r="S615" s="3" t="s">
        <v>2528</v>
      </c>
      <c r="T615" s="2" t="s">
        <v>2529</v>
      </c>
      <c r="Y615" s="4" t="str">
        <f>IFERROR(__xludf.DUMMYFUNCTION("""COMPUTED_VALUE"""),"6.5009415")</f>
        <v>6.5009415</v>
      </c>
      <c r="Z615" s="4" t="str">
        <f>IFERROR(__xludf.DUMMYFUNCTION("""COMPUTED_VALUE"""),"3.0996917")</f>
        <v>3.0996917</v>
      </c>
      <c r="AA615" s="4" t="str">
        <f t="shared" si="1"/>
        <v>Not Neighbor</v>
      </c>
      <c r="AC615" s="4">
        <f>IFERROR(__xludf.DUMMYFUNCTION("IFERROR(ABS(O615-AVERAGE(FILTER(O615:O4683,AA615:AA4683=""Neighbor""))) / STDEV(FILTER(O615:O4683, AA615:AA4683 =""Neighbor"")), """")"),1.4409931930663669)</f>
        <v>1.440993193</v>
      </c>
      <c r="AD615" s="4">
        <f>IFERROR(__xludf.DUMMYFUNCTION("IFERROR(ABS(P615-AVERAGE(FILTER(O615:P4683,AA615:AA4683=""Neighbor""))) / STDEV(FILTER(P615:P4683, AA615:AA4683 =""Neighbor"")), """")"),3.5052153534101373)</f>
        <v>3.505215353</v>
      </c>
      <c r="AE615" s="2">
        <f>IFERROR(__xludf.DUMMYFUNCTION("IFERROR(ABS(Q615-AVERAGE(FILTER(Q615:Q4683,AA615:AA4683=""Neighbor""))) / STDEV(FILTER(Q615:Q4683, AA615:AA4683 =""Neighbor"")), """")"),0.5078900722016443)</f>
        <v>0.5078900722</v>
      </c>
      <c r="AF615" s="2">
        <f>IFERROR(__xludf.DUMMYFUNCTION("IFERROR(ABS(R615-AVERAGE(FILTER(R615:R4683,AA615:AA4683=""Neighbor""))) / STDEV(FILTER(R615:R4683, AA615:AA4683 =""Neighbor"")), """")"),0.45200262618821463)</f>
        <v>0.4520026262</v>
      </c>
    </row>
    <row r="616">
      <c r="A616" s="2" t="s">
        <v>28</v>
      </c>
      <c r="B616" s="2" t="s">
        <v>1711</v>
      </c>
      <c r="C616" s="2" t="s">
        <v>2473</v>
      </c>
      <c r="D616" s="2" t="s">
        <v>2530</v>
      </c>
      <c r="E616" s="2" t="s">
        <v>2531</v>
      </c>
      <c r="F616" s="2">
        <v>75.0</v>
      </c>
      <c r="G616" s="2">
        <v>525.0</v>
      </c>
      <c r="H616" s="2" t="b">
        <v>1</v>
      </c>
      <c r="I616" s="2">
        <v>-1.0</v>
      </c>
      <c r="J616" s="2" t="b">
        <v>0</v>
      </c>
      <c r="K616" s="2" t="b">
        <v>0</v>
      </c>
      <c r="L616" s="2" t="b">
        <v>0</v>
      </c>
      <c r="M616" s="2" t="b">
        <v>0</v>
      </c>
      <c r="N616" s="2" t="s">
        <v>33</v>
      </c>
      <c r="O616" s="2">
        <v>38.0</v>
      </c>
      <c r="P616" s="2">
        <v>19.0</v>
      </c>
      <c r="Q616" s="2">
        <v>11.0</v>
      </c>
      <c r="R616" s="2">
        <v>0.0</v>
      </c>
      <c r="S616" s="3" t="s">
        <v>2532</v>
      </c>
      <c r="T616" s="2" t="s">
        <v>2533</v>
      </c>
      <c r="Y616" s="4" t="str">
        <f>IFERROR(__xludf.DUMMYFUNCTION("""COMPUTED_VALUE"""),"6.6735692")</f>
        <v>6.6735692</v>
      </c>
      <c r="Z616" s="4" t="str">
        <f>IFERROR(__xludf.DUMMYFUNCTION("""COMPUTED_VALUE"""),"2.9800558")</f>
        <v>2.9800558</v>
      </c>
      <c r="AA616" s="4" t="str">
        <f t="shared" si="1"/>
        <v>Not Neighbor</v>
      </c>
      <c r="AC616" s="4">
        <f>IFERROR(__xludf.DUMMYFUNCTION("IFERROR(ABS(O616-AVERAGE(FILTER(O616:O4684,AA616:AA4684=""Neighbor""))) / STDEV(FILTER(O616:O4684, AA616:AA4684 =""Neighbor"")), """")"),0.6378145614227326)</f>
        <v>0.6378145614</v>
      </c>
      <c r="AD616" s="4">
        <f>IFERROR(__xludf.DUMMYFUNCTION("IFERROR(ABS(P616-AVERAGE(FILTER(O616:P4684,AA616:AA4684=""Neighbor""))) / STDEV(FILTER(P616:P4684, AA616:AA4684 =""Neighbor"")), """")"),0.8560903114516323)</f>
        <v>0.8560903115</v>
      </c>
      <c r="AE616" s="2">
        <f>IFERROR(__xludf.DUMMYFUNCTION("IFERROR(ABS(Q616-AVERAGE(FILTER(Q616:Q4684,AA616:AA4684=""Neighbor""))) / STDEV(FILTER(Q616:Q4684, AA616:AA4684 =""Neighbor"")), """")"),0.5895142529761767)</f>
        <v>0.589514253</v>
      </c>
      <c r="AF616" s="2">
        <f>IFERROR(__xludf.DUMMYFUNCTION("IFERROR(ABS(R616-AVERAGE(FILTER(R616:R4684,AA616:AA4684=""Neighbor""))) / STDEV(FILTER(R616:R4684, AA616:AA4684 =""Neighbor"")), """")"),0.09724712883207871)</f>
        <v>0.09724712883</v>
      </c>
    </row>
    <row r="617">
      <c r="A617" s="2" t="s">
        <v>28</v>
      </c>
      <c r="B617" s="2" t="s">
        <v>1711</v>
      </c>
      <c r="C617" s="2" t="s">
        <v>2534</v>
      </c>
      <c r="D617" s="2" t="s">
        <v>2535</v>
      </c>
      <c r="E617" s="2" t="s">
        <v>2536</v>
      </c>
      <c r="F617" s="2">
        <v>256.0</v>
      </c>
      <c r="G617" s="2">
        <v>882.0</v>
      </c>
      <c r="H617" s="2" t="b">
        <v>1</v>
      </c>
      <c r="I617" s="2">
        <v>-1.0</v>
      </c>
      <c r="J617" s="2" t="b">
        <v>0</v>
      </c>
      <c r="K617" s="2" t="b">
        <v>1</v>
      </c>
      <c r="L617" s="2" t="b">
        <v>0</v>
      </c>
      <c r="M617" s="2" t="b">
        <v>0</v>
      </c>
      <c r="N617" s="2" t="s">
        <v>33</v>
      </c>
      <c r="O617" s="2">
        <v>153.0</v>
      </c>
      <c r="P617" s="2">
        <v>3.0</v>
      </c>
      <c r="Q617" s="2">
        <v>80.0</v>
      </c>
      <c r="R617" s="2">
        <v>0.0</v>
      </c>
      <c r="S617" s="3" t="s">
        <v>2537</v>
      </c>
      <c r="T617" s="2" t="s">
        <v>2538</v>
      </c>
      <c r="Y617" s="4" t="str">
        <f>IFERROR(__xludf.DUMMYFUNCTION("""COMPUTED_VALUE"""),"6.5263185")</f>
        <v>6.5263185</v>
      </c>
      <c r="Z617" s="4" t="str">
        <f>IFERROR(__xludf.DUMMYFUNCTION("""COMPUTED_VALUE"""),"3.1424421")</f>
        <v>3.1424421</v>
      </c>
      <c r="AA617" s="4" t="str">
        <f t="shared" si="1"/>
        <v>Not Neighbor</v>
      </c>
      <c r="AC617" s="4">
        <f>IFERROR(__xludf.DUMMYFUNCTION("IFERROR(ABS(O617-AVERAGE(FILTER(O617:O4685,AA617:AA4685=""Neighbor""))) / STDEV(FILTER(O617:O4685, AA617:AA4685 =""Neighbor"")), """")"),2.018439791535561)</f>
        <v>2.018439792</v>
      </c>
      <c r="AD617" s="4">
        <f>IFERROR(__xludf.DUMMYFUNCTION("IFERROR(ABS(P617-AVERAGE(FILTER(O617:P4685,AA617:AA4685=""Neighbor""))) / STDEV(FILTER(P617:P4685, AA617:AA4685 =""Neighbor"")), """")"),1.4847469838641396)</f>
        <v>1.484746984</v>
      </c>
      <c r="AE617" s="2">
        <f>IFERROR(__xludf.DUMMYFUNCTION("IFERROR(ABS(Q617-AVERAGE(FILTER(Q617:Q4685,AA617:AA4685=""Neighbor""))) / STDEV(FILTER(Q617:Q4685, AA617:AA4685 =""Neighbor"")), """")"),2.2265199837451934)</f>
        <v>2.226519984</v>
      </c>
      <c r="AF617" s="2">
        <f>IFERROR(__xludf.DUMMYFUNCTION("IFERROR(ABS(R617-AVERAGE(FILTER(R617:R4685,AA617:AA4685=""Neighbor""))) / STDEV(FILTER(R617:R4685, AA617:AA4685 =""Neighbor"")), """")"),0.09724712883207871)</f>
        <v>0.09724712883</v>
      </c>
    </row>
    <row r="618">
      <c r="A618" s="2" t="s">
        <v>28</v>
      </c>
      <c r="B618" s="2" t="s">
        <v>1711</v>
      </c>
      <c r="C618" s="2" t="s">
        <v>2534</v>
      </c>
      <c r="D618" s="2" t="s">
        <v>2539</v>
      </c>
      <c r="E618" s="2" t="s">
        <v>2540</v>
      </c>
      <c r="F618" s="2">
        <v>212.0</v>
      </c>
      <c r="G618" s="2">
        <v>716.0</v>
      </c>
      <c r="H618" s="2" t="b">
        <v>1</v>
      </c>
      <c r="I618" s="2">
        <v>-1.0</v>
      </c>
      <c r="J618" s="2" t="b">
        <v>0</v>
      </c>
      <c r="K618" s="2" t="b">
        <v>0</v>
      </c>
      <c r="L618" s="2" t="b">
        <v>0</v>
      </c>
      <c r="M618" s="2" t="b">
        <v>0</v>
      </c>
      <c r="N618" s="2" t="s">
        <v>33</v>
      </c>
      <c r="O618" s="2">
        <v>141.0</v>
      </c>
      <c r="P618" s="2">
        <v>4.0</v>
      </c>
      <c r="Q618" s="2">
        <v>56.0</v>
      </c>
      <c r="R618" s="2">
        <v>1.0</v>
      </c>
      <c r="S618" s="3" t="s">
        <v>2541</v>
      </c>
      <c r="T618" s="2" t="s">
        <v>2542</v>
      </c>
      <c r="Y618" s="4" t="str">
        <f>IFERROR(__xludf.DUMMYFUNCTION("""COMPUTED_VALUE"""),"6.5034511")</f>
        <v>6.5034511</v>
      </c>
      <c r="Z618" s="4" t="str">
        <f>IFERROR(__xludf.DUMMYFUNCTION("""COMPUTED_VALUE"""),"3.0917729")</f>
        <v>3.0917729</v>
      </c>
      <c r="AA618" s="4" t="str">
        <f t="shared" si="1"/>
        <v>Not Neighbor</v>
      </c>
      <c r="AC618" s="4">
        <f>IFERROR(__xludf.DUMMYFUNCTION("IFERROR(ABS(O618-AVERAGE(FILTER(O618:O4686,AA618:AA4686=""Neighbor""))) / STDEV(FILTER(O618:O4686, AA618:AA4686 =""Neighbor"")), """")"),1.7412654242703478)</f>
        <v>1.741265424</v>
      </c>
      <c r="AD618" s="4">
        <f>IFERROR(__xludf.DUMMYFUNCTION("IFERROR(ABS(P618-AVERAGE(FILTER(O618:P4686,AA618:AA4686=""Neighbor""))) / STDEV(FILTER(P618:P4686, AA618:AA4686 =""Neighbor"")), """")"),1.445455941838358)</f>
        <v>1.445455942</v>
      </c>
      <c r="AE618" s="2">
        <f>IFERROR(__xludf.DUMMYFUNCTION("IFERROR(ABS(Q618-AVERAGE(FILTER(Q618:Q4686,AA618:AA4686=""Neighbor""))) / STDEV(FILTER(Q618:Q4686, AA618:AA4686 =""Neighbor"")), """")"),1.2470298144508039)</f>
        <v>1.247029814</v>
      </c>
      <c r="AF618" s="2">
        <f>IFERROR(__xludf.DUMMYFUNCTION("IFERROR(ABS(R618-AVERAGE(FILTER(R618:R4686,AA618:AA4686=""Neighbor""))) / STDEV(FILTER(R618:R4686, AA618:AA4686 =""Neighbor"")), """")"),0.0858361228413524)</f>
        <v>0.08583612284</v>
      </c>
    </row>
    <row r="619">
      <c r="A619" s="2" t="s">
        <v>28</v>
      </c>
      <c r="B619" s="2" t="s">
        <v>1711</v>
      </c>
      <c r="C619" s="2" t="s">
        <v>2534</v>
      </c>
      <c r="D619" s="2" t="s">
        <v>2543</v>
      </c>
      <c r="E619" s="2" t="s">
        <v>2544</v>
      </c>
      <c r="F619" s="2">
        <v>151.0</v>
      </c>
      <c r="G619" s="2">
        <v>644.0</v>
      </c>
      <c r="H619" s="2" t="b">
        <v>1</v>
      </c>
      <c r="I619" s="2">
        <v>-1.0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s">
        <v>33</v>
      </c>
      <c r="O619" s="2">
        <v>0.0</v>
      </c>
      <c r="P619" s="2">
        <v>0.0</v>
      </c>
      <c r="Q619" s="2">
        <v>0.0</v>
      </c>
      <c r="R619" s="2">
        <v>0.0</v>
      </c>
      <c r="S619" s="3" t="s">
        <v>2545</v>
      </c>
      <c r="T619" s="2" t="s">
        <v>2546</v>
      </c>
      <c r="Y619" s="4" t="str">
        <f>IFERROR(__xludf.DUMMYFUNCTION("""COMPUTED_VALUE"""),"6.5286101")</f>
        <v>6.5286101</v>
      </c>
      <c r="Z619" s="4" t="str">
        <f>IFERROR(__xludf.DUMMYFUNCTION("""COMPUTED_VALUE"""),"3.1353091")</f>
        <v>3.1353091</v>
      </c>
      <c r="AA619" s="4" t="str">
        <f t="shared" si="1"/>
        <v>Neighbor</v>
      </c>
      <c r="AC619" s="4">
        <f>IFERROR(__xludf.DUMMYFUNCTION("IFERROR(ABS(O619-AVERAGE(FILTER(O619:O4687,AA619:AA4687=""Neighbor""))) / STDEV(FILTER(O619:O4687, AA619:AA4687 =""Neighbor"")), """")"),1.5155333910959081)</f>
        <v>1.515533391</v>
      </c>
      <c r="AD619" s="4">
        <f>IFERROR(__xludf.DUMMYFUNCTION("IFERROR(ABS(P619-AVERAGE(FILTER(O619:P4687,AA619:AA4687=""Neighbor""))) / STDEV(FILTER(P619:P4687, AA619:AA4687 =""Neighbor"")), """")"),1.6026201099414847)</f>
        <v>1.60262011</v>
      </c>
      <c r="AE619" s="2">
        <f>IFERROR(__xludf.DUMMYFUNCTION("IFERROR(ABS(Q619-AVERAGE(FILTER(Q619:Q4687,AA619:AA4687=""Neighbor""))) / STDEV(FILTER(Q619:Q4687, AA619:AA4687 =""Neighbor"")), """")"),1.0384472472361053)</f>
        <v>1.038447247</v>
      </c>
      <c r="AF619" s="2">
        <f>IFERROR(__xludf.DUMMYFUNCTION("IFERROR(ABS(R619-AVERAGE(FILTER(R619:R4687,AA619:AA4687=""Neighbor""))) / STDEV(FILTER(R619:R4687, AA619:AA4687 =""Neighbor"")), """")"),0.09724712883207871)</f>
        <v>0.09724712883</v>
      </c>
    </row>
    <row r="620">
      <c r="A620" s="2" t="s">
        <v>28</v>
      </c>
      <c r="B620" s="2" t="s">
        <v>1711</v>
      </c>
      <c r="C620" s="2" t="s">
        <v>2534</v>
      </c>
      <c r="D620" s="2" t="s">
        <v>2547</v>
      </c>
      <c r="E620" s="2" t="s">
        <v>2267</v>
      </c>
      <c r="F620" s="2">
        <v>166.0</v>
      </c>
      <c r="G620" s="2">
        <v>499.0</v>
      </c>
      <c r="H620" s="2" t="b">
        <v>1</v>
      </c>
      <c r="I620" s="2">
        <v>-1.0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s">
        <v>33</v>
      </c>
      <c r="O620" s="2">
        <v>125.0</v>
      </c>
      <c r="P620" s="2">
        <v>2.0</v>
      </c>
      <c r="Q620" s="2">
        <v>30.0</v>
      </c>
      <c r="R620" s="2">
        <v>0.0</v>
      </c>
      <c r="S620" s="3" t="s">
        <v>2548</v>
      </c>
      <c r="T620" s="2" t="s">
        <v>2269</v>
      </c>
      <c r="Y620" s="4" t="str">
        <f>IFERROR(__xludf.DUMMYFUNCTION("""COMPUTED_VALUE"""),"6.5286101")</f>
        <v>6.5286101</v>
      </c>
      <c r="Z620" s="4" t="str">
        <f>IFERROR(__xludf.DUMMYFUNCTION("""COMPUTED_VALUE"""),"3.1353091")</f>
        <v>3.1353091</v>
      </c>
      <c r="AA620" s="4" t="str">
        <f t="shared" si="1"/>
        <v>Neighbor</v>
      </c>
      <c r="AC620" s="4">
        <f>IFERROR(__xludf.DUMMYFUNCTION("IFERROR(ABS(O620-AVERAGE(FILTER(O620:O4688,AA620:AA4688=""Neighbor""))) / STDEV(FILTER(O620:O4688, AA620:AA4688 =""Neighbor"")), """")"),1.3712668457361386)</f>
        <v>1.371266846</v>
      </c>
      <c r="AD620" s="4">
        <f>IFERROR(__xludf.DUMMYFUNCTION("IFERROR(ABS(P620-AVERAGE(FILTER(O620:P4688,AA620:AA4688=""Neighbor""))) / STDEV(FILTER(P620:P4688, AA620:AA4688 =""Neighbor"")), """")"),1.5248280980901905)</f>
        <v>1.524828098</v>
      </c>
      <c r="AE620" s="2">
        <f>IFERROR(__xludf.DUMMYFUNCTION("IFERROR(ABS(Q620-AVERAGE(FILTER(Q620:Q4688,AA620:AA4688=""Neighbor""))) / STDEV(FILTER(Q620:Q4688, AA620:AA4688 =""Neighbor"")), """")"),0.185200900613088)</f>
        <v>0.1852009006</v>
      </c>
      <c r="AF620" s="2">
        <f>IFERROR(__xludf.DUMMYFUNCTION("IFERROR(ABS(R620-AVERAGE(FILTER(R620:R4688,AA620:AA4688=""Neighbor""))) / STDEV(FILTER(R620:R4688, AA620:AA4688 =""Neighbor"")), """")"),0.09728111479807393)</f>
        <v>0.0972811148</v>
      </c>
    </row>
    <row r="621">
      <c r="A621" s="2" t="s">
        <v>28</v>
      </c>
      <c r="B621" s="2" t="s">
        <v>1711</v>
      </c>
      <c r="C621" s="2" t="s">
        <v>2534</v>
      </c>
      <c r="D621" s="2" t="s">
        <v>2549</v>
      </c>
      <c r="E621" s="2" t="s">
        <v>2550</v>
      </c>
      <c r="F621" s="2">
        <v>238.0</v>
      </c>
      <c r="G621" s="2">
        <v>866.0</v>
      </c>
      <c r="H621" s="2" t="b">
        <v>1</v>
      </c>
      <c r="I621" s="2">
        <v>-1.0</v>
      </c>
      <c r="J621" s="2" t="b">
        <v>0</v>
      </c>
      <c r="K621" s="2" t="b">
        <v>0</v>
      </c>
      <c r="L621" s="2" t="b">
        <v>0</v>
      </c>
      <c r="M621" s="2" t="b">
        <v>0</v>
      </c>
      <c r="N621" s="2" t="s">
        <v>33</v>
      </c>
      <c r="O621" s="2">
        <v>171.0</v>
      </c>
      <c r="P621" s="2">
        <v>3.0</v>
      </c>
      <c r="Q621" s="2">
        <v>54.0</v>
      </c>
      <c r="R621" s="2">
        <v>0.0</v>
      </c>
      <c r="S621" s="3" t="s">
        <v>2551</v>
      </c>
      <c r="T621" s="2" t="s">
        <v>2552</v>
      </c>
      <c r="Y621" s="4" t="str">
        <f>IFERROR(__xludf.DUMMYFUNCTION("""COMPUTED_VALUE"""),"6.5286101")</f>
        <v>6.5286101</v>
      </c>
      <c r="Z621" s="4" t="str">
        <f>IFERROR(__xludf.DUMMYFUNCTION("""COMPUTED_VALUE"""),"3.1353091")</f>
        <v>3.1353091</v>
      </c>
      <c r="AA621" s="4" t="str">
        <f t="shared" si="1"/>
        <v>Neighbor</v>
      </c>
      <c r="AC621" s="4">
        <f>IFERROR(__xludf.DUMMYFUNCTION("IFERROR(ABS(O621-AVERAGE(FILTER(O621:O4689,AA621:AA4689=""Neighbor""))) / STDEV(FILTER(O621:O4689, AA621:AA4689 =""Neighbor"")), """")"),2.43594354797496)</f>
        <v>2.435943548</v>
      </c>
      <c r="AD621" s="4">
        <f>IFERROR(__xludf.DUMMYFUNCTION("IFERROR(ABS(P621-AVERAGE(FILTER(O621:P4689,AA621:AA4689=""Neighbor""))) / STDEV(FILTER(P621:P4689, AA621:AA4689 =""Neighbor"")), """")"),1.4845676419788596)</f>
        <v>1.484567642</v>
      </c>
      <c r="AE621" s="2">
        <f>IFERROR(__xludf.DUMMYFUNCTION("IFERROR(ABS(Q621-AVERAGE(FILTER(Q621:Q4689,AA621:AA4689=""Neighbor""))) / STDEV(FILTER(Q621:Q4689, AA621:AA4689 =""Neighbor"")), """")"),1.1644562647449839)</f>
        <v>1.164456265</v>
      </c>
      <c r="AF621" s="2">
        <f>IFERROR(__xludf.DUMMYFUNCTION("IFERROR(ABS(R621-AVERAGE(FILTER(R621:R4689,AA621:AA4689=""Neighbor""))) / STDEV(FILTER(R621:R4689, AA621:AA4689 =""Neighbor"")), """")"),0.0973151364215651)</f>
        <v>0.09731513642</v>
      </c>
    </row>
    <row r="622">
      <c r="A622" s="2" t="s">
        <v>28</v>
      </c>
      <c r="B622" s="2" t="s">
        <v>1711</v>
      </c>
      <c r="C622" s="2" t="s">
        <v>2534</v>
      </c>
      <c r="D622" s="2" t="s">
        <v>2553</v>
      </c>
      <c r="E622" s="2" t="s">
        <v>2554</v>
      </c>
      <c r="F622" s="2">
        <v>189.0</v>
      </c>
      <c r="G622" s="2">
        <v>750.0</v>
      </c>
      <c r="H622" s="2" t="b">
        <v>1</v>
      </c>
      <c r="I622" s="2">
        <v>-1.0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s">
        <v>33</v>
      </c>
      <c r="O622" s="2">
        <v>143.0</v>
      </c>
      <c r="P622" s="2">
        <v>25.0</v>
      </c>
      <c r="Q622" s="2">
        <v>24.0</v>
      </c>
      <c r="R622" s="2">
        <v>1.0</v>
      </c>
      <c r="S622" s="3" t="s">
        <v>2555</v>
      </c>
      <c r="T622" s="2" t="s">
        <v>2556</v>
      </c>
      <c r="Y622" s="4" t="str">
        <f>IFERROR(__xludf.DUMMYFUNCTION("""COMPUTED_VALUE"""),"6.5308513")</f>
        <v>6.5308513</v>
      </c>
      <c r="Z622" s="4" t="str">
        <f>IFERROR(__xludf.DUMMYFUNCTION("""COMPUTED_VALUE"""),"3.1363281")</f>
        <v>3.1363281</v>
      </c>
      <c r="AA622" s="4" t="str">
        <f t="shared" si="1"/>
        <v>Neighbor</v>
      </c>
      <c r="AC622" s="4">
        <f>IFERROR(__xludf.DUMMYFUNCTION("IFERROR(ABS(O622-AVERAGE(FILTER(O622:O4690,AA622:AA4690=""Neighbor""))) / STDEV(FILTER(O622:O4690, AA622:AA4690 =""Neighbor"")), """")"),1.7934820822357167)</f>
        <v>1.793482082</v>
      </c>
      <c r="AD622" s="4">
        <f>IFERROR(__xludf.DUMMYFUNCTION("IFERROR(ABS(P622-AVERAGE(FILTER(O622:P4690,AA622:AA4690=""Neighbor""))) / STDEV(FILTER(P622:P4690, AA622:AA4690 =""Neighbor"")), """")"),0.6191376204034239)</f>
        <v>0.6191376204</v>
      </c>
      <c r="AE622" s="2">
        <f>IFERROR(__xludf.DUMMYFUNCTION("IFERROR(ABS(Q622-AVERAGE(FILTER(Q622:Q4690,AA622:AA4690=""Neighbor""))) / STDEV(FILTER(Q622:Q4690, AA622:AA4690 =""Neighbor"")), """")"),0.05872917237490371)</f>
        <v>0.05872917237</v>
      </c>
      <c r="AF622" s="2">
        <f>IFERROR(__xludf.DUMMYFUNCTION("IFERROR(ABS(R622-AVERAGE(FILTER(R622:R4690,AA622:AA4690=""Neighbor""))) / STDEV(FILTER(R622:R4690, AA622:AA4690 =""Neighbor"")), """")"),0.08554544536841598)</f>
        <v>0.08554544537</v>
      </c>
    </row>
    <row r="623">
      <c r="A623" s="2" t="s">
        <v>28</v>
      </c>
      <c r="B623" s="2" t="s">
        <v>1711</v>
      </c>
      <c r="C623" s="2" t="s">
        <v>2534</v>
      </c>
      <c r="D623" s="2" t="s">
        <v>2557</v>
      </c>
      <c r="E623" s="2" t="s">
        <v>2558</v>
      </c>
      <c r="F623" s="2">
        <v>249.0</v>
      </c>
      <c r="G623" s="2">
        <v>953.0</v>
      </c>
      <c r="H623" s="2" t="b">
        <v>1</v>
      </c>
      <c r="I623" s="2">
        <v>-1.0</v>
      </c>
      <c r="J623" s="2" t="b">
        <v>0</v>
      </c>
      <c r="K623" s="2" t="b">
        <v>0</v>
      </c>
      <c r="L623" s="2" t="b">
        <v>0</v>
      </c>
      <c r="M623" s="2" t="b">
        <v>0</v>
      </c>
      <c r="N623" s="2" t="s">
        <v>33</v>
      </c>
      <c r="O623" s="2">
        <v>174.0</v>
      </c>
      <c r="P623" s="2">
        <v>16.0</v>
      </c>
      <c r="Q623" s="2">
        <v>45.0</v>
      </c>
      <c r="R623" s="2">
        <v>0.0</v>
      </c>
      <c r="S623" s="3" t="s">
        <v>2559</v>
      </c>
      <c r="T623" s="2" t="s">
        <v>2560</v>
      </c>
      <c r="Y623" s="4" t="str">
        <f>IFERROR(__xludf.DUMMYFUNCTION("""COMPUTED_VALUE"""),"6.5293968")</f>
        <v>6.5293968</v>
      </c>
      <c r="Z623" s="4" t="str">
        <f>IFERROR(__xludf.DUMMYFUNCTION("""COMPUTED_VALUE"""),"3.1441458")</f>
        <v>3.1441458</v>
      </c>
      <c r="AA623" s="4" t="str">
        <f t="shared" si="1"/>
        <v>Not Neighbor</v>
      </c>
      <c r="AC623" s="4">
        <f>IFERROR(__xludf.DUMMYFUNCTION("IFERROR(ABS(O623-AVERAGE(FILTER(O623:O4691,AA623:AA4691=""Neighbor""))) / STDEV(FILTER(O623:O4691, AA623:AA4691 =""Neighbor"")), """")"),2.5144742598720606)</f>
        <v>2.51447426</v>
      </c>
      <c r="AD623" s="4">
        <f>IFERROR(__xludf.DUMMYFUNCTION("IFERROR(ABS(P623-AVERAGE(FILTER(O623:P4691,AA623:AA4691=""Neighbor""))) / STDEV(FILTER(P623:P4691, AA623:AA4691 =""Neighbor"")), """")"),0.9710323972262193)</f>
        <v>0.9710323972</v>
      </c>
      <c r="AE623" s="2">
        <f>IFERROR(__xludf.DUMMYFUNCTION("IFERROR(ABS(Q623-AVERAGE(FILTER(Q623:Q4691,AA623:AA4691=""Neighbor""))) / STDEV(FILTER(Q623:Q4691, AA623:AA4691 =""Neighbor"")), """")"),0.7978503937750644)</f>
        <v>0.7978503938</v>
      </c>
      <c r="AF623" s="2">
        <f>IFERROR(__xludf.DUMMYFUNCTION("IFERROR(ABS(R623-AVERAGE(FILTER(R623:R4691,AA623:AA4691=""Neighbor""))) / STDEV(FILTER(R623:R4691, AA623:AA4691 =""Neighbor"")), """")"),0.09725624746086414)</f>
        <v>0.09725624746</v>
      </c>
    </row>
    <row r="624">
      <c r="A624" s="2" t="s">
        <v>28</v>
      </c>
      <c r="B624" s="2" t="s">
        <v>1711</v>
      </c>
      <c r="C624" s="2" t="s">
        <v>2534</v>
      </c>
      <c r="D624" s="2" t="s">
        <v>2561</v>
      </c>
      <c r="E624" s="2" t="s">
        <v>2562</v>
      </c>
      <c r="F624" s="2">
        <v>192.0</v>
      </c>
      <c r="G624" s="2">
        <v>984.0</v>
      </c>
      <c r="H624" s="2" t="b">
        <v>1</v>
      </c>
      <c r="I624" s="2">
        <v>-1.0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s">
        <v>33</v>
      </c>
      <c r="O624" s="2">
        <v>147.0</v>
      </c>
      <c r="P624" s="2">
        <v>11.0</v>
      </c>
      <c r="Q624" s="2">
        <v>15.0</v>
      </c>
      <c r="R624" s="2">
        <v>0.0</v>
      </c>
      <c r="S624" s="3" t="s">
        <v>2563</v>
      </c>
      <c r="T624" s="2" t="s">
        <v>2564</v>
      </c>
      <c r="Y624" s="4" t="str">
        <f>IFERROR(__xludf.DUMMYFUNCTION("""COMPUTED_VALUE"""),"6.5292001")</f>
        <v>6.5292001</v>
      </c>
      <c r="Z624" s="4" t="str">
        <f>IFERROR(__xludf.DUMMYFUNCTION("""COMPUTED_VALUE"""),"3.1341335")</f>
        <v>3.1341335</v>
      </c>
      <c r="AA624" s="4" t="str">
        <f t="shared" si="1"/>
        <v>Neighbor</v>
      </c>
      <c r="AC624" s="4">
        <f>IFERROR(__xludf.DUMMYFUNCTION("IFERROR(ABS(O624-AVERAGE(FILTER(O624:O4692,AA624:AA4692=""Neighbor""))) / STDEV(FILTER(O624:O4692, AA624:AA4692 =""Neighbor"")), """")"),1.8888046136967827)</f>
        <v>1.888804614</v>
      </c>
      <c r="AD624" s="4">
        <f>IFERROR(__xludf.DUMMYFUNCTION("IFERROR(ABS(P624-AVERAGE(FILTER(O624:P4692,AA624:AA4692=""Neighbor""))) / STDEV(FILTER(P624:P4692, AA624:AA4692 =""Neighbor"")), """")"),1.1672886643503149)</f>
        <v>1.167288664</v>
      </c>
      <c r="AE624" s="2">
        <f>IFERROR(__xludf.DUMMYFUNCTION("IFERROR(ABS(Q624-AVERAGE(FILTER(Q624:Q4692,AA624:AA4692=""Neighbor""))) / STDEV(FILTER(Q624:Q4692, AA624:AA4692 =""Neighbor"")), """")"),0.4258639075486159)</f>
        <v>0.4258639075</v>
      </c>
      <c r="AF624" s="2">
        <f>IFERROR(__xludf.DUMMYFUNCTION("IFERROR(ABS(R624-AVERAGE(FILTER(R624:R4692,AA624:AA4692=""Neighbor""))) / STDEV(FILTER(R624:R4692, AA624:AA4692 =""Neighbor"")), """")"),0.09725624746086414)</f>
        <v>0.09725624746</v>
      </c>
    </row>
    <row r="625">
      <c r="A625" s="2" t="s">
        <v>28</v>
      </c>
      <c r="B625" s="2" t="s">
        <v>1711</v>
      </c>
      <c r="C625" s="2" t="s">
        <v>2534</v>
      </c>
      <c r="D625" s="2" t="s">
        <v>2565</v>
      </c>
      <c r="E625" s="2" t="s">
        <v>2566</v>
      </c>
      <c r="F625" s="2">
        <v>194.0</v>
      </c>
      <c r="G625" s="2">
        <v>857.0</v>
      </c>
      <c r="H625" s="2" t="b">
        <v>1</v>
      </c>
      <c r="I625" s="2">
        <v>-1.0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s">
        <v>33</v>
      </c>
      <c r="O625" s="2">
        <v>146.0</v>
      </c>
      <c r="P625" s="2">
        <v>6.0</v>
      </c>
      <c r="Q625" s="2">
        <v>27.0</v>
      </c>
      <c r="R625" s="2">
        <v>0.0</v>
      </c>
      <c r="S625" s="3" t="s">
        <v>2567</v>
      </c>
      <c r="T625" s="2" t="s">
        <v>2568</v>
      </c>
      <c r="Y625" s="4" t="str">
        <f>IFERROR(__xludf.DUMMYFUNCTION("""COMPUTED_VALUE"""),"6.5241358")</f>
        <v>6.5241358</v>
      </c>
      <c r="Z625" s="4" t="str">
        <f>IFERROR(__xludf.DUMMYFUNCTION("""COMPUTED_VALUE"""),"3.1364805")</f>
        <v>3.1364805</v>
      </c>
      <c r="AA625" s="4" t="str">
        <f t="shared" si="1"/>
        <v>Neighbor</v>
      </c>
      <c r="AC625" s="4">
        <f>IFERROR(__xludf.DUMMYFUNCTION("IFERROR(ABS(O625-AVERAGE(FILTER(O625:O4693,AA625:AA4693=""Neighbor""))) / STDEV(FILTER(O625:O4693, AA625:AA4693 =""Neighbor"")), """")"),1.868614830700253)</f>
        <v>1.868614831</v>
      </c>
      <c r="AD625" s="4">
        <f>IFERROR(__xludf.DUMMYFUNCTION("IFERROR(ABS(P625-AVERAGE(FILTER(O625:P4693,AA625:AA4693=""Neighbor""))) / STDEV(FILTER(P625:P4693, AA625:AA4693 =""Neighbor"")), """")"),1.3620459356961132)</f>
        <v>1.362045936</v>
      </c>
      <c r="AE625" s="2">
        <f>IFERROR(__xludf.DUMMYFUNCTION("IFERROR(ABS(Q625-AVERAGE(FILTER(Q625:Q4693,AA625:AA4693=""Neighbor""))) / STDEV(FILTER(Q625:Q4693, AA625:AA4693 =""Neighbor"")), """")"),0.06330785369262182)</f>
        <v>0.06330785369</v>
      </c>
      <c r="AF625" s="2">
        <f>IFERROR(__xludf.DUMMYFUNCTION("IFERROR(ABS(R625-AVERAGE(FILTER(R625:R4693,AA625:AA4693=""Neighbor""))) / STDEV(FILTER(R625:R4693, AA625:AA4693 =""Neighbor"")), """")"),0.09729033107308704)</f>
        <v>0.09729033107</v>
      </c>
    </row>
    <row r="626">
      <c r="A626" s="2" t="s">
        <v>28</v>
      </c>
      <c r="B626" s="2" t="s">
        <v>1711</v>
      </c>
      <c r="C626" s="2" t="s">
        <v>2534</v>
      </c>
      <c r="D626" s="2" t="s">
        <v>2569</v>
      </c>
      <c r="E626" s="2" t="s">
        <v>2570</v>
      </c>
      <c r="F626" s="2">
        <v>177.0</v>
      </c>
      <c r="G626" s="2">
        <v>901.0</v>
      </c>
      <c r="H626" s="2" t="b">
        <v>1</v>
      </c>
      <c r="I626" s="2">
        <v>-1.0</v>
      </c>
      <c r="J626" s="2" t="b">
        <v>0</v>
      </c>
      <c r="K626" s="2" t="b">
        <v>0</v>
      </c>
      <c r="L626" s="2" t="b">
        <v>0</v>
      </c>
      <c r="M626" s="2" t="b">
        <v>0</v>
      </c>
      <c r="N626" s="2" t="s">
        <v>33</v>
      </c>
      <c r="O626" s="2">
        <v>123.0</v>
      </c>
      <c r="P626" s="2">
        <v>4.0</v>
      </c>
      <c r="Q626" s="2">
        <v>32.0</v>
      </c>
      <c r="R626" s="2">
        <v>0.0</v>
      </c>
      <c r="S626" s="3" t="s">
        <v>2571</v>
      </c>
      <c r="T626" s="2" t="s">
        <v>2572</v>
      </c>
      <c r="Y626" s="4" t="str">
        <f>IFERROR(__xludf.DUMMYFUNCTION("""COMPUTED_VALUE"""),"6.5286101")</f>
        <v>6.5286101</v>
      </c>
      <c r="Z626" s="4" t="str">
        <f>IFERROR(__xludf.DUMMYFUNCTION("""COMPUTED_VALUE"""),"3.1353091")</f>
        <v>3.1353091</v>
      </c>
      <c r="AA626" s="4" t="str">
        <f t="shared" si="1"/>
        <v>Neighbor</v>
      </c>
      <c r="AC626" s="4">
        <f>IFERROR(__xludf.DUMMYFUNCTION("IFERROR(ABS(O626-AVERAGE(FILTER(O626:O4694,AA626:AA4694=""Neighbor""))) / STDEV(FILTER(O626:O4694, AA626:AA4694 =""Neighbor"")), """")"),1.3376208513757586)</f>
        <v>1.337620851</v>
      </c>
      <c r="AD626" s="4">
        <f>IFERROR(__xludf.DUMMYFUNCTION("IFERROR(ABS(P626-AVERAGE(FILTER(O626:P4694,AA626:AA4694=""Neighbor""))) / STDEV(FILTER(P626:P4694, AA626:AA4694 =""Neighbor"")), """")"),1.439135643853961)</f>
        <v>1.439135644</v>
      </c>
      <c r="AE626" s="2">
        <f>IFERROR(__xludf.DUMMYFUNCTION("IFERROR(ABS(Q626-AVERAGE(FILTER(Q626:Q4694,AA626:AA4694=""Neighbor""))) / STDEV(FILTER(Q626:Q4694, AA626:AA4694 =""Neighbor"")), """")"),0.26715367529447775)</f>
        <v>0.2671536753</v>
      </c>
      <c r="AF626" s="2">
        <f>IFERROR(__xludf.DUMMYFUNCTION("IFERROR(ABS(R626-AVERAGE(FILTER(R626:R4694,AA626:AA4694=""Neighbor""))) / STDEV(FILTER(R626:R4694, AA626:AA4694 =""Neighbor"")), """")"),0.09732445054470579)</f>
        <v>0.09732445054</v>
      </c>
    </row>
    <row r="627">
      <c r="A627" s="2" t="s">
        <v>28</v>
      </c>
      <c r="B627" s="2" t="s">
        <v>1711</v>
      </c>
      <c r="C627" s="2" t="s">
        <v>2534</v>
      </c>
      <c r="D627" s="2" t="s">
        <v>2573</v>
      </c>
      <c r="E627" s="2" t="s">
        <v>2574</v>
      </c>
      <c r="F627" s="2">
        <v>176.0</v>
      </c>
      <c r="G627" s="2">
        <v>927.0</v>
      </c>
      <c r="H627" s="2" t="b">
        <v>1</v>
      </c>
      <c r="I627" s="2">
        <v>-1.0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s">
        <v>33</v>
      </c>
      <c r="O627" s="2">
        <v>141.0</v>
      </c>
      <c r="P627" s="2">
        <v>3.0</v>
      </c>
      <c r="Q627" s="2">
        <v>27.0</v>
      </c>
      <c r="R627" s="2">
        <v>0.0</v>
      </c>
      <c r="S627" s="3" t="s">
        <v>2575</v>
      </c>
      <c r="T627" s="2" t="s">
        <v>2576</v>
      </c>
      <c r="Y627" s="4" t="str">
        <f>IFERROR(__xludf.DUMMYFUNCTION("""COMPUTED_VALUE"""),"6.5286101")</f>
        <v>6.5286101</v>
      </c>
      <c r="Z627" s="4" t="str">
        <f>IFERROR(__xludf.DUMMYFUNCTION("""COMPUTED_VALUE"""),"3.1353091")</f>
        <v>3.1353091</v>
      </c>
      <c r="AA627" s="4" t="str">
        <f t="shared" si="1"/>
        <v>Not Neighbor</v>
      </c>
      <c r="AC627" s="4">
        <f>IFERROR(__xludf.DUMMYFUNCTION("IFERROR(ABS(O627-AVERAGE(FILTER(O627:O4695,AA627:AA4695=""Neighbor""))) / STDEV(FILTER(O627:O4695, AA627:AA4695 =""Neighbor"")), """")"),1.7568844368991574)</f>
        <v>1.756884437</v>
      </c>
      <c r="AD627" s="4">
        <f>IFERROR(__xludf.DUMMYFUNCTION("IFERROR(ABS(P627-AVERAGE(FILTER(O627:P4695,AA627:AA4695=""Neighbor""))) / STDEV(FILTER(P627:P4695, AA627:AA4695 =""Neighbor"")), """")"),1.4773391769683932)</f>
        <v>1.477339177</v>
      </c>
      <c r="AE627" s="2">
        <f>IFERROR(__xludf.DUMMYFUNCTION("IFERROR(ABS(Q627-AVERAGE(FILTER(Q627:Q4695,AA627:AA4695=""Neighbor""))) / STDEV(FILTER(Q627:Q4695, AA627:AA4695 =""Neighbor"")), """")"),0.0634953199535936)</f>
        <v>0.06349531995</v>
      </c>
      <c r="AF627" s="2">
        <f>IFERROR(__xludf.DUMMYFUNCTION("IFERROR(ABS(R627-AVERAGE(FILTER(R627:R4695,AA627:AA4695=""Neighbor""))) / STDEV(FILTER(R627:R4695, AA627:AA4695 =""Neighbor"")), """")"),0.09735860593864433)</f>
        <v>0.09735860594</v>
      </c>
    </row>
    <row r="628">
      <c r="A628" s="2" t="s">
        <v>28</v>
      </c>
      <c r="B628" s="2" t="s">
        <v>1711</v>
      </c>
      <c r="C628" s="2" t="s">
        <v>2577</v>
      </c>
      <c r="D628" s="2" t="s">
        <v>2578</v>
      </c>
      <c r="E628" s="2" t="s">
        <v>2579</v>
      </c>
      <c r="F628" s="2">
        <v>183.0</v>
      </c>
      <c r="G628" s="2">
        <v>1372.0</v>
      </c>
      <c r="H628" s="2" t="b">
        <v>1</v>
      </c>
      <c r="I628" s="2">
        <v>-1.0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s">
        <v>33</v>
      </c>
      <c r="O628" s="2">
        <v>92.0</v>
      </c>
      <c r="P628" s="2">
        <v>50.0</v>
      </c>
      <c r="Q628" s="2">
        <v>25.0</v>
      </c>
      <c r="R628" s="2">
        <v>0.0</v>
      </c>
      <c r="S628" s="3" t="s">
        <v>2580</v>
      </c>
      <c r="T628" s="2" t="s">
        <v>2581</v>
      </c>
      <c r="Y628" s="4" t="str">
        <f>IFERROR(__xludf.DUMMYFUNCTION("""COMPUTED_VALUE"""),"6.5046816")</f>
        <v>6.5046816</v>
      </c>
      <c r="Z628" s="4" t="str">
        <f>IFERROR(__xludf.DUMMYFUNCTION("""COMPUTED_VALUE"""),"3.101618")</f>
        <v>3.101618</v>
      </c>
      <c r="AA628" s="4" t="str">
        <f t="shared" si="1"/>
        <v>Not Neighbor</v>
      </c>
      <c r="AC628" s="4">
        <f>IFERROR(__xludf.DUMMYFUNCTION("IFERROR(ABS(O628-AVERAGE(FILTER(O628:O4696,AA628:AA4696=""Neighbor""))) / STDEV(FILTER(O628:O4696, AA628:AA4696 =""Neighbor"")), """")"),0.6190930727785205)</f>
        <v>0.6190930728</v>
      </c>
      <c r="AD628" s="4">
        <f>IFERROR(__xludf.DUMMYFUNCTION("IFERROR(ABS(P628-AVERAGE(FILTER(O628:P4696,AA628:AA4696=""Neighbor""))) / STDEV(FILTER(P628:P4696, AA628:AA4696 =""Neighbor"")), """")"),0.3658109523071762)</f>
        <v>0.3658109523</v>
      </c>
      <c r="AE628" s="2">
        <f>IFERROR(__xludf.DUMMYFUNCTION("IFERROR(ABS(Q628-AVERAGE(FILTER(Q628:Q4696,AA628:AA4696=""Neighbor""))) / STDEV(FILTER(Q628:Q4696, AA628:AA4696 =""Neighbor"")), """")"),0.018007828571028187)</f>
        <v>0.01800782857</v>
      </c>
      <c r="AF628" s="2">
        <f>IFERROR(__xludf.DUMMYFUNCTION("IFERROR(ABS(R628-AVERAGE(FILTER(R628:R4696,AA628:AA4696=""Neighbor""))) / STDEV(FILTER(R628:R4696, AA628:AA4696 =""Neighbor"")), """")"),0.09735860593864433)</f>
        <v>0.09735860594</v>
      </c>
    </row>
    <row r="629">
      <c r="A629" s="2" t="s">
        <v>28</v>
      </c>
      <c r="B629" s="2" t="s">
        <v>1711</v>
      </c>
      <c r="C629" s="2" t="s">
        <v>2577</v>
      </c>
      <c r="D629" s="2" t="s">
        <v>2582</v>
      </c>
      <c r="E629" s="2" t="s">
        <v>2583</v>
      </c>
      <c r="F629" s="2">
        <v>386.0</v>
      </c>
      <c r="G629" s="2">
        <v>1900.0</v>
      </c>
      <c r="H629" s="2" t="b">
        <v>1</v>
      </c>
      <c r="I629" s="2">
        <v>-1.0</v>
      </c>
      <c r="J629" s="2" t="b">
        <v>1</v>
      </c>
      <c r="K629" s="2" t="b">
        <v>0</v>
      </c>
      <c r="L629" s="2" t="b">
        <v>0</v>
      </c>
      <c r="M629" s="2" t="b">
        <v>0</v>
      </c>
      <c r="N629" s="2" t="s">
        <v>33</v>
      </c>
      <c r="O629" s="2">
        <v>81.0</v>
      </c>
      <c r="P629" s="2">
        <v>290.0</v>
      </c>
      <c r="Q629" s="2">
        <v>8.0</v>
      </c>
      <c r="R629" s="2">
        <v>1.0</v>
      </c>
      <c r="S629" s="3" t="s">
        <v>2584</v>
      </c>
      <c r="T629" s="2" t="s">
        <v>2585</v>
      </c>
      <c r="Y629" s="4" t="str">
        <f>IFERROR(__xludf.DUMMYFUNCTION("""COMPUTED_VALUE"""),"6.5098069")</f>
        <v>6.5098069</v>
      </c>
      <c r="Z629" s="4" t="str">
        <f>IFERROR(__xludf.DUMMYFUNCTION("""COMPUTED_VALUE"""),"3.0892275")</f>
        <v>3.0892275</v>
      </c>
      <c r="AA629" s="4" t="str">
        <f t="shared" si="1"/>
        <v>Neighbor</v>
      </c>
      <c r="AC629" s="4">
        <f>IFERROR(__xludf.DUMMYFUNCTION("IFERROR(ABS(O629-AVERAGE(FILTER(O629:O4697,AA629:AA4697=""Neighbor""))) / STDEV(FILTER(O629:O4697, AA629:AA4697 =""Neighbor"")), """")"),0.363670521649398)</f>
        <v>0.3636705216</v>
      </c>
      <c r="AD629" s="4">
        <f>IFERROR(__xludf.DUMMYFUNCTION("IFERROR(ABS(P629-AVERAGE(FILTER(O629:P4697,AA629:AA4697=""Neighbor""))) / STDEV(FILTER(P629:P4697, AA629:AA4697 =""Neighbor"")), """")"),9.777641399671785)</f>
        <v>9.7776414</v>
      </c>
      <c r="AE629" s="2">
        <f>IFERROR(__xludf.DUMMYFUNCTION("IFERROR(ABS(Q629-AVERAGE(FILTER(Q629:Q4697,AA629:AA4697=""Neighbor""))) / STDEV(FILTER(Q629:Q4697, AA629:AA4697 =""Neighbor"")), """")"),0.7107845910303133)</f>
        <v>0.710784591</v>
      </c>
      <c r="AF629" s="2">
        <f>IFERROR(__xludf.DUMMYFUNCTION("IFERROR(ABS(R629-AVERAGE(FILTER(R629:R4697,AA629:AA4697=""Neighbor""))) / STDEV(FILTER(R629:R4697, AA629:AA4697 =""Neighbor"")), """")"),0.08528410520212838)</f>
        <v>0.0852841052</v>
      </c>
    </row>
    <row r="630">
      <c r="A630" s="2" t="s">
        <v>28</v>
      </c>
      <c r="B630" s="2" t="s">
        <v>1711</v>
      </c>
      <c r="C630" s="2" t="s">
        <v>2577</v>
      </c>
      <c r="D630" s="2" t="s">
        <v>2586</v>
      </c>
      <c r="E630" s="2" t="s">
        <v>2587</v>
      </c>
      <c r="F630" s="2">
        <v>225.0</v>
      </c>
      <c r="G630" s="2">
        <v>1190.0</v>
      </c>
      <c r="H630" s="2" t="b">
        <v>1</v>
      </c>
      <c r="I630" s="2">
        <v>-1.0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s">
        <v>33</v>
      </c>
      <c r="O630" s="2">
        <v>27.0</v>
      </c>
      <c r="P630" s="2">
        <v>158.0</v>
      </c>
      <c r="Q630" s="2">
        <v>35.0</v>
      </c>
      <c r="R630" s="2">
        <v>0.0</v>
      </c>
      <c r="S630" s="3" t="s">
        <v>2588</v>
      </c>
      <c r="T630" s="2" t="s">
        <v>2589</v>
      </c>
      <c r="Y630" s="4" t="str">
        <f>IFERROR(__xludf.DUMMYFUNCTION("""COMPUTED_VALUE"""),"6.5098069")</f>
        <v>6.5098069</v>
      </c>
      <c r="Z630" s="4" t="str">
        <f>IFERROR(__xludf.DUMMYFUNCTION("""COMPUTED_VALUE"""),"3.0892275")</f>
        <v>3.0892275</v>
      </c>
      <c r="AA630" s="4" t="str">
        <f t="shared" si="1"/>
        <v>Not Neighbor</v>
      </c>
      <c r="AC630" s="4">
        <f>IFERROR(__xludf.DUMMYFUNCTION("IFERROR(ABS(O630-AVERAGE(FILTER(O630:O4698,AA630:AA4698=""Neighbor""))) / STDEV(FILTER(O630:O4698, AA630:AA4698 =""Neighbor"")), """")"),0.8896998183112279)</f>
        <v>0.8896998183</v>
      </c>
      <c r="AD630" s="4">
        <f>IFERROR(__xludf.DUMMYFUNCTION("IFERROR(ABS(P630-AVERAGE(FILTER(O630:P4698,AA630:AA4698=""Neighbor""))) / STDEV(FILTER(P630:P4698, AA630:AA4698 =""Neighbor"")), """")"),4.8006552130367295)</f>
        <v>4.800655213</v>
      </c>
      <c r="AE630" s="2">
        <f>IFERROR(__xludf.DUMMYFUNCTION("IFERROR(ABS(Q630-AVERAGE(FILTER(Q630:Q4698,AA630:AA4698=""Neighbor""))) / STDEV(FILTER(Q630:Q4698, AA630:AA4698 =""Neighbor"")), """")"),0.3889459382510122)</f>
        <v>0.3889459383</v>
      </c>
      <c r="AF630" s="2">
        <f>IFERROR(__xludf.DUMMYFUNCTION("IFERROR(ABS(R630-AVERAGE(FILTER(R630:R4698,AA630:AA4698=""Neighbor""))) / STDEV(FILTER(R630:R4698, AA630:AA4698 =""Neighbor"")), """")"),0.09726557793427322)</f>
        <v>0.09726557793</v>
      </c>
    </row>
    <row r="631">
      <c r="A631" s="2" t="s">
        <v>28</v>
      </c>
      <c r="B631" s="2" t="s">
        <v>1711</v>
      </c>
      <c r="C631" s="2" t="s">
        <v>2577</v>
      </c>
      <c r="D631" s="2" t="s">
        <v>2590</v>
      </c>
      <c r="E631" s="2" t="s">
        <v>2591</v>
      </c>
      <c r="F631" s="2">
        <v>315.0</v>
      </c>
      <c r="G631" s="2">
        <v>2522.0</v>
      </c>
      <c r="H631" s="2" t="b">
        <v>1</v>
      </c>
      <c r="I631" s="2">
        <v>-1.0</v>
      </c>
      <c r="J631" s="2" t="b">
        <v>0</v>
      </c>
      <c r="K631" s="2" t="b">
        <v>0</v>
      </c>
      <c r="L631" s="2" t="b">
        <v>0</v>
      </c>
      <c r="M631" s="2" t="b">
        <v>0</v>
      </c>
      <c r="N631" s="2" t="s">
        <v>33</v>
      </c>
      <c r="O631" s="2">
        <v>110.0</v>
      </c>
      <c r="P631" s="2">
        <v>55.0</v>
      </c>
      <c r="Q631" s="2">
        <v>85.0</v>
      </c>
      <c r="R631" s="2">
        <v>0.0</v>
      </c>
      <c r="S631" s="3" t="s">
        <v>2592</v>
      </c>
      <c r="T631" s="2" t="s">
        <v>2593</v>
      </c>
      <c r="Y631" s="4" t="str">
        <f>IFERROR(__xludf.DUMMYFUNCTION("""COMPUTED_VALUE"""),"6.5137089")</f>
        <v>6.5137089</v>
      </c>
      <c r="Z631" s="4" t="str">
        <f>IFERROR(__xludf.DUMMYFUNCTION("""COMPUTED_VALUE"""),"3.1140582")</f>
        <v>3.1140582</v>
      </c>
      <c r="AA631" s="4" t="str">
        <f t="shared" si="1"/>
        <v>Not Neighbor</v>
      </c>
      <c r="AC631" s="4">
        <f>IFERROR(__xludf.DUMMYFUNCTION("IFERROR(ABS(O631-AVERAGE(FILTER(O631:O4699,AA631:AA4699=""Neighbor""))) / STDEV(FILTER(O631:O4699, AA631:AA4699 =""Neighbor"")), """")"),1.0369970446721406)</f>
        <v>1.036997045</v>
      </c>
      <c r="AD631" s="4">
        <f>IFERROR(__xludf.DUMMYFUNCTION("IFERROR(ABS(P631-AVERAGE(FILTER(O631:P4699,AA631:AA4699=""Neighbor""))) / STDEV(FILTER(P631:P4699, AA631:AA4699 =""Neighbor"")), """")"),0.5898757976974228)</f>
        <v>0.5898757977</v>
      </c>
      <c r="AE631" s="2">
        <f>IFERROR(__xludf.DUMMYFUNCTION("IFERROR(ABS(Q631-AVERAGE(FILTER(Q631:Q4699,AA631:AA4699=""Neighbor""))) / STDEV(FILTER(Q631:Q4699, AA631:AA4699 =""Neighbor"")), """")"),2.426173715200435)</f>
        <v>2.426173715</v>
      </c>
      <c r="AF631" s="2">
        <f>IFERROR(__xludf.DUMMYFUNCTION("IFERROR(ABS(R631-AVERAGE(FILTER(R631:R4699,AA631:AA4699=""Neighbor""))) / STDEV(FILTER(R631:R4699, AA631:AA4699 =""Neighbor"")), """")"),0.09726557793427322)</f>
        <v>0.09726557793</v>
      </c>
    </row>
    <row r="632">
      <c r="A632" s="2" t="s">
        <v>28</v>
      </c>
      <c r="B632" s="2" t="s">
        <v>1711</v>
      </c>
      <c r="C632" s="2" t="s">
        <v>2577</v>
      </c>
      <c r="D632" s="2" t="s">
        <v>2594</v>
      </c>
      <c r="E632" s="2" t="s">
        <v>2595</v>
      </c>
      <c r="F632" s="2">
        <v>168.0</v>
      </c>
      <c r="G632" s="2">
        <v>1593.0</v>
      </c>
      <c r="H632" s="2" t="b">
        <v>1</v>
      </c>
      <c r="I632" s="2">
        <v>-1.0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s">
        <v>33</v>
      </c>
      <c r="O632" s="2">
        <v>55.0</v>
      </c>
      <c r="P632" s="2">
        <v>95.0</v>
      </c>
      <c r="Q632" s="2">
        <v>8.0</v>
      </c>
      <c r="R632" s="2">
        <v>0.0</v>
      </c>
      <c r="S632" s="3" t="s">
        <v>2596</v>
      </c>
      <c r="T632" s="2" t="s">
        <v>2597</v>
      </c>
      <c r="Y632" s="4" t="str">
        <f>IFERROR(__xludf.DUMMYFUNCTION("""COMPUTED_VALUE"""),"8.0334483")</f>
        <v>8.0334483</v>
      </c>
      <c r="Z632" s="4" t="str">
        <f>IFERROR(__xludf.DUMMYFUNCTION("""COMPUTED_VALUE"""),"4.9298999")</f>
        <v>4.9298999</v>
      </c>
      <c r="AA632" s="4" t="str">
        <f t="shared" si="1"/>
        <v>Not Neighbor</v>
      </c>
      <c r="AC632" s="4">
        <f>IFERROR(__xludf.DUMMYFUNCTION("IFERROR(ABS(O632-AVERAGE(FILTER(O632:O4700,AA632:AA4700=""Neighbor""))) / STDEV(FILTER(O632:O4700, AA632:AA4700 =""Neighbor"")), """")"),0.23972979224454943)</f>
        <v>0.2397297922</v>
      </c>
      <c r="AD632" s="4">
        <f>IFERROR(__xludf.DUMMYFUNCTION("IFERROR(ABS(P632-AVERAGE(FILTER(O632:P4700,AA632:AA4700=""Neighbor""))) / STDEV(FILTER(P632:P4700, AA632:AA4700 =""Neighbor"")), """")"),2.225129939576765)</f>
        <v>2.22512994</v>
      </c>
      <c r="AE632" s="2">
        <f>IFERROR(__xludf.DUMMYFUNCTION("IFERROR(ABS(Q632-AVERAGE(FILTER(Q632:Q4700,AA632:AA4700=""Neighbor""))) / STDEV(FILTER(Q632:Q4700, AA632:AA4700 =""Neighbor"")), """")"),0.7111570613016758)</f>
        <v>0.7111570613</v>
      </c>
      <c r="AF632" s="2">
        <f>IFERROR(__xludf.DUMMYFUNCTION("IFERROR(ABS(R632-AVERAGE(FILTER(R632:R4700,AA632:AA4700=""Neighbor""))) / STDEV(FILTER(R632:R4700, AA632:AA4700 =""Neighbor"")), """")"),0.09726557793427322)</f>
        <v>0.09726557793</v>
      </c>
    </row>
    <row r="633">
      <c r="A633" s="2" t="s">
        <v>28</v>
      </c>
      <c r="B633" s="2" t="s">
        <v>1711</v>
      </c>
      <c r="C633" s="2" t="s">
        <v>2577</v>
      </c>
      <c r="D633" s="2" t="s">
        <v>2598</v>
      </c>
      <c r="E633" s="2" t="s">
        <v>2599</v>
      </c>
      <c r="F633" s="2">
        <v>342.0</v>
      </c>
      <c r="G633" s="2">
        <v>1369.0</v>
      </c>
      <c r="H633" s="2" t="b">
        <v>1</v>
      </c>
      <c r="I633" s="2">
        <v>-1.0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s">
        <v>33</v>
      </c>
      <c r="O633" s="2">
        <v>107.0</v>
      </c>
      <c r="P633" s="2">
        <v>117.0</v>
      </c>
      <c r="Q633" s="2">
        <v>51.0</v>
      </c>
      <c r="R633" s="2">
        <v>0.0</v>
      </c>
      <c r="S633" s="3" t="s">
        <v>2600</v>
      </c>
      <c r="T633" s="2" t="s">
        <v>2601</v>
      </c>
      <c r="Y633" s="4" t="str">
        <f>IFERROR(__xludf.DUMMYFUNCTION("""COMPUTED_VALUE"""),"6.5174448")</f>
        <v>6.5174448</v>
      </c>
      <c r="Z633" s="4" t="str">
        <f>IFERROR(__xludf.DUMMYFUNCTION("""COMPUTED_VALUE"""),"3.0777956")</f>
        <v>3.0777956</v>
      </c>
      <c r="AA633" s="4" t="str">
        <f t="shared" si="1"/>
        <v>Not Neighbor</v>
      </c>
      <c r="AC633" s="4">
        <f>IFERROR(__xludf.DUMMYFUNCTION("IFERROR(ABS(O633-AVERAGE(FILTER(O633:O4701,AA633:AA4701=""Neighbor""))) / STDEV(FILTER(O633:O4701, AA633:AA4701 =""Neighbor"")), """")"),0.9673573990221392)</f>
        <v>0.967357399</v>
      </c>
      <c r="AD633" s="4">
        <f>IFERROR(__xludf.DUMMYFUNCTION("IFERROR(ABS(P633-AVERAGE(FILTER(O633:P4701,AA633:AA4701=""Neighbor""))) / STDEV(FILTER(P633:P4701, AA633:AA4701 =""Neighbor"")), """")"),3.1245197176104034)</f>
        <v>3.124519718</v>
      </c>
      <c r="AE633" s="2">
        <f>IFERROR(__xludf.DUMMYFUNCTION("IFERROR(ABS(Q633-AVERAGE(FILTER(Q633:Q4701,AA633:AA4701=""Neighbor""))) / STDEV(FILTER(Q633:Q4701, AA633:AA4701 =""Neighbor"")), """")"),1.0408588268748273)</f>
        <v>1.040858827</v>
      </c>
      <c r="AF633" s="2">
        <f>IFERROR(__xludf.DUMMYFUNCTION("IFERROR(ABS(R633-AVERAGE(FILTER(R633:R4701,AA633:AA4701=""Neighbor""))) / STDEV(FILTER(R633:R4701, AA633:AA4701 =""Neighbor"")), """")"),0.09726557793427322)</f>
        <v>0.09726557793</v>
      </c>
    </row>
    <row r="634">
      <c r="A634" s="2" t="s">
        <v>28</v>
      </c>
      <c r="B634" s="2" t="s">
        <v>1711</v>
      </c>
      <c r="C634" s="2" t="s">
        <v>2577</v>
      </c>
      <c r="D634" s="2" t="s">
        <v>2602</v>
      </c>
      <c r="E634" s="2" t="s">
        <v>2603</v>
      </c>
      <c r="F634" s="2">
        <v>127.0</v>
      </c>
      <c r="G634" s="2">
        <v>1141.0</v>
      </c>
      <c r="H634" s="2" t="b">
        <v>1</v>
      </c>
      <c r="I634" s="2">
        <v>-1.0</v>
      </c>
      <c r="J634" s="2" t="b">
        <v>0</v>
      </c>
      <c r="K634" s="2" t="b">
        <v>0</v>
      </c>
      <c r="L634" s="2" t="b">
        <v>0</v>
      </c>
      <c r="M634" s="2" t="b">
        <v>0</v>
      </c>
      <c r="N634" s="2" t="s">
        <v>33</v>
      </c>
      <c r="O634" s="2">
        <v>36.0</v>
      </c>
      <c r="P634" s="2">
        <v>63.0</v>
      </c>
      <c r="Q634" s="2">
        <v>16.0</v>
      </c>
      <c r="R634" s="2">
        <v>1.0</v>
      </c>
      <c r="S634" s="3" t="s">
        <v>2604</v>
      </c>
      <c r="T634" s="2" t="s">
        <v>2605</v>
      </c>
      <c r="Y634" s="4" t="str">
        <f>IFERROR(__xludf.DUMMYFUNCTION("""COMPUTED_VALUE"""),"6.5137089")</f>
        <v>6.5137089</v>
      </c>
      <c r="Z634" s="4" t="str">
        <f>IFERROR(__xludf.DUMMYFUNCTION("""COMPUTED_VALUE"""),"3.1140582")</f>
        <v>3.1140582</v>
      </c>
      <c r="AA634" s="4" t="str">
        <f t="shared" si="1"/>
        <v>Not Neighbor</v>
      </c>
      <c r="AC634" s="4">
        <f>IFERROR(__xludf.DUMMYFUNCTION("IFERROR(ABS(O634-AVERAGE(FILTER(O634:O4702,AA634:AA4702=""Neighbor""))) / STDEV(FILTER(O634:O4702, AA634:AA4702 =""Neighbor"")), """")"),0.6807808813612242)</f>
        <v>0.6807808814</v>
      </c>
      <c r="AD634" s="4">
        <f>IFERROR(__xludf.DUMMYFUNCTION("IFERROR(ABS(P634-AVERAGE(FILTER(O634:P4702,AA634:AA4702=""Neighbor""))) / STDEV(FILTER(P634:P4702, AA634:AA4702 =""Neighbor"")), """")"),0.9169266260732913)</f>
        <v>0.9169266261</v>
      </c>
      <c r="AE634" s="2">
        <f>IFERROR(__xludf.DUMMYFUNCTION("IFERROR(ABS(Q634-AVERAGE(FILTER(Q634:Q4702,AA634:AA4702=""Neighbor""))) / STDEV(FILTER(Q634:Q4702, AA634:AA4702 =""Neighbor"")), """")"),0.38520061698976826)</f>
        <v>0.385200617</v>
      </c>
      <c r="AF634" s="2">
        <f>IFERROR(__xludf.DUMMYFUNCTION("IFERROR(ABS(R634-AVERAGE(FILTER(R634:R4702,AA634:AA4702=""Neighbor""))) / STDEV(FILTER(R634:R4702, AA634:AA4702 =""Neighbor"")), """")"),0.08531399058025797)</f>
        <v>0.08531399058</v>
      </c>
    </row>
    <row r="635">
      <c r="A635" s="2" t="s">
        <v>28</v>
      </c>
      <c r="B635" s="2" t="s">
        <v>1711</v>
      </c>
      <c r="C635" s="2" t="s">
        <v>2577</v>
      </c>
      <c r="D635" s="2" t="s">
        <v>2606</v>
      </c>
      <c r="E635" s="2" t="s">
        <v>2607</v>
      </c>
      <c r="F635" s="2">
        <v>119.0</v>
      </c>
      <c r="G635" s="2">
        <v>1224.0</v>
      </c>
      <c r="H635" s="2" t="b">
        <v>1</v>
      </c>
      <c r="I635" s="2">
        <v>-1.0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s">
        <v>33</v>
      </c>
      <c r="O635" s="2">
        <v>44.0</v>
      </c>
      <c r="P635" s="2">
        <v>52.0</v>
      </c>
      <c r="Q635" s="2">
        <v>13.0</v>
      </c>
      <c r="R635" s="2">
        <v>0.0</v>
      </c>
      <c r="S635" s="3" t="s">
        <v>2608</v>
      </c>
      <c r="T635" s="2" t="s">
        <v>2609</v>
      </c>
      <c r="Y635" s="4" t="str">
        <f>IFERROR(__xludf.DUMMYFUNCTION("""COMPUTED_VALUE"""),"6.5039262")</f>
        <v>6.5039262</v>
      </c>
      <c r="Z635" s="4" t="str">
        <f>IFERROR(__xludf.DUMMYFUNCTION("""COMPUTED_VALUE"""),"3.0862433")</f>
        <v>3.0862433</v>
      </c>
      <c r="AA635" s="4" t="str">
        <f t="shared" si="1"/>
        <v>Not Neighbor</v>
      </c>
      <c r="AC635" s="4">
        <f>IFERROR(__xludf.DUMMYFUNCTION("IFERROR(ABS(O635-AVERAGE(FILTER(O635:O4703,AA635:AA4703=""Neighbor""))) / STDEV(FILTER(O635:O4703, AA635:AA4703 =""Neighbor"")), """")"),0.4950751596278874)</f>
        <v>0.4950751596</v>
      </c>
      <c r="AD635" s="4">
        <f>IFERROR(__xludf.DUMMYFUNCTION("IFERROR(ABS(P635-AVERAGE(FILTER(O635:P4703,AA635:AA4703=""Neighbor""))) / STDEV(FILTER(P635:P4703, AA635:AA4703 =""Neighbor"")), """")"),0.4672317370564722)</f>
        <v>0.4672317371</v>
      </c>
      <c r="AE635" s="2">
        <f>IFERROR(__xludf.DUMMYFUNCTION("IFERROR(ABS(Q635-AVERAGE(FILTER(Q635:Q4703,AA635:AA4703=""Neighbor""))) / STDEV(FILTER(Q635:Q4703, AA635:AA4703 =""Neighbor"")), """")"),0.5074342836067336)</f>
        <v>0.5074342836</v>
      </c>
      <c r="AF635" s="2">
        <f>IFERROR(__xludf.DUMMYFUNCTION("IFERROR(ABS(R635-AVERAGE(FILTER(R635:R4703,AA635:AA4703=""Neighbor""))) / STDEV(FILTER(R635:R4703, AA635:AA4703 =""Neighbor"")), """")"),0.09726557793427322)</f>
        <v>0.09726557793</v>
      </c>
    </row>
    <row r="636">
      <c r="A636" s="2" t="s">
        <v>28</v>
      </c>
      <c r="B636" s="2" t="s">
        <v>1711</v>
      </c>
      <c r="C636" s="2" t="s">
        <v>2577</v>
      </c>
      <c r="D636" s="2" t="s">
        <v>2610</v>
      </c>
      <c r="E636" s="2" t="s">
        <v>2611</v>
      </c>
      <c r="F636" s="2">
        <v>91.0</v>
      </c>
      <c r="G636" s="2">
        <v>1015.0</v>
      </c>
      <c r="H636" s="2" t="b">
        <v>1</v>
      </c>
      <c r="I636" s="2">
        <v>-1.0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s">
        <v>33</v>
      </c>
      <c r="O636" s="2">
        <v>40.0</v>
      </c>
      <c r="P636" s="2">
        <v>37.0</v>
      </c>
      <c r="Q636" s="2">
        <v>6.0</v>
      </c>
      <c r="R636" s="2">
        <v>0.0</v>
      </c>
      <c r="S636" s="3" t="s">
        <v>2612</v>
      </c>
      <c r="T636" s="2" t="s">
        <v>2613</v>
      </c>
      <c r="Y636" s="4" t="str">
        <f>IFERROR(__xludf.DUMMYFUNCTION("""COMPUTED_VALUE"""),"6.5137089")</f>
        <v>6.5137089</v>
      </c>
      <c r="Z636" s="4" t="str">
        <f>IFERROR(__xludf.DUMMYFUNCTION("""COMPUTED_VALUE"""),"3.1140582")</f>
        <v>3.1140582</v>
      </c>
      <c r="AA636" s="4" t="str">
        <f t="shared" si="1"/>
        <v>Neighbor</v>
      </c>
      <c r="AC636" s="4">
        <f>IFERROR(__xludf.DUMMYFUNCTION("IFERROR(ABS(O636-AVERAGE(FILTER(O636:O4704,AA636:AA4704=""Neighbor""))) / STDEV(FILTER(O636:O4704, AA636:AA4704 =""Neighbor"")), """")"),0.5879280204945557)</f>
        <v>0.5879280205</v>
      </c>
      <c r="AD636" s="4">
        <f>IFERROR(__xludf.DUMMYFUNCTION("IFERROR(ABS(P636-AVERAGE(FILTER(O636:P4704,AA636:AA4704=""Neighbor""))) / STDEV(FILTER(P636:P4704, AA636:AA4704 =""Neighbor"")), """")"),0.14598856614828115)</f>
        <v>0.1459885661</v>
      </c>
      <c r="AE636" s="2">
        <f>IFERROR(__xludf.DUMMYFUNCTION("IFERROR(ABS(Q636-AVERAGE(FILTER(Q636:Q4704,AA636:AA4704=""Neighbor""))) / STDEV(FILTER(Q636:Q4704, AA636:AA4704 =""Neighbor"")), """")"),0.7926461723796527)</f>
        <v>0.7926461724</v>
      </c>
      <c r="AF636" s="2">
        <f>IFERROR(__xludf.DUMMYFUNCTION("IFERROR(ABS(R636-AVERAGE(FILTER(R636:R4704,AA636:AA4704=""Neighbor""))) / STDEV(FILTER(R636:R4704, AA636:AA4704 =""Neighbor"")), """")"),0.09726557793427322)</f>
        <v>0.09726557793</v>
      </c>
    </row>
    <row r="637">
      <c r="A637" s="2" t="s">
        <v>28</v>
      </c>
      <c r="B637" s="2" t="s">
        <v>1711</v>
      </c>
      <c r="C637" s="2" t="s">
        <v>2577</v>
      </c>
      <c r="D637" s="2" t="s">
        <v>2614</v>
      </c>
      <c r="E637" s="2" t="s">
        <v>2615</v>
      </c>
      <c r="F637" s="2">
        <v>205.0</v>
      </c>
      <c r="G637" s="2">
        <v>1657.0</v>
      </c>
      <c r="H637" s="2" t="b">
        <v>1</v>
      </c>
      <c r="I637" s="2">
        <v>-1.0</v>
      </c>
      <c r="J637" s="2" t="b">
        <v>0</v>
      </c>
      <c r="K637" s="2" t="b">
        <v>0</v>
      </c>
      <c r="L637" s="2" t="b">
        <v>0</v>
      </c>
      <c r="M637" s="2" t="b">
        <v>0</v>
      </c>
      <c r="N637" s="2" t="s">
        <v>33</v>
      </c>
      <c r="O637" s="2">
        <v>79.0</v>
      </c>
      <c r="P637" s="2">
        <v>26.0</v>
      </c>
      <c r="Q637" s="2">
        <v>57.0</v>
      </c>
      <c r="R637" s="2">
        <v>0.0</v>
      </c>
      <c r="S637" s="3" t="s">
        <v>2616</v>
      </c>
      <c r="T637" s="2" t="s">
        <v>2617</v>
      </c>
      <c r="Y637" s="4" t="str">
        <f>IFERROR(__xludf.DUMMYFUNCTION("""COMPUTED_VALUE"""),"6.51371")</f>
        <v>6.51371</v>
      </c>
      <c r="Z637" s="4" t="str">
        <f>IFERROR(__xludf.DUMMYFUNCTION("""COMPUTED_VALUE"""),"3.114051")</f>
        <v>3.114051</v>
      </c>
      <c r="AA637" s="4" t="str">
        <f t="shared" si="1"/>
        <v>Not Neighbor</v>
      </c>
      <c r="AC637" s="4">
        <f>IFERROR(__xludf.DUMMYFUNCTION("IFERROR(ABS(O637-AVERAGE(FILTER(O637:O4705,AA637:AA4705=""Neighbor""))) / STDEV(FILTER(O637:O4705, AA637:AA4705 =""Neighbor"")), """")"),0.31690539919541755)</f>
        <v>0.3169053992</v>
      </c>
      <c r="AD637" s="4">
        <f>IFERROR(__xludf.DUMMYFUNCTION("IFERROR(ABS(P637-AVERAGE(FILTER(O637:P4705,AA637:AA4705=""Neighbor""))) / STDEV(FILTER(P637:P4705, AA637:AA4705 =""Neighbor"")), """")"),0.595690661497813)</f>
        <v>0.5956906615</v>
      </c>
      <c r="AE637" s="2">
        <f>IFERROR(__xludf.DUMMYFUNCTION("IFERROR(ABS(Q637-AVERAGE(FILTER(Q637:Q4705,AA637:AA4705=""Neighbor""))) / STDEV(FILTER(Q637:Q4705, AA637:AA4705 =""Neighbor"")), """")"),1.284607506556874)</f>
        <v>1.284607507</v>
      </c>
      <c r="AF637" s="2">
        <f>IFERROR(__xludf.DUMMYFUNCTION("IFERROR(ABS(R637-AVERAGE(FILTER(R637:R4705,AA637:AA4705=""Neighbor""))) / STDEV(FILTER(R637:R4705, AA637:AA4705 =""Neighbor"")), """")"),0.09729975981249146)</f>
        <v>0.09729975981</v>
      </c>
    </row>
    <row r="638">
      <c r="A638" s="2" t="s">
        <v>28</v>
      </c>
      <c r="B638" s="2" t="s">
        <v>1711</v>
      </c>
      <c r="C638" s="2" t="s">
        <v>2577</v>
      </c>
      <c r="D638" s="2" t="s">
        <v>2618</v>
      </c>
      <c r="E638" s="2" t="s">
        <v>2619</v>
      </c>
      <c r="F638" s="2">
        <v>135.0</v>
      </c>
      <c r="G638" s="2">
        <v>797.0</v>
      </c>
      <c r="H638" s="2" t="b">
        <v>1</v>
      </c>
      <c r="I638" s="2">
        <v>-1.0</v>
      </c>
      <c r="J638" s="2" t="b">
        <v>0</v>
      </c>
      <c r="K638" s="2" t="b">
        <v>0</v>
      </c>
      <c r="L638" s="2" t="b">
        <v>0</v>
      </c>
      <c r="M638" s="2" t="b">
        <v>0</v>
      </c>
      <c r="N638" s="2" t="s">
        <v>33</v>
      </c>
      <c r="O638" s="2">
        <v>65.0</v>
      </c>
      <c r="P638" s="2">
        <v>29.0</v>
      </c>
      <c r="Q638" s="2">
        <v>32.0</v>
      </c>
      <c r="R638" s="2">
        <v>1.0</v>
      </c>
      <c r="S638" s="3" t="s">
        <v>2620</v>
      </c>
      <c r="T638" s="2" t="s">
        <v>2621</v>
      </c>
      <c r="Y638" s="4" t="str">
        <f>IFERROR(__xludf.DUMMYFUNCTION("""COMPUTED_VALUE"""),"6.5046816")</f>
        <v>6.5046816</v>
      </c>
      <c r="Z638" s="4" t="str">
        <f>IFERROR(__xludf.DUMMYFUNCTION("""COMPUTED_VALUE"""),"3.101618")</f>
        <v>3.101618</v>
      </c>
      <c r="AA638" s="4" t="str">
        <f t="shared" si="1"/>
        <v>Not Neighbor</v>
      </c>
      <c r="AC638" s="4">
        <f>IFERROR(__xludf.DUMMYFUNCTION("IFERROR(ABS(O638-AVERAGE(FILTER(O638:O4706,AA638:AA4706=""Neighbor""))) / STDEV(FILTER(O638:O4706, AA638:AA4706 =""Neighbor"")), """")"),0.008005520418562498)</f>
        <v>0.008005520419</v>
      </c>
      <c r="AD638" s="4">
        <f>IFERROR(__xludf.DUMMYFUNCTION("IFERROR(ABS(P638-AVERAGE(FILTER(O638:P4706,AA638:AA4706=""Neighbor""))) / STDEV(FILTER(P638:P4706, AA638:AA4706 =""Neighbor"")), """")"),0.47305726371438833)</f>
        <v>0.4730572637</v>
      </c>
      <c r="AE638" s="2">
        <f>IFERROR(__xludf.DUMMYFUNCTION("IFERROR(ABS(Q638-AVERAGE(FILTER(Q638:Q4706,AA638:AA4706=""Neighbor""))) / STDEV(FILTER(Q638:Q4706, AA638:AA4706 =""Neighbor"")), """")"),0.2661254561750346)</f>
        <v>0.2661254562</v>
      </c>
      <c r="AF638" s="2">
        <f>IFERROR(__xludf.DUMMYFUNCTION("IFERROR(ABS(R638-AVERAGE(FILTER(R638:R4706,AA638:AA4706=""Neighbor""))) / STDEV(FILTER(R638:R4706, AA638:AA4706 =""Neighbor"")), """")"),0.0852167831037507)</f>
        <v>0.0852167831</v>
      </c>
    </row>
    <row r="639">
      <c r="A639" s="2" t="s">
        <v>28</v>
      </c>
      <c r="B639" s="2" t="s">
        <v>1711</v>
      </c>
      <c r="C639" s="2" t="s">
        <v>2577</v>
      </c>
      <c r="D639" s="2" t="s">
        <v>2622</v>
      </c>
      <c r="E639" s="2" t="s">
        <v>2623</v>
      </c>
      <c r="F639" s="2">
        <v>156.0</v>
      </c>
      <c r="G639" s="2">
        <v>1001.0</v>
      </c>
      <c r="H639" s="2" t="b">
        <v>1</v>
      </c>
      <c r="I639" s="2">
        <v>-1.0</v>
      </c>
      <c r="J639" s="2" t="b">
        <v>0</v>
      </c>
      <c r="K639" s="2" t="b">
        <v>0</v>
      </c>
      <c r="L639" s="2" t="b">
        <v>0</v>
      </c>
      <c r="M639" s="2" t="b">
        <v>0</v>
      </c>
      <c r="N639" s="2" t="s">
        <v>33</v>
      </c>
      <c r="O639" s="2">
        <v>50.0</v>
      </c>
      <c r="P639" s="2">
        <v>81.0</v>
      </c>
      <c r="Q639" s="2">
        <v>9.0</v>
      </c>
      <c r="R639" s="2">
        <v>0.0</v>
      </c>
      <c r="S639" s="3" t="s">
        <v>2624</v>
      </c>
      <c r="T639" s="2" t="s">
        <v>2625</v>
      </c>
      <c r="Y639" s="4" t="str">
        <f>IFERROR(__xludf.DUMMYFUNCTION("""COMPUTED_VALUE"""),"6.5498925")</f>
        <v>6.5498925</v>
      </c>
      <c r="Z639" s="4" t="str">
        <f>IFERROR(__xludf.DUMMYFUNCTION("""COMPUTED_VALUE"""),"3.0712466")</f>
        <v>3.0712466</v>
      </c>
      <c r="AA639" s="4" t="str">
        <f t="shared" si="1"/>
        <v>Not Neighbor</v>
      </c>
      <c r="AC639" s="4">
        <f>IFERROR(__xludf.DUMMYFUNCTION("IFERROR(ABS(O639-AVERAGE(FILTER(O639:O4707,AA639:AA4707=""Neighbor""))) / STDEV(FILTER(O639:O4707, AA639:AA4707 =""Neighbor"")), """")"),0.3561243628621126)</f>
        <v>0.3561243629</v>
      </c>
      <c r="AD639" s="4">
        <f>IFERROR(__xludf.DUMMYFUNCTION("IFERROR(ABS(P639-AVERAGE(FILTER(O639:P4707,AA639:AA4707=""Neighbor""))) / STDEV(FILTER(P639:P4707, AA639:AA4707 =""Neighbor"")), """")"),1.6525882978649726)</f>
        <v>1.652588298</v>
      </c>
      <c r="AE639" s="2">
        <f>IFERROR(__xludf.DUMMYFUNCTION("IFERROR(ABS(Q639-AVERAGE(FILTER(Q639:Q4707,AA639:AA4707=""Neighbor""))) / STDEV(FILTER(Q639:Q4707, AA639:AA4707 =""Neighbor"")), """")"),0.6708780301762577)</f>
        <v>0.6708780302</v>
      </c>
      <c r="AF639" s="2">
        <f>IFERROR(__xludf.DUMMYFUNCTION("IFERROR(ABS(R639-AVERAGE(FILTER(R639:R4707,AA639:AA4707=""Neighbor""))) / STDEV(FILTER(R639:R4707, AA639:AA4707 =""Neighbor"")), """")"),0.09729975981249146)</f>
        <v>0.09729975981</v>
      </c>
    </row>
    <row r="640">
      <c r="A640" s="2" t="s">
        <v>28</v>
      </c>
      <c r="B640" s="2" t="s">
        <v>1711</v>
      </c>
      <c r="C640" s="2" t="s">
        <v>2626</v>
      </c>
      <c r="D640" s="2" t="s">
        <v>2627</v>
      </c>
      <c r="E640" s="2" t="s">
        <v>2628</v>
      </c>
      <c r="F640" s="2">
        <v>104.0</v>
      </c>
      <c r="G640" s="2">
        <v>515.0</v>
      </c>
      <c r="H640" s="2" t="b">
        <v>1</v>
      </c>
      <c r="I640" s="2">
        <v>-1.0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s">
        <v>33</v>
      </c>
      <c r="O640" s="2">
        <v>65.0</v>
      </c>
      <c r="P640" s="2">
        <v>19.0</v>
      </c>
      <c r="Q640" s="2">
        <v>15.0</v>
      </c>
      <c r="R640" s="2">
        <v>1.0</v>
      </c>
      <c r="S640" s="3" t="s">
        <v>2629</v>
      </c>
      <c r="T640" s="2" t="s">
        <v>2630</v>
      </c>
      <c r="Y640" s="4" t="str">
        <f>IFERROR(__xludf.DUMMYFUNCTION("""COMPUTED_VALUE"""),"6.6379144")</f>
        <v>6.6379144</v>
      </c>
      <c r="Z640" s="4" t="str">
        <f>IFERROR(__xludf.DUMMYFUNCTION("""COMPUTED_VALUE"""),"3.1552606")</f>
        <v>3.1552606</v>
      </c>
      <c r="AA640" s="4" t="str">
        <f t="shared" si="1"/>
        <v>Neighbor</v>
      </c>
      <c r="AC640" s="4">
        <f>IFERROR(__xludf.DUMMYFUNCTION("IFERROR(ABS(O640-AVERAGE(FILTER(O640:O4708,AA640:AA4708=""Neighbor""))) / STDEV(FILTER(O640:O4708, AA640:AA4708 =""Neighbor"")), """")"),0.008005520418562498)</f>
        <v>0.008005520419</v>
      </c>
      <c r="AD640" s="4">
        <f>IFERROR(__xludf.DUMMYFUNCTION("IFERROR(ABS(P640-AVERAGE(FILTER(O640:P4708,AA640:AA4708=""Neighbor""))) / STDEV(FILTER(P640:P4708, AA640:AA4708 =""Neighbor"")), """")"),0.881835256325804)</f>
        <v>0.8818352563</v>
      </c>
      <c r="AE640" s="2">
        <f>IFERROR(__xludf.DUMMYFUNCTION("IFERROR(ABS(Q640-AVERAGE(FILTER(Q640:Q4708,AA640:AA4708=""Neighbor""))) / STDEV(FILTER(Q640:Q4708, AA640:AA4708 =""Neighbor"")), """")"),0.42644233808461623)</f>
        <v>0.4264423381</v>
      </c>
      <c r="AF640" s="2">
        <f>IFERROR(__xludf.DUMMYFUNCTION("IFERROR(ABS(R640-AVERAGE(FILTER(R640:R4708,AA640:AA4708=""Neighbor""))) / STDEV(FILTER(R640:R4708, AA640:AA4708 =""Neighbor"")), """")"),0.0852167831037507)</f>
        <v>0.0852167831</v>
      </c>
    </row>
    <row r="641">
      <c r="A641" s="2" t="s">
        <v>28</v>
      </c>
      <c r="B641" s="2" t="s">
        <v>1711</v>
      </c>
      <c r="C641" s="2" t="s">
        <v>2626</v>
      </c>
      <c r="D641" s="2" t="s">
        <v>2631</v>
      </c>
      <c r="E641" s="2" t="s">
        <v>2632</v>
      </c>
      <c r="F641" s="2">
        <v>104.0</v>
      </c>
      <c r="G641" s="2">
        <v>514.0</v>
      </c>
      <c r="H641" s="2" t="b">
        <v>1</v>
      </c>
      <c r="I641" s="2">
        <v>-1.0</v>
      </c>
      <c r="J641" s="2" t="b">
        <v>1</v>
      </c>
      <c r="K641" s="2" t="b">
        <v>0</v>
      </c>
      <c r="L641" s="2" t="b">
        <v>0</v>
      </c>
      <c r="M641" s="2" t="b">
        <v>0</v>
      </c>
      <c r="N641" s="2" t="s">
        <v>33</v>
      </c>
      <c r="O641" s="2">
        <v>59.0</v>
      </c>
      <c r="P641" s="2">
        <v>11.0</v>
      </c>
      <c r="Q641" s="2">
        <v>22.0</v>
      </c>
      <c r="R641" s="2">
        <v>0.0</v>
      </c>
      <c r="S641" s="3" t="s">
        <v>2633</v>
      </c>
      <c r="T641" s="2" t="s">
        <v>2634</v>
      </c>
      <c r="Y641" s="4" t="str">
        <f>IFERROR(__xludf.DUMMYFUNCTION("""COMPUTED_VALUE"""),"6.6379144")</f>
        <v>6.6379144</v>
      </c>
      <c r="Z641" s="4" t="str">
        <f>IFERROR(__xludf.DUMMYFUNCTION("""COMPUTED_VALUE"""),"3.1552606")</f>
        <v>3.1552606</v>
      </c>
      <c r="AA641" s="4" t="str">
        <f t="shared" si="1"/>
        <v>Not Neighbor</v>
      </c>
      <c r="AC641" s="4">
        <f>IFERROR(__xludf.DUMMYFUNCTION("IFERROR(ABS(O641-AVERAGE(FILTER(O641:O4709,AA641:AA4709=""Neighbor""))) / STDEV(FILTER(O641:O4709, AA641:AA4709 =""Neighbor"")), """")"),0.14720728897198754)</f>
        <v>0.147207289</v>
      </c>
      <c r="AD641" s="4">
        <f>IFERROR(__xludf.DUMMYFUNCTION("IFERROR(ABS(P641-AVERAGE(FILTER(O641:P4709,AA641:AA4709=""Neighbor""))) / STDEV(FILTER(P641:P4709, AA641:AA4709 =""Neighbor"")), """")"),1.2084026139476167)</f>
        <v>1.208402614</v>
      </c>
      <c r="AE641" s="2">
        <f>IFERROR(__xludf.DUMMYFUNCTION("IFERROR(ABS(Q641-AVERAGE(FILTER(Q641:Q4709,AA641:AA4709=""Neighbor""))) / STDEV(FILTER(Q641:Q4709, AA641:AA4709 =""Neighbor"")), """")"),0.1415243551376266)</f>
        <v>0.1415243551</v>
      </c>
      <c r="AF641" s="2">
        <f>IFERROR(__xludf.DUMMYFUNCTION("IFERROR(ABS(R641-AVERAGE(FILTER(R641:R4709,AA641:AA4709=""Neighbor""))) / STDEV(FILTER(R641:R4709, AA641:AA4709 =""Neighbor"")), """")"),0.09720666899646536)</f>
        <v>0.097206669</v>
      </c>
    </row>
    <row r="642">
      <c r="A642" s="2" t="s">
        <v>28</v>
      </c>
      <c r="B642" s="2" t="s">
        <v>1711</v>
      </c>
      <c r="C642" s="2" t="s">
        <v>2626</v>
      </c>
      <c r="D642" s="2" t="s">
        <v>2635</v>
      </c>
      <c r="E642" s="2" t="s">
        <v>2636</v>
      </c>
      <c r="F642" s="2">
        <v>134.0</v>
      </c>
      <c r="G642" s="2">
        <v>419.0</v>
      </c>
      <c r="H642" s="2" t="b">
        <v>1</v>
      </c>
      <c r="I642" s="2">
        <v>-1.0</v>
      </c>
      <c r="J642" s="2" t="b">
        <v>0</v>
      </c>
      <c r="K642" s="2" t="b">
        <v>0</v>
      </c>
      <c r="L642" s="2" t="b">
        <v>0</v>
      </c>
      <c r="M642" s="2" t="b">
        <v>0</v>
      </c>
      <c r="N642" s="2" t="s">
        <v>33</v>
      </c>
      <c r="O642" s="2">
        <v>55.0</v>
      </c>
      <c r="P642" s="2">
        <v>14.0</v>
      </c>
      <c r="Q642" s="2">
        <v>34.0</v>
      </c>
      <c r="R642" s="2">
        <v>0.0</v>
      </c>
      <c r="S642" s="3" t="s">
        <v>2637</v>
      </c>
      <c r="T642" s="2" t="s">
        <v>2638</v>
      </c>
      <c r="Y642" s="4" t="str">
        <f>IFERROR(__xludf.DUMMYFUNCTION("""COMPUTED_VALUE"""),"6.5190775")</f>
        <v>6.5190775</v>
      </c>
      <c r="Z642" s="4" t="str">
        <f>IFERROR(__xludf.DUMMYFUNCTION("""COMPUTED_VALUE"""),"3.1691806")</f>
        <v>3.1691806</v>
      </c>
      <c r="AA642" s="4" t="str">
        <f t="shared" si="1"/>
        <v>Not Neighbor</v>
      </c>
      <c r="AC642" s="4">
        <f>IFERROR(__xludf.DUMMYFUNCTION("IFERROR(ABS(O642-AVERAGE(FILTER(O642:O4710,AA642:AA4710=""Neighbor""))) / STDEV(FILTER(O642:O4710, AA642:AA4710 =""Neighbor"")), """")"),0.24000660862725962)</f>
        <v>0.2400066086</v>
      </c>
      <c r="AD642" s="4">
        <f>IFERROR(__xludf.DUMMYFUNCTION("IFERROR(ABS(P642-AVERAGE(FILTER(O642:P4710,AA642:AA4710=""Neighbor""))) / STDEV(FILTER(P642:P4710, AA642:AA4710 =""Neighbor"")), """")"),1.085811250912099)</f>
        <v>1.085811251</v>
      </c>
      <c r="AE642" s="2">
        <f>IFERROR(__xludf.DUMMYFUNCTION("IFERROR(ABS(Q642-AVERAGE(FILTER(Q642:Q4710,AA642:AA4710=""Neighbor""))) / STDEV(FILTER(Q642:Q4710, AA642:AA4710 =""Neighbor"")), """")"),0.34720755399508024)</f>
        <v>0.347207554</v>
      </c>
      <c r="AF642" s="2">
        <f>IFERROR(__xludf.DUMMYFUNCTION("IFERROR(ABS(R642-AVERAGE(FILTER(R642:R4710,AA642:AA4710=""Neighbor""))) / STDEV(FILTER(R642:R4710, AA642:AA4710 =""Neighbor"")), """")"),0.09720666899646536)</f>
        <v>0.097206669</v>
      </c>
    </row>
    <row r="643">
      <c r="A643" s="2" t="s">
        <v>28</v>
      </c>
      <c r="B643" s="2" t="s">
        <v>1711</v>
      </c>
      <c r="C643" s="2" t="s">
        <v>2626</v>
      </c>
      <c r="D643" s="2" t="s">
        <v>2639</v>
      </c>
      <c r="E643" s="2" t="s">
        <v>2640</v>
      </c>
      <c r="F643" s="2">
        <v>106.0</v>
      </c>
      <c r="G643" s="2">
        <v>752.0</v>
      </c>
      <c r="H643" s="2" t="b">
        <v>1</v>
      </c>
      <c r="I643" s="2">
        <v>-1.0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s">
        <v>33</v>
      </c>
      <c r="O643" s="2">
        <v>61.0</v>
      </c>
      <c r="P643" s="2">
        <v>17.0</v>
      </c>
      <c r="Q643" s="2">
        <v>23.0</v>
      </c>
      <c r="R643" s="2">
        <v>0.0</v>
      </c>
      <c r="S643" s="3" t="s">
        <v>2641</v>
      </c>
      <c r="T643" s="2" t="s">
        <v>2642</v>
      </c>
      <c r="Y643" s="4" t="str">
        <f>IFERROR(__xludf.DUMMYFUNCTION("""COMPUTED_VALUE"""),"6.5577137")</f>
        <v>6.5577137</v>
      </c>
      <c r="Z643" s="4" t="str">
        <f>IFERROR(__xludf.DUMMYFUNCTION("""COMPUTED_VALUE"""),"3.1679257")</f>
        <v>3.1679257</v>
      </c>
      <c r="AA643" s="4" t="str">
        <f t="shared" si="1"/>
        <v>Neighbor</v>
      </c>
      <c r="AC643" s="4">
        <f>IFERROR(__xludf.DUMMYFUNCTION("IFERROR(ABS(O643-AVERAGE(FILTER(O643:O4711,AA643:AA4711=""Neighbor""))) / STDEV(FILTER(O643:O4711, AA643:AA4711 =""Neighbor"")), """")"),0.10080762914435148)</f>
        <v>0.1008076291</v>
      </c>
      <c r="AD643" s="4">
        <f>IFERROR(__xludf.DUMMYFUNCTION("IFERROR(ABS(P643-AVERAGE(FILTER(O643:P4711,AA643:AA4711=""Neighbor""))) / STDEV(FILTER(P643:P4711, AA643:AA4711 =""Neighbor"")), """")"),0.9632198878765813)</f>
        <v>0.9632198879</v>
      </c>
      <c r="AE643" s="2">
        <f>IFERROR(__xludf.DUMMYFUNCTION("IFERROR(ABS(Q643-AVERAGE(FILTER(Q643:Q4711,AA643:AA4711=""Neighbor""))) / STDEV(FILTER(Q643:Q4711, AA643:AA4711 =""Neighbor"")), """")"),0.10079669604323435)</f>
        <v>0.100796696</v>
      </c>
      <c r="AF643" s="2">
        <f>IFERROR(__xludf.DUMMYFUNCTION("IFERROR(ABS(R643-AVERAGE(FILTER(R643:R4711,AA643:AA4711=""Neighbor""))) / STDEV(FILTER(R643:R4711, AA643:AA4711 =""Neighbor"")), """")"),0.09720666899646536)</f>
        <v>0.097206669</v>
      </c>
    </row>
    <row r="644">
      <c r="A644" s="2" t="s">
        <v>28</v>
      </c>
      <c r="B644" s="2" t="s">
        <v>1711</v>
      </c>
      <c r="C644" s="2" t="s">
        <v>2626</v>
      </c>
      <c r="D644" s="2" t="s">
        <v>2643</v>
      </c>
      <c r="E644" s="2" t="s">
        <v>2644</v>
      </c>
      <c r="F644" s="2">
        <v>87.0</v>
      </c>
      <c r="G644" s="2">
        <v>451.0</v>
      </c>
      <c r="H644" s="2" t="b">
        <v>1</v>
      </c>
      <c r="I644" s="2">
        <v>-1.0</v>
      </c>
      <c r="J644" s="2" t="b">
        <v>0</v>
      </c>
      <c r="K644" s="2" t="b">
        <v>0</v>
      </c>
      <c r="L644" s="2" t="b">
        <v>0</v>
      </c>
      <c r="M644" s="2" t="b">
        <v>0</v>
      </c>
      <c r="N644" s="2" t="s">
        <v>33</v>
      </c>
      <c r="O644" s="2">
        <v>37.0</v>
      </c>
      <c r="P644" s="2">
        <v>1.0</v>
      </c>
      <c r="Q644" s="2">
        <v>42.0</v>
      </c>
      <c r="R644" s="2">
        <v>0.0</v>
      </c>
      <c r="S644" s="3" t="s">
        <v>2645</v>
      </c>
      <c r="T644" s="2" t="s">
        <v>2646</v>
      </c>
      <c r="Y644" s="4" t="str">
        <f>IFERROR(__xludf.DUMMYFUNCTION("""COMPUTED_VALUE"""),"6.5577137")</f>
        <v>6.5577137</v>
      </c>
      <c r="Z644" s="4" t="str">
        <f>IFERROR(__xludf.DUMMYFUNCTION("""COMPUTED_VALUE"""),"3.1679257")</f>
        <v>3.1679257</v>
      </c>
      <c r="AA644" s="4" t="str">
        <f t="shared" si="1"/>
        <v>Neighbor</v>
      </c>
      <c r="AC644" s="4">
        <f>IFERROR(__xludf.DUMMYFUNCTION("IFERROR(ABS(O644-AVERAGE(FILTER(O644:O4712,AA644:AA4712=""Neighbor""))) / STDEV(FILTER(O644:O4712, AA644:AA4712 =""Neighbor"")), """")"),0.6574467125858947)</f>
        <v>0.6574467126</v>
      </c>
      <c r="AD644" s="4">
        <f>IFERROR(__xludf.DUMMYFUNCTION("IFERROR(ABS(P644-AVERAGE(FILTER(O644:P4712,AA644:AA4712=""Neighbor""))) / STDEV(FILTER(P644:P4712, AA644:AA4712 =""Neighbor"")), """")"),1.6165223364608263)</f>
        <v>1.616522336</v>
      </c>
      <c r="AE644" s="2">
        <f>IFERROR(__xludf.DUMMYFUNCTION("IFERROR(ABS(Q644-AVERAGE(FILTER(Q644:Q4712,AA644:AA4712=""Neighbor""))) / STDEV(FILTER(Q644:Q4712, AA644:AA4712 =""Neighbor"")), """")"),0.6727260250533144)</f>
        <v>0.6727260251</v>
      </c>
      <c r="AF644" s="2">
        <f>IFERROR(__xludf.DUMMYFUNCTION("IFERROR(ABS(R644-AVERAGE(FILTER(R644:R4712,AA644:AA4712=""Neighbor""))) / STDEV(FILTER(R644:R4712, AA644:AA4712 =""Neighbor"")), """")"),0.09724087742050709)</f>
        <v>0.09724087742</v>
      </c>
    </row>
    <row r="645">
      <c r="A645" s="2" t="s">
        <v>28</v>
      </c>
      <c r="B645" s="2" t="s">
        <v>1711</v>
      </c>
      <c r="C645" s="2" t="s">
        <v>2626</v>
      </c>
      <c r="D645" s="2" t="s">
        <v>2647</v>
      </c>
      <c r="E645" s="2" t="s">
        <v>2648</v>
      </c>
      <c r="F645" s="2">
        <v>135.0</v>
      </c>
      <c r="G645" s="2">
        <v>465.0</v>
      </c>
      <c r="H645" s="2" t="b">
        <v>1</v>
      </c>
      <c r="I645" s="2">
        <v>-1.0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s">
        <v>33</v>
      </c>
      <c r="O645" s="2">
        <v>98.0</v>
      </c>
      <c r="P645" s="2">
        <v>5.0</v>
      </c>
      <c r="Q645" s="2">
        <v>29.0</v>
      </c>
      <c r="R645" s="2">
        <v>0.0</v>
      </c>
      <c r="S645" s="3" t="s">
        <v>2649</v>
      </c>
      <c r="T645" s="2" t="s">
        <v>2650</v>
      </c>
      <c r="Y645" s="4" t="str">
        <f>IFERROR(__xludf.DUMMYFUNCTION("""COMPUTED_VALUE"""),"6.5577137")</f>
        <v>6.5577137</v>
      </c>
      <c r="Z645" s="4" t="str">
        <f>IFERROR(__xludf.DUMMYFUNCTION("""COMPUTED_VALUE"""),"3.1679257")</f>
        <v>3.1679257</v>
      </c>
      <c r="AA645" s="4" t="str">
        <f t="shared" si="1"/>
        <v>Not Neighbor</v>
      </c>
      <c r="AC645" s="4">
        <f>IFERROR(__xludf.DUMMYFUNCTION("IFERROR(ABS(O645-AVERAGE(FILTER(O645:O4713,AA645:AA4713=""Neighbor""))) / STDEV(FILTER(O645:O4713, AA645:AA4713 =""Neighbor"")), """")"),0.7566449406065472)</f>
        <v>0.7566449406</v>
      </c>
      <c r="AD645" s="4">
        <f>IFERROR(__xludf.DUMMYFUNCTION("IFERROR(ABS(P645-AVERAGE(FILTER(O645:P4713,AA645:AA4713=""Neighbor""))) / STDEV(FILTER(P645:P4713, AA645:AA4713 =""Neighbor"")), """")"),1.4534173477492662)</f>
        <v>1.453417348</v>
      </c>
      <c r="AE645" s="2">
        <f>IFERROR(__xludf.DUMMYFUNCTION("IFERROR(ABS(Q645-AVERAGE(FILTER(Q645:Q4713,AA645:AA4713=""Neighbor""))) / STDEV(FILTER(Q645:Q4713, AA645:AA4713 =""Neighbor"")), """")"),0.14389162548386514)</f>
        <v>0.1438916255</v>
      </c>
      <c r="AF645" s="2">
        <f>IFERROR(__xludf.DUMMYFUNCTION("IFERROR(ABS(R645-AVERAGE(FILTER(R645:R4713,AA645:AA4713=""Neighbor""))) / STDEV(FILTER(R645:R4713, AA645:AA4713 =""Neighbor"")), """")"),0.09727512198558494)</f>
        <v>0.09727512199</v>
      </c>
    </row>
    <row r="646">
      <c r="A646" s="2" t="s">
        <v>28</v>
      </c>
      <c r="B646" s="2" t="s">
        <v>1711</v>
      </c>
      <c r="C646" s="2" t="s">
        <v>2626</v>
      </c>
      <c r="D646" s="2" t="s">
        <v>2651</v>
      </c>
      <c r="E646" s="2" t="s">
        <v>2652</v>
      </c>
      <c r="F646" s="2">
        <v>37.0</v>
      </c>
      <c r="G646" s="2">
        <v>376.0</v>
      </c>
      <c r="H646" s="2" t="b">
        <v>1</v>
      </c>
      <c r="I646" s="2">
        <v>-1.0</v>
      </c>
      <c r="J646" s="2" t="b">
        <v>1</v>
      </c>
      <c r="K646" s="2" t="b">
        <v>0</v>
      </c>
      <c r="L646" s="2" t="b">
        <v>0</v>
      </c>
      <c r="M646" s="2" t="b">
        <v>0</v>
      </c>
      <c r="N646" s="2" t="s">
        <v>33</v>
      </c>
      <c r="O646" s="2">
        <v>14.0</v>
      </c>
      <c r="P646" s="2">
        <v>11.0</v>
      </c>
      <c r="Q646" s="2">
        <v>10.0</v>
      </c>
      <c r="R646" s="2">
        <v>0.0</v>
      </c>
      <c r="S646" s="3" t="s">
        <v>2653</v>
      </c>
      <c r="T646" s="2" t="s">
        <v>2654</v>
      </c>
      <c r="Y646" s="4" t="str">
        <f>IFERROR(__xludf.DUMMYFUNCTION("""COMPUTED_VALUE"""),"6.5126605")</f>
        <v>6.5126605</v>
      </c>
      <c r="Z646" s="4" t="str">
        <f>IFERROR(__xludf.DUMMYFUNCTION("""COMPUTED_VALUE"""),"3.1923049")</f>
        <v>3.1923049</v>
      </c>
      <c r="AA646" s="4" t="str">
        <f t="shared" si="1"/>
        <v>Not Neighbor</v>
      </c>
      <c r="AC646" s="4">
        <f>IFERROR(__xludf.DUMMYFUNCTION("IFERROR(ABS(O646-AVERAGE(FILTER(O646:O4714,AA646:AA4714=""Neighbor""))) / STDEV(FILTER(O646:O4714, AA646:AA4714 =""Neighbor"")), """")"),1.1910814523331765)</f>
        <v>1.191081452</v>
      </c>
      <c r="AD646" s="4">
        <f>IFERROR(__xludf.DUMMYFUNCTION("IFERROR(ABS(P646-AVERAGE(FILTER(O646:P4714,AA646:AA4714=""Neighbor""))) / STDEV(FILTER(P646:P4714, AA646:AA4714 =""Neighbor"")), """")"),1.2083742887368414)</f>
        <v>1.208374289</v>
      </c>
      <c r="AE646" s="2">
        <f>IFERROR(__xludf.DUMMYFUNCTION("IFERROR(ABS(Q646-AVERAGE(FILTER(Q646:Q4714,AA646:AA4714=""Neighbor""))) / STDEV(FILTER(Q646:Q4714, AA646:AA4714 =""Neighbor"")), """")"),0.6295187550307539)</f>
        <v>0.629518755</v>
      </c>
      <c r="AF646" s="2">
        <f>IFERROR(__xludf.DUMMYFUNCTION("IFERROR(ABS(R646-AVERAGE(FILTER(R646:R4714,AA646:AA4714=""Neighbor""))) / STDEV(FILTER(R646:R4714, AA646:AA4714 =""Neighbor"")), """")"),0.09727512198558494)</f>
        <v>0.09727512199</v>
      </c>
    </row>
    <row r="647">
      <c r="A647" s="2" t="s">
        <v>28</v>
      </c>
      <c r="B647" s="2" t="s">
        <v>1711</v>
      </c>
      <c r="C647" s="2" t="s">
        <v>2626</v>
      </c>
      <c r="D647" s="2" t="s">
        <v>2655</v>
      </c>
      <c r="E647" s="2" t="s">
        <v>2656</v>
      </c>
      <c r="F647" s="2">
        <v>129.0</v>
      </c>
      <c r="G647" s="2">
        <v>761.0</v>
      </c>
      <c r="H647" s="2" t="b">
        <v>1</v>
      </c>
      <c r="I647" s="2">
        <v>-1.0</v>
      </c>
      <c r="J647" s="2" t="b">
        <v>1</v>
      </c>
      <c r="K647" s="2" t="b">
        <v>0</v>
      </c>
      <c r="L647" s="2" t="b">
        <v>0</v>
      </c>
      <c r="M647" s="2" t="b">
        <v>0</v>
      </c>
      <c r="N647" s="2" t="s">
        <v>33</v>
      </c>
      <c r="O647" s="2">
        <v>0.0</v>
      </c>
      <c r="P647" s="2">
        <v>0.0</v>
      </c>
      <c r="Q647" s="2">
        <v>0.0</v>
      </c>
      <c r="R647" s="2">
        <v>0.0</v>
      </c>
      <c r="S647" s="3" t="s">
        <v>2657</v>
      </c>
      <c r="T647" s="2" t="s">
        <v>2658</v>
      </c>
      <c r="Y647" s="4" t="str">
        <f>IFERROR(__xludf.DUMMYFUNCTION("""COMPUTED_VALUE"""),"6.5577137")</f>
        <v>6.5577137</v>
      </c>
      <c r="Z647" s="4" t="str">
        <f>IFERROR(__xludf.DUMMYFUNCTION("""COMPUTED_VALUE"""),"3.1679257")</f>
        <v>3.1679257</v>
      </c>
      <c r="AA647" s="4" t="str">
        <f t="shared" si="1"/>
        <v>Neighbor</v>
      </c>
      <c r="AC647" s="4">
        <f>IFERROR(__xludf.DUMMYFUNCTION("IFERROR(ABS(O647-AVERAGE(FILTER(O647:O4715,AA647:AA4715=""Neighbor""))) / STDEV(FILTER(O647:O4715, AA647:AA4715 =""Neighbor"")), """")"),1.5157025178231305)</f>
        <v>1.515702518</v>
      </c>
      <c r="AD647" s="4">
        <f>IFERROR(__xludf.DUMMYFUNCTION("IFERROR(ABS(P647-AVERAGE(FILTER(O647:P4715,AA647:AA4715=""Neighbor""))) / STDEV(FILTER(P647:P4715, AA647:AA4715 =""Neighbor"")), """")"),1.6576198969262872)</f>
        <v>1.657619897</v>
      </c>
      <c r="AE647" s="2">
        <f>IFERROR(__xludf.DUMMYFUNCTION("IFERROR(ABS(Q647-AVERAGE(FILTER(Q647:Q4715,AA647:AA4715=""Neighbor""))) / STDEV(FILTER(Q647:Q4715, AA647:AA4715 =""Neighbor"")), """")"),1.0365768500384482)</f>
        <v>1.03657685</v>
      </c>
      <c r="AF647" s="2">
        <f>IFERROR(__xludf.DUMMYFUNCTION("IFERROR(ABS(R647-AVERAGE(FILTER(R647:R4715,AA647:AA4715=""Neighbor""))) / STDEV(FILTER(R647:R4715, AA647:AA4715 =""Neighbor"")), """")"),0.09727512198558494)</f>
        <v>0.09727512199</v>
      </c>
    </row>
    <row r="648">
      <c r="A648" s="2" t="s">
        <v>28</v>
      </c>
      <c r="B648" s="2" t="s">
        <v>1711</v>
      </c>
      <c r="C648" s="2" t="s">
        <v>2626</v>
      </c>
      <c r="D648" s="2" t="s">
        <v>2659</v>
      </c>
      <c r="E648" s="2" t="s">
        <v>2656</v>
      </c>
      <c r="F648" s="2">
        <v>129.0</v>
      </c>
      <c r="G648" s="2">
        <v>761.0</v>
      </c>
      <c r="H648" s="2" t="b">
        <v>1</v>
      </c>
      <c r="I648" s="2">
        <v>-1.0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s">
        <v>33</v>
      </c>
      <c r="O648" s="2">
        <v>55.0</v>
      </c>
      <c r="P648" s="2">
        <v>4.0</v>
      </c>
      <c r="Q648" s="2">
        <v>57.0</v>
      </c>
      <c r="R648" s="2">
        <v>1.0</v>
      </c>
      <c r="S648" s="3" t="s">
        <v>2657</v>
      </c>
      <c r="T648" s="2" t="s">
        <v>2658</v>
      </c>
      <c r="Y648" s="4" t="str">
        <f>IFERROR(__xludf.DUMMYFUNCTION("""COMPUTED_VALUE"""),"6.5577137")</f>
        <v>6.5577137</v>
      </c>
      <c r="Z648" s="4" t="str">
        <f>IFERROR(__xludf.DUMMYFUNCTION("""COMPUTED_VALUE"""),"3.1679257")</f>
        <v>3.1679257</v>
      </c>
      <c r="AA648" s="4" t="str">
        <f t="shared" si="1"/>
        <v>Not Neighbor</v>
      </c>
      <c r="AC648" s="4">
        <f>IFERROR(__xludf.DUMMYFUNCTION("IFERROR(ABS(O648-AVERAGE(FILTER(O648:O4716,AA648:AA4716=""Neighbor""))) / STDEV(FILTER(O648:O4716, AA648:AA4716 =""Neighbor"")), """")"),0.2415744095576575)</f>
        <v>0.2415744096</v>
      </c>
      <c r="AD648" s="4">
        <f>IFERROR(__xludf.DUMMYFUNCTION("IFERROR(ABS(P648-AVERAGE(FILTER(O648:P4716,AA648:AA4716=""Neighbor""))) / STDEV(FILTER(P648:P4716, AA648:AA4716 =""Neighbor"")), """")"),1.4951115122236915)</f>
        <v>1.495111512</v>
      </c>
      <c r="AE648" s="2">
        <f>IFERROR(__xludf.DUMMYFUNCTION("IFERROR(ABS(Q648-AVERAGE(FILTER(Q648:Q4716,AA648:AA4716=""Neighbor""))) / STDEV(FILTER(Q648:Q4716, AA648:AA4716 =""Neighbor"")), """")"),1.282963672492652)</f>
        <v>1.282963672</v>
      </c>
      <c r="AF648" s="2">
        <f>IFERROR(__xludf.DUMMYFUNCTION("IFERROR(ABS(R648-AVERAGE(FILTER(R648:R4716,AA648:AA4716=""Neighbor""))) / STDEV(FILTER(R648:R4716, AA648:AA4716 =""Neighbor"")), """")"),0.08495467491863887)</f>
        <v>0.08495467492</v>
      </c>
    </row>
    <row r="649">
      <c r="A649" s="2" t="s">
        <v>28</v>
      </c>
      <c r="B649" s="2" t="s">
        <v>2660</v>
      </c>
      <c r="C649" s="2" t="s">
        <v>2661</v>
      </c>
      <c r="D649" s="2" t="s">
        <v>2662</v>
      </c>
      <c r="E649" s="2" t="s">
        <v>2663</v>
      </c>
      <c r="F649" s="2">
        <v>166.0</v>
      </c>
      <c r="G649" s="2">
        <v>386.0</v>
      </c>
      <c r="H649" s="2" t="b">
        <v>1</v>
      </c>
      <c r="I649" s="2">
        <v>-1.0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s">
        <v>33</v>
      </c>
      <c r="O649" s="2">
        <v>0.0</v>
      </c>
      <c r="P649" s="2">
        <v>0.0</v>
      </c>
      <c r="Q649" s="2">
        <v>0.0</v>
      </c>
      <c r="R649" s="2">
        <v>0.0</v>
      </c>
      <c r="S649" s="3" t="s">
        <v>2664</v>
      </c>
      <c r="T649" s="2" t="s">
        <v>2665</v>
      </c>
      <c r="Y649" s="4" t="str">
        <f>IFERROR(__xludf.DUMMYFUNCTION("""COMPUTED_VALUE"""),"7.2772662")</f>
        <v>7.2772662</v>
      </c>
      <c r="Z649" s="4" t="str">
        <f>IFERROR(__xludf.DUMMYFUNCTION("""COMPUTED_VALUE"""),"2.9575607")</f>
        <v>2.9575607</v>
      </c>
      <c r="AA649" s="4" t="str">
        <f t="shared" si="1"/>
        <v>Not Neighbor</v>
      </c>
      <c r="AC649" s="4">
        <f>IFERROR(__xludf.DUMMYFUNCTION("IFERROR(ABS(O649-AVERAGE(FILTER(O649:O4717,AA649:AA4717=""Neighbor""))) / STDEV(FILTER(O649:O4717, AA649:AA4717 =""Neighbor"")), """")"),1.5174510639822598)</f>
        <v>1.517451064</v>
      </c>
      <c r="AD649" s="4">
        <f>IFERROR(__xludf.DUMMYFUNCTION("IFERROR(ABS(P649-AVERAGE(FILTER(O649:P4717,AA649:AA4717=""Neighbor""))) / STDEV(FILTER(P649:P4717, AA649:AA4717 =""Neighbor"")), """")"),1.658440264472719)</f>
        <v>1.658440264</v>
      </c>
      <c r="AE649" s="2">
        <f>IFERROR(__xludf.DUMMYFUNCTION("IFERROR(ABS(Q649-AVERAGE(FILTER(Q649:Q4717,AA649:AA4717=""Neighbor""))) / STDEV(FILTER(Q649:Q4717, AA649:AA4717 =""Neighbor"")), """")"),1.0373285133615007)</f>
        <v>1.037328513</v>
      </c>
      <c r="AF649" s="2">
        <f>IFERROR(__xludf.DUMMYFUNCTION("IFERROR(ABS(R649-AVERAGE(FILTER(R649:R4717,AA649:AA4717=""Neighbor""))) / STDEV(FILTER(R649:R4717, AA649:AA4717 =""Neighbor"")), """")"),0.09730940275538247)</f>
        <v>0.09730940276</v>
      </c>
    </row>
    <row r="650">
      <c r="A650" s="2" t="s">
        <v>28</v>
      </c>
      <c r="B650" s="2" t="s">
        <v>2660</v>
      </c>
      <c r="C650" s="2" t="s">
        <v>2661</v>
      </c>
      <c r="D650" s="2" t="s">
        <v>2666</v>
      </c>
      <c r="E650" s="2" t="s">
        <v>2667</v>
      </c>
      <c r="F650" s="2">
        <v>151.0</v>
      </c>
      <c r="G650" s="2">
        <v>386.0</v>
      </c>
      <c r="H650" s="2" t="b">
        <v>1</v>
      </c>
      <c r="I650" s="2">
        <v>-1.0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s">
        <v>33</v>
      </c>
      <c r="O650" s="2">
        <v>78.0</v>
      </c>
      <c r="P650" s="2">
        <v>2.0</v>
      </c>
      <c r="Q650" s="2">
        <v>59.0</v>
      </c>
      <c r="R650" s="2">
        <v>1.0</v>
      </c>
      <c r="S650" s="3" t="s">
        <v>2668</v>
      </c>
      <c r="T650" s="2" t="s">
        <v>2669</v>
      </c>
      <c r="Y650" s="4" t="str">
        <f>IFERROR(__xludf.DUMMYFUNCTION("""COMPUTED_VALUE"""),"7.2432477")</f>
        <v>7.2432477</v>
      </c>
      <c r="Z650" s="4" t="str">
        <f>IFERROR(__xludf.DUMMYFUNCTION("""COMPUTED_VALUE"""),"3.0376979")</f>
        <v>3.0376979</v>
      </c>
      <c r="AA650" s="4" t="str">
        <f t="shared" si="1"/>
        <v>Not Neighbor</v>
      </c>
      <c r="AC650" s="4">
        <f>IFERROR(__xludf.DUMMYFUNCTION("IFERROR(ABS(O650-AVERAGE(FILTER(O650:O4718,AA650:AA4718=""Neighbor""))) / STDEV(FILTER(O650:O4718, AA650:AA4718 =""Neighbor"")), """")"),0.2919740095653581)</f>
        <v>0.2919740096</v>
      </c>
      <c r="AD650" s="4">
        <f>IFERROR(__xludf.DUMMYFUNCTION("IFERROR(ABS(P650-AVERAGE(FILTER(O650:P4718,AA650:AA4718=""Neighbor""))) / STDEV(FILTER(P650:P4718, AA650:AA4718 =""Neighbor"")), """")"),1.5767758883482053)</f>
        <v>1.576775888</v>
      </c>
      <c r="AE650" s="2">
        <f>IFERROR(__xludf.DUMMYFUNCTION("IFERROR(ABS(Q650-AVERAGE(FILTER(Q650:Q4718,AA650:AA4718=""Neighbor""))) / STDEV(FILTER(Q650:Q4718, AA650:AA4718 =""Neighbor"")), """")"),1.3643774333998153)</f>
        <v>1.364377433</v>
      </c>
      <c r="AF650" s="2">
        <f>IFERROR(__xludf.DUMMYFUNCTION("IFERROR(ABS(R650-AVERAGE(FILTER(R650:R4718,AA650:AA4718=""Neighbor""))) / STDEV(FILTER(R650:R4718, AA650:AA4718 =""Neighbor"")), """")"),0.08495467491863887)</f>
        <v>0.08495467492</v>
      </c>
    </row>
    <row r="651">
      <c r="A651" s="2" t="s">
        <v>28</v>
      </c>
      <c r="B651" s="2" t="s">
        <v>2660</v>
      </c>
      <c r="C651" s="2" t="s">
        <v>2661</v>
      </c>
      <c r="D651" s="2" t="s">
        <v>2670</v>
      </c>
      <c r="E651" s="2" t="s">
        <v>2671</v>
      </c>
      <c r="F651" s="2">
        <v>165.0</v>
      </c>
      <c r="G651" s="2">
        <v>431.0</v>
      </c>
      <c r="H651" s="2" t="b">
        <v>1</v>
      </c>
      <c r="I651" s="2">
        <v>-1.0</v>
      </c>
      <c r="J651" s="2" t="b">
        <v>0</v>
      </c>
      <c r="K651" s="2" t="b">
        <v>1</v>
      </c>
      <c r="L651" s="2" t="b">
        <v>0</v>
      </c>
      <c r="M651" s="2" t="b">
        <v>0</v>
      </c>
      <c r="N651" s="2" t="s">
        <v>33</v>
      </c>
      <c r="O651" s="2">
        <v>91.0</v>
      </c>
      <c r="P651" s="2">
        <v>12.0</v>
      </c>
      <c r="Q651" s="2">
        <v>48.0</v>
      </c>
      <c r="R651" s="2">
        <v>1.0</v>
      </c>
      <c r="S651" s="3" t="s">
        <v>2672</v>
      </c>
      <c r="T651" s="2" t="s">
        <v>2673</v>
      </c>
      <c r="Y651" s="4" t="str">
        <f>IFERROR(__xludf.DUMMYFUNCTION("""COMPUTED_VALUE"""),"7.2772662")</f>
        <v>7.2772662</v>
      </c>
      <c r="Z651" s="4" t="str">
        <f>IFERROR(__xludf.DUMMYFUNCTION("""COMPUTED_VALUE"""),"2.9575607")</f>
        <v>2.9575607</v>
      </c>
      <c r="AA651" s="4" t="str">
        <f t="shared" si="1"/>
        <v>Neighbor</v>
      </c>
      <c r="AC651" s="4">
        <f>IFERROR(__xludf.DUMMYFUNCTION("IFERROR(ABS(O651-AVERAGE(FILTER(O651:O4719,AA651:AA4719=""Neighbor""))) / STDEV(FILTER(O651:O4719, AA651:AA4719 =""Neighbor"")), """")"),0.5935448551566277)</f>
        <v>0.5935448552</v>
      </c>
      <c r="AD651" s="4">
        <f>IFERROR(__xludf.DUMMYFUNCTION("IFERROR(ABS(P651-AVERAGE(FILTER(O651:P4719,AA651:AA4719=""Neighbor""))) / STDEV(FILTER(P651:P4719, AA651:AA4719 =""Neighbor"")), """")"),1.168454007725637)</f>
        <v>1.168454008</v>
      </c>
      <c r="AE651" s="2">
        <f>IFERROR(__xludf.DUMMYFUNCTION("IFERROR(ABS(Q651-AVERAGE(FILTER(Q651:Q4719,AA651:AA4719=""Neighbor""))) / STDEV(FILTER(Q651:Q4719, AA651:AA4719 =""Neighbor"")), """")"),0.9166017484104173)</f>
        <v>0.9166017484</v>
      </c>
      <c r="AF651" s="2">
        <f>IFERROR(__xludf.DUMMYFUNCTION("IFERROR(ABS(R651-AVERAGE(FILTER(R651:R4719,AA651:AA4719=""Neighbor""))) / STDEV(FILTER(R651:R4719, AA651:AA4719 =""Neighbor"")), """")"),0.08495467491863887)</f>
        <v>0.08495467492</v>
      </c>
    </row>
    <row r="652">
      <c r="A652" s="2" t="s">
        <v>28</v>
      </c>
      <c r="B652" s="2" t="s">
        <v>2660</v>
      </c>
      <c r="C652" s="2" t="s">
        <v>2661</v>
      </c>
      <c r="D652" s="2" t="s">
        <v>2674</v>
      </c>
      <c r="E652" s="2" t="s">
        <v>2675</v>
      </c>
      <c r="F652" s="2">
        <v>215.0</v>
      </c>
      <c r="G652" s="2">
        <v>630.0</v>
      </c>
      <c r="H652" s="2" t="b">
        <v>1</v>
      </c>
      <c r="I652" s="2">
        <v>-1.0</v>
      </c>
      <c r="J652" s="2" t="b">
        <v>0</v>
      </c>
      <c r="K652" s="2" t="b">
        <v>0</v>
      </c>
      <c r="L652" s="2" t="b">
        <v>0</v>
      </c>
      <c r="M652" s="2" t="b">
        <v>0</v>
      </c>
      <c r="N652" s="2" t="s">
        <v>33</v>
      </c>
      <c r="O652" s="2">
        <v>122.0</v>
      </c>
      <c r="P652" s="2">
        <v>22.0</v>
      </c>
      <c r="Q652" s="2">
        <v>49.0</v>
      </c>
      <c r="R652" s="2">
        <v>4.0</v>
      </c>
      <c r="S652" s="3" t="s">
        <v>2676</v>
      </c>
      <c r="T652" s="2" t="s">
        <v>2677</v>
      </c>
      <c r="Y652" s="4" t="str">
        <f>IFERROR(__xludf.DUMMYFUNCTION("""COMPUTED_VALUE"""),"7.2772662")</f>
        <v>7.2772662</v>
      </c>
      <c r="Z652" s="4" t="str">
        <f>IFERROR(__xludf.DUMMYFUNCTION("""COMPUTED_VALUE"""),"2.9575607")</f>
        <v>2.9575607</v>
      </c>
      <c r="AA652" s="4" t="str">
        <f t="shared" si="1"/>
        <v>Not Neighbor</v>
      </c>
      <c r="AC652" s="4">
        <f>IFERROR(__xludf.DUMMYFUNCTION("IFERROR(ABS(O652-AVERAGE(FILTER(O652:O4720,AA652:AA4720=""Neighbor""))) / STDEV(FILTER(O652:O4720, AA652:AA4720 =""Neighbor"")), """")"),1.3127930298491965)</f>
        <v>1.31279303</v>
      </c>
      <c r="AD652" s="4">
        <f>IFERROR(__xludf.DUMMYFUNCTION("IFERROR(ABS(P652-AVERAGE(FILTER(O652:P4720,AA652:AA4720=""Neighbor""))) / STDEV(FILTER(P652:P4720, AA652:AA4720 =""Neighbor"")), """")"),0.7595620876900799)</f>
        <v>0.7595620877</v>
      </c>
      <c r="AE652" s="2">
        <f>IFERROR(__xludf.DUMMYFUNCTION("IFERROR(ABS(Q652-AVERAGE(FILTER(Q652:Q4720,AA652:AA4720=""Neighbor""))) / STDEV(FILTER(Q652:Q4720, AA652:AA4720 =""Neighbor"")), """")"),0.9578962346218547)</f>
        <v>0.9578962346</v>
      </c>
      <c r="AF652" s="2">
        <f>IFERROR(__xludf.DUMMYFUNCTION("IFERROR(ABS(R652-AVERAGE(FILTER(R652:R4720,AA652:AA4720=""Neighbor""))) / STDEV(FILTER(R652:R4720, AA652:AA4720 =""Neighbor"")), """")"),0.6315869618157779)</f>
        <v>0.6315869618</v>
      </c>
    </row>
    <row r="653">
      <c r="A653" s="2" t="s">
        <v>28</v>
      </c>
      <c r="B653" s="2" t="s">
        <v>2660</v>
      </c>
      <c r="C653" s="2" t="s">
        <v>2661</v>
      </c>
      <c r="D653" s="2" t="s">
        <v>2678</v>
      </c>
      <c r="E653" s="2" t="s">
        <v>2679</v>
      </c>
      <c r="F653" s="2">
        <v>155.0</v>
      </c>
      <c r="G653" s="2">
        <v>700.0</v>
      </c>
      <c r="H653" s="2" t="b">
        <v>1</v>
      </c>
      <c r="I653" s="2">
        <v>-1.0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s">
        <v>33</v>
      </c>
      <c r="O653" s="2">
        <v>0.0</v>
      </c>
      <c r="P653" s="2">
        <v>0.0</v>
      </c>
      <c r="Q653" s="2">
        <v>0.0</v>
      </c>
      <c r="R653" s="2">
        <v>0.0</v>
      </c>
      <c r="S653" s="3" t="s">
        <v>2680</v>
      </c>
      <c r="T653" s="2" t="s">
        <v>2681</v>
      </c>
      <c r="Y653" s="4" t="str">
        <f>IFERROR(__xludf.DUMMYFUNCTION("""COMPUTED_VALUE"""),"7.3056934")</f>
        <v>7.3056934</v>
      </c>
      <c r="Z653" s="4" t="str">
        <f>IFERROR(__xludf.DUMMYFUNCTION("""COMPUTED_VALUE"""),"2.9639645")</f>
        <v>2.9639645</v>
      </c>
      <c r="AA653" s="4" t="str">
        <f t="shared" si="1"/>
        <v>Not Neighbor</v>
      </c>
      <c r="AC653" s="4">
        <f>IFERROR(__xludf.DUMMYFUNCTION("IFERROR(ABS(O653-AVERAGE(FILTER(O653:O4721,AA653:AA4721=""Neighbor""))) / STDEV(FILTER(O653:O4721, AA653:AA4721 =""Neighbor"")), """")"),1.516692441433305)</f>
        <v>1.516692441</v>
      </c>
      <c r="AD653" s="4">
        <f>IFERROR(__xludf.DUMMYFUNCTION("IFERROR(ABS(P653-AVERAGE(FILTER(O653:P4721,AA653:AA4721=""Neighbor""))) / STDEV(FILTER(P653:P4721, AA653:AA4721 =""Neighbor"")), """")"),1.65756371409857)</f>
        <v>1.657563714</v>
      </c>
      <c r="AE653" s="2">
        <f>IFERROR(__xludf.DUMMYFUNCTION("IFERROR(ABS(Q653-AVERAGE(FILTER(Q653:Q4721,AA653:AA4721=""Neighbor""))) / STDEV(FILTER(Q653:Q4721, AA653:AA4721 =""Neighbor"")), """")"),1.03662977155767)</f>
        <v>1.036629772</v>
      </c>
      <c r="AF653" s="2">
        <f>IFERROR(__xludf.DUMMYFUNCTION("IFERROR(ABS(R653-AVERAGE(FILTER(R653:R4721,AA653:AA4721=""Neighbor""))) / STDEV(FILTER(R653:R4721, AA653:AA4721 =""Neighbor"")), """")"),0.0972162299506634)</f>
        <v>0.09721622995</v>
      </c>
    </row>
    <row r="654">
      <c r="A654" s="2" t="s">
        <v>28</v>
      </c>
      <c r="B654" s="2" t="s">
        <v>2660</v>
      </c>
      <c r="C654" s="2" t="s">
        <v>2661</v>
      </c>
      <c r="D654" s="2" t="s">
        <v>2682</v>
      </c>
      <c r="E654" s="2" t="s">
        <v>2683</v>
      </c>
      <c r="F654" s="2">
        <v>30.0</v>
      </c>
      <c r="G654" s="2">
        <v>322.0</v>
      </c>
      <c r="H654" s="2" t="b">
        <v>1</v>
      </c>
      <c r="I654" s="2">
        <v>-1.0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s">
        <v>33</v>
      </c>
      <c r="O654" s="2">
        <v>12.0</v>
      </c>
      <c r="P654" s="2">
        <v>0.0</v>
      </c>
      <c r="Q654" s="2">
        <v>17.0</v>
      </c>
      <c r="R654" s="2">
        <v>0.0</v>
      </c>
      <c r="S654" s="3" t="s">
        <v>2684</v>
      </c>
      <c r="T654" s="2" t="s">
        <v>2685</v>
      </c>
      <c r="Y654" s="4" t="str">
        <f>IFERROR(__xludf.DUMMYFUNCTION("""COMPUTED_VALUE"""),"7.2851495")</f>
        <v>7.2851495</v>
      </c>
      <c r="Z654" s="4" t="str">
        <f>IFERROR(__xludf.DUMMYFUNCTION("""COMPUTED_VALUE"""),"2.9366372")</f>
        <v>2.9366372</v>
      </c>
      <c r="AA654" s="4" t="str">
        <f t="shared" si="1"/>
        <v>Not Neighbor</v>
      </c>
      <c r="AC654" s="4">
        <f>IFERROR(__xludf.DUMMYFUNCTION("IFERROR(ABS(O654-AVERAGE(FILTER(O654:O4722,AA654:AA4722=""Neighbor""))) / STDEV(FILTER(O654:O4722, AA654:AA4722 =""Neighbor"")), """")"),1.2383823950776491)</f>
        <v>1.238382395</v>
      </c>
      <c r="AD654" s="4">
        <f>IFERROR(__xludf.DUMMYFUNCTION("IFERROR(ABS(P654-AVERAGE(FILTER(O654:P4722,AA654:AA4722=""Neighbor""))) / STDEV(FILTER(P654:P4722, AA654:AA4722 =""Neighbor"")), """")"),1.65756371409857)</f>
        <v>1.657563714</v>
      </c>
      <c r="AE654" s="2">
        <f>IFERROR(__xludf.DUMMYFUNCTION("IFERROR(ABS(Q654-AVERAGE(FILTER(Q654:Q4722,AA654:AA4722=""Neighbor""))) / STDEV(FILTER(Q654:Q4722, AA654:AA4722 =""Neighbor"")), """")"),0.3446513612504879)</f>
        <v>0.3446513613</v>
      </c>
      <c r="AF654" s="2">
        <f>IFERROR(__xludf.DUMMYFUNCTION("IFERROR(ABS(R654-AVERAGE(FILTER(R654:R4722,AA654:AA4722=""Neighbor""))) / STDEV(FILTER(R654:R4722, AA654:AA4722 =""Neighbor"")), """")"),0.0972162299506634)</f>
        <v>0.09721622995</v>
      </c>
    </row>
    <row r="655">
      <c r="A655" s="2" t="s">
        <v>28</v>
      </c>
      <c r="B655" s="2" t="s">
        <v>2660</v>
      </c>
      <c r="C655" s="2" t="s">
        <v>2661</v>
      </c>
      <c r="D655" s="2" t="s">
        <v>2686</v>
      </c>
      <c r="E655" s="2" t="s">
        <v>2687</v>
      </c>
      <c r="F655" s="2">
        <v>114.0</v>
      </c>
      <c r="G655" s="2">
        <v>237.0</v>
      </c>
      <c r="H655" s="2" t="b">
        <v>1</v>
      </c>
      <c r="I655" s="2">
        <v>-1.0</v>
      </c>
      <c r="J655" s="2" t="b">
        <v>1</v>
      </c>
      <c r="K655" s="2" t="b">
        <v>0</v>
      </c>
      <c r="L655" s="2" t="b">
        <v>0</v>
      </c>
      <c r="M655" s="2" t="b">
        <v>0</v>
      </c>
      <c r="N655" s="2" t="s">
        <v>33</v>
      </c>
      <c r="O655" s="2">
        <v>44.0</v>
      </c>
      <c r="P655" s="2">
        <v>4.0</v>
      </c>
      <c r="Q655" s="2">
        <v>22.0</v>
      </c>
      <c r="R655" s="2">
        <v>0.0</v>
      </c>
      <c r="S655" s="3" t="s">
        <v>2688</v>
      </c>
      <c r="T655" s="2" t="s">
        <v>2689</v>
      </c>
      <c r="Y655" s="4" t="str">
        <f>IFERROR(__xludf.DUMMYFUNCTION("""COMPUTED_VALUE"""),"8.6410019")</f>
        <v>8.6410019</v>
      </c>
      <c r="Z655" s="4" t="str">
        <f>IFERROR(__xludf.DUMMYFUNCTION("""COMPUTED_VALUE"""),"4.185057")</f>
        <v>4.185057</v>
      </c>
      <c r="AA655" s="4" t="str">
        <f t="shared" si="1"/>
        <v>Not Neighbor</v>
      </c>
      <c r="AC655" s="4">
        <f>IFERROR(__xludf.DUMMYFUNCTION("IFERROR(ABS(O655-AVERAGE(FILTER(O655:O4723,AA655:AA4723=""Neighbor""))) / STDEV(FILTER(O655:O4723, AA655:AA4723 =""Neighbor"")), """")"),0.4962222714625667)</f>
        <v>0.4962222715</v>
      </c>
      <c r="AD655" s="4">
        <f>IFERROR(__xludf.DUMMYFUNCTION("IFERROR(ABS(P655-AVERAGE(FILTER(O655:P4723,AA655:AA4723=""Neighbor""))) / STDEV(FILTER(P655:P4723, AA655:AA4723 =""Neighbor"")), """")"),1.494290691115208)</f>
        <v>1.494290691</v>
      </c>
      <c r="AE655" s="2">
        <f>IFERROR(__xludf.DUMMYFUNCTION("IFERROR(ABS(Q655-AVERAGE(FILTER(Q655:Q4723,AA655:AA4723=""Neighbor""))) / STDEV(FILTER(Q655:Q4723, AA655:AA4723 =""Neighbor"")), """")"),0.14112829939543436)</f>
        <v>0.1411282994</v>
      </c>
      <c r="AF655" s="2">
        <f>IFERROR(__xludf.DUMMYFUNCTION("IFERROR(ABS(R655-AVERAGE(FILTER(R655:R4723,AA655:AA4723=""Neighbor""))) / STDEV(FILTER(R655:R4723, AA655:AA4723 =""Neighbor"")), """")"),0.0972162299506634)</f>
        <v>0.09721622995</v>
      </c>
    </row>
    <row r="656">
      <c r="A656" s="2" t="s">
        <v>28</v>
      </c>
      <c r="B656" s="2" t="s">
        <v>2660</v>
      </c>
      <c r="C656" s="2" t="s">
        <v>2661</v>
      </c>
      <c r="D656" s="2" t="s">
        <v>2690</v>
      </c>
      <c r="E656" s="2" t="s">
        <v>2691</v>
      </c>
      <c r="F656" s="2">
        <v>68.0</v>
      </c>
      <c r="G656" s="2">
        <v>404.0</v>
      </c>
      <c r="H656" s="2" t="b">
        <v>1</v>
      </c>
      <c r="I656" s="2">
        <v>-1.0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s">
        <v>33</v>
      </c>
      <c r="O656" s="2">
        <v>49.0</v>
      </c>
      <c r="P656" s="2">
        <v>0.0</v>
      </c>
      <c r="Q656" s="2">
        <v>15.0</v>
      </c>
      <c r="R656" s="2">
        <v>0.0</v>
      </c>
      <c r="S656" s="3" t="s">
        <v>2692</v>
      </c>
      <c r="T656" s="2" t="s">
        <v>2693</v>
      </c>
      <c r="Y656" s="4" t="str">
        <f>IFERROR(__xludf.DUMMYFUNCTION("""COMPUTED_VALUE"""),"7.3008207")</f>
        <v>7.3008207</v>
      </c>
      <c r="Z656" s="4" t="str">
        <f>IFERROR(__xludf.DUMMYFUNCTION("""COMPUTED_VALUE"""),"2.9097937")</f>
        <v>2.9097937</v>
      </c>
      <c r="AA656" s="4" t="str">
        <f t="shared" si="1"/>
        <v>Not Neighbor</v>
      </c>
      <c r="AC656" s="4">
        <f>IFERROR(__xludf.DUMMYFUNCTION("IFERROR(ABS(O656-AVERAGE(FILTER(O656:O4724,AA656:AA4724=""Neighbor""))) / STDEV(FILTER(O656:O4724, AA656:AA4724 =""Neighbor"")), """")"),0.38025975214771013)</f>
        <v>0.3802597521</v>
      </c>
      <c r="AD656" s="4">
        <f>IFERROR(__xludf.DUMMYFUNCTION("IFERROR(ABS(P656-AVERAGE(FILTER(O656:P4724,AA656:AA4724=""Neighbor""))) / STDEV(FILTER(P656:P4724, AA656:AA4724 =""Neighbor"")), """")"),1.65756371409857)</f>
        <v>1.657563714</v>
      </c>
      <c r="AE656" s="2">
        <f>IFERROR(__xludf.DUMMYFUNCTION("IFERROR(ABS(Q656-AVERAGE(FILTER(Q656:Q4724,AA656:AA4724=""Neighbor""))) / STDEV(FILTER(Q656:Q4724, AA656:AA4724 =""Neighbor"")), """")"),0.4260605859925093)</f>
        <v>0.426060586</v>
      </c>
      <c r="AF656" s="2">
        <f>IFERROR(__xludf.DUMMYFUNCTION("IFERROR(ABS(R656-AVERAGE(FILTER(R656:R4724,AA656:AA4724=""Neighbor""))) / STDEV(FILTER(R656:R4724, AA656:AA4724 =""Neighbor"")), """")"),0.0972162299506634)</f>
        <v>0.09721622995</v>
      </c>
    </row>
    <row r="657">
      <c r="A657" s="2" t="s">
        <v>28</v>
      </c>
      <c r="B657" s="2" t="s">
        <v>2660</v>
      </c>
      <c r="C657" s="2" t="s">
        <v>2661</v>
      </c>
      <c r="D657" s="2" t="s">
        <v>2694</v>
      </c>
      <c r="E657" s="2" t="s">
        <v>2695</v>
      </c>
      <c r="F657" s="2">
        <v>107.0</v>
      </c>
      <c r="G657" s="2">
        <v>372.0</v>
      </c>
      <c r="H657" s="2" t="b">
        <v>1</v>
      </c>
      <c r="I657" s="2">
        <v>-1.0</v>
      </c>
      <c r="J657" s="2" t="b">
        <v>0</v>
      </c>
      <c r="K657" s="2" t="b">
        <v>0</v>
      </c>
      <c r="L657" s="2" t="b">
        <v>0</v>
      </c>
      <c r="M657" s="2" t="b">
        <v>0</v>
      </c>
      <c r="N657" s="2" t="s">
        <v>33</v>
      </c>
      <c r="O657" s="2">
        <v>72.0</v>
      </c>
      <c r="P657" s="2">
        <v>1.0</v>
      </c>
      <c r="Q657" s="2">
        <v>24.0</v>
      </c>
      <c r="R657" s="2">
        <v>0.0</v>
      </c>
      <c r="S657" s="3" t="s">
        <v>2696</v>
      </c>
      <c r="T657" s="2" t="s">
        <v>2697</v>
      </c>
      <c r="Y657" s="4" t="str">
        <f>IFERROR(__xludf.DUMMYFUNCTION("""COMPUTED_VALUE"""),"7.2902026")</f>
        <v>7.2902026</v>
      </c>
      <c r="Z657" s="4" t="str">
        <f>IFERROR(__xludf.DUMMYFUNCTION("""COMPUTED_VALUE"""),"3.037094")</f>
        <v>3.037094</v>
      </c>
      <c r="AA657" s="4" t="str">
        <f t="shared" si="1"/>
        <v>Not Neighbor</v>
      </c>
      <c r="AC657" s="4">
        <f>IFERROR(__xludf.DUMMYFUNCTION("IFERROR(ABS(O657-AVERAGE(FILTER(O657:O4725,AA657:AA4725=""Neighbor""))) / STDEV(FILTER(O657:O4725, AA657:AA4725 =""Neighbor"")), """")"),0.15316783670063036)</f>
        <v>0.1531678367</v>
      </c>
      <c r="AD657" s="4">
        <f>IFERROR(__xludf.DUMMYFUNCTION("IFERROR(ABS(P657-AVERAGE(FILTER(O657:P4725,AA657:AA4725=""Neighbor""))) / STDEV(FILTER(P657:P4725, AA657:AA4725 =""Neighbor"")), """")"),1.6167454583527294)</f>
        <v>1.616745458</v>
      </c>
      <c r="AE657" s="2">
        <f>IFERROR(__xludf.DUMMYFUNCTION("IFERROR(ABS(Q657-AVERAGE(FILTER(Q657:Q4725,AA657:AA4725=""Neighbor""))) / STDEV(FILTER(Q657:Q4725, AA657:AA4725 =""Neighbor"")), """")"),0.059719074653412946)</f>
        <v>0.05971907465</v>
      </c>
      <c r="AF657" s="2">
        <f>IFERROR(__xludf.DUMMYFUNCTION("IFERROR(ABS(R657-AVERAGE(FILTER(R657:R4725,AA657:AA4725=""Neighbor""))) / STDEV(FILTER(R657:R4725, AA657:AA4725 =""Neighbor"")), """")"),0.0972162299506634)</f>
        <v>0.09721622995</v>
      </c>
    </row>
    <row r="658">
      <c r="A658" s="2" t="s">
        <v>28</v>
      </c>
      <c r="B658" s="2" t="s">
        <v>2660</v>
      </c>
      <c r="C658" s="2" t="s">
        <v>2661</v>
      </c>
      <c r="D658" s="2" t="s">
        <v>2698</v>
      </c>
      <c r="E658" s="2" t="s">
        <v>2699</v>
      </c>
      <c r="F658" s="2">
        <v>108.0</v>
      </c>
      <c r="G658" s="2">
        <v>265.0</v>
      </c>
      <c r="H658" s="2" t="b">
        <v>1</v>
      </c>
      <c r="I658" s="2">
        <v>-1.0</v>
      </c>
      <c r="J658" s="2" t="b">
        <v>0</v>
      </c>
      <c r="K658" s="2" t="b">
        <v>0</v>
      </c>
      <c r="L658" s="2" t="b">
        <v>0</v>
      </c>
      <c r="M658" s="2" t="b">
        <v>0</v>
      </c>
      <c r="N658" s="2" t="s">
        <v>33</v>
      </c>
      <c r="O658" s="2">
        <v>75.0</v>
      </c>
      <c r="P658" s="2">
        <v>0.0</v>
      </c>
      <c r="Q658" s="2">
        <v>21.0</v>
      </c>
      <c r="R658" s="2">
        <v>0.0</v>
      </c>
      <c r="S658" s="3" t="s">
        <v>2700</v>
      </c>
      <c r="T658" s="2" t="s">
        <v>2701</v>
      </c>
      <c r="Y658" s="4" t="str">
        <f>IFERROR(__xludf.DUMMYFUNCTION("""COMPUTED_VALUE"""),"7.2772662")</f>
        <v>7.2772662</v>
      </c>
      <c r="Z658" s="4" t="str">
        <f>IFERROR(__xludf.DUMMYFUNCTION("""COMPUTED_VALUE"""),"2.9575607")</f>
        <v>2.9575607</v>
      </c>
      <c r="AA658" s="4" t="str">
        <f t="shared" si="1"/>
        <v>Not Neighbor</v>
      </c>
      <c r="AC658" s="4">
        <f>IFERROR(__xludf.DUMMYFUNCTION("IFERROR(ABS(O658-AVERAGE(FILTER(O658:O4726,AA658:AA4726=""Neighbor""))) / STDEV(FILTER(O658:O4726, AA658:AA4726 =""Neighbor"")), """")"),0.22274534828954434)</f>
        <v>0.2227453483</v>
      </c>
      <c r="AD658" s="4">
        <f>IFERROR(__xludf.DUMMYFUNCTION("IFERROR(ABS(P658-AVERAGE(FILTER(O658:P4726,AA658:AA4726=""Neighbor""))) / STDEV(FILTER(P658:P4726, AA658:AA4726 =""Neighbor"")), """")"),1.65756371409857)</f>
        <v>1.657563714</v>
      </c>
      <c r="AE658" s="2">
        <f>IFERROR(__xludf.DUMMYFUNCTION("IFERROR(ABS(Q658-AVERAGE(FILTER(Q658:Q4726,AA658:AA4726=""Neighbor""))) / STDEV(FILTER(Q658:Q4726, AA658:AA4726 =""Neighbor"")), """")"),0.18183291176644506)</f>
        <v>0.1818329118</v>
      </c>
      <c r="AF658" s="2">
        <f>IFERROR(__xludf.DUMMYFUNCTION("IFERROR(ABS(R658-AVERAGE(FILTER(R658:R4726,AA658:AA4726=""Neighbor""))) / STDEV(FILTER(R658:R4726, AA658:AA4726 =""Neighbor"")), """")"),0.0972162299506634)</f>
        <v>0.09721622995</v>
      </c>
    </row>
    <row r="659">
      <c r="A659" s="2" t="s">
        <v>28</v>
      </c>
      <c r="B659" s="2" t="s">
        <v>2660</v>
      </c>
      <c r="C659" s="2" t="s">
        <v>2661</v>
      </c>
      <c r="D659" s="2" t="s">
        <v>2702</v>
      </c>
      <c r="E659" s="2" t="s">
        <v>2703</v>
      </c>
      <c r="F659" s="2">
        <v>89.0</v>
      </c>
      <c r="G659" s="2">
        <v>425.0</v>
      </c>
      <c r="H659" s="2" t="b">
        <v>1</v>
      </c>
      <c r="I659" s="2">
        <v>-1.0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s">
        <v>33</v>
      </c>
      <c r="O659" s="2">
        <v>28.0</v>
      </c>
      <c r="P659" s="2">
        <v>2.0</v>
      </c>
      <c r="Q659" s="2">
        <v>51.0</v>
      </c>
      <c r="R659" s="2">
        <v>0.0</v>
      </c>
      <c r="S659" s="3" t="s">
        <v>2704</v>
      </c>
      <c r="T659" s="2" t="s">
        <v>2705</v>
      </c>
      <c r="Y659" s="4" t="str">
        <f>IFERROR(__xludf.DUMMYFUNCTION("""COMPUTED_VALUE"""),"7.3434744")</f>
        <v>7.3434744</v>
      </c>
      <c r="Z659" s="4" t="str">
        <f>IFERROR(__xludf.DUMMYFUNCTION("""COMPUTED_VALUE"""),"2.9595911")</f>
        <v>2.9595911</v>
      </c>
      <c r="AA659" s="4" t="str">
        <f t="shared" si="1"/>
        <v>Not Neighbor</v>
      </c>
      <c r="AC659" s="4">
        <f>IFERROR(__xludf.DUMMYFUNCTION("IFERROR(ABS(O659-AVERAGE(FILTER(O659:O4727,AA659:AA4727=""Neighbor""))) / STDEV(FILTER(O659:O4727, AA659:AA4727 =""Neighbor"")), """")"),0.867302333270108)</f>
        <v>0.8673023333</v>
      </c>
      <c r="AD659" s="4">
        <f>IFERROR(__xludf.DUMMYFUNCTION("IFERROR(ABS(P659-AVERAGE(FILTER(O659:P4727,AA659:AA4727=""Neighbor""))) / STDEV(FILTER(P659:P4727, AA659:AA4727 =""Neighbor"")), """")"),1.575927202606889)</f>
        <v>1.575927203</v>
      </c>
      <c r="AE659" s="2">
        <f>IFERROR(__xludf.DUMMYFUNCTION("IFERROR(ABS(Q659-AVERAGE(FILTER(Q659:Q4727,AA659:AA4727=""Neighbor""))) / STDEV(FILTER(Q659:Q4727, AA659:AA4727 =""Neighbor"")), """")"),1.0393054593638762)</f>
        <v>1.039305459</v>
      </c>
      <c r="AF659" s="2">
        <f>IFERROR(__xludf.DUMMYFUNCTION("IFERROR(ABS(R659-AVERAGE(FILTER(R659:R4727,AA659:AA4727=""Neighbor""))) / STDEV(FILTER(R659:R4727, AA659:AA4727 =""Neighbor"")), """")"),0.0972162299506634)</f>
        <v>0.09721622995</v>
      </c>
    </row>
    <row r="660">
      <c r="A660" s="2" t="s">
        <v>28</v>
      </c>
      <c r="B660" s="2" t="s">
        <v>2660</v>
      </c>
      <c r="C660" s="2" t="s">
        <v>2661</v>
      </c>
      <c r="D660" s="2" t="s">
        <v>2706</v>
      </c>
      <c r="E660" s="2" t="s">
        <v>2707</v>
      </c>
      <c r="F660" s="2">
        <v>197.0</v>
      </c>
      <c r="G660" s="2">
        <v>1211.0</v>
      </c>
      <c r="H660" s="2" t="b">
        <v>1</v>
      </c>
      <c r="I660" s="2">
        <v>-1.0</v>
      </c>
      <c r="J660" s="2" t="b">
        <v>0</v>
      </c>
      <c r="K660" s="2" t="b">
        <v>0</v>
      </c>
      <c r="L660" s="2" t="b">
        <v>0</v>
      </c>
      <c r="M660" s="2" t="b">
        <v>0</v>
      </c>
      <c r="N660" s="2" t="s">
        <v>33</v>
      </c>
      <c r="O660" s="2">
        <v>127.0</v>
      </c>
      <c r="P660" s="2">
        <v>7.0</v>
      </c>
      <c r="Q660" s="2">
        <v>0.0</v>
      </c>
      <c r="R660" s="2">
        <v>56.0</v>
      </c>
      <c r="S660" s="3" t="s">
        <v>2708</v>
      </c>
      <c r="T660" s="2" t="s">
        <v>2709</v>
      </c>
      <c r="Y660" s="4" t="str">
        <f>IFERROR(__xludf.DUMMYFUNCTION("""COMPUTED_VALUE"""),"7.3100939")</f>
        <v>7.3100939</v>
      </c>
      <c r="Z660" s="4" t="str">
        <f>IFERROR(__xludf.DUMMYFUNCTION("""COMPUTED_VALUE"""),"3.0624718")</f>
        <v>3.0624718</v>
      </c>
      <c r="AA660" s="4" t="str">
        <f t="shared" si="1"/>
        <v>Not Neighbor</v>
      </c>
      <c r="AC660" s="4">
        <f>IFERROR(__xludf.DUMMYFUNCTION("IFERROR(ABS(O660-AVERAGE(FILTER(O660:O4728,AA660:AA4728=""Neighbor""))) / STDEV(FILTER(O660:O4728, AA660:AA4728 =""Neighbor"")), """")"),1.4287555491640531)</f>
        <v>1.428755549</v>
      </c>
      <c r="AD660" s="4">
        <f>IFERROR(__xludf.DUMMYFUNCTION("IFERROR(ABS(P660-AVERAGE(FILTER(O660:P4728,AA660:AA4728=""Neighbor""))) / STDEV(FILTER(P660:P4728, AA660:AA4728 =""Neighbor"")), """")"),1.3718359238776867)</f>
        <v>1.371835924</v>
      </c>
      <c r="AE660" s="2">
        <f>IFERROR(__xludf.DUMMYFUNCTION("IFERROR(ABS(Q660-AVERAGE(FILTER(Q660:Q4728,AA660:AA4728=""Neighbor""))) / STDEV(FILTER(Q660:Q4728, AA660:AA4728 =""Neighbor"")), """")"),1.03662977155767)</f>
        <v>1.036629772</v>
      </c>
      <c r="AF660" s="2">
        <f>IFERROR(__xludf.DUMMYFUNCTION("IFERROR(ABS(R660-AVERAGE(FILTER(R660:R4728,AA660:AA4728=""Neighbor""))) / STDEV(FILTER(R660:R4728, AA660:AA4728 =""Neighbor"")), """")"),10.106028454779514)</f>
        <v>10.10602845</v>
      </c>
    </row>
    <row r="661">
      <c r="A661" s="2" t="s">
        <v>28</v>
      </c>
      <c r="B661" s="2" t="s">
        <v>2660</v>
      </c>
      <c r="C661" s="2" t="s">
        <v>2661</v>
      </c>
      <c r="D661" s="2" t="s">
        <v>2710</v>
      </c>
      <c r="E661" s="2" t="s">
        <v>2711</v>
      </c>
      <c r="F661" s="2">
        <v>145.0</v>
      </c>
      <c r="G661" s="2">
        <v>304.0</v>
      </c>
      <c r="H661" s="2" t="b">
        <v>1</v>
      </c>
      <c r="I661" s="2">
        <v>-1.0</v>
      </c>
      <c r="J661" s="2" t="b">
        <v>1</v>
      </c>
      <c r="K661" s="2" t="b">
        <v>0</v>
      </c>
      <c r="L661" s="2" t="b">
        <v>0</v>
      </c>
      <c r="M661" s="2" t="b">
        <v>0</v>
      </c>
      <c r="N661" s="2" t="s">
        <v>33</v>
      </c>
      <c r="O661" s="2">
        <v>76.0</v>
      </c>
      <c r="P661" s="2">
        <v>15.0</v>
      </c>
      <c r="Q661" s="2">
        <v>48.0</v>
      </c>
      <c r="R661" s="2">
        <v>0.0</v>
      </c>
      <c r="S661" s="3" t="s">
        <v>2712</v>
      </c>
      <c r="T661" s="2" t="s">
        <v>2713</v>
      </c>
      <c r="Y661" s="4" t="str">
        <f>IFERROR(__xludf.DUMMYFUNCTION("""COMPUTED_VALUE"""),"7.2772662")</f>
        <v>7.2772662</v>
      </c>
      <c r="Z661" s="4" t="str">
        <f>IFERROR(__xludf.DUMMYFUNCTION("""COMPUTED_VALUE"""),"2.9575607")</f>
        <v>2.9575607</v>
      </c>
      <c r="AA661" s="4" t="str">
        <f t="shared" si="1"/>
        <v>Not Neighbor</v>
      </c>
      <c r="AC661" s="4">
        <f>IFERROR(__xludf.DUMMYFUNCTION("IFERROR(ABS(O661-AVERAGE(FILTER(O661:O4729,AA661:AA4729=""Neighbor""))) / STDEV(FILTER(O661:O4729, AA661:AA4729 =""Neighbor"")), """")"),0.24593785215251565)</f>
        <v>0.2459378522</v>
      </c>
      <c r="AD661" s="4">
        <f>IFERROR(__xludf.DUMMYFUNCTION("IFERROR(ABS(P661-AVERAGE(FILTER(O661:P4729,AA661:AA4729=""Neighbor""))) / STDEV(FILTER(P661:P4729, AA661:AA4729 =""Neighbor"")), """")"),1.0452898779109632)</f>
        <v>1.045289878</v>
      </c>
      <c r="AE661" s="2">
        <f>IFERROR(__xludf.DUMMYFUNCTION("IFERROR(ABS(Q661-AVERAGE(FILTER(Q661:Q4729,AA661:AA4729=""Neighbor""))) / STDEV(FILTER(Q661:Q4729, AA661:AA4729 =""Neighbor"")), """")"),0.917191622250844)</f>
        <v>0.9171916223</v>
      </c>
      <c r="AF661" s="2">
        <f>IFERROR(__xludf.DUMMYFUNCTION("IFERROR(ABS(R661-AVERAGE(FILTER(R661:R4729,AA661:AA4729=""Neighbor""))) / STDEV(FILTER(R661:R4729, AA661:AA4729 =""Neighbor"")), """")"),0.0972162299506634)</f>
        <v>0.09721622995</v>
      </c>
    </row>
    <row r="662">
      <c r="A662" s="2" t="s">
        <v>28</v>
      </c>
      <c r="B662" s="2" t="s">
        <v>2660</v>
      </c>
      <c r="C662" s="2" t="s">
        <v>2661</v>
      </c>
      <c r="D662" s="2" t="s">
        <v>2714</v>
      </c>
      <c r="E662" s="2" t="s">
        <v>2715</v>
      </c>
      <c r="F662" s="2">
        <v>129.0</v>
      </c>
      <c r="G662" s="2">
        <v>465.0</v>
      </c>
      <c r="H662" s="2" t="b">
        <v>1</v>
      </c>
      <c r="I662" s="2">
        <v>-1.0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s">
        <v>33</v>
      </c>
      <c r="O662" s="2">
        <v>72.0</v>
      </c>
      <c r="P662" s="2">
        <v>4.0</v>
      </c>
      <c r="Q662" s="2">
        <v>33.0</v>
      </c>
      <c r="R662" s="2">
        <v>0.0</v>
      </c>
      <c r="S662" s="3" t="s">
        <v>2716</v>
      </c>
      <c r="T662" s="2" t="s">
        <v>2717</v>
      </c>
      <c r="Y662" s="4" t="str">
        <f>IFERROR(__xludf.DUMMYFUNCTION("""COMPUTED_VALUE"""),"7.3223927")</f>
        <v>7.3223927</v>
      </c>
      <c r="Z662" s="4" t="str">
        <f>IFERROR(__xludf.DUMMYFUNCTION("""COMPUTED_VALUE"""),"2.9998259")</f>
        <v>2.9998259</v>
      </c>
      <c r="AA662" s="4" t="str">
        <f t="shared" si="1"/>
        <v>Not Neighbor</v>
      </c>
      <c r="AC662" s="4">
        <f>IFERROR(__xludf.DUMMYFUNCTION("IFERROR(ABS(O662-AVERAGE(FILTER(O662:O4730,AA662:AA4730=""Neighbor""))) / STDEV(FILTER(O662:O4730, AA662:AA4730 =""Neighbor"")), """")"),0.15316783670063036)</f>
        <v>0.1531678367</v>
      </c>
      <c r="AD662" s="4">
        <f>IFERROR(__xludf.DUMMYFUNCTION("IFERROR(ABS(P662-AVERAGE(FILTER(O662:P4730,AA662:AA4730=""Neighbor""))) / STDEV(FILTER(P662:P4730, AA662:AA4730 =""Neighbor"")), """")"),1.494290691115208)</f>
        <v>1.494290691</v>
      </c>
      <c r="AE662" s="2">
        <f>IFERROR(__xludf.DUMMYFUNCTION("IFERROR(ABS(Q662-AVERAGE(FILTER(Q662:Q4730,AA662:AA4730=""Neighbor""))) / STDEV(FILTER(Q662:Q4730, AA662:AA4730 =""Neighbor"")), """")"),0.3066224366856834)</f>
        <v>0.3066224367</v>
      </c>
      <c r="AF662" s="2">
        <f>IFERROR(__xludf.DUMMYFUNCTION("IFERROR(ABS(R662-AVERAGE(FILTER(R662:R4730,AA662:AA4730=""Neighbor""))) / STDEV(FILTER(R662:R4730, AA662:AA4730 =""Neighbor"")), """")"),0.0972162299506634)</f>
        <v>0.09721622995</v>
      </c>
    </row>
    <row r="663">
      <c r="A663" s="2" t="s">
        <v>28</v>
      </c>
      <c r="B663" s="2" t="s">
        <v>2660</v>
      </c>
      <c r="C663" s="2" t="s">
        <v>2661</v>
      </c>
      <c r="D663" s="2" t="s">
        <v>2718</v>
      </c>
      <c r="E663" s="2" t="s">
        <v>2719</v>
      </c>
      <c r="F663" s="2">
        <v>145.0</v>
      </c>
      <c r="G663" s="2">
        <v>337.0</v>
      </c>
      <c r="H663" s="2" t="b">
        <v>1</v>
      </c>
      <c r="I663" s="2">
        <v>-1.0</v>
      </c>
      <c r="J663" s="2" t="b">
        <v>0</v>
      </c>
      <c r="K663" s="2" t="b">
        <v>1</v>
      </c>
      <c r="L663" s="2" t="b">
        <v>0</v>
      </c>
      <c r="M663" s="2" t="b">
        <v>0</v>
      </c>
      <c r="N663" s="2" t="s">
        <v>33</v>
      </c>
      <c r="O663" s="2">
        <v>89.0</v>
      </c>
      <c r="P663" s="2">
        <v>7.0</v>
      </c>
      <c r="Q663" s="2">
        <v>42.0</v>
      </c>
      <c r="R663" s="2">
        <v>0.0</v>
      </c>
      <c r="S663" s="3" t="s">
        <v>2720</v>
      </c>
      <c r="T663" s="2" t="s">
        <v>2721</v>
      </c>
      <c r="Y663" s="4" t="str">
        <f>IFERROR(__xludf.DUMMYFUNCTION("""COMPUTED_VALUE"""),"7.2641918")</f>
        <v>7.2641918</v>
      </c>
      <c r="Z663" s="4" t="str">
        <f>IFERROR(__xludf.DUMMYFUNCTION("""COMPUTED_VALUE"""),"2.9669857")</f>
        <v>2.9669857</v>
      </c>
      <c r="AA663" s="4" t="str">
        <f t="shared" si="1"/>
        <v>Not Neighbor</v>
      </c>
      <c r="AC663" s="4">
        <f>IFERROR(__xludf.DUMMYFUNCTION("IFERROR(ABS(O663-AVERAGE(FILTER(O663:O4731,AA663:AA4731=""Neighbor""))) / STDEV(FILTER(O663:O4731, AA663:AA4731 =""Neighbor"")), """")"),0.5474404023711429)</f>
        <v>0.5474404024</v>
      </c>
      <c r="AD663" s="4">
        <f>IFERROR(__xludf.DUMMYFUNCTION("IFERROR(ABS(P663-AVERAGE(FILTER(O663:P4731,AA663:AA4731=""Neighbor""))) / STDEV(FILTER(P663:P4731, AA663:AA4731 =""Neighbor"")), """")"),1.3718359238776867)</f>
        <v>1.371835924</v>
      </c>
      <c r="AE663" s="2">
        <f>IFERROR(__xludf.DUMMYFUNCTION("IFERROR(ABS(Q663-AVERAGE(FILTER(Q663:Q4731,AA663:AA4731=""Neighbor""))) / STDEV(FILTER(Q663:Q4731, AA663:AA4731 =""Neighbor"")), """")"),0.6729639480247798)</f>
        <v>0.672963948</v>
      </c>
      <c r="AF663" s="2">
        <f>IFERROR(__xludf.DUMMYFUNCTION("IFERROR(ABS(R663-AVERAGE(FILTER(R663:R4731,AA663:AA4731=""Neighbor""))) / STDEV(FILTER(R663:R4731, AA663:AA4731 =""Neighbor"")), """")"),0.0972162299506634)</f>
        <v>0.09721622995</v>
      </c>
    </row>
    <row r="664">
      <c r="A664" s="2" t="s">
        <v>28</v>
      </c>
      <c r="B664" s="2" t="s">
        <v>2660</v>
      </c>
      <c r="C664" s="2" t="s">
        <v>2661</v>
      </c>
      <c r="D664" s="2" t="s">
        <v>2722</v>
      </c>
      <c r="E664" s="2" t="s">
        <v>2723</v>
      </c>
      <c r="F664" s="2">
        <v>131.0</v>
      </c>
      <c r="G664" s="2">
        <v>550.0</v>
      </c>
      <c r="H664" s="2" t="b">
        <v>1</v>
      </c>
      <c r="I664" s="2">
        <v>-1.0</v>
      </c>
      <c r="J664" s="2" t="b">
        <v>1</v>
      </c>
      <c r="K664" s="2" t="b">
        <v>0</v>
      </c>
      <c r="L664" s="2" t="b">
        <v>0</v>
      </c>
      <c r="M664" s="2" t="b">
        <v>0</v>
      </c>
      <c r="N664" s="2" t="s">
        <v>33</v>
      </c>
      <c r="O664" s="2">
        <v>87.0</v>
      </c>
      <c r="P664" s="2">
        <v>10.0</v>
      </c>
      <c r="Q664" s="2">
        <v>25.0</v>
      </c>
      <c r="R664" s="2">
        <v>1.0</v>
      </c>
      <c r="S664" s="3" t="s">
        <v>2724</v>
      </c>
      <c r="T664" s="2" t="s">
        <v>2725</v>
      </c>
      <c r="Y664" s="4" t="str">
        <f>IFERROR(__xludf.DUMMYFUNCTION("""COMPUTED_VALUE"""),"7.261454")</f>
        <v>7.261454</v>
      </c>
      <c r="Z664" s="4" t="str">
        <f>IFERROR(__xludf.DUMMYFUNCTION("""COMPUTED_VALUE"""),"3.0585481")</f>
        <v>3.0585481</v>
      </c>
      <c r="AA664" s="4" t="str">
        <f t="shared" si="1"/>
        <v>Not Neighbor</v>
      </c>
      <c r="AC664" s="4">
        <f>IFERROR(__xludf.DUMMYFUNCTION("IFERROR(ABS(O664-AVERAGE(FILTER(O664:O4732,AA664:AA4732=""Neighbor""))) / STDEV(FILTER(O664:O4732, AA664:AA4732 =""Neighbor"")), """")"),0.5010553946452002)</f>
        <v>0.5010553946</v>
      </c>
      <c r="AD664" s="4">
        <f>IFERROR(__xludf.DUMMYFUNCTION("IFERROR(ABS(P664-AVERAGE(FILTER(O664:P4732,AA664:AA4732=""Neighbor""))) / STDEV(FILTER(P664:P4732, AA664:AA4732 =""Neighbor"")), """")"),1.2493811566401654)</f>
        <v>1.249381157</v>
      </c>
      <c r="AE664" s="2">
        <f>IFERROR(__xludf.DUMMYFUNCTION("IFERROR(ABS(Q664-AVERAGE(FILTER(Q664:Q4732,AA664:AA4732=""Neighbor""))) / STDEV(FILTER(Q664:Q4732, AA664:AA4732 =""Neighbor"")), """")"),0.019014462282402243)</f>
        <v>0.01901446228</v>
      </c>
      <c r="AF664" s="2">
        <f>IFERROR(__xludf.DUMMYFUNCTION("IFERROR(ABS(R664-AVERAGE(FILTER(R664:R4732,AA664:AA4732=""Neighbor""))) / STDEV(FILTER(R664:R4732, AA664:AA4732 =""Neighbor"")), """")"),0.08498456799094692)</f>
        <v>0.08498456799</v>
      </c>
    </row>
    <row r="665">
      <c r="A665" s="2" t="s">
        <v>28</v>
      </c>
      <c r="B665" s="2" t="s">
        <v>2660</v>
      </c>
      <c r="C665" s="2" t="s">
        <v>2661</v>
      </c>
      <c r="D665" s="2" t="s">
        <v>2726</v>
      </c>
      <c r="E665" s="2" t="s">
        <v>2727</v>
      </c>
      <c r="F665" s="2">
        <v>241.0</v>
      </c>
      <c r="G665" s="2">
        <v>750.0</v>
      </c>
      <c r="H665" s="2" t="b">
        <v>1</v>
      </c>
      <c r="I665" s="2">
        <v>-1.0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s">
        <v>33</v>
      </c>
      <c r="O665" s="2">
        <v>126.0</v>
      </c>
      <c r="P665" s="2">
        <v>24.0</v>
      </c>
      <c r="Q665" s="2">
        <v>84.0</v>
      </c>
      <c r="R665" s="2">
        <v>0.0</v>
      </c>
      <c r="S665" s="3" t="s">
        <v>2728</v>
      </c>
      <c r="T665" s="2" t="s">
        <v>2729</v>
      </c>
      <c r="Y665" s="4" t="str">
        <f>IFERROR(__xludf.DUMMYFUNCTION("""COMPUTED_VALUE"""),"7.2772662")</f>
        <v>7.2772662</v>
      </c>
      <c r="Z665" s="4" t="str">
        <f>IFERROR(__xludf.DUMMYFUNCTION("""COMPUTED_VALUE"""),"2.9575607")</f>
        <v>2.9575607</v>
      </c>
      <c r="AA665" s="4" t="str">
        <f t="shared" si="1"/>
        <v>Not Neighbor</v>
      </c>
      <c r="AC665" s="4">
        <f>IFERROR(__xludf.DUMMYFUNCTION("IFERROR(ABS(O665-AVERAGE(FILTER(O665:O4733,AA665:AA4733=""Neighbor""))) / STDEV(FILTER(O665:O4733, AA665:AA4733 =""Neighbor"")), """")"),1.405563045301082)</f>
        <v>1.405563045</v>
      </c>
      <c r="AD665" s="4">
        <f>IFERROR(__xludf.DUMMYFUNCTION("IFERROR(ABS(P665-AVERAGE(FILTER(O665:P4733,AA665:AA4733=""Neighbor""))) / STDEV(FILTER(P665:P4733, AA665:AA4733 =""Neighbor"")), """")"),0.677925576198399)</f>
        <v>0.6779255762</v>
      </c>
      <c r="AE665" s="2">
        <f>IFERROR(__xludf.DUMMYFUNCTION("IFERROR(ABS(Q665-AVERAGE(FILTER(Q665:Q4733,AA665:AA4733=""Neighbor""))) / STDEV(FILTER(Q665:Q4733, AA665:AA4733 =""Neighbor"")), """")"),2.3825576676072293)</f>
        <v>2.382557668</v>
      </c>
      <c r="AF665" s="2">
        <f>IFERROR(__xludf.DUMMYFUNCTION("IFERROR(ABS(R665-AVERAGE(FILTER(R665:R4733,AA665:AA4733=""Neighbor""))) / STDEV(FILTER(R665:R4733, AA665:AA4733 =""Neighbor"")), """")"),0.0972162299506634)</f>
        <v>0.09721622995</v>
      </c>
    </row>
    <row r="666">
      <c r="A666" s="2" t="s">
        <v>28</v>
      </c>
      <c r="B666" s="2" t="s">
        <v>2660</v>
      </c>
      <c r="C666" s="2" t="s">
        <v>2661</v>
      </c>
      <c r="D666" s="2" t="s">
        <v>2730</v>
      </c>
      <c r="E666" s="2" t="s">
        <v>2731</v>
      </c>
      <c r="F666" s="2">
        <v>142.0</v>
      </c>
      <c r="G666" s="2">
        <v>407.0</v>
      </c>
      <c r="H666" s="2" t="b">
        <v>1</v>
      </c>
      <c r="I666" s="2">
        <v>-1.0</v>
      </c>
      <c r="J666" s="2" t="b">
        <v>1</v>
      </c>
      <c r="K666" s="2" t="b">
        <v>0</v>
      </c>
      <c r="L666" s="2" t="b">
        <v>0</v>
      </c>
      <c r="M666" s="2" t="b">
        <v>0</v>
      </c>
      <c r="N666" s="2" t="s">
        <v>33</v>
      </c>
      <c r="O666" s="2">
        <v>86.0</v>
      </c>
      <c r="P666" s="2">
        <v>12.0</v>
      </c>
      <c r="Q666" s="2">
        <v>35.0</v>
      </c>
      <c r="R666" s="2">
        <v>0.0</v>
      </c>
      <c r="S666" s="3" t="s">
        <v>2732</v>
      </c>
      <c r="T666" s="2" t="s">
        <v>2733</v>
      </c>
      <c r="Y666" s="4" t="str">
        <f>IFERROR(__xludf.DUMMYFUNCTION("""COMPUTED_VALUE"""),"7.2413044")</f>
        <v>7.2413044</v>
      </c>
      <c r="Z666" s="4" t="str">
        <f>IFERROR(__xludf.DUMMYFUNCTION("""COMPUTED_VALUE"""),"3.0259073")</f>
        <v>3.0259073</v>
      </c>
      <c r="AA666" s="4" t="str">
        <f t="shared" si="1"/>
        <v>Neighbor</v>
      </c>
      <c r="AC666" s="4">
        <f>IFERROR(__xludf.DUMMYFUNCTION("IFERROR(ABS(O666-AVERAGE(FILTER(O666:O4734,AA666:AA4734=""Neighbor""))) / STDEV(FILTER(O666:O4734, AA666:AA4734 =""Neighbor"")), """")"),0.47786289078222893)</f>
        <v>0.4778628908</v>
      </c>
      <c r="AD666" s="4">
        <f>IFERROR(__xludf.DUMMYFUNCTION("IFERROR(ABS(P666-AVERAGE(FILTER(O666:P4734,AA666:AA4734=""Neighbor""))) / STDEV(FILTER(P666:P4734, AA666:AA4734 =""Neighbor"")), """")"),1.1677446451484845)</f>
        <v>1.167744645</v>
      </c>
      <c r="AE666" s="2">
        <f>IFERROR(__xludf.DUMMYFUNCTION("IFERROR(ABS(Q666-AVERAGE(FILTER(Q666:Q4734,AA666:AA4734=""Neighbor""))) / STDEV(FILTER(Q666:Q4734, AA666:AA4734 =""Neighbor"")), """")"),0.38803166142770484)</f>
        <v>0.3880316614</v>
      </c>
      <c r="AF666" s="2">
        <f>IFERROR(__xludf.DUMMYFUNCTION("IFERROR(ABS(R666-AVERAGE(FILTER(R666:R4734,AA666:AA4734=""Neighbor""))) / STDEV(FILTER(R666:R4734, AA666:AA4734 =""Neighbor"")), """")"),0.0972162299506634)</f>
        <v>0.09721622995</v>
      </c>
    </row>
    <row r="667">
      <c r="A667" s="2" t="s">
        <v>28</v>
      </c>
      <c r="B667" s="2" t="s">
        <v>2660</v>
      </c>
      <c r="C667" s="2" t="s">
        <v>2734</v>
      </c>
      <c r="D667" s="2" t="s">
        <v>2735</v>
      </c>
      <c r="E667" s="2" t="s">
        <v>2736</v>
      </c>
      <c r="F667" s="2">
        <v>143.0</v>
      </c>
      <c r="G667" s="2">
        <v>534.0</v>
      </c>
      <c r="H667" s="2" t="b">
        <v>1</v>
      </c>
      <c r="I667" s="2">
        <v>-1.0</v>
      </c>
      <c r="J667" s="2" t="b">
        <v>0</v>
      </c>
      <c r="K667" s="2" t="b">
        <v>0</v>
      </c>
      <c r="L667" s="2" t="b">
        <v>0</v>
      </c>
      <c r="M667" s="2" t="b">
        <v>0</v>
      </c>
      <c r="N667" s="2" t="s">
        <v>33</v>
      </c>
      <c r="O667" s="2">
        <v>100.0</v>
      </c>
      <c r="P667" s="2">
        <v>12.0</v>
      </c>
      <c r="Q667" s="2">
        <v>23.0</v>
      </c>
      <c r="R667" s="2">
        <v>0.0</v>
      </c>
      <c r="S667" s="3" t="s">
        <v>2737</v>
      </c>
      <c r="T667" s="2" t="s">
        <v>2738</v>
      </c>
      <c r="Y667" s="4" t="str">
        <f>IFERROR(__xludf.DUMMYFUNCTION("""COMPUTED_VALUE"""),"7.2390599")</f>
        <v>7.2390599</v>
      </c>
      <c r="Z667" s="4" t="str">
        <f>IFERROR(__xludf.DUMMYFUNCTION("""COMPUTED_VALUE"""),"3.0325855")</f>
        <v>3.0325855</v>
      </c>
      <c r="AA667" s="4" t="str">
        <f t="shared" si="1"/>
        <v>Neighbor</v>
      </c>
      <c r="AC667" s="4">
        <f>IFERROR(__xludf.DUMMYFUNCTION("IFERROR(ABS(O667-AVERAGE(FILTER(O667:O4735,AA667:AA4735=""Neighbor""))) / STDEV(FILTER(O667:O4735, AA667:AA4735 =""Neighbor"")), """")"),0.8026755522270728)</f>
        <v>0.8026755522</v>
      </c>
      <c r="AD667" s="4">
        <f>IFERROR(__xludf.DUMMYFUNCTION("IFERROR(ABS(P667-AVERAGE(FILTER(O667:P4735,AA667:AA4735=""Neighbor""))) / STDEV(FILTER(P667:P4735, AA667:AA4735 =""Neighbor"")), """")"),1.167106310401961)</f>
        <v>1.16710631</v>
      </c>
      <c r="AE667" s="2">
        <f>IFERROR(__xludf.DUMMYFUNCTION("IFERROR(ABS(Q667-AVERAGE(FILTER(Q667:Q4735,AA667:AA4735=""Neighbor""))) / STDEV(FILTER(Q667:Q4735, AA667:AA4735 =""Neighbor"")), """")"),0.10012237604945846)</f>
        <v>0.100122376</v>
      </c>
      <c r="AF667" s="2">
        <f>IFERROR(__xludf.DUMMYFUNCTION("IFERROR(ABS(R667-AVERAGE(FILTER(R667:R4735,AA667:AA4735=""Neighbor""))) / STDEV(FILTER(R667:R4735, AA667:AA4735 =""Neighbor"")), """")"),0.09725053748477457)</f>
        <v>0.09725053748</v>
      </c>
    </row>
    <row r="668">
      <c r="A668" s="2" t="s">
        <v>28</v>
      </c>
      <c r="B668" s="2" t="s">
        <v>2660</v>
      </c>
      <c r="C668" s="2" t="s">
        <v>2734</v>
      </c>
      <c r="D668" s="2" t="s">
        <v>2739</v>
      </c>
      <c r="E668" s="2" t="s">
        <v>2740</v>
      </c>
      <c r="F668" s="2">
        <v>78.0</v>
      </c>
      <c r="G668" s="2">
        <v>239.0</v>
      </c>
      <c r="H668" s="2" t="b">
        <v>1</v>
      </c>
      <c r="I668" s="2">
        <v>-1.0</v>
      </c>
      <c r="J668" s="2" t="b">
        <v>0</v>
      </c>
      <c r="K668" s="2" t="b">
        <v>1</v>
      </c>
      <c r="L668" s="2" t="b">
        <v>0</v>
      </c>
      <c r="M668" s="2" t="b">
        <v>0</v>
      </c>
      <c r="N668" s="2" t="s">
        <v>33</v>
      </c>
      <c r="O668" s="2">
        <v>50.0</v>
      </c>
      <c r="P668" s="2">
        <v>1.0</v>
      </c>
      <c r="Q668" s="2">
        <v>22.0</v>
      </c>
      <c r="R668" s="2">
        <v>0.0</v>
      </c>
      <c r="S668" s="3" t="s">
        <v>2741</v>
      </c>
      <c r="T668" s="2" t="s">
        <v>2742</v>
      </c>
      <c r="Y668" s="4" t="str">
        <f>IFERROR(__xludf.DUMMYFUNCTION("""COMPUTED_VALUE"""),"7.2390599")</f>
        <v>7.2390599</v>
      </c>
      <c r="Z668" s="4" t="str">
        <f>IFERROR(__xludf.DUMMYFUNCTION("""COMPUTED_VALUE"""),"3.0325855")</f>
        <v>3.0325855</v>
      </c>
      <c r="AA668" s="4" t="str">
        <f t="shared" si="1"/>
        <v>Not Neighbor</v>
      </c>
      <c r="AC668" s="4">
        <f>IFERROR(__xludf.DUMMYFUNCTION("IFERROR(ABS(O668-AVERAGE(FILTER(O668:O4736,AA668:AA4736=""Neighbor""))) / STDEV(FILTER(O668:O4736, AA668:AA4736 =""Neighbor"")), """")"),0.3560301069159823)</f>
        <v>0.3560301069</v>
      </c>
      <c r="AD668" s="4">
        <f>IFERROR(__xludf.DUMMYFUNCTION("IFERROR(ABS(P668-AVERAGE(FILTER(O668:P4736,AA668:AA4736=""Neighbor""))) / STDEV(FILTER(P668:P4736, AA668:AA4736 =""Neighbor"")), """")"),1.6149618607692249)</f>
        <v>1.614961861</v>
      </c>
      <c r="AE668" s="2">
        <f>IFERROR(__xludf.DUMMYFUNCTION("IFERROR(ABS(Q668-AVERAGE(FILTER(Q668:Q4736,AA668:AA4736=""Neighbor""))) / STDEV(FILTER(Q668:Q4736, AA668:AA4736 =""Neighbor"")), """")"),0.14083615922002543)</f>
        <v>0.1408361592</v>
      </c>
      <c r="AF668" s="2">
        <f>IFERROR(__xludf.DUMMYFUNCTION("IFERROR(ABS(R668-AVERAGE(FILTER(R668:R4736,AA668:AA4736=""Neighbor""))) / STDEV(FILTER(R668:R4736, AA668:AA4736 =""Neighbor"")), """")"),0.09728488136614122)</f>
        <v>0.09728488137</v>
      </c>
    </row>
    <row r="669">
      <c r="A669" s="2" t="s">
        <v>28</v>
      </c>
      <c r="B669" s="2" t="s">
        <v>2660</v>
      </c>
      <c r="C669" s="2" t="s">
        <v>2734</v>
      </c>
      <c r="D669" s="2" t="s">
        <v>2743</v>
      </c>
      <c r="E669" s="2" t="s">
        <v>2744</v>
      </c>
      <c r="F669" s="2">
        <v>108.0</v>
      </c>
      <c r="G669" s="2">
        <v>440.0</v>
      </c>
      <c r="H669" s="2" t="b">
        <v>1</v>
      </c>
      <c r="I669" s="2">
        <v>-1.0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s">
        <v>33</v>
      </c>
      <c r="O669" s="2">
        <v>66.0</v>
      </c>
      <c r="P669" s="2">
        <v>4.0</v>
      </c>
      <c r="Q669" s="2">
        <v>22.0</v>
      </c>
      <c r="R669" s="2">
        <v>0.0</v>
      </c>
      <c r="S669" s="3" t="s">
        <v>2745</v>
      </c>
      <c r="T669" s="2" t="s">
        <v>2746</v>
      </c>
      <c r="Y669" s="4" t="str">
        <f>IFERROR(__xludf.DUMMYFUNCTION("""COMPUTED_VALUE"""),"7.217519")</f>
        <v>7.217519</v>
      </c>
      <c r="Z669" s="4" t="str">
        <f>IFERROR(__xludf.DUMMYFUNCTION("""COMPUTED_VALUE"""),"3.0325855")</f>
        <v>3.0325855</v>
      </c>
      <c r="AA669" s="4" t="str">
        <f t="shared" si="1"/>
        <v>Not Neighbor</v>
      </c>
      <c r="AC669" s="4">
        <f>IFERROR(__xludf.DUMMYFUNCTION("IFERROR(ABS(O669-AVERAGE(FILTER(O669:O4737,AA669:AA4737=""Neighbor""))) / STDEV(FILTER(O669:O4737, AA669:AA4737 =""Neighbor"")), """")"),0.014903585870901487)</f>
        <v>0.01490358587</v>
      </c>
      <c r="AD669" s="4">
        <f>IFERROR(__xludf.DUMMYFUNCTION("IFERROR(ABS(P669-AVERAGE(FILTER(O669:P4737,AA669:AA4737=""Neighbor""))) / STDEV(FILTER(P669:P4737, AA669:AA4737 =""Neighbor"")), """")"),1.492590730155019)</f>
        <v>1.49259073</v>
      </c>
      <c r="AE669" s="2">
        <f>IFERROR(__xludf.DUMMYFUNCTION("IFERROR(ABS(Q669-AVERAGE(FILTER(Q669:Q4737,AA669:AA4737=""Neighbor""))) / STDEV(FILTER(Q669:Q4737, AA669:AA4737 =""Neighbor"")), """")"),0.14083615922002543)</f>
        <v>0.1408361592</v>
      </c>
      <c r="AF669" s="2">
        <f>IFERROR(__xludf.DUMMYFUNCTION("IFERROR(ABS(R669-AVERAGE(FILTER(R669:R4737,AA669:AA4737=""Neighbor""))) / STDEV(FILTER(R669:R4737, AA669:AA4737 =""Neighbor"")), """")"),0.09728488136614122)</f>
        <v>0.09728488137</v>
      </c>
    </row>
    <row r="670">
      <c r="A670" s="2" t="s">
        <v>28</v>
      </c>
      <c r="B670" s="2" t="s">
        <v>2660</v>
      </c>
      <c r="C670" s="2" t="s">
        <v>2734</v>
      </c>
      <c r="D670" s="2" t="s">
        <v>2747</v>
      </c>
      <c r="E670" s="2" t="s">
        <v>2748</v>
      </c>
      <c r="F670" s="2">
        <v>169.0</v>
      </c>
      <c r="G670" s="2">
        <v>677.0</v>
      </c>
      <c r="H670" s="2" t="b">
        <v>1</v>
      </c>
      <c r="I670" s="2">
        <v>-1.0</v>
      </c>
      <c r="J670" s="2" t="b">
        <v>0</v>
      </c>
      <c r="K670" s="2" t="b">
        <v>1</v>
      </c>
      <c r="L670" s="2" t="b">
        <v>0</v>
      </c>
      <c r="M670" s="2" t="b">
        <v>0</v>
      </c>
      <c r="N670" s="2" t="s">
        <v>33</v>
      </c>
      <c r="O670" s="2">
        <v>87.0</v>
      </c>
      <c r="P670" s="2">
        <v>9.0</v>
      </c>
      <c r="Q670" s="2">
        <v>66.0</v>
      </c>
      <c r="R670" s="2">
        <v>0.0</v>
      </c>
      <c r="S670" s="3" t="s">
        <v>2749</v>
      </c>
      <c r="T670" s="2" t="s">
        <v>2750</v>
      </c>
      <c r="Y670" s="4" t="str">
        <f>IFERROR(__xludf.DUMMYFUNCTION("""COMPUTED_VALUE"""),"7.2346762")</f>
        <v>7.2346762</v>
      </c>
      <c r="Z670" s="4" t="str">
        <f>IFERROR(__xludf.DUMMYFUNCTION("""COMPUTED_VALUE"""),"3.0251455")</f>
        <v>3.0251455</v>
      </c>
      <c r="AA670" s="4" t="str">
        <f t="shared" si="1"/>
        <v>Neighbor</v>
      </c>
      <c r="AC670" s="4">
        <f>IFERROR(__xludf.DUMMYFUNCTION("IFERROR(ABS(O670-AVERAGE(FILTER(O670:O4738,AA670:AA4738=""Neighbor""))) / STDEV(FILTER(O670:O4738, AA670:AA4738 =""Neighbor"")), """")"),0.5017540576536865)</f>
        <v>0.5017540577</v>
      </c>
      <c r="AD670" s="4">
        <f>IFERROR(__xludf.DUMMYFUNCTION("IFERROR(ABS(P670-AVERAGE(FILTER(O670:P4738,AA670:AA4738=""Neighbor""))) / STDEV(FILTER(P670:P4738, AA670:AA4738 =""Neighbor"")), """")"),1.2886388457980091)</f>
        <v>1.288638846</v>
      </c>
      <c r="AE670" s="2">
        <f>IFERROR(__xludf.DUMMYFUNCTION("IFERROR(ABS(Q670-AVERAGE(FILTER(Q670:Q4738,AA670:AA4738=""Neighbor""))) / STDEV(FILTER(Q670:Q4738, AA670:AA4738 =""Neighbor"")), """")"),1.649013670090784)</f>
        <v>1.64901367</v>
      </c>
      <c r="AF670" s="2">
        <f>IFERROR(__xludf.DUMMYFUNCTION("IFERROR(ABS(R670-AVERAGE(FILTER(R670:R4738,AA670:AA4738=""Neighbor""))) / STDEV(FILTER(R670:R4738, AA670:AA4738 =""Neighbor"")), """")"),0.09728488136614122)</f>
        <v>0.09728488137</v>
      </c>
    </row>
    <row r="671">
      <c r="A671" s="2" t="s">
        <v>28</v>
      </c>
      <c r="B671" s="2" t="s">
        <v>2660</v>
      </c>
      <c r="C671" s="2" t="s">
        <v>2734</v>
      </c>
      <c r="D671" s="2" t="s">
        <v>2751</v>
      </c>
      <c r="E671" s="2" t="s">
        <v>2752</v>
      </c>
      <c r="F671" s="2">
        <v>110.0</v>
      </c>
      <c r="G671" s="2">
        <v>328.0</v>
      </c>
      <c r="H671" s="2" t="b">
        <v>1</v>
      </c>
      <c r="I671" s="2">
        <v>-1.0</v>
      </c>
      <c r="J671" s="2" t="b">
        <v>0</v>
      </c>
      <c r="K671" s="2" t="b">
        <v>0</v>
      </c>
      <c r="L671" s="2" t="b">
        <v>0</v>
      </c>
      <c r="M671" s="2" t="b">
        <v>0</v>
      </c>
      <c r="N671" s="2" t="s">
        <v>33</v>
      </c>
      <c r="O671" s="2">
        <v>60.0</v>
      </c>
      <c r="P671" s="2">
        <v>8.0</v>
      </c>
      <c r="Q671" s="2">
        <v>39.0</v>
      </c>
      <c r="R671" s="2">
        <v>0.0</v>
      </c>
      <c r="S671" s="3" t="s">
        <v>2753</v>
      </c>
      <c r="T671" s="2" t="s">
        <v>2754</v>
      </c>
      <c r="Y671" s="4" t="str">
        <f>IFERROR(__xludf.DUMMYFUNCTION("""COMPUTED_VALUE"""),"7.2346762")</f>
        <v>7.2346762</v>
      </c>
      <c r="Z671" s="4" t="str">
        <f>IFERROR(__xludf.DUMMYFUNCTION("""COMPUTED_VALUE"""),"3.0251455")</f>
        <v>3.0251455</v>
      </c>
      <c r="AA671" s="4" t="str">
        <f t="shared" si="1"/>
        <v>Not Neighbor</v>
      </c>
      <c r="AC671" s="4">
        <f>IFERROR(__xludf.DUMMYFUNCTION("IFERROR(ABS(O671-AVERAGE(FILTER(O671:O4739,AA671:AA4739=""Neighbor""))) / STDEV(FILTER(O671:O4739, AA671:AA4739 =""Neighbor"")), """")"),0.12381246312786817)</f>
        <v>0.1238124631</v>
      </c>
      <c r="AD671" s="4">
        <f>IFERROR(__xludf.DUMMYFUNCTION("IFERROR(ABS(P671-AVERAGE(FILTER(O671:P4739,AA671:AA4739=""Neighbor""))) / STDEV(FILTER(P671:P4739, AA671:AA4739 =""Neighbor"")), """")"),1.3287877640883623)</f>
        <v>1.328787764</v>
      </c>
      <c r="AE671" s="2">
        <f>IFERROR(__xludf.DUMMYFUNCTION("IFERROR(ABS(Q671-AVERAGE(FILTER(Q671:Q4739,AA671:AA4739=""Neighbor""))) / STDEV(FILTER(Q671:Q4739, AA671:AA4739 =""Neighbor"")), """")"),0.5521856488621558)</f>
        <v>0.5521856489</v>
      </c>
      <c r="AF671" s="2">
        <f>IFERROR(__xludf.DUMMYFUNCTION("IFERROR(ABS(R671-AVERAGE(FILTER(R671:R4739,AA671:AA4739=""Neighbor""))) / STDEV(FILTER(R671:R4739, AA671:AA4739 =""Neighbor"")), """")"),0.09731926165898971)</f>
        <v>0.09731926166</v>
      </c>
    </row>
    <row r="672">
      <c r="A672" s="2" t="s">
        <v>28</v>
      </c>
      <c r="B672" s="2" t="s">
        <v>2660</v>
      </c>
      <c r="C672" s="2" t="s">
        <v>2734</v>
      </c>
      <c r="D672" s="2" t="s">
        <v>2755</v>
      </c>
      <c r="E672" s="2" t="s">
        <v>2756</v>
      </c>
      <c r="F672" s="2">
        <v>144.0</v>
      </c>
      <c r="G672" s="2">
        <v>434.0</v>
      </c>
      <c r="H672" s="2" t="b">
        <v>1</v>
      </c>
      <c r="I672" s="2">
        <v>-1.0</v>
      </c>
      <c r="J672" s="2" t="b">
        <v>0</v>
      </c>
      <c r="K672" s="2" t="b">
        <v>1</v>
      </c>
      <c r="L672" s="2" t="b">
        <v>0</v>
      </c>
      <c r="M672" s="2" t="b">
        <v>0</v>
      </c>
      <c r="N672" s="2" t="s">
        <v>33</v>
      </c>
      <c r="O672" s="2">
        <v>78.0</v>
      </c>
      <c r="P672" s="2">
        <v>28.0</v>
      </c>
      <c r="Q672" s="2">
        <v>31.0</v>
      </c>
      <c r="R672" s="2">
        <v>0.0</v>
      </c>
      <c r="S672" s="3" t="s">
        <v>2757</v>
      </c>
      <c r="T672" s="2" t="s">
        <v>2758</v>
      </c>
      <c r="Y672" s="4" t="str">
        <f>IFERROR(__xludf.DUMMYFUNCTION("""COMPUTED_VALUE"""),"7.217519")</f>
        <v>7.217519</v>
      </c>
      <c r="Z672" s="4" t="str">
        <f>IFERROR(__xludf.DUMMYFUNCTION("""COMPUTED_VALUE"""),"3.0325855")</f>
        <v>3.0325855</v>
      </c>
      <c r="AA672" s="4" t="str">
        <f t="shared" si="1"/>
        <v>Neighbor</v>
      </c>
      <c r="AC672" s="4">
        <f>IFERROR(__xludf.DUMMYFUNCTION("IFERROR(ABS(O672-AVERAGE(FILTER(O672:O4740,AA672:AA4740=""Neighbor""))) / STDEV(FILTER(O672:O4740, AA672:AA4740 =""Neighbor"")), """")"),0.2933785283325049)</f>
        <v>0.2933785283</v>
      </c>
      <c r="AD672" s="4">
        <f>IFERROR(__xludf.DUMMYFUNCTION("IFERROR(ABS(P672-AVERAGE(FILTER(O672:P4740,AA672:AA4740=""Neighbor""))) / STDEV(FILTER(P672:P4740, AA672:AA4740 =""Neighbor"")), """")"),0.5132439524051328)</f>
        <v>0.5132439524</v>
      </c>
      <c r="AE672" s="2">
        <f>IFERROR(__xludf.DUMMYFUNCTION("IFERROR(ABS(Q672-AVERAGE(FILTER(Q672:Q4740,AA672:AA4740=""Neighbor""))) / STDEV(FILTER(Q672:Q4740, AA672:AA4740 =""Neighbor"")), """")"),0.22656183733209898)</f>
        <v>0.2265618373</v>
      </c>
      <c r="AF672" s="2">
        <f>IFERROR(__xludf.DUMMYFUNCTION("IFERROR(ABS(R672-AVERAGE(FILTER(R672:R4740,AA672:AA4740=""Neighbor""))) / STDEV(FILTER(R672:R4740, AA672:AA4740 =""Neighbor"")), """")"),0.09731926165898971)</f>
        <v>0.09731926166</v>
      </c>
    </row>
    <row r="673">
      <c r="A673" s="2" t="s">
        <v>28</v>
      </c>
      <c r="B673" s="2" t="s">
        <v>2660</v>
      </c>
      <c r="C673" s="2" t="s">
        <v>2734</v>
      </c>
      <c r="D673" s="2" t="s">
        <v>2759</v>
      </c>
      <c r="E673" s="2" t="s">
        <v>2760</v>
      </c>
      <c r="F673" s="2">
        <v>129.0</v>
      </c>
      <c r="G673" s="2">
        <v>416.0</v>
      </c>
      <c r="H673" s="2" t="b">
        <v>1</v>
      </c>
      <c r="I673" s="2">
        <v>-1.0</v>
      </c>
      <c r="J673" s="2" t="b">
        <v>0</v>
      </c>
      <c r="K673" s="2" t="b">
        <v>0</v>
      </c>
      <c r="L673" s="2" t="b">
        <v>0</v>
      </c>
      <c r="M673" s="2" t="b">
        <v>0</v>
      </c>
      <c r="N673" s="2" t="s">
        <v>33</v>
      </c>
      <c r="O673" s="2">
        <v>84.0</v>
      </c>
      <c r="P673" s="2">
        <v>13.0</v>
      </c>
      <c r="Q673" s="2">
        <v>23.0</v>
      </c>
      <c r="R673" s="2">
        <v>1.0</v>
      </c>
      <c r="S673" s="3" t="s">
        <v>2761</v>
      </c>
      <c r="T673" s="2" t="s">
        <v>2762</v>
      </c>
      <c r="Y673" s="4" t="str">
        <f>IFERROR(__xludf.DUMMYFUNCTION("""COMPUTED_VALUE"""),"7.217519")</f>
        <v>7.217519</v>
      </c>
      <c r="Z673" s="4" t="str">
        <f>IFERROR(__xludf.DUMMYFUNCTION("""COMPUTED_VALUE"""),"3.0325855")</f>
        <v>3.0325855</v>
      </c>
      <c r="AA673" s="4" t="str">
        <f t="shared" si="1"/>
        <v>Not Neighbor</v>
      </c>
      <c r="AC673" s="4">
        <f>IFERROR(__xludf.DUMMYFUNCTION("IFERROR(ABS(O673-AVERAGE(FILTER(O673:O4741,AA673:AA4741=""Neighbor""))) / STDEV(FILTER(O673:O4741, AA673:AA4741 =""Neighbor"")), """")"),0.43250926312339777)</f>
        <v>0.4325092631</v>
      </c>
      <c r="AD673" s="4">
        <f>IFERROR(__xludf.DUMMYFUNCTION("IFERROR(ABS(P673-AVERAGE(FILTER(O673:P4741,AA673:AA4741=""Neighbor""))) / STDEV(FILTER(P673:P4741, AA673:AA4741 =""Neighbor"")), """")"),1.124249606177479)</f>
        <v>1.124249606</v>
      </c>
      <c r="AE673" s="2">
        <f>IFERROR(__xludf.DUMMYFUNCTION("IFERROR(ABS(Q673-AVERAGE(FILTER(Q673:Q4741,AA673:AA4741=""Neighbor""))) / STDEV(FILTER(Q673:Q4741, AA673:AA4741 =""Neighbor"")), """")"),0.09887019107136484)</f>
        <v>0.09887019107</v>
      </c>
      <c r="AF673" s="2">
        <f>IFERROR(__xludf.DUMMYFUNCTION("IFERROR(ABS(R673-AVERAGE(FILTER(R673:R4741,AA673:AA4741=""Neighbor""))) / STDEV(FILTER(R673:R4741, AA673:AA4741 =""Neighbor"")), """")"),0.08459434966915963)</f>
        <v>0.08459434967</v>
      </c>
    </row>
    <row r="674">
      <c r="A674" s="2" t="s">
        <v>28</v>
      </c>
      <c r="B674" s="2" t="s">
        <v>2660</v>
      </c>
      <c r="C674" s="2" t="s">
        <v>2734</v>
      </c>
      <c r="D674" s="2" t="s">
        <v>2763</v>
      </c>
      <c r="E674" s="2" t="s">
        <v>2764</v>
      </c>
      <c r="F674" s="2">
        <v>150.0</v>
      </c>
      <c r="G674" s="2">
        <v>417.0</v>
      </c>
      <c r="H674" s="2" t="b">
        <v>1</v>
      </c>
      <c r="I674" s="2">
        <v>-1.0</v>
      </c>
      <c r="J674" s="2" t="b">
        <v>0</v>
      </c>
      <c r="K674" s="2" t="b">
        <v>1</v>
      </c>
      <c r="L674" s="2" t="b">
        <v>0</v>
      </c>
      <c r="M674" s="2" t="b">
        <v>0</v>
      </c>
      <c r="N674" s="2" t="s">
        <v>33</v>
      </c>
      <c r="O674" s="2">
        <v>0.0</v>
      </c>
      <c r="P674" s="2">
        <v>0.0</v>
      </c>
      <c r="Q674" s="2">
        <v>0.0</v>
      </c>
      <c r="R674" s="2">
        <v>0.0</v>
      </c>
      <c r="S674" s="3" t="s">
        <v>2765</v>
      </c>
      <c r="T674" s="2" t="s">
        <v>2766</v>
      </c>
      <c r="Y674" s="4" t="str">
        <f>IFERROR(__xludf.DUMMYFUNCTION("""COMPUTED_VALUE"""),"7.2399656")</f>
        <v>7.2399656</v>
      </c>
      <c r="Z674" s="4" t="str">
        <f>IFERROR(__xludf.DUMMYFUNCTION("""COMPUTED_VALUE"""),"3.0300808")</f>
        <v>3.0300808</v>
      </c>
      <c r="AA674" s="4" t="str">
        <f t="shared" si="1"/>
        <v>Not Neighbor</v>
      </c>
      <c r="AC674" s="4">
        <f>IFERROR(__xludf.DUMMYFUNCTION("IFERROR(ABS(O674-AVERAGE(FILTER(O674:O4742,AA674:AA4742=""Neighbor""))) / STDEV(FILTER(O674:O4742, AA674:AA4742 =""Neighbor"")), """")"),1.5137580487205142)</f>
        <v>1.513758049</v>
      </c>
      <c r="AD674" s="4">
        <f>IFERROR(__xludf.DUMMYFUNCTION("IFERROR(ABS(P674-AVERAGE(FILTER(O674:P4742,AA674:AA4742=""Neighbor""))) / STDEV(FILTER(P674:P4742, AA674:AA4742 =""Neighbor"")), """")"),1.6542129688209746)</f>
        <v>1.654212969</v>
      </c>
      <c r="AE674" s="2">
        <f>IFERROR(__xludf.DUMMYFUNCTION("IFERROR(ABS(Q674-AVERAGE(FILTER(Q674:Q4742,AA674:AA4742=""Neighbor""))) / STDEV(FILTER(Q674:Q4742, AA674:AA4742 =""Neighbor"")), """")"),1.0347271973509105)</f>
        <v>1.034727197</v>
      </c>
      <c r="AF674" s="2">
        <f>IFERROR(__xludf.DUMMYFUNCTION("IFERROR(ABS(R674-AVERAGE(FILTER(R674:R4742,AA674:AA4742=""Neighbor""))) / STDEV(FILTER(R674:R4742, AA674:AA4742 =""Neighbor"")), """")"),0.09735367842770558)</f>
        <v>0.09735367843</v>
      </c>
    </row>
    <row r="675">
      <c r="A675" s="2" t="s">
        <v>28</v>
      </c>
      <c r="B675" s="2" t="s">
        <v>2660</v>
      </c>
      <c r="C675" s="2" t="s">
        <v>2734</v>
      </c>
      <c r="D675" s="2" t="s">
        <v>2767</v>
      </c>
      <c r="E675" s="2" t="s">
        <v>2768</v>
      </c>
      <c r="F675" s="2">
        <v>157.0</v>
      </c>
      <c r="G675" s="2">
        <v>652.0</v>
      </c>
      <c r="H675" s="2" t="b">
        <v>1</v>
      </c>
      <c r="I675" s="2">
        <v>-1.0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s">
        <v>33</v>
      </c>
      <c r="O675" s="2">
        <v>110.0</v>
      </c>
      <c r="P675" s="2">
        <v>8.0</v>
      </c>
      <c r="Q675" s="2">
        <v>33.0</v>
      </c>
      <c r="R675" s="2">
        <v>0.0</v>
      </c>
      <c r="S675" s="3" t="s">
        <v>2769</v>
      </c>
      <c r="T675" s="2" t="s">
        <v>2770</v>
      </c>
      <c r="Y675" s="4" t="str">
        <f>IFERROR(__xludf.DUMMYFUNCTION("""COMPUTED_VALUE"""),"7.217519")</f>
        <v>7.217519</v>
      </c>
      <c r="Z675" s="4" t="str">
        <f>IFERROR(__xludf.DUMMYFUNCTION("""COMPUTED_VALUE"""),"3.0325855")</f>
        <v>3.0325855</v>
      </c>
      <c r="AA675" s="4" t="str">
        <f t="shared" si="1"/>
        <v>Neighbor</v>
      </c>
      <c r="AC675" s="4">
        <f>IFERROR(__xludf.DUMMYFUNCTION("IFERROR(ABS(O675-AVERAGE(FILTER(O675:O4743,AA675:AA4743=""Neighbor""))) / STDEV(FILTER(O675:O4743, AA675:AA4743 =""Neighbor"")), """")"),1.0349253358369896)</f>
        <v>1.034925336</v>
      </c>
      <c r="AD675" s="4">
        <f>IFERROR(__xludf.DUMMYFUNCTION("IFERROR(ABS(P675-AVERAGE(FILTER(O675:P4743,AA675:AA4743=""Neighbor""))) / STDEV(FILTER(P675:P4743, AA675:AA4743 =""Neighbor"")), """")"),1.3280816687326695)</f>
        <v>1.328081669</v>
      </c>
      <c r="AE675" s="2">
        <f>IFERROR(__xludf.DUMMYFUNCTION("IFERROR(ABS(Q675-AVERAGE(FILTER(Q675:Q4743,AA675:AA4743=""Neighbor""))) / STDEV(FILTER(Q675:Q4743, AA675:AA4743 =""Neighbor"")), """")"),0.3080241594849593)</f>
        <v>0.3080241595</v>
      </c>
      <c r="AF675" s="2">
        <f>IFERROR(__xludf.DUMMYFUNCTION("IFERROR(ABS(R675-AVERAGE(FILTER(R675:R4743,AA675:AA4743=""Neighbor""))) / STDEV(FILTER(R675:R4743, AA675:AA4743 =""Neighbor"")), """")"),0.09735367842770558)</f>
        <v>0.09735367843</v>
      </c>
    </row>
    <row r="676">
      <c r="A676" s="2" t="s">
        <v>28</v>
      </c>
      <c r="B676" s="2" t="s">
        <v>2660</v>
      </c>
      <c r="C676" s="2" t="s">
        <v>2734</v>
      </c>
      <c r="D676" s="2" t="s">
        <v>2771</v>
      </c>
      <c r="E676" s="2" t="s">
        <v>2772</v>
      </c>
      <c r="F676" s="2">
        <v>189.0</v>
      </c>
      <c r="G676" s="2">
        <v>750.0</v>
      </c>
      <c r="H676" s="2" t="b">
        <v>1</v>
      </c>
      <c r="I676" s="2">
        <v>-1.0</v>
      </c>
      <c r="J676" s="2" t="b">
        <v>0</v>
      </c>
      <c r="K676" s="2" t="b">
        <v>0</v>
      </c>
      <c r="L676" s="2" t="b">
        <v>0</v>
      </c>
      <c r="M676" s="2" t="b">
        <v>0</v>
      </c>
      <c r="N676" s="2" t="s">
        <v>33</v>
      </c>
      <c r="O676" s="2">
        <v>128.0</v>
      </c>
      <c r="P676" s="2">
        <v>9.0</v>
      </c>
      <c r="Q676" s="2">
        <v>39.0</v>
      </c>
      <c r="R676" s="2">
        <v>0.0</v>
      </c>
      <c r="S676" s="3" t="s">
        <v>2773</v>
      </c>
      <c r="T676" s="2" t="s">
        <v>2774</v>
      </c>
      <c r="Y676" s="4" t="str">
        <f>IFERROR(__xludf.DUMMYFUNCTION("""COMPUTED_VALUE"""),"7.217519")</f>
        <v>7.217519</v>
      </c>
      <c r="Z676" s="4" t="str">
        <f>IFERROR(__xludf.DUMMYFUNCTION("""COMPUTED_VALUE"""),"3.0325855")</f>
        <v>3.0325855</v>
      </c>
      <c r="AA676" s="4" t="str">
        <f t="shared" si="1"/>
        <v>Neighbor</v>
      </c>
      <c r="AC676" s="4">
        <f>IFERROR(__xludf.DUMMYFUNCTION("IFERROR(ABS(O676-AVERAGE(FILTER(O676:O4744,AA676:AA4744=""Neighbor""))) / STDEV(FILTER(O676:O4744, AA676:AA4744 =""Neighbor"")), """")"),1.4527455167582106)</f>
        <v>1.452745517</v>
      </c>
      <c r="AD676" s="4">
        <f>IFERROR(__xludf.DUMMYFUNCTION("IFERROR(ABS(P676-AVERAGE(FILTER(O676:P4744,AA676:AA4744=""Neighbor""))) / STDEV(FILTER(P676:P4744, AA676:AA4744 =""Neighbor"")), """")"),1.286382585928961)</f>
        <v>1.286382586</v>
      </c>
      <c r="AE676" s="2">
        <f>IFERROR(__xludf.DUMMYFUNCTION("IFERROR(ABS(Q676-AVERAGE(FILTER(Q676:Q4744,AA676:AA4744=""Neighbor""))) / STDEV(FILTER(Q676:Q4744, AA676:AA4744 =""Neighbor"")), """")"),0.5522014730988595)</f>
        <v>0.5522014731</v>
      </c>
      <c r="AF676" s="2">
        <f>IFERROR(__xludf.DUMMYFUNCTION("IFERROR(ABS(R676-AVERAGE(FILTER(R676:R4744,AA676:AA4744=""Neighbor""))) / STDEV(FILTER(R676:R4744, AA676:AA4744 =""Neighbor"")), """")"),0.09738813173683325)</f>
        <v>0.09738813174</v>
      </c>
    </row>
    <row r="677">
      <c r="A677" s="2" t="s">
        <v>28</v>
      </c>
      <c r="B677" s="2" t="s">
        <v>2660</v>
      </c>
      <c r="C677" s="2" t="s">
        <v>2734</v>
      </c>
      <c r="D677" s="2" t="s">
        <v>2775</v>
      </c>
      <c r="E677" s="2" t="s">
        <v>2776</v>
      </c>
      <c r="F677" s="2">
        <v>240.0</v>
      </c>
      <c r="G677" s="2">
        <v>802.0</v>
      </c>
      <c r="H677" s="2" t="b">
        <v>1</v>
      </c>
      <c r="I677" s="2">
        <v>-1.0</v>
      </c>
      <c r="J677" s="2" t="b">
        <v>0</v>
      </c>
      <c r="K677" s="2" t="b">
        <v>0</v>
      </c>
      <c r="L677" s="2" t="b">
        <v>0</v>
      </c>
      <c r="M677" s="2" t="b">
        <v>0</v>
      </c>
      <c r="N677" s="2" t="s">
        <v>33</v>
      </c>
      <c r="O677" s="2">
        <v>154.0</v>
      </c>
      <c r="P677" s="2">
        <v>18.0</v>
      </c>
      <c r="Q677" s="2">
        <v>51.0</v>
      </c>
      <c r="R677" s="2">
        <v>0.0</v>
      </c>
      <c r="S677" s="3" t="s">
        <v>2777</v>
      </c>
      <c r="T677" s="2" t="s">
        <v>2778</v>
      </c>
      <c r="Y677" s="4" t="str">
        <f>IFERROR(__xludf.DUMMYFUNCTION("""COMPUTED_VALUE"""),"7.217519")</f>
        <v>7.217519</v>
      </c>
      <c r="Z677" s="4" t="str">
        <f>IFERROR(__xludf.DUMMYFUNCTION("""COMPUTED_VALUE"""),"3.0325855")</f>
        <v>3.0325855</v>
      </c>
      <c r="AA677" s="4" t="str">
        <f t="shared" si="1"/>
        <v>Not Neighbor</v>
      </c>
      <c r="AC677" s="4">
        <f>IFERROR(__xludf.DUMMYFUNCTION("IFERROR(ABS(O677-AVERAGE(FILTER(O677:O4745,AA677:AA4745=""Neighbor""))) / STDEV(FILTER(O677:O4745, AA677:AA4745 =""Neighbor"")), """")"),2.0570008097980024)</f>
        <v>2.05700081</v>
      </c>
      <c r="AD677" s="4">
        <f>IFERROR(__xludf.DUMMYFUNCTION("IFERROR(ABS(P677-AVERAGE(FILTER(O677:P4745,AA677:AA4745=""Neighbor""))) / STDEV(FILTER(P677:P4745, AA677:AA4745 =""Neighbor"")), """")"),0.918503379677143)</f>
        <v>0.9185033797</v>
      </c>
      <c r="AE677" s="2">
        <f>IFERROR(__xludf.DUMMYFUNCTION("IFERROR(ABS(Q677-AVERAGE(FILTER(Q677:Q4745,AA677:AA4745=""Neighbor""))) / STDEV(FILTER(Q677:Q4745, AA677:AA4745 =""Neighbor"")), """")"),1.0404533844326826)</f>
        <v>1.040453384</v>
      </c>
      <c r="AF677" s="2">
        <f>IFERROR(__xludf.DUMMYFUNCTION("IFERROR(ABS(R677-AVERAGE(FILTER(R677:R4745,AA677:AA4745=""Neighbor""))) / STDEV(FILTER(R677:R4745, AA677:AA4745 =""Neighbor"")), """")"),0.09742262165107773)</f>
        <v>0.09742262165</v>
      </c>
    </row>
    <row r="678">
      <c r="A678" s="2" t="s">
        <v>28</v>
      </c>
      <c r="B678" s="2" t="s">
        <v>2660</v>
      </c>
      <c r="C678" s="2" t="s">
        <v>2734</v>
      </c>
      <c r="D678" s="2" t="s">
        <v>2779</v>
      </c>
      <c r="E678" s="2" t="s">
        <v>2780</v>
      </c>
      <c r="F678" s="2">
        <v>252.0</v>
      </c>
      <c r="G678" s="2">
        <v>868.0</v>
      </c>
      <c r="H678" s="2" t="b">
        <v>1</v>
      </c>
      <c r="I678" s="2">
        <v>-1.0</v>
      </c>
      <c r="J678" s="2" t="b">
        <v>0</v>
      </c>
      <c r="K678" s="2" t="b">
        <v>0</v>
      </c>
      <c r="L678" s="2" t="b">
        <v>0</v>
      </c>
      <c r="M678" s="2" t="b">
        <v>0</v>
      </c>
      <c r="N678" s="2" t="s">
        <v>33</v>
      </c>
      <c r="O678" s="2">
        <v>136.0</v>
      </c>
      <c r="P678" s="2">
        <v>24.0</v>
      </c>
      <c r="Q678" s="2">
        <v>72.0</v>
      </c>
      <c r="R678" s="2">
        <v>0.0</v>
      </c>
      <c r="S678" s="3" t="s">
        <v>2781</v>
      </c>
      <c r="T678" s="2" t="s">
        <v>2782</v>
      </c>
      <c r="Y678" s="4" t="str">
        <f>IFERROR(__xludf.DUMMYFUNCTION("""COMPUTED_VALUE"""),"7.2390599")</f>
        <v>7.2390599</v>
      </c>
      <c r="Z678" s="4" t="str">
        <f>IFERROR(__xludf.DUMMYFUNCTION("""COMPUTED_VALUE"""),"3.0325855")</f>
        <v>3.0325855</v>
      </c>
      <c r="AA678" s="4" t="str">
        <f t="shared" si="1"/>
        <v>Neighbor</v>
      </c>
      <c r="AC678" s="4">
        <f>IFERROR(__xludf.DUMMYFUNCTION("IFERROR(ABS(O678-AVERAGE(FILTER(O678:O4746,AA678:AA4746=""Neighbor""))) / STDEV(FILTER(O678:O4746, AA678:AA4746 =""Neighbor"")), """")"),1.639769963967598)</f>
        <v>1.639769964</v>
      </c>
      <c r="AD678" s="4">
        <f>IFERROR(__xludf.DUMMYFUNCTION("IFERROR(ABS(P678-AVERAGE(FILTER(O678:P4746,AA678:AA4746=""Neighbor""))) / STDEV(FILTER(P678:P4746, AA678:AA4746 =""Neighbor"")), """")"),0.674061233686347)</f>
        <v>0.6740612337</v>
      </c>
      <c r="AE678" s="2">
        <f>IFERROR(__xludf.DUMMYFUNCTION("IFERROR(ABS(Q678-AVERAGE(FILTER(Q678:Q4746,AA678:AA4746=""Neighbor""))) / STDEV(FILTER(Q678:Q4746, AA678:AA4746 =""Neighbor"")), """")"),1.8944516280051291)</f>
        <v>1.894451628</v>
      </c>
      <c r="AF678" s="2">
        <f>IFERROR(__xludf.DUMMYFUNCTION("IFERROR(ABS(R678-AVERAGE(FILTER(R678:R4746,AA678:AA4746=""Neighbor""))) / STDEV(FILTER(R678:R4746, AA678:AA4746 =""Neighbor"")), """")"),0.09742262165107773)</f>
        <v>0.09742262165</v>
      </c>
    </row>
    <row r="679">
      <c r="A679" s="2" t="s">
        <v>28</v>
      </c>
      <c r="B679" s="2" t="s">
        <v>2660</v>
      </c>
      <c r="C679" s="2" t="s">
        <v>2734</v>
      </c>
      <c r="D679" s="2" t="s">
        <v>2783</v>
      </c>
      <c r="E679" s="2" t="s">
        <v>2784</v>
      </c>
      <c r="F679" s="2">
        <v>130.0</v>
      </c>
      <c r="G679" s="2">
        <v>455.0</v>
      </c>
      <c r="H679" s="2" t="b">
        <v>1</v>
      </c>
      <c r="I679" s="2">
        <v>-1.0</v>
      </c>
      <c r="J679" s="2" t="b">
        <v>0</v>
      </c>
      <c r="K679" s="2" t="b">
        <v>0</v>
      </c>
      <c r="L679" s="2" t="b">
        <v>0</v>
      </c>
      <c r="M679" s="2" t="b">
        <v>0</v>
      </c>
      <c r="N679" s="2" t="s">
        <v>33</v>
      </c>
      <c r="O679" s="2">
        <v>93.0</v>
      </c>
      <c r="P679" s="2">
        <v>4.0</v>
      </c>
      <c r="Q679" s="2">
        <v>28.0</v>
      </c>
      <c r="R679" s="2">
        <v>0.0</v>
      </c>
      <c r="S679" s="3" t="s">
        <v>2785</v>
      </c>
      <c r="T679" s="2" t="s">
        <v>2786</v>
      </c>
      <c r="Y679" s="4" t="str">
        <f>IFERROR(__xludf.DUMMYFUNCTION("""COMPUTED_VALUE"""),"7.2399656")</f>
        <v>7.2399656</v>
      </c>
      <c r="Z679" s="4" t="str">
        <f>IFERROR(__xludf.DUMMYFUNCTION("""COMPUTED_VALUE"""),"3.0300808")</f>
        <v>3.0300808</v>
      </c>
      <c r="AA679" s="4" t="str">
        <f t="shared" si="1"/>
        <v>Not Neighbor</v>
      </c>
      <c r="AC679" s="4">
        <f>IFERROR(__xludf.DUMMYFUNCTION("IFERROR(ABS(O679-AVERAGE(FILTER(O679:O4747,AA679:AA4747=""Neighbor""))) / STDEV(FILTER(O679:O4747, AA679:AA4747 =""Neighbor"")), """")"),0.6445874813749365)</f>
        <v>0.6445874814</v>
      </c>
      <c r="AD679" s="4">
        <f>IFERROR(__xludf.DUMMYFUNCTION("IFERROR(ABS(P679-AVERAGE(FILTER(O679:P4747,AA679:AA4747=""Neighbor""))) / STDEV(FILTER(P679:P4747, AA679:AA4747 =""Neighbor"")), """")"),1.4872738606400493)</f>
        <v>1.487273861</v>
      </c>
      <c r="AE679" s="2">
        <f>IFERROR(__xludf.DUMMYFUNCTION("IFERROR(ABS(Q679-AVERAGE(FILTER(Q679:Q4747,AA679:AA4747=""Neighbor""))) / STDEV(FILTER(Q679:Q4747, AA679:AA4747 =""Neighbor"")), """")"),0.10655041667122468)</f>
        <v>0.1065504167</v>
      </c>
      <c r="AF679" s="2">
        <f>IFERROR(__xludf.DUMMYFUNCTION("IFERROR(ABS(R679-AVERAGE(FILTER(R679:R4747,AA679:AA4747=""Neighbor""))) / STDEV(FILTER(R679:R4747, AA679:AA4747 =""Neighbor"")), """")"),0.09745714823530431)</f>
        <v>0.09745714824</v>
      </c>
    </row>
    <row r="680">
      <c r="A680" s="2" t="s">
        <v>28</v>
      </c>
      <c r="B680" s="2" t="s">
        <v>2660</v>
      </c>
      <c r="C680" s="2" t="s">
        <v>2734</v>
      </c>
      <c r="D680" s="2" t="s">
        <v>2787</v>
      </c>
      <c r="E680" s="2" t="s">
        <v>2788</v>
      </c>
      <c r="F680" s="2">
        <v>136.0</v>
      </c>
      <c r="G680" s="2">
        <v>544.0</v>
      </c>
      <c r="H680" s="2" t="b">
        <v>1</v>
      </c>
      <c r="I680" s="2">
        <v>-1.0</v>
      </c>
      <c r="J680" s="2" t="b">
        <v>0</v>
      </c>
      <c r="K680" s="2" t="b">
        <v>0</v>
      </c>
      <c r="L680" s="2" t="b">
        <v>0</v>
      </c>
      <c r="M680" s="2" t="b">
        <v>0</v>
      </c>
      <c r="N680" s="2" t="s">
        <v>33</v>
      </c>
      <c r="O680" s="2">
        <v>88.0</v>
      </c>
      <c r="P680" s="2">
        <v>5.0</v>
      </c>
      <c r="Q680" s="2">
        <v>35.0</v>
      </c>
      <c r="R680" s="2">
        <v>0.0</v>
      </c>
      <c r="S680" s="3" t="s">
        <v>2789</v>
      </c>
      <c r="T680" s="2" t="s">
        <v>2790</v>
      </c>
      <c r="Y680" s="4" t="str">
        <f>IFERROR(__xludf.DUMMYFUNCTION("""COMPUTED_VALUE"""),"7.217519")</f>
        <v>7.217519</v>
      </c>
      <c r="Z680" s="4" t="str">
        <f>IFERROR(__xludf.DUMMYFUNCTION("""COMPUTED_VALUE"""),"3.0325855")</f>
        <v>3.0325855</v>
      </c>
      <c r="AA680" s="4" t="str">
        <f t="shared" si="1"/>
        <v>Neighbor</v>
      </c>
      <c r="AC680" s="4">
        <f>IFERROR(__xludf.DUMMYFUNCTION("IFERROR(ABS(O680-AVERAGE(FILTER(O680:O4748,AA680:AA4748=""Neighbor""))) / STDEV(FILTER(O680:O4748, AA680:AA4748 =""Neighbor"")), """")"),0.5286210625931352)</f>
        <v>0.5286210626</v>
      </c>
      <c r="AD680" s="4">
        <f>IFERROR(__xludf.DUMMYFUNCTION("IFERROR(ABS(P680-AVERAGE(FILTER(O680:P4748,AA680:AA4748=""Neighbor""))) / STDEV(FILTER(P680:P4748, AA680:AA4748 =""Neighbor"")), """")"),1.4465462349784768)</f>
        <v>1.446546235</v>
      </c>
      <c r="AE680" s="2">
        <f>IFERROR(__xludf.DUMMYFUNCTION("IFERROR(ABS(Q680-AVERAGE(FILTER(Q680:Q4748,AA680:AA4748=""Neighbor""))) / STDEV(FILTER(Q680:Q4748, AA680:AA4748 =""Neighbor"")), """")"),0.3914762422986258)</f>
        <v>0.3914762423</v>
      </c>
      <c r="AF680" s="2">
        <f>IFERROR(__xludf.DUMMYFUNCTION("IFERROR(ABS(R680-AVERAGE(FILTER(R680:R4748,AA680:AA4748=""Neighbor""))) / STDEV(FILTER(R680:R4748, AA680:AA4748 =""Neighbor"")), """")"),0.09745714823530431)</f>
        <v>0.09745714824</v>
      </c>
    </row>
    <row r="681">
      <c r="A681" s="2" t="s">
        <v>28</v>
      </c>
      <c r="B681" s="2" t="s">
        <v>2660</v>
      </c>
      <c r="C681" s="2" t="s">
        <v>2734</v>
      </c>
      <c r="D681" s="2" t="s">
        <v>2791</v>
      </c>
      <c r="E681" s="2" t="s">
        <v>2792</v>
      </c>
      <c r="F681" s="2">
        <v>193.0</v>
      </c>
      <c r="G681" s="2">
        <v>802.0</v>
      </c>
      <c r="H681" s="2" t="b">
        <v>1</v>
      </c>
      <c r="I681" s="2">
        <v>-1.0</v>
      </c>
      <c r="J681" s="2" t="b">
        <v>0</v>
      </c>
      <c r="K681" s="2" t="b">
        <v>0</v>
      </c>
      <c r="L681" s="2" t="b">
        <v>0</v>
      </c>
      <c r="M681" s="2" t="b">
        <v>0</v>
      </c>
      <c r="N681" s="2" t="s">
        <v>33</v>
      </c>
      <c r="O681" s="2">
        <v>108.0</v>
      </c>
      <c r="P681" s="2">
        <v>42.0</v>
      </c>
      <c r="Q681" s="2">
        <v>23.0</v>
      </c>
      <c r="R681" s="2">
        <v>2.0</v>
      </c>
      <c r="S681" s="3" t="s">
        <v>2793</v>
      </c>
      <c r="T681" s="2" t="s">
        <v>2794</v>
      </c>
      <c r="Y681" s="4" t="str">
        <f>IFERROR(__xludf.DUMMYFUNCTION("""COMPUTED_VALUE"""),"7.217519")</f>
        <v>7.217519</v>
      </c>
      <c r="Z681" s="4" t="str">
        <f>IFERROR(__xludf.DUMMYFUNCTION("""COMPUTED_VALUE"""),"3.0325855")</f>
        <v>3.0325855</v>
      </c>
      <c r="AA681" s="4" t="str">
        <f t="shared" si="1"/>
        <v>Not Neighbor</v>
      </c>
      <c r="AC681" s="4">
        <f>IFERROR(__xludf.DUMMYFUNCTION("IFERROR(ABS(O681-AVERAGE(FILTER(O681:O4749,AA681:AA4749=""Neighbor""))) / STDEV(FILTER(O681:O4749, AA681:AA4749 =""Neighbor"")), """")"),0.9926069177618297)</f>
        <v>0.9926069178</v>
      </c>
      <c r="AD681" s="4">
        <f>IFERROR(__xludf.DUMMYFUNCTION("IFERROR(ABS(P681-AVERAGE(FILTER(O681:P4749,AA681:AA4749=""Neighbor""))) / STDEV(FILTER(P681:P4749, AA681:AA4749 =""Neighbor"")), """")"),0.060530106208825096)</f>
        <v>0.06053010621</v>
      </c>
      <c r="AE681" s="2">
        <f>IFERROR(__xludf.DUMMYFUNCTION("IFERROR(ABS(Q681-AVERAGE(FILTER(Q681:Q4749,AA681:AA4749=""Neighbor""))) / STDEV(FILTER(Q681:Q4749, AA681:AA4749 =""Neighbor"")), """")"),0.09666393832724268)</f>
        <v>0.09666393833</v>
      </c>
      <c r="AF681" s="2">
        <f>IFERROR(__xludf.DUMMYFUNCTION("IFERROR(ABS(R681-AVERAGE(FILTER(R681:R4749,AA681:AA4749=""Neighbor""))) / STDEV(FILTER(R681:R4749, AA681:AA4749 =""Neighbor"")), """")"),0.2658981018938352)</f>
        <v>0.2658981019</v>
      </c>
    </row>
    <row r="682">
      <c r="A682" s="2" t="s">
        <v>28</v>
      </c>
      <c r="B682" s="2" t="s">
        <v>2660</v>
      </c>
      <c r="C682" s="2" t="s">
        <v>2795</v>
      </c>
      <c r="D682" s="2" t="s">
        <v>2796</v>
      </c>
      <c r="E682" s="2" t="s">
        <v>2797</v>
      </c>
      <c r="F682" s="2">
        <v>202.0</v>
      </c>
      <c r="G682" s="2">
        <v>799.0</v>
      </c>
      <c r="H682" s="2" t="b">
        <v>1</v>
      </c>
      <c r="I682" s="2">
        <v>-1.0</v>
      </c>
      <c r="J682" s="2" t="b">
        <v>1</v>
      </c>
      <c r="K682" s="2" t="b">
        <v>1</v>
      </c>
      <c r="L682" s="2" t="b">
        <v>0</v>
      </c>
      <c r="M682" s="2" t="b">
        <v>0</v>
      </c>
      <c r="N682" s="2" t="s">
        <v>33</v>
      </c>
      <c r="O682" s="2">
        <v>141.0</v>
      </c>
      <c r="P682" s="2">
        <v>9.0</v>
      </c>
      <c r="Q682" s="2">
        <v>45.0</v>
      </c>
      <c r="R682" s="2">
        <v>0.0</v>
      </c>
      <c r="S682" s="3" t="s">
        <v>2798</v>
      </c>
      <c r="T682" s="2" t="s">
        <v>2799</v>
      </c>
      <c r="Y682" s="4" t="str">
        <f>IFERROR(__xludf.DUMMYFUNCTION("""COMPUTED_VALUE"""),"7.2446113")</f>
        <v>7.2446113</v>
      </c>
      <c r="Z682" s="4" t="str">
        <f>IFERROR(__xludf.DUMMYFUNCTION("""COMPUTED_VALUE"""),"3.0075642")</f>
        <v>3.0075642</v>
      </c>
      <c r="AA682" s="4" t="str">
        <f t="shared" si="1"/>
        <v>Neighbor</v>
      </c>
      <c r="AC682" s="4">
        <f>IFERROR(__xludf.DUMMYFUNCTION("IFERROR(ABS(O682-AVERAGE(FILTER(O682:O4750,AA682:AA4750=""Neighbor""))) / STDEV(FILTER(O682:O4750, AA682:AA4750 =""Neighbor"")), """")"),1.7577913545875425)</f>
        <v>1.757791355</v>
      </c>
      <c r="AD682" s="4">
        <f>IFERROR(__xludf.DUMMYFUNCTION("IFERROR(ABS(P682-AVERAGE(FILTER(O682:P4750,AA682:AA4750=""Neighbor""))) / STDEV(FILTER(P682:P4750, AA682:AA4750 =""Neighbor"")), """")"),1.2831008133537725)</f>
        <v>1.283100813</v>
      </c>
      <c r="AE682" s="2">
        <f>IFERROR(__xludf.DUMMYFUNCTION("IFERROR(ABS(Q682-AVERAGE(FILTER(Q682:Q4750,AA682:AA4750=""Neighbor""))) / STDEV(FILTER(Q682:Q4750, AA682:AA4750 =""Neighbor"")), """")"),0.7985505811012529)</f>
        <v>0.7985505811</v>
      </c>
      <c r="AF682" s="2">
        <f>IFERROR(__xludf.DUMMYFUNCTION("IFERROR(ABS(R682-AVERAGE(FILTER(R682:R4750,AA682:AA4750=""Neighbor""))) / STDEV(FILTER(R682:R4750, AA682:AA4750 =""Neighbor"")), """")"),0.09749171155453933)</f>
        <v>0.09749171155</v>
      </c>
    </row>
    <row r="683">
      <c r="A683" s="2" t="s">
        <v>28</v>
      </c>
      <c r="B683" s="2" t="s">
        <v>2660</v>
      </c>
      <c r="C683" s="2" t="s">
        <v>2795</v>
      </c>
      <c r="D683" s="2" t="s">
        <v>2800</v>
      </c>
      <c r="E683" s="2" t="s">
        <v>2801</v>
      </c>
      <c r="F683" s="2">
        <v>210.0</v>
      </c>
      <c r="G683" s="2">
        <v>806.0</v>
      </c>
      <c r="H683" s="2" t="b">
        <v>1</v>
      </c>
      <c r="I683" s="2">
        <v>-1.0</v>
      </c>
      <c r="J683" s="2" t="b">
        <v>0</v>
      </c>
      <c r="K683" s="2" t="b">
        <v>0</v>
      </c>
      <c r="L683" s="2" t="b">
        <v>0</v>
      </c>
      <c r="M683" s="2" t="b">
        <v>0</v>
      </c>
      <c r="N683" s="2" t="s">
        <v>33</v>
      </c>
      <c r="O683" s="2">
        <v>162.0</v>
      </c>
      <c r="P683" s="2">
        <v>8.0</v>
      </c>
      <c r="Q683" s="2">
        <v>30.0</v>
      </c>
      <c r="R683" s="2">
        <v>4.0</v>
      </c>
      <c r="S683" s="3" t="s">
        <v>2802</v>
      </c>
      <c r="T683" s="2" t="s">
        <v>2803</v>
      </c>
      <c r="Y683" s="4" t="str">
        <f>IFERROR(__xludf.DUMMYFUNCTION("""COMPUTED_VALUE"""),"7.2446113")</f>
        <v>7.2446113</v>
      </c>
      <c r="Z683" s="4" t="str">
        <f>IFERROR(__xludf.DUMMYFUNCTION("""COMPUTED_VALUE"""),"3.0075642")</f>
        <v>3.0075642</v>
      </c>
      <c r="AA683" s="4" t="str">
        <f t="shared" si="1"/>
        <v>Neighbor</v>
      </c>
      <c r="AC683" s="4">
        <f>IFERROR(__xludf.DUMMYFUNCTION("IFERROR(ABS(O683-AVERAGE(FILTER(O683:O4751,AA683:AA4751=""Neighbor""))) / STDEV(FILTER(O683:O4751, AA683:AA4751 =""Neighbor"")), """")"),2.2476201708150065)</f>
        <v>2.247620171</v>
      </c>
      <c r="AD683" s="4">
        <f>IFERROR(__xludf.DUMMYFUNCTION("IFERROR(ABS(P683-AVERAGE(FILTER(O683:P4751,AA683:AA4751=""Neighbor""))) / STDEV(FILTER(P683:P4751, AA683:AA4751 =""Neighbor"")), """")"),1.322399273036013)</f>
        <v>1.322399273</v>
      </c>
      <c r="AE683" s="2">
        <f>IFERROR(__xludf.DUMMYFUNCTION("IFERROR(ABS(Q683-AVERAGE(FILTER(Q683:Q4751,AA683:AA4751=""Neighbor""))) / STDEV(FILTER(Q683:Q4751, AA683:AA4751 =""Neighbor"")), """")"),0.18871496471801388)</f>
        <v>0.1887149647</v>
      </c>
      <c r="AF683" s="2">
        <f>IFERROR(__xludf.DUMMYFUNCTION("IFERROR(ABS(R683-AVERAGE(FILTER(R683:R4751,AA683:AA4751=""Neighbor""))) / STDEV(FILTER(R683:R4751, AA683:AA4751 =""Neighbor"")), """")"),0.6289999734568941)</f>
        <v>0.6289999735</v>
      </c>
    </row>
    <row r="684">
      <c r="A684" s="2" t="s">
        <v>28</v>
      </c>
      <c r="B684" s="2" t="s">
        <v>2660</v>
      </c>
      <c r="C684" s="2" t="s">
        <v>2795</v>
      </c>
      <c r="D684" s="2" t="s">
        <v>2804</v>
      </c>
      <c r="E684" s="2" t="s">
        <v>2805</v>
      </c>
      <c r="F684" s="2">
        <v>177.0</v>
      </c>
      <c r="G684" s="2">
        <v>737.0</v>
      </c>
      <c r="H684" s="2" t="b">
        <v>1</v>
      </c>
      <c r="I684" s="2">
        <v>-1.0</v>
      </c>
      <c r="J684" s="2" t="b">
        <v>0</v>
      </c>
      <c r="K684" s="2" t="b">
        <v>0</v>
      </c>
      <c r="L684" s="2" t="b">
        <v>0</v>
      </c>
      <c r="M684" s="2" t="b">
        <v>0</v>
      </c>
      <c r="N684" s="2" t="s">
        <v>33</v>
      </c>
      <c r="O684" s="2">
        <v>97.0</v>
      </c>
      <c r="P684" s="2">
        <v>10.0</v>
      </c>
      <c r="Q684" s="2">
        <v>52.0</v>
      </c>
      <c r="R684" s="2">
        <v>1.0</v>
      </c>
      <c r="S684" s="3" t="s">
        <v>2806</v>
      </c>
      <c r="T684" s="2" t="s">
        <v>2807</v>
      </c>
      <c r="Y684" s="4" t="str">
        <f>IFERROR(__xludf.DUMMYFUNCTION("""COMPUTED_VALUE"""),"7.2446113")</f>
        <v>7.2446113</v>
      </c>
      <c r="Z684" s="4" t="str">
        <f>IFERROR(__xludf.DUMMYFUNCTION("""COMPUTED_VALUE"""),"3.0075642")</f>
        <v>3.0075642</v>
      </c>
      <c r="AA684" s="4" t="str">
        <f t="shared" si="1"/>
        <v>Neighbor</v>
      </c>
      <c r="AC684" s="4">
        <f>IFERROR(__xludf.DUMMYFUNCTION("IFERROR(ABS(O684-AVERAGE(FILTER(O684:O4752,AA684:AA4752=""Neighbor""))) / STDEV(FILTER(O684:O4752, AA684:AA4752 =""Neighbor"")), """")"),0.7419710816443605)</f>
        <v>0.7419710816</v>
      </c>
      <c r="AD684" s="4">
        <f>IFERROR(__xludf.DUMMYFUNCTION("IFERROR(ABS(P684-AVERAGE(FILTER(O684:P4752,AA684:AA4752=""Neighbor""))) / STDEV(FILTER(P684:P4752, AA684:AA4752 =""Neighbor"")), """")"),1.239325541365886)</f>
        <v>1.239325541</v>
      </c>
      <c r="AE684" s="2">
        <f>IFERROR(__xludf.DUMMYFUNCTION("IFERROR(ABS(Q684-AVERAGE(FILTER(Q684:Q4752,AA684:AA4752=""Neighbor""))) / STDEV(FILTER(Q684:Q4752, AA684:AA4752 =""Neighbor"")), """")"),1.0835801954984232)</f>
        <v>1.083580195</v>
      </c>
      <c r="AF684" s="2">
        <f>IFERROR(__xludf.DUMMYFUNCTION("IFERROR(ABS(R684-AVERAGE(FILTER(R684:R4752,AA684:AA4752=""Neighbor""))) / STDEV(FILTER(R684:R4752, AA684:AA4752 =""Neighbor"")), """")"),0.08453022663150163)</f>
        <v>0.08453022663</v>
      </c>
    </row>
    <row r="685">
      <c r="A685" s="2" t="s">
        <v>28</v>
      </c>
      <c r="B685" s="2" t="s">
        <v>2660</v>
      </c>
      <c r="C685" s="2" t="s">
        <v>2795</v>
      </c>
      <c r="D685" s="2" t="s">
        <v>2808</v>
      </c>
      <c r="E685" s="2" t="s">
        <v>2809</v>
      </c>
      <c r="F685" s="2">
        <v>185.0</v>
      </c>
      <c r="G685" s="2">
        <v>628.0</v>
      </c>
      <c r="H685" s="2" t="b">
        <v>1</v>
      </c>
      <c r="I685" s="2">
        <v>-1.0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s">
        <v>33</v>
      </c>
      <c r="O685" s="2">
        <v>131.0</v>
      </c>
      <c r="P685" s="2">
        <v>2.0</v>
      </c>
      <c r="Q685" s="2">
        <v>41.0</v>
      </c>
      <c r="R685" s="2">
        <v>2.0</v>
      </c>
      <c r="S685" s="3" t="s">
        <v>2810</v>
      </c>
      <c r="T685" s="2" t="s">
        <v>2811</v>
      </c>
      <c r="Y685" s="4" t="str">
        <f>IFERROR(__xludf.DUMMYFUNCTION("""COMPUTED_VALUE"""),"7.2446113")</f>
        <v>7.2446113</v>
      </c>
      <c r="Z685" s="4" t="str">
        <f>IFERROR(__xludf.DUMMYFUNCTION("""COMPUTED_VALUE"""),"3.0075642")</f>
        <v>3.0075642</v>
      </c>
      <c r="AA685" s="4" t="str">
        <f t="shared" si="1"/>
        <v>Not Neighbor</v>
      </c>
      <c r="AC685" s="4">
        <f>IFERROR(__xludf.DUMMYFUNCTION("IFERROR(ABS(O685-AVERAGE(FILTER(O685:O4753,AA685:AA4753=""Neighbor""))) / STDEV(FILTER(O685:O4753, AA685:AA4753 =""Neighbor"")), """")"),1.5323343464642338)</f>
        <v>1.532334346</v>
      </c>
      <c r="AD685" s="4">
        <f>IFERROR(__xludf.DUMMYFUNCTION("IFERROR(ABS(P685-AVERAGE(FILTER(O685:P4753,AA685:AA4753=""Neighbor""))) / STDEV(FILTER(P685:P4753, AA685:AA4753 =""Neighbor"")), """")"),1.5639513491411947)</f>
        <v>1.563951349</v>
      </c>
      <c r="AE685" s="2">
        <f>IFERROR(__xludf.DUMMYFUNCTION("IFERROR(ABS(Q685-AVERAGE(FILTER(Q685:Q4753,AA685:AA4753=""Neighbor""))) / STDEV(FILTER(Q685:Q4753, AA685:AA4753 =""Neighbor"")), """")"),0.6369848836811657)</f>
        <v>0.6369848837</v>
      </c>
      <c r="AF685" s="2">
        <f>IFERROR(__xludf.DUMMYFUNCTION("IFERROR(ABS(R685-AVERAGE(FILTER(R685:R4753,AA685:AA4753=""Neighbor""))) / STDEV(FILTER(R685:R4753, AA685:AA4753 =""Neighbor"")), """")"),0.266089581005678)</f>
        <v>0.266089581</v>
      </c>
    </row>
    <row r="686">
      <c r="A686" s="2" t="s">
        <v>28</v>
      </c>
      <c r="B686" s="2" t="s">
        <v>2660</v>
      </c>
      <c r="C686" s="2" t="s">
        <v>2795</v>
      </c>
      <c r="D686" s="2" t="s">
        <v>2812</v>
      </c>
      <c r="E686" s="2" t="s">
        <v>2813</v>
      </c>
      <c r="F686" s="2">
        <v>191.0</v>
      </c>
      <c r="G686" s="2">
        <v>750.0</v>
      </c>
      <c r="H686" s="2" t="b">
        <v>1</v>
      </c>
      <c r="I686" s="2">
        <v>-1.0</v>
      </c>
      <c r="J686" s="2" t="b">
        <v>0</v>
      </c>
      <c r="K686" s="2" t="b">
        <v>0</v>
      </c>
      <c r="L686" s="2" t="b">
        <v>0</v>
      </c>
      <c r="M686" s="2" t="b">
        <v>0</v>
      </c>
      <c r="N686" s="2" t="s">
        <v>33</v>
      </c>
      <c r="O686" s="2">
        <v>98.0</v>
      </c>
      <c r="P686" s="2">
        <v>13.0</v>
      </c>
      <c r="Q686" s="2">
        <v>53.0</v>
      </c>
      <c r="R686" s="2">
        <v>4.0</v>
      </c>
      <c r="S686" s="3" t="s">
        <v>2814</v>
      </c>
      <c r="T686" s="2" t="s">
        <v>2815</v>
      </c>
      <c r="Y686" s="4" t="str">
        <f>IFERROR(__xludf.DUMMYFUNCTION("""COMPUTED_VALUE"""),"7.2902026")</f>
        <v>7.2902026</v>
      </c>
      <c r="Z686" s="4" t="str">
        <f>IFERROR(__xludf.DUMMYFUNCTION("""COMPUTED_VALUE"""),"3.037094")</f>
        <v>3.037094</v>
      </c>
      <c r="AA686" s="4" t="str">
        <f t="shared" si="1"/>
        <v>Not Neighbor</v>
      </c>
      <c r="AC686" s="4">
        <f>IFERROR(__xludf.DUMMYFUNCTION("IFERROR(ABS(O686-AVERAGE(FILTER(O686:O4754,AA686:AA4754=""Neighbor""))) / STDEV(FILTER(O686:O4754, AA686:AA4754 =""Neighbor"")), """")"),0.765610472787822)</f>
        <v>0.7656104728</v>
      </c>
      <c r="AD686" s="4">
        <f>IFERROR(__xludf.DUMMYFUNCTION("IFERROR(ABS(P686-AVERAGE(FILTER(O686:P4754,AA686:AA4754=""Neighbor""))) / STDEV(FILTER(P686:P4754, AA686:AA4754 =""Neighbor"")), """")"),1.1165102243165586)</f>
        <v>1.116510224</v>
      </c>
      <c r="AE686" s="2">
        <f>IFERROR(__xludf.DUMMYFUNCTION("IFERROR(ABS(Q686-AVERAGE(FILTER(Q686:Q4754,AA686:AA4754=""Neighbor""))) / STDEV(FILTER(Q686:Q4754, AA686:AA4754 =""Neighbor"")), """")"),1.1250858016598755)</f>
        <v>1.125085802</v>
      </c>
      <c r="AF686" s="2">
        <f>IFERROR(__xludf.DUMMYFUNCTION("IFERROR(ABS(R686-AVERAGE(FILTER(R686:R4754,AA686:AA4754=""Neighbor""))) / STDEV(FILTER(R686:R4754, AA686:AA4754 =""Neighbor"")), """")"),0.6291483458586175)</f>
        <v>0.6291483459</v>
      </c>
    </row>
    <row r="687">
      <c r="A687" s="2" t="s">
        <v>28</v>
      </c>
      <c r="B687" s="2" t="s">
        <v>2660</v>
      </c>
      <c r="C687" s="2" t="s">
        <v>2795</v>
      </c>
      <c r="D687" s="2" t="s">
        <v>2816</v>
      </c>
      <c r="E687" s="2" t="s">
        <v>2817</v>
      </c>
      <c r="F687" s="2">
        <v>173.0</v>
      </c>
      <c r="G687" s="2">
        <v>750.0</v>
      </c>
      <c r="H687" s="2" t="b">
        <v>1</v>
      </c>
      <c r="I687" s="2">
        <v>-1.0</v>
      </c>
      <c r="J687" s="2" t="b">
        <v>0</v>
      </c>
      <c r="K687" s="2" t="b">
        <v>0</v>
      </c>
      <c r="L687" s="2" t="b">
        <v>0</v>
      </c>
      <c r="M687" s="2" t="b">
        <v>0</v>
      </c>
      <c r="N687" s="2" t="s">
        <v>33</v>
      </c>
      <c r="O687" s="2">
        <v>111.0</v>
      </c>
      <c r="P687" s="2">
        <v>11.0</v>
      </c>
      <c r="Q687" s="2">
        <v>44.0</v>
      </c>
      <c r="R687" s="2">
        <v>0.0</v>
      </c>
      <c r="S687" s="3" t="s">
        <v>2818</v>
      </c>
      <c r="T687" s="2" t="s">
        <v>2819</v>
      </c>
      <c r="Y687" s="4" t="str">
        <f>IFERROR(__xludf.DUMMYFUNCTION("""COMPUTED_VALUE"""),"7.2390599")</f>
        <v>7.2390599</v>
      </c>
      <c r="Z687" s="4" t="str">
        <f>IFERROR(__xludf.DUMMYFUNCTION("""COMPUTED_VALUE"""),"3.0325855")</f>
        <v>3.0325855</v>
      </c>
      <c r="AA687" s="4" t="str">
        <f t="shared" si="1"/>
        <v>Neighbor</v>
      </c>
      <c r="AC687" s="4">
        <f>IFERROR(__xludf.DUMMYFUNCTION("IFERROR(ABS(O687-AVERAGE(FILTER(O687:O4755,AA687:AA4755=""Neighbor""))) / STDEV(FILTER(O687:O4755, AA687:AA4755 =""Neighbor"")), """")"),1.067653210902772)</f>
        <v>1.067653211</v>
      </c>
      <c r="AD687" s="4">
        <f>IFERROR(__xludf.DUMMYFUNCTION("IFERROR(ABS(P687-AVERAGE(FILTER(O687:P4755,AA687:AA4755=""Neighbor""))) / STDEV(FILTER(P687:P4755, AA687:AA4755 =""Neighbor"")), """")"),1.197863156102856)</f>
        <v>1.197863156</v>
      </c>
      <c r="AE687" s="2">
        <f>IFERROR(__xludf.DUMMYFUNCTION("IFERROR(ABS(Q687-AVERAGE(FILTER(Q687:Q4755,AA687:AA4755=""Neighbor""))) / STDEV(FILTER(Q687:Q4755, AA687:AA4755 =""Neighbor"")), """")"),0.7590101131758431)</f>
        <v>0.7590101132</v>
      </c>
      <c r="AF687" s="2">
        <f>IFERROR(__xludf.DUMMYFUNCTION("IFERROR(ABS(R687-AVERAGE(FILTER(R687:R4755,AA687:AA4755=""Neighbor""))) / STDEV(FILTER(R687:R4755, AA687:AA4755 =""Neighbor"")), """")"),0.0969691838472615)</f>
        <v>0.09696918385</v>
      </c>
    </row>
    <row r="688">
      <c r="A688" s="2" t="s">
        <v>28</v>
      </c>
      <c r="B688" s="2" t="s">
        <v>2660</v>
      </c>
      <c r="C688" s="2" t="s">
        <v>2795</v>
      </c>
      <c r="D688" s="2" t="s">
        <v>2820</v>
      </c>
      <c r="E688" s="2" t="s">
        <v>2821</v>
      </c>
      <c r="F688" s="2">
        <v>154.0</v>
      </c>
      <c r="G688" s="2">
        <v>673.0</v>
      </c>
      <c r="H688" s="2" t="b">
        <v>1</v>
      </c>
      <c r="I688" s="2">
        <v>-1.0</v>
      </c>
      <c r="J688" s="2" t="b">
        <v>0</v>
      </c>
      <c r="K688" s="2" t="b">
        <v>1</v>
      </c>
      <c r="L688" s="2" t="b">
        <v>0</v>
      </c>
      <c r="M688" s="2" t="b">
        <v>0</v>
      </c>
      <c r="N688" s="2" t="s">
        <v>33</v>
      </c>
      <c r="O688" s="2">
        <v>40.0</v>
      </c>
      <c r="P688" s="2">
        <v>0.0</v>
      </c>
      <c r="Q688" s="2">
        <v>107.0</v>
      </c>
      <c r="R688" s="2">
        <v>0.0</v>
      </c>
      <c r="S688" s="3" t="s">
        <v>2822</v>
      </c>
      <c r="T688" s="2" t="s">
        <v>2823</v>
      </c>
      <c r="Y688" s="4" t="str">
        <f>IFERROR(__xludf.DUMMYFUNCTION("""COMPUTED_VALUE"""),"7.2477787")</f>
        <v>7.2477787</v>
      </c>
      <c r="Z688" s="4" t="str">
        <f>IFERROR(__xludf.DUMMYFUNCTION("""COMPUTED_VALUE"""),"3.0308388")</f>
        <v>3.0308388</v>
      </c>
      <c r="AA688" s="4" t="str">
        <f t="shared" si="1"/>
        <v>Neighbor</v>
      </c>
      <c r="AC688" s="4">
        <f>IFERROR(__xludf.DUMMYFUNCTION("IFERROR(ABS(O688-AVERAGE(FILTER(O688:O4756,AA688:AA4756=""Neighbor""))) / STDEV(FILTER(O688:O4756, AA688:AA4756 =""Neighbor"")), """")"),0.5812407464609477)</f>
        <v>0.5812407465</v>
      </c>
      <c r="AD688" s="4">
        <f>IFERROR(__xludf.DUMMYFUNCTION("IFERROR(ABS(P688-AVERAGE(FILTER(O688:P4756,AA688:AA4756=""Neighbor""))) / STDEV(FILTER(P688:P4756, AA688:AA4756 =""Neighbor"")), """")"),1.6441572743128514)</f>
        <v>1.644157274</v>
      </c>
      <c r="AE688" s="2">
        <f>IFERROR(__xludf.DUMMYFUNCTION("IFERROR(ABS(Q688-AVERAGE(FILTER(Q688:Q4756,AA688:AA4756=""Neighbor""))) / STDEV(FILTER(Q688:Q4756, AA688:AA4756 =""Neighbor"")), """")"),3.321578879227494)</f>
        <v>3.321578879</v>
      </c>
      <c r="AF688" s="2">
        <f>IFERROR(__xludf.DUMMYFUNCTION("IFERROR(ABS(R688-AVERAGE(FILTER(R688:R4756,AA688:AA4756=""Neighbor""))) / STDEV(FILTER(R688:R4756, AA688:AA4756 =""Neighbor"")), """")"),0.09700366778859044)</f>
        <v>0.09700366779</v>
      </c>
    </row>
    <row r="689">
      <c r="A689" s="2" t="s">
        <v>28</v>
      </c>
      <c r="B689" s="2" t="s">
        <v>2660</v>
      </c>
      <c r="C689" s="2" t="s">
        <v>2795</v>
      </c>
      <c r="D689" s="2" t="s">
        <v>2824</v>
      </c>
      <c r="E689" s="2" t="s">
        <v>2825</v>
      </c>
      <c r="F689" s="2">
        <v>154.0</v>
      </c>
      <c r="G689" s="2">
        <v>635.0</v>
      </c>
      <c r="H689" s="2" t="b">
        <v>1</v>
      </c>
      <c r="I689" s="2">
        <v>-1.0</v>
      </c>
      <c r="J689" s="2" t="b">
        <v>0</v>
      </c>
      <c r="K689" s="2" t="b">
        <v>0</v>
      </c>
      <c r="L689" s="2" t="b">
        <v>0</v>
      </c>
      <c r="M689" s="2" t="b">
        <v>0</v>
      </c>
      <c r="N689" s="2" t="s">
        <v>33</v>
      </c>
      <c r="O689" s="2">
        <v>86.0</v>
      </c>
      <c r="P689" s="2">
        <v>15.0</v>
      </c>
      <c r="Q689" s="2">
        <v>32.0</v>
      </c>
      <c r="R689" s="2">
        <v>9.0</v>
      </c>
      <c r="S689" s="3" t="s">
        <v>2826</v>
      </c>
      <c r="T689" s="2" t="s">
        <v>2827</v>
      </c>
      <c r="Y689" s="4" t="str">
        <f>IFERROR(__xludf.DUMMYFUNCTION("""COMPUTED_VALUE"""),"7.2390599")</f>
        <v>7.2390599</v>
      </c>
      <c r="Z689" s="4" t="str">
        <f>IFERROR(__xludf.DUMMYFUNCTION("""COMPUTED_VALUE"""),"3.0325855")</f>
        <v>3.0325855</v>
      </c>
      <c r="AA689" s="4" t="str">
        <f t="shared" si="1"/>
        <v>Not Neighbor</v>
      </c>
      <c r="AC689" s="4">
        <f>IFERROR(__xludf.DUMMYFUNCTION("IFERROR(ABS(O689-AVERAGE(FILTER(O689:O4757,AA689:AA4757=""Neighbor""))) / STDEV(FILTER(O689:O4757, AA689:AA4757 =""Neighbor"")), """")"),0.48705490901032533)</f>
        <v>0.487054909</v>
      </c>
      <c r="AD689" s="4">
        <f>IFERROR(__xludf.DUMMYFUNCTION("IFERROR(ABS(P689-AVERAGE(FILTER(O689:P4757,AA689:AA4757=""Neighbor""))) / STDEV(FILTER(P689:P4757, AA689:AA4757 =""Neighbor"")), """")"),1.0345900826516155)</f>
        <v>1.034590083</v>
      </c>
      <c r="AE689" s="2">
        <f>IFERROR(__xludf.DUMMYFUNCTION("IFERROR(ABS(Q689-AVERAGE(FILTER(Q689:Q4757,AA689:AA4757=""Neighbor""))) / STDEV(FILTER(Q689:Q4757, AA689:AA4757 =""Neighbor"")), """")"),0.27472374958656337)</f>
        <v>0.2747237496</v>
      </c>
      <c r="AF689" s="2">
        <f>IFERROR(__xludf.DUMMYFUNCTION("IFERROR(ABS(R689-AVERAGE(FILTER(R689:R4757,AA689:AA4757=""Neighbor""))) / STDEV(FILTER(R689:R4757, AA689:AA4757 =""Neighbor"")), """")"),1.5355845271840005)</f>
        <v>1.535584527</v>
      </c>
    </row>
    <row r="690">
      <c r="A690" s="2" t="s">
        <v>28</v>
      </c>
      <c r="B690" s="2" t="s">
        <v>2660</v>
      </c>
      <c r="C690" s="2" t="s">
        <v>2795</v>
      </c>
      <c r="D690" s="2" t="s">
        <v>2828</v>
      </c>
      <c r="E690" s="2" t="s">
        <v>2829</v>
      </c>
      <c r="F690" s="2">
        <v>107.0</v>
      </c>
      <c r="G690" s="2">
        <v>491.0</v>
      </c>
      <c r="H690" s="2" t="b">
        <v>1</v>
      </c>
      <c r="I690" s="2">
        <v>-1.0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s">
        <v>33</v>
      </c>
      <c r="O690" s="2">
        <v>65.0</v>
      </c>
      <c r="P690" s="2">
        <v>2.0</v>
      </c>
      <c r="Q690" s="2">
        <v>31.0</v>
      </c>
      <c r="R690" s="2">
        <v>0.0</v>
      </c>
      <c r="S690" s="3" t="s">
        <v>2830</v>
      </c>
      <c r="T690" s="2" t="s">
        <v>2831</v>
      </c>
      <c r="Y690" s="4" t="str">
        <f>IFERROR(__xludf.DUMMYFUNCTION("""COMPUTED_VALUE"""),"6.8953645")</f>
        <v>6.8953645</v>
      </c>
      <c r="Z690" s="4" t="str">
        <f>IFERROR(__xludf.DUMMYFUNCTION("""COMPUTED_VALUE"""),"3.0125674")</f>
        <v>3.0125674</v>
      </c>
      <c r="AA690" s="4" t="str">
        <f t="shared" si="1"/>
        <v>Not Neighbor</v>
      </c>
      <c r="AC690" s="4">
        <f>IFERROR(__xludf.DUMMYFUNCTION("IFERROR(ABS(O690-AVERAGE(FILTER(O690:O4758,AA690:AA4758=""Neighbor""))) / STDEV(FILTER(O690:O4758, AA690:AA4758 =""Neighbor"")), """")"),7.705008658191059E-4)</f>
        <v>0.0007705008658</v>
      </c>
      <c r="AD690" s="4">
        <f>IFERROR(__xludf.DUMMYFUNCTION("IFERROR(ABS(P690-AVERAGE(FILTER(O690:P4758,AA690:AA4758=""Neighbor""))) / STDEV(FILTER(P690:P4758, AA690:AA4758 =""Neighbor"")), """")"),1.5630958968395887)</f>
        <v>1.563095897</v>
      </c>
      <c r="AE690" s="2">
        <f>IFERROR(__xludf.DUMMYFUNCTION("IFERROR(ABS(Q690-AVERAGE(FILTER(Q690:Q4758,AA690:AA4758=""Neighbor""))) / STDEV(FILTER(Q690:Q4758, AA690:AA4758 =""Neighbor"")), """")"),0.23390978930514583)</f>
        <v>0.2339097893</v>
      </c>
      <c r="AF690" s="2">
        <f>IFERROR(__xludf.DUMMYFUNCTION("IFERROR(ABS(R690-AVERAGE(FILTER(R690:R4758,AA690:AA4758=""Neighbor""))) / STDEV(FILTER(R690:R4758, AA690:AA4758 =""Neighbor"")), """")"),0.09703818854568341)</f>
        <v>0.09703818855</v>
      </c>
    </row>
    <row r="691">
      <c r="A691" s="2" t="s">
        <v>28</v>
      </c>
      <c r="B691" s="2" t="s">
        <v>2660</v>
      </c>
      <c r="C691" s="2" t="s">
        <v>2795</v>
      </c>
      <c r="D691" s="2" t="s">
        <v>2832</v>
      </c>
      <c r="E691" s="2" t="s">
        <v>2833</v>
      </c>
      <c r="F691" s="2">
        <v>208.0</v>
      </c>
      <c r="G691" s="2">
        <v>781.0</v>
      </c>
      <c r="H691" s="2" t="b">
        <v>1</v>
      </c>
      <c r="I691" s="2">
        <v>-1.0</v>
      </c>
      <c r="J691" s="2" t="b">
        <v>0</v>
      </c>
      <c r="K691" s="2" t="b">
        <v>0</v>
      </c>
      <c r="L691" s="2" t="b">
        <v>0</v>
      </c>
      <c r="M691" s="2" t="b">
        <v>0</v>
      </c>
      <c r="N691" s="2" t="s">
        <v>33</v>
      </c>
      <c r="O691" s="2">
        <v>140.0</v>
      </c>
      <c r="P691" s="2">
        <v>9.0</v>
      </c>
      <c r="Q691" s="2">
        <v>46.0</v>
      </c>
      <c r="R691" s="2">
        <v>1.0</v>
      </c>
      <c r="S691" s="3" t="s">
        <v>2834</v>
      </c>
      <c r="T691" s="2" t="s">
        <v>2835</v>
      </c>
      <c r="Y691" s="4" t="str">
        <f>IFERROR(__xludf.DUMMYFUNCTION("""COMPUTED_VALUE"""),"7.2446113")</f>
        <v>7.2446113</v>
      </c>
      <c r="Z691" s="4" t="str">
        <f>IFERROR(__xludf.DUMMYFUNCTION("""COMPUTED_VALUE"""),"3.0075642")</f>
        <v>3.0075642</v>
      </c>
      <c r="AA691" s="4" t="str">
        <f t="shared" si="1"/>
        <v>Not Neighbor</v>
      </c>
      <c r="AC691" s="4">
        <f>IFERROR(__xludf.DUMMYFUNCTION("IFERROR(ABS(O691-AVERAGE(FILTER(O691:O4759,AA691:AA4759=""Neighbor""))) / STDEV(FILTER(O691:O4759, AA691:AA4759 =""Neighbor"")), """")"),1.7414631058346968)</f>
        <v>1.741463106</v>
      </c>
      <c r="AD691" s="4">
        <f>IFERROR(__xludf.DUMMYFUNCTION("IFERROR(ABS(P691-AVERAGE(FILTER(O691:P4759,AA691:AA4759=""Neighbor""))) / STDEV(FILTER(P691:P4759, AA691:AA4759 =""Neighbor"")), """")"),1.2785158430460648)</f>
        <v>1.278515843</v>
      </c>
      <c r="AE691" s="2">
        <f>IFERROR(__xludf.DUMMYFUNCTION("IFERROR(ABS(Q691-AVERAGE(FILTER(Q691:Q4759,AA691:AA4759=""Neighbor""))) / STDEV(FILTER(Q691:Q4759, AA691:AA4759 =""Neighbor"")), """")"),0.8461191935264085)</f>
        <v>0.8461191935</v>
      </c>
      <c r="AF691" s="2">
        <f>IFERROR(__xludf.DUMMYFUNCTION("IFERROR(ABS(R691-AVERAGE(FILTER(R691:R4759,AA691:AA4759=""Neighbor""))) / STDEV(FILTER(R691:R4759, AA691:AA4759 =""Neighbor"")), """")"),0.08436433542428147)</f>
        <v>0.08436433542</v>
      </c>
    </row>
    <row r="692">
      <c r="A692" s="2" t="s">
        <v>28</v>
      </c>
      <c r="B692" s="2" t="s">
        <v>2660</v>
      </c>
      <c r="C692" s="2" t="s">
        <v>2795</v>
      </c>
      <c r="D692" s="2" t="s">
        <v>2836</v>
      </c>
      <c r="E692" s="2" t="s">
        <v>2837</v>
      </c>
      <c r="F692" s="2">
        <v>139.0</v>
      </c>
      <c r="G692" s="2">
        <v>696.0</v>
      </c>
      <c r="H692" s="2" t="b">
        <v>1</v>
      </c>
      <c r="I692" s="2">
        <v>-1.0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s">
        <v>33</v>
      </c>
      <c r="O692" s="2">
        <v>79.0</v>
      </c>
      <c r="P692" s="2">
        <v>7.0</v>
      </c>
      <c r="Q692" s="2">
        <v>39.0</v>
      </c>
      <c r="R692" s="2">
        <v>0.0</v>
      </c>
      <c r="S692" s="3" t="s">
        <v>2838</v>
      </c>
      <c r="T692" s="2" t="s">
        <v>2839</v>
      </c>
      <c r="Y692" s="4" t="str">
        <f>IFERROR(__xludf.DUMMYFUNCTION("""COMPUTED_VALUE"""),"7.2477787")</f>
        <v>7.2477787</v>
      </c>
      <c r="Z692" s="4" t="str">
        <f>IFERROR(__xludf.DUMMYFUNCTION("""COMPUTED_VALUE"""),"3.0308388")</f>
        <v>3.0308388</v>
      </c>
      <c r="AA692" s="4" t="str">
        <f t="shared" si="1"/>
        <v>Neighbor</v>
      </c>
      <c r="AC692" s="4">
        <f>IFERROR(__xludf.DUMMYFUNCTION("IFERROR(ABS(O692-AVERAGE(FILTER(O692:O4760,AA692:AA4760=""Neighbor""))) / STDEV(FILTER(O692:O4760, AA692:AA4760 =""Neighbor"")), """")"),0.3244464390516105)</f>
        <v>0.3244464391</v>
      </c>
      <c r="AD692" s="4">
        <f>IFERROR(__xludf.DUMMYFUNCTION("IFERROR(ABS(P692-AVERAGE(FILTER(O692:P4760,AA692:AA4760=""Neighbor""))) / STDEV(FILTER(P692:P4760, AA692:AA4760 =""Neighbor"")), """")"),1.3598244298442144)</f>
        <v>1.35982443</v>
      </c>
      <c r="AE692" s="2">
        <f>IFERROR(__xludf.DUMMYFUNCTION("IFERROR(ABS(Q692-AVERAGE(FILTER(Q692:Q4760,AA692:AA4760=""Neighbor""))) / STDEV(FILTER(Q692:Q4760, AA692:AA4760 =""Neighbor"")), """")"),0.5604214715564859)</f>
        <v>0.5604214716</v>
      </c>
      <c r="AF692" s="2">
        <f>IFERROR(__xludf.DUMMYFUNCTION("IFERROR(ABS(R692-AVERAGE(FILTER(R692:R4760,AA692:AA4760=""Neighbor""))) / STDEV(FILTER(R692:R4760, AA692:AA4760 =""Neighbor"")), """")"),0.09703818854568341)</f>
        <v>0.09703818855</v>
      </c>
    </row>
    <row r="693">
      <c r="A693" s="2" t="s">
        <v>28</v>
      </c>
      <c r="B693" s="2" t="s">
        <v>2660</v>
      </c>
      <c r="C693" s="2" t="s">
        <v>2795</v>
      </c>
      <c r="D693" s="2" t="s">
        <v>2840</v>
      </c>
      <c r="E693" s="2" t="s">
        <v>2841</v>
      </c>
      <c r="F693" s="2">
        <v>138.0</v>
      </c>
      <c r="G693" s="2">
        <v>475.0</v>
      </c>
      <c r="H693" s="2" t="b">
        <v>1</v>
      </c>
      <c r="I693" s="2">
        <v>-1.0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s">
        <v>33</v>
      </c>
      <c r="O693" s="2">
        <v>78.0</v>
      </c>
      <c r="P693" s="2">
        <v>8.0</v>
      </c>
      <c r="Q693" s="2">
        <v>40.0</v>
      </c>
      <c r="R693" s="2">
        <v>5.0</v>
      </c>
      <c r="S693" s="3" t="s">
        <v>2842</v>
      </c>
      <c r="T693" s="2" t="s">
        <v>2843</v>
      </c>
      <c r="Y693" s="4" t="str">
        <f>IFERROR(__xludf.DUMMYFUNCTION("""COMPUTED_VALUE"""),"7.2390599")</f>
        <v>7.2390599</v>
      </c>
      <c r="Z693" s="4" t="str">
        <f>IFERROR(__xludf.DUMMYFUNCTION("""COMPUTED_VALUE"""),"3.0325855")</f>
        <v>3.0325855</v>
      </c>
      <c r="AA693" s="4" t="str">
        <f t="shared" si="1"/>
        <v>Not Neighbor</v>
      </c>
      <c r="AC693" s="4">
        <f>IFERROR(__xludf.DUMMYFUNCTION("IFERROR(ABS(O693-AVERAGE(FILTER(O693:O4761,AA693:AA4761=""Neighbor""))) / STDEV(FILTER(O693:O4761, AA693:AA4761 =""Neighbor"")), """")"),0.3013505342731761)</f>
        <v>0.3013505343</v>
      </c>
      <c r="AD693" s="4">
        <f>IFERROR(__xludf.DUMMYFUNCTION("IFERROR(ABS(P693-AVERAGE(FILTER(O693:P4761,AA693:AA4761=""Neighbor""))) / STDEV(FILTER(P693:P4761, AA693:AA4761 =""Neighbor"")), """")"),1.3186915244958766)</f>
        <v>1.318691524</v>
      </c>
      <c r="AE693" s="2">
        <f>IFERROR(__xludf.DUMMYFUNCTION("IFERROR(ABS(Q693-AVERAGE(FILTER(Q693:Q4761,AA693:AA4761=""Neighbor""))) / STDEV(FILTER(Q693:Q4761, AA693:AA4761 =""Neighbor"")), """")"),0.6014854880751077)</f>
        <v>0.6014854881</v>
      </c>
      <c r="AF693" s="2">
        <f>IFERROR(__xludf.DUMMYFUNCTION("IFERROR(ABS(R693-AVERAGE(FILTER(R693:R4761,AA693:AA4761=""Neighbor""))) / STDEV(FILTER(R693:R4761, AA693:AA4761 =""Neighbor"")), """")"),0.8096225611818678)</f>
        <v>0.8096225612</v>
      </c>
    </row>
    <row r="694">
      <c r="A694" s="2" t="s">
        <v>28</v>
      </c>
      <c r="B694" s="2" t="s">
        <v>2660</v>
      </c>
      <c r="C694" s="2" t="s">
        <v>2844</v>
      </c>
      <c r="D694" s="2" t="s">
        <v>2845</v>
      </c>
      <c r="E694" s="2" t="s">
        <v>2846</v>
      </c>
      <c r="F694" s="2">
        <v>174.0</v>
      </c>
      <c r="G694" s="2">
        <v>695.0</v>
      </c>
      <c r="H694" s="2" t="b">
        <v>1</v>
      </c>
      <c r="I694" s="2">
        <v>-1.0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s">
        <v>33</v>
      </c>
      <c r="O694" s="2">
        <v>103.0</v>
      </c>
      <c r="P694" s="2">
        <v>1.0</v>
      </c>
      <c r="Q694" s="2">
        <v>79.0</v>
      </c>
      <c r="R694" s="2">
        <v>0.0</v>
      </c>
      <c r="S694" s="3" t="s">
        <v>2847</v>
      </c>
      <c r="T694" s="2" t="s">
        <v>2848</v>
      </c>
      <c r="Y694" s="4" t="str">
        <f>IFERROR(__xludf.DUMMYFUNCTION("""COMPUTED_VALUE"""),"7.2091")</f>
        <v>7.2091</v>
      </c>
      <c r="Z694" s="4" t="str">
        <f>IFERROR(__xludf.DUMMYFUNCTION("""COMPUTED_VALUE"""),"2.9728")</f>
        <v>2.9728</v>
      </c>
      <c r="AA694" s="4" t="str">
        <f t="shared" si="1"/>
        <v>Not Neighbor</v>
      </c>
      <c r="AC694" s="4">
        <f>IFERROR(__xludf.DUMMYFUNCTION("IFERROR(ABS(O694-AVERAGE(FILTER(O694:O4762,AA694:AA4762=""Neighbor""))) / STDEV(FILTER(O694:O4762, AA694:AA4762 =""Neighbor"")), """")"),0.8819115635668049)</f>
        <v>0.8819115636</v>
      </c>
      <c r="AD694" s="4">
        <f>IFERROR(__xludf.DUMMYFUNCTION("IFERROR(ABS(P694-AVERAGE(FILTER(O694:P4762,AA694:AA4762=""Neighbor""))) / STDEV(FILTER(P694:P4762, AA694:AA4762 =""Neighbor"")), """")"),1.603184127327622)</f>
        <v>1.603184127</v>
      </c>
      <c r="AE694" s="2">
        <f>IFERROR(__xludf.DUMMYFUNCTION("IFERROR(ABS(Q694-AVERAGE(FILTER(Q694:Q4762,AA694:AA4762=""Neighbor""))) / STDEV(FILTER(Q694:Q4762, AA694:AA4762 =""Neighbor"")), """")"),2.192844401190604)</f>
        <v>2.192844401</v>
      </c>
      <c r="AF694" s="2">
        <f>IFERROR(__xludf.DUMMYFUNCTION("IFERROR(ABS(R694-AVERAGE(FILTER(R694:R4762,AA694:AA4762=""Neighbor""))) / STDEV(FILTER(R694:R4762, AA694:AA4762 =""Neighbor"")), """")"),0.09707274618409614)</f>
        <v>0.09707274618</v>
      </c>
    </row>
    <row r="695">
      <c r="A695" s="2" t="s">
        <v>28</v>
      </c>
      <c r="B695" s="2" t="s">
        <v>2660</v>
      </c>
      <c r="C695" s="2" t="s">
        <v>2844</v>
      </c>
      <c r="D695" s="2" t="s">
        <v>2849</v>
      </c>
      <c r="E695" s="2" t="s">
        <v>2850</v>
      </c>
      <c r="F695" s="2">
        <v>251.0</v>
      </c>
      <c r="G695" s="2">
        <v>1222.0</v>
      </c>
      <c r="H695" s="2" t="b">
        <v>1</v>
      </c>
      <c r="I695" s="2">
        <v>-1.0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s">
        <v>33</v>
      </c>
      <c r="O695" s="2">
        <v>181.0</v>
      </c>
      <c r="P695" s="2">
        <v>6.0</v>
      </c>
      <c r="Q695" s="2">
        <v>37.0</v>
      </c>
      <c r="R695" s="2">
        <v>0.0</v>
      </c>
      <c r="S695" s="3" t="s">
        <v>2851</v>
      </c>
      <c r="T695" s="2" t="s">
        <v>2852</v>
      </c>
      <c r="Y695" s="4" t="str">
        <f>IFERROR(__xludf.DUMMYFUNCTION("""COMPUTED_VALUE"""),"7.197383")</f>
        <v>7.197383</v>
      </c>
      <c r="Z695" s="4" t="str">
        <f>IFERROR(__xludf.DUMMYFUNCTION("""COMPUTED_VALUE"""),"2.893726")</f>
        <v>2.893726</v>
      </c>
      <c r="AA695" s="4" t="str">
        <f t="shared" si="1"/>
        <v>Not Neighbor</v>
      </c>
      <c r="AC695" s="4">
        <f>IFERROR(__xludf.DUMMYFUNCTION("IFERROR(ABS(O695-AVERAGE(FILTER(O695:O4763,AA695:AA4763=""Neighbor""))) / STDEV(FILTER(O695:O4763, AA695:AA4763 =""Neighbor"")), """")"),2.693261974962927)</f>
        <v>2.693261975</v>
      </c>
      <c r="AD695" s="4">
        <f>IFERROR(__xludf.DUMMYFUNCTION("IFERROR(ABS(P695-AVERAGE(FILTER(O695:P4763,AA695:AA4763=""Neighbor""))) / STDEV(FILTER(P695:P4763, AA695:AA4763 =""Neighbor"")), """")"),1.3999751253049466)</f>
        <v>1.399975125</v>
      </c>
      <c r="AE695" s="2">
        <f>IFERROR(__xludf.DUMMYFUNCTION("IFERROR(ABS(Q695-AVERAGE(FILTER(Q695:Q4763,AA695:AA4763=""Neighbor""))) / STDEV(FILTER(Q695:Q4763, AA695:AA4763 =""Neighbor"")), """")"),0.47907326398930034)</f>
        <v>0.479073264</v>
      </c>
      <c r="AF695" s="2">
        <f>IFERROR(__xludf.DUMMYFUNCTION("IFERROR(ABS(R695-AVERAGE(FILTER(R695:R4763,AA695:AA4763=""Neighbor""))) / STDEV(FILTER(R695:R4763, AA695:AA4763 =""Neighbor"")), """")"),0.09707274618409614)</f>
        <v>0.09707274618</v>
      </c>
    </row>
    <row r="696">
      <c r="A696" s="2" t="s">
        <v>28</v>
      </c>
      <c r="B696" s="2" t="s">
        <v>2660</v>
      </c>
      <c r="C696" s="2" t="s">
        <v>2844</v>
      </c>
      <c r="D696" s="2" t="s">
        <v>2853</v>
      </c>
      <c r="E696" s="2" t="s">
        <v>2854</v>
      </c>
      <c r="F696" s="2">
        <v>213.0</v>
      </c>
      <c r="G696" s="2">
        <v>726.0</v>
      </c>
      <c r="H696" s="2" t="b">
        <v>1</v>
      </c>
      <c r="I696" s="2">
        <v>-1.0</v>
      </c>
      <c r="J696" s="2" t="b">
        <v>0</v>
      </c>
      <c r="K696" s="2" t="b">
        <v>0</v>
      </c>
      <c r="L696" s="2" t="b">
        <v>0</v>
      </c>
      <c r="M696" s="2" t="b">
        <v>0</v>
      </c>
      <c r="N696" s="2" t="s">
        <v>33</v>
      </c>
      <c r="O696" s="2">
        <v>143.0</v>
      </c>
      <c r="P696" s="2">
        <v>0.0</v>
      </c>
      <c r="Q696" s="2">
        <v>68.0</v>
      </c>
      <c r="R696" s="2">
        <v>0.0</v>
      </c>
      <c r="S696" s="3" t="s">
        <v>2855</v>
      </c>
      <c r="T696" s="2" t="s">
        <v>2856</v>
      </c>
      <c r="Y696" s="4" t="str">
        <f>IFERROR(__xludf.DUMMYFUNCTION("""COMPUTED_VALUE"""),"7.2091")</f>
        <v>7.2091</v>
      </c>
      <c r="Z696" s="4" t="str">
        <f>IFERROR(__xludf.DUMMYFUNCTION("""COMPUTED_VALUE"""),"2.9728")</f>
        <v>2.9728</v>
      </c>
      <c r="AA696" s="4" t="str">
        <f t="shared" si="1"/>
        <v>Not Neighbor</v>
      </c>
      <c r="AC696" s="4">
        <f>IFERROR(__xludf.DUMMYFUNCTION("IFERROR(ABS(O696-AVERAGE(FILTER(O696:O4764,AA696:AA4764=""Neighbor""))) / STDEV(FILTER(O696:O4764, AA696:AA4764 =""Neighbor"")), """")"),1.8108092104366111)</f>
        <v>1.81080921</v>
      </c>
      <c r="AD696" s="4">
        <f>IFERROR(__xludf.DUMMYFUNCTION("IFERROR(ABS(P696-AVERAGE(FILTER(O696:P4764,AA696:AA4764=""Neighbor""))) / STDEV(FILTER(P696:P4764, AA696:AA4764 =""Neighbor"")), """")"),1.6438259277321572)</f>
        <v>1.643825928</v>
      </c>
      <c r="AE696" s="2">
        <f>IFERROR(__xludf.DUMMYFUNCTION("IFERROR(ABS(Q696-AVERAGE(FILTER(Q696:Q4764,AA696:AA4764=""Neighbor""))) / STDEV(FILTER(Q696:Q4764, AA696:AA4764 =""Neighbor"")), """")"),1.7439995795426433)</f>
        <v>1.74399958</v>
      </c>
      <c r="AF696" s="2">
        <f>IFERROR(__xludf.DUMMYFUNCTION("IFERROR(ABS(R696-AVERAGE(FILTER(R696:R4764,AA696:AA4764=""Neighbor""))) / STDEV(FILTER(R696:R4764, AA696:AA4764 =""Neighbor"")), """")"),0.09707274618409614)</f>
        <v>0.09707274618</v>
      </c>
    </row>
    <row r="697">
      <c r="A697" s="2" t="s">
        <v>28</v>
      </c>
      <c r="B697" s="2" t="s">
        <v>2660</v>
      </c>
      <c r="C697" s="2" t="s">
        <v>2844</v>
      </c>
      <c r="D697" s="2" t="s">
        <v>2857</v>
      </c>
      <c r="E697" s="2" t="s">
        <v>2858</v>
      </c>
      <c r="F697" s="2">
        <v>296.0</v>
      </c>
      <c r="G697" s="2">
        <v>926.0</v>
      </c>
      <c r="H697" s="2" t="b">
        <v>1</v>
      </c>
      <c r="I697" s="2">
        <v>-1.0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s">
        <v>33</v>
      </c>
      <c r="O697" s="2">
        <v>131.0</v>
      </c>
      <c r="P697" s="2">
        <v>2.0</v>
      </c>
      <c r="Q697" s="2">
        <v>149.0</v>
      </c>
      <c r="R697" s="2">
        <v>0.0</v>
      </c>
      <c r="S697" s="3" t="s">
        <v>2859</v>
      </c>
      <c r="T697" s="2" t="s">
        <v>2860</v>
      </c>
      <c r="Y697" s="4" t="str">
        <f>IFERROR(__xludf.DUMMYFUNCTION("""COMPUTED_VALUE"""),"7.1477866")</f>
        <v>7.1477866</v>
      </c>
      <c r="Z697" s="4" t="str">
        <f>IFERROR(__xludf.DUMMYFUNCTION("""COMPUTED_VALUE"""),"2.9975593")</f>
        <v>2.9975593</v>
      </c>
      <c r="AA697" s="4" t="str">
        <f t="shared" si="1"/>
        <v>Not Neighbor</v>
      </c>
      <c r="AC697" s="4">
        <f>IFERROR(__xludf.DUMMYFUNCTION("IFERROR(ABS(O697-AVERAGE(FILTER(O697:O4765,AA697:AA4765=""Neighbor""))) / STDEV(FILTER(O697:O4765, AA697:AA4765 =""Neighbor"")), """")"),1.5321399163756693)</f>
        <v>1.532139916</v>
      </c>
      <c r="AD697" s="4">
        <f>IFERROR(__xludf.DUMMYFUNCTION("IFERROR(ABS(P697-AVERAGE(FILTER(O697:P4765,AA697:AA4765=""Neighbor""))) / STDEV(FILTER(P697:P4765, AA697:AA4765 =""Neighbor"")), """")"),1.562542326923087)</f>
        <v>1.562542327</v>
      </c>
      <c r="AE697" s="2">
        <f>IFERROR(__xludf.DUMMYFUNCTION("IFERROR(ABS(Q697-AVERAGE(FILTER(Q697:Q4765,AA697:AA4765=""Neighbor""))) / STDEV(FILTER(Q697:Q4765, AA697:AA4765 =""Neighbor"")), """")"),5.0491296298594435)</f>
        <v>5.04912963</v>
      </c>
      <c r="AF697" s="2">
        <f>IFERROR(__xludf.DUMMYFUNCTION("IFERROR(ABS(R697-AVERAGE(FILTER(R697:R4765,AA697:AA4765=""Neighbor""))) / STDEV(FILTER(R697:R4765, AA697:AA4765 =""Neighbor"")), """")"),0.09707274618409614)</f>
        <v>0.09707274618</v>
      </c>
    </row>
    <row r="698">
      <c r="A698" s="2" t="s">
        <v>28</v>
      </c>
      <c r="B698" s="2" t="s">
        <v>2660</v>
      </c>
      <c r="C698" s="2" t="s">
        <v>2844</v>
      </c>
      <c r="D698" s="2" t="s">
        <v>2861</v>
      </c>
      <c r="E698" s="2" t="s">
        <v>2862</v>
      </c>
      <c r="F698" s="2">
        <v>180.0</v>
      </c>
      <c r="G698" s="2">
        <v>439.0</v>
      </c>
      <c r="H698" s="2" t="b">
        <v>1</v>
      </c>
      <c r="I698" s="2">
        <v>-1.0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s">
        <v>33</v>
      </c>
      <c r="O698" s="2">
        <v>147.0</v>
      </c>
      <c r="P698" s="2">
        <v>0.0</v>
      </c>
      <c r="Q698" s="2">
        <v>26.0</v>
      </c>
      <c r="R698" s="2">
        <v>0.0</v>
      </c>
      <c r="S698" s="3" t="s">
        <v>2863</v>
      </c>
      <c r="T698" s="2" t="s">
        <v>2864</v>
      </c>
      <c r="Y698" s="4" t="str">
        <f>IFERROR(__xludf.DUMMYFUNCTION("""COMPUTED_VALUE"""),"7.137037")</f>
        <v>7.137037</v>
      </c>
      <c r="Z698" s="4" t="str">
        <f>IFERROR(__xludf.DUMMYFUNCTION("""COMPUTED_VALUE"""),"2.979898")</f>
        <v>2.979898</v>
      </c>
      <c r="AA698" s="4" t="str">
        <f t="shared" si="1"/>
        <v>Not Neighbor</v>
      </c>
      <c r="AC698" s="4">
        <f>IFERROR(__xludf.DUMMYFUNCTION("IFERROR(ABS(O698-AVERAGE(FILTER(O698:O4766,AA698:AA4766=""Neighbor""))) / STDEV(FILTER(O698:O4766, AA698:AA4766 =""Neighbor"")), """")"),1.9036989751235918)</f>
        <v>1.903698975</v>
      </c>
      <c r="AD698" s="4">
        <f>IFERROR(__xludf.DUMMYFUNCTION("IFERROR(ABS(P698-AVERAGE(FILTER(O698:P4766,AA698:AA4766=""Neighbor""))) / STDEV(FILTER(P698:P4766, AA698:AA4766 =""Neighbor"")), """")"),1.6438259277321572)</f>
        <v>1.643825928</v>
      </c>
      <c r="AE698" s="2">
        <f>IFERROR(__xludf.DUMMYFUNCTION("IFERROR(ABS(Q698-AVERAGE(FILTER(Q698:Q4766,AA698:AA4766=""Neighbor""))) / STDEV(FILTER(Q698:Q4766, AA698:AA4766 =""Neighbor"")), """")"),0.03022844234133986)</f>
        <v>0.03022844234</v>
      </c>
      <c r="AF698" s="2">
        <f>IFERROR(__xludf.DUMMYFUNCTION("IFERROR(ABS(R698-AVERAGE(FILTER(R698:R4766,AA698:AA4766=""Neighbor""))) / STDEV(FILTER(R698:R4766, AA698:AA4766 =""Neighbor"")), """")"),0.09707274618409614)</f>
        <v>0.09707274618</v>
      </c>
    </row>
    <row r="699">
      <c r="A699" s="2" t="s">
        <v>28</v>
      </c>
      <c r="B699" s="2" t="s">
        <v>2660</v>
      </c>
      <c r="C699" s="2" t="s">
        <v>2844</v>
      </c>
      <c r="D699" s="2" t="s">
        <v>2865</v>
      </c>
      <c r="E699" s="2" t="s">
        <v>2866</v>
      </c>
      <c r="F699" s="2">
        <v>201.0</v>
      </c>
      <c r="G699" s="2">
        <v>631.0</v>
      </c>
      <c r="H699" s="2" t="b">
        <v>1</v>
      </c>
      <c r="I699" s="2">
        <v>-1.0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s">
        <v>33</v>
      </c>
      <c r="O699" s="2">
        <v>106.0</v>
      </c>
      <c r="P699" s="2">
        <v>6.0</v>
      </c>
      <c r="Q699" s="2">
        <v>76.0</v>
      </c>
      <c r="R699" s="2">
        <v>0.0</v>
      </c>
      <c r="S699" s="3" t="s">
        <v>2867</v>
      </c>
      <c r="T699" s="2" t="s">
        <v>2868</v>
      </c>
      <c r="Y699" s="4" t="str">
        <f>IFERROR(__xludf.DUMMYFUNCTION("""COMPUTED_VALUE"""),"7.1424283")</f>
        <v>7.1424283</v>
      </c>
      <c r="Z699" s="4" t="str">
        <f>IFERROR(__xludf.DUMMYFUNCTION("""COMPUTED_VALUE"""),"3.0460399")</f>
        <v>3.0460399</v>
      </c>
      <c r="AA699" s="4" t="str">
        <f t="shared" si="1"/>
        <v>Neighbor</v>
      </c>
      <c r="AC699" s="4">
        <f>IFERROR(__xludf.DUMMYFUNCTION("IFERROR(ABS(O699-AVERAGE(FILTER(O699:O4767,AA699:AA4767=""Neighbor""))) / STDEV(FILTER(O699:O4767, AA699:AA4767 =""Neighbor"")), """")"),0.9515788870820404)</f>
        <v>0.9515788871</v>
      </c>
      <c r="AD699" s="4">
        <f>IFERROR(__xludf.DUMMYFUNCTION("IFERROR(ABS(P699-AVERAGE(FILTER(O699:P4767,AA699:AA4767=""Neighbor""))) / STDEV(FILTER(P699:P4767, AA699:AA4767 =""Neighbor"")), """")"),1.3999751253049466)</f>
        <v>1.399975125</v>
      </c>
      <c r="AE699" s="2">
        <f>IFERROR(__xludf.DUMMYFUNCTION("IFERROR(ABS(Q699-AVERAGE(FILTER(Q699:Q4767,AA699:AA4767=""Neighbor""))) / STDEV(FILTER(Q699:Q4767, AA699:AA4767 =""Neighbor"")), """")"),2.0704321771047964)</f>
        <v>2.070432177</v>
      </c>
      <c r="AF699" s="2">
        <f>IFERROR(__xludf.DUMMYFUNCTION("IFERROR(ABS(R699-AVERAGE(FILTER(R699:R4767,AA699:AA4767=""Neighbor""))) / STDEV(FILTER(R699:R4767, AA699:AA4767 =""Neighbor"")), """")"),0.09707274618409614)</f>
        <v>0.09707274618</v>
      </c>
    </row>
    <row r="700">
      <c r="A700" s="2" t="s">
        <v>28</v>
      </c>
      <c r="B700" s="2" t="s">
        <v>2660</v>
      </c>
      <c r="C700" s="2" t="s">
        <v>2844</v>
      </c>
      <c r="D700" s="2" t="s">
        <v>2869</v>
      </c>
      <c r="E700" s="2" t="s">
        <v>2870</v>
      </c>
      <c r="F700" s="2">
        <v>196.0</v>
      </c>
      <c r="G700" s="2">
        <v>644.0</v>
      </c>
      <c r="H700" s="2" t="b">
        <v>1</v>
      </c>
      <c r="I700" s="2">
        <v>-1.0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s">
        <v>33</v>
      </c>
      <c r="O700" s="2">
        <v>104.0</v>
      </c>
      <c r="P700" s="2">
        <v>6.0</v>
      </c>
      <c r="Q700" s="2">
        <v>72.0</v>
      </c>
      <c r="R700" s="2">
        <v>1.0</v>
      </c>
      <c r="S700" s="3" t="s">
        <v>2871</v>
      </c>
      <c r="T700" s="2" t="s">
        <v>2872</v>
      </c>
      <c r="Y700" s="4" t="str">
        <f>IFERROR(__xludf.DUMMYFUNCTION("""COMPUTED_VALUE"""),"7.1424283")</f>
        <v>7.1424283</v>
      </c>
      <c r="Z700" s="4" t="str">
        <f>IFERROR(__xludf.DUMMYFUNCTION("""COMPUTED_VALUE"""),"3.0460399")</f>
        <v>3.0460399</v>
      </c>
      <c r="AA700" s="4" t="str">
        <f t="shared" si="1"/>
        <v>Not Neighbor</v>
      </c>
      <c r="AC700" s="4">
        <f>IFERROR(__xludf.DUMMYFUNCTION("IFERROR(ABS(O700-AVERAGE(FILTER(O700:O4768,AA700:AA4768=""Neighbor""))) / STDEV(FILTER(O700:O4768, AA700:AA4768 =""Neighbor"")), """")"),0.9057764375929915)</f>
        <v>0.9057764376</v>
      </c>
      <c r="AD700" s="4">
        <f>IFERROR(__xludf.DUMMYFUNCTION("IFERROR(ABS(P700-AVERAGE(FILTER(O700:P4768,AA700:AA4768=""Neighbor""))) / STDEV(FILTER(P700:P4768, AA700:AA4768 =""Neighbor"")), """")"),1.3991133911720324)</f>
        <v>1.399113391</v>
      </c>
      <c r="AE700" s="2">
        <f>IFERROR(__xludf.DUMMYFUNCTION("IFERROR(ABS(Q700-AVERAGE(FILTER(Q700:Q4768,AA700:AA4768=""Neighbor""))) / STDEV(FILTER(Q700:Q4768, AA700:AA4768 =""Neighbor"")), """")"),1.9109032662549976)</f>
        <v>1.910903266</v>
      </c>
      <c r="AF700" s="2">
        <f>IFERROR(__xludf.DUMMYFUNCTION("IFERROR(ABS(R700-AVERAGE(FILTER(R700:R4768,AA700:AA4768=""Neighbor""))) / STDEV(FILTER(R700:R4768, AA700:AA4768 =""Neighbor"")), """")"),0.08416823599682483)</f>
        <v>0.084168236</v>
      </c>
    </row>
    <row r="701">
      <c r="A701" s="2" t="s">
        <v>28</v>
      </c>
      <c r="B701" s="2" t="s">
        <v>2660</v>
      </c>
      <c r="C701" s="2" t="s">
        <v>2844</v>
      </c>
      <c r="D701" s="2" t="s">
        <v>2873</v>
      </c>
      <c r="E701" s="2" t="s">
        <v>2874</v>
      </c>
      <c r="F701" s="2">
        <v>179.0</v>
      </c>
      <c r="G701" s="2">
        <v>951.0</v>
      </c>
      <c r="H701" s="2" t="b">
        <v>1</v>
      </c>
      <c r="I701" s="2">
        <v>-1.0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s">
        <v>33</v>
      </c>
      <c r="O701" s="2">
        <v>112.0</v>
      </c>
      <c r="P701" s="2">
        <v>4.0</v>
      </c>
      <c r="Q701" s="2">
        <v>79.0</v>
      </c>
      <c r="R701" s="2">
        <v>0.0</v>
      </c>
      <c r="S701" s="3" t="s">
        <v>2875</v>
      </c>
      <c r="T701" s="2" t="s">
        <v>2876</v>
      </c>
      <c r="Y701" s="4" t="str">
        <f>IFERROR(__xludf.DUMMYFUNCTION("""COMPUTED_VALUE"""),"7.0956284")</f>
        <v>7.0956284</v>
      </c>
      <c r="Z701" s="4" t="str">
        <f>IFERROR(__xludf.DUMMYFUNCTION("""COMPUTED_VALUE"""),"3.0085023")</f>
        <v>3.0085023</v>
      </c>
      <c r="AA701" s="4" t="str">
        <f t="shared" si="1"/>
        <v>Not Neighbor</v>
      </c>
      <c r="AC701" s="4">
        <f>IFERROR(__xludf.DUMMYFUNCTION("IFERROR(ABS(O701-AVERAGE(FILTER(O701:O4769,AA701:AA4769=""Neighbor""))) / STDEV(FILTER(O701:O4769, AA701:AA4769 =""Neighbor"")), """")"),1.0915498014897296)</f>
        <v>1.091549801</v>
      </c>
      <c r="AD701" s="4">
        <f>IFERROR(__xludf.DUMMYFUNCTION("IFERROR(ABS(P701-AVERAGE(FILTER(O701:P4769,AA701:AA4769=""Neighbor""))) / STDEV(FILTER(P701:P4769, AA701:AA4769 =""Neighbor"")), """")"),1.480372888509556)</f>
        <v>1.480372889</v>
      </c>
      <c r="AE701" s="2">
        <f>IFERROR(__xludf.DUMMYFUNCTION("IFERROR(ABS(Q701-AVERAGE(FILTER(Q701:Q4769,AA701:AA4769=""Neighbor""))) / STDEV(FILTER(Q701:Q4769, AA701:AA4769 =""Neighbor"")), """")"),2.196864632226016)</f>
        <v>2.196864632</v>
      </c>
      <c r="AF701" s="2">
        <f>IFERROR(__xludf.DUMMYFUNCTION("IFERROR(ABS(R701-AVERAGE(FILTER(R701:R4769,AA701:AA4769=""Neighbor""))) / STDEV(FILTER(R701:R4769, AA701:AA4769 =""Neighbor"")), """")"),0.09710734076954827)</f>
        <v>0.09710734077</v>
      </c>
    </row>
    <row r="702">
      <c r="A702" s="2" t="s">
        <v>28</v>
      </c>
      <c r="B702" s="2" t="s">
        <v>2660</v>
      </c>
      <c r="C702" s="2" t="s">
        <v>2844</v>
      </c>
      <c r="D702" s="2" t="s">
        <v>2877</v>
      </c>
      <c r="E702" s="2" t="s">
        <v>2878</v>
      </c>
      <c r="F702" s="2">
        <v>149.0</v>
      </c>
      <c r="G702" s="2">
        <v>610.0</v>
      </c>
      <c r="H702" s="2" t="b">
        <v>1</v>
      </c>
      <c r="I702" s="2">
        <v>-1.0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s">
        <v>33</v>
      </c>
      <c r="O702" s="2">
        <v>89.0</v>
      </c>
      <c r="P702" s="2">
        <v>1.0</v>
      </c>
      <c r="Q702" s="2">
        <v>48.0</v>
      </c>
      <c r="R702" s="2">
        <v>3.0</v>
      </c>
      <c r="S702" s="3" t="s">
        <v>2879</v>
      </c>
      <c r="T702" s="2" t="s">
        <v>2880</v>
      </c>
      <c r="Y702" s="4" t="str">
        <f>IFERROR(__xludf.DUMMYFUNCTION("""COMPUTED_VALUE"""),"7.1477866")</f>
        <v>7.1477866</v>
      </c>
      <c r="Z702" s="4" t="str">
        <f>IFERROR(__xludf.DUMMYFUNCTION("""COMPUTED_VALUE"""),"2.9975593")</f>
        <v>2.9975593</v>
      </c>
      <c r="AA702" s="4" t="str">
        <f t="shared" si="1"/>
        <v>Neighbor</v>
      </c>
      <c r="AC702" s="4">
        <f>IFERROR(__xludf.DUMMYFUNCTION("IFERROR(ABS(O702-AVERAGE(FILTER(O702:O4770,AA702:AA4770=""Neighbor""))) / STDEV(FILTER(O702:O4770, AA702:AA4770 =""Neighbor"")), """")"),0.5574513802866077)</f>
        <v>0.5574513803</v>
      </c>
      <c r="AD702" s="4">
        <f>IFERROR(__xludf.DUMMYFUNCTION("IFERROR(ABS(P702-AVERAGE(FILTER(O702:P4770,AA702:AA4770=""Neighbor""))) / STDEV(FILTER(P702:P4770, AA702:AA4770 =""Neighbor"")), """")"),1.6022621345158417)</f>
        <v>1.602262135</v>
      </c>
      <c r="AE702" s="2">
        <f>IFERROR(__xludf.DUMMYFUNCTION("IFERROR(ABS(Q702-AVERAGE(FILTER(Q702:Q4770,AA702:AA4770=""Neighbor""))) / STDEV(FILTER(Q702:Q4770, AA702:AA4770 =""Neighbor"")), """")"),0.9304642972115053)</f>
        <v>0.9304642972</v>
      </c>
      <c r="AF702" s="2">
        <f>IFERROR(__xludf.DUMMYFUNCTION("IFERROR(ABS(R702-AVERAGE(FILTER(R702:R4770,AA702:AA4770=""Neighbor""))) / STDEV(FILTER(R702:R4770, AA702:AA4770 =""Neighbor"")), """")"),0.446719389529571)</f>
        <v>0.4467193895</v>
      </c>
    </row>
    <row r="703">
      <c r="A703" s="2" t="s">
        <v>28</v>
      </c>
      <c r="B703" s="2" t="s">
        <v>2660</v>
      </c>
      <c r="C703" s="2" t="s">
        <v>2844</v>
      </c>
      <c r="D703" s="2" t="s">
        <v>2881</v>
      </c>
      <c r="E703" s="2" t="s">
        <v>2882</v>
      </c>
      <c r="F703" s="2">
        <v>67.0</v>
      </c>
      <c r="G703" s="2">
        <v>361.0</v>
      </c>
      <c r="H703" s="2" t="b">
        <v>1</v>
      </c>
      <c r="I703" s="2">
        <v>-1.0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s">
        <v>33</v>
      </c>
      <c r="O703" s="2">
        <v>44.0</v>
      </c>
      <c r="P703" s="2">
        <v>0.0</v>
      </c>
      <c r="Q703" s="2">
        <v>20.0</v>
      </c>
      <c r="R703" s="2">
        <v>0.0</v>
      </c>
      <c r="S703" s="3" t="s">
        <v>2883</v>
      </c>
      <c r="T703" s="2" t="s">
        <v>2884</v>
      </c>
      <c r="Y703" s="4" t="str">
        <f>IFERROR(__xludf.DUMMYFUNCTION("""COMPUTED_VALUE"""),"7.1477866")</f>
        <v>7.1477866</v>
      </c>
      <c r="Z703" s="4" t="str">
        <f>IFERROR(__xludf.DUMMYFUNCTION("""COMPUTED_VALUE"""),"2.9975593")</f>
        <v>2.9975593</v>
      </c>
      <c r="AA703" s="4" t="str">
        <f t="shared" si="1"/>
        <v>Neighbor</v>
      </c>
      <c r="AC703" s="4">
        <f>IFERROR(__xludf.DUMMYFUNCTION("IFERROR(ABS(O703-AVERAGE(FILTER(O703:O4771,AA703:AA4771=""Neighbor""))) / STDEV(FILTER(O703:O4771, AA703:AA4771 =""Neighbor"")), """")"),0.48701082716793476)</f>
        <v>0.4870108272</v>
      </c>
      <c r="AD703" s="4">
        <f>IFERROR(__xludf.DUMMYFUNCTION("IFERROR(ABS(P703-AVERAGE(FILTER(O703:P4771,AA703:AA4771=""Neighbor""))) / STDEV(FILTER(P703:P4771, AA703:AA4771 =""Neighbor"")), """")"),1.6423920891518085)</f>
        <v>1.642392089</v>
      </c>
      <c r="AE703" s="2">
        <f>IFERROR(__xludf.DUMMYFUNCTION("IFERROR(ABS(Q703-AVERAGE(FILTER(Q703:Q4771,AA703:AA4771=""Neighbor""))) / STDEV(FILTER(Q703:Q4771, AA703:AA4771 =""Neighbor"")), """")"),0.21271307205075254)</f>
        <v>0.2127130721</v>
      </c>
      <c r="AF703" s="2">
        <f>IFERROR(__xludf.DUMMYFUNCTION("IFERROR(ABS(R703-AVERAGE(FILTER(R703:R4771,AA703:AA4771=""Neighbor""))) / STDEV(FILTER(R703:R4771, AA703:AA4771 =""Neighbor"")), """")"),0.09676401583313322)</f>
        <v>0.09676401583</v>
      </c>
    </row>
    <row r="704">
      <c r="A704" s="2" t="s">
        <v>28</v>
      </c>
      <c r="B704" s="2" t="s">
        <v>2660</v>
      </c>
      <c r="C704" s="2" t="s">
        <v>2844</v>
      </c>
      <c r="D704" s="2" t="s">
        <v>2885</v>
      </c>
      <c r="E704" s="2" t="s">
        <v>2886</v>
      </c>
      <c r="F704" s="2">
        <v>72.0</v>
      </c>
      <c r="G704" s="2">
        <v>181.0</v>
      </c>
      <c r="H704" s="2" t="b">
        <v>1</v>
      </c>
      <c r="I704" s="2">
        <v>-1.0</v>
      </c>
      <c r="J704" s="2" t="b">
        <v>0</v>
      </c>
      <c r="K704" s="2" t="b">
        <v>0</v>
      </c>
      <c r="L704" s="2" t="b">
        <v>0</v>
      </c>
      <c r="M704" s="2" t="b">
        <v>0</v>
      </c>
      <c r="N704" s="2" t="s">
        <v>33</v>
      </c>
      <c r="O704" s="2">
        <v>59.0</v>
      </c>
      <c r="P704" s="2">
        <v>0.0</v>
      </c>
      <c r="Q704" s="2">
        <v>11.0</v>
      </c>
      <c r="R704" s="2">
        <v>1.0</v>
      </c>
      <c r="S704" s="3" t="s">
        <v>2887</v>
      </c>
      <c r="T704" s="2" t="s">
        <v>2888</v>
      </c>
      <c r="Y704" s="4" t="str">
        <f>IFERROR(__xludf.DUMMYFUNCTION("""COMPUTED_VALUE"""),"7.1477866")</f>
        <v>7.1477866</v>
      </c>
      <c r="Z704" s="4" t="str">
        <f>IFERROR(__xludf.DUMMYFUNCTION("""COMPUTED_VALUE"""),"2.9975593")</f>
        <v>2.9975593</v>
      </c>
      <c r="AA704" s="4" t="str">
        <f t="shared" si="1"/>
        <v>Not Neighbor</v>
      </c>
      <c r="AC704" s="4">
        <f>IFERROR(__xludf.DUMMYFUNCTION("IFERROR(ABS(O704-AVERAGE(FILTER(O704:O4772,AA704:AA4772=""Neighbor""))) / STDEV(FILTER(O704:O4772, AA704:AA4772 =""Neighbor"")), """")"),0.13907777654219752)</f>
        <v>0.1390777765</v>
      </c>
      <c r="AD704" s="4">
        <f>IFERROR(__xludf.DUMMYFUNCTION("IFERROR(ABS(P704-AVERAGE(FILTER(O704:P4772,AA704:AA4772=""Neighbor""))) / STDEV(FILTER(P704:P4772, AA704:AA4772 =""Neighbor"")), """")"),1.6425827904924057)</f>
        <v>1.64258279</v>
      </c>
      <c r="AE704" s="2">
        <f>IFERROR(__xludf.DUMMYFUNCTION("IFERROR(ABS(Q704-AVERAGE(FILTER(Q704:Q4772,AA704:AA4772=""Neighbor""))) / STDEV(FILTER(Q704:Q4772, AA704:AA4772 =""Neighbor"")), """")"),0.5803146859595568)</f>
        <v>0.580314686</v>
      </c>
      <c r="AF704" s="2">
        <f>IFERROR(__xludf.DUMMYFUNCTION("IFERROR(ABS(R704-AVERAGE(FILTER(R704:R4772,AA704:AA4772=""Neighbor""))) / STDEV(FILTER(R704:R4772, AA704:AA4772 =""Neighbor"")), """")"),0.08436217748191156)</f>
        <v>0.08436217748</v>
      </c>
    </row>
    <row r="705">
      <c r="A705" s="2" t="s">
        <v>28</v>
      </c>
      <c r="B705" s="2" t="s">
        <v>2660</v>
      </c>
      <c r="C705" s="2" t="s">
        <v>2844</v>
      </c>
      <c r="D705" s="2" t="s">
        <v>2889</v>
      </c>
      <c r="E705" s="2" t="s">
        <v>2890</v>
      </c>
      <c r="F705" s="2">
        <v>258.0</v>
      </c>
      <c r="G705" s="2">
        <v>514.0</v>
      </c>
      <c r="H705" s="2" t="b">
        <v>1</v>
      </c>
      <c r="I705" s="2">
        <v>-1.0</v>
      </c>
      <c r="J705" s="2" t="b">
        <v>0</v>
      </c>
      <c r="K705" s="2" t="b">
        <v>0</v>
      </c>
      <c r="L705" s="2" t="b">
        <v>0</v>
      </c>
      <c r="M705" s="2" t="b">
        <v>0</v>
      </c>
      <c r="N705" s="2" t="s">
        <v>33</v>
      </c>
      <c r="O705" s="2">
        <v>121.0</v>
      </c>
      <c r="P705" s="2">
        <v>20.0</v>
      </c>
      <c r="Q705" s="2">
        <v>108.0</v>
      </c>
      <c r="R705" s="2">
        <v>2.0</v>
      </c>
      <c r="S705" s="3" t="s">
        <v>2891</v>
      </c>
      <c r="T705" s="2" t="s">
        <v>2892</v>
      </c>
      <c r="Y705" s="4" t="str">
        <f>IFERROR(__xludf.DUMMYFUNCTION("""COMPUTED_VALUE"""),"7.1907469")</f>
        <v>7.1907469</v>
      </c>
      <c r="Z705" s="4" t="str">
        <f>IFERROR(__xludf.DUMMYFUNCTION("""COMPUTED_VALUE"""),"2.9057373")</f>
        <v>2.9057373</v>
      </c>
      <c r="AA705" s="4" t="str">
        <f t="shared" si="1"/>
        <v>Not Neighbor</v>
      </c>
      <c r="AC705" s="4">
        <f>IFERROR(__xludf.DUMMYFUNCTION("IFERROR(ABS(O705-AVERAGE(FILTER(O705:O4773,AA705:AA4773=""Neighbor""))) / STDEV(FILTER(O705:O4773, AA705:AA4773 =""Neighbor"")), """")"),1.2999263207479588)</f>
        <v>1.299926321</v>
      </c>
      <c r="AD705" s="4">
        <f>IFERROR(__xludf.DUMMYFUNCTION("IFERROR(ABS(P705-AVERAGE(FILTER(O705:P4773,AA705:AA4773=""Neighbor""))) / STDEV(FILTER(P705:P4773, AA705:AA4773 =""Neighbor"")), """")"),0.8303378949234964)</f>
        <v>0.8303378949</v>
      </c>
      <c r="AE705" s="2">
        <f>IFERROR(__xludf.DUMMYFUNCTION("IFERROR(ABS(Q705-AVERAGE(FILTER(Q705:Q4773,AA705:AA4773=""Neighbor""))) / STDEV(FILTER(Q705:Q4773, AA705:AA4773 =""Neighbor"")), """")"),3.3807665477208624)</f>
        <v>3.380766548</v>
      </c>
      <c r="AF705" s="2">
        <f>IFERROR(__xludf.DUMMYFUNCTION("IFERROR(ABS(R705-AVERAGE(FILTER(R705:R4773,AA705:AA4773=""Neighbor""))) / STDEV(FILTER(R705:R4773, AA705:AA4773 =""Neighbor"")), """")"),0.26552290207452717)</f>
        <v>0.2655229021</v>
      </c>
    </row>
    <row r="706">
      <c r="A706" s="2" t="s">
        <v>28</v>
      </c>
      <c r="B706" s="2" t="s">
        <v>2660</v>
      </c>
      <c r="C706" s="2" t="s">
        <v>2844</v>
      </c>
      <c r="D706" s="2" t="s">
        <v>2893</v>
      </c>
      <c r="E706" s="2" t="s">
        <v>2894</v>
      </c>
      <c r="F706" s="2">
        <v>114.0</v>
      </c>
      <c r="G706" s="2">
        <v>332.0</v>
      </c>
      <c r="H706" s="2" t="b">
        <v>1</v>
      </c>
      <c r="I706" s="2">
        <v>-1.0</v>
      </c>
      <c r="J706" s="2" t="b">
        <v>0</v>
      </c>
      <c r="K706" s="2" t="b">
        <v>1</v>
      </c>
      <c r="L706" s="2" t="b">
        <v>0</v>
      </c>
      <c r="M706" s="2" t="b">
        <v>0</v>
      </c>
      <c r="N706" s="2" t="s">
        <v>33</v>
      </c>
      <c r="O706" s="2">
        <v>66.0</v>
      </c>
      <c r="P706" s="2">
        <v>0.0</v>
      </c>
      <c r="Q706" s="2">
        <v>44.0</v>
      </c>
      <c r="R706" s="2">
        <v>0.0</v>
      </c>
      <c r="S706" s="3" t="s">
        <v>2895</v>
      </c>
      <c r="T706" s="2" t="s">
        <v>2896</v>
      </c>
      <c r="Y706" s="4" t="str">
        <f>IFERROR(__xludf.DUMMYFUNCTION("""COMPUTED_VALUE"""),"7.1473378")</f>
        <v>7.1473378</v>
      </c>
      <c r="Z706" s="4" t="str">
        <f>IFERROR(__xludf.DUMMYFUNCTION("""COMPUTED_VALUE"""),"2.988963")</f>
        <v>2.988963</v>
      </c>
      <c r="AA706" s="4" t="str">
        <f t="shared" si="1"/>
        <v>Not Neighbor</v>
      </c>
      <c r="AC706" s="4">
        <f>IFERROR(__xludf.DUMMYFUNCTION("IFERROR(ABS(O706-AVERAGE(FILTER(O706:O4774,AA706:AA4774=""Neighbor""))) / STDEV(FILTER(O706:O4774, AA706:AA4774 =""Neighbor"")), """")"),0.023390427990562058)</f>
        <v>0.02339042799</v>
      </c>
      <c r="AD706" s="4">
        <f>IFERROR(__xludf.DUMMYFUNCTION("IFERROR(ABS(P706-AVERAGE(FILTER(O706:P4774,AA706:AA4774=""Neighbor""))) / STDEV(FILTER(P706:P4774, AA706:AA4774 =""Neighbor"")), """")"),1.6425827904924057)</f>
        <v>1.64258279</v>
      </c>
      <c r="AE706" s="2">
        <f>IFERROR(__xludf.DUMMYFUNCTION("IFERROR(ABS(Q706-AVERAGE(FILTER(Q706:Q4774,AA706:AA4774=""Neighbor""))) / STDEV(FILTER(Q706:Q4774, AA706:AA4774 =""Neighbor"")), """")"),0.7672696512719259)</f>
        <v>0.7672696513</v>
      </c>
      <c r="AF706" s="2">
        <f>IFERROR(__xludf.DUMMYFUNCTION("IFERROR(ABS(R706-AVERAGE(FILTER(R706:R4774,AA706:AA4774=""Neighbor""))) / STDEV(FILTER(R706:R4774, AA706:AA4774 =""Neighbor"")), """")"),0.09679854711070401)</f>
        <v>0.09679854711</v>
      </c>
    </row>
    <row r="707">
      <c r="A707" s="2" t="s">
        <v>28</v>
      </c>
      <c r="B707" s="2" t="s">
        <v>2660</v>
      </c>
      <c r="C707" s="2" t="s">
        <v>2844</v>
      </c>
      <c r="D707" s="2" t="s">
        <v>2897</v>
      </c>
      <c r="E707" s="2" t="s">
        <v>2898</v>
      </c>
      <c r="F707" s="2">
        <v>106.0</v>
      </c>
      <c r="G707" s="2">
        <v>491.0</v>
      </c>
      <c r="H707" s="2" t="b">
        <v>1</v>
      </c>
      <c r="I707" s="2">
        <v>-1.0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s">
        <v>33</v>
      </c>
      <c r="O707" s="2">
        <v>72.0</v>
      </c>
      <c r="P707" s="2">
        <v>5.0</v>
      </c>
      <c r="Q707" s="2">
        <v>24.0</v>
      </c>
      <c r="R707" s="2">
        <v>1.0</v>
      </c>
      <c r="S707" s="3" t="s">
        <v>2899</v>
      </c>
      <c r="T707" s="2" t="s">
        <v>2900</v>
      </c>
      <c r="Y707" s="4" t="str">
        <f>IFERROR(__xludf.DUMMYFUNCTION("""COMPUTED_VALUE"""),"7.0956284")</f>
        <v>7.0956284</v>
      </c>
      <c r="Z707" s="4" t="str">
        <f>IFERROR(__xludf.DUMMYFUNCTION("""COMPUTED_VALUE"""),"3.0085023")</f>
        <v>3.0085023</v>
      </c>
      <c r="AA707" s="4" t="str">
        <f t="shared" si="1"/>
        <v>Not Neighbor</v>
      </c>
      <c r="AC707" s="4">
        <f>IFERROR(__xludf.DUMMYFUNCTION("IFERROR(ABS(O707-AVERAGE(FILTER(O707:O4775,AA707:AA4775=""Neighbor""))) / STDEV(FILTER(O707:O4775, AA707:AA4775 =""Neighbor"")), """")"),0.1626488890186417)</f>
        <v>0.162648889</v>
      </c>
      <c r="AD707" s="4">
        <f>IFERROR(__xludf.DUMMYFUNCTION("IFERROR(ABS(P707-AVERAGE(FILTER(O707:P4775,AA707:AA4775=""Neighbor""))) / STDEV(FILTER(P707:P4775, AA707:AA4775 =""Neighbor"")), """")"),1.4395215666001784)</f>
        <v>1.439521567</v>
      </c>
      <c r="AE707" s="2">
        <f>IFERROR(__xludf.DUMMYFUNCTION("IFERROR(ABS(Q707-AVERAGE(FILTER(Q707:Q4775,AA707:AA4775=""Neighbor""))) / STDEV(FILTER(Q707:Q4775, AA707:AA4775 =""Neighbor"")), """")"),0.04944812886836668)</f>
        <v>0.04944812887</v>
      </c>
      <c r="AF707" s="2">
        <f>IFERROR(__xludf.DUMMYFUNCTION("IFERROR(ABS(R707-AVERAGE(FILTER(R707:R4775,AA707:AA4775=""Neighbor""))) / STDEV(FILTER(R707:R4775, AA707:AA4775 =""Neighbor"")), """")"),0.08436217748191156)</f>
        <v>0.08436217748</v>
      </c>
    </row>
    <row r="708">
      <c r="A708" s="2" t="s">
        <v>28</v>
      </c>
      <c r="B708" s="2" t="s">
        <v>2660</v>
      </c>
      <c r="C708" s="2" t="s">
        <v>2844</v>
      </c>
      <c r="D708" s="2" t="s">
        <v>2901</v>
      </c>
      <c r="E708" s="2" t="s">
        <v>2902</v>
      </c>
      <c r="F708" s="2">
        <v>104.0</v>
      </c>
      <c r="G708" s="2">
        <v>335.0</v>
      </c>
      <c r="H708" s="2" t="b">
        <v>1</v>
      </c>
      <c r="I708" s="2">
        <v>-1.0</v>
      </c>
      <c r="J708" s="2" t="b">
        <v>0</v>
      </c>
      <c r="K708" s="2" t="b">
        <v>0</v>
      </c>
      <c r="L708" s="2" t="b">
        <v>0</v>
      </c>
      <c r="M708" s="2" t="b">
        <v>0</v>
      </c>
      <c r="N708" s="2" t="s">
        <v>33</v>
      </c>
      <c r="O708" s="2">
        <v>49.0</v>
      </c>
      <c r="P708" s="2">
        <v>1.0</v>
      </c>
      <c r="Q708" s="2">
        <v>51.0</v>
      </c>
      <c r="R708" s="2">
        <v>3.0</v>
      </c>
      <c r="S708" s="3" t="s">
        <v>2903</v>
      </c>
      <c r="T708" s="2" t="s">
        <v>2904</v>
      </c>
      <c r="Y708" s="4" t="str">
        <f>IFERROR(__xludf.DUMMYFUNCTION("""COMPUTED_VALUE"""),"7.1424283")</f>
        <v>7.1424283</v>
      </c>
      <c r="Z708" s="4" t="str">
        <f>IFERROR(__xludf.DUMMYFUNCTION("""COMPUTED_VALUE"""),"3.0460399")</f>
        <v>3.0460399</v>
      </c>
      <c r="AA708" s="4" t="str">
        <f t="shared" si="1"/>
        <v>Neighbor</v>
      </c>
      <c r="AC708" s="4">
        <f>IFERROR(__xludf.DUMMYFUNCTION("IFERROR(ABS(O708-AVERAGE(FILTER(O708:O4776,AA708:AA4776=""Neighbor""))) / STDEV(FILTER(O708:O4776, AA708:AA4776 =""Neighbor"")), """")"),0.3711752115889969)</f>
        <v>0.3711752116</v>
      </c>
      <c r="AD708" s="4">
        <f>IFERROR(__xludf.DUMMYFUNCTION("IFERROR(ABS(P708-AVERAGE(FILTER(O708:P4776,AA708:AA4776=""Neighbor""))) / STDEV(FILTER(P708:P4776, AA708:AA4776 =""Neighbor"")), """")"),1.6019705457139604)</f>
        <v>1.601970546</v>
      </c>
      <c r="AE708" s="2">
        <f>IFERROR(__xludf.DUMMYFUNCTION("IFERROR(ABS(Q708-AVERAGE(FILTER(Q708:Q4776,AA708:AA4776=""Neighbor""))) / STDEV(FILTER(Q708:Q4776, AA708:AA4776 =""Neighbor"")), """")"),1.0531208743210283)</f>
        <v>1.053120874</v>
      </c>
      <c r="AF708" s="2">
        <f>IFERROR(__xludf.DUMMYFUNCTION("IFERROR(ABS(R708-AVERAGE(FILTER(R708:R4776,AA708:AA4776=""Neighbor""))) / STDEV(FILTER(R708:R4776, AA708:AA4776 =""Neighbor"")), """")"),0.4466836266671427)</f>
        <v>0.4466836267</v>
      </c>
    </row>
    <row r="709">
      <c r="A709" s="2" t="s">
        <v>28</v>
      </c>
      <c r="B709" s="2" t="s">
        <v>2660</v>
      </c>
      <c r="C709" s="2" t="s">
        <v>2844</v>
      </c>
      <c r="D709" s="2" t="s">
        <v>2905</v>
      </c>
      <c r="E709" s="2" t="s">
        <v>2906</v>
      </c>
      <c r="F709" s="2">
        <v>153.0</v>
      </c>
      <c r="G709" s="2">
        <v>419.0</v>
      </c>
      <c r="H709" s="2" t="b">
        <v>1</v>
      </c>
      <c r="I709" s="2">
        <v>-1.0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s">
        <v>33</v>
      </c>
      <c r="O709" s="2">
        <v>97.0</v>
      </c>
      <c r="P709" s="2">
        <v>3.0</v>
      </c>
      <c r="Q709" s="2">
        <v>45.0</v>
      </c>
      <c r="R709" s="2">
        <v>0.0</v>
      </c>
      <c r="S709" s="3" t="s">
        <v>2907</v>
      </c>
      <c r="T709" s="2" t="s">
        <v>2908</v>
      </c>
      <c r="Y709" s="4" t="str">
        <f>IFERROR(__xludf.DUMMYFUNCTION("""COMPUTED_VALUE"""),"7.1424283")</f>
        <v>7.1424283</v>
      </c>
      <c r="Z709" s="4" t="str">
        <f>IFERROR(__xludf.DUMMYFUNCTION("""COMPUTED_VALUE"""),"3.0460399")</f>
        <v>3.0460399</v>
      </c>
      <c r="AA709" s="4" t="str">
        <f t="shared" si="1"/>
        <v>Not Neighbor</v>
      </c>
      <c r="AC709" s="4">
        <f>IFERROR(__xludf.DUMMYFUNCTION("IFERROR(ABS(O709-AVERAGE(FILTER(O709:O4777,AA709:AA4777=""Neighbor""))) / STDEV(FILTER(O709:O4777, AA709:AA4777 =""Neighbor"")), """")"),0.7424028325084374)</f>
        <v>0.7424028325</v>
      </c>
      <c r="AD709" s="4">
        <f>IFERROR(__xludf.DUMMYFUNCTION("IFERROR(ABS(P709-AVERAGE(FILTER(O709:P4777,AA709:AA4777=""Neighbor""))) / STDEV(FILTER(P709:P4777, AA709:AA4777 =""Neighbor"")), """")"),1.5208488636024242)</f>
        <v>1.520848864</v>
      </c>
      <c r="AE709" s="2">
        <f>IFERROR(__xludf.DUMMYFUNCTION("IFERROR(ABS(Q709-AVERAGE(FILTER(Q709:Q4777,AA709:AA4777=""Neighbor""))) / STDEV(FILTER(Q709:Q4777, AA709:AA4777 =""Neighbor"")), """")"),0.8088828637391896)</f>
        <v>0.8088828637</v>
      </c>
      <c r="AF709" s="2">
        <f>IFERROR(__xludf.DUMMYFUNCTION("IFERROR(ABS(R709-AVERAGE(FILTER(R709:R4777,AA709:AA4777=""Neighbor""))) / STDEV(FILTER(R709:R4777, AA709:AA4777 =""Neighbor"")), """")"),0.09645484776406188)</f>
        <v>0.09645484776</v>
      </c>
    </row>
    <row r="710">
      <c r="A710" s="2" t="s">
        <v>28</v>
      </c>
      <c r="B710" s="2" t="s">
        <v>2660</v>
      </c>
      <c r="C710" s="2" t="s">
        <v>2844</v>
      </c>
      <c r="D710" s="2" t="s">
        <v>2909</v>
      </c>
      <c r="E710" s="2" t="s">
        <v>2910</v>
      </c>
      <c r="F710" s="2">
        <v>210.0</v>
      </c>
      <c r="G710" s="2">
        <v>593.0</v>
      </c>
      <c r="H710" s="2" t="b">
        <v>1</v>
      </c>
      <c r="I710" s="2">
        <v>-1.0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s">
        <v>33</v>
      </c>
      <c r="O710" s="2">
        <v>111.0</v>
      </c>
      <c r="P710" s="2">
        <v>17.0</v>
      </c>
      <c r="Q710" s="2">
        <v>64.0</v>
      </c>
      <c r="R710" s="2">
        <v>0.0</v>
      </c>
      <c r="S710" s="3" t="s">
        <v>2911</v>
      </c>
      <c r="T710" s="2" t="s">
        <v>2912</v>
      </c>
      <c r="Y710" s="4" t="str">
        <f>IFERROR(__xludf.DUMMYFUNCTION("""COMPUTED_VALUE"""),"7.181271")</f>
        <v>7.181271</v>
      </c>
      <c r="Z710" s="4" t="str">
        <f>IFERROR(__xludf.DUMMYFUNCTION("""COMPUTED_VALUE"""),"2.900326")</f>
        <v>2.900326</v>
      </c>
      <c r="AA710" s="4" t="str">
        <f t="shared" si="1"/>
        <v>Not Neighbor</v>
      </c>
      <c r="AC710" s="4">
        <f>IFERROR(__xludf.DUMMYFUNCTION("IFERROR(ABS(O710-AVERAGE(FILTER(O710:O4778,AA710:AA4778=""Neighbor""))) / STDEV(FILTER(O710:O4778, AA710:AA4778 =""Neighbor"")), """")"),1.067240017772095)</f>
        <v>1.067240018</v>
      </c>
      <c r="AD710" s="4">
        <f>IFERROR(__xludf.DUMMYFUNCTION("IFERROR(ABS(P710-AVERAGE(FILTER(O710:P4778,AA710:AA4778=""Neighbor""))) / STDEV(FILTER(P710:P4778, AA710:AA4778 =""Neighbor"")), """")"),0.9524050556726716)</f>
        <v>0.9524050557</v>
      </c>
      <c r="AE710" s="2">
        <f>IFERROR(__xludf.DUMMYFUNCTION("IFERROR(ABS(Q710-AVERAGE(FILTER(Q710:Q4778,AA710:AA4778=""Neighbor""))) / STDEV(FILTER(Q710:Q4778, AA710:AA4778 =""Neighbor"")), """")"),1.5847949585759666)</f>
        <v>1.584794959</v>
      </c>
      <c r="AF710" s="2">
        <f>IFERROR(__xludf.DUMMYFUNCTION("IFERROR(ABS(R710-AVERAGE(FILTER(R710:R4778,AA710:AA4778=""Neighbor""))) / STDEV(FILTER(R710:R4778, AA710:AA4778 =""Neighbor"")), """")"),0.09645484776406188)</f>
        <v>0.09645484776</v>
      </c>
    </row>
    <row r="711">
      <c r="A711" s="2" t="s">
        <v>28</v>
      </c>
      <c r="B711" s="2" t="s">
        <v>2660</v>
      </c>
      <c r="C711" s="2" t="s">
        <v>2913</v>
      </c>
      <c r="D711" s="2" t="s">
        <v>2914</v>
      </c>
      <c r="E711" s="2" t="s">
        <v>2915</v>
      </c>
      <c r="F711" s="2">
        <v>173.0</v>
      </c>
      <c r="G711" s="2">
        <v>829.0</v>
      </c>
      <c r="H711" s="2" t="b">
        <v>1</v>
      </c>
      <c r="I711" s="2">
        <v>-1.0</v>
      </c>
      <c r="J711" s="2" t="b">
        <v>1</v>
      </c>
      <c r="K711" s="2" t="b">
        <v>1</v>
      </c>
      <c r="L711" s="2" t="b">
        <v>0</v>
      </c>
      <c r="M711" s="2" t="b">
        <v>0</v>
      </c>
      <c r="N711" s="2" t="s">
        <v>33</v>
      </c>
      <c r="O711" s="2">
        <v>0.0</v>
      </c>
      <c r="P711" s="2">
        <v>0.0</v>
      </c>
      <c r="Q711" s="2">
        <v>0.0</v>
      </c>
      <c r="R711" s="2">
        <v>0.0</v>
      </c>
      <c r="S711" s="3" t="s">
        <v>2916</v>
      </c>
      <c r="T711" s="2" t="s">
        <v>2917</v>
      </c>
      <c r="Y711" s="4" t="str">
        <f>IFERROR(__xludf.DUMMYFUNCTION("""COMPUTED_VALUE"""),"7.0947177")</f>
        <v>7.0947177</v>
      </c>
      <c r="Z711" s="4" t="str">
        <f>IFERROR(__xludf.DUMMYFUNCTION("""COMPUTED_VALUE"""),"3.0964489")</f>
        <v>3.0964489</v>
      </c>
      <c r="AA711" s="4" t="str">
        <f t="shared" si="1"/>
        <v>Neighbor</v>
      </c>
      <c r="AC711" s="4">
        <f>IFERROR(__xludf.DUMMYFUNCTION("IFERROR(ABS(O711-AVERAGE(FILTER(O711:O4779,AA711:AA4779=""Neighbor""))) / STDEV(FILTER(O711:O4779, AA711:AA4779 =""Neighbor"")), """")"),1.5082548082469052)</f>
        <v>1.508254808</v>
      </c>
      <c r="AD711" s="4">
        <f>IFERROR(__xludf.DUMMYFUNCTION("IFERROR(ABS(P711-AVERAGE(FILTER(O711:P4779,AA711:AA4779=""Neighbor""))) / STDEV(FILTER(P711:P4779, AA711:AA4779 =""Neighbor"")), """")"),1.6426582510159426)</f>
        <v>1.642658251</v>
      </c>
      <c r="AE711" s="2">
        <f>IFERROR(__xludf.DUMMYFUNCTION("IFERROR(ABS(Q711-AVERAGE(FILTER(Q711:Q4779,AA711:AA4779=""Neighbor""))) / STDEV(FILTER(Q711:Q4779, AA711:AA4779 =""Neighbor"")), """")"),1.0288036766637032)</f>
        <v>1.028803677</v>
      </c>
      <c r="AF711" s="2">
        <f>IFERROR(__xludf.DUMMYFUNCTION("IFERROR(ABS(R711-AVERAGE(FILTER(R711:R4779,AA711:AA4779=""Neighbor""))) / STDEV(FILTER(R711:R4779, AA711:AA4779 =""Neighbor"")), """")"),0.09645484776406188)</f>
        <v>0.09645484776</v>
      </c>
    </row>
    <row r="712">
      <c r="A712" s="2" t="s">
        <v>28</v>
      </c>
      <c r="B712" s="2" t="s">
        <v>2660</v>
      </c>
      <c r="C712" s="2" t="s">
        <v>2913</v>
      </c>
      <c r="D712" s="2" t="s">
        <v>2918</v>
      </c>
      <c r="E712" s="2" t="s">
        <v>2919</v>
      </c>
      <c r="F712" s="2">
        <v>179.0</v>
      </c>
      <c r="G712" s="2">
        <v>750.0</v>
      </c>
      <c r="H712" s="2" t="b">
        <v>1</v>
      </c>
      <c r="I712" s="2">
        <v>-1.0</v>
      </c>
      <c r="J712" s="2" t="b">
        <v>0</v>
      </c>
      <c r="K712" s="2" t="b">
        <v>0</v>
      </c>
      <c r="L712" s="2" t="b">
        <v>0</v>
      </c>
      <c r="M712" s="2" t="b">
        <v>0</v>
      </c>
      <c r="N712" s="2" t="s">
        <v>33</v>
      </c>
      <c r="O712" s="2">
        <v>96.0</v>
      </c>
      <c r="P712" s="2">
        <v>14.0</v>
      </c>
      <c r="Q712" s="2">
        <v>54.0</v>
      </c>
      <c r="R712" s="2">
        <v>1.0</v>
      </c>
      <c r="S712" s="3" t="s">
        <v>2920</v>
      </c>
      <c r="T712" s="2" t="s">
        <v>2921</v>
      </c>
      <c r="Y712" s="4" t="str">
        <f>IFERROR(__xludf.DUMMYFUNCTION("""COMPUTED_VALUE"""),"7.0947177")</f>
        <v>7.0947177</v>
      </c>
      <c r="Z712" s="4" t="str">
        <f>IFERROR(__xludf.DUMMYFUNCTION("""COMPUTED_VALUE"""),"3.0964489")</f>
        <v>3.0964489</v>
      </c>
      <c r="AA712" s="4" t="str">
        <f t="shared" si="1"/>
        <v>Not Neighbor</v>
      </c>
      <c r="AC712" s="4">
        <f>IFERROR(__xludf.DUMMYFUNCTION("IFERROR(ABS(O712-AVERAGE(FILTER(O712:O4780,AA712:AA4780=""Neighbor""))) / STDEV(FILTER(O712:O4780, AA712:AA4780 =""Neighbor"")), """")"),0.718456526050509)</f>
        <v>0.7184565261</v>
      </c>
      <c r="AD712" s="4">
        <f>IFERROR(__xludf.DUMMYFUNCTION("IFERROR(ABS(P712-AVERAGE(FILTER(O712:P4780,AA712:AA4780=""Neighbor""))) / STDEV(FILTER(P712:P4780, AA712:AA4780 =""Neighbor"")), """")"),1.0751565890457102)</f>
        <v>1.075156589</v>
      </c>
      <c r="AE712" s="2">
        <f>IFERROR(__xludf.DUMMYFUNCTION("IFERROR(ABS(Q712-AVERAGE(FILTER(Q712:Q4780,AA712:AA4780=""Neighbor""))) / STDEV(FILTER(Q712:Q4780, AA712:AA4780 =""Neighbor"")), """")"),1.1757157175242825)</f>
        <v>1.175715718</v>
      </c>
      <c r="AF712" s="2">
        <f>IFERROR(__xludf.DUMMYFUNCTION("IFERROR(ABS(R712-AVERAGE(FILTER(R712:R4780,AA712:AA4780=""Neighbor""))) / STDEV(FILTER(R712:R4780, AA712:AA4780 =""Neighbor"")), """")"),0.08455646124776742)</f>
        <v>0.08455646125</v>
      </c>
    </row>
    <row r="713">
      <c r="A713" s="2" t="s">
        <v>28</v>
      </c>
      <c r="B713" s="2" t="s">
        <v>2660</v>
      </c>
      <c r="C713" s="2" t="s">
        <v>2913</v>
      </c>
      <c r="D713" s="2" t="s">
        <v>2922</v>
      </c>
      <c r="E713" s="2" t="s">
        <v>2923</v>
      </c>
      <c r="F713" s="2">
        <v>72.0</v>
      </c>
      <c r="G713" s="2">
        <v>426.0</v>
      </c>
      <c r="H713" s="2" t="b">
        <v>1</v>
      </c>
      <c r="I713" s="2">
        <v>-1.0</v>
      </c>
      <c r="J713" s="2" t="b">
        <v>1</v>
      </c>
      <c r="K713" s="2" t="b">
        <v>0</v>
      </c>
      <c r="L713" s="2" t="b">
        <v>0</v>
      </c>
      <c r="M713" s="2" t="b">
        <v>0</v>
      </c>
      <c r="N713" s="2" t="s">
        <v>33</v>
      </c>
      <c r="O713" s="2">
        <v>36.0</v>
      </c>
      <c r="P713" s="2">
        <v>0.0</v>
      </c>
      <c r="Q713" s="2">
        <v>31.0</v>
      </c>
      <c r="R713" s="2">
        <v>0.0</v>
      </c>
      <c r="S713" s="3" t="s">
        <v>2924</v>
      </c>
      <c r="T713" s="2" t="s">
        <v>2925</v>
      </c>
      <c r="Y713" s="4" t="str">
        <f>IFERROR(__xludf.DUMMYFUNCTION("""COMPUTED_VALUE"""),"7.1110218")</f>
        <v>7.1110218</v>
      </c>
      <c r="Z713" s="4" t="str">
        <f>IFERROR(__xludf.DUMMYFUNCTION("""COMPUTED_VALUE"""),"3.121704")</f>
        <v>3.121704</v>
      </c>
      <c r="AA713" s="4" t="str">
        <f t="shared" si="1"/>
        <v>Not Neighbor</v>
      </c>
      <c r="AC713" s="4">
        <f>IFERROR(__xludf.DUMMYFUNCTION("IFERROR(ABS(O713-AVERAGE(FILTER(O713:O4781,AA713:AA4781=""Neighbor""))) / STDEV(FILTER(O713:O4781, AA713:AA4781 =""Neighbor"")), """")"),0.674333414537893)</f>
        <v>0.6743334145</v>
      </c>
      <c r="AD713" s="4">
        <f>IFERROR(__xludf.DUMMYFUNCTION("IFERROR(ABS(P713-AVERAGE(FILTER(O713:P4781,AA713:AA4781=""Neighbor""))) / STDEV(FILTER(P713:P4781, AA713:AA4781 =""Neighbor"")), """")"),1.6434830299552234)</f>
        <v>1.64348303</v>
      </c>
      <c r="AE713" s="2">
        <f>IFERROR(__xludf.DUMMYFUNCTION("IFERROR(ABS(Q713-AVERAGE(FILTER(Q713:Q4781,AA713:AA4781=""Neighbor""))) / STDEV(FILTER(Q713:Q4781, AA713:AA4781 =""Neighbor"")), """")"),0.23643399380768704)</f>
        <v>0.2364339938</v>
      </c>
      <c r="AF713" s="2">
        <f>IFERROR(__xludf.DUMMYFUNCTION("IFERROR(ABS(R713-AVERAGE(FILTER(R713:R4781,AA713:AA4781=""Neighbor""))) / STDEV(FILTER(R713:R4781, AA713:AA4781 =""Neighbor"")), """")"),0.09648931541475127)</f>
        <v>0.09648931541</v>
      </c>
    </row>
    <row r="714">
      <c r="A714" s="2" t="s">
        <v>28</v>
      </c>
      <c r="B714" s="2" t="s">
        <v>2660</v>
      </c>
      <c r="C714" s="2" t="s">
        <v>2913</v>
      </c>
      <c r="D714" s="2" t="s">
        <v>2926</v>
      </c>
      <c r="E714" s="2" t="s">
        <v>2927</v>
      </c>
      <c r="F714" s="2">
        <v>162.0</v>
      </c>
      <c r="G714" s="2">
        <v>705.0</v>
      </c>
      <c r="H714" s="2" t="b">
        <v>1</v>
      </c>
      <c r="I714" s="2">
        <v>-1.0</v>
      </c>
      <c r="J714" s="2" t="b">
        <v>1</v>
      </c>
      <c r="K714" s="2" t="b">
        <v>1</v>
      </c>
      <c r="L714" s="2" t="b">
        <v>0</v>
      </c>
      <c r="M714" s="2" t="b">
        <v>0</v>
      </c>
      <c r="N714" s="2" t="s">
        <v>33</v>
      </c>
      <c r="O714" s="2">
        <v>102.0</v>
      </c>
      <c r="P714" s="2">
        <v>2.0</v>
      </c>
      <c r="Q714" s="2">
        <v>41.0</v>
      </c>
      <c r="R714" s="2">
        <v>0.0</v>
      </c>
      <c r="S714" s="3" t="s">
        <v>2928</v>
      </c>
      <c r="T714" s="2" t="s">
        <v>2929</v>
      </c>
      <c r="Y714" s="4" t="str">
        <f>IFERROR(__xludf.DUMMYFUNCTION("""COMPUTED_VALUE"""),"7.1040798")</f>
        <v>7.1040798</v>
      </c>
      <c r="Z714" s="4" t="str">
        <f>IFERROR(__xludf.DUMMYFUNCTION("""COMPUTED_VALUE"""),"3.141822")</f>
        <v>3.141822</v>
      </c>
      <c r="AA714" s="4" t="str">
        <f t="shared" si="1"/>
        <v>Not Neighbor</v>
      </c>
      <c r="AC714" s="4">
        <f>IFERROR(__xludf.DUMMYFUNCTION("IFERROR(ABS(O714-AVERAGE(FILTER(O714:O4782,AA714:AA4782=""Neighbor""))) / STDEV(FILTER(O714:O4782, AA714:AA4782 =""Neighbor"")), """")"),0.8577355201093493)</f>
        <v>0.8577355201</v>
      </c>
      <c r="AD714" s="4">
        <f>IFERROR(__xludf.DUMMYFUNCTION("IFERROR(ABS(P714-AVERAGE(FILTER(O714:P4782,AA714:AA4782=""Neighbor""))) / STDEV(FILTER(P714:P4782, AA714:AA4782 =""Neighbor"")), """")"),1.5622935383967216)</f>
        <v>1.562293538</v>
      </c>
      <c r="AE714" s="2">
        <f>IFERROR(__xludf.DUMMYFUNCTION("IFERROR(ABS(Q714-AVERAGE(FILTER(Q714:Q4782,AA714:AA4782=""Neighbor""))) / STDEV(FILTER(Q714:Q4782, AA714:AA4782 =""Neighbor"")), """")"),0.6448173519453373)</f>
        <v>0.6448173519</v>
      </c>
      <c r="AF714" s="2">
        <f>IFERROR(__xludf.DUMMYFUNCTION("IFERROR(ABS(R714-AVERAGE(FILTER(R714:R4782,AA714:AA4782=""Neighbor""))) / STDEV(FILTER(R714:R4782, AA714:AA4782 =""Neighbor"")), """")"),0.09648931541475127)</f>
        <v>0.09648931541</v>
      </c>
    </row>
    <row r="715">
      <c r="A715" s="2" t="s">
        <v>28</v>
      </c>
      <c r="B715" s="2" t="s">
        <v>2660</v>
      </c>
      <c r="C715" s="2" t="s">
        <v>2913</v>
      </c>
      <c r="D715" s="2" t="s">
        <v>2930</v>
      </c>
      <c r="E715" s="2" t="s">
        <v>2931</v>
      </c>
      <c r="F715" s="2">
        <v>136.0</v>
      </c>
      <c r="G715" s="2">
        <v>618.0</v>
      </c>
      <c r="H715" s="2" t="b">
        <v>1</v>
      </c>
      <c r="I715" s="2">
        <v>-1.0</v>
      </c>
      <c r="J715" s="2" t="b">
        <v>1</v>
      </c>
      <c r="K715" s="2" t="b">
        <v>1</v>
      </c>
      <c r="L715" s="2" t="b">
        <v>0</v>
      </c>
      <c r="M715" s="2" t="b">
        <v>0</v>
      </c>
      <c r="N715" s="2" t="s">
        <v>33</v>
      </c>
      <c r="O715" s="2">
        <v>0.0</v>
      </c>
      <c r="P715" s="2">
        <v>0.0</v>
      </c>
      <c r="Q715" s="2">
        <v>0.0</v>
      </c>
      <c r="R715" s="2">
        <v>0.0</v>
      </c>
      <c r="S715" s="3" t="s">
        <v>2932</v>
      </c>
      <c r="T715" s="2" t="s">
        <v>2933</v>
      </c>
      <c r="Y715" s="4" t="str">
        <f>IFERROR(__xludf.DUMMYFUNCTION("""COMPUTED_VALUE"""),"7.1701914")</f>
        <v>7.1701914</v>
      </c>
      <c r="Z715" s="4" t="str">
        <f>IFERROR(__xludf.DUMMYFUNCTION("""COMPUTED_VALUE"""),"2.8577105")</f>
        <v>2.8577105</v>
      </c>
      <c r="AA715" s="4" t="str">
        <f t="shared" si="1"/>
        <v>Not Neighbor</v>
      </c>
      <c r="AC715" s="4">
        <f>IFERROR(__xludf.DUMMYFUNCTION("IFERROR(ABS(O715-AVERAGE(FILTER(O715:O4783,AA715:AA4783=""Neighbor""))) / STDEV(FILTER(O715:O4783, AA715:AA4783 =""Neighbor"")), """")"),1.510007378890934)</f>
        <v>1.510007379</v>
      </c>
      <c r="AD715" s="4">
        <f>IFERROR(__xludf.DUMMYFUNCTION("IFERROR(ABS(P715-AVERAGE(FILTER(O715:P4783,AA715:AA4783=""Neighbor""))) / STDEV(FILTER(P715:P4783, AA715:AA4783 =""Neighbor"")), """")"),1.6434830299552234)</f>
        <v>1.64348303</v>
      </c>
      <c r="AE715" s="2">
        <f>IFERROR(__xludf.DUMMYFUNCTION("IFERROR(ABS(Q715-AVERAGE(FILTER(Q715:Q4783,AA715:AA4783=""Neighbor""))) / STDEV(FILTER(Q715:Q4783, AA715:AA4783 =""Neighbor"")), """")"),1.0295544164190287)</f>
        <v>1.029554416</v>
      </c>
      <c r="AF715" s="2">
        <f>IFERROR(__xludf.DUMMYFUNCTION("IFERROR(ABS(R715-AVERAGE(FILTER(R715:R4783,AA715:AA4783=""Neighbor""))) / STDEV(FILTER(R715:R4783, AA715:AA4783 =""Neighbor"")), """")"),0.09648931541475127)</f>
        <v>0.09648931541</v>
      </c>
    </row>
    <row r="716">
      <c r="A716" s="2" t="s">
        <v>28</v>
      </c>
      <c r="B716" s="2" t="s">
        <v>2660</v>
      </c>
      <c r="C716" s="2" t="s">
        <v>2934</v>
      </c>
      <c r="D716" s="2" t="s">
        <v>2935</v>
      </c>
      <c r="E716" s="2" t="s">
        <v>2936</v>
      </c>
      <c r="F716" s="2">
        <v>279.0</v>
      </c>
      <c r="G716" s="2">
        <v>1095.0</v>
      </c>
      <c r="H716" s="2" t="b">
        <v>1</v>
      </c>
      <c r="I716" s="2">
        <v>-1.0</v>
      </c>
      <c r="J716" s="2" t="b">
        <v>0</v>
      </c>
      <c r="K716" s="2" t="b">
        <v>0</v>
      </c>
      <c r="L716" s="2" t="b">
        <v>0</v>
      </c>
      <c r="M716" s="2" t="b">
        <v>0</v>
      </c>
      <c r="N716" s="2" t="s">
        <v>33</v>
      </c>
      <c r="O716" s="2">
        <v>163.0</v>
      </c>
      <c r="P716" s="2">
        <v>13.0</v>
      </c>
      <c r="Q716" s="2">
        <v>81.0</v>
      </c>
      <c r="R716" s="2">
        <v>0.0</v>
      </c>
      <c r="S716" s="3" t="s">
        <v>2937</v>
      </c>
      <c r="T716" s="2" t="s">
        <v>2938</v>
      </c>
      <c r="Y716" s="4" t="str">
        <f>IFERROR(__xludf.DUMMYFUNCTION("""COMPUTED_VALUE"""),"7.0505843")</f>
        <v>7.0505843</v>
      </c>
      <c r="Z716" s="4" t="str">
        <f>IFERROR(__xludf.DUMMYFUNCTION("""COMPUTED_VALUE"""),"3.0676373")</f>
        <v>3.0676373</v>
      </c>
      <c r="AA716" s="4" t="str">
        <f t="shared" si="1"/>
        <v>Neighbor</v>
      </c>
      <c r="AC716" s="4">
        <f>IFERROR(__xludf.DUMMYFUNCTION("IFERROR(ABS(O716-AVERAGE(FILTER(O716:O4784,AA716:AA4784=""Neighbor""))) / STDEV(FILTER(O716:O4784, AA716:AA4784 =""Neighbor"")), """")"),2.2737386263742247)</f>
        <v>2.273738626</v>
      </c>
      <c r="AD716" s="4">
        <f>IFERROR(__xludf.DUMMYFUNCTION("IFERROR(ABS(P716-AVERAGE(FILTER(O716:P4784,AA716:AA4784=""Neighbor""))) / STDEV(FILTER(P716:P4784, AA716:AA4784 =""Neighbor"")), """")"),1.1157513348249612)</f>
        <v>1.115751335</v>
      </c>
      <c r="AE716" s="2">
        <f>IFERROR(__xludf.DUMMYFUNCTION("IFERROR(ABS(Q716-AVERAGE(FILTER(Q716:Q4784,AA716:AA4784=""Neighbor""))) / STDEV(FILTER(Q716:Q4784, AA716:AA4784 =""Neighbor"")), """")"),2.278350784495938)</f>
        <v>2.278350784</v>
      </c>
      <c r="AF716" s="2">
        <f>IFERROR(__xludf.DUMMYFUNCTION("IFERROR(ABS(R716-AVERAGE(FILTER(R716:R4784,AA716:AA4784=""Neighbor""))) / STDEV(FILTER(R716:R4784, AA716:AA4784 =""Neighbor"")), """")"),0.09648931541475127)</f>
        <v>0.09648931541</v>
      </c>
    </row>
    <row r="717">
      <c r="A717" s="2" t="s">
        <v>28</v>
      </c>
      <c r="B717" s="2" t="s">
        <v>2660</v>
      </c>
      <c r="C717" s="2" t="s">
        <v>2934</v>
      </c>
      <c r="D717" s="2" t="s">
        <v>2939</v>
      </c>
      <c r="E717" s="2" t="s">
        <v>2940</v>
      </c>
      <c r="F717" s="2">
        <v>148.0</v>
      </c>
      <c r="G717" s="2">
        <v>544.0</v>
      </c>
      <c r="H717" s="2" t="b">
        <v>1</v>
      </c>
      <c r="I717" s="2">
        <v>-1.0</v>
      </c>
      <c r="J717" s="2" t="b">
        <v>0</v>
      </c>
      <c r="K717" s="2" t="b">
        <v>0</v>
      </c>
      <c r="L717" s="2" t="b">
        <v>0</v>
      </c>
      <c r="M717" s="2" t="b">
        <v>0</v>
      </c>
      <c r="N717" s="2" t="s">
        <v>33</v>
      </c>
      <c r="O717" s="2">
        <v>94.0</v>
      </c>
      <c r="P717" s="2">
        <v>7.0</v>
      </c>
      <c r="Q717" s="2">
        <v>38.0</v>
      </c>
      <c r="R717" s="2">
        <v>0.0</v>
      </c>
      <c r="S717" s="3" t="s">
        <v>2941</v>
      </c>
      <c r="T717" s="2" t="s">
        <v>2942</v>
      </c>
      <c r="Y717" s="4" t="str">
        <f>IFERROR(__xludf.DUMMYFUNCTION("""COMPUTED_VALUE"""),"7.0505843")</f>
        <v>7.0505843</v>
      </c>
      <c r="Z717" s="4" t="str">
        <f>IFERROR(__xludf.DUMMYFUNCTION("""COMPUTED_VALUE"""),"3.0676373")</f>
        <v>3.0676373</v>
      </c>
      <c r="AA717" s="4" t="str">
        <f t="shared" si="1"/>
        <v>Neighbor</v>
      </c>
      <c r="AC717" s="4">
        <f>IFERROR(__xludf.DUMMYFUNCTION("IFERROR(ABS(O717-AVERAGE(FILTER(O717:O4785,AA717:AA4785=""Neighbor""))) / STDEV(FILTER(O717:O4785, AA717:AA4785 =""Neighbor"")), """")"),0.6746426850651491)</f>
        <v>0.6746426851</v>
      </c>
      <c r="AD717" s="4">
        <f>IFERROR(__xludf.DUMMYFUNCTION("IFERROR(ABS(P717-AVERAGE(FILTER(O717:P4785,AA717:AA4785=""Neighbor""))) / STDEV(FILTER(P717:P4785, AA717:AA4785 =""Neighbor"")), """")"),1.3574769703778558)</f>
        <v>1.35747697</v>
      </c>
      <c r="AE717" s="2">
        <f>IFERROR(__xludf.DUMMYFUNCTION("IFERROR(ABS(Q717-AVERAGE(FILTER(Q717:Q4785,AA717:AA4785=""Neighbor""))) / STDEV(FILTER(Q717:Q4785, AA717:AA4785 =""Neighbor"")), """")"),0.5246997884472037)</f>
        <v>0.5246997884</v>
      </c>
      <c r="AF717" s="2">
        <f>IFERROR(__xludf.DUMMYFUNCTION("IFERROR(ABS(R717-AVERAGE(FILTER(R717:R4785,AA717:AA4785=""Neighbor""))) / STDEV(FILTER(R717:R4785, AA717:AA4785 =""Neighbor"")), """")"),0.09652382004268521)</f>
        <v>0.09652382004</v>
      </c>
    </row>
    <row r="718">
      <c r="A718" s="2" t="s">
        <v>28</v>
      </c>
      <c r="B718" s="2" t="s">
        <v>2660</v>
      </c>
      <c r="C718" s="2" t="s">
        <v>2934</v>
      </c>
      <c r="D718" s="2" t="s">
        <v>2943</v>
      </c>
      <c r="E718" s="2" t="s">
        <v>2944</v>
      </c>
      <c r="F718" s="2">
        <v>170.0</v>
      </c>
      <c r="G718" s="2">
        <v>697.0</v>
      </c>
      <c r="H718" s="2" t="b">
        <v>1</v>
      </c>
      <c r="I718" s="2">
        <v>-1.0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s">
        <v>33</v>
      </c>
      <c r="O718" s="2">
        <v>86.0</v>
      </c>
      <c r="P718" s="2">
        <v>5.0</v>
      </c>
      <c r="Q718" s="2">
        <v>72.0</v>
      </c>
      <c r="R718" s="2">
        <v>0.0</v>
      </c>
      <c r="S718" s="3" t="s">
        <v>2945</v>
      </c>
      <c r="T718" s="2" t="s">
        <v>2946</v>
      </c>
      <c r="Y718" s="4" t="str">
        <f>IFERROR(__xludf.DUMMYFUNCTION("""COMPUTED_VALUE"""),"7.0505843")</f>
        <v>7.0505843</v>
      </c>
      <c r="Z718" s="4" t="str">
        <f>IFERROR(__xludf.DUMMYFUNCTION("""COMPUTED_VALUE"""),"3.0676373")</f>
        <v>3.0676373</v>
      </c>
      <c r="AA718" s="4" t="str">
        <f t="shared" si="1"/>
        <v>Neighbor</v>
      </c>
      <c r="AC718" s="4">
        <f>IFERROR(__xludf.DUMMYFUNCTION("IFERROR(ABS(O718-AVERAGE(FILTER(O718:O4786,AA718:AA4786=""Neighbor""))) / STDEV(FILTER(O718:O4786, AA718:AA4786 =""Neighbor"")), """")"),0.4890459623737318)</f>
        <v>0.4890459624</v>
      </c>
      <c r="AD718" s="4">
        <f>IFERROR(__xludf.DUMMYFUNCTION("IFERROR(ABS(P718-AVERAGE(FILTER(O718:P4786,AA718:AA4786=""Neighbor""))) / STDEV(FILTER(P718:P4786, AA718:AA4786 =""Neighbor"")), """")"),1.437905104660633)</f>
        <v>1.437905105</v>
      </c>
      <c r="AE718" s="2">
        <f>IFERROR(__xludf.DUMMYFUNCTION("IFERROR(ABS(Q718-AVERAGE(FILTER(Q718:Q4786,AA718:AA4786=""Neighbor""))) / STDEV(FILTER(Q718:Q4786, AA718:AA4786 =""Neighbor"")), """")"),1.915154333067715)</f>
        <v>1.915154333</v>
      </c>
      <c r="AF718" s="2">
        <f>IFERROR(__xludf.DUMMYFUNCTION("IFERROR(ABS(R718-AVERAGE(FILTER(R718:R4786,AA718:AA4786=""Neighbor""))) / STDEV(FILTER(R718:R4786, AA718:AA4786 =""Neighbor"")), """")"),0.0965583617140277)</f>
        <v>0.09655836171</v>
      </c>
    </row>
    <row r="719">
      <c r="A719" s="2" t="s">
        <v>28</v>
      </c>
      <c r="B719" s="2" t="s">
        <v>2660</v>
      </c>
      <c r="C719" s="2" t="s">
        <v>2934</v>
      </c>
      <c r="D719" s="2" t="s">
        <v>2947</v>
      </c>
      <c r="E719" s="2" t="s">
        <v>2948</v>
      </c>
      <c r="F719" s="2">
        <v>201.0</v>
      </c>
      <c r="G719" s="2">
        <v>750.0</v>
      </c>
      <c r="H719" s="2" t="b">
        <v>1</v>
      </c>
      <c r="I719" s="2">
        <v>-1.0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s">
        <v>33</v>
      </c>
      <c r="O719" s="2">
        <v>104.0</v>
      </c>
      <c r="P719" s="2">
        <v>5.0</v>
      </c>
      <c r="Q719" s="2">
        <v>84.0</v>
      </c>
      <c r="R719" s="2">
        <v>0.0</v>
      </c>
      <c r="S719" s="3" t="s">
        <v>2949</v>
      </c>
      <c r="T719" s="2" t="s">
        <v>2950</v>
      </c>
      <c r="Y719" s="4" t="str">
        <f>IFERROR(__xludf.DUMMYFUNCTION("""COMPUTED_VALUE"""),"7.0505843")</f>
        <v>7.0505843</v>
      </c>
      <c r="Z719" s="4" t="str">
        <f>IFERROR(__xludf.DUMMYFUNCTION("""COMPUTED_VALUE"""),"3.0676373")</f>
        <v>3.0676373</v>
      </c>
      <c r="AA719" s="4" t="str">
        <f t="shared" si="1"/>
        <v>Neighbor</v>
      </c>
      <c r="AC719" s="4">
        <f>IFERROR(__xludf.DUMMYFUNCTION("IFERROR(ABS(O719-AVERAGE(FILTER(O719:O4787,AA719:AA4787=""Neighbor""))) / STDEV(FILTER(O719:O4787, AA719:AA4787 =""Neighbor"")), """")"),0.90752430947928)</f>
        <v>0.9075243095</v>
      </c>
      <c r="AD719" s="4">
        <f>IFERROR(__xludf.DUMMYFUNCTION("IFERROR(ABS(P719-AVERAGE(FILTER(O719:P4787,AA719:AA4787=""Neighbor""))) / STDEV(FILTER(P719:P4787, AA719:AA4787 =""Neighbor"")), """")"),1.43734918978799)</f>
        <v>1.43734919</v>
      </c>
      <c r="AE719" s="2">
        <f>IFERROR(__xludf.DUMMYFUNCTION("IFERROR(ABS(Q719-AVERAGE(FILTER(Q719:Q4787,AA719:AA4787=""Neighbor""))) / STDEV(FILTER(Q719:Q4787, AA719:AA4787 =""Neighbor"")), """")"),2.4094670332420622)</f>
        <v>2.409467033</v>
      </c>
      <c r="AF719" s="2">
        <f>IFERROR(__xludf.DUMMYFUNCTION("IFERROR(ABS(R719-AVERAGE(FILTER(R719:R4787,AA719:AA4787=""Neighbor""))) / STDEV(FILTER(R719:R4787, AA719:AA4787 =""Neighbor"")), """")"),0.09659294049510787)</f>
        <v>0.0965929405</v>
      </c>
    </row>
    <row r="720">
      <c r="A720" s="2" t="s">
        <v>28</v>
      </c>
      <c r="B720" s="2" t="s">
        <v>2660</v>
      </c>
      <c r="C720" s="2" t="s">
        <v>2934</v>
      </c>
      <c r="D720" s="2" t="s">
        <v>2951</v>
      </c>
      <c r="E720" s="2" t="s">
        <v>2952</v>
      </c>
      <c r="F720" s="2">
        <v>217.0</v>
      </c>
      <c r="G720" s="2">
        <v>859.0</v>
      </c>
      <c r="H720" s="2" t="b">
        <v>1</v>
      </c>
      <c r="I720" s="2">
        <v>-1.0</v>
      </c>
      <c r="J720" s="2" t="b">
        <v>1</v>
      </c>
      <c r="K720" s="2" t="b">
        <v>1</v>
      </c>
      <c r="L720" s="2" t="b">
        <v>0</v>
      </c>
      <c r="M720" s="2" t="b">
        <v>0</v>
      </c>
      <c r="N720" s="2" t="s">
        <v>33</v>
      </c>
      <c r="O720" s="2">
        <v>118.0</v>
      </c>
      <c r="P720" s="2">
        <v>7.0</v>
      </c>
      <c r="Q720" s="2">
        <v>92.0</v>
      </c>
      <c r="R720" s="2">
        <v>0.0</v>
      </c>
      <c r="S720" s="3" t="s">
        <v>2953</v>
      </c>
      <c r="T720" s="2" t="s">
        <v>2954</v>
      </c>
      <c r="Y720" s="4" t="str">
        <f>IFERROR(__xludf.DUMMYFUNCTION("""COMPUTED_VALUE"""),"7.0505843")</f>
        <v>7.0505843</v>
      </c>
      <c r="Z720" s="4" t="str">
        <f>IFERROR(__xludf.DUMMYFUNCTION("""COMPUTED_VALUE"""),"3.0676373")</f>
        <v>3.0676373</v>
      </c>
      <c r="AA720" s="4" t="str">
        <f t="shared" si="1"/>
        <v>Neighbor</v>
      </c>
      <c r="AC720" s="4">
        <f>IFERROR(__xludf.DUMMYFUNCTION("IFERROR(ABS(O720-AVERAGE(FILTER(O720:O4788,AA720:AA4788=""Neighbor""))) / STDEV(FILTER(O720:O4788, AA720:AA4788 =""Neighbor"")), """")"),1.2334080631685442)</f>
        <v>1.233408063</v>
      </c>
      <c r="AD720" s="4">
        <f>IFERROR(__xludf.DUMMYFUNCTION("IFERROR(ABS(P720-AVERAGE(FILTER(O720:P4788,AA720:AA4788=""Neighbor""))) / STDEV(FILTER(P720:P4788, AA720:AA4788 =""Neighbor"")), """")"),1.355443948196233)</f>
        <v>1.355443948</v>
      </c>
      <c r="AE720" s="2">
        <f>IFERROR(__xludf.DUMMYFUNCTION("IFERROR(ABS(Q720-AVERAGE(FILTER(Q720:Q4788,AA720:AA4788=""Neighbor""))) / STDEV(FILTER(Q720:Q4788, AA720:AA4788 =""Neighbor"")), """")"),2.7432964745480577)</f>
        <v>2.743296475</v>
      </c>
      <c r="AF720" s="2">
        <f>IFERROR(__xludf.DUMMYFUNCTION("IFERROR(ABS(R720-AVERAGE(FILTER(R720:R4788,AA720:AA4788=""Neighbor""))) / STDEV(FILTER(R720:R4788, AA720:AA4788 =""Neighbor"")), """")"),0.09662755645242214)</f>
        <v>0.09662755645</v>
      </c>
    </row>
    <row r="721">
      <c r="A721" s="2" t="s">
        <v>28</v>
      </c>
      <c r="B721" s="2" t="s">
        <v>2660</v>
      </c>
      <c r="C721" s="2" t="s">
        <v>2934</v>
      </c>
      <c r="D721" s="2" t="s">
        <v>2955</v>
      </c>
      <c r="E721" s="2" t="s">
        <v>2956</v>
      </c>
      <c r="F721" s="2">
        <v>42.0</v>
      </c>
      <c r="G721" s="2">
        <v>246.0</v>
      </c>
      <c r="H721" s="2" t="b">
        <v>1</v>
      </c>
      <c r="I721" s="2">
        <v>-1.0</v>
      </c>
      <c r="J721" s="2" t="b">
        <v>0</v>
      </c>
      <c r="K721" s="2" t="b">
        <v>0</v>
      </c>
      <c r="L721" s="2" t="b">
        <v>0</v>
      </c>
      <c r="M721" s="2" t="b">
        <v>0</v>
      </c>
      <c r="N721" s="2" t="s">
        <v>33</v>
      </c>
      <c r="O721" s="2">
        <v>30.0</v>
      </c>
      <c r="P721" s="2">
        <v>1.0</v>
      </c>
      <c r="Q721" s="2">
        <v>7.0</v>
      </c>
      <c r="R721" s="2">
        <v>0.0</v>
      </c>
      <c r="S721" s="3" t="s">
        <v>2957</v>
      </c>
      <c r="T721" s="2" t="s">
        <v>2958</v>
      </c>
      <c r="Y721" s="4" t="str">
        <f>IFERROR(__xludf.DUMMYFUNCTION("""COMPUTED_VALUE"""),"7.0505843")</f>
        <v>7.0505843</v>
      </c>
      <c r="Z721" s="4" t="str">
        <f>IFERROR(__xludf.DUMMYFUNCTION("""COMPUTED_VALUE"""),"3.0676373")</f>
        <v>3.0676373</v>
      </c>
      <c r="AA721" s="4" t="str">
        <f t="shared" si="1"/>
        <v>Not Neighbor</v>
      </c>
      <c r="AC721" s="4">
        <f>IFERROR(__xludf.DUMMYFUNCTION("IFERROR(ABS(O721-AVERAGE(FILTER(O721:O4789,AA721:AA4789=""Neighbor""))) / STDEV(FILTER(O721:O4789, AA721:AA4789 =""Neighbor"")), """")"),0.8105801076473949)</f>
        <v>0.8105801076</v>
      </c>
      <c r="AD721" s="4">
        <f>IFERROR(__xludf.DUMMYFUNCTION("IFERROR(ABS(P721-AVERAGE(FILTER(O721:P4789,AA721:AA4789=""Neighbor""))) / STDEV(FILTER(P721:P4789, AA721:AA4789 =""Neighbor"")), """")"),1.5975831975229804)</f>
        <v>1.597583198</v>
      </c>
      <c r="AE721" s="2">
        <f>IFERROR(__xludf.DUMMYFUNCTION("IFERROR(ABS(Q721-AVERAGE(FILTER(Q721:Q4789,AA721:AA4789=""Neighbor""))) / STDEV(FILTER(Q721:Q4789, AA721:AA4789 =""Neighbor"")), """")"),0.7412887388593126)</f>
        <v>0.7412887389</v>
      </c>
      <c r="AF721" s="2">
        <f>IFERROR(__xludf.DUMMYFUNCTION("IFERROR(ABS(R721-AVERAGE(FILTER(R721:R4789,AA721:AA4789=""Neighbor""))) / STDEV(FILTER(R721:R4789, AA721:AA4789 =""Neighbor"")), """")"),0.09666220965263358)</f>
        <v>0.09666220965</v>
      </c>
    </row>
    <row r="722">
      <c r="A722" s="2" t="s">
        <v>28</v>
      </c>
      <c r="B722" s="2" t="s">
        <v>2660</v>
      </c>
      <c r="C722" s="2" t="s">
        <v>2934</v>
      </c>
      <c r="D722" s="2" t="s">
        <v>2959</v>
      </c>
      <c r="E722" s="2" t="s">
        <v>2960</v>
      </c>
      <c r="F722" s="2">
        <v>178.0</v>
      </c>
      <c r="G722" s="2">
        <v>699.0</v>
      </c>
      <c r="H722" s="2" t="b">
        <v>1</v>
      </c>
      <c r="I722" s="2">
        <v>-1.0</v>
      </c>
      <c r="J722" s="2" t="b">
        <v>1</v>
      </c>
      <c r="K722" s="2" t="b">
        <v>1</v>
      </c>
      <c r="L722" s="2" t="b">
        <v>0</v>
      </c>
      <c r="M722" s="2" t="b">
        <v>0</v>
      </c>
      <c r="N722" s="2" t="s">
        <v>33</v>
      </c>
      <c r="O722" s="2">
        <v>101.0</v>
      </c>
      <c r="P722" s="2">
        <v>3.0</v>
      </c>
      <c r="Q722" s="2">
        <v>56.0</v>
      </c>
      <c r="R722" s="2">
        <v>1.0</v>
      </c>
      <c r="S722" s="3" t="s">
        <v>2961</v>
      </c>
      <c r="T722" s="2" t="s">
        <v>2962</v>
      </c>
      <c r="Y722" s="4" t="str">
        <f>IFERROR(__xludf.DUMMYFUNCTION("""COMPUTED_VALUE"""),"7.0342421")</f>
        <v>7.0342421</v>
      </c>
      <c r="Z722" s="4" t="str">
        <f>IFERROR(__xludf.DUMMYFUNCTION("""COMPUTED_VALUE"""),"3.0516731")</f>
        <v>3.0516731</v>
      </c>
      <c r="AA722" s="4" t="str">
        <f t="shared" si="1"/>
        <v>Not Neighbor</v>
      </c>
      <c r="AC722" s="4">
        <f>IFERROR(__xludf.DUMMYFUNCTION("IFERROR(ABS(O722-AVERAGE(FILTER(O722:O4790,AA722:AA4790=""Neighbor""))) / STDEV(FILTER(O722:O4790, AA722:AA4790 =""Neighbor"")), """")"),0.8394396685762766)</f>
        <v>0.8394396686</v>
      </c>
      <c r="AD722" s="4">
        <f>IFERROR(__xludf.DUMMYFUNCTION("IFERROR(ABS(P722-AVERAGE(FILTER(O722:P4790,AA722:AA4790=""Neighbor""))) / STDEV(FILTER(P722:P4790, AA722:AA4790 =""Neighbor"")), """")"),1.516518480575543)</f>
        <v>1.516518481</v>
      </c>
      <c r="AE722" s="2">
        <f>IFERROR(__xludf.DUMMYFUNCTION("IFERROR(ABS(Q722-AVERAGE(FILTER(Q722:Q4790,AA722:AA4790=""Neighbor""))) / STDEV(FILTER(Q722:Q4790, AA722:AA4790 =""Neighbor"")), """")"),1.2722879821505635)</f>
        <v>1.272287982</v>
      </c>
      <c r="AF722" s="2">
        <f>IFERROR(__xludf.DUMMYFUNCTION("IFERROR(ABS(R722-AVERAGE(FILTER(R722:R4790,AA722:AA4790=""Neighbor""))) / STDEV(FILTER(R722:R4790, AA722:AA4790 =""Neighbor"")), """")"),0.08406527275641272)</f>
        <v>0.08406527276</v>
      </c>
    </row>
    <row r="723">
      <c r="A723" s="2" t="s">
        <v>28</v>
      </c>
      <c r="B723" s="2" t="s">
        <v>2660</v>
      </c>
      <c r="C723" s="2" t="s">
        <v>2963</v>
      </c>
      <c r="D723" s="2" t="s">
        <v>2964</v>
      </c>
      <c r="E723" s="2" t="s">
        <v>2965</v>
      </c>
      <c r="F723" s="2">
        <v>216.0</v>
      </c>
      <c r="G723" s="2">
        <v>948.0</v>
      </c>
      <c r="H723" s="2" t="b">
        <v>1</v>
      </c>
      <c r="I723" s="2">
        <v>-1.0</v>
      </c>
      <c r="J723" s="2" t="b">
        <v>1</v>
      </c>
      <c r="K723" s="2" t="b">
        <v>0</v>
      </c>
      <c r="L723" s="2" t="b">
        <v>0</v>
      </c>
      <c r="M723" s="2" t="b">
        <v>0</v>
      </c>
      <c r="N723" s="2" t="s">
        <v>33</v>
      </c>
      <c r="O723" s="2">
        <v>195.0</v>
      </c>
      <c r="P723" s="2">
        <v>3.0</v>
      </c>
      <c r="Q723" s="2">
        <v>7.0</v>
      </c>
      <c r="R723" s="2">
        <v>0.0</v>
      </c>
      <c r="S723" s="3" t="s">
        <v>2966</v>
      </c>
      <c r="T723" s="2" t="s">
        <v>2967</v>
      </c>
      <c r="Y723" s="4" t="str">
        <f>IFERROR(__xludf.DUMMYFUNCTION("""COMPUTED_VALUE"""),"6.9000827")</f>
        <v>6.9000827</v>
      </c>
      <c r="Z723" s="4" t="str">
        <f>IFERROR(__xludf.DUMMYFUNCTION("""COMPUTED_VALUE"""),"2.8946538")</f>
        <v>2.8946538</v>
      </c>
      <c r="AA723" s="4" t="str">
        <f t="shared" si="1"/>
        <v>Not Neighbor</v>
      </c>
      <c r="AC723" s="4">
        <f>IFERROR(__xludf.DUMMYFUNCTION("IFERROR(ABS(O723-AVERAGE(FILTER(O723:O4791,AA723:AA4791=""Neighbor""))) / STDEV(FILTER(O723:O4791, AA723:AA4791 =""Neighbor"")), """")"),3.0239728934357855)</f>
        <v>3.023972893</v>
      </c>
      <c r="AD723" s="4">
        <f>IFERROR(__xludf.DUMMYFUNCTION("IFERROR(ABS(P723-AVERAGE(FILTER(O723:P4791,AA723:AA4791=""Neighbor""))) / STDEV(FILTER(P723:P4791, AA723:AA4791 =""Neighbor"")), """")"),1.516518480575543)</f>
        <v>1.516518481</v>
      </c>
      <c r="AE723" s="2">
        <f>IFERROR(__xludf.DUMMYFUNCTION("IFERROR(ABS(Q723-AVERAGE(FILTER(Q723:Q4791,AA723:AA4791=""Neighbor""))) / STDEV(FILTER(Q723:Q4791, AA723:AA4791 =""Neighbor"")), """")"),0.7412887388593126)</f>
        <v>0.7412887389</v>
      </c>
      <c r="AF723" s="2">
        <f>IFERROR(__xludf.DUMMYFUNCTION("IFERROR(ABS(R723-AVERAGE(FILTER(R723:R4791,AA723:AA4791=""Neighbor""))) / STDEV(FILTER(R723:R4791, AA723:AA4791 =""Neighbor"")), """")"),0.09666220965263358)</f>
        <v>0.09666220965</v>
      </c>
    </row>
    <row r="724">
      <c r="A724" s="2" t="s">
        <v>28</v>
      </c>
      <c r="B724" s="2" t="s">
        <v>2660</v>
      </c>
      <c r="C724" s="2" t="s">
        <v>2963</v>
      </c>
      <c r="D724" s="2" t="s">
        <v>2968</v>
      </c>
      <c r="E724" s="2" t="s">
        <v>2969</v>
      </c>
      <c r="F724" s="2">
        <v>64.0</v>
      </c>
      <c r="G724" s="2">
        <v>315.0</v>
      </c>
      <c r="H724" s="2" t="b">
        <v>1</v>
      </c>
      <c r="I724" s="2">
        <v>-1.0</v>
      </c>
      <c r="J724" s="2" t="b">
        <v>0</v>
      </c>
      <c r="K724" s="2" t="b">
        <v>0</v>
      </c>
      <c r="L724" s="2" t="b">
        <v>0</v>
      </c>
      <c r="M724" s="2" t="b">
        <v>0</v>
      </c>
      <c r="N724" s="2" t="s">
        <v>33</v>
      </c>
      <c r="O724" s="2">
        <v>42.0</v>
      </c>
      <c r="P724" s="2">
        <v>5.0</v>
      </c>
      <c r="Q724" s="2">
        <v>8.0</v>
      </c>
      <c r="R724" s="2">
        <v>0.0</v>
      </c>
      <c r="S724" s="3" t="s">
        <v>2970</v>
      </c>
      <c r="T724" s="2" t="s">
        <v>2971</v>
      </c>
      <c r="Y724" s="4" t="str">
        <f>IFERROR(__xludf.DUMMYFUNCTION("""COMPUTED_VALUE"""),"6.8910703")</f>
        <v>6.8910703</v>
      </c>
      <c r="Z724" s="4" t="str">
        <f>IFERROR(__xludf.DUMMYFUNCTION("""COMPUTED_VALUE"""),"2.8377656")</f>
        <v>2.8377656</v>
      </c>
      <c r="AA724" s="4" t="str">
        <f t="shared" si="1"/>
        <v>Not Neighbor</v>
      </c>
      <c r="AC724" s="4">
        <f>IFERROR(__xludf.DUMMYFUNCTION("IFERROR(ABS(O724-AVERAGE(FILTER(O724:O4792,AA724:AA4792=""Neighbor""))) / STDEV(FILTER(O724:O4792, AA724:AA4792 =""Neighbor"")), """")"),0.5317035257504363)</f>
        <v>0.5317035258</v>
      </c>
      <c r="AD724" s="4">
        <f>IFERROR(__xludf.DUMMYFUNCTION("IFERROR(ABS(P724-AVERAGE(FILTER(O724:P4792,AA724:AA4792=""Neighbor""))) / STDEV(FILTER(P724:P4792, AA724:AA4792 =""Neighbor"")), """")"),1.4354537636281053)</f>
        <v>1.435453764</v>
      </c>
      <c r="AE724" s="2">
        <f>IFERROR(__xludf.DUMMYFUNCTION("IFERROR(ABS(Q724-AVERAGE(FILTER(Q724:Q4792,AA724:AA4792=""Neighbor""))) / STDEV(FILTER(Q724:Q4792, AA724:AA4792 =""Neighbor"")), """")"),0.7001953363897233)</f>
        <v>0.7001953364</v>
      </c>
      <c r="AF724" s="2">
        <f>IFERROR(__xludf.DUMMYFUNCTION("IFERROR(ABS(R724-AVERAGE(FILTER(R724:R4792,AA724:AA4792=""Neighbor""))) / STDEV(FILTER(R724:R4792, AA724:AA4792 =""Neighbor"")), """")"),0.09666220965263358)</f>
        <v>0.09666220965</v>
      </c>
    </row>
    <row r="725">
      <c r="A725" s="2" t="s">
        <v>28</v>
      </c>
      <c r="B725" s="2" t="s">
        <v>2660</v>
      </c>
      <c r="C725" s="2" t="s">
        <v>2963</v>
      </c>
      <c r="D725" s="2" t="s">
        <v>2972</v>
      </c>
      <c r="E725" s="2" t="s">
        <v>2973</v>
      </c>
      <c r="F725" s="2">
        <v>82.0</v>
      </c>
      <c r="G725" s="2">
        <v>585.0</v>
      </c>
      <c r="H725" s="2" t="b">
        <v>1</v>
      </c>
      <c r="I725" s="2">
        <v>-1.0</v>
      </c>
      <c r="J725" s="2" t="b">
        <v>0</v>
      </c>
      <c r="K725" s="2" t="b">
        <v>1</v>
      </c>
      <c r="L725" s="2" t="b">
        <v>0</v>
      </c>
      <c r="M725" s="2" t="b">
        <v>0</v>
      </c>
      <c r="N725" s="2" t="s">
        <v>33</v>
      </c>
      <c r="O725" s="2">
        <v>31.0</v>
      </c>
      <c r="P725" s="2">
        <v>8.0</v>
      </c>
      <c r="Q725" s="2">
        <v>32.0</v>
      </c>
      <c r="R725" s="2">
        <v>2.0</v>
      </c>
      <c r="S725" s="3" t="s">
        <v>2974</v>
      </c>
      <c r="T725" s="2" t="s">
        <v>2975</v>
      </c>
      <c r="Y725" s="4" t="str">
        <f>IFERROR(__xludf.DUMMYFUNCTION("""COMPUTED_VALUE"""),"6.9157887")</f>
        <v>6.9157887</v>
      </c>
      <c r="Z725" s="4" t="str">
        <f>IFERROR(__xludf.DUMMYFUNCTION("""COMPUTED_VALUE"""),"2.8496069")</f>
        <v>2.8496069</v>
      </c>
      <c r="AA725" s="4" t="str">
        <f t="shared" si="1"/>
        <v>Not Neighbor</v>
      </c>
      <c r="AC725" s="4">
        <f>IFERROR(__xludf.DUMMYFUNCTION("IFERROR(ABS(O725-AVERAGE(FILTER(O725:O4793,AA725:AA4793=""Neighbor""))) / STDEV(FILTER(O725:O4793, AA725:AA4793 =""Neighbor"")), """")"),0.787340392489315)</f>
        <v>0.7873403925</v>
      </c>
      <c r="AD725" s="4">
        <f>IFERROR(__xludf.DUMMYFUNCTION("IFERROR(ABS(P725-AVERAGE(FILTER(O725:P4793,AA725:AA4793=""Neighbor""))) / STDEV(FILTER(P725:P4793, AA725:AA4793 =""Neighbor"")), """")"),1.313856688206949)</f>
        <v>1.313856688</v>
      </c>
      <c r="AE725" s="2">
        <f>IFERROR(__xludf.DUMMYFUNCTION("IFERROR(ABS(Q725-AVERAGE(FILTER(Q725:Q4793,AA725:AA4793=""Neighbor""))) / STDEV(FILTER(Q725:Q4793, AA725:AA4793 =""Neighbor"")), """")"),0.28604632288042003)</f>
        <v>0.2860463229</v>
      </c>
      <c r="AF725" s="2">
        <f>IFERROR(__xludf.DUMMYFUNCTION("IFERROR(ABS(R725-AVERAGE(FILTER(R725:R4793,AA725:AA4793=""Neighbor""))) / STDEV(FILTER(R725:R4793, AA725:AA4793 =""Neighbor"")), """")"),0.264792755165459)</f>
        <v>0.2647927552</v>
      </c>
    </row>
    <row r="726">
      <c r="A726" s="2" t="s">
        <v>28</v>
      </c>
      <c r="B726" s="2" t="s">
        <v>2660</v>
      </c>
      <c r="C726" s="2" t="s">
        <v>2963</v>
      </c>
      <c r="D726" s="2" t="s">
        <v>2976</v>
      </c>
      <c r="E726" s="2" t="s">
        <v>2977</v>
      </c>
      <c r="F726" s="2">
        <v>272.0</v>
      </c>
      <c r="G726" s="2">
        <v>1766.0</v>
      </c>
      <c r="H726" s="2" t="b">
        <v>1</v>
      </c>
      <c r="I726" s="2">
        <v>-1.0</v>
      </c>
      <c r="J726" s="2" t="b">
        <v>0</v>
      </c>
      <c r="K726" s="2" t="b">
        <v>0</v>
      </c>
      <c r="L726" s="2" t="b">
        <v>0</v>
      </c>
      <c r="M726" s="2" t="b">
        <v>0</v>
      </c>
      <c r="N726" s="2" t="s">
        <v>33</v>
      </c>
      <c r="O726" s="2">
        <v>141.0</v>
      </c>
      <c r="P726" s="2">
        <v>52.0</v>
      </c>
      <c r="Q726" s="2">
        <v>40.0</v>
      </c>
      <c r="R726" s="2">
        <v>4.0</v>
      </c>
      <c r="S726" s="3" t="s">
        <v>2978</v>
      </c>
      <c r="T726" s="2" t="s">
        <v>2979</v>
      </c>
      <c r="Y726" s="4" t="str">
        <f>IFERROR(__xludf.DUMMYFUNCTION("""COMPUTED_VALUE"""),"6.9000827")</f>
        <v>6.9000827</v>
      </c>
      <c r="Z726" s="4" t="str">
        <f>IFERROR(__xludf.DUMMYFUNCTION("""COMPUTED_VALUE"""),"2.8946538")</f>
        <v>2.8946538</v>
      </c>
      <c r="AA726" s="4" t="str">
        <f t="shared" si="1"/>
        <v>Not Neighbor</v>
      </c>
      <c r="AC726" s="4">
        <f>IFERROR(__xludf.DUMMYFUNCTION("IFERROR(ABS(O726-AVERAGE(FILTER(O726:O4794,AA726:AA4794=""Neighbor""))) / STDEV(FILTER(O726:O4794, AA726:AA4794 =""Neighbor"")), """")"),1.769028274899472)</f>
        <v>1.769028275</v>
      </c>
      <c r="AD726" s="4">
        <f>IFERROR(__xludf.DUMMYFUNCTION("IFERROR(ABS(P726-AVERAGE(FILTER(O726:P4794,AA726:AA4794=""Neighbor""))) / STDEV(FILTER(P726:P4794, AA726:AA4794 =""Neighbor"")), """")"),0.46956708463667735)</f>
        <v>0.4695670846</v>
      </c>
      <c r="AE726" s="2">
        <f>IFERROR(__xludf.DUMMYFUNCTION("IFERROR(ABS(Q726-AVERAGE(FILTER(Q726:Q4794,AA726:AA4794=""Neighbor""))) / STDEV(FILTER(Q726:Q4794, AA726:AA4794 =""Neighbor"")), """")"),0.6147935426371345)</f>
        <v>0.6147935426</v>
      </c>
      <c r="AF726" s="2">
        <f>IFERROR(__xludf.DUMMYFUNCTION("IFERROR(ABS(R726-AVERAGE(FILTER(R726:R4794,AA726:AA4794=""Neighbor""))) / STDEV(FILTER(R726:R4794, AA726:AA4794 =""Neighbor"")), """")"),0.6262477199835517)</f>
        <v>0.62624772</v>
      </c>
    </row>
    <row r="727">
      <c r="A727" s="2" t="s">
        <v>28</v>
      </c>
      <c r="B727" s="2" t="s">
        <v>2660</v>
      </c>
      <c r="C727" s="2" t="s">
        <v>2963</v>
      </c>
      <c r="D727" s="2" t="s">
        <v>2980</v>
      </c>
      <c r="E727" s="2" t="s">
        <v>2981</v>
      </c>
      <c r="F727" s="2">
        <v>126.0</v>
      </c>
      <c r="G727" s="2">
        <v>570.0</v>
      </c>
      <c r="H727" s="2" t="b">
        <v>1</v>
      </c>
      <c r="I727" s="2">
        <v>-1.0</v>
      </c>
      <c r="J727" s="2" t="b">
        <v>0</v>
      </c>
      <c r="K727" s="2" t="b">
        <v>0</v>
      </c>
      <c r="L727" s="2" t="b">
        <v>0</v>
      </c>
      <c r="M727" s="2" t="b">
        <v>0</v>
      </c>
      <c r="N727" s="2" t="s">
        <v>33</v>
      </c>
      <c r="O727" s="2">
        <v>74.0</v>
      </c>
      <c r="P727" s="2">
        <v>4.0</v>
      </c>
      <c r="Q727" s="2">
        <v>28.0</v>
      </c>
      <c r="R727" s="2">
        <v>1.0</v>
      </c>
      <c r="S727" s="3" t="s">
        <v>2982</v>
      </c>
      <c r="T727" s="2" t="s">
        <v>2983</v>
      </c>
      <c r="Y727" s="4" t="str">
        <f>IFERROR(__xludf.DUMMYFUNCTION("""COMPUTED_VALUE"""),"6.8910703")</f>
        <v>6.8910703</v>
      </c>
      <c r="Z727" s="4" t="str">
        <f>IFERROR(__xludf.DUMMYFUNCTION("""COMPUTED_VALUE"""),"2.8377656")</f>
        <v>2.8377656</v>
      </c>
      <c r="AA727" s="4" t="str">
        <f t="shared" si="1"/>
        <v>Not Neighbor</v>
      </c>
      <c r="AC727" s="4">
        <f>IFERROR(__xludf.DUMMYFUNCTION("IFERROR(ABS(O727-AVERAGE(FILTER(O727:O4795,AA727:AA4795=""Neighbor""))) / STDEV(FILTER(O727:O4795, AA727:AA4795 =""Neighbor"")), """")"),0.21196735930811983)</f>
        <v>0.2119673593</v>
      </c>
      <c r="AD727" s="4">
        <f>IFERROR(__xludf.DUMMYFUNCTION("IFERROR(ABS(P727-AVERAGE(FILTER(O727:P4795,AA727:AA4795=""Neighbor""))) / STDEV(FILTER(P727:P4795, AA727:AA4795 =""Neighbor"")), """")"),1.475986122101824)</f>
        <v>1.475986122</v>
      </c>
      <c r="AE727" s="2">
        <f>IFERROR(__xludf.DUMMYFUNCTION("IFERROR(ABS(Q727-AVERAGE(FILTER(Q727:Q4795,AA727:AA4795=""Neighbor""))) / STDEV(FILTER(Q727:Q4795, AA727:AA4795 =""Neighbor"")), """")"),0.12167271300206282)</f>
        <v>0.121672713</v>
      </c>
      <c r="AF727" s="2">
        <f>IFERROR(__xludf.DUMMYFUNCTION("IFERROR(ABS(R727-AVERAGE(FILTER(R727:R4795,AA727:AA4795=""Neighbor""))) / STDEV(FILTER(R727:R4795, AA727:AA4795 =""Neighbor"")), """")"),0.08406527275641272)</f>
        <v>0.08406527276</v>
      </c>
    </row>
    <row r="728">
      <c r="A728" s="2" t="s">
        <v>28</v>
      </c>
      <c r="B728" s="2" t="s">
        <v>2660</v>
      </c>
      <c r="C728" s="2" t="s">
        <v>2963</v>
      </c>
      <c r="D728" s="2" t="s">
        <v>2984</v>
      </c>
      <c r="E728" s="2" t="s">
        <v>2985</v>
      </c>
      <c r="F728" s="2">
        <v>51.0</v>
      </c>
      <c r="G728" s="2">
        <v>335.0</v>
      </c>
      <c r="H728" s="2" t="b">
        <v>1</v>
      </c>
      <c r="I728" s="2">
        <v>-1.0</v>
      </c>
      <c r="J728" s="2" t="b">
        <v>0</v>
      </c>
      <c r="K728" s="2" t="b">
        <v>0</v>
      </c>
      <c r="L728" s="2" t="b">
        <v>0</v>
      </c>
      <c r="M728" s="2" t="b">
        <v>0</v>
      </c>
      <c r="N728" s="2" t="s">
        <v>33</v>
      </c>
      <c r="O728" s="2">
        <v>38.0</v>
      </c>
      <c r="P728" s="2">
        <v>3.0</v>
      </c>
      <c r="Q728" s="2">
        <v>8.0</v>
      </c>
      <c r="R728" s="2">
        <v>0.0</v>
      </c>
      <c r="S728" s="3" t="s">
        <v>2986</v>
      </c>
      <c r="T728" s="2" t="s">
        <v>2987</v>
      </c>
      <c r="Y728" s="4" t="str">
        <f>IFERROR(__xludf.DUMMYFUNCTION("""COMPUTED_VALUE"""),"6.9706463")</f>
        <v>6.9706463</v>
      </c>
      <c r="Z728" s="4" t="str">
        <f>IFERROR(__xludf.DUMMYFUNCTION("""COMPUTED_VALUE"""),"2.8683096")</f>
        <v>2.8683096</v>
      </c>
      <c r="AA728" s="4" t="str">
        <f t="shared" si="1"/>
        <v>Not Neighbor</v>
      </c>
      <c r="AC728" s="4">
        <f>IFERROR(__xludf.DUMMYFUNCTION("IFERROR(ABS(O728-AVERAGE(FILTER(O728:O4796,AA728:AA4796=""Neighbor""))) / STDEV(FILTER(O728:O4796, AA728:AA4796 =""Neighbor"")), """")"),0.6246623863827558)</f>
        <v>0.6246623864</v>
      </c>
      <c r="AD728" s="4">
        <f>IFERROR(__xludf.DUMMYFUNCTION("IFERROR(ABS(P728-AVERAGE(FILTER(O728:P4796,AA728:AA4796=""Neighbor""))) / STDEV(FILTER(P728:P4796, AA728:AA4796 =""Neighbor"")), """")"),1.516518480575543)</f>
        <v>1.516518481</v>
      </c>
      <c r="AE728" s="2">
        <f>IFERROR(__xludf.DUMMYFUNCTION("IFERROR(ABS(Q728-AVERAGE(FILTER(Q728:Q4796,AA728:AA4796=""Neighbor""))) / STDEV(FILTER(Q728:Q4796, AA728:AA4796 =""Neighbor"")), """")"),0.7001953363897233)</f>
        <v>0.7001953364</v>
      </c>
      <c r="AF728" s="2">
        <f>IFERROR(__xludf.DUMMYFUNCTION("IFERROR(ABS(R728-AVERAGE(FILTER(R728:R4796,AA728:AA4796=""Neighbor""))) / STDEV(FILTER(R728:R4796, AA728:AA4796 =""Neighbor"")), """")"),0.09666220965263358)</f>
        <v>0.09666220965</v>
      </c>
    </row>
    <row r="729">
      <c r="A729" s="2" t="s">
        <v>28</v>
      </c>
      <c r="B729" s="2" t="s">
        <v>2660</v>
      </c>
      <c r="C729" s="2" t="s">
        <v>2963</v>
      </c>
      <c r="D729" s="2" t="s">
        <v>2988</v>
      </c>
      <c r="E729" s="2" t="s">
        <v>2989</v>
      </c>
      <c r="F729" s="2">
        <v>98.0</v>
      </c>
      <c r="G729" s="2">
        <v>377.0</v>
      </c>
      <c r="H729" s="2" t="b">
        <v>1</v>
      </c>
      <c r="I729" s="2">
        <v>-1.0</v>
      </c>
      <c r="J729" s="2" t="b">
        <v>0</v>
      </c>
      <c r="K729" s="2" t="b">
        <v>0</v>
      </c>
      <c r="L729" s="2" t="b">
        <v>0</v>
      </c>
      <c r="M729" s="2" t="b">
        <v>0</v>
      </c>
      <c r="N729" s="2" t="s">
        <v>33</v>
      </c>
      <c r="O729" s="2">
        <v>116.0</v>
      </c>
      <c r="P729" s="2">
        <v>2.0</v>
      </c>
      <c r="Q729" s="2">
        <v>17.0</v>
      </c>
      <c r="R729" s="2">
        <v>0.0</v>
      </c>
      <c r="S729" s="3" t="s">
        <v>2990</v>
      </c>
      <c r="T729" s="2" t="s">
        <v>2991</v>
      </c>
      <c r="Y729" s="4" t="str">
        <f>IFERROR(__xludf.DUMMYFUNCTION("""COMPUTED_VALUE"""),"6.8910703")</f>
        <v>6.8910703</v>
      </c>
      <c r="Z729" s="4" t="str">
        <f>IFERROR(__xludf.DUMMYFUNCTION("""COMPUTED_VALUE"""),"2.8377656")</f>
        <v>2.8377656</v>
      </c>
      <c r="AA729" s="4" t="str">
        <f t="shared" si="1"/>
        <v>Neighbor</v>
      </c>
      <c r="AC729" s="4">
        <f>IFERROR(__xludf.DUMMYFUNCTION("IFERROR(ABS(O729-AVERAGE(FILTER(O729:O4797,AA729:AA4797=""Neighbor""))) / STDEV(FILTER(O729:O4797, AA729:AA4797 =""Neighbor"")), """")"),1.1880353959474748)</f>
        <v>1.188035396</v>
      </c>
      <c r="AD729" s="4">
        <f>IFERROR(__xludf.DUMMYFUNCTION("IFERROR(ABS(P729-AVERAGE(FILTER(O729:P4797,AA729:AA4797=""Neighbor""))) / STDEV(FILTER(P729:P4797, AA729:AA4797 =""Neighbor"")), """")"),1.5570508390492617)</f>
        <v>1.557050839</v>
      </c>
      <c r="AE729" s="2">
        <f>IFERROR(__xludf.DUMMYFUNCTION("IFERROR(ABS(Q729-AVERAGE(FILTER(Q729:Q4797,AA729:AA4797=""Neighbor""))) / STDEV(FILTER(Q729:Q4797, AA729:AA4797 =""Neighbor"")), """")"),0.33035471416341955)</f>
        <v>0.3303547142</v>
      </c>
      <c r="AF729" s="2">
        <f>IFERROR(__xludf.DUMMYFUNCTION("IFERROR(ABS(R729-AVERAGE(FILTER(R729:R4797,AA729:AA4797=""Neighbor""))) / STDEV(FILTER(R729:R4797, AA729:AA4797 =""Neighbor"")), """")"),0.09666220965263358)</f>
        <v>0.09666220965</v>
      </c>
    </row>
    <row r="730">
      <c r="A730" s="2" t="s">
        <v>28</v>
      </c>
      <c r="B730" s="2" t="s">
        <v>2660</v>
      </c>
      <c r="C730" s="2" t="s">
        <v>2963</v>
      </c>
      <c r="D730" s="2" t="s">
        <v>2992</v>
      </c>
      <c r="E730" s="2" t="s">
        <v>2993</v>
      </c>
      <c r="F730" s="2">
        <v>125.0</v>
      </c>
      <c r="G730" s="2">
        <v>750.0</v>
      </c>
      <c r="H730" s="2" t="b">
        <v>1</v>
      </c>
      <c r="I730" s="2">
        <v>-1.0</v>
      </c>
      <c r="J730" s="2" t="b">
        <v>0</v>
      </c>
      <c r="K730" s="2" t="b">
        <v>0</v>
      </c>
      <c r="L730" s="2" t="b">
        <v>0</v>
      </c>
      <c r="M730" s="2" t="b">
        <v>0</v>
      </c>
      <c r="N730" s="2" t="s">
        <v>33</v>
      </c>
      <c r="O730" s="2">
        <v>47.0</v>
      </c>
      <c r="P730" s="2">
        <v>11.0</v>
      </c>
      <c r="Q730" s="2">
        <v>56.0</v>
      </c>
      <c r="R730" s="2">
        <v>1.0</v>
      </c>
      <c r="S730" s="3" t="s">
        <v>2994</v>
      </c>
      <c r="T730" s="2" t="s">
        <v>2995</v>
      </c>
      <c r="Y730" s="4" t="str">
        <f>IFERROR(__xludf.DUMMYFUNCTION("""COMPUTED_VALUE"""),"6.8974433")</f>
        <v>6.8974433</v>
      </c>
      <c r="Z730" s="4" t="str">
        <f>IFERROR(__xludf.DUMMYFUNCTION("""COMPUTED_VALUE"""),"2.8362078")</f>
        <v>2.8362078</v>
      </c>
      <c r="AA730" s="4" t="str">
        <f t="shared" si="1"/>
        <v>Neighbor</v>
      </c>
      <c r="AC730" s="4">
        <f>IFERROR(__xludf.DUMMYFUNCTION("IFERROR(ABS(O730-AVERAGE(FILTER(O730:O4798,AA730:AA4798=""Neighbor""))) / STDEV(FILTER(O730:O4798, AA730:AA4798 =""Neighbor"")), """")"),0.41472029081639583)</f>
        <v>0.4147202908</v>
      </c>
      <c r="AD730" s="4">
        <f>IFERROR(__xludf.DUMMYFUNCTION("IFERROR(ABS(P730-AVERAGE(FILTER(O730:P4798,AA730:AA4798=""Neighbor""))) / STDEV(FILTER(P730:P4798, AA730:AA4798 =""Neighbor"")), """")"),1.191434961785727)</f>
        <v>1.191434962</v>
      </c>
      <c r="AE730" s="2">
        <f>IFERROR(__xludf.DUMMYFUNCTION("IFERROR(ABS(Q730-AVERAGE(FILTER(Q730:Q4798,AA730:AA4798=""Neighbor""))) / STDEV(FILTER(Q730:Q4798, AA730:AA4798 =""Neighbor"")), """")"),1.2716495100036596)</f>
        <v>1.27164951</v>
      </c>
      <c r="AF730" s="2">
        <f>IFERROR(__xludf.DUMMYFUNCTION("IFERROR(ABS(R730-AVERAGE(FILTER(R730:R4798,AA730:AA4798=""Neighbor""))) / STDEV(FILTER(R730:R4798, AA730:AA4798 =""Neighbor"")), """")"),0.08396685612521251)</f>
        <v>0.08396685613</v>
      </c>
    </row>
    <row r="731">
      <c r="A731" s="2" t="s">
        <v>28</v>
      </c>
      <c r="B731" s="2" t="s">
        <v>2660</v>
      </c>
      <c r="C731" s="2" t="s">
        <v>2963</v>
      </c>
      <c r="D731" s="2" t="s">
        <v>2996</v>
      </c>
      <c r="E731" s="2" t="s">
        <v>2997</v>
      </c>
      <c r="F731" s="2">
        <v>176.0</v>
      </c>
      <c r="G731" s="2">
        <v>930.0</v>
      </c>
      <c r="H731" s="2" t="b">
        <v>1</v>
      </c>
      <c r="I731" s="2">
        <v>-1.0</v>
      </c>
      <c r="J731" s="2" t="b">
        <v>0</v>
      </c>
      <c r="K731" s="2" t="b">
        <v>0</v>
      </c>
      <c r="L731" s="2" t="b">
        <v>0</v>
      </c>
      <c r="M731" s="2" t="b">
        <v>0</v>
      </c>
      <c r="N731" s="2" t="s">
        <v>33</v>
      </c>
      <c r="O731" s="2">
        <v>103.0</v>
      </c>
      <c r="P731" s="2">
        <v>14.0</v>
      </c>
      <c r="Q731" s="2">
        <v>40.0</v>
      </c>
      <c r="R731" s="2">
        <v>3.0</v>
      </c>
      <c r="S731" s="3" t="s">
        <v>2998</v>
      </c>
      <c r="T731" s="2" t="s">
        <v>2999</v>
      </c>
      <c r="Y731" s="4" t="str">
        <f>IFERROR(__xludf.DUMMYFUNCTION("""COMPUTED_VALUE"""),"6.8974433")</f>
        <v>6.8974433</v>
      </c>
      <c r="Z731" s="4" t="str">
        <f>IFERROR(__xludf.DUMMYFUNCTION("""COMPUTED_VALUE"""),"2.8362078")</f>
        <v>2.8362078</v>
      </c>
      <c r="AA731" s="4" t="str">
        <f t="shared" si="1"/>
        <v>Not Neighbor</v>
      </c>
      <c r="AC731" s="4">
        <f>IFERROR(__xludf.DUMMYFUNCTION("IFERROR(ABS(O731-AVERAGE(FILTER(O731:O4799,AA731:AA4799=""Neighbor""))) / STDEV(FILTER(O731:O4799, AA731:AA4799 =""Neighbor"")), """")"),0.886338098187749)</f>
        <v>0.8863380982</v>
      </c>
      <c r="AD731" s="4">
        <f>IFERROR(__xludf.DUMMYFUNCTION("IFERROR(ABS(P731-AVERAGE(FILTER(O731:P4799,AA731:AA4799=""Neighbor""))) / STDEV(FILTER(P731:P4799, AA731:AA4799 =""Neighbor"")), """")"),1.0698306195255105)</f>
        <v>1.06983062</v>
      </c>
      <c r="AE731" s="2">
        <f>IFERROR(__xludf.DUMMYFUNCTION("IFERROR(ABS(Q731-AVERAGE(FILTER(Q731:Q4799,AA731:AA4799=""Neighbor""))) / STDEV(FILTER(Q731:Q4799, AA731:AA4799 =""Neighbor"")), """")"),0.6154048897050433)</f>
        <v>0.6154048897</v>
      </c>
      <c r="AF731" s="2">
        <f>IFERROR(__xludf.DUMMYFUNCTION("IFERROR(ABS(R731-AVERAGE(FILTER(R731:R4799,AA731:AA4799=""Neighbor""))) / STDEV(FILTER(R731:R4799, AA731:AA4799 =""Neighbor"")), """")"),0.4451966626030884)</f>
        <v>0.4451966626</v>
      </c>
    </row>
    <row r="732">
      <c r="A732" s="2" t="s">
        <v>28</v>
      </c>
      <c r="B732" s="2" t="s">
        <v>2660</v>
      </c>
      <c r="C732" s="2" t="s">
        <v>2963</v>
      </c>
      <c r="D732" s="2" t="s">
        <v>3000</v>
      </c>
      <c r="E732" s="2" t="s">
        <v>3001</v>
      </c>
      <c r="F732" s="2">
        <v>142.0</v>
      </c>
      <c r="G732" s="2">
        <v>596.0</v>
      </c>
      <c r="H732" s="2" t="b">
        <v>1</v>
      </c>
      <c r="I732" s="2">
        <v>-1.0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s">
        <v>33</v>
      </c>
      <c r="O732" s="2">
        <v>71.0</v>
      </c>
      <c r="P732" s="2">
        <v>9.0</v>
      </c>
      <c r="Q732" s="2">
        <v>46.0</v>
      </c>
      <c r="R732" s="2">
        <v>0.0</v>
      </c>
      <c r="S732" s="3" t="s">
        <v>3002</v>
      </c>
      <c r="T732" s="2" t="s">
        <v>3003</v>
      </c>
      <c r="Y732" s="4" t="str">
        <f>IFERROR(__xludf.DUMMYFUNCTION("""COMPUTED_VALUE"""),"6.8986329")</f>
        <v>6.8986329</v>
      </c>
      <c r="Z732" s="4" t="str">
        <f>IFERROR(__xludf.DUMMYFUNCTION("""COMPUTED_VALUE"""),"2.8047504")</f>
        <v>2.8047504</v>
      </c>
      <c r="AA732" s="4" t="str">
        <f t="shared" si="1"/>
        <v>Not Neighbor</v>
      </c>
      <c r="AC732" s="4">
        <f>IFERROR(__xludf.DUMMYFUNCTION("IFERROR(ABS(O732-AVERAGE(FILTER(O732:O4800,AA732:AA4800=""Neighbor""))) / STDEV(FILTER(O732:O4800, AA732:AA4800 =""Neighbor"")), """")"),0.14277730880526018)</f>
        <v>0.1427773088</v>
      </c>
      <c r="AD732" s="4">
        <f>IFERROR(__xludf.DUMMYFUNCTION("IFERROR(ABS(P732-AVERAGE(FILTER(O732:P4800,AA732:AA4800=""Neighbor""))) / STDEV(FILTER(P732:P4800, AA732:AA4800 =""Neighbor"")), """")"),1.2723740990510997)</f>
        <v>1.272374099</v>
      </c>
      <c r="AE732" s="2">
        <f>IFERROR(__xludf.DUMMYFUNCTION("IFERROR(ABS(Q732-AVERAGE(FILTER(Q732:Q4800,AA732:AA4800=""Neighbor""))) / STDEV(FILTER(Q732:Q4800, AA732:AA4800 =""Neighbor"")), """")"),0.8619414500472196)</f>
        <v>0.86194145</v>
      </c>
      <c r="AF732" s="2">
        <f>IFERROR(__xludf.DUMMYFUNCTION("IFERROR(ABS(R732-AVERAGE(FILTER(R732:R4800,AA732:AA4800=""Neighbor""))) / STDEV(FILTER(R732:R4800, AA732:AA4800 =""Neighbor"")), """")"),0.0966029163868591)</f>
        <v>0.09660291639</v>
      </c>
    </row>
    <row r="733">
      <c r="A733" s="2" t="s">
        <v>28</v>
      </c>
      <c r="B733" s="2" t="s">
        <v>2660</v>
      </c>
      <c r="C733" s="2" t="s">
        <v>2963</v>
      </c>
      <c r="D733" s="2" t="s">
        <v>3004</v>
      </c>
      <c r="E733" s="2" t="s">
        <v>3005</v>
      </c>
      <c r="F733" s="2">
        <v>211.0</v>
      </c>
      <c r="G733" s="2">
        <v>738.0</v>
      </c>
      <c r="H733" s="2" t="b">
        <v>1</v>
      </c>
      <c r="I733" s="2">
        <v>-1.0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s">
        <v>33</v>
      </c>
      <c r="O733" s="2">
        <v>129.0</v>
      </c>
      <c r="P733" s="2">
        <v>3.0</v>
      </c>
      <c r="Q733" s="2">
        <v>65.0</v>
      </c>
      <c r="R733" s="2">
        <v>2.0</v>
      </c>
      <c r="S733" s="3" t="s">
        <v>3006</v>
      </c>
      <c r="T733" s="2" t="s">
        <v>3007</v>
      </c>
      <c r="Y733" s="4" t="str">
        <f>IFERROR(__xludf.DUMMYFUNCTION("""COMPUTED_VALUE"""),"6.8910703")</f>
        <v>6.8910703</v>
      </c>
      <c r="Z733" s="4" t="str">
        <f>IFERROR(__xludf.DUMMYFUNCTION("""COMPUTED_VALUE"""),"2.8377656")</f>
        <v>2.8377656</v>
      </c>
      <c r="AA733" s="4" t="str">
        <f t="shared" si="1"/>
        <v>Neighbor</v>
      </c>
      <c r="AC733" s="4">
        <f>IFERROR(__xludf.DUMMYFUNCTION("IFERROR(ABS(O733-AVERAGE(FILTER(O733:O4801,AA733:AA4801=""Neighbor""))) / STDEV(FILTER(O733:O4801, AA733:AA4801 =""Neighbor"")), """")"),1.490481239561021)</f>
        <v>1.49048124</v>
      </c>
      <c r="AD733" s="4">
        <f>IFERROR(__xludf.DUMMYFUNCTION("IFERROR(ABS(P733-AVERAGE(FILTER(O733:P4801,AA733:AA4801=""Neighbor""))) / STDEV(FILTER(P733:P4801, AA733:AA4801 =""Neighbor"")), """")"),1.5154262744818066)</f>
        <v>1.515426274</v>
      </c>
      <c r="AE733" s="2">
        <f>IFERROR(__xludf.DUMMYFUNCTION("IFERROR(ABS(Q733-AVERAGE(FILTER(Q733:Q4801,AA733:AA4801=""Neighbor""))) / STDEV(FILTER(Q733:Q4801, AA733:AA4801 =""Neighbor"")), """")"),1.6426405577974448)</f>
        <v>1.642640558</v>
      </c>
      <c r="AF733" s="2">
        <f>IFERROR(__xludf.DUMMYFUNCTION("IFERROR(ABS(R733-AVERAGE(FILTER(R733:R4801,AA733:AA4801=""Neighbor""))) / STDEV(FILTER(R733:R4801, AA733:AA4801 =""Neighbor"")), """")"),0.26459680293977256)</f>
        <v>0.2645968029</v>
      </c>
    </row>
    <row r="734">
      <c r="A734" s="2" t="s">
        <v>28</v>
      </c>
      <c r="B734" s="2" t="s">
        <v>2660</v>
      </c>
      <c r="C734" s="2" t="s">
        <v>2963</v>
      </c>
      <c r="D734" s="2" t="s">
        <v>3008</v>
      </c>
      <c r="E734" s="2" t="s">
        <v>3009</v>
      </c>
      <c r="F734" s="2">
        <v>151.0</v>
      </c>
      <c r="G734" s="2">
        <v>750.0</v>
      </c>
      <c r="H734" s="2" t="b">
        <v>1</v>
      </c>
      <c r="I734" s="2">
        <v>-1.0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s">
        <v>33</v>
      </c>
      <c r="O734" s="2">
        <v>63.0</v>
      </c>
      <c r="P734" s="2">
        <v>16.0</v>
      </c>
      <c r="Q734" s="2">
        <v>46.0</v>
      </c>
      <c r="R734" s="2">
        <v>2.0</v>
      </c>
      <c r="S734" s="3" t="s">
        <v>3010</v>
      </c>
      <c r="T734" s="2" t="s">
        <v>3011</v>
      </c>
      <c r="Y734" s="4" t="str">
        <f>IFERROR(__xludf.DUMMYFUNCTION("""COMPUTED_VALUE"""),"6.8910703")</f>
        <v>6.8910703</v>
      </c>
      <c r="Z734" s="4" t="str">
        <f>IFERROR(__xludf.DUMMYFUNCTION("""COMPUTED_VALUE"""),"2.8377656")</f>
        <v>2.8377656</v>
      </c>
      <c r="AA734" s="4" t="str">
        <f t="shared" si="1"/>
        <v>Neighbor</v>
      </c>
      <c r="AC734" s="4">
        <f>IFERROR(__xludf.DUMMYFUNCTION("IFERROR(ABS(O734-AVERAGE(FILTER(O734:O4802,AA734:AA4802=""Neighbor""))) / STDEV(FILTER(O734:O4802, AA734:AA4802 =""Neighbor"")), """")"),0.04206889020236947)</f>
        <v>0.0420688902</v>
      </c>
      <c r="AD734" s="4">
        <f>IFERROR(__xludf.DUMMYFUNCTION("IFERROR(ABS(P734-AVERAGE(FILTER(O734:P4802,AA734:AA4802=""Neighbor""))) / STDEV(FILTER(P734:P4802, AA734:AA4802 =""Neighbor"")), """")"),0.9878193426381543)</f>
        <v>0.9878193426</v>
      </c>
      <c r="AE734" s="2">
        <f>IFERROR(__xludf.DUMMYFUNCTION("IFERROR(ABS(Q734-AVERAGE(FILTER(Q734:Q4802,AA734:AA4802=""Neighbor""))) / STDEV(FILTER(Q734:Q4802, AA734:AA4802 =""Neighbor"")), """")"),0.8636360760836107)</f>
        <v>0.8636360761</v>
      </c>
      <c r="AF734" s="2">
        <f>IFERROR(__xludf.DUMMYFUNCTION("IFERROR(ABS(R734-AVERAGE(FILTER(R734:R4802,AA734:AA4802=""Neighbor""))) / STDEV(FILTER(R734:R4802, AA734:AA4802 =""Neighbor"")), """")"),0.26469762486426496)</f>
        <v>0.2646976249</v>
      </c>
    </row>
    <row r="735">
      <c r="A735" s="2" t="s">
        <v>28</v>
      </c>
      <c r="B735" s="2" t="s">
        <v>2660</v>
      </c>
      <c r="C735" s="2" t="s">
        <v>2963</v>
      </c>
      <c r="D735" s="2" t="s">
        <v>3012</v>
      </c>
      <c r="E735" s="2" t="s">
        <v>3013</v>
      </c>
      <c r="F735" s="2">
        <v>123.0</v>
      </c>
      <c r="G735" s="2">
        <v>756.0</v>
      </c>
      <c r="H735" s="2" t="b">
        <v>1</v>
      </c>
      <c r="I735" s="2">
        <v>-1.0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s">
        <v>33</v>
      </c>
      <c r="O735" s="2">
        <v>71.0</v>
      </c>
      <c r="P735" s="2">
        <v>13.0</v>
      </c>
      <c r="Q735" s="2">
        <v>25.0</v>
      </c>
      <c r="R735" s="2">
        <v>2.0</v>
      </c>
      <c r="S735" s="3" t="s">
        <v>3014</v>
      </c>
      <c r="T735" s="2" t="s">
        <v>3015</v>
      </c>
      <c r="Y735" s="4" t="str">
        <f>IFERROR(__xludf.DUMMYFUNCTION("""COMPUTED_VALUE"""),"6.8910703")</f>
        <v>6.8910703</v>
      </c>
      <c r="Z735" s="4" t="str">
        <f>IFERROR(__xludf.DUMMYFUNCTION("""COMPUTED_VALUE"""),"2.8377656")</f>
        <v>2.8377656</v>
      </c>
      <c r="AA735" s="4" t="str">
        <f t="shared" si="1"/>
        <v>Not Neighbor</v>
      </c>
      <c r="AC735" s="4">
        <f>IFERROR(__xludf.DUMMYFUNCTION("IFERROR(ABS(O735-AVERAGE(FILTER(O735:O4803,AA735:AA4803=""Neighbor""))) / STDEV(FILTER(O735:O4803, AA735:AA4803 =""Neighbor"")), """")"),0.14382121203070103)</f>
        <v>0.143821212</v>
      </c>
      <c r="AD735" s="4">
        <f>IFERROR(__xludf.DUMMYFUNCTION("IFERROR(ABS(P735-AVERAGE(FILTER(O735:P4803,AA735:AA4803=""Neighbor""))) / STDEV(FILTER(P735:P4803, AA735:AA4803 =""Neighbor"")), """")"),1.1089441230014367)</f>
        <v>1.108944123</v>
      </c>
      <c r="AE735" s="2">
        <f>IFERROR(__xludf.DUMMYFUNCTION("IFERROR(ABS(Q735-AVERAGE(FILTER(Q735:Q4803,AA735:AA4803=""Neighbor""))) / STDEV(FILTER(Q735:Q4803, AA735:AA4803 =""Neighbor"")), """")"),8.503628038623067E-4)</f>
        <v>0.0008503628039</v>
      </c>
      <c r="AF735" s="2">
        <f>IFERROR(__xludf.DUMMYFUNCTION("IFERROR(ABS(R735-AVERAGE(FILTER(R735:R4803,AA735:AA4803=""Neighbor""))) / STDEV(FILTER(R735:R4803, AA735:AA4803 =""Neighbor"")), """")"),0.2647985621348332)</f>
        <v>0.2647985621</v>
      </c>
    </row>
    <row r="736">
      <c r="A736" s="2" t="s">
        <v>28</v>
      </c>
      <c r="B736" s="2" t="s">
        <v>2660</v>
      </c>
      <c r="C736" s="2" t="s">
        <v>2963</v>
      </c>
      <c r="D736" s="2" t="s">
        <v>3016</v>
      </c>
      <c r="E736" s="2" t="s">
        <v>3017</v>
      </c>
      <c r="F736" s="2">
        <v>188.0</v>
      </c>
      <c r="G736" s="2">
        <v>590.0</v>
      </c>
      <c r="H736" s="2" t="b">
        <v>1</v>
      </c>
      <c r="I736" s="2">
        <v>-1.0</v>
      </c>
      <c r="J736" s="2" t="b">
        <v>0</v>
      </c>
      <c r="K736" s="2" t="b">
        <v>1</v>
      </c>
      <c r="L736" s="2" t="b">
        <v>0</v>
      </c>
      <c r="M736" s="2" t="b">
        <v>0</v>
      </c>
      <c r="N736" s="2" t="s">
        <v>33</v>
      </c>
      <c r="O736" s="2">
        <v>108.0</v>
      </c>
      <c r="P736" s="2">
        <v>5.0</v>
      </c>
      <c r="Q736" s="2">
        <v>54.0</v>
      </c>
      <c r="R736" s="2">
        <v>0.0</v>
      </c>
      <c r="S736" s="3" t="s">
        <v>3018</v>
      </c>
      <c r="T736" s="2" t="s">
        <v>3019</v>
      </c>
      <c r="Y736" s="4" t="str">
        <f>IFERROR(__xludf.DUMMYFUNCTION("""COMPUTED_VALUE"""),"6.8852864")</f>
        <v>6.8852864</v>
      </c>
      <c r="Z736" s="4" t="str">
        <f>IFERROR(__xludf.DUMMYFUNCTION("""COMPUTED_VALUE"""),"2.7960332")</f>
        <v>2.7960332</v>
      </c>
      <c r="AA736" s="4" t="str">
        <f t="shared" si="1"/>
        <v>Not Neighbor</v>
      </c>
      <c r="AC736" s="4">
        <f>IFERROR(__xludf.DUMMYFUNCTION("IFERROR(ABS(O736-AVERAGE(FILTER(O736:O4804,AA736:AA4804=""Neighbor""))) / STDEV(FILTER(O736:O4804, AA736:AA4804 =""Neighbor"")), """")"),1.0036323855792295)</f>
        <v>1.003632386</v>
      </c>
      <c r="AD736" s="4">
        <f>IFERROR(__xludf.DUMMYFUNCTION("IFERROR(ABS(P736-AVERAGE(FILTER(O736:P4804,AA736:AA4804=""Neighbor""))) / STDEV(FILTER(P736:P4804, AA736:AA4804 =""Neighbor"")), """")"),1.4328144824323323)</f>
        <v>1.432814482</v>
      </c>
      <c r="AE736" s="2">
        <f>IFERROR(__xludf.DUMMYFUNCTION("IFERROR(ABS(Q736-AVERAGE(FILTER(Q736:Q4804,AA736:AA4804=""Neighbor""))) / STDEV(FILTER(Q736:Q4804, AA736:AA4804 =""Neighbor"")), """")"),1.1930590138188595)</f>
        <v>1.193059014</v>
      </c>
      <c r="AF736" s="2">
        <f>IFERROR(__xludf.DUMMYFUNCTION("IFERROR(ABS(R736-AVERAGE(FILTER(R736:R4804,AA736:AA4804=""Neighbor""))) / STDEV(FILTER(R736:R4804, AA736:AA4804 =""Neighbor"")), """")"),0.09616165576797298)</f>
        <v>0.09616165577</v>
      </c>
    </row>
    <row r="737">
      <c r="A737" s="2" t="s">
        <v>28</v>
      </c>
      <c r="B737" s="2" t="s">
        <v>2660</v>
      </c>
      <c r="C737" s="2" t="s">
        <v>2963</v>
      </c>
      <c r="D737" s="2" t="s">
        <v>3020</v>
      </c>
      <c r="E737" s="2" t="s">
        <v>3021</v>
      </c>
      <c r="F737" s="2">
        <v>70.0</v>
      </c>
      <c r="G737" s="2">
        <v>551.0</v>
      </c>
      <c r="H737" s="2" t="b">
        <v>1</v>
      </c>
      <c r="I737" s="2">
        <v>-1.0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s">
        <v>33</v>
      </c>
      <c r="O737" s="2">
        <v>41.0</v>
      </c>
      <c r="P737" s="2">
        <v>3.0</v>
      </c>
      <c r="Q737" s="2">
        <v>12.0</v>
      </c>
      <c r="R737" s="2">
        <v>2.0</v>
      </c>
      <c r="S737" s="3" t="s">
        <v>3022</v>
      </c>
      <c r="T737" s="2" t="s">
        <v>3023</v>
      </c>
      <c r="Y737" s="4" t="str">
        <f>IFERROR(__xludf.DUMMYFUNCTION("""COMPUTED_VALUE"""),"6.9000827")</f>
        <v>6.9000827</v>
      </c>
      <c r="Z737" s="4" t="str">
        <f>IFERROR(__xludf.DUMMYFUNCTION("""COMPUTED_VALUE"""),"2.8946538")</f>
        <v>2.8946538</v>
      </c>
      <c r="AA737" s="4" t="str">
        <f t="shared" si="1"/>
        <v>Not Neighbor</v>
      </c>
      <c r="AC737" s="4">
        <f>IFERROR(__xludf.DUMMYFUNCTION("IFERROR(ABS(O737-AVERAGE(FILTER(O737:O4805,AA737:AA4805=""Neighbor""))) / STDEV(FILTER(O737:O4805, AA737:AA4805 =""Neighbor"")), """")"),0.5533229827383762)</f>
        <v>0.5533229827</v>
      </c>
      <c r="AD737" s="4">
        <f>IFERROR(__xludf.DUMMYFUNCTION("IFERROR(ABS(P737-AVERAGE(FILTER(O737:P4805,AA737:AA4805=""Neighbor""))) / STDEV(FILTER(P737:P4805, AA737:AA4805 =""Neighbor"")), """")"),1.5137820722900563)</f>
        <v>1.513782072</v>
      </c>
      <c r="AE737" s="2">
        <f>IFERROR(__xludf.DUMMYFUNCTION("IFERROR(ABS(Q737-AVERAGE(FILTER(Q737:Q4805,AA737:AA4805=""Neighbor""))) / STDEV(FILTER(Q737:Q4805, AA737:AA4805 =""Neighbor"")), """")"),0.533587997995964)</f>
        <v>0.533587998</v>
      </c>
      <c r="AF737" s="2">
        <f>IFERROR(__xludf.DUMMYFUNCTION("IFERROR(ABS(R737-AVERAGE(FILTER(R737:R4805,AA737:AA4805=""Neighbor""))) / STDEV(FILTER(R737:R4805, AA737:AA4805 =""Neighbor"")), """")"),0.2647985621348332)</f>
        <v>0.2647985621</v>
      </c>
    </row>
    <row r="738">
      <c r="A738" s="2" t="s">
        <v>28</v>
      </c>
      <c r="B738" s="2" t="s">
        <v>2660</v>
      </c>
      <c r="C738" s="2" t="s">
        <v>2963</v>
      </c>
      <c r="D738" s="2" t="s">
        <v>3024</v>
      </c>
      <c r="E738" s="2" t="s">
        <v>3025</v>
      </c>
      <c r="F738" s="2">
        <v>169.0</v>
      </c>
      <c r="G738" s="2">
        <v>598.0</v>
      </c>
      <c r="H738" s="2" t="b">
        <v>1</v>
      </c>
      <c r="I738" s="2">
        <v>-1.0</v>
      </c>
      <c r="J738" s="2" t="b">
        <v>0</v>
      </c>
      <c r="K738" s="2" t="b">
        <v>1</v>
      </c>
      <c r="L738" s="2" t="b">
        <v>0</v>
      </c>
      <c r="M738" s="2" t="b">
        <v>0</v>
      </c>
      <c r="N738" s="2" t="s">
        <v>33</v>
      </c>
      <c r="O738" s="2">
        <v>119.0</v>
      </c>
      <c r="P738" s="2">
        <v>1.0</v>
      </c>
      <c r="Q738" s="2">
        <v>29.0</v>
      </c>
      <c r="R738" s="2">
        <v>2.0</v>
      </c>
      <c r="S738" s="3" t="s">
        <v>3026</v>
      </c>
      <c r="T738" s="2" t="s">
        <v>3027</v>
      </c>
      <c r="Y738" s="4" t="str">
        <f>IFERROR(__xludf.DUMMYFUNCTION("""COMPUTED_VALUE"""),"6.9412")</f>
        <v>6.9412</v>
      </c>
      <c r="Z738" s="4" t="str">
        <f>IFERROR(__xludf.DUMMYFUNCTION("""COMPUTED_VALUE"""),"2.8735")</f>
        <v>2.8735</v>
      </c>
      <c r="AA738" s="4" t="str">
        <f t="shared" si="1"/>
        <v>Not Neighbor</v>
      </c>
      <c r="AC738" s="4">
        <f>IFERROR(__xludf.DUMMYFUNCTION("IFERROR(ABS(O738-AVERAGE(FILTER(O738:O4806,AA738:AA4806=""Neighbor""))) / STDEV(FILTER(O738:O4806, AA738:AA4806 =""Neighbor"")), """")"),1.2592519236612245)</f>
        <v>1.259251924</v>
      </c>
      <c r="AD738" s="4">
        <f>IFERROR(__xludf.DUMMYFUNCTION("IFERROR(ABS(P738-AVERAGE(FILTER(O738:P4806,AA738:AA4806=""Neighbor""))) / STDEV(FILTER(P738:P4806, AA738:AA4806 =""Neighbor"")), """")"),1.5947496621477801)</f>
        <v>1.594749662</v>
      </c>
      <c r="AE738" s="2">
        <f>IFERROR(__xludf.DUMMYFUNCTION("IFERROR(ABS(Q738-AVERAGE(FILTER(Q738:Q4806,AA738:AA4806=""Neighbor""))) / STDEV(FILTER(Q738:Q4806, AA738:AA4806 =""Neighbor"")), """")"),0.16529293535765502)</f>
        <v>0.1652929354</v>
      </c>
      <c r="AF738" s="2">
        <f>IFERROR(__xludf.DUMMYFUNCTION("IFERROR(ABS(R738-AVERAGE(FILTER(R738:R4806,AA738:AA4806=""Neighbor""))) / STDEV(FILTER(R738:R4806, AA738:AA4806 =""Neighbor"")), """")"),0.2647985621348332)</f>
        <v>0.2647985621</v>
      </c>
    </row>
    <row r="739">
      <c r="A739" s="2" t="s">
        <v>28</v>
      </c>
      <c r="B739" s="2" t="s">
        <v>2660</v>
      </c>
      <c r="C739" s="2" t="s">
        <v>3028</v>
      </c>
      <c r="D739" s="2" t="s">
        <v>3029</v>
      </c>
      <c r="E739" s="2" t="s">
        <v>3030</v>
      </c>
      <c r="F739" s="2">
        <v>193.0</v>
      </c>
      <c r="G739" s="2">
        <v>700.0</v>
      </c>
      <c r="H739" s="2" t="b">
        <v>1</v>
      </c>
      <c r="I739" s="2">
        <v>-1.0</v>
      </c>
      <c r="J739" s="2" t="b">
        <v>1</v>
      </c>
      <c r="K739" s="2" t="b">
        <v>1</v>
      </c>
      <c r="L739" s="2" t="b">
        <v>0</v>
      </c>
      <c r="M739" s="2" t="b">
        <v>0</v>
      </c>
      <c r="N739" s="2" t="s">
        <v>33</v>
      </c>
      <c r="O739" s="2">
        <v>69.0</v>
      </c>
      <c r="P739" s="2">
        <v>1.0</v>
      </c>
      <c r="Q739" s="2">
        <v>102.0</v>
      </c>
      <c r="R739" s="2">
        <v>0.0</v>
      </c>
      <c r="S739" s="3" t="s">
        <v>3031</v>
      </c>
      <c r="T739" s="2" t="s">
        <v>3032</v>
      </c>
      <c r="Y739" s="4" t="str">
        <f>IFERROR(__xludf.DUMMYFUNCTION("""COMPUTED_VALUE"""),"6.9189586")</f>
        <v>6.9189586</v>
      </c>
      <c r="Z739" s="4" t="str">
        <f>IFERROR(__xludf.DUMMYFUNCTION("""COMPUTED_VALUE"""),"2.766158")</f>
        <v>2.766158</v>
      </c>
      <c r="AA739" s="4" t="str">
        <f t="shared" si="1"/>
        <v>Not Neighbor</v>
      </c>
      <c r="AC739" s="4">
        <f>IFERROR(__xludf.DUMMYFUNCTION("IFERROR(ABS(O739-AVERAGE(FILTER(O739:O4807,AA739:AA4807=""Neighbor""))) / STDEV(FILTER(O739:O4807, AA739:AA4807 =""Neighbor"")), """")"),0.0973449323794292)</f>
        <v>0.09734493238</v>
      </c>
      <c r="AD739" s="4">
        <f>IFERROR(__xludf.DUMMYFUNCTION("IFERROR(ABS(P739-AVERAGE(FILTER(O739:P4807,AA739:AA4807=""Neighbor""))) / STDEV(FILTER(P739:P4807, AA739:AA4807 =""Neighbor"")), """")"),1.5947496621477801)</f>
        <v>1.594749662</v>
      </c>
      <c r="AE739" s="2">
        <f>IFERROR(__xludf.DUMMYFUNCTION("IFERROR(ABS(Q739-AVERAGE(FILTER(Q739:Q4807,AA739:AA4807=""Neighbor""))) / STDEV(FILTER(Q739:Q4807, AA739:AA4807 =""Neighbor"")), """")"),3.166369884464372)</f>
        <v>3.166369884</v>
      </c>
      <c r="AF739" s="2">
        <f>IFERROR(__xludf.DUMMYFUNCTION("IFERROR(ABS(R739-AVERAGE(FILTER(R739:R4807,AA739:AA4807=""Neighbor""))) / STDEV(FILTER(R739:R4807, AA739:AA4807 =""Neighbor"")), """")"),0.09616165576797298)</f>
        <v>0.09616165577</v>
      </c>
    </row>
    <row r="740">
      <c r="A740" s="2" t="s">
        <v>28</v>
      </c>
      <c r="B740" s="2" t="s">
        <v>2660</v>
      </c>
      <c r="C740" s="2" t="s">
        <v>3028</v>
      </c>
      <c r="D740" s="2" t="s">
        <v>3033</v>
      </c>
      <c r="E740" s="2" t="s">
        <v>3034</v>
      </c>
      <c r="F740" s="2">
        <v>223.0</v>
      </c>
      <c r="G740" s="2">
        <v>915.0</v>
      </c>
      <c r="H740" s="2" t="b">
        <v>1</v>
      </c>
      <c r="I740" s="2">
        <v>-1.0</v>
      </c>
      <c r="J740" s="2" t="b">
        <v>0</v>
      </c>
      <c r="K740" s="2" t="b">
        <v>0</v>
      </c>
      <c r="L740" s="2" t="b">
        <v>0</v>
      </c>
      <c r="M740" s="2" t="b">
        <v>0</v>
      </c>
      <c r="N740" s="2" t="s">
        <v>33</v>
      </c>
      <c r="O740" s="2">
        <v>82.0</v>
      </c>
      <c r="P740" s="2">
        <v>2.0</v>
      </c>
      <c r="Q740" s="2">
        <v>79.0</v>
      </c>
      <c r="R740" s="2">
        <v>7.0</v>
      </c>
      <c r="S740" s="3" t="s">
        <v>3035</v>
      </c>
      <c r="T740" s="2" t="s">
        <v>3036</v>
      </c>
      <c r="Y740" s="4" t="str">
        <f>IFERROR(__xludf.DUMMYFUNCTION("""COMPUTED_VALUE"""),"6.9470284")</f>
        <v>6.9470284</v>
      </c>
      <c r="Z740" s="4" t="str">
        <f>IFERROR(__xludf.DUMMYFUNCTION("""COMPUTED_VALUE"""),"2.7223132")</f>
        <v>2.7223132</v>
      </c>
      <c r="AA740" s="4" t="str">
        <f t="shared" si="1"/>
        <v>Not Neighbor</v>
      </c>
      <c r="AC740" s="4">
        <f>IFERROR(__xludf.DUMMYFUNCTION("IFERROR(ABS(O740-AVERAGE(FILTER(O740:O4808,AA740:AA4808=""Neighbor""))) / STDEV(FILTER(O740:O4808, AA740:AA4808 =""Neighbor"")), """")"),0.39944075011269603)</f>
        <v>0.3994407501</v>
      </c>
      <c r="AD740" s="4">
        <f>IFERROR(__xludf.DUMMYFUNCTION("IFERROR(ABS(P740-AVERAGE(FILTER(O740:P4808,AA740:AA4808=""Neighbor""))) / STDEV(FILTER(P740:P4808, AA740:AA4808 =""Neighbor"")), """")"),1.5542658672189182)</f>
        <v>1.554265867</v>
      </c>
      <c r="AE740" s="2">
        <f>IFERROR(__xludf.DUMMYFUNCTION("IFERROR(ABS(Q740-AVERAGE(FILTER(Q740:Q4808,AA740:AA4808=""Neighbor""))) / STDEV(FILTER(Q740:Q4808, AA740:AA4808 =""Neighbor"")), """")"),2.220825092280064)</f>
        <v>2.220825092</v>
      </c>
      <c r="AF740" s="2">
        <f>IFERROR(__xludf.DUMMYFUNCTION("IFERROR(ABS(R740-AVERAGE(FILTER(R740:R4808,AA740:AA4808=""Neighbor""))) / STDEV(FILTER(R740:R4808, AA740:AA4808 =""Neighbor"")), """")"),1.1671991068918486)</f>
        <v>1.167199107</v>
      </c>
    </row>
    <row r="741">
      <c r="A741" s="2" t="s">
        <v>28</v>
      </c>
      <c r="B741" s="2" t="s">
        <v>2660</v>
      </c>
      <c r="C741" s="2" t="s">
        <v>3028</v>
      </c>
      <c r="D741" s="2" t="s">
        <v>3037</v>
      </c>
      <c r="E741" s="2" t="s">
        <v>3038</v>
      </c>
      <c r="F741" s="2">
        <v>255.0</v>
      </c>
      <c r="G741" s="2">
        <v>959.0</v>
      </c>
      <c r="H741" s="2" t="b">
        <v>1</v>
      </c>
      <c r="I741" s="2">
        <v>-1.0</v>
      </c>
      <c r="J741" s="2" t="b">
        <v>0</v>
      </c>
      <c r="K741" s="2" t="b">
        <v>1</v>
      </c>
      <c r="L741" s="2" t="b">
        <v>0</v>
      </c>
      <c r="M741" s="2" t="b">
        <v>0</v>
      </c>
      <c r="N741" s="2" t="s">
        <v>33</v>
      </c>
      <c r="O741" s="2">
        <v>109.0</v>
      </c>
      <c r="P741" s="2">
        <v>5.0</v>
      </c>
      <c r="Q741" s="2">
        <v>113.0</v>
      </c>
      <c r="R741" s="2">
        <v>5.0</v>
      </c>
      <c r="S741" s="3" t="s">
        <v>3039</v>
      </c>
      <c r="T741" s="2" t="s">
        <v>3040</v>
      </c>
      <c r="Y741" s="4" t="str">
        <f>IFERROR(__xludf.DUMMYFUNCTION("""COMPUTED_VALUE"""),"6.9581187")</f>
        <v>6.9581187</v>
      </c>
      <c r="Z741" s="4" t="str">
        <f>IFERROR(__xludf.DUMMYFUNCTION("""COMPUTED_VALUE"""),"2.7176512")</f>
        <v>2.7176512</v>
      </c>
      <c r="AA741" s="4" t="str">
        <f t="shared" si="1"/>
        <v>Not Neighbor</v>
      </c>
      <c r="AC741" s="4">
        <f>IFERROR(__xludf.DUMMYFUNCTION("IFERROR(ABS(O741-AVERAGE(FILTER(O741:O4809,AA741:AA4809=""Neighbor""))) / STDEV(FILTER(O741:O4809, AA741:AA4809 =""Neighbor"")), """")"),1.0268705254048656)</f>
        <v>1.026870525</v>
      </c>
      <c r="AD741" s="4">
        <f>IFERROR(__xludf.DUMMYFUNCTION("IFERROR(ABS(P741-AVERAGE(FILTER(O741:P4809,AA741:AA4809=""Neighbor""))) / STDEV(FILTER(P741:P4809, AA741:AA4809 =""Neighbor"")), """")"),1.4328144824323323)</f>
        <v>1.432814482</v>
      </c>
      <c r="AE741" s="2">
        <f>IFERROR(__xludf.DUMMYFUNCTION("IFERROR(ABS(Q741-AVERAGE(FILTER(Q741:Q4809,AA741:AA4809=""Neighbor""))) / STDEV(FILTER(Q741:Q4809, AA741:AA4809 =""Neighbor"")), """")"),3.618586958987302)</f>
        <v>3.618586959</v>
      </c>
      <c r="AF741" s="2">
        <f>IFERROR(__xludf.DUMMYFUNCTION("IFERROR(ABS(R741-AVERAGE(FILTER(R741:R4809,AA741:AA4809=""Neighbor""))) / STDEV(FILTER(R741:R4809, AA741:AA4809 =""Neighbor"")), """")"),0.8062388889890425)</f>
        <v>0.806238889</v>
      </c>
    </row>
    <row r="742">
      <c r="A742" s="2" t="s">
        <v>28</v>
      </c>
      <c r="B742" s="2" t="s">
        <v>2660</v>
      </c>
      <c r="C742" s="2" t="s">
        <v>3028</v>
      </c>
      <c r="D742" s="2" t="s">
        <v>3041</v>
      </c>
      <c r="E742" s="2" t="s">
        <v>3042</v>
      </c>
      <c r="F742" s="2">
        <v>165.0</v>
      </c>
      <c r="G742" s="2">
        <v>719.0</v>
      </c>
      <c r="H742" s="2" t="b">
        <v>1</v>
      </c>
      <c r="I742" s="2">
        <v>-1.0</v>
      </c>
      <c r="J742" s="2" t="b">
        <v>1</v>
      </c>
      <c r="K742" s="2" t="b">
        <v>1</v>
      </c>
      <c r="L742" s="2" t="b">
        <v>0</v>
      </c>
      <c r="M742" s="2" t="b">
        <v>0</v>
      </c>
      <c r="N742" s="2" t="s">
        <v>33</v>
      </c>
      <c r="O742" s="2">
        <v>74.0</v>
      </c>
      <c r="P742" s="2">
        <v>3.0</v>
      </c>
      <c r="Q742" s="2">
        <v>63.0</v>
      </c>
      <c r="R742" s="2">
        <v>0.0</v>
      </c>
      <c r="S742" s="3" t="s">
        <v>3043</v>
      </c>
      <c r="T742" s="2" t="s">
        <v>3044</v>
      </c>
      <c r="Y742" s="4" t="str">
        <f>IFERROR(__xludf.DUMMYFUNCTION("""COMPUTED_VALUE"""),"7.0308841")</f>
        <v>7.0308841</v>
      </c>
      <c r="Z742" s="4" t="str">
        <f>IFERROR(__xludf.DUMMYFUNCTION("""COMPUTED_VALUE"""),"2.7930826")</f>
        <v>2.7930826</v>
      </c>
      <c r="AA742" s="4" t="str">
        <f t="shared" si="1"/>
        <v>Neighbor</v>
      </c>
      <c r="AC742" s="4">
        <f>IFERROR(__xludf.DUMMYFUNCTION("IFERROR(ABS(O742-AVERAGE(FILTER(O742:O4810,AA742:AA4810=""Neighbor""))) / STDEV(FILTER(O742:O4810, AA742:AA4810 =""Neighbor"")), """")"),0.21353563150760874)</f>
        <v>0.2135356315</v>
      </c>
      <c r="AD742" s="4">
        <f>IFERROR(__xludf.DUMMYFUNCTION("IFERROR(ABS(P742-AVERAGE(FILTER(O742:P4810,AA742:AA4810=""Neighbor""))) / STDEV(FILTER(P742:P4810, AA742:AA4810 =""Neighbor"")), """")"),1.5137820722900563)</f>
        <v>1.513782072</v>
      </c>
      <c r="AE742" s="2">
        <f>IFERROR(__xludf.DUMMYFUNCTION("IFERROR(ABS(Q742-AVERAGE(FILTER(Q742:Q4810,AA742:AA4810=""Neighbor""))) / STDEV(FILTER(Q742:Q4810, AA742:AA4810 =""Neighbor"")), """")"),1.5630548020648931)</f>
        <v>1.563054802</v>
      </c>
      <c r="AF742" s="2">
        <f>IFERROR(__xludf.DUMMYFUNCTION("IFERROR(ABS(R742-AVERAGE(FILTER(R742:R4810,AA742:AA4810=""Neighbor""))) / STDEV(FILTER(R742:R4810, AA742:AA4810 =""Neighbor"")), """")"),0.09616165576797298)</f>
        <v>0.09616165577</v>
      </c>
    </row>
    <row r="743">
      <c r="A743" s="2" t="s">
        <v>28</v>
      </c>
      <c r="B743" s="2" t="s">
        <v>2660</v>
      </c>
      <c r="C743" s="2" t="s">
        <v>3028</v>
      </c>
      <c r="D743" s="2" t="s">
        <v>3045</v>
      </c>
      <c r="E743" s="2" t="s">
        <v>3046</v>
      </c>
      <c r="F743" s="2">
        <v>110.0</v>
      </c>
      <c r="G743" s="2">
        <v>535.0</v>
      </c>
      <c r="H743" s="2" t="b">
        <v>1</v>
      </c>
      <c r="I743" s="2">
        <v>-1.0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s">
        <v>33</v>
      </c>
      <c r="O743" s="2">
        <v>71.0</v>
      </c>
      <c r="P743" s="2">
        <v>3.0</v>
      </c>
      <c r="Q743" s="2">
        <v>32.0</v>
      </c>
      <c r="R743" s="2">
        <v>1.0</v>
      </c>
      <c r="S743" s="3" t="s">
        <v>3047</v>
      </c>
      <c r="T743" s="2" t="s">
        <v>3048</v>
      </c>
      <c r="Y743" s="4" t="str">
        <f>IFERROR(__xludf.DUMMYFUNCTION("""COMPUTED_VALUE"""),"7.0308841")</f>
        <v>7.0308841</v>
      </c>
      <c r="Z743" s="4" t="str">
        <f>IFERROR(__xludf.DUMMYFUNCTION("""COMPUTED_VALUE"""),"2.7930826")</f>
        <v>2.7930826</v>
      </c>
      <c r="AA743" s="4" t="str">
        <f t="shared" si="1"/>
        <v>Neighbor</v>
      </c>
      <c r="AC743" s="4">
        <f>IFERROR(__xludf.DUMMYFUNCTION("IFERROR(ABS(O743-AVERAGE(FILTER(O743:O4811,AA743:AA4811=""Neighbor""))) / STDEV(FILTER(O743:O4811, AA743:AA4811 =""Neighbor"")), """")"),0.14392458079153925)</f>
        <v>0.1439245808</v>
      </c>
      <c r="AD743" s="4">
        <f>IFERROR(__xludf.DUMMYFUNCTION("IFERROR(ABS(P743-AVERAGE(FILTER(O743:P4811,AA743:AA4811=""Neighbor""))) / STDEV(FILTER(P743:P4811, AA743:AA4811 =""Neighbor"")), """")"),1.5134454987269261)</f>
        <v>1.513445499</v>
      </c>
      <c r="AE743" s="2">
        <f>IFERROR(__xludf.DUMMYFUNCTION("IFERROR(ABS(Q743-AVERAGE(FILTER(Q743:Q4811,AA743:AA4811=""Neighbor""))) / STDEV(FILTER(Q743:Q4811, AA743:AA4811 =""Neighbor"")), """")"),0.2898901662379324)</f>
        <v>0.2898901662</v>
      </c>
      <c r="AF743" s="2">
        <f>IFERROR(__xludf.DUMMYFUNCTION("IFERROR(ABS(R743-AVERAGE(FILTER(R743:R4811,AA743:AA4811=""Neighbor""))) / STDEV(FILTER(R743:R4811, AA743:AA4811 =""Neighbor"")), """")"),0.08422002034224517)</f>
        <v>0.08422002034</v>
      </c>
    </row>
    <row r="744">
      <c r="A744" s="2" t="s">
        <v>28</v>
      </c>
      <c r="B744" s="2" t="s">
        <v>2660</v>
      </c>
      <c r="C744" s="2" t="s">
        <v>3028</v>
      </c>
      <c r="D744" s="2" t="s">
        <v>3049</v>
      </c>
      <c r="E744" s="2" t="s">
        <v>3050</v>
      </c>
      <c r="F744" s="2">
        <v>252.0</v>
      </c>
      <c r="G744" s="2">
        <v>1312.0</v>
      </c>
      <c r="H744" s="2" t="b">
        <v>1</v>
      </c>
      <c r="I744" s="2">
        <v>-1.0</v>
      </c>
      <c r="J744" s="2" t="b">
        <v>1</v>
      </c>
      <c r="K744" s="2" t="b">
        <v>1</v>
      </c>
      <c r="L744" s="2" t="b">
        <v>0</v>
      </c>
      <c r="M744" s="2" t="b">
        <v>0</v>
      </c>
      <c r="N744" s="2" t="s">
        <v>33</v>
      </c>
      <c r="O744" s="2">
        <v>0.0</v>
      </c>
      <c r="P744" s="2">
        <v>0.0</v>
      </c>
      <c r="Q744" s="2">
        <v>0.0</v>
      </c>
      <c r="R744" s="2">
        <v>0.0</v>
      </c>
      <c r="S744" s="3" t="s">
        <v>3051</v>
      </c>
      <c r="T744" s="2" t="s">
        <v>3052</v>
      </c>
      <c r="Y744" s="4" t="str">
        <f>IFERROR(__xludf.DUMMYFUNCTION("""COMPUTED_VALUE"""),"7.0308841")</f>
        <v>7.0308841</v>
      </c>
      <c r="Z744" s="4" t="str">
        <f>IFERROR(__xludf.DUMMYFUNCTION("""COMPUTED_VALUE"""),"2.7930826")</f>
        <v>2.7930826</v>
      </c>
      <c r="AA744" s="4" t="str">
        <f t="shared" si="1"/>
        <v>Not Neighbor</v>
      </c>
      <c r="AC744" s="4">
        <f>IFERROR(__xludf.DUMMYFUNCTION("IFERROR(ABS(O744-AVERAGE(FILTER(O744:O4812,AA744:AA4812=""Neighbor""))) / STDEV(FILTER(O744:O4812, AA744:AA4812 =""Neighbor"")), """")"),1.5047918963033458)</f>
        <v>1.504791896</v>
      </c>
      <c r="AD744" s="4">
        <f>IFERROR(__xludf.DUMMYFUNCTION("IFERROR(ABS(P744-AVERAGE(FILTER(O744:P4812,AA744:AA4812=""Neighbor""))) / STDEV(FILTER(P744:P4812, AA744:AA4812 =""Neighbor"")), """")"),1.6345408882916102)</f>
        <v>1.634540888</v>
      </c>
      <c r="AE744" s="2">
        <f>IFERROR(__xludf.DUMMYFUNCTION("IFERROR(ABS(Q744-AVERAGE(FILTER(Q744:Q4812,AA744:AA4812=""Neighbor""))) / STDEV(FILTER(Q744:Q4812, AA744:AA4812 =""Neighbor"")), """")"),1.0257870056876797)</f>
        <v>1.025787006</v>
      </c>
      <c r="AF744" s="2">
        <f>IFERROR(__xludf.DUMMYFUNCTION("IFERROR(ABS(R744-AVERAGE(FILTER(R744:R4812,AA744:AA4812=""Neighbor""))) / STDEV(FILTER(R744:R4812, AA744:AA4812 =""Neighbor"")), """")"),0.09610200777486247)</f>
        <v>0.09610200777</v>
      </c>
    </row>
    <row r="745">
      <c r="A745" s="2" t="s">
        <v>28</v>
      </c>
      <c r="B745" s="2" t="s">
        <v>2660</v>
      </c>
      <c r="C745" s="2" t="s">
        <v>3028</v>
      </c>
      <c r="D745" s="2" t="s">
        <v>3053</v>
      </c>
      <c r="E745" s="2" t="s">
        <v>3054</v>
      </c>
      <c r="F745" s="2">
        <v>275.0</v>
      </c>
      <c r="G745" s="2">
        <v>815.0</v>
      </c>
      <c r="H745" s="2" t="b">
        <v>1</v>
      </c>
      <c r="I745" s="2">
        <v>-1.0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s">
        <v>33</v>
      </c>
      <c r="O745" s="2">
        <v>99.0</v>
      </c>
      <c r="P745" s="2">
        <v>4.0</v>
      </c>
      <c r="Q745" s="2">
        <v>82.0</v>
      </c>
      <c r="R745" s="2">
        <v>21.0</v>
      </c>
      <c r="S745" s="3" t="s">
        <v>3055</v>
      </c>
      <c r="T745" s="2" t="s">
        <v>3056</v>
      </c>
      <c r="Y745" s="4" t="str">
        <f>IFERROR(__xludf.DUMMYFUNCTION("""COMPUTED_VALUE"""),"6.9771024")</f>
        <v>6.9771024</v>
      </c>
      <c r="Z745" s="4" t="str">
        <f>IFERROR(__xludf.DUMMYFUNCTION("""COMPUTED_VALUE"""),"2.797901")</f>
        <v>2.797901</v>
      </c>
      <c r="AA745" s="4" t="str">
        <f t="shared" si="1"/>
        <v>Neighbor</v>
      </c>
      <c r="AC745" s="4">
        <f>IFERROR(__xludf.DUMMYFUNCTION("IFERROR(ABS(O745-AVERAGE(FILTER(O745:O4813,AA745:AA4813=""Neighbor""))) / STDEV(FILTER(O745:O4813, AA745:AA4813 =""Neighbor"")), """")"),0.7941957230489882)</f>
        <v>0.794195723</v>
      </c>
      <c r="AD745" s="4">
        <f>IFERROR(__xludf.DUMMYFUNCTION("IFERROR(ABS(P745-AVERAGE(FILTER(O745:P4813,AA745:AA4813=""Neighbor""))) / STDEV(FILTER(P745:P4813, AA745:AA4813 =""Neighbor"")), """")"),1.472689418038438)</f>
        <v>1.472689418</v>
      </c>
      <c r="AE745" s="2">
        <f>IFERROR(__xludf.DUMMYFUNCTION("IFERROR(ABS(Q745-AVERAGE(FILTER(Q745:Q4813,AA745:AA4813=""Neighbor""))) / STDEV(FILTER(Q745:Q4813, AA745:AA4813 =""Neighbor"")), """")"),2.34592313154377)</f>
        <v>2.345923132</v>
      </c>
      <c r="AF745" s="2">
        <f>IFERROR(__xludf.DUMMYFUNCTION("IFERROR(ABS(R745-AVERAGE(FILTER(R745:R4813,AA745:AA4813=""Neighbor""))) / STDEV(FILTER(R745:R4813, AA745:AA4813 =""Neighbor"")), """")"),3.6912961538618085)</f>
        <v>3.691296154</v>
      </c>
    </row>
    <row r="746">
      <c r="A746" s="2" t="s">
        <v>28</v>
      </c>
      <c r="B746" s="2" t="s">
        <v>2660</v>
      </c>
      <c r="C746" s="2" t="s">
        <v>3028</v>
      </c>
      <c r="D746" s="2" t="s">
        <v>3057</v>
      </c>
      <c r="E746" s="2" t="s">
        <v>3058</v>
      </c>
      <c r="F746" s="2">
        <v>130.0</v>
      </c>
      <c r="G746" s="2">
        <v>677.0</v>
      </c>
      <c r="H746" s="2" t="b">
        <v>1</v>
      </c>
      <c r="I746" s="2">
        <v>-1.0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s">
        <v>33</v>
      </c>
      <c r="O746" s="2">
        <v>0.0</v>
      </c>
      <c r="P746" s="2">
        <v>0.0</v>
      </c>
      <c r="Q746" s="2">
        <v>0.0</v>
      </c>
      <c r="R746" s="2">
        <v>0.0</v>
      </c>
      <c r="S746" s="3" t="s">
        <v>3059</v>
      </c>
      <c r="T746" s="2" t="s">
        <v>3060</v>
      </c>
      <c r="Y746" s="4" t="str">
        <f>IFERROR(__xludf.DUMMYFUNCTION("""COMPUTED_VALUE"""),"6.9771024")</f>
        <v>6.9771024</v>
      </c>
      <c r="Z746" s="4" t="str">
        <f>IFERROR(__xludf.DUMMYFUNCTION("""COMPUTED_VALUE"""),"2.797901")</f>
        <v>2.797901</v>
      </c>
      <c r="AA746" s="4" t="str">
        <f t="shared" si="1"/>
        <v>Not Neighbor</v>
      </c>
      <c r="AC746" s="4">
        <f>IFERROR(__xludf.DUMMYFUNCTION("IFERROR(ABS(O746-AVERAGE(FILTER(O746:O4814,AA746:AA4814=""Neighbor""))) / STDEV(FILTER(O746:O4814, AA746:AA4814 =""Neighbor"")), """")"),1.5040258349027367)</f>
        <v>1.504025835</v>
      </c>
      <c r="AD746" s="4">
        <f>IFERROR(__xludf.DUMMYFUNCTION("IFERROR(ABS(P746-AVERAGE(FILTER(O746:P4814,AA746:AA4814=""Neighbor""))) / STDEV(FILTER(P746:P4814, AA746:AA4814 =""Neighbor"")), """")"),1.6337731487925626)</f>
        <v>1.633773149</v>
      </c>
      <c r="AE746" s="2">
        <f>IFERROR(__xludf.DUMMYFUNCTION("IFERROR(ABS(Q746-AVERAGE(FILTER(Q746:Q4814,AA746:AA4814=""Neighbor""))) / STDEV(FILTER(Q746:Q4814, AA746:AA4814 =""Neighbor"")), """")"),1.025765067126928)</f>
        <v>1.025765067</v>
      </c>
      <c r="AF746" s="2">
        <f>IFERROR(__xludf.DUMMYFUNCTION("IFERROR(ABS(R746-AVERAGE(FILTER(R746:R4814,AA746:AA4814=""Neighbor""))) / STDEV(FILTER(R746:R4814, AA746:AA4814 =""Neighbor"")), """")"),0.0938887387816874)</f>
        <v>0.09388873878</v>
      </c>
    </row>
    <row r="747">
      <c r="A747" s="2" t="s">
        <v>28</v>
      </c>
      <c r="B747" s="2" t="s">
        <v>2660</v>
      </c>
      <c r="C747" s="2" t="s">
        <v>3028</v>
      </c>
      <c r="D747" s="2" t="s">
        <v>3061</v>
      </c>
      <c r="E747" s="2" t="s">
        <v>3062</v>
      </c>
      <c r="F747" s="2">
        <v>102.0</v>
      </c>
      <c r="G747" s="2">
        <v>423.0</v>
      </c>
      <c r="H747" s="2" t="b">
        <v>1</v>
      </c>
      <c r="I747" s="2">
        <v>-1.0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s">
        <v>33</v>
      </c>
      <c r="O747" s="2">
        <v>59.0</v>
      </c>
      <c r="P747" s="2">
        <v>0.0</v>
      </c>
      <c r="Q747" s="2">
        <v>35.0</v>
      </c>
      <c r="R747" s="2">
        <v>0.0</v>
      </c>
      <c r="S747" s="3" t="s">
        <v>3063</v>
      </c>
      <c r="T747" s="2" t="s">
        <v>3064</v>
      </c>
      <c r="Y747" s="4" t="str">
        <f>IFERROR(__xludf.DUMMYFUNCTION("""COMPUTED_VALUE"""),"7.0308841")</f>
        <v>7.0308841</v>
      </c>
      <c r="Z747" s="4" t="str">
        <f>IFERROR(__xludf.DUMMYFUNCTION("""COMPUTED_VALUE"""),"2.7930826")</f>
        <v>2.7930826</v>
      </c>
      <c r="AA747" s="4" t="str">
        <f t="shared" si="1"/>
        <v>Not Neighbor</v>
      </c>
      <c r="AC747" s="4">
        <f>IFERROR(__xludf.DUMMYFUNCTION("IFERROR(ABS(O747-AVERAGE(FILTER(O747:O4815,AA747:AA4815=""Neighbor""))) / STDEV(FILTER(O747:O4815, AA747:AA4815 =""Neighbor"")), """")"),0.13410278794114056)</f>
        <v>0.1341027879</v>
      </c>
      <c r="AD747" s="4">
        <f>IFERROR(__xludf.DUMMYFUNCTION("IFERROR(ABS(P747-AVERAGE(FILTER(O747:P4815,AA747:AA4815=""Neighbor""))) / STDEV(FILTER(P747:P4815, AA747:AA4815 =""Neighbor"")), """")"),1.6337731487925626)</f>
        <v>1.633773149</v>
      </c>
      <c r="AE747" s="2">
        <f>IFERROR(__xludf.DUMMYFUNCTION("IFERROR(ABS(Q747-AVERAGE(FILTER(Q747:Q4815,AA747:AA4815=""Neighbor""))) / STDEV(FILTER(Q747:Q4815, AA747:AA4815 =""Neighbor"")), """")"),0.4157051002439257)</f>
        <v>0.4157051002</v>
      </c>
      <c r="AF747" s="2">
        <f>IFERROR(__xludf.DUMMYFUNCTION("IFERROR(ABS(R747-AVERAGE(FILTER(R747:R4815,AA747:AA4815=""Neighbor""))) / STDEV(FILTER(R747:R4815, AA747:AA4815 =""Neighbor"")), """")"),0.0938887387816874)</f>
        <v>0.09388873878</v>
      </c>
    </row>
    <row r="748">
      <c r="A748" s="2" t="s">
        <v>28</v>
      </c>
      <c r="B748" s="2" t="s">
        <v>2660</v>
      </c>
      <c r="C748" s="2" t="s">
        <v>3028</v>
      </c>
      <c r="D748" s="2" t="s">
        <v>3065</v>
      </c>
      <c r="E748" s="2" t="s">
        <v>3066</v>
      </c>
      <c r="F748" s="2">
        <v>96.0</v>
      </c>
      <c r="G748" s="2">
        <v>582.0</v>
      </c>
      <c r="H748" s="2" t="b">
        <v>1</v>
      </c>
      <c r="I748" s="2">
        <v>-1.0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s">
        <v>33</v>
      </c>
      <c r="O748" s="2">
        <v>65.0</v>
      </c>
      <c r="P748" s="2">
        <v>0.0</v>
      </c>
      <c r="Q748" s="2">
        <v>20.0</v>
      </c>
      <c r="R748" s="2">
        <v>0.0</v>
      </c>
      <c r="S748" s="3" t="s">
        <v>3067</v>
      </c>
      <c r="T748" s="2" t="s">
        <v>3068</v>
      </c>
      <c r="Y748" s="4" t="str">
        <f>IFERROR(__xludf.DUMMYFUNCTION("""COMPUTED_VALUE"""),"7.0244532")</f>
        <v>7.0244532</v>
      </c>
      <c r="Z748" s="4" t="str">
        <f>IFERROR(__xludf.DUMMYFUNCTION("""COMPUTED_VALUE"""),"2.8322355")</f>
        <v>2.8322355</v>
      </c>
      <c r="AA748" s="4" t="str">
        <f t="shared" si="1"/>
        <v>Not Neighbor</v>
      </c>
      <c r="AC748" s="4">
        <f>IFERROR(__xludf.DUMMYFUNCTION("IFERROR(ABS(O748-AVERAGE(FILTER(O748:O4816,AA748:AA4816=""Neighbor""))) / STDEV(FILTER(O748:O4816, AA748:AA4816 =""Neighbor"")), """")"),0.00521142022444547)</f>
        <v>0.005211420224</v>
      </c>
      <c r="AD748" s="4">
        <f>IFERROR(__xludf.DUMMYFUNCTION("IFERROR(ABS(P748-AVERAGE(FILTER(O748:P4816,AA748:AA4816=""Neighbor""))) / STDEV(FILTER(P748:P4816, AA748:AA4816 =""Neighbor"")), """")"),1.6337731487925626)</f>
        <v>1.633773149</v>
      </c>
      <c r="AE748" s="2">
        <f>IFERROR(__xludf.DUMMYFUNCTION("IFERROR(ABS(Q748-AVERAGE(FILTER(Q748:Q4816,AA748:AA4816=""Neighbor""))) / STDEV(FILTER(Q748:Q4816, AA748:AA4816 =""Neighbor"")), """")"),0.2020678286292973)</f>
        <v>0.2020678286</v>
      </c>
      <c r="AF748" s="2">
        <f>IFERROR(__xludf.DUMMYFUNCTION("IFERROR(ABS(R748-AVERAGE(FILTER(R748:R4816,AA748:AA4816=""Neighbor""))) / STDEV(FILTER(R748:R4816, AA748:AA4816 =""Neighbor"")), """")"),0.0938887387816874)</f>
        <v>0.09388873878</v>
      </c>
    </row>
    <row r="749">
      <c r="A749" s="2" t="s">
        <v>28</v>
      </c>
      <c r="B749" s="2" t="s">
        <v>2660</v>
      </c>
      <c r="C749" s="2" t="s">
        <v>3069</v>
      </c>
      <c r="D749" s="2" t="s">
        <v>3070</v>
      </c>
      <c r="E749" s="2" t="s">
        <v>3071</v>
      </c>
      <c r="F749" s="2">
        <v>125.0</v>
      </c>
      <c r="G749" s="2">
        <v>462.0</v>
      </c>
      <c r="H749" s="2" t="b">
        <v>1</v>
      </c>
      <c r="I749" s="2">
        <v>-1.0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s">
        <v>33</v>
      </c>
      <c r="O749" s="2">
        <v>34.0</v>
      </c>
      <c r="P749" s="2">
        <v>1.0</v>
      </c>
      <c r="Q749" s="2">
        <v>82.0</v>
      </c>
      <c r="R749" s="2">
        <v>1.0</v>
      </c>
      <c r="S749" s="3" t="s">
        <v>3072</v>
      </c>
      <c r="T749" s="2" t="s">
        <v>3073</v>
      </c>
      <c r="Y749" s="4" t="str">
        <f>IFERROR(__xludf.DUMMYFUNCTION("""COMPUTED_VALUE"""),"7.0622837")</f>
        <v>7.0622837</v>
      </c>
      <c r="Z749" s="4" t="str">
        <f>IFERROR(__xludf.DUMMYFUNCTION("""COMPUTED_VALUE"""),"2.9175955")</f>
        <v>2.9175955</v>
      </c>
      <c r="AA749" s="4" t="str">
        <f t="shared" si="1"/>
        <v>Not Neighbor</v>
      </c>
      <c r="AC749" s="4">
        <f>IFERROR(__xludf.DUMMYFUNCTION("IFERROR(ABS(O749-AVERAGE(FILTER(O749:O4817,AA749:AA4817=""Neighbor""))) / STDEV(FILTER(O749:O4817, AA749:AA4817 =""Neighbor"")), """")"),0.714578655297749)</f>
        <v>0.7145786553</v>
      </c>
      <c r="AD749" s="4">
        <f>IFERROR(__xludf.DUMMYFUNCTION("IFERROR(ABS(P749-AVERAGE(FILTER(O749:P4817,AA749:AA4817=""Neighbor""))) / STDEV(FILTER(P749:P4817, AA749:AA4817 =""Neighbor"")), """")"),1.5933213385318545)</f>
        <v>1.593321339</v>
      </c>
      <c r="AE749" s="2">
        <f>IFERROR(__xludf.DUMMYFUNCTION("IFERROR(ABS(Q749-AVERAGE(FILTER(Q749:Q4817,AA749:AA4817=""Neighbor""))) / STDEV(FILTER(Q749:Q4817, AA749:AA4817 =""Neighbor"")), """")"),2.351393610713358)</f>
        <v>2.351393611</v>
      </c>
      <c r="AF749" s="2">
        <f>IFERROR(__xludf.DUMMYFUNCTION("IFERROR(ABS(R749-AVERAGE(FILTER(R749:R4817,AA749:AA4817=""Neighbor""))) / STDEV(FILTER(R749:R4817, AA749:AA4817 =""Neighbor"")), """")"),0.08728415163980319)</f>
        <v>0.08728415164</v>
      </c>
    </row>
    <row r="750">
      <c r="A750" s="2" t="s">
        <v>28</v>
      </c>
      <c r="B750" s="2" t="s">
        <v>2660</v>
      </c>
      <c r="C750" s="2" t="s">
        <v>3069</v>
      </c>
      <c r="D750" s="2" t="s">
        <v>3074</v>
      </c>
      <c r="E750" s="2" t="s">
        <v>3075</v>
      </c>
      <c r="F750" s="2">
        <v>132.0</v>
      </c>
      <c r="G750" s="2">
        <v>430.0</v>
      </c>
      <c r="H750" s="2" t="b">
        <v>1</v>
      </c>
      <c r="I750" s="2">
        <v>-1.0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s">
        <v>33</v>
      </c>
      <c r="O750" s="2">
        <v>66.0</v>
      </c>
      <c r="P750" s="2">
        <v>2.0</v>
      </c>
      <c r="Q750" s="2">
        <v>57.0</v>
      </c>
      <c r="R750" s="2">
        <v>0.0</v>
      </c>
      <c r="S750" s="3" t="s">
        <v>3076</v>
      </c>
      <c r="T750" s="2" t="s">
        <v>3077</v>
      </c>
      <c r="Y750" s="4" t="str">
        <f>IFERROR(__xludf.DUMMYFUNCTION("""COMPUTED_VALUE"""),"7.047874")</f>
        <v>7.047874</v>
      </c>
      <c r="Z750" s="4" t="str">
        <f>IFERROR(__xludf.DUMMYFUNCTION("""COMPUTED_VALUE"""),"2.905688")</f>
        <v>2.905688</v>
      </c>
      <c r="AA750" s="4" t="str">
        <f t="shared" si="1"/>
        <v>Not Neighbor</v>
      </c>
      <c r="AC750" s="4">
        <f>IFERROR(__xludf.DUMMYFUNCTION("IFERROR(ABS(O750-AVERAGE(FILTER(O750:O4818,AA750:AA4818=""Neighbor""))) / STDEV(FILTER(O750:O4818, AA750:AA4818 =""Neighbor"")), """")"),0.02843045491870981)</f>
        <v>0.02843045492</v>
      </c>
      <c r="AD750" s="4">
        <f>IFERROR(__xludf.DUMMYFUNCTION("IFERROR(ABS(P750-AVERAGE(FILTER(O750:P4818,AA750:AA4818=""Neighbor""))) / STDEV(FILTER(P750:P4818, AA750:AA4818 =""Neighbor"")), """")"),1.5528695282711462)</f>
        <v>1.552869528</v>
      </c>
      <c r="AE750" s="2">
        <f>IFERROR(__xludf.DUMMYFUNCTION("IFERROR(ABS(Q750-AVERAGE(FILTER(Q750:Q4818,AA750:AA4818=""Neighbor""))) / STDEV(FILTER(Q750:Q4818, AA750:AA4818 =""Neighbor"")), """")"),1.3217720625913196)</f>
        <v>1.321772063</v>
      </c>
      <c r="AF750" s="2">
        <f>IFERROR(__xludf.DUMMYFUNCTION("IFERROR(ABS(R750-AVERAGE(FILTER(R750:R4818,AA750:AA4818=""Neighbor""))) / STDEV(FILTER(R750:R4818, AA750:AA4818 =""Neighbor"")), """")"),0.0938887387816874)</f>
        <v>0.09388873878</v>
      </c>
    </row>
    <row r="751">
      <c r="A751" s="2" t="s">
        <v>28</v>
      </c>
      <c r="B751" s="2" t="s">
        <v>2660</v>
      </c>
      <c r="C751" s="2" t="s">
        <v>3069</v>
      </c>
      <c r="D751" s="2" t="s">
        <v>3078</v>
      </c>
      <c r="E751" s="2" t="s">
        <v>3079</v>
      </c>
      <c r="F751" s="2">
        <v>61.0</v>
      </c>
      <c r="G751" s="2">
        <v>296.0</v>
      </c>
      <c r="H751" s="2" t="b">
        <v>1</v>
      </c>
      <c r="I751" s="2">
        <v>-1.0</v>
      </c>
      <c r="J751" s="2" t="b">
        <v>1</v>
      </c>
      <c r="K751" s="2" t="b">
        <v>0</v>
      </c>
      <c r="L751" s="2" t="b">
        <v>0</v>
      </c>
      <c r="M751" s="2" t="b">
        <v>0</v>
      </c>
      <c r="N751" s="2" t="s">
        <v>33</v>
      </c>
      <c r="O751" s="2">
        <v>22.0</v>
      </c>
      <c r="P751" s="2">
        <v>2.0</v>
      </c>
      <c r="Q751" s="2">
        <v>34.0</v>
      </c>
      <c r="R751" s="2">
        <v>0.0</v>
      </c>
      <c r="S751" s="3" t="s">
        <v>3080</v>
      </c>
      <c r="T751" s="2" t="s">
        <v>3081</v>
      </c>
      <c r="Y751" s="4" t="str">
        <f>IFERROR(__xludf.DUMMYFUNCTION("""COMPUTED_VALUE"""),"7.1701914")</f>
        <v>7.1701914</v>
      </c>
      <c r="Z751" s="4" t="str">
        <f>IFERROR(__xludf.DUMMYFUNCTION("""COMPUTED_VALUE"""),"2.8577105")</f>
        <v>2.8577105</v>
      </c>
      <c r="AA751" s="4" t="str">
        <f t="shared" si="1"/>
        <v>Not Neighbor</v>
      </c>
      <c r="AC751" s="4">
        <f>IFERROR(__xludf.DUMMYFUNCTION("IFERROR(ABS(O751-AVERAGE(FILTER(O751:O4819,AA751:AA4819=""Neighbor""))) / STDEV(FILTER(O751:O4819, AA751:AA4819 =""Neighbor"")), """")"),0.9932070716289211)</f>
        <v>0.9932070716</v>
      </c>
      <c r="AD751" s="4">
        <f>IFERROR(__xludf.DUMMYFUNCTION("IFERROR(ABS(P751-AVERAGE(FILTER(O751:P4819,AA751:AA4819=""Neighbor""))) / STDEV(FILTER(P751:P4819, AA751:AA4819 =""Neighbor"")), """")"),1.5528695282711462)</f>
        <v>1.552869528</v>
      </c>
      <c r="AE751" s="2">
        <f>IFERROR(__xludf.DUMMYFUNCTION("IFERROR(ABS(Q751-AVERAGE(FILTER(Q751:Q4819,AA751:AA4819=""Neighbor""))) / STDEV(FILTER(Q751:Q4819, AA751:AA4819 =""Neighbor"")), """")"),0.3745202383190442)</f>
        <v>0.3745202383</v>
      </c>
      <c r="AF751" s="2">
        <f>IFERROR(__xludf.DUMMYFUNCTION("IFERROR(ABS(R751-AVERAGE(FILTER(R751:R4819,AA751:AA4819=""Neighbor""))) / STDEV(FILTER(R751:R4819, AA751:AA4819 =""Neighbor"")), """")"),0.0938887387816874)</f>
        <v>0.09388873878</v>
      </c>
    </row>
    <row r="752">
      <c r="A752" s="2" t="s">
        <v>28</v>
      </c>
      <c r="B752" s="2" t="s">
        <v>2660</v>
      </c>
      <c r="C752" s="2" t="s">
        <v>3069</v>
      </c>
      <c r="D752" s="2" t="s">
        <v>3082</v>
      </c>
      <c r="E752" s="2" t="s">
        <v>3083</v>
      </c>
      <c r="F752" s="2">
        <v>63.0</v>
      </c>
      <c r="G752" s="2">
        <v>244.0</v>
      </c>
      <c r="H752" s="2" t="b">
        <v>1</v>
      </c>
      <c r="I752" s="2">
        <v>-1.0</v>
      </c>
      <c r="J752" s="2" t="b">
        <v>0</v>
      </c>
      <c r="K752" s="2" t="b">
        <v>1</v>
      </c>
      <c r="L752" s="2" t="b">
        <v>0</v>
      </c>
      <c r="M752" s="2" t="b">
        <v>0</v>
      </c>
      <c r="N752" s="2" t="s">
        <v>33</v>
      </c>
      <c r="O752" s="2">
        <v>19.0</v>
      </c>
      <c r="P752" s="2">
        <v>0.0</v>
      </c>
      <c r="Q752" s="2">
        <v>43.0</v>
      </c>
      <c r="R752" s="2">
        <v>0.0</v>
      </c>
      <c r="S752" s="3" t="s">
        <v>3084</v>
      </c>
      <c r="T752" s="2" t="s">
        <v>3085</v>
      </c>
      <c r="Y752" s="4" t="str">
        <f>IFERROR(__xludf.DUMMYFUNCTION("""COMPUTED_VALUE"""),"7.0622837")</f>
        <v>7.0622837</v>
      </c>
      <c r="Z752" s="4" t="str">
        <f>IFERROR(__xludf.DUMMYFUNCTION("""COMPUTED_VALUE"""),"2.9175955")</f>
        <v>2.9175955</v>
      </c>
      <c r="AA752" s="4" t="str">
        <f t="shared" si="1"/>
        <v>Neighbor</v>
      </c>
      <c r="AC752" s="4">
        <f>IFERROR(__xludf.DUMMYFUNCTION("IFERROR(ABS(O752-AVERAGE(FILTER(O752:O4820,AA752:AA4820=""Neighbor""))) / STDEV(FILTER(O752:O4820, AA752:AA4820 =""Neighbor"")), """")"),1.062864175711714)</f>
        <v>1.062864176</v>
      </c>
      <c r="AD752" s="4">
        <f>IFERROR(__xludf.DUMMYFUNCTION("IFERROR(ABS(P752-AVERAGE(FILTER(O752:P4820,AA752:AA4820=""Neighbor""))) / STDEV(FILTER(P752:P4820, AA752:AA4820 =""Neighbor"")), """")"),1.6337731487925626)</f>
        <v>1.633773149</v>
      </c>
      <c r="AE752" s="2">
        <f>IFERROR(__xludf.DUMMYFUNCTION("IFERROR(ABS(Q752-AVERAGE(FILTER(Q752:Q4820,AA752:AA4820=""Neighbor""))) / STDEV(FILTER(Q752:Q4820, AA752:AA4820 =""Neighbor"")), """")"),0.745183995642978)</f>
        <v>0.7451839956</v>
      </c>
      <c r="AF752" s="2">
        <f>IFERROR(__xludf.DUMMYFUNCTION("IFERROR(ABS(R752-AVERAGE(FILTER(R752:R4820,AA752:AA4820=""Neighbor""))) / STDEV(FILTER(R752:R4820, AA752:AA4820 =""Neighbor"")), """")"),0.0938887387816874)</f>
        <v>0.09388873878</v>
      </c>
    </row>
    <row r="753">
      <c r="A753" s="2" t="s">
        <v>28</v>
      </c>
      <c r="B753" s="2" t="s">
        <v>2660</v>
      </c>
      <c r="C753" s="2" t="s">
        <v>3069</v>
      </c>
      <c r="D753" s="2" t="s">
        <v>3086</v>
      </c>
      <c r="E753" s="2" t="s">
        <v>3087</v>
      </c>
      <c r="F753" s="2">
        <v>84.0</v>
      </c>
      <c r="G753" s="2">
        <v>279.0</v>
      </c>
      <c r="H753" s="2" t="b">
        <v>1</v>
      </c>
      <c r="I753" s="2">
        <v>-1.0</v>
      </c>
      <c r="J753" s="2" t="b">
        <v>0</v>
      </c>
      <c r="K753" s="2" t="b">
        <v>0</v>
      </c>
      <c r="L753" s="2" t="b">
        <v>0</v>
      </c>
      <c r="M753" s="2" t="b">
        <v>0</v>
      </c>
      <c r="N753" s="2" t="s">
        <v>33</v>
      </c>
      <c r="O753" s="2">
        <v>29.0</v>
      </c>
      <c r="P753" s="2">
        <v>1.0</v>
      </c>
      <c r="Q753" s="2">
        <v>51.0</v>
      </c>
      <c r="R753" s="2">
        <v>0.0</v>
      </c>
      <c r="S753" s="3" t="s">
        <v>3088</v>
      </c>
      <c r="T753" s="2" t="s">
        <v>3089</v>
      </c>
      <c r="Y753" s="4" t="str">
        <f>IFERROR(__xludf.DUMMYFUNCTION("""COMPUTED_VALUE"""),"7.0622837")</f>
        <v>7.0622837</v>
      </c>
      <c r="Z753" s="4" t="str">
        <f>IFERROR(__xludf.DUMMYFUNCTION("""COMPUTED_VALUE"""),"2.9175955")</f>
        <v>2.9175955</v>
      </c>
      <c r="AA753" s="4" t="str">
        <f t="shared" si="1"/>
        <v>Not Neighbor</v>
      </c>
      <c r="AC753" s="4">
        <f>IFERROR(__xludf.DUMMYFUNCTION("IFERROR(ABS(O753-AVERAGE(FILTER(O753:O4821,AA753:AA4821=""Neighbor""))) / STDEV(FILTER(O753:O4821, AA753:AA4821 =""Neighbor"")), """")"),0.8314729368027906)</f>
        <v>0.8314729368</v>
      </c>
      <c r="AD753" s="4">
        <f>IFERROR(__xludf.DUMMYFUNCTION("IFERROR(ABS(P753-AVERAGE(FILTER(O753:P4821,AA753:AA4821=""Neighbor""))) / STDEV(FILTER(P753:P4821, AA753:AA4821 =""Neighbor"")), """")"),1.5938838333297587)</f>
        <v>1.593883833</v>
      </c>
      <c r="AE753" s="2">
        <f>IFERROR(__xludf.DUMMYFUNCTION("IFERROR(ABS(Q753-AVERAGE(FILTER(Q753:Q4821,AA753:AA4821=""Neighbor""))) / STDEV(FILTER(Q753:Q4821, AA753:AA4821 =""Neighbor"")), """")"),1.0750249892578048)</f>
        <v>1.075024989</v>
      </c>
      <c r="AF753" s="2">
        <f>IFERROR(__xludf.DUMMYFUNCTION("IFERROR(ABS(R753-AVERAGE(FILTER(R753:R4821,AA753:AA4821=""Neighbor""))) / STDEV(FILTER(R753:R4821, AA753:AA4821 =""Neighbor"")), """")"),0.09392258474079704)</f>
        <v>0.09392258474</v>
      </c>
    </row>
    <row r="754">
      <c r="A754" s="2" t="s">
        <v>28</v>
      </c>
      <c r="B754" s="2" t="s">
        <v>2660</v>
      </c>
      <c r="C754" s="2" t="s">
        <v>3069</v>
      </c>
      <c r="D754" s="2" t="s">
        <v>3090</v>
      </c>
      <c r="E754" s="2" t="s">
        <v>3091</v>
      </c>
      <c r="F754" s="2">
        <v>151.0</v>
      </c>
      <c r="G754" s="2">
        <v>565.0</v>
      </c>
      <c r="H754" s="2" t="b">
        <v>1</v>
      </c>
      <c r="I754" s="2">
        <v>-1.0</v>
      </c>
      <c r="J754" s="2" t="b">
        <v>0</v>
      </c>
      <c r="K754" s="2" t="b">
        <v>0</v>
      </c>
      <c r="L754" s="2" t="b">
        <v>0</v>
      </c>
      <c r="M754" s="2" t="b">
        <v>0</v>
      </c>
      <c r="N754" s="2" t="s">
        <v>33</v>
      </c>
      <c r="O754" s="2">
        <v>73.0</v>
      </c>
      <c r="P754" s="2">
        <v>9.0</v>
      </c>
      <c r="Q754" s="2">
        <v>49.0</v>
      </c>
      <c r="R754" s="2">
        <v>3.0</v>
      </c>
      <c r="S754" s="3" t="s">
        <v>3092</v>
      </c>
      <c r="T754" s="2" t="s">
        <v>3093</v>
      </c>
      <c r="Y754" s="4" t="str">
        <f>IFERROR(__xludf.DUMMYFUNCTION("""COMPUTED_VALUE"""),"7.0642571")</f>
        <v>7.0642571</v>
      </c>
      <c r="Z754" s="4" t="str">
        <f>IFERROR(__xludf.DUMMYFUNCTION("""COMPUTED_VALUE"""),"2.8971575")</f>
        <v>2.8971575</v>
      </c>
      <c r="AA754" s="4" t="str">
        <f t="shared" si="1"/>
        <v>Not Neighbor</v>
      </c>
      <c r="AC754" s="4">
        <f>IFERROR(__xludf.DUMMYFUNCTION("IFERROR(ABS(O754-AVERAGE(FILTER(O754:O4822,AA754:AA4822=""Neighbor""))) / STDEV(FILTER(O754:O4822, AA754:AA4822 =""Neighbor"")), """")"),0.1902123066772982)</f>
        <v>0.1902123067</v>
      </c>
      <c r="AD754" s="4">
        <f>IFERROR(__xludf.DUMMYFUNCTION("IFERROR(ABS(P754-AVERAGE(FILTER(O754:P4822,AA754:AA4822=""Neighbor""))) / STDEV(FILTER(P754:P4822, AA754:AA4822 =""Neighbor"")), """")"),1.2703365964055087)</f>
        <v>1.270336596</v>
      </c>
      <c r="AE754" s="2">
        <f>IFERROR(__xludf.DUMMYFUNCTION("IFERROR(ABS(Q754-AVERAGE(FILTER(Q754:Q4822,AA754:AA4822=""Neighbor""))) / STDEV(FILTER(Q754:Q4822, AA754:AA4822 =""Neighbor"")), """")"),0.9926683607687556)</f>
        <v>0.9926683608</v>
      </c>
      <c r="AF754" s="2">
        <f>IFERROR(__xludf.DUMMYFUNCTION("IFERROR(ABS(R754-AVERAGE(FILTER(R754:R4822,AA754:AA4822=""Neighbor""))) / STDEV(FILTER(R754:R4822, AA754:AA4822 =""Neighbor"")), """")"),0.4494033744356207)</f>
        <v>0.4494033744</v>
      </c>
    </row>
    <row r="755">
      <c r="A755" s="2" t="s">
        <v>28</v>
      </c>
      <c r="B755" s="2" t="s">
        <v>2660</v>
      </c>
      <c r="C755" s="2" t="s">
        <v>3069</v>
      </c>
      <c r="D755" s="2" t="s">
        <v>3094</v>
      </c>
      <c r="E755" s="2" t="s">
        <v>3095</v>
      </c>
      <c r="F755" s="2">
        <v>94.0</v>
      </c>
      <c r="G755" s="2">
        <v>288.0</v>
      </c>
      <c r="H755" s="2" t="b">
        <v>1</v>
      </c>
      <c r="I755" s="2">
        <v>-1.0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s">
        <v>33</v>
      </c>
      <c r="O755" s="2">
        <v>51.0</v>
      </c>
      <c r="P755" s="2">
        <v>3.0</v>
      </c>
      <c r="Q755" s="2">
        <v>30.0</v>
      </c>
      <c r="R755" s="2">
        <v>8.0</v>
      </c>
      <c r="S755" s="3" t="s">
        <v>3096</v>
      </c>
      <c r="T755" s="2" t="s">
        <v>3097</v>
      </c>
      <c r="Y755" s="4" t="str">
        <f>IFERROR(__xludf.DUMMYFUNCTION("""COMPUTED_VALUE"""),"7.0927305")</f>
        <v>7.0927305</v>
      </c>
      <c r="Z755" s="4" t="str">
        <f>IFERROR(__xludf.DUMMYFUNCTION("""COMPUTED_VALUE"""),"2.9360128")</f>
        <v>2.9360128</v>
      </c>
      <c r="AA755" s="4" t="str">
        <f t="shared" si="1"/>
        <v>Neighbor</v>
      </c>
      <c r="AC755" s="4">
        <f>IFERROR(__xludf.DUMMYFUNCTION("IFERROR(ABS(O755-AVERAGE(FILTER(O755:O4823,AA755:AA4823=""Neighbor""))) / STDEV(FILTER(O755:O4823, AA755:AA4823 =""Neighbor"")), """")"),0.3206303150627462)</f>
        <v>0.3206303151</v>
      </c>
      <c r="AD755" s="4">
        <f>IFERROR(__xludf.DUMMYFUNCTION("IFERROR(ABS(P755-AVERAGE(FILTER(O755:P4823,AA755:AA4823=""Neighbor""))) / STDEV(FILTER(P755:P4823, AA755:AA4823 =""Neighbor"")), """")"),1.512997024098696)</f>
        <v>1.512997024</v>
      </c>
      <c r="AE755" s="2">
        <f>IFERROR(__xludf.DUMMYFUNCTION("IFERROR(ABS(Q755-AVERAGE(FILTER(Q755:Q4823,AA755:AA4823=""Neighbor""))) / STDEV(FILTER(Q755:Q4823, AA755:AA4823 =""Neighbor"")), """")"),0.21028039012278998)</f>
        <v>0.2102803901</v>
      </c>
      <c r="AF755" s="2">
        <f>IFERROR(__xludf.DUMMYFUNCTION("IFERROR(ABS(R755-AVERAGE(FILTER(R755:R4823,AA755:AA4823=""Neighbor""))) / STDEV(FILTER(R755:R4823, AA755:AA4823 =""Neighbor"")), """")"),1.3549466397296501)</f>
        <v>1.35494664</v>
      </c>
    </row>
    <row r="756">
      <c r="A756" s="2" t="s">
        <v>28</v>
      </c>
      <c r="B756" s="2" t="s">
        <v>2660</v>
      </c>
      <c r="C756" s="2" t="s">
        <v>3069</v>
      </c>
      <c r="D756" s="2" t="s">
        <v>3098</v>
      </c>
      <c r="E756" s="2" t="s">
        <v>3099</v>
      </c>
      <c r="F756" s="2">
        <v>197.0</v>
      </c>
      <c r="G756" s="2">
        <v>768.0</v>
      </c>
      <c r="H756" s="2" t="b">
        <v>1</v>
      </c>
      <c r="I756" s="2">
        <v>-1.0</v>
      </c>
      <c r="J756" s="2" t="b">
        <v>0</v>
      </c>
      <c r="K756" s="2" t="b">
        <v>0</v>
      </c>
      <c r="L756" s="2" t="b">
        <v>0</v>
      </c>
      <c r="M756" s="2" t="b">
        <v>0</v>
      </c>
      <c r="N756" s="2" t="s">
        <v>33</v>
      </c>
      <c r="O756" s="2">
        <v>118.0</v>
      </c>
      <c r="P756" s="2">
        <v>2.0</v>
      </c>
      <c r="Q756" s="2">
        <v>47.0</v>
      </c>
      <c r="R756" s="2">
        <v>10.0</v>
      </c>
      <c r="S756" s="3" t="s">
        <v>3100</v>
      </c>
      <c r="T756" s="2" t="s">
        <v>3101</v>
      </c>
      <c r="Y756" s="4" t="str">
        <f>IFERROR(__xludf.DUMMYFUNCTION("""COMPUTED_VALUE"""),"7.0927305")</f>
        <v>7.0927305</v>
      </c>
      <c r="Z756" s="4" t="str">
        <f>IFERROR(__xludf.DUMMYFUNCTION("""COMPUTED_VALUE"""),"2.9360128")</f>
        <v>2.9360128</v>
      </c>
      <c r="AA756" s="4" t="str">
        <f t="shared" si="1"/>
        <v>Not Neighbor</v>
      </c>
      <c r="AC756" s="4">
        <f>IFERROR(__xludf.DUMMYFUNCTION("IFERROR(ABS(O756-AVERAGE(FILTER(O756:O4824,AA756:AA4824=""Neighbor""))) / STDEV(FILTER(O756:O4824, AA756:AA4824 =""Neighbor"")), """")"),1.234491553991061)</f>
        <v>1.234491554</v>
      </c>
      <c r="AD756" s="4">
        <f>IFERROR(__xludf.DUMMYFUNCTION("IFERROR(ABS(P756-AVERAGE(FILTER(O756:P4824,AA756:AA4824=""Neighbor""))) / STDEV(FILTER(P756:P4824, AA756:AA4824 =""Neighbor"")), """")"),1.553426523026884)</f>
        <v>1.553426523</v>
      </c>
      <c r="AE756" s="2">
        <f>IFERROR(__xludf.DUMMYFUNCTION("IFERROR(ABS(Q756-AVERAGE(FILTER(Q756:Q4824,AA756:AA4824=""Neighbor""))) / STDEV(FILTER(Q756:Q4824, AA756:AA4824 =""Neighbor"")), """")"),0.9101507478718738)</f>
        <v>0.9101507479</v>
      </c>
      <c r="AF756" s="2">
        <f>IFERROR(__xludf.DUMMYFUNCTION("IFERROR(ABS(R756-AVERAGE(FILTER(R756:R4824,AA756:AA4824=""Neighbor""))) / STDEV(FILTER(R756:R4824, AA756:AA4824 =""Neighbor"")), """")"),1.7186492657183028)</f>
        <v>1.718649266</v>
      </c>
    </row>
    <row r="757">
      <c r="A757" s="2" t="s">
        <v>28</v>
      </c>
      <c r="B757" s="2" t="s">
        <v>2660</v>
      </c>
      <c r="C757" s="2" t="s">
        <v>3069</v>
      </c>
      <c r="D757" s="2" t="s">
        <v>3102</v>
      </c>
      <c r="E757" s="2" t="s">
        <v>3103</v>
      </c>
      <c r="F757" s="2">
        <v>166.0</v>
      </c>
      <c r="G757" s="2">
        <v>577.0</v>
      </c>
      <c r="H757" s="2" t="b">
        <v>1</v>
      </c>
      <c r="I757" s="2">
        <v>-1.0</v>
      </c>
      <c r="J757" s="2" t="b">
        <v>0</v>
      </c>
      <c r="K757" s="2" t="b">
        <v>0</v>
      </c>
      <c r="L757" s="2" t="b">
        <v>0</v>
      </c>
      <c r="M757" s="2" t="b">
        <v>0</v>
      </c>
      <c r="N757" s="2" t="s">
        <v>33</v>
      </c>
      <c r="O757" s="2">
        <v>97.0</v>
      </c>
      <c r="P757" s="2">
        <v>3.0</v>
      </c>
      <c r="Q757" s="2">
        <v>53.0</v>
      </c>
      <c r="R757" s="2">
        <v>3.0</v>
      </c>
      <c r="S757" s="3" t="s">
        <v>3104</v>
      </c>
      <c r="T757" s="2" t="s">
        <v>3105</v>
      </c>
      <c r="Y757" s="4" t="str">
        <f>IFERROR(__xludf.DUMMYFUNCTION("""COMPUTED_VALUE"""),"7.121509")</f>
        <v>7.121509</v>
      </c>
      <c r="Z757" s="4" t="str">
        <f>IFERROR(__xludf.DUMMYFUNCTION("""COMPUTED_VALUE"""),"2.9278081")</f>
        <v>2.9278081</v>
      </c>
      <c r="AA757" s="4" t="str">
        <f t="shared" si="1"/>
        <v>Neighbor</v>
      </c>
      <c r="AC757" s="4">
        <f>IFERROR(__xludf.DUMMYFUNCTION("IFERROR(ABS(O757-AVERAGE(FILTER(O757:O4825,AA757:AA4825=""Neighbor""))) / STDEV(FILTER(O757:O4825, AA757:AA4825 =""Neighbor"")), """")"),0.7470256583125395)</f>
        <v>0.7470256583</v>
      </c>
      <c r="AD757" s="4">
        <f>IFERROR(__xludf.DUMMYFUNCTION("IFERROR(ABS(P757-AVERAGE(FILTER(O757:P4825,AA757:AA4825=""Neighbor""))) / STDEV(FILTER(P757:P4825, AA757:AA4825 =""Neighbor"")), """")"),1.5129935852530043)</f>
        <v>1.512993585</v>
      </c>
      <c r="AE757" s="2">
        <f>IFERROR(__xludf.DUMMYFUNCTION("IFERROR(ABS(Q757-AVERAGE(FILTER(Q757:Q4825,AA757:AA4825=""Neighbor""))) / STDEV(FILTER(Q757:Q4825, AA757:AA4825 =""Neighbor"")), """")"),1.1571361003926601)</f>
        <v>1.1571361</v>
      </c>
      <c r="AF757" s="2">
        <f>IFERROR(__xludf.DUMMYFUNCTION("IFERROR(ABS(R757-AVERAGE(FILTER(R757:R4825,AA757:AA4825=""Neighbor""))) / STDEV(FILTER(R757:R4825, AA757:AA4825 =""Neighbor"")), """")"),0.45050837916738734)</f>
        <v>0.4505083792</v>
      </c>
    </row>
    <row r="758">
      <c r="A758" s="2" t="s">
        <v>28</v>
      </c>
      <c r="B758" s="2" t="s">
        <v>2660</v>
      </c>
      <c r="C758" s="2" t="s">
        <v>3069</v>
      </c>
      <c r="D758" s="2" t="s">
        <v>3106</v>
      </c>
      <c r="E758" s="2" t="s">
        <v>3107</v>
      </c>
      <c r="F758" s="2">
        <v>137.0</v>
      </c>
      <c r="G758" s="2">
        <v>551.0</v>
      </c>
      <c r="H758" s="2" t="b">
        <v>1</v>
      </c>
      <c r="I758" s="2">
        <v>-1.0</v>
      </c>
      <c r="J758" s="2" t="b">
        <v>0</v>
      </c>
      <c r="K758" s="2" t="b">
        <v>0</v>
      </c>
      <c r="L758" s="2" t="b">
        <v>0</v>
      </c>
      <c r="M758" s="2" t="b">
        <v>0</v>
      </c>
      <c r="N758" s="2" t="s">
        <v>33</v>
      </c>
      <c r="O758" s="2">
        <v>91.0</v>
      </c>
      <c r="P758" s="2">
        <v>7.0</v>
      </c>
      <c r="Q758" s="2">
        <v>28.0</v>
      </c>
      <c r="R758" s="2">
        <v>3.0</v>
      </c>
      <c r="S758" s="3" t="s">
        <v>3108</v>
      </c>
      <c r="T758" s="2" t="s">
        <v>3109</v>
      </c>
      <c r="Y758" s="4" t="str">
        <f>IFERROR(__xludf.DUMMYFUNCTION("""COMPUTED_VALUE"""),"7.121509")</f>
        <v>7.121509</v>
      </c>
      <c r="Z758" s="4" t="str">
        <f>IFERROR(__xludf.DUMMYFUNCTION("""COMPUTED_VALUE"""),"2.9278081")</f>
        <v>2.9278081</v>
      </c>
      <c r="AA758" s="4" t="str">
        <f t="shared" si="1"/>
        <v>Not Neighbor</v>
      </c>
      <c r="AC758" s="4">
        <f>IFERROR(__xludf.DUMMYFUNCTION("IFERROR(ABS(O758-AVERAGE(FILTER(O758:O4826,AA758:AA4826=""Neighbor""))) / STDEV(FILTER(O758:O4826, AA758:AA4826 =""Neighbor"")), """")"),0.6081885608399819)</f>
        <v>0.6081885608</v>
      </c>
      <c r="AD758" s="4">
        <f>IFERROR(__xludf.DUMMYFUNCTION("IFERROR(ABS(P758-AVERAGE(FILTER(O758:P4826,AA758:AA4826=""Neighbor""))) / STDEV(FILTER(P758:P4826, AA758:AA4826 =""Neighbor"")), """")"),1.3506345939604816)</f>
        <v>1.350634594</v>
      </c>
      <c r="AE758" s="2">
        <f>IFERROR(__xludf.DUMMYFUNCTION("IFERROR(ABS(Q758-AVERAGE(FILTER(Q758:Q4826,AA758:AA4826=""Neighbor""))) / STDEV(FILTER(Q758:Q4826, AA758:AA4826 =""Neighbor"")), """")"),0.12887506155313488)</f>
        <v>0.1288750616</v>
      </c>
      <c r="AF758" s="2">
        <f>IFERROR(__xludf.DUMMYFUNCTION("IFERROR(ABS(R758-AVERAGE(FILTER(R758:R4826,AA758:AA4826=""Neighbor""))) / STDEV(FILTER(R758:R4826, AA758:AA4826 =""Neighbor"")), """")"),0.4507023789233415)</f>
        <v>0.4507023789</v>
      </c>
    </row>
    <row r="759">
      <c r="A759" s="2" t="s">
        <v>28</v>
      </c>
      <c r="B759" s="2" t="s">
        <v>2660</v>
      </c>
      <c r="C759" s="2" t="s">
        <v>3069</v>
      </c>
      <c r="D759" s="2" t="s">
        <v>3110</v>
      </c>
      <c r="E759" s="2" t="s">
        <v>3111</v>
      </c>
      <c r="F759" s="2">
        <v>152.0</v>
      </c>
      <c r="G759" s="2">
        <v>547.0</v>
      </c>
      <c r="H759" s="2" t="b">
        <v>1</v>
      </c>
      <c r="I759" s="2">
        <v>-1.0</v>
      </c>
      <c r="J759" s="2" t="b">
        <v>0</v>
      </c>
      <c r="K759" s="2" t="b">
        <v>1</v>
      </c>
      <c r="L759" s="2" t="b">
        <v>0</v>
      </c>
      <c r="M759" s="2" t="b">
        <v>0</v>
      </c>
      <c r="N759" s="2" t="s">
        <v>33</v>
      </c>
      <c r="O759" s="2">
        <v>73.0</v>
      </c>
      <c r="P759" s="2">
        <v>1.0</v>
      </c>
      <c r="Q759" s="2">
        <v>75.0</v>
      </c>
      <c r="R759" s="2">
        <v>0.0</v>
      </c>
      <c r="S759" s="3" t="s">
        <v>3112</v>
      </c>
      <c r="T759" s="2" t="s">
        <v>3113</v>
      </c>
      <c r="Y759" s="4" t="str">
        <f>IFERROR(__xludf.DUMMYFUNCTION("""COMPUTED_VALUE"""),"7.1701914")</f>
        <v>7.1701914</v>
      </c>
      <c r="Z759" s="4" t="str">
        <f>IFERROR(__xludf.DUMMYFUNCTION("""COMPUTED_VALUE"""),"2.8577105")</f>
        <v>2.8577105</v>
      </c>
      <c r="AA759" s="4" t="str">
        <f t="shared" si="1"/>
        <v>Not Neighbor</v>
      </c>
      <c r="AC759" s="4">
        <f>IFERROR(__xludf.DUMMYFUNCTION("IFERROR(ABS(O759-AVERAGE(FILTER(O759:O4827,AA759:AA4827=""Neighbor""))) / STDEV(FILTER(O759:O4827, AA759:AA4827 =""Neighbor"")), """")"),0.19042676113556273)</f>
        <v>0.1904267611</v>
      </c>
      <c r="AD759" s="4">
        <f>IFERROR(__xludf.DUMMYFUNCTION("IFERROR(ABS(P759-AVERAGE(FILTER(O759:P4827,AA759:AA4827=""Neighbor""))) / STDEV(FILTER(P759:P4827, AA759:AA4827 =""Neighbor"")), """")"),1.59316941283544)</f>
        <v>1.593169413</v>
      </c>
      <c r="AE759" s="2">
        <f>IFERROR(__xludf.DUMMYFUNCTION("IFERROR(ABS(Q759-AVERAGE(FILTER(Q759:Q4827,AA759:AA4827=""Neighbor""))) / STDEV(FILTER(Q759:Q4827, AA759:AA4827 =""Neighbor"")), """")"),2.0638294182177304)</f>
        <v>2.063829418</v>
      </c>
      <c r="AF759" s="2">
        <f>IFERROR(__xludf.DUMMYFUNCTION("IFERROR(ABS(R759-AVERAGE(FILTER(R759:R4827,AA759:AA4827=""Neighbor""))) / STDEV(FILTER(R759:R4827, AA759:AA4827 =""Neighbor"")), """")"),0.09263140430376103)</f>
        <v>0.0926314043</v>
      </c>
    </row>
    <row r="760">
      <c r="A760" s="2" t="s">
        <v>28</v>
      </c>
      <c r="B760" s="2" t="s">
        <v>2660</v>
      </c>
      <c r="C760" s="2" t="s">
        <v>3069</v>
      </c>
      <c r="D760" s="2" t="s">
        <v>3114</v>
      </c>
      <c r="E760" s="2" t="s">
        <v>3115</v>
      </c>
      <c r="F760" s="2">
        <v>195.0</v>
      </c>
      <c r="G760" s="2">
        <v>642.0</v>
      </c>
      <c r="H760" s="2" t="b">
        <v>1</v>
      </c>
      <c r="I760" s="2">
        <v>-1.0</v>
      </c>
      <c r="J760" s="2" t="b">
        <v>0</v>
      </c>
      <c r="K760" s="2" t="b">
        <v>0</v>
      </c>
      <c r="L760" s="2" t="b">
        <v>0</v>
      </c>
      <c r="M760" s="2" t="b">
        <v>0</v>
      </c>
      <c r="N760" s="2" t="s">
        <v>33</v>
      </c>
      <c r="O760" s="2">
        <v>66.0</v>
      </c>
      <c r="P760" s="2">
        <v>7.0</v>
      </c>
      <c r="Q760" s="2">
        <v>83.0</v>
      </c>
      <c r="R760" s="2">
        <v>14.0</v>
      </c>
      <c r="S760" s="3" t="s">
        <v>3116</v>
      </c>
      <c r="T760" s="2" t="s">
        <v>3117</v>
      </c>
      <c r="Y760" s="4" t="str">
        <f>IFERROR(__xludf.DUMMYFUNCTION("""COMPUTED_VALUE"""),"7.0711139")</f>
        <v>7.0711139</v>
      </c>
      <c r="Z760" s="4" t="str">
        <f>IFERROR(__xludf.DUMMYFUNCTION("""COMPUTED_VALUE"""),"2.8605938")</f>
        <v>2.8605938</v>
      </c>
      <c r="AA760" s="4" t="str">
        <f t="shared" si="1"/>
        <v>Not Neighbor</v>
      </c>
      <c r="AC760" s="4">
        <f>IFERROR(__xludf.DUMMYFUNCTION("IFERROR(ABS(O760-AVERAGE(FILTER(O760:O4828,AA760:AA4828=""Neighbor""))) / STDEV(FILTER(O760:O4828, AA760:AA4828 =""Neighbor"")), """")"),0.027963839028288605)</f>
        <v>0.02796383903</v>
      </c>
      <c r="AD760" s="4">
        <f>IFERROR(__xludf.DUMMYFUNCTION("IFERROR(ABS(P760-AVERAGE(FILTER(O760:P4828,AA760:AA4828=""Neighbor""))) / STDEV(FILTER(P760:P4828, AA760:AA4828 =""Neighbor"")), """")"),1.3506345939604816)</f>
        <v>1.350634594</v>
      </c>
      <c r="AE760" s="2">
        <f>IFERROR(__xludf.DUMMYFUNCTION("IFERROR(ABS(Q760-AVERAGE(FILTER(Q760:Q4828,AA760:AA4828=""Neighbor""))) / STDEV(FILTER(Q760:Q4828, AA760:AA4828 =""Neighbor"")), """")"),2.393183351267023)</f>
        <v>2.393183351</v>
      </c>
      <c r="AF760" s="2">
        <f>IFERROR(__xludf.DUMMYFUNCTION("IFERROR(ABS(R760-AVERAGE(FILTER(R760:R4828,AA760:AA4828=""Neighbor""))) / STDEV(FILTER(R760:R4828, AA760:AA4828 =""Neighbor"")), """")"),2.4429262507560505)</f>
        <v>2.442926251</v>
      </c>
    </row>
    <row r="761">
      <c r="A761" s="2" t="s">
        <v>28</v>
      </c>
      <c r="B761" s="2" t="s">
        <v>2660</v>
      </c>
      <c r="C761" s="2" t="s">
        <v>3069</v>
      </c>
      <c r="D761" s="2" t="s">
        <v>3118</v>
      </c>
      <c r="E761" s="2" t="s">
        <v>3119</v>
      </c>
      <c r="F761" s="2">
        <v>73.0</v>
      </c>
      <c r="G761" s="2">
        <v>285.0</v>
      </c>
      <c r="H761" s="2" t="b">
        <v>1</v>
      </c>
      <c r="I761" s="2">
        <v>-1.0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s">
        <v>33</v>
      </c>
      <c r="O761" s="2">
        <v>30.0</v>
      </c>
      <c r="P761" s="2">
        <v>1.0</v>
      </c>
      <c r="Q761" s="2">
        <v>36.0</v>
      </c>
      <c r="R761" s="2">
        <v>0.0</v>
      </c>
      <c r="S761" s="3" t="s">
        <v>3120</v>
      </c>
      <c r="T761" s="2" t="s">
        <v>3121</v>
      </c>
      <c r="Y761" s="4" t="str">
        <f>IFERROR(__xludf.DUMMYFUNCTION("""COMPUTED_VALUE"""),"7.1701914")</f>
        <v>7.1701914</v>
      </c>
      <c r="Z761" s="4" t="str">
        <f>IFERROR(__xludf.DUMMYFUNCTION("""COMPUTED_VALUE"""),"2.8577105")</f>
        <v>2.8577105</v>
      </c>
      <c r="AA761" s="4" t="str">
        <f t="shared" si="1"/>
        <v>Not Neighbor</v>
      </c>
      <c r="AC761" s="4">
        <f>IFERROR(__xludf.DUMMYFUNCTION("IFERROR(ABS(O761-AVERAGE(FILTER(O761:O4829,AA761:AA4829=""Neighbor""))) / STDEV(FILTER(O761:O4829, AA761:AA4829 =""Neighbor"")), """")"),0.8075597603805497)</f>
        <v>0.8075597604</v>
      </c>
      <c r="AD761" s="4">
        <f>IFERROR(__xludf.DUMMYFUNCTION("IFERROR(ABS(P761-AVERAGE(FILTER(O761:P4829,AA761:AA4829=""Neighbor""))) / STDEV(FILTER(P761:P4829, AA761:AA4829 =""Neighbor"")), """")"),1.59316941283544)</f>
        <v>1.593169413</v>
      </c>
      <c r="AE761" s="2">
        <f>IFERROR(__xludf.DUMMYFUNCTION("IFERROR(ABS(Q761-AVERAGE(FILTER(Q761:Q4829,AA761:AA4829=""Neighbor""))) / STDEV(FILTER(Q761:Q4829, AA761:AA4829 =""Neighbor"")), """")"),0.4582289946024277)</f>
        <v>0.4582289946</v>
      </c>
      <c r="AF761" s="2">
        <f>IFERROR(__xludf.DUMMYFUNCTION("IFERROR(ABS(R761-AVERAGE(FILTER(R761:R4829,AA761:AA4829=""Neighbor""))) / STDEV(FILTER(R761:R4829, AA761:AA4829 =""Neighbor"")), """")"),0.09263140430376103)</f>
        <v>0.0926314043</v>
      </c>
    </row>
    <row r="762">
      <c r="A762" s="2" t="s">
        <v>28</v>
      </c>
      <c r="B762" s="2" t="s">
        <v>2660</v>
      </c>
      <c r="C762" s="2" t="s">
        <v>3069</v>
      </c>
      <c r="D762" s="2" t="s">
        <v>3122</v>
      </c>
      <c r="E762" s="2" t="s">
        <v>3123</v>
      </c>
      <c r="F762" s="2">
        <v>69.0</v>
      </c>
      <c r="G762" s="2">
        <v>314.0</v>
      </c>
      <c r="H762" s="2" t="b">
        <v>1</v>
      </c>
      <c r="I762" s="2">
        <v>-1.0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s">
        <v>33</v>
      </c>
      <c r="O762" s="2">
        <v>28.0</v>
      </c>
      <c r="P762" s="2">
        <v>0.0</v>
      </c>
      <c r="Q762" s="2">
        <v>32.0</v>
      </c>
      <c r="R762" s="2">
        <v>0.0</v>
      </c>
      <c r="S762" s="3" t="s">
        <v>3124</v>
      </c>
      <c r="T762" s="2" t="s">
        <v>3125</v>
      </c>
      <c r="Y762" s="4" t="str">
        <f>IFERROR(__xludf.DUMMYFUNCTION("""COMPUTED_VALUE"""),"56.4157719")</f>
        <v>56.4157719</v>
      </c>
      <c r="Z762" s="4" t="str">
        <f>IFERROR(__xludf.DUMMYFUNCTION("""COMPUTED_VALUE"""),"23.6835512")</f>
        <v>23.6835512</v>
      </c>
      <c r="AA762" s="4" t="str">
        <f t="shared" si="1"/>
        <v>Not Neighbor</v>
      </c>
      <c r="AC762" s="4">
        <f>IFERROR(__xludf.DUMMYFUNCTION("IFERROR(ABS(O762-AVERAGE(FILTER(O762:O4830,AA762:AA4830=""Neighbor""))) / STDEV(FILTER(O762:O4830, AA762:AA4830 =""Neighbor"")), """")"),0.8539777381254852)</f>
        <v>0.8539777381</v>
      </c>
      <c r="AD762" s="4">
        <f>IFERROR(__xludf.DUMMYFUNCTION("IFERROR(ABS(P762-AVERAGE(FILTER(O762:P4830,AA762:AA4830=""Neighbor""))) / STDEV(FILTER(P762:P4830, AA762:AA4830 =""Neighbor"")), """")"),1.6335918826479328)</f>
        <v>1.633591883</v>
      </c>
      <c r="AE762" s="2">
        <f>IFERROR(__xludf.DUMMYFUNCTION("IFERROR(ABS(Q762-AVERAGE(FILTER(Q762:Q4830,AA762:AA4830=""Neighbor""))) / STDEV(FILTER(Q762:Q4830, AA762:AA4830 =""Neighbor"")), """")"),0.2935520280777813)</f>
        <v>0.2935520281</v>
      </c>
      <c r="AF762" s="2">
        <f>IFERROR(__xludf.DUMMYFUNCTION("IFERROR(ABS(R762-AVERAGE(FILTER(R762:R4830,AA762:AA4830=""Neighbor""))) / STDEV(FILTER(R762:R4830, AA762:AA4830 =""Neighbor"")), """")"),0.09263140430376103)</f>
        <v>0.0926314043</v>
      </c>
    </row>
    <row r="763">
      <c r="A763" s="2" t="s">
        <v>28</v>
      </c>
      <c r="B763" s="2" t="s">
        <v>2660</v>
      </c>
      <c r="C763" s="2" t="s">
        <v>3069</v>
      </c>
      <c r="D763" s="2" t="s">
        <v>3126</v>
      </c>
      <c r="E763" s="2" t="s">
        <v>3127</v>
      </c>
      <c r="F763" s="2">
        <v>184.0</v>
      </c>
      <c r="G763" s="2">
        <v>603.0</v>
      </c>
      <c r="H763" s="2" t="b">
        <v>1</v>
      </c>
      <c r="I763" s="2">
        <v>-1.0</v>
      </c>
      <c r="J763" s="2" t="b">
        <v>0</v>
      </c>
      <c r="K763" s="2" t="b">
        <v>0</v>
      </c>
      <c r="L763" s="2" t="b">
        <v>0</v>
      </c>
      <c r="M763" s="2" t="b">
        <v>0</v>
      </c>
      <c r="N763" s="2" t="s">
        <v>33</v>
      </c>
      <c r="O763" s="2">
        <v>83.0</v>
      </c>
      <c r="P763" s="2">
        <v>2.0</v>
      </c>
      <c r="Q763" s="2">
        <v>96.0</v>
      </c>
      <c r="R763" s="2">
        <v>0.0</v>
      </c>
      <c r="S763" s="3" t="s">
        <v>3128</v>
      </c>
      <c r="T763" s="2" t="s">
        <v>3129</v>
      </c>
      <c r="Y763" s="4" t="str">
        <f>IFERROR(__xludf.DUMMYFUNCTION("""COMPUTED_VALUE"""),"7.0927692")</f>
        <v>7.0927692</v>
      </c>
      <c r="Z763" s="4" t="str">
        <f>IFERROR(__xludf.DUMMYFUNCTION("""COMPUTED_VALUE"""),"2.8757928")</f>
        <v>2.8757928</v>
      </c>
      <c r="AA763" s="4" t="str">
        <f t="shared" si="1"/>
        <v>Not Neighbor</v>
      </c>
      <c r="AC763" s="4">
        <f>IFERROR(__xludf.DUMMYFUNCTION("IFERROR(ABS(O763-AVERAGE(FILTER(O763:O4831,AA763:AA4831=""Neighbor""))) / STDEV(FILTER(O763:O4831, AA763:AA4831 =""Neighbor"")), """")"),0.42251664986024)</f>
        <v>0.4225166499</v>
      </c>
      <c r="AD763" s="4">
        <f>IFERROR(__xludf.DUMMYFUNCTION("IFERROR(ABS(P763-AVERAGE(FILTER(O763:P4831,AA763:AA4831=""Neighbor""))) / STDEV(FILTER(P763:P4831, AA763:AA4831 =""Neighbor"")), """")"),1.5527469430229468)</f>
        <v>1.552746943</v>
      </c>
      <c r="AE763" s="2">
        <f>IFERROR(__xludf.DUMMYFUNCTION("IFERROR(ABS(Q763-AVERAGE(FILTER(Q763:Q4831,AA763:AA4831=""Neighbor""))) / STDEV(FILTER(Q763:Q4831, AA763:AA4831 =""Neighbor"")), """")"),2.9283834924721237)</f>
        <v>2.928383492</v>
      </c>
      <c r="AF763" s="2">
        <f>IFERROR(__xludf.DUMMYFUNCTION("IFERROR(ABS(R763-AVERAGE(FILTER(R763:R4831,AA763:AA4831=""Neighbor""))) / STDEV(FILTER(R763:R4831, AA763:AA4831 =""Neighbor"")), """")"),0.09263140430376103)</f>
        <v>0.0926314043</v>
      </c>
    </row>
    <row r="764">
      <c r="A764" s="2" t="s">
        <v>28</v>
      </c>
      <c r="B764" s="2" t="s">
        <v>2660</v>
      </c>
      <c r="C764" s="2" t="s">
        <v>3069</v>
      </c>
      <c r="D764" s="2" t="s">
        <v>3130</v>
      </c>
      <c r="E764" s="2" t="s">
        <v>3131</v>
      </c>
      <c r="F764" s="2">
        <v>117.0</v>
      </c>
      <c r="G764" s="2">
        <v>369.0</v>
      </c>
      <c r="H764" s="2" t="b">
        <v>1</v>
      </c>
      <c r="I764" s="2">
        <v>-1.0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s">
        <v>33</v>
      </c>
      <c r="O764" s="2">
        <v>72.0</v>
      </c>
      <c r="P764" s="2">
        <v>0.0</v>
      </c>
      <c r="Q764" s="2">
        <v>32.0</v>
      </c>
      <c r="R764" s="2">
        <v>8.0</v>
      </c>
      <c r="S764" s="3" t="s">
        <v>3132</v>
      </c>
      <c r="T764" s="2" t="s">
        <v>3133</v>
      </c>
      <c r="Y764" s="4" t="str">
        <f>IFERROR(__xludf.DUMMYFUNCTION("""COMPUTED_VALUE"""),"6.891228")</f>
        <v>6.891228</v>
      </c>
      <c r="Z764" s="4" t="str">
        <f>IFERROR(__xludf.DUMMYFUNCTION("""COMPUTED_VALUE"""),"2.9232136")</f>
        <v>2.9232136</v>
      </c>
      <c r="AA764" s="4" t="str">
        <f t="shared" si="1"/>
        <v>Not Neighbor</v>
      </c>
      <c r="AC764" s="4">
        <f>IFERROR(__xludf.DUMMYFUNCTION("IFERROR(ABS(O764-AVERAGE(FILTER(O764:O4832,AA764:AA4832=""Neighbor""))) / STDEV(FILTER(O764:O4832, AA764:AA4832 =""Neighbor"")), """")"),0.167217772263095)</f>
        <v>0.1672177723</v>
      </c>
      <c r="AD764" s="4">
        <f>IFERROR(__xludf.DUMMYFUNCTION("IFERROR(ABS(P764-AVERAGE(FILTER(O764:P4832,AA764:AA4832=""Neighbor""))) / STDEV(FILTER(P764:P4832, AA764:AA4832 =""Neighbor"")), """")"),1.6335918826479328)</f>
        <v>1.633591883</v>
      </c>
      <c r="AE764" s="2">
        <f>IFERROR(__xludf.DUMMYFUNCTION("IFERROR(ABS(Q764-AVERAGE(FILTER(Q764:Q4832,AA764:AA4832=""Neighbor""))) / STDEV(FILTER(Q764:Q4832, AA764:AA4832 =""Neighbor"")), """")"),0.2935520280777813)</f>
        <v>0.2935520281</v>
      </c>
      <c r="AF764" s="2">
        <f>IFERROR(__xludf.DUMMYFUNCTION("IFERROR(ABS(R764-AVERAGE(FILTER(R764:R4832,AA764:AA4832=""Neighbor""))) / STDEV(FILTER(R764:R4832, AA764:AA4832 =""Neighbor"")), """")"),1.3562586843018456)</f>
        <v>1.356258684</v>
      </c>
    </row>
    <row r="765">
      <c r="A765" s="2" t="s">
        <v>28</v>
      </c>
      <c r="B765" s="2" t="s">
        <v>2660</v>
      </c>
      <c r="C765" s="2" t="s">
        <v>3069</v>
      </c>
      <c r="D765" s="2" t="s">
        <v>3134</v>
      </c>
      <c r="E765" s="2" t="s">
        <v>3135</v>
      </c>
      <c r="F765" s="2">
        <v>106.0</v>
      </c>
      <c r="G765" s="2">
        <v>416.0</v>
      </c>
      <c r="H765" s="2" t="b">
        <v>1</v>
      </c>
      <c r="I765" s="2">
        <v>-1.0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s">
        <v>33</v>
      </c>
      <c r="O765" s="2">
        <v>62.0</v>
      </c>
      <c r="P765" s="2">
        <v>1.0</v>
      </c>
      <c r="Q765" s="2">
        <v>34.0</v>
      </c>
      <c r="R765" s="2">
        <v>1.0</v>
      </c>
      <c r="S765" s="3" t="s">
        <v>3136</v>
      </c>
      <c r="T765" s="2" t="s">
        <v>3137</v>
      </c>
      <c r="Y765" s="4" t="str">
        <f>IFERROR(__xludf.DUMMYFUNCTION("""COMPUTED_VALUE"""),"7.1701914")</f>
        <v>7.1701914</v>
      </c>
      <c r="Z765" s="4" t="str">
        <f>IFERROR(__xludf.DUMMYFUNCTION("""COMPUTED_VALUE"""),"2.8577105")</f>
        <v>2.8577105</v>
      </c>
      <c r="AA765" s="4" t="str">
        <f t="shared" si="1"/>
        <v>Not Neighbor</v>
      </c>
      <c r="AC765" s="4">
        <f>IFERROR(__xludf.DUMMYFUNCTION("IFERROR(ABS(O765-AVERAGE(FILTER(O765:O4833,AA765:AA4833=""Neighbor""))) / STDEV(FILTER(O765:O4833, AA765:AA4833 =""Neighbor"")), """")"),0.06487211646158232)</f>
        <v>0.06487211646</v>
      </c>
      <c r="AD765" s="4">
        <f>IFERROR(__xludf.DUMMYFUNCTION("IFERROR(ABS(P765-AVERAGE(FILTER(O765:P4833,AA765:AA4833=""Neighbor""))) / STDEV(FILTER(P765:P4833, AA765:AA4833 =""Neighbor"")), """")"),1.59316941283544)</f>
        <v>1.593169413</v>
      </c>
      <c r="AE765" s="2">
        <f>IFERROR(__xludf.DUMMYFUNCTION("IFERROR(ABS(Q765-AVERAGE(FILTER(Q765:Q4833,AA765:AA4833=""Neighbor""))) / STDEV(FILTER(Q765:Q4833, AA765:AA4833 =""Neighbor"")), """")"),0.3758905113401045)</f>
        <v>0.3758905113</v>
      </c>
      <c r="AF765" s="2">
        <f>IFERROR(__xludf.DUMMYFUNCTION("IFERROR(ABS(R765-AVERAGE(FILTER(R765:R4833,AA765:AA4833=""Neighbor""))) / STDEV(FILTER(R765:R4833, AA765:AA4833 =""Neighbor"")), """")"),0.08847985677193981)</f>
        <v>0.08847985677</v>
      </c>
    </row>
    <row r="766">
      <c r="A766" s="2" t="s">
        <v>28</v>
      </c>
      <c r="B766" s="2" t="s">
        <v>2660</v>
      </c>
      <c r="C766" s="2" t="s">
        <v>3069</v>
      </c>
      <c r="D766" s="2" t="s">
        <v>3138</v>
      </c>
      <c r="E766" s="2" t="s">
        <v>3139</v>
      </c>
      <c r="F766" s="2">
        <v>131.0</v>
      </c>
      <c r="G766" s="2">
        <v>400.0</v>
      </c>
      <c r="H766" s="2" t="b">
        <v>1</v>
      </c>
      <c r="I766" s="2">
        <v>-1.0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s">
        <v>33</v>
      </c>
      <c r="O766" s="2">
        <v>57.0</v>
      </c>
      <c r="P766" s="2">
        <v>3.0</v>
      </c>
      <c r="Q766" s="2">
        <v>51.0</v>
      </c>
      <c r="R766" s="2">
        <v>3.0</v>
      </c>
      <c r="S766" s="3" t="s">
        <v>3140</v>
      </c>
      <c r="T766" s="2" t="s">
        <v>3141</v>
      </c>
      <c r="Y766" s="4" t="str">
        <f>IFERROR(__xludf.DUMMYFUNCTION("""COMPUTED_VALUE"""),"7.121509")</f>
        <v>7.121509</v>
      </c>
      <c r="Z766" s="4" t="str">
        <f>IFERROR(__xludf.DUMMYFUNCTION("""COMPUTED_VALUE"""),"2.9278081")</f>
        <v>2.9278081</v>
      </c>
      <c r="AA766" s="4" t="str">
        <f t="shared" si="1"/>
        <v>Not Neighbor</v>
      </c>
      <c r="AC766" s="4">
        <f>IFERROR(__xludf.DUMMYFUNCTION("IFERROR(ABS(O766-AVERAGE(FILTER(O766:O4834,AA766:AA4834=""Neighbor""))) / STDEV(FILTER(O766:O4834, AA766:AA4834 =""Neighbor"")), """")"),0.18091706082392098)</f>
        <v>0.1809170608</v>
      </c>
      <c r="AD766" s="4">
        <f>IFERROR(__xludf.DUMMYFUNCTION("IFERROR(ABS(P766-AVERAGE(FILTER(O766:P4834,AA766:AA4834=""Neighbor""))) / STDEV(FILTER(P766:P4834, AA766:AA4834 =""Neighbor"")), """")"),1.5123244732104537)</f>
        <v>1.512324473</v>
      </c>
      <c r="AE766" s="2">
        <f>IFERROR(__xludf.DUMMYFUNCTION("IFERROR(ABS(Q766-AVERAGE(FILTER(Q766:Q4834,AA766:AA4834=""Neighbor""))) / STDEV(FILTER(Q766:Q4834, AA766:AA4834 =""Neighbor"")), """")"),1.0757676190698517)</f>
        <v>1.075767619</v>
      </c>
      <c r="AF766" s="2">
        <f>IFERROR(__xludf.DUMMYFUNCTION("IFERROR(ABS(R766-AVERAGE(FILTER(R766:R4834,AA766:AA4834=""Neighbor""))) / STDEV(FILTER(R766:R4834, AA766:AA4834 =""Neighbor"")), """")"),0.4507023789233415)</f>
        <v>0.4507023789</v>
      </c>
    </row>
    <row r="767">
      <c r="A767" s="2" t="s">
        <v>28</v>
      </c>
      <c r="B767" s="2" t="s">
        <v>2660</v>
      </c>
      <c r="C767" s="2" t="s">
        <v>3069</v>
      </c>
      <c r="D767" s="2" t="s">
        <v>3142</v>
      </c>
      <c r="E767" s="2" t="s">
        <v>3143</v>
      </c>
      <c r="F767" s="2">
        <v>120.0</v>
      </c>
      <c r="G767" s="2">
        <v>328.0</v>
      </c>
      <c r="H767" s="2" t="b">
        <v>1</v>
      </c>
      <c r="I767" s="2">
        <v>-1.0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s">
        <v>33</v>
      </c>
      <c r="O767" s="2">
        <v>36.0</v>
      </c>
      <c r="P767" s="2">
        <v>3.0</v>
      </c>
      <c r="Q767" s="2">
        <v>71.0</v>
      </c>
      <c r="R767" s="2">
        <v>0.0</v>
      </c>
      <c r="S767" s="3" t="s">
        <v>3144</v>
      </c>
      <c r="T767" s="2" t="s">
        <v>3145</v>
      </c>
      <c r="Y767" s="4" t="str">
        <f>IFERROR(__xludf.DUMMYFUNCTION("""COMPUTED_VALUE"""),"7.1701914")</f>
        <v>7.1701914</v>
      </c>
      <c r="Z767" s="4" t="str">
        <f>IFERROR(__xludf.DUMMYFUNCTION("""COMPUTED_VALUE"""),"2.8577105")</f>
        <v>2.8577105</v>
      </c>
      <c r="AA767" s="4" t="str">
        <f t="shared" si="1"/>
        <v>Not Neighbor</v>
      </c>
      <c r="AC767" s="4">
        <f>IFERROR(__xludf.DUMMYFUNCTION("IFERROR(ABS(O767-AVERAGE(FILTER(O767:O4835,AA767:AA4835=""Neighbor""))) / STDEV(FILTER(O767:O4835, AA767:AA4835 =""Neighbor"")), """")"),0.6683058271457434)</f>
        <v>0.6683058271</v>
      </c>
      <c r="AD767" s="4">
        <f>IFERROR(__xludf.DUMMYFUNCTION("IFERROR(ABS(P767-AVERAGE(FILTER(O767:P4835,AA767:AA4835=""Neighbor""))) / STDEV(FILTER(P767:P4835, AA767:AA4835 =""Neighbor"")), """")"),1.5123244732104537)</f>
        <v>1.512324473</v>
      </c>
      <c r="AE767" s="2">
        <f>IFERROR(__xludf.DUMMYFUNCTION("IFERROR(ABS(Q767-AVERAGE(FILTER(Q767:Q4835,AA767:AA4835=""Neighbor""))) / STDEV(FILTER(Q767:Q4835, AA767:AA4835 =""Neighbor"")), """")"),1.8991524516930838)</f>
        <v>1.899152452</v>
      </c>
      <c r="AF767" s="2">
        <f>IFERROR(__xludf.DUMMYFUNCTION("IFERROR(ABS(R767-AVERAGE(FILTER(R767:R4835,AA767:AA4835=""Neighbor""))) / STDEV(FILTER(R767:R4835, AA767:AA4835 =""Neighbor"")), """")"),0.09263140430376103)</f>
        <v>0.0926314043</v>
      </c>
    </row>
    <row r="768">
      <c r="A768" s="2" t="s">
        <v>28</v>
      </c>
      <c r="B768" s="2" t="s">
        <v>2660</v>
      </c>
      <c r="C768" s="2" t="s">
        <v>3069</v>
      </c>
      <c r="D768" s="2" t="s">
        <v>3146</v>
      </c>
      <c r="E768" s="2" t="s">
        <v>3147</v>
      </c>
      <c r="F768" s="2">
        <v>156.0</v>
      </c>
      <c r="G768" s="2">
        <v>517.0</v>
      </c>
      <c r="H768" s="2" t="b">
        <v>1</v>
      </c>
      <c r="I768" s="2">
        <v>-1.0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s">
        <v>33</v>
      </c>
      <c r="O768" s="2">
        <v>93.0</v>
      </c>
      <c r="P768" s="2">
        <v>3.0</v>
      </c>
      <c r="Q768" s="2">
        <v>29.0</v>
      </c>
      <c r="R768" s="2">
        <v>5.0</v>
      </c>
      <c r="S768" s="3" t="s">
        <v>3148</v>
      </c>
      <c r="T768" s="2" t="s">
        <v>3149</v>
      </c>
      <c r="Y768" s="4" t="str">
        <f>IFERROR(__xludf.DUMMYFUNCTION("""COMPUTED_VALUE"""),"7.0583551")</f>
        <v>7.0583551</v>
      </c>
      <c r="Z768" s="4" t="str">
        <f>IFERROR(__xludf.DUMMYFUNCTION("""COMPUTED_VALUE"""),"2.9013692")</f>
        <v>2.9013692</v>
      </c>
      <c r="AA768" s="4" t="str">
        <f t="shared" si="1"/>
        <v>Neighbor</v>
      </c>
      <c r="AC768" s="4">
        <f>IFERROR(__xludf.DUMMYFUNCTION("IFERROR(ABS(O768-AVERAGE(FILTER(O768:O4836,AA768:AA4836=""Neighbor""))) / STDEV(FILTER(O768:O4836, AA768:AA4836 =""Neighbor"")), """")"),0.6546065385849174)</f>
        <v>0.6546065386</v>
      </c>
      <c r="AD768" s="4">
        <f>IFERROR(__xludf.DUMMYFUNCTION("IFERROR(ABS(P768-AVERAGE(FILTER(O768:P4836,AA768:AA4836=""Neighbor""))) / STDEV(FILTER(P768:P4836, AA768:AA4836 =""Neighbor"")), """")"),1.5123244732104537)</f>
        <v>1.512324473</v>
      </c>
      <c r="AE768" s="2">
        <f>IFERROR(__xludf.DUMMYFUNCTION("IFERROR(ABS(Q768-AVERAGE(FILTER(Q768:Q4836,AA768:AA4836=""Neighbor""))) / STDEV(FILTER(Q768:Q4836, AA768:AA4836 =""Neighbor"")), """")"),0.17004430318429647)</f>
        <v>0.1700443032</v>
      </c>
      <c r="AF768" s="2">
        <f>IFERROR(__xludf.DUMMYFUNCTION("IFERROR(ABS(R768-AVERAGE(FILTER(R768:R4836,AA768:AA4836=""Neighbor""))) / STDEV(FILTER(R768:R4836, AA768:AA4836 =""Neighbor"")), """")"),0.8129249010747431)</f>
        <v>0.8129249011</v>
      </c>
    </row>
    <row r="769">
      <c r="A769" s="2" t="s">
        <v>28</v>
      </c>
      <c r="B769" s="2" t="s">
        <v>2660</v>
      </c>
      <c r="C769" s="2" t="s">
        <v>3069</v>
      </c>
      <c r="D769" s="2" t="s">
        <v>3150</v>
      </c>
      <c r="E769" s="2" t="s">
        <v>3151</v>
      </c>
      <c r="F769" s="2">
        <v>122.0</v>
      </c>
      <c r="G769" s="2">
        <v>470.0</v>
      </c>
      <c r="H769" s="2" t="b">
        <v>1</v>
      </c>
      <c r="I769" s="2">
        <v>-1.0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s">
        <v>33</v>
      </c>
      <c r="O769" s="2">
        <v>65.0</v>
      </c>
      <c r="P769" s="2">
        <v>6.0</v>
      </c>
      <c r="Q769" s="2">
        <v>37.0</v>
      </c>
      <c r="R769" s="2">
        <v>5.0</v>
      </c>
      <c r="S769" s="3" t="s">
        <v>3152</v>
      </c>
      <c r="T769" s="2" t="s">
        <v>3153</v>
      </c>
      <c r="Y769" s="4" t="str">
        <f>IFERROR(__xludf.DUMMYFUNCTION("""COMPUTED_VALUE"""),"7.0583551")</f>
        <v>7.0583551</v>
      </c>
      <c r="Z769" s="4" t="str">
        <f>IFERROR(__xludf.DUMMYFUNCTION("""COMPUTED_VALUE"""),"2.9013692")</f>
        <v>2.9013692</v>
      </c>
      <c r="AA769" s="4" t="str">
        <f t="shared" si="1"/>
        <v>Neighbor</v>
      </c>
      <c r="AC769" s="4">
        <f>IFERROR(__xludf.DUMMYFUNCTION("IFERROR(ABS(O769-AVERAGE(FILTER(O769:O4837,AA769:AA4837=""Neighbor""))) / STDEV(FILTER(O769:O4837, AA769:AA4837 =""Neighbor"")), """")"),0.005223032211400162)</f>
        <v>0.005223032211</v>
      </c>
      <c r="AD769" s="4">
        <f>IFERROR(__xludf.DUMMYFUNCTION("IFERROR(ABS(P769-AVERAGE(FILTER(O769:P4837,AA769:AA4837=""Neighbor""))) / STDEV(FILTER(P769:P4837, AA769:AA4837 =""Neighbor"")), """")"),1.3904770016292531)</f>
        <v>1.390477002</v>
      </c>
      <c r="AE769" s="2">
        <f>IFERROR(__xludf.DUMMYFUNCTION("IFERROR(ABS(Q769-AVERAGE(FILTER(Q769:Q4837,AA769:AA4837=""Neighbor""))) / STDEV(FILTER(Q769:Q4837, AA769:AA4837 =""Neighbor"")), """")"),0.49934623909270126)</f>
        <v>0.4993462391</v>
      </c>
      <c r="AF769" s="2">
        <f>IFERROR(__xludf.DUMMYFUNCTION("IFERROR(ABS(R769-AVERAGE(FILTER(R769:R4837,AA769:AA4837=""Neighbor""))) / STDEV(FILTER(R769:R4837, AA769:AA4837 =""Neighbor"")), """")"),0.8134088380360688)</f>
        <v>0.813408838</v>
      </c>
    </row>
    <row r="770">
      <c r="A770" s="2" t="s">
        <v>28</v>
      </c>
      <c r="B770" s="2" t="s">
        <v>2660</v>
      </c>
      <c r="C770" s="2" t="s">
        <v>3069</v>
      </c>
      <c r="D770" s="2" t="s">
        <v>3154</v>
      </c>
      <c r="E770" s="2" t="s">
        <v>3155</v>
      </c>
      <c r="F770" s="2">
        <v>125.0</v>
      </c>
      <c r="G770" s="2">
        <v>447.0</v>
      </c>
      <c r="H770" s="2" t="b">
        <v>1</v>
      </c>
      <c r="I770" s="2">
        <v>-1.0</v>
      </c>
      <c r="J770" s="2" t="b">
        <v>0</v>
      </c>
      <c r="K770" s="2" t="b">
        <v>1</v>
      </c>
      <c r="L770" s="2" t="b">
        <v>0</v>
      </c>
      <c r="M770" s="2" t="b">
        <v>0</v>
      </c>
      <c r="N770" s="2" t="s">
        <v>33</v>
      </c>
      <c r="O770" s="2">
        <v>82.0</v>
      </c>
      <c r="P770" s="2">
        <v>0.0</v>
      </c>
      <c r="Q770" s="2">
        <v>40.0</v>
      </c>
      <c r="R770" s="2">
        <v>0.0</v>
      </c>
      <c r="S770" s="3" t="s">
        <v>3156</v>
      </c>
      <c r="T770" s="2" t="s">
        <v>3157</v>
      </c>
      <c r="Y770" s="4" t="str">
        <f>IFERROR(__xludf.DUMMYFUNCTION("""COMPUTED_VALUE"""),"7.0644491")</f>
        <v>7.0644491</v>
      </c>
      <c r="Z770" s="4" t="str">
        <f>IFERROR(__xludf.DUMMYFUNCTION("""COMPUTED_VALUE"""),"2.8932581")</f>
        <v>2.8932581</v>
      </c>
      <c r="AA770" s="4" t="str">
        <f t="shared" si="1"/>
        <v>Not Neighbor</v>
      </c>
      <c r="AC770" s="4">
        <f>IFERROR(__xludf.DUMMYFUNCTION("IFERROR(ABS(O770-AVERAGE(FILTER(O770:O4838,AA770:AA4838=""Neighbor""))) / STDEV(FILTER(O770:O4838, AA770:AA4838 =""Neighbor"")), """")"),0.3995553960617087)</f>
        <v>0.3995553961</v>
      </c>
      <c r="AD770" s="4">
        <f>IFERROR(__xludf.DUMMYFUNCTION("IFERROR(ABS(P770-AVERAGE(FILTER(O770:P4838,AA770:AA4838=""Neighbor""))) / STDEV(FILTER(P770:P4838, AA770:AA4838 =""Neighbor"")), """")"),1.6326018871272405)</f>
        <v>1.632601887</v>
      </c>
      <c r="AE770" s="2">
        <f>IFERROR(__xludf.DUMMYFUNCTION("IFERROR(ABS(Q770-AVERAGE(FILTER(Q770:Q4838,AA770:AA4838=""Neighbor""))) / STDEV(FILTER(Q770:Q4838, AA770:AA4838 =""Neighbor"")), """")"),0.623001382172653)</f>
        <v>0.6230013822</v>
      </c>
      <c r="AF770" s="2">
        <f>IFERROR(__xludf.DUMMYFUNCTION("IFERROR(ABS(R770-AVERAGE(FILTER(R770:R4838,AA770:AA4838=""Neighbor""))) / STDEV(FILTER(R770:R4838, AA770:AA4838 =""Neighbor"")), """")"),0.09144288587743249)</f>
        <v>0.09144288588</v>
      </c>
    </row>
    <row r="771">
      <c r="A771" s="2" t="s">
        <v>28</v>
      </c>
      <c r="B771" s="2" t="s">
        <v>2660</v>
      </c>
      <c r="C771" s="2" t="s">
        <v>3069</v>
      </c>
      <c r="D771" s="2" t="s">
        <v>3158</v>
      </c>
      <c r="E771" s="2" t="s">
        <v>3159</v>
      </c>
      <c r="F771" s="2">
        <v>105.0</v>
      </c>
      <c r="G771" s="2">
        <v>368.0</v>
      </c>
      <c r="H771" s="2" t="b">
        <v>1</v>
      </c>
      <c r="I771" s="2">
        <v>-1.0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s">
        <v>33</v>
      </c>
      <c r="O771" s="2">
        <v>47.0</v>
      </c>
      <c r="P771" s="2">
        <v>0.0</v>
      </c>
      <c r="Q771" s="2">
        <v>52.0</v>
      </c>
      <c r="R771" s="2">
        <v>0.0</v>
      </c>
      <c r="S771" s="3" t="s">
        <v>3160</v>
      </c>
      <c r="T771" s="2" t="s">
        <v>3161</v>
      </c>
      <c r="Y771" s="4" t="str">
        <f>IFERROR(__xludf.DUMMYFUNCTION("""COMPUTED_VALUE"""),"7.1263712")</f>
        <v>7.1263712</v>
      </c>
      <c r="Z771" s="4" t="str">
        <f>IFERROR(__xludf.DUMMYFUNCTION("""COMPUTED_VALUE"""),"2.8757928")</f>
        <v>2.8757928</v>
      </c>
      <c r="AA771" s="4" t="str">
        <f t="shared" si="1"/>
        <v>Not Neighbor</v>
      </c>
      <c r="AC771" s="4">
        <f>IFERROR(__xludf.DUMMYFUNCTION("IFERROR(ABS(O771-AVERAGE(FILTER(O771:O4839,AA771:AA4839=""Neighbor""))) / STDEV(FILTER(O771:O4839, AA771:AA4839 =""Neighbor"")), """")"),0.41230149940100885)</f>
        <v>0.4123014994</v>
      </c>
      <c r="AD771" s="4">
        <f>IFERROR(__xludf.DUMMYFUNCTION("IFERROR(ABS(P771-AVERAGE(FILTER(O771:P4839,AA771:AA4839=""Neighbor""))) / STDEV(FILTER(P771:P4839, AA771:AA4839 =""Neighbor"")), """")"),1.6326018871272405)</f>
        <v>1.632601887</v>
      </c>
      <c r="AE771" s="2">
        <f>IFERROR(__xludf.DUMMYFUNCTION("IFERROR(ABS(Q771-AVERAGE(FILTER(Q771:Q4839,AA771:AA4839=""Neighbor""))) / STDEV(FILTER(Q771:Q4839, AA771:AA4839 =""Neighbor"")), """")"),1.1167273211997584)</f>
        <v>1.116727321</v>
      </c>
      <c r="AF771" s="2">
        <f>IFERROR(__xludf.DUMMYFUNCTION("IFERROR(ABS(R771-AVERAGE(FILTER(R771:R4839,AA771:AA4839=""Neighbor""))) / STDEV(FILTER(R771:R4839, AA771:AA4839 =""Neighbor"")), """")"),0.09144288587743249)</f>
        <v>0.09144288588</v>
      </c>
    </row>
    <row r="772">
      <c r="A772" s="2" t="s">
        <v>28</v>
      </c>
      <c r="B772" s="2" t="s">
        <v>2660</v>
      </c>
      <c r="C772" s="2" t="s">
        <v>3069</v>
      </c>
      <c r="D772" s="2" t="s">
        <v>3162</v>
      </c>
      <c r="E772" s="2" t="s">
        <v>3163</v>
      </c>
      <c r="F772" s="2">
        <v>119.0</v>
      </c>
      <c r="G772" s="2">
        <v>483.0</v>
      </c>
      <c r="H772" s="2" t="b">
        <v>1</v>
      </c>
      <c r="I772" s="2">
        <v>-1.0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s">
        <v>33</v>
      </c>
      <c r="O772" s="2">
        <v>58.0</v>
      </c>
      <c r="P772" s="2">
        <v>1.0</v>
      </c>
      <c r="Q772" s="2">
        <v>58.0</v>
      </c>
      <c r="R772" s="2">
        <v>1.0</v>
      </c>
      <c r="S772" s="3" t="s">
        <v>3164</v>
      </c>
      <c r="T772" s="2" t="s">
        <v>3165</v>
      </c>
      <c r="Y772" s="4" t="str">
        <f>IFERROR(__xludf.DUMMYFUNCTION("""COMPUTED_VALUE"""),"7.0499781")</f>
        <v>7.0499781</v>
      </c>
      <c r="Z772" s="4" t="str">
        <f>IFERROR(__xludf.DUMMYFUNCTION("""COMPUTED_VALUE"""),"2.9053259")</f>
        <v>2.9053259</v>
      </c>
      <c r="AA772" s="4" t="str">
        <f t="shared" si="1"/>
        <v>Not Neighbor</v>
      </c>
      <c r="AC772" s="4">
        <f>IFERROR(__xludf.DUMMYFUNCTION("IFERROR(ABS(O772-AVERAGE(FILTER(O772:O4840,AA772:AA4840=""Neighbor""))) / STDEV(FILTER(O772:O4840, AA772:AA4840 =""Neighbor"")), """")"),0.1571464751127262)</f>
        <v>0.1571464751</v>
      </c>
      <c r="AD772" s="4">
        <f>IFERROR(__xludf.DUMMYFUNCTION("IFERROR(ABS(P772-AVERAGE(FILTER(O772:P4840,AA772:AA4840=""Neighbor""))) / STDEV(FILTER(P772:P4840, AA772:AA4840 =""Neighbor"")), """")"),1.592201996642882)</f>
        <v>1.592201997</v>
      </c>
      <c r="AE772" s="2">
        <f>IFERROR(__xludf.DUMMYFUNCTION("IFERROR(ABS(Q772-AVERAGE(FILTER(Q772:Q4840,AA772:AA4840=""Neighbor""))) / STDEV(FILTER(Q772:Q4840, AA772:AA4840 =""Neighbor"")), """")"),1.363590290713311)</f>
        <v>1.363590291</v>
      </c>
      <c r="AF772" s="2">
        <f>IFERROR(__xludf.DUMMYFUNCTION("IFERROR(ABS(R772-AVERAGE(FILTER(R772:R4840,AA772:AA4840=""Neighbor""))) / STDEV(FILTER(R772:R4840, AA772:AA4840 =""Neighbor"")), """")"),0.08962441939691537)</f>
        <v>0.0896244194</v>
      </c>
    </row>
    <row r="773">
      <c r="A773" s="2" t="s">
        <v>28</v>
      </c>
      <c r="B773" s="2" t="s">
        <v>2660</v>
      </c>
      <c r="C773" s="2" t="s">
        <v>3069</v>
      </c>
      <c r="D773" s="2" t="s">
        <v>3166</v>
      </c>
      <c r="E773" s="2" t="s">
        <v>3167</v>
      </c>
      <c r="F773" s="2">
        <v>34.0</v>
      </c>
      <c r="G773" s="2">
        <v>180.0</v>
      </c>
      <c r="H773" s="2" t="b">
        <v>1</v>
      </c>
      <c r="I773" s="2">
        <v>-1.0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s">
        <v>33</v>
      </c>
      <c r="O773" s="2">
        <v>11.0</v>
      </c>
      <c r="P773" s="2">
        <v>0.0</v>
      </c>
      <c r="Q773" s="2">
        <v>19.0</v>
      </c>
      <c r="R773" s="2">
        <v>0.0</v>
      </c>
      <c r="S773" s="3" t="s">
        <v>3168</v>
      </c>
      <c r="T773" s="2" t="s">
        <v>3169</v>
      </c>
      <c r="Y773" s="4" t="str">
        <f>IFERROR(__xludf.DUMMYFUNCTION("""COMPUTED_VALUE"""),"7.1701914")</f>
        <v>7.1701914</v>
      </c>
      <c r="Z773" s="4" t="str">
        <f>IFERROR(__xludf.DUMMYFUNCTION("""COMPUTED_VALUE"""),"2.8577105")</f>
        <v>2.8577105</v>
      </c>
      <c r="AA773" s="4" t="str">
        <f t="shared" si="1"/>
        <v>Neighbor</v>
      </c>
      <c r="AC773" s="4">
        <f>IFERROR(__xludf.DUMMYFUNCTION("IFERROR(ABS(O773-AVERAGE(FILTER(O773:O4841,AA773:AA4841=""Neighbor""))) / STDEV(FILTER(O773:O4841, AA773:AA4841 =""Neighbor"")), """")"),1.2473543061626613)</f>
        <v>1.247354306</v>
      </c>
      <c r="AD773" s="4">
        <f>IFERROR(__xludf.DUMMYFUNCTION("IFERROR(ABS(P773-AVERAGE(FILTER(O773:P4841,AA773:AA4841=""Neighbor""))) / STDEV(FILTER(P773:P4841, AA773:AA4841 =""Neighbor"")), """")"),1.6326018871272405)</f>
        <v>1.632601887</v>
      </c>
      <c r="AE773" s="2">
        <f>IFERROR(__xludf.DUMMYFUNCTION("IFERROR(ABS(Q773-AVERAGE(FILTER(Q773:Q4841,AA773:AA4841=""Neighbor""))) / STDEV(FILTER(Q773:Q4841, AA773:AA4841 =""Neighbor"")), """")"),0.2410190111247814)</f>
        <v>0.2410190111</v>
      </c>
      <c r="AF773" s="2">
        <f>IFERROR(__xludf.DUMMYFUNCTION("IFERROR(ABS(R773-AVERAGE(FILTER(R773:R4841,AA773:AA4841=""Neighbor""))) / STDEV(FILTER(R773:R4841, AA773:AA4841 =""Neighbor"")), """")"),0.09144288587743249)</f>
        <v>0.09144288588</v>
      </c>
    </row>
    <row r="774">
      <c r="A774" s="2" t="s">
        <v>28</v>
      </c>
      <c r="B774" s="2" t="s">
        <v>2660</v>
      </c>
      <c r="C774" s="2" t="s">
        <v>3069</v>
      </c>
      <c r="D774" s="2" t="s">
        <v>3170</v>
      </c>
      <c r="E774" s="2" t="s">
        <v>3171</v>
      </c>
      <c r="F774" s="2">
        <v>96.0</v>
      </c>
      <c r="G774" s="2">
        <v>255.0</v>
      </c>
      <c r="H774" s="2" t="b">
        <v>1</v>
      </c>
      <c r="I774" s="2">
        <v>-1.0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s">
        <v>33</v>
      </c>
      <c r="O774" s="2">
        <v>34.0</v>
      </c>
      <c r="P774" s="2">
        <v>0.0</v>
      </c>
      <c r="Q774" s="2">
        <v>58.0</v>
      </c>
      <c r="R774" s="2">
        <v>0.0</v>
      </c>
      <c r="S774" s="3" t="s">
        <v>3172</v>
      </c>
      <c r="T774" s="2" t="s">
        <v>3173</v>
      </c>
      <c r="Y774" s="4" t="str">
        <f>IFERROR(__xludf.DUMMYFUNCTION("""COMPUTED_VALUE"""),"7.1701914")</f>
        <v>7.1701914</v>
      </c>
      <c r="Z774" s="4" t="str">
        <f>IFERROR(__xludf.DUMMYFUNCTION("""COMPUTED_VALUE"""),"2.8577105")</f>
        <v>2.8577105</v>
      </c>
      <c r="AA774" s="4" t="str">
        <f t="shared" si="1"/>
        <v>Not Neighbor</v>
      </c>
      <c r="AC774" s="4">
        <f>IFERROR(__xludf.DUMMYFUNCTION("IFERROR(ABS(O774-AVERAGE(FILTER(O774:O4842,AA774:AA4842=""Neighbor""))) / STDEV(FILTER(O774:O4842, AA774:AA4842 =""Neighbor"")), """")"),0.7148868363983505)</f>
        <v>0.7148868364</v>
      </c>
      <c r="AD774" s="4">
        <f>IFERROR(__xludf.DUMMYFUNCTION("IFERROR(ABS(P774-AVERAGE(FILTER(O774:P4842,AA774:AA4842=""Neighbor""))) / STDEV(FILTER(P774:P4842, AA774:AA4842 =""Neighbor"")), """")"),1.6332745069988737)</f>
        <v>1.633274507</v>
      </c>
      <c r="AE774" s="2">
        <f>IFERROR(__xludf.DUMMYFUNCTION("IFERROR(ABS(Q774-AVERAGE(FILTER(Q774:Q4842,AA774:AA4842=""Neighbor""))) / STDEV(FILTER(Q774:Q4842, AA774:AA4842 =""Neighbor"")), """")"),1.3629562390065224)</f>
        <v>1.362956239</v>
      </c>
      <c r="AF774" s="2">
        <f>IFERROR(__xludf.DUMMYFUNCTION("IFERROR(ABS(R774-AVERAGE(FILTER(R774:R4842,AA774:AA4842=""Neighbor""))) / STDEV(FILTER(R774:R4842, AA774:AA4842 =""Neighbor"")), """")"),0.091475953453346)</f>
        <v>0.09147595345</v>
      </c>
    </row>
    <row r="775">
      <c r="A775" s="2" t="s">
        <v>28</v>
      </c>
      <c r="B775" s="2" t="s">
        <v>2660</v>
      </c>
      <c r="C775" s="2" t="s">
        <v>3174</v>
      </c>
      <c r="D775" s="2" t="s">
        <v>3175</v>
      </c>
      <c r="E775" s="2" t="s">
        <v>3176</v>
      </c>
      <c r="F775" s="2">
        <v>167.0</v>
      </c>
      <c r="G775" s="2">
        <v>854.0</v>
      </c>
      <c r="H775" s="2" t="b">
        <v>1</v>
      </c>
      <c r="I775" s="2">
        <v>-1.0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s">
        <v>33</v>
      </c>
      <c r="O775" s="2">
        <v>94.0</v>
      </c>
      <c r="P775" s="2">
        <v>9.0</v>
      </c>
      <c r="Q775" s="2">
        <v>44.0</v>
      </c>
      <c r="R775" s="2">
        <v>5.0</v>
      </c>
      <c r="S775" s="3" t="s">
        <v>3177</v>
      </c>
      <c r="T775" s="2" t="s">
        <v>3178</v>
      </c>
      <c r="Y775" s="4" t="str">
        <f>IFERROR(__xludf.DUMMYFUNCTION("""COMPUTED_VALUE"""),"7.1459953")</f>
        <v>7.1459953</v>
      </c>
      <c r="Z775" s="4" t="str">
        <f>IFERROR(__xludf.DUMMYFUNCTION("""COMPUTED_VALUE"""),"2.8552169")</f>
        <v>2.8552169</v>
      </c>
      <c r="AA775" s="4" t="str">
        <f t="shared" si="1"/>
        <v>Neighbor</v>
      </c>
      <c r="AC775" s="4">
        <f>IFERROR(__xludf.DUMMYFUNCTION("IFERROR(ABS(O775-AVERAGE(FILTER(O775:O4843,AA775:AA4843=""Neighbor""))) / STDEV(FILTER(O775:O4843, AA775:AA4843 =""Neighbor"")), """")"),0.677146380901795)</f>
        <v>0.6771463809</v>
      </c>
      <c r="AD775" s="4">
        <f>IFERROR(__xludf.DUMMYFUNCTION("IFERROR(ABS(P775-AVERAGE(FILTER(O775:P4843,AA775:AA4843=""Neighbor""))) / STDEV(FILTER(P775:P4843, AA775:AA4843 =""Neighbor"")), """")"),1.2697511392966878)</f>
        <v>1.269751139</v>
      </c>
      <c r="AE775" s="2">
        <f>IFERROR(__xludf.DUMMYFUNCTION("IFERROR(ABS(Q775-AVERAGE(FILTER(Q775:Q4843,AA775:AA4843=""Neighbor""))) / STDEV(FILTER(Q775:Q4843, AA775:AA4843 =""Neighbor"")), """")"),0.7871374185064205)</f>
        <v>0.7871374185</v>
      </c>
      <c r="AF775" s="2">
        <f>IFERROR(__xludf.DUMMYFUNCTION("IFERROR(ABS(R775-AVERAGE(FILTER(R775:R4843,AA775:AA4843=""Neighbor""))) / STDEV(FILTER(R775:R4843, AA775:AA4843 =""Neighbor"")), """")"),0.8135382735389195)</f>
        <v>0.8135382735</v>
      </c>
    </row>
    <row r="776">
      <c r="A776" s="2" t="s">
        <v>28</v>
      </c>
      <c r="B776" s="2" t="s">
        <v>2660</v>
      </c>
      <c r="C776" s="2" t="s">
        <v>3174</v>
      </c>
      <c r="D776" s="2" t="s">
        <v>3179</v>
      </c>
      <c r="E776" s="2" t="s">
        <v>3180</v>
      </c>
      <c r="F776" s="2">
        <v>197.0</v>
      </c>
      <c r="G776" s="2">
        <v>812.0</v>
      </c>
      <c r="H776" s="2" t="b">
        <v>1</v>
      </c>
      <c r="I776" s="2">
        <v>-1.0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s">
        <v>33</v>
      </c>
      <c r="O776" s="2">
        <v>119.0</v>
      </c>
      <c r="P776" s="2">
        <v>2.0</v>
      </c>
      <c r="Q776" s="2">
        <v>65.0</v>
      </c>
      <c r="R776" s="2">
        <v>1.0</v>
      </c>
      <c r="S776" s="3" t="s">
        <v>3181</v>
      </c>
      <c r="T776" s="2" t="s">
        <v>3182</v>
      </c>
      <c r="Y776" s="4" t="str">
        <f>IFERROR(__xludf.DUMMYFUNCTION("""COMPUTED_VALUE"""),"7.1459953")</f>
        <v>7.1459953</v>
      </c>
      <c r="Z776" s="4" t="str">
        <f>IFERROR(__xludf.DUMMYFUNCTION("""COMPUTED_VALUE"""),"2.8552169")</f>
        <v>2.8552169</v>
      </c>
      <c r="AA776" s="4" t="str">
        <f t="shared" si="1"/>
        <v>Neighbor</v>
      </c>
      <c r="AC776" s="4">
        <f>IFERROR(__xludf.DUMMYFUNCTION("IFERROR(ABS(O776-AVERAGE(FILTER(O776:O4844,AA776:AA4844=""Neighbor""))) / STDEV(FILTER(O776:O4844, AA776:AA4844 =""Neighbor"")), """")"),1.2574021161910638)</f>
        <v>1.257402116</v>
      </c>
      <c r="AD776" s="4">
        <f>IFERROR(__xludf.DUMMYFUNCTION("IFERROR(ABS(P776-AVERAGE(FILTER(O776:P4844,AA776:AA4844=""Neighbor""))) / STDEV(FILTER(P776:P4844, AA776:AA4844 =""Neighbor"")), """")"),1.5516582055842192)</f>
        <v>1.551658206</v>
      </c>
      <c r="AE776" s="2">
        <f>IFERROR(__xludf.DUMMYFUNCTION("IFERROR(ABS(Q776-AVERAGE(FILTER(Q776:Q4844,AA776:AA4844=""Neighbor""))) / STDEV(FILTER(Q776:Q4844, AA776:AA4844 =""Neighbor"")), """")"),1.6512056128904766)</f>
        <v>1.651205613</v>
      </c>
      <c r="AF776" s="2">
        <f>IFERROR(__xludf.DUMMYFUNCTION("IFERROR(ABS(R776-AVERAGE(FILTER(R776:R4844,AA776:AA4844=""Neighbor""))) / STDEV(FILTER(R776:R4844, AA776:AA4844 =""Neighbor"")), """")"),0.09010039461008645)</f>
        <v>0.09010039461</v>
      </c>
    </row>
    <row r="777">
      <c r="A777" s="2" t="s">
        <v>28</v>
      </c>
      <c r="B777" s="2" t="s">
        <v>2660</v>
      </c>
      <c r="C777" s="2" t="s">
        <v>3174</v>
      </c>
      <c r="D777" s="2" t="s">
        <v>3183</v>
      </c>
      <c r="E777" s="2" t="s">
        <v>3184</v>
      </c>
      <c r="F777" s="2">
        <v>108.0</v>
      </c>
      <c r="G777" s="2">
        <v>346.0</v>
      </c>
      <c r="H777" s="2" t="b">
        <v>1</v>
      </c>
      <c r="I777" s="2">
        <v>-1.0</v>
      </c>
      <c r="J777" s="2" t="b">
        <v>0</v>
      </c>
      <c r="K777" s="2" t="b">
        <v>1</v>
      </c>
      <c r="L777" s="2" t="b">
        <v>0</v>
      </c>
      <c r="M777" s="2" t="b">
        <v>0</v>
      </c>
      <c r="N777" s="2" t="s">
        <v>33</v>
      </c>
      <c r="O777" s="2">
        <v>53.0</v>
      </c>
      <c r="P777" s="2">
        <v>8.0</v>
      </c>
      <c r="Q777" s="2">
        <v>36.0</v>
      </c>
      <c r="R777" s="2">
        <v>0.0</v>
      </c>
      <c r="S777" s="3" t="s">
        <v>3185</v>
      </c>
      <c r="T777" s="2" t="s">
        <v>3186</v>
      </c>
      <c r="Y777" s="4" t="str">
        <f>IFERROR(__xludf.DUMMYFUNCTION("""COMPUTED_VALUE"""),"7.1513749")</f>
        <v>7.1513749</v>
      </c>
      <c r="Z777" s="4" t="str">
        <f>IFERROR(__xludf.DUMMYFUNCTION("""COMPUTED_VALUE"""),"2.8552169")</f>
        <v>2.8552169</v>
      </c>
      <c r="AA777" s="4" t="str">
        <f t="shared" si="1"/>
        <v>Neighbor</v>
      </c>
      <c r="AC777" s="4">
        <f>IFERROR(__xludf.DUMMYFUNCTION("IFERROR(ABS(O777-AVERAGE(FILTER(O777:O4845,AA777:AA4845=""Neighbor""))) / STDEV(FILTER(O777:O4845, AA777:AA4845 =""Neighbor"")), """")"),0.27268981784918167)</f>
        <v>0.2726898178</v>
      </c>
      <c r="AD777" s="4">
        <f>IFERROR(__xludf.DUMMYFUNCTION("IFERROR(ABS(P777-AVERAGE(FILTER(O777:P4845,AA777:AA4845=""Neighbor""))) / STDEV(FILTER(P777:P4845, AA777:AA4845 =""Neighbor"")), """")"),1.3084878871438588)</f>
        <v>1.308487887</v>
      </c>
      <c r="AE777" s="2">
        <f>IFERROR(__xludf.DUMMYFUNCTION("IFERROR(ABS(Q777-AVERAGE(FILTER(Q777:Q4845,AA777:AA4845=""Neighbor""))) / STDEV(FILTER(Q777:Q4845, AA777:AA4845 =""Neighbor"")), """")"),0.4600741323366864)</f>
        <v>0.4600741323</v>
      </c>
      <c r="AF777" s="2">
        <f>IFERROR(__xludf.DUMMYFUNCTION("IFERROR(ABS(R777-AVERAGE(FILTER(R777:R4845,AA777:AA4845=""Neighbor""))) / STDEV(FILTER(R777:R4845, AA777:AA4845 =""Neighbor"")), """")"),0.09078332597601989)</f>
        <v>0.09078332598</v>
      </c>
    </row>
    <row r="778">
      <c r="A778" s="2" t="s">
        <v>28</v>
      </c>
      <c r="B778" s="2" t="s">
        <v>2660</v>
      </c>
      <c r="C778" s="2" t="s">
        <v>3174</v>
      </c>
      <c r="D778" s="2" t="s">
        <v>3187</v>
      </c>
      <c r="E778" s="2" t="s">
        <v>3188</v>
      </c>
      <c r="F778" s="2">
        <v>157.0</v>
      </c>
      <c r="G778" s="2">
        <v>796.0</v>
      </c>
      <c r="H778" s="2" t="b">
        <v>1</v>
      </c>
      <c r="I778" s="2">
        <v>-1.0</v>
      </c>
      <c r="J778" s="2" t="b">
        <v>0</v>
      </c>
      <c r="K778" s="2" t="b">
        <v>0</v>
      </c>
      <c r="L778" s="2" t="b">
        <v>0</v>
      </c>
      <c r="M778" s="2" t="b">
        <v>0</v>
      </c>
      <c r="N778" s="2" t="s">
        <v>33</v>
      </c>
      <c r="O778" s="2">
        <v>71.0</v>
      </c>
      <c r="P778" s="2">
        <v>6.0</v>
      </c>
      <c r="Q778" s="2">
        <v>64.0</v>
      </c>
      <c r="R778" s="2">
        <v>0.0</v>
      </c>
      <c r="S778" s="3" t="s">
        <v>3189</v>
      </c>
      <c r="T778" s="2" t="s">
        <v>3190</v>
      </c>
      <c r="Y778" s="4" t="str">
        <f>IFERROR(__xludf.DUMMYFUNCTION("""COMPUTED_VALUE"""),"7.1513749")</f>
        <v>7.1513749</v>
      </c>
      <c r="Z778" s="4" t="str">
        <f>IFERROR(__xludf.DUMMYFUNCTION("""COMPUTED_VALUE"""),"2.8552169")</f>
        <v>2.8552169</v>
      </c>
      <c r="AA778" s="4" t="str">
        <f t="shared" si="1"/>
        <v>Not Neighbor</v>
      </c>
      <c r="AC778" s="4">
        <f>IFERROR(__xludf.DUMMYFUNCTION("IFERROR(ABS(O778-AVERAGE(FILTER(O778:O4846,AA778:AA4846=""Neighbor""))) / STDEV(FILTER(O778:O4846, AA778:AA4846 =""Neighbor"")), """")"),0.1446820294356005)</f>
        <v>0.1446820294</v>
      </c>
      <c r="AD778" s="4">
        <f>IFERROR(__xludf.DUMMYFUNCTION("IFERROR(ABS(P778-AVERAGE(FILTER(O778:P4846,AA778:AA4846=""Neighbor""))) / STDEV(FILTER(P778:P4846, AA778:AA4846 =""Neighbor"")), """")"),1.389065648322034)</f>
        <v>1.389065648</v>
      </c>
      <c r="AE778" s="2">
        <f>IFERROR(__xludf.DUMMYFUNCTION("IFERROR(ABS(Q778-AVERAGE(FILTER(Q778:Q4846,AA778:AA4846=""Neighbor""))) / STDEV(FILTER(Q778:Q4846, AA778:AA4846 =""Neighbor"")), """")"),1.6121447568253005)</f>
        <v>1.612144757</v>
      </c>
      <c r="AF778" s="2">
        <f>IFERROR(__xludf.DUMMYFUNCTION("IFERROR(ABS(R778-AVERAGE(FILTER(R778:R4846,AA778:AA4846=""Neighbor""))) / STDEV(FILTER(R778:R4846, AA778:AA4846 =""Neighbor"")), """")"),0.09081622190419855)</f>
        <v>0.0908162219</v>
      </c>
    </row>
    <row r="779">
      <c r="A779" s="2" t="s">
        <v>28</v>
      </c>
      <c r="B779" s="2" t="s">
        <v>2660</v>
      </c>
      <c r="C779" s="2" t="s">
        <v>3174</v>
      </c>
      <c r="D779" s="2" t="s">
        <v>3191</v>
      </c>
      <c r="E779" s="2" t="s">
        <v>3192</v>
      </c>
      <c r="F779" s="2">
        <v>230.0</v>
      </c>
      <c r="G779" s="2">
        <v>1247.0</v>
      </c>
      <c r="H779" s="2" t="b">
        <v>1</v>
      </c>
      <c r="I779" s="2">
        <v>-1.0</v>
      </c>
      <c r="J779" s="2" t="b">
        <v>0</v>
      </c>
      <c r="K779" s="2" t="b">
        <v>1</v>
      </c>
      <c r="L779" s="2" t="b">
        <v>0</v>
      </c>
      <c r="M779" s="2" t="b">
        <v>0</v>
      </c>
      <c r="N779" s="2" t="s">
        <v>33</v>
      </c>
      <c r="O779" s="2">
        <v>104.0</v>
      </c>
      <c r="P779" s="2">
        <v>8.0</v>
      </c>
      <c r="Q779" s="2">
        <v>65.0</v>
      </c>
      <c r="R779" s="2">
        <v>31.0</v>
      </c>
      <c r="S779" s="3" t="s">
        <v>3193</v>
      </c>
      <c r="T779" s="2" t="s">
        <v>3194</v>
      </c>
      <c r="Y779" s="4" t="str">
        <f>IFERROR(__xludf.DUMMYFUNCTION("""COMPUTED_VALUE"""),"7.1962974")</f>
        <v>7.1962974</v>
      </c>
      <c r="Z779" s="4" t="str">
        <f>IFERROR(__xludf.DUMMYFUNCTION("""COMPUTED_VALUE"""),"2.8332379")</f>
        <v>2.8332379</v>
      </c>
      <c r="AA779" s="4" t="str">
        <f t="shared" si="1"/>
        <v>Not Neighbor</v>
      </c>
      <c r="AC779" s="4">
        <f>IFERROR(__xludf.DUMMYFUNCTION("IFERROR(ABS(O779-AVERAGE(FILTER(O779:O4847,AA779:AA4847=""Neighbor""))) / STDEV(FILTER(O779:O4847, AA779:AA4847 =""Neighbor"")), """")"),0.910056806302282)</f>
        <v>0.9100568063</v>
      </c>
      <c r="AD779" s="4">
        <f>IFERROR(__xludf.DUMMYFUNCTION("IFERROR(ABS(P779-AVERAGE(FILTER(O779:P4847,AA779:AA4847=""Neighbor""))) / STDEV(FILTER(P779:P4847, AA779:AA4847 =""Neighbor"")), """")"),1.3083549679513526)</f>
        <v>1.308354968</v>
      </c>
      <c r="AE779" s="2">
        <f>IFERROR(__xludf.DUMMYFUNCTION("IFERROR(ABS(Q779-AVERAGE(FILTER(Q779:Q4847,AA779:AA4847=""Neighbor""))) / STDEV(FILTER(Q779:Q4847, AA779:AA4847 =""Neighbor"")), """")"),1.6532829785169432)</f>
        <v>1.653282979</v>
      </c>
      <c r="AF779" s="2">
        <f>IFERROR(__xludf.DUMMYFUNCTION("IFERROR(ABS(R779-AVERAGE(FILTER(R779:R4847,AA779:AA4847=""Neighbor""))) / STDEV(FILTER(R779:R4847, AA779:AA4847 =""Neighbor"")), """")"),5.51558922487505)</f>
        <v>5.515589225</v>
      </c>
    </row>
    <row r="780">
      <c r="A780" s="2" t="s">
        <v>28</v>
      </c>
      <c r="B780" s="2" t="s">
        <v>2660</v>
      </c>
      <c r="C780" s="2" t="s">
        <v>3174</v>
      </c>
      <c r="D780" s="2" t="s">
        <v>3195</v>
      </c>
      <c r="E780" s="2" t="s">
        <v>3196</v>
      </c>
      <c r="F780" s="2">
        <v>148.0</v>
      </c>
      <c r="G780" s="2">
        <v>1125.0</v>
      </c>
      <c r="H780" s="2" t="b">
        <v>1</v>
      </c>
      <c r="I780" s="2">
        <v>-1.0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s">
        <v>33</v>
      </c>
      <c r="O780" s="2">
        <v>77.0</v>
      </c>
      <c r="P780" s="2">
        <v>1.0</v>
      </c>
      <c r="Q780" s="2">
        <v>62.0</v>
      </c>
      <c r="R780" s="2">
        <v>1.0</v>
      </c>
      <c r="S780" s="3" t="s">
        <v>3197</v>
      </c>
      <c r="T780" s="2" t="s">
        <v>3198</v>
      </c>
      <c r="Y780" s="4" t="str">
        <f>IFERROR(__xludf.DUMMYFUNCTION("""COMPUTED_VALUE"""),"7.1464535")</f>
        <v>7.1464535</v>
      </c>
      <c r="Z780" s="4" t="str">
        <f>IFERROR(__xludf.DUMMYFUNCTION("""COMPUTED_VALUE"""),"2.8562963")</f>
        <v>2.8562963</v>
      </c>
      <c r="AA780" s="4" t="str">
        <f t="shared" si="1"/>
        <v>Not Neighbor</v>
      </c>
      <c r="AC780" s="4">
        <f>IFERROR(__xludf.DUMMYFUNCTION("IFERROR(ABS(O780-AVERAGE(FILTER(O780:O4848,AA780:AA4848=""Neighbor""))) / STDEV(FILTER(O780:O4848, AA780:AA4848 =""Neighbor"")), """")"),0.2838410797749971)</f>
        <v>0.2838410798</v>
      </c>
      <c r="AD780" s="4">
        <f>IFERROR(__xludf.DUMMYFUNCTION("IFERROR(ABS(P780-AVERAGE(FILTER(O780:P4848,AA780:AA4848=""Neighbor""))) / STDEV(FILTER(P780:P4848, AA780:AA4848 =""Neighbor"")), """")"),1.5908423492487378)</f>
        <v>1.590842349</v>
      </c>
      <c r="AE780" s="2">
        <f>IFERROR(__xludf.DUMMYFUNCTION("IFERROR(ABS(Q780-AVERAGE(FILTER(Q780:Q4848,AA780:AA4848=""Neighbor""))) / STDEV(FILTER(Q780:Q4848, AA780:AA4848 =""Neighbor"")), """")"),1.5298683134420148)</f>
        <v>1.529868313</v>
      </c>
      <c r="AF780" s="2">
        <f>IFERROR(__xludf.DUMMYFUNCTION("IFERROR(ABS(R780-AVERAGE(FILTER(R780:R4848,AA780:AA4848=""Neighbor""))) / STDEV(FILTER(R780:R4848, AA780:AA4848 =""Neighbor"")), """")"),0.09003556670158368)</f>
        <v>0.0900355667</v>
      </c>
    </row>
    <row r="781">
      <c r="A781" s="2" t="s">
        <v>28</v>
      </c>
      <c r="B781" s="2" t="s">
        <v>2660</v>
      </c>
      <c r="C781" s="2" t="s">
        <v>3174</v>
      </c>
      <c r="D781" s="2" t="s">
        <v>3199</v>
      </c>
      <c r="E781" s="2" t="s">
        <v>3200</v>
      </c>
      <c r="F781" s="2">
        <v>179.0</v>
      </c>
      <c r="G781" s="2">
        <v>894.0</v>
      </c>
      <c r="H781" s="2" t="b">
        <v>1</v>
      </c>
      <c r="I781" s="2">
        <v>-1.0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s">
        <v>33</v>
      </c>
      <c r="O781" s="2">
        <v>135.0</v>
      </c>
      <c r="P781" s="2">
        <v>1.0</v>
      </c>
      <c r="Q781" s="2">
        <v>27.0</v>
      </c>
      <c r="R781" s="2">
        <v>3.0</v>
      </c>
      <c r="S781" s="3" t="s">
        <v>3201</v>
      </c>
      <c r="T781" s="2" t="s">
        <v>3202</v>
      </c>
      <c r="Y781" s="4" t="str">
        <f>IFERROR(__xludf.DUMMYFUNCTION("""COMPUTED_VALUE"""),"7.2609636")</f>
        <v>7.2609636</v>
      </c>
      <c r="Z781" s="4" t="str">
        <f>IFERROR(__xludf.DUMMYFUNCTION("""COMPUTED_VALUE"""),"2.7642914")</f>
        <v>2.7642914</v>
      </c>
      <c r="AA781" s="4" t="str">
        <f t="shared" si="1"/>
        <v>Not Neighbor</v>
      </c>
      <c r="AC781" s="4">
        <f>IFERROR(__xludf.DUMMYFUNCTION("IFERROR(ABS(O781-AVERAGE(FILTER(O781:O4849,AA781:AA4849=""Neighbor""))) / STDEV(FILTER(O781:O4849, AA781:AA4849 =""Neighbor"")), """")"),1.6290452330558314)</f>
        <v>1.629045233</v>
      </c>
      <c r="AD781" s="4">
        <f>IFERROR(__xludf.DUMMYFUNCTION("IFERROR(ABS(P781-AVERAGE(FILTER(O781:P4849,AA781:AA4849=""Neighbor""))) / STDEV(FILTER(P781:P4849, AA781:AA4849 =""Neighbor"")), """")"),1.5908423492487378)</f>
        <v>1.590842349</v>
      </c>
      <c r="AE781" s="2">
        <f>IFERROR(__xludf.DUMMYFUNCTION("IFERROR(ABS(Q781-AVERAGE(FILTER(Q781:Q4849,AA781:AA4849=""Neighbor""))) / STDEV(FILTER(Q781:Q4849, AA781:AA4849 =""Neighbor"")), """")"),0.09003055423451616)</f>
        <v>0.09003055423</v>
      </c>
      <c r="AF781" s="2">
        <f>IFERROR(__xludf.DUMMYFUNCTION("IFERROR(ABS(R781-AVERAGE(FILTER(R781:R4849,AA781:AA4849=""Neighbor""))) / STDEV(FILTER(R781:R4849, AA781:AA4849 =""Neighbor"")), """")"),0.4517391439131481)</f>
        <v>0.4517391439</v>
      </c>
    </row>
    <row r="782">
      <c r="A782" s="2" t="s">
        <v>28</v>
      </c>
      <c r="B782" s="2" t="s">
        <v>2660</v>
      </c>
      <c r="C782" s="2" t="s">
        <v>3174</v>
      </c>
      <c r="D782" s="2" t="s">
        <v>3203</v>
      </c>
      <c r="E782" s="2" t="s">
        <v>3204</v>
      </c>
      <c r="F782" s="2">
        <v>58.0</v>
      </c>
      <c r="G782" s="2">
        <v>384.0</v>
      </c>
      <c r="H782" s="2" t="b">
        <v>1</v>
      </c>
      <c r="I782" s="2">
        <v>-1.0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s">
        <v>33</v>
      </c>
      <c r="O782" s="2">
        <v>13.0</v>
      </c>
      <c r="P782" s="2">
        <v>1.0</v>
      </c>
      <c r="Q782" s="2">
        <v>37.0</v>
      </c>
      <c r="R782" s="2">
        <v>0.0</v>
      </c>
      <c r="S782" s="3" t="s">
        <v>3205</v>
      </c>
      <c r="T782" s="2" t="s">
        <v>3206</v>
      </c>
      <c r="Y782" s="4" t="str">
        <f>IFERROR(__xludf.DUMMYFUNCTION("""COMPUTED_VALUE"""),"7.2390599")</f>
        <v>7.2390599</v>
      </c>
      <c r="Z782" s="4" t="str">
        <f>IFERROR(__xludf.DUMMYFUNCTION("""COMPUTED_VALUE"""),"3.0325855")</f>
        <v>3.0325855</v>
      </c>
      <c r="AA782" s="4" t="str">
        <f t="shared" si="1"/>
        <v>Not Neighbor</v>
      </c>
      <c r="AC782" s="4">
        <f>IFERROR(__xludf.DUMMYFUNCTION("IFERROR(ABS(O782-AVERAGE(FILTER(O782:O4850,AA782:AA4850=""Neighbor""))) / STDEV(FILTER(O782:O4850, AA782:AA4850 =""Neighbor"")), """")"),1.2005221238452337)</f>
        <v>1.200522124</v>
      </c>
      <c r="AD782" s="4">
        <f>IFERROR(__xludf.DUMMYFUNCTION("IFERROR(ABS(P782-AVERAGE(FILTER(O782:P4850,AA782:AA4850=""Neighbor""))) / STDEV(FILTER(P782:P4850, AA782:AA4850 =""Neighbor"")), """")"),1.5908423492487378)</f>
        <v>1.590842349</v>
      </c>
      <c r="AE782" s="2">
        <f>IFERROR(__xludf.DUMMYFUNCTION("IFERROR(ABS(Q782-AVERAGE(FILTER(Q782:Q4850,AA782:AA4850=""Neighbor""))) / STDEV(FILTER(Q782:Q4850, AA782:AA4850 =""Neighbor"")), """")"),0.5014127711509443)</f>
        <v>0.5014127712</v>
      </c>
      <c r="AF782" s="2">
        <f>IFERROR(__xludf.DUMMYFUNCTION("IFERROR(ABS(R782-AVERAGE(FILTER(R782:R4850,AA782:AA4850=""Neighbor""))) / STDEV(FILTER(R782:R4850, AA782:AA4850 =""Neighbor"")), """")"),0.09081622190419855)</f>
        <v>0.0908162219</v>
      </c>
    </row>
    <row r="783">
      <c r="A783" s="2" t="s">
        <v>28</v>
      </c>
      <c r="B783" s="2" t="s">
        <v>2660</v>
      </c>
      <c r="C783" s="2" t="s">
        <v>3174</v>
      </c>
      <c r="D783" s="2" t="s">
        <v>3207</v>
      </c>
      <c r="E783" s="2" t="s">
        <v>3208</v>
      </c>
      <c r="F783" s="2">
        <v>226.0</v>
      </c>
      <c r="G783" s="2">
        <v>772.0</v>
      </c>
      <c r="H783" s="2" t="b">
        <v>1</v>
      </c>
      <c r="I783" s="2">
        <v>-1.0</v>
      </c>
      <c r="J783" s="2" t="b">
        <v>0</v>
      </c>
      <c r="K783" s="2" t="b">
        <v>0</v>
      </c>
      <c r="L783" s="2" t="b">
        <v>0</v>
      </c>
      <c r="M783" s="2" t="b">
        <v>0</v>
      </c>
      <c r="N783" s="2" t="s">
        <v>33</v>
      </c>
      <c r="O783" s="2">
        <v>0.0</v>
      </c>
      <c r="P783" s="2">
        <v>0.0</v>
      </c>
      <c r="Q783" s="2">
        <v>0.0</v>
      </c>
      <c r="R783" s="2">
        <v>0.0</v>
      </c>
      <c r="S783" s="3" t="s">
        <v>3209</v>
      </c>
      <c r="T783" s="2" t="s">
        <v>3210</v>
      </c>
      <c r="Y783" s="4" t="str">
        <f>IFERROR(__xludf.DUMMYFUNCTION("""COMPUTED_VALUE"""),"7.1459953")</f>
        <v>7.1459953</v>
      </c>
      <c r="Z783" s="4" t="str">
        <f>IFERROR(__xludf.DUMMYFUNCTION("""COMPUTED_VALUE"""),"2.8552169")</f>
        <v>2.8552169</v>
      </c>
      <c r="AA783" s="4" t="str">
        <f t="shared" si="1"/>
        <v>Neighbor</v>
      </c>
      <c r="AC783" s="4">
        <f>IFERROR(__xludf.DUMMYFUNCTION("IFERROR(ABS(O783-AVERAGE(FILTER(O783:O4851,AA783:AA4851=""Neighbor""))) / STDEV(FILTER(O783:O4851, AA783:AA4851 =""Neighbor"")), """")"),1.502033399580593)</f>
        <v>1.5020334</v>
      </c>
      <c r="AD783" s="4">
        <f>IFERROR(__xludf.DUMMYFUNCTION("IFERROR(ABS(P783-AVERAGE(FILTER(O783:P4851,AA783:AA4851=""Neighbor""))) / STDEV(FILTER(P783:P4851, AA783:AA4851 =""Neighbor"")), """")"),1.6311976894340785)</f>
        <v>1.631197689</v>
      </c>
      <c r="AE783" s="2">
        <f>IFERROR(__xludf.DUMMYFUNCTION("IFERROR(ABS(Q783-AVERAGE(FILTER(Q783:Q4851,AA783:AA4851=""Neighbor""))) / STDEV(FILTER(Q783:Q4851, AA783:AA4851 =""Neighbor"")), """")"),1.02070143143984)</f>
        <v>1.020701431</v>
      </c>
      <c r="AF783" s="2">
        <f>IFERROR(__xludf.DUMMYFUNCTION("IFERROR(ABS(R783-AVERAGE(FILTER(R783:R4851,AA783:AA4851=""Neighbor""))) / STDEV(FILTER(R783:R4851, AA783:AA4851 =""Neighbor"")), """")"),0.09081622190419855)</f>
        <v>0.0908162219</v>
      </c>
    </row>
    <row r="784">
      <c r="A784" s="2" t="s">
        <v>28</v>
      </c>
      <c r="B784" s="2" t="s">
        <v>2660</v>
      </c>
      <c r="C784" s="2" t="s">
        <v>3174</v>
      </c>
      <c r="D784" s="2" t="s">
        <v>3211</v>
      </c>
      <c r="E784" s="2" t="s">
        <v>3212</v>
      </c>
      <c r="F784" s="2">
        <v>102.0</v>
      </c>
      <c r="G784" s="2">
        <v>537.0</v>
      </c>
      <c r="H784" s="2" t="b">
        <v>1</v>
      </c>
      <c r="I784" s="2">
        <v>-1.0</v>
      </c>
      <c r="J784" s="2" t="b">
        <v>0</v>
      </c>
      <c r="K784" s="2" t="b">
        <v>1</v>
      </c>
      <c r="L784" s="2" t="b">
        <v>0</v>
      </c>
      <c r="M784" s="2" t="b">
        <v>0</v>
      </c>
      <c r="N784" s="2" t="s">
        <v>33</v>
      </c>
      <c r="O784" s="2">
        <v>46.0</v>
      </c>
      <c r="P784" s="2">
        <v>1.0</v>
      </c>
      <c r="Q784" s="2">
        <v>47.0</v>
      </c>
      <c r="R784" s="2">
        <v>0.0</v>
      </c>
      <c r="S784" s="3" t="s">
        <v>3213</v>
      </c>
      <c r="T784" s="2" t="s">
        <v>3214</v>
      </c>
      <c r="Y784" s="4" t="str">
        <f>IFERROR(__xludf.DUMMYFUNCTION("""COMPUTED_VALUE"""),"7.1464535")</f>
        <v>7.1464535</v>
      </c>
      <c r="Z784" s="4" t="str">
        <f>IFERROR(__xludf.DUMMYFUNCTION("""COMPUTED_VALUE"""),"2.8562963")</f>
        <v>2.8562963</v>
      </c>
      <c r="AA784" s="4" t="str">
        <f t="shared" si="1"/>
        <v>Not Neighbor</v>
      </c>
      <c r="AC784" s="4">
        <f>IFERROR(__xludf.DUMMYFUNCTION("IFERROR(ABS(O784-AVERAGE(FILTER(O784:O4852,AA784:AA4852=""Neighbor""))) / STDEV(FILTER(O784:O4852, AA784:AA4852 =""Neighbor"")), """")"),0.4364265020723474)</f>
        <v>0.4364265021</v>
      </c>
      <c r="AD784" s="4">
        <f>IFERROR(__xludf.DUMMYFUNCTION("IFERROR(ABS(P784-AVERAGE(FILTER(O784:P4852,AA784:AA4852=""Neighbor""))) / STDEV(FILTER(P784:P4852, AA784:AA4852 =""Neighbor"")), """")"),1.5916849895665073)</f>
        <v>1.59168499</v>
      </c>
      <c r="AE784" s="2">
        <f>IFERROR(__xludf.DUMMYFUNCTION("IFERROR(ABS(Q784-AVERAGE(FILTER(Q784:Q4852,AA784:AA4852=""Neighbor""))) / STDEV(FILTER(Q784:Q4852, AA784:AA4852 =""Neighbor"")), """")"),0.9120741323704968)</f>
        <v>0.9120741324</v>
      </c>
      <c r="AF784" s="2">
        <f>IFERROR(__xludf.DUMMYFUNCTION("IFERROR(ABS(R784-AVERAGE(FILTER(R784:R4852,AA784:AA4852=""Neighbor""))) / STDEV(FILTER(R784:R4852, AA784:AA4852 =""Neighbor"")), """")"),0.09084915361872797)</f>
        <v>0.09084915362</v>
      </c>
    </row>
    <row r="785">
      <c r="A785" s="2" t="s">
        <v>28</v>
      </c>
      <c r="B785" s="2" t="s">
        <v>2660</v>
      </c>
      <c r="C785" s="2" t="s">
        <v>3174</v>
      </c>
      <c r="D785" s="2" t="s">
        <v>3215</v>
      </c>
      <c r="E785" s="2" t="s">
        <v>3216</v>
      </c>
      <c r="F785" s="2">
        <v>67.0</v>
      </c>
      <c r="G785" s="2">
        <v>381.0</v>
      </c>
      <c r="H785" s="2" t="b">
        <v>1</v>
      </c>
      <c r="I785" s="2">
        <v>-1.0</v>
      </c>
      <c r="J785" s="2" t="b">
        <v>0</v>
      </c>
      <c r="K785" s="2" t="b">
        <v>1</v>
      </c>
      <c r="L785" s="2" t="b">
        <v>0</v>
      </c>
      <c r="M785" s="2" t="b">
        <v>0</v>
      </c>
      <c r="N785" s="2" t="s">
        <v>33</v>
      </c>
      <c r="O785" s="2">
        <v>37.0</v>
      </c>
      <c r="P785" s="2">
        <v>2.0</v>
      </c>
      <c r="Q785" s="2">
        <v>21.0</v>
      </c>
      <c r="R785" s="2">
        <v>0.0</v>
      </c>
      <c r="S785" s="3" t="s">
        <v>3217</v>
      </c>
      <c r="T785" s="2" t="s">
        <v>3218</v>
      </c>
      <c r="Y785" s="4" t="str">
        <f>IFERROR(__xludf.DUMMYFUNCTION("""COMPUTED_VALUE"""),"7.1701914")</f>
        <v>7.1701914</v>
      </c>
      <c r="Z785" s="4" t="str">
        <f>IFERROR(__xludf.DUMMYFUNCTION("""COMPUTED_VALUE"""),"2.8577105")</f>
        <v>2.8577105</v>
      </c>
      <c r="AA785" s="4" t="str">
        <f t="shared" si="1"/>
        <v>Not Neighbor</v>
      </c>
      <c r="AC785" s="4">
        <f>IFERROR(__xludf.DUMMYFUNCTION("IFERROR(ABS(O785-AVERAGE(FILTER(O785:O4853,AA785:AA4853=""Neighbor""))) / STDEV(FILTER(O785:O4853, AA785:AA4853 =""Neighbor"")), """")"),0.6452597155615881)</f>
        <v>0.6452597156</v>
      </c>
      <c r="AD785" s="4">
        <f>IFERROR(__xludf.DUMMYFUNCTION("IFERROR(ABS(P785-AVERAGE(FILTER(O785:P4853,AA785:AA4853=""Neighbor""))) / STDEV(FILTER(P785:P4853, AA785:AA4853 =""Neighbor"")), """")"),1.551338058211885)</f>
        <v>1.551338058</v>
      </c>
      <c r="AE785" s="2">
        <f>IFERROR(__xludf.DUMMYFUNCTION("IFERROR(ABS(Q785-AVERAGE(FILTER(Q785:Q4853,AA785:AA4853=""Neighbor""))) / STDEV(FILTER(Q785:Q4853, AA785:AA4853 =""Neighbor"")), """")"),0.15753603864519158)</f>
        <v>0.1575360386</v>
      </c>
      <c r="AF785" s="2">
        <f>IFERROR(__xludf.DUMMYFUNCTION("IFERROR(ABS(R785-AVERAGE(FILTER(R785:R4853,AA785:AA4853=""Neighbor""))) / STDEV(FILTER(R785:R4853, AA785:AA4853 =""Neighbor"")), """")"),0.09084915361872797)</f>
        <v>0.09084915362</v>
      </c>
    </row>
    <row r="786">
      <c r="A786" s="2" t="s">
        <v>28</v>
      </c>
      <c r="B786" s="2" t="s">
        <v>2660</v>
      </c>
      <c r="C786" s="2" t="s">
        <v>3174</v>
      </c>
      <c r="D786" s="2" t="s">
        <v>3219</v>
      </c>
      <c r="E786" s="2" t="s">
        <v>3220</v>
      </c>
      <c r="F786" s="2">
        <v>102.0</v>
      </c>
      <c r="G786" s="2">
        <v>318.0</v>
      </c>
      <c r="H786" s="2" t="b">
        <v>1</v>
      </c>
      <c r="I786" s="2">
        <v>-1.0</v>
      </c>
      <c r="J786" s="2" t="b">
        <v>0</v>
      </c>
      <c r="K786" s="2" t="b">
        <v>1</v>
      </c>
      <c r="L786" s="2" t="b">
        <v>0</v>
      </c>
      <c r="M786" s="2" t="b">
        <v>0</v>
      </c>
      <c r="N786" s="2" t="s">
        <v>33</v>
      </c>
      <c r="O786" s="2">
        <v>43.0</v>
      </c>
      <c r="P786" s="2">
        <v>1.0</v>
      </c>
      <c r="Q786" s="2">
        <v>57.0</v>
      </c>
      <c r="R786" s="2">
        <v>0.0</v>
      </c>
      <c r="S786" s="3" t="s">
        <v>3221</v>
      </c>
      <c r="T786" s="2" t="s">
        <v>3222</v>
      </c>
      <c r="Y786" s="4" t="str">
        <f>IFERROR(__xludf.DUMMYFUNCTION("""COMPUTED_VALUE"""),"7.1459953")</f>
        <v>7.1459953</v>
      </c>
      <c r="Z786" s="4" t="str">
        <f>IFERROR(__xludf.DUMMYFUNCTION("""COMPUTED_VALUE"""),"2.8552169")</f>
        <v>2.8552169</v>
      </c>
      <c r="AA786" s="4" t="str">
        <f t="shared" si="1"/>
        <v>Neighbor</v>
      </c>
      <c r="AC786" s="4">
        <f>IFERROR(__xludf.DUMMYFUNCTION("IFERROR(ABS(O786-AVERAGE(FILTER(O786:O4854,AA786:AA4854=""Neighbor""))) / STDEV(FILTER(O786:O4854, AA786:AA4854 =""Neighbor"")), """")"),0.5060375732354276)</f>
        <v>0.5060375732</v>
      </c>
      <c r="AD786" s="4">
        <f>IFERROR(__xludf.DUMMYFUNCTION("IFERROR(ABS(P786-AVERAGE(FILTER(O786:P4854,AA786:AA4854=""Neighbor""))) / STDEV(FILTER(P786:P4854, AA786:AA4854 =""Neighbor"")), """")"),1.5916849895665073)</f>
        <v>1.59168499</v>
      </c>
      <c r="AE786" s="2">
        <f>IFERROR(__xludf.DUMMYFUNCTION("IFERROR(ABS(Q786-AVERAGE(FILTER(Q786:Q4854,AA786:AA4854=""Neighbor""))) / STDEV(FILTER(Q786:Q4854, AA786:AA4854 =""Neighbor"")), """")"),1.323462659684223)</f>
        <v>1.32346266</v>
      </c>
      <c r="AF786" s="2">
        <f>IFERROR(__xludf.DUMMYFUNCTION("IFERROR(ABS(R786-AVERAGE(FILTER(R786:R4854,AA786:AA4854=""Neighbor""))) / STDEV(FILTER(R786:R4854, AA786:AA4854 =""Neighbor"")), """")"),0.09084915361872797)</f>
        <v>0.09084915362</v>
      </c>
    </row>
    <row r="787">
      <c r="A787" s="2" t="s">
        <v>28</v>
      </c>
      <c r="B787" s="2" t="s">
        <v>2660</v>
      </c>
      <c r="C787" s="2" t="s">
        <v>3174</v>
      </c>
      <c r="D787" s="2" t="s">
        <v>3223</v>
      </c>
      <c r="E787" s="2" t="s">
        <v>3224</v>
      </c>
      <c r="F787" s="2">
        <v>150.0</v>
      </c>
      <c r="G787" s="2">
        <v>567.0</v>
      </c>
      <c r="H787" s="2" t="b">
        <v>1</v>
      </c>
      <c r="I787" s="2">
        <v>-1.0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s">
        <v>33</v>
      </c>
      <c r="O787" s="2">
        <v>69.0</v>
      </c>
      <c r="P787" s="2">
        <v>2.0</v>
      </c>
      <c r="Q787" s="2">
        <v>66.0</v>
      </c>
      <c r="R787" s="2">
        <v>1.0</v>
      </c>
      <c r="S787" s="3" t="s">
        <v>3225</v>
      </c>
      <c r="T787" s="2" t="s">
        <v>3226</v>
      </c>
      <c r="Y787" s="4" t="str">
        <f>IFERROR(__xludf.DUMMYFUNCTION("""COMPUTED_VALUE"""),"7.1459953")</f>
        <v>7.1459953</v>
      </c>
      <c r="Z787" s="4" t="str">
        <f>IFERROR(__xludf.DUMMYFUNCTION("""COMPUTED_VALUE"""),"2.8552169")</f>
        <v>2.8552169</v>
      </c>
      <c r="AA787" s="4" t="str">
        <f t="shared" si="1"/>
        <v>Neighbor</v>
      </c>
      <c r="AC787" s="4">
        <f>IFERROR(__xludf.DUMMYFUNCTION("IFERROR(ABS(O787-AVERAGE(FILTER(O787:O4855,AA787:AA4855=""Neighbor""))) / STDEV(FILTER(O787:O4855, AA787:AA4855 =""Neighbor"")), """")"),0.09686782855593215)</f>
        <v>0.09686782856</v>
      </c>
      <c r="AD787" s="4">
        <f>IFERROR(__xludf.DUMMYFUNCTION("IFERROR(ABS(P787-AVERAGE(FILTER(O787:P4855,AA787:AA4855=""Neighbor""))) / STDEV(FILTER(P787:P4855, AA787:AA4855 =""Neighbor"")), """")"),1.5515226136328117)</f>
        <v>1.551522614</v>
      </c>
      <c r="AE787" s="2">
        <f>IFERROR(__xludf.DUMMYFUNCTION("IFERROR(ABS(Q787-AVERAGE(FILTER(Q787:Q4855,AA787:AA4855=""Neighbor""))) / STDEV(FILTER(Q787:Q4855, AA787:AA4855 =""Neighbor"")), """")"),1.6951259277472175)</f>
        <v>1.695125928</v>
      </c>
      <c r="AF787" s="2">
        <f>IFERROR(__xludf.DUMMYFUNCTION("IFERROR(ABS(R787-AVERAGE(FILTER(R787:R4855,AA787:AA4855=""Neighbor""))) / STDEV(FILTER(R787:R4855, AA787:AA4855 =""Neighbor"")), """")"),0.08984049228844253)</f>
        <v>0.08984049229</v>
      </c>
    </row>
    <row r="788">
      <c r="A788" s="2" t="s">
        <v>28</v>
      </c>
      <c r="B788" s="2" t="s">
        <v>2660</v>
      </c>
      <c r="C788" s="2" t="s">
        <v>3174</v>
      </c>
      <c r="D788" s="2" t="s">
        <v>3227</v>
      </c>
      <c r="E788" s="2" t="s">
        <v>3228</v>
      </c>
      <c r="F788" s="2">
        <v>92.0</v>
      </c>
      <c r="G788" s="2">
        <v>316.0</v>
      </c>
      <c r="H788" s="2" t="b">
        <v>1</v>
      </c>
      <c r="I788" s="2">
        <v>-1.0</v>
      </c>
      <c r="J788" s="2" t="b">
        <v>0</v>
      </c>
      <c r="K788" s="2" t="b">
        <v>0</v>
      </c>
      <c r="L788" s="2" t="b">
        <v>0</v>
      </c>
      <c r="M788" s="2" t="b">
        <v>0</v>
      </c>
      <c r="N788" s="2" t="s">
        <v>33</v>
      </c>
      <c r="O788" s="2">
        <v>30.0</v>
      </c>
      <c r="P788" s="2">
        <v>0.0</v>
      </c>
      <c r="Q788" s="2">
        <v>47.0</v>
      </c>
      <c r="R788" s="2">
        <v>0.0</v>
      </c>
      <c r="S788" s="3" t="s">
        <v>3229</v>
      </c>
      <c r="T788" s="2" t="s">
        <v>3230</v>
      </c>
      <c r="Y788" s="4" t="str">
        <f>IFERROR(__xludf.DUMMYFUNCTION("""COMPUTED_VALUE"""),"7.1459953")</f>
        <v>7.1459953</v>
      </c>
      <c r="Z788" s="4" t="str">
        <f>IFERROR(__xludf.DUMMYFUNCTION("""COMPUTED_VALUE"""),"2.8552169")</f>
        <v>2.8552169</v>
      </c>
      <c r="AA788" s="4" t="str">
        <f t="shared" si="1"/>
        <v>Neighbor</v>
      </c>
      <c r="AC788" s="4">
        <f>IFERROR(__xludf.DUMMYFUNCTION("IFERROR(ABS(O788-AVERAGE(FILTER(O788:O4856,AA788:AA4856=""Neighbor""))) / STDEV(FILTER(O788:O4856, AA788:AA4856 =""Neighbor"")), """")"),0.8074752182311853)</f>
        <v>0.8074752182</v>
      </c>
      <c r="AD788" s="4">
        <f>IFERROR(__xludf.DUMMYFUNCTION("IFERROR(ABS(P788-AVERAGE(FILTER(O788:P4856,AA788:AA4856=""Neighbor""))) / STDEV(FILTER(P788:P4856, AA788:AA4856 =""Neighbor"")), """")"),1.631944501838655)</f>
        <v>1.631944502</v>
      </c>
      <c r="AE788" s="2">
        <f>IFERROR(__xludf.DUMMYFUNCTION("IFERROR(ABS(Q788-AVERAGE(FILTER(Q788:Q4856,AA788:AA4856=""Neighbor""))) / STDEV(FILTER(Q788:Q4856, AA788:AA4856 =""Neighbor"")), """")"),0.9151170432194883)</f>
        <v>0.9151170432</v>
      </c>
      <c r="AF788" s="2">
        <f>IFERROR(__xludf.DUMMYFUNCTION("IFERROR(ABS(R788-AVERAGE(FILTER(R788:R4856,AA788:AA4856=""Neighbor""))) / STDEV(FILTER(R788:R4856, AA788:AA4856 =""Neighbor"")), """")"),0.09078486760658157)</f>
        <v>0.09078486761</v>
      </c>
    </row>
    <row r="789">
      <c r="A789" s="2" t="s">
        <v>28</v>
      </c>
      <c r="B789" s="2" t="s">
        <v>2660</v>
      </c>
      <c r="C789" s="2" t="s">
        <v>3174</v>
      </c>
      <c r="D789" s="2" t="s">
        <v>3231</v>
      </c>
      <c r="E789" s="2" t="s">
        <v>3232</v>
      </c>
      <c r="F789" s="2">
        <v>224.0</v>
      </c>
      <c r="G789" s="2">
        <v>1471.0</v>
      </c>
      <c r="H789" s="2" t="b">
        <v>1</v>
      </c>
      <c r="I789" s="2">
        <v>-1.0</v>
      </c>
      <c r="J789" s="2" t="b">
        <v>0</v>
      </c>
      <c r="K789" s="2" t="b">
        <v>1</v>
      </c>
      <c r="L789" s="2" t="b">
        <v>0</v>
      </c>
      <c r="M789" s="2" t="b">
        <v>0</v>
      </c>
      <c r="N789" s="2" t="s">
        <v>33</v>
      </c>
      <c r="O789" s="2">
        <v>128.0</v>
      </c>
      <c r="P789" s="2">
        <v>14.0</v>
      </c>
      <c r="Q789" s="2">
        <v>50.0</v>
      </c>
      <c r="R789" s="2">
        <v>11.0</v>
      </c>
      <c r="S789" s="3" t="s">
        <v>3233</v>
      </c>
      <c r="T789" s="2" t="s">
        <v>3234</v>
      </c>
      <c r="Y789" s="4" t="str">
        <f>IFERROR(__xludf.DUMMYFUNCTION("""COMPUTED_VALUE"""),"7.1464535")</f>
        <v>7.1464535</v>
      </c>
      <c r="Z789" s="4" t="str">
        <f>IFERROR(__xludf.DUMMYFUNCTION("""COMPUTED_VALUE"""),"2.8562963")</f>
        <v>2.8562963</v>
      </c>
      <c r="AA789" s="4" t="str">
        <f t="shared" si="1"/>
        <v>Neighbor</v>
      </c>
      <c r="AC789" s="4">
        <f>IFERROR(__xludf.DUMMYFUNCTION("IFERROR(ABS(O789-AVERAGE(FILTER(O789:O4857,AA789:AA4857=""Neighbor""))) / STDEV(FILTER(O789:O4857, AA789:AA4857 =""Neighbor"")), """")"),1.4642987453801357)</f>
        <v>1.464298745</v>
      </c>
      <c r="AD789" s="4">
        <f>IFERROR(__xludf.DUMMYFUNCTION("IFERROR(ABS(P789-AVERAGE(FILTER(O789:P4857,AA789:AA4857=""Neighbor""))) / STDEV(FILTER(P789:P4857, AA789:AA4857 =""Neighbor"")), """")"),1.0678715967252659)</f>
        <v>1.067871597</v>
      </c>
      <c r="AE789" s="2">
        <f>IFERROR(__xludf.DUMMYFUNCTION("IFERROR(ABS(Q789-AVERAGE(FILTER(Q789:Q4857,AA789:AA4857=""Neighbor""))) / STDEV(FILTER(Q789:Q4857, AA789:AA4857 =""Neighbor"")), """")"),1.0392502152415675)</f>
        <v>1.039250215</v>
      </c>
      <c r="AF789" s="2">
        <f>IFERROR(__xludf.DUMMYFUNCTION("IFERROR(ABS(R789-AVERAGE(FILTER(R789:R4857,AA789:AA4857=""Neighbor""))) / STDEV(FILTER(R789:R4857, AA789:AA4857 =""Neighbor"")), """")"),1.8957087948004225)</f>
        <v>1.895708795</v>
      </c>
    </row>
    <row r="790">
      <c r="A790" s="2" t="s">
        <v>28</v>
      </c>
      <c r="B790" s="2" t="s">
        <v>2660</v>
      </c>
      <c r="C790" s="2" t="s">
        <v>3174</v>
      </c>
      <c r="D790" s="2" t="s">
        <v>3235</v>
      </c>
      <c r="E790" s="2" t="s">
        <v>3236</v>
      </c>
      <c r="F790" s="2">
        <v>61.0</v>
      </c>
      <c r="G790" s="2">
        <v>430.0</v>
      </c>
      <c r="H790" s="2" t="b">
        <v>1</v>
      </c>
      <c r="I790" s="2">
        <v>-1.0</v>
      </c>
      <c r="J790" s="2" t="b">
        <v>0</v>
      </c>
      <c r="K790" s="2" t="b">
        <v>0</v>
      </c>
      <c r="L790" s="2" t="b">
        <v>0</v>
      </c>
      <c r="M790" s="2" t="b">
        <v>0</v>
      </c>
      <c r="N790" s="2" t="s">
        <v>33</v>
      </c>
      <c r="O790" s="2">
        <v>41.0</v>
      </c>
      <c r="P790" s="2">
        <v>1.0</v>
      </c>
      <c r="Q790" s="2">
        <v>18.0</v>
      </c>
      <c r="R790" s="2">
        <v>0.0</v>
      </c>
      <c r="S790" s="3" t="s">
        <v>3237</v>
      </c>
      <c r="T790" s="2" t="s">
        <v>3238</v>
      </c>
      <c r="Y790" s="4" t="str">
        <f>IFERROR(__xludf.DUMMYFUNCTION("""COMPUTED_VALUE"""),"7.1459953")</f>
        <v>7.1459953</v>
      </c>
      <c r="Z790" s="4" t="str">
        <f>IFERROR(__xludf.DUMMYFUNCTION("""COMPUTED_VALUE"""),"2.8552169")</f>
        <v>2.8552169</v>
      </c>
      <c r="AA790" s="4" t="str">
        <f t="shared" si="1"/>
        <v>Neighbor</v>
      </c>
      <c r="AC790" s="4">
        <f>IFERROR(__xludf.DUMMYFUNCTION("IFERROR(ABS(O790-AVERAGE(FILTER(O790:O4858,AA790:AA4858=""Neighbor""))) / STDEV(FILTER(O790:O4858, AA790:AA4858 =""Neighbor"")), """")"),0.552078708337009)</f>
        <v>0.5520787083</v>
      </c>
      <c r="AD790" s="4">
        <f>IFERROR(__xludf.DUMMYFUNCTION("IFERROR(ABS(P790-AVERAGE(FILTER(O790:P4858,AA790:AA4858=""Neighbor""))) / STDEV(FILTER(P790:P4858, AA790:AA4858 =""Neighbor"")), """")"),1.5905670464195867)</f>
        <v>1.590567046</v>
      </c>
      <c r="AE790" s="2">
        <f>IFERROR(__xludf.DUMMYFUNCTION("IFERROR(ABS(Q790-AVERAGE(FILTER(Q790:Q4858,AA790:AA4858=""Neighbor""))) / STDEV(FILTER(Q790:Q4858, AA790:AA4858 =""Neighbor"")), """")"),0.27762303340851113)</f>
        <v>0.2776230334</v>
      </c>
      <c r="AF790" s="2">
        <f>IFERROR(__xludf.DUMMYFUNCTION("IFERROR(ABS(R790-AVERAGE(FILTER(R790:R4858,AA790:AA4858=""Neighbor""))) / STDEV(FILTER(R790:R4858, AA790:AA4858 =""Neighbor"")), """")"),0.08953313514413479)</f>
        <v>0.08953313514</v>
      </c>
    </row>
    <row r="791">
      <c r="A791" s="2" t="s">
        <v>28</v>
      </c>
      <c r="B791" s="2" t="s">
        <v>2660</v>
      </c>
      <c r="C791" s="2" t="s">
        <v>3174</v>
      </c>
      <c r="D791" s="2" t="s">
        <v>3239</v>
      </c>
      <c r="E791" s="2" t="s">
        <v>3240</v>
      </c>
      <c r="F791" s="2">
        <v>114.0</v>
      </c>
      <c r="G791" s="2">
        <v>492.0</v>
      </c>
      <c r="H791" s="2" t="b">
        <v>1</v>
      </c>
      <c r="I791" s="2">
        <v>-1.0</v>
      </c>
      <c r="J791" s="2" t="b">
        <v>0</v>
      </c>
      <c r="K791" s="2" t="b">
        <v>0</v>
      </c>
      <c r="L791" s="2" t="b">
        <v>0</v>
      </c>
      <c r="M791" s="2" t="b">
        <v>0</v>
      </c>
      <c r="N791" s="2" t="s">
        <v>33</v>
      </c>
      <c r="O791" s="2">
        <v>43.0</v>
      </c>
      <c r="P791" s="2">
        <v>0.0</v>
      </c>
      <c r="Q791" s="2">
        <v>51.0</v>
      </c>
      <c r="R791" s="2">
        <v>6.0</v>
      </c>
      <c r="S791" s="3" t="s">
        <v>3241</v>
      </c>
      <c r="T791" s="2" t="s">
        <v>3242</v>
      </c>
      <c r="Y791" s="4" t="str">
        <f>IFERROR(__xludf.DUMMYFUNCTION("""COMPUTED_VALUE"""),"7.1459953")</f>
        <v>7.1459953</v>
      </c>
      <c r="Z791" s="4" t="str">
        <f>IFERROR(__xludf.DUMMYFUNCTION("""COMPUTED_VALUE"""),"2.8552169")</f>
        <v>2.8552169</v>
      </c>
      <c r="AA791" s="4" t="str">
        <f t="shared" si="1"/>
        <v>Not Neighbor</v>
      </c>
      <c r="AC791" s="4">
        <f>IFERROR(__xludf.DUMMYFUNCTION("IFERROR(ABS(O791-AVERAGE(FILTER(O791:O4859,AA791:AA4859=""Neighbor""))) / STDEV(FILTER(O791:O4859, AA791:AA4859 =""Neighbor"")), """")"),0.5059587358545443)</f>
        <v>0.5059587359</v>
      </c>
      <c r="AD791" s="4">
        <f>IFERROR(__xludf.DUMMYFUNCTION("IFERROR(ABS(P791-AVERAGE(FILTER(O791:P4859,AA791:AA4859=""Neighbor""))) / STDEV(FILTER(P791:P4859, AA791:AA4859 =""Neighbor"")), """")"),1.6310686286070248)</f>
        <v>1.631068629</v>
      </c>
      <c r="AE791" s="2">
        <f>IFERROR(__xludf.DUMMYFUNCTION("IFERROR(ABS(Q791-AVERAGE(FILTER(Q791:Q4859,AA791:AA4859=""Neighbor""))) / STDEV(FILTER(Q791:Q4859, AA791:AA4859 =""Neighbor"")), """")"),1.0806465408842483)</f>
        <v>1.080646541</v>
      </c>
      <c r="AF791" s="2">
        <f>IFERROR(__xludf.DUMMYFUNCTION("IFERROR(ABS(R791-AVERAGE(FILTER(R791:R4859,AA791:AA4859=""Neighbor""))) / STDEV(FILTER(R791:R4859, AA791:AA4859 =""Neighbor"")), """")"),0.9946233069123943)</f>
        <v>0.9946233069</v>
      </c>
    </row>
    <row r="792">
      <c r="A792" s="2" t="s">
        <v>28</v>
      </c>
      <c r="B792" s="2" t="s">
        <v>2660</v>
      </c>
      <c r="C792" s="2" t="s">
        <v>3174</v>
      </c>
      <c r="D792" s="2" t="s">
        <v>3243</v>
      </c>
      <c r="E792" s="2" t="s">
        <v>3244</v>
      </c>
      <c r="F792" s="2">
        <v>65.0</v>
      </c>
      <c r="G792" s="2">
        <v>136.0</v>
      </c>
      <c r="H792" s="2" t="b">
        <v>1</v>
      </c>
      <c r="I792" s="2">
        <v>-1.0</v>
      </c>
      <c r="J792" s="2" t="b">
        <v>0</v>
      </c>
      <c r="K792" s="2" t="b">
        <v>0</v>
      </c>
      <c r="L792" s="2" t="b">
        <v>0</v>
      </c>
      <c r="M792" s="2" t="b">
        <v>0</v>
      </c>
      <c r="N792" s="2" t="s">
        <v>33</v>
      </c>
      <c r="O792" s="2">
        <v>21.0</v>
      </c>
      <c r="P792" s="2">
        <v>0.0</v>
      </c>
      <c r="Q792" s="2">
        <v>40.0</v>
      </c>
      <c r="R792" s="2">
        <v>0.0</v>
      </c>
      <c r="S792" s="3" t="s">
        <v>3245</v>
      </c>
      <c r="T792" s="2" t="s">
        <v>3246</v>
      </c>
      <c r="Y792" s="4" t="str">
        <f>IFERROR(__xludf.DUMMYFUNCTION("""COMPUTED_VALUE"""),"7.2609636")</f>
        <v>7.2609636</v>
      </c>
      <c r="Z792" s="4" t="str">
        <f>IFERROR(__xludf.DUMMYFUNCTION("""COMPUTED_VALUE"""),"2.7642914")</f>
        <v>2.7642914</v>
      </c>
      <c r="AA792" s="4" t="str">
        <f t="shared" si="1"/>
        <v>Not Neighbor</v>
      </c>
      <c r="AC792" s="4">
        <f>IFERROR(__xludf.DUMMYFUNCTION("IFERROR(ABS(O792-AVERAGE(FILTER(O792:O4860,AA792:AA4860=""Neighbor""))) / STDEV(FILTER(O792:O4860, AA792:AA4860 =""Neighbor"")), """")"),1.0161399383084841)</f>
        <v>1.016139938</v>
      </c>
      <c r="AD792" s="4">
        <f>IFERROR(__xludf.DUMMYFUNCTION("IFERROR(ABS(P792-AVERAGE(FILTER(O792:P4860,AA792:AA4860=""Neighbor""))) / STDEV(FILTER(P792:P4860, AA792:AA4860 =""Neighbor"")), """")"),1.6310686286070248)</f>
        <v>1.631068629</v>
      </c>
      <c r="AE792" s="2">
        <f>IFERROR(__xludf.DUMMYFUNCTION("IFERROR(ABS(Q792-AVERAGE(FILTER(Q792:Q4860,AA792:AA4860=""Neighbor""))) / STDEV(FILTER(Q792:Q4860, AA792:AA4860 =""Neighbor"")), """")"),0.6278540341846888)</f>
        <v>0.6278540342</v>
      </c>
      <c r="AF792" s="2">
        <f>IFERROR(__xludf.DUMMYFUNCTION("IFERROR(ABS(R792-AVERAGE(FILTER(R792:R4860,AA792:AA4860=""Neighbor""))) / STDEV(FILTER(R792:R4860, AA792:AA4860 =""Neighbor"")), """")"),0.0895657112814259)</f>
        <v>0.08956571128</v>
      </c>
    </row>
    <row r="793">
      <c r="A793" s="2" t="s">
        <v>28</v>
      </c>
      <c r="B793" s="2" t="s">
        <v>2660</v>
      </c>
      <c r="C793" s="2" t="s">
        <v>3174</v>
      </c>
      <c r="D793" s="2" t="s">
        <v>3247</v>
      </c>
      <c r="E793" s="2" t="s">
        <v>3248</v>
      </c>
      <c r="F793" s="2">
        <v>121.0</v>
      </c>
      <c r="G793" s="2">
        <v>598.0</v>
      </c>
      <c r="H793" s="2" t="b">
        <v>1</v>
      </c>
      <c r="I793" s="2">
        <v>-1.0</v>
      </c>
      <c r="J793" s="2" t="b">
        <v>0</v>
      </c>
      <c r="K793" s="2" t="b">
        <v>0</v>
      </c>
      <c r="L793" s="2" t="b">
        <v>0</v>
      </c>
      <c r="M793" s="2" t="b">
        <v>0</v>
      </c>
      <c r="N793" s="2" t="s">
        <v>33</v>
      </c>
      <c r="O793" s="2">
        <v>74.0</v>
      </c>
      <c r="P793" s="2">
        <v>2.0</v>
      </c>
      <c r="Q793" s="2">
        <v>31.0</v>
      </c>
      <c r="R793" s="2">
        <v>3.0</v>
      </c>
      <c r="S793" s="3" t="s">
        <v>3249</v>
      </c>
      <c r="T793" s="2" t="s">
        <v>3250</v>
      </c>
      <c r="Y793" s="4" t="str">
        <f>IFERROR(__xludf.DUMMYFUNCTION("""COMPUTED_VALUE"""),"7.1459953")</f>
        <v>7.1459953</v>
      </c>
      <c r="Z793" s="4" t="str">
        <f>IFERROR(__xludf.DUMMYFUNCTION("""COMPUTED_VALUE"""),"2.8552169")</f>
        <v>2.8552169</v>
      </c>
      <c r="AA793" s="4" t="str">
        <f t="shared" si="1"/>
        <v>Not Neighbor</v>
      </c>
      <c r="AC793" s="4">
        <f>IFERROR(__xludf.DUMMYFUNCTION("IFERROR(ABS(O793-AVERAGE(FILTER(O793:O4861,AA793:AA4861=""Neighbor""))) / STDEV(FILTER(O793:O4861, AA793:AA4861 =""Neighbor"")), """")"),0.212932958512371)</f>
        <v>0.2129329585</v>
      </c>
      <c r="AD793" s="4">
        <f>IFERROR(__xludf.DUMMYFUNCTION("IFERROR(ABS(P793-AVERAGE(FILTER(O793:P4861,AA793:AA4861=""Neighbor""))) / STDEV(FILTER(P793:P4861, AA793:AA4861 =""Neighbor"")), """")"),1.5504767387812604)</f>
        <v>1.550476739</v>
      </c>
      <c r="AE793" s="2">
        <f>IFERROR(__xludf.DUMMYFUNCTION("IFERROR(ABS(Q793-AVERAGE(FILTER(Q793:Q4861,AA793:AA4861=""Neighbor""))) / STDEV(FILTER(Q793:Q4861, AA793:AA4861 =""Neighbor"")), """")"),0.25738743779414003)</f>
        <v>0.2573874378</v>
      </c>
      <c r="AF793" s="2">
        <f>IFERROR(__xludf.DUMMYFUNCTION("IFERROR(ABS(R793-AVERAGE(FILTER(R793:R4861,AA793:AA4861=""Neighbor""))) / STDEV(FILTER(R793:R4861, AA793:AA4861 =""Neighbor"")), """")"),0.4525287978154843)</f>
        <v>0.4525287978</v>
      </c>
    </row>
    <row r="794">
      <c r="A794" s="2" t="s">
        <v>28</v>
      </c>
      <c r="B794" s="2" t="s">
        <v>2660</v>
      </c>
      <c r="C794" s="2" t="s">
        <v>3251</v>
      </c>
      <c r="D794" s="2" t="s">
        <v>3252</v>
      </c>
      <c r="E794" s="2" t="s">
        <v>3253</v>
      </c>
      <c r="F794" s="2">
        <v>220.0</v>
      </c>
      <c r="G794" s="2">
        <v>913.0</v>
      </c>
      <c r="H794" s="2" t="b">
        <v>1</v>
      </c>
      <c r="I794" s="2">
        <v>-1.0</v>
      </c>
      <c r="J794" s="2" t="b">
        <v>1</v>
      </c>
      <c r="K794" s="2" t="b">
        <v>0</v>
      </c>
      <c r="L794" s="2" t="b">
        <v>0</v>
      </c>
      <c r="M794" s="2" t="b">
        <v>0</v>
      </c>
      <c r="N794" s="2" t="s">
        <v>33</v>
      </c>
      <c r="O794" s="2">
        <v>194.0</v>
      </c>
      <c r="P794" s="2">
        <v>21.0</v>
      </c>
      <c r="Q794" s="2">
        <v>40.0</v>
      </c>
      <c r="R794" s="2">
        <v>2.0</v>
      </c>
      <c r="S794" s="3" t="s">
        <v>3254</v>
      </c>
      <c r="T794" s="2" t="s">
        <v>3255</v>
      </c>
      <c r="Y794" s="4" t="str">
        <f>IFERROR(__xludf.DUMMYFUNCTION("""COMPUTED_VALUE"""),"7.0538652")</f>
        <v>7.0538652</v>
      </c>
      <c r="Z794" s="4" t="str">
        <f>IFERROR(__xludf.DUMMYFUNCTION("""COMPUTED_VALUE"""),"2.975056")</f>
        <v>2.975056</v>
      </c>
      <c r="AA794" s="4" t="str">
        <f t="shared" si="1"/>
        <v>Not Neighbor</v>
      </c>
      <c r="AC794" s="4">
        <f>IFERROR(__xludf.DUMMYFUNCTION("IFERROR(ABS(O794-AVERAGE(FILTER(O794:O4862,AA794:AA4862=""Neighbor""))) / STDEV(FILTER(O794:O4862, AA794:AA4862 =""Neighbor"")), """")"),2.995739517352043)</f>
        <v>2.995739517</v>
      </c>
      <c r="AD794" s="4">
        <f>IFERROR(__xludf.DUMMYFUNCTION("IFERROR(ABS(P794-AVERAGE(FILTER(O794:P4862,AA794:AA4862=""Neighbor""))) / STDEV(FILTER(P794:P4862, AA794:AA4862 =""Neighbor"")), """")"),0.7848537854364968)</f>
        <v>0.7848537854</v>
      </c>
      <c r="AE794" s="2">
        <f>IFERROR(__xludf.DUMMYFUNCTION("IFERROR(ABS(Q794-AVERAGE(FILTER(Q794:Q4862,AA794:AA4862=""Neighbor""))) / STDEV(FILTER(Q794:Q4862, AA794:AA4862 =""Neighbor"")), """")"),0.6278540341846888)</f>
        <v>0.6278540342</v>
      </c>
      <c r="AF794" s="2">
        <f>IFERROR(__xludf.DUMMYFUNCTION("IFERROR(ABS(R794-AVERAGE(FILTER(R794:R4862,AA794:AA4862=""Neighbor""))) / STDEV(FILTER(R794:R4862, AA794:AA4862 =""Neighbor"")), """")"),0.2718306281165142)</f>
        <v>0.2718306281</v>
      </c>
    </row>
    <row r="795">
      <c r="A795" s="2" t="s">
        <v>28</v>
      </c>
      <c r="B795" s="2" t="s">
        <v>2660</v>
      </c>
      <c r="C795" s="2" t="s">
        <v>3251</v>
      </c>
      <c r="D795" s="2" t="s">
        <v>3256</v>
      </c>
      <c r="E795" s="2" t="s">
        <v>3257</v>
      </c>
      <c r="F795" s="2">
        <v>117.0</v>
      </c>
      <c r="G795" s="2">
        <v>754.0</v>
      </c>
      <c r="H795" s="2" t="b">
        <v>1</v>
      </c>
      <c r="I795" s="2">
        <v>-1.0</v>
      </c>
      <c r="J795" s="2" t="b">
        <v>0</v>
      </c>
      <c r="K795" s="2" t="b">
        <v>0</v>
      </c>
      <c r="L795" s="2" t="b">
        <v>0</v>
      </c>
      <c r="M795" s="2" t="b">
        <v>0</v>
      </c>
      <c r="N795" s="2" t="s">
        <v>33</v>
      </c>
      <c r="O795" s="2">
        <v>72.0</v>
      </c>
      <c r="P795" s="2">
        <v>7.0</v>
      </c>
      <c r="Q795" s="2">
        <v>30.0</v>
      </c>
      <c r="R795" s="2">
        <v>1.0</v>
      </c>
      <c r="S795" s="3" t="s">
        <v>3258</v>
      </c>
      <c r="T795" s="2" t="s">
        <v>3259</v>
      </c>
      <c r="Y795" s="4" t="str">
        <f>IFERROR(__xludf.DUMMYFUNCTION("""COMPUTED_VALUE"""),"6.9528252")</f>
        <v>6.9528252</v>
      </c>
      <c r="Z795" s="4" t="str">
        <f>IFERROR(__xludf.DUMMYFUNCTION("""COMPUTED_VALUE"""),"3.0388429")</f>
        <v>3.0388429</v>
      </c>
      <c r="AA795" s="4" t="str">
        <f t="shared" si="1"/>
        <v>Not Neighbor</v>
      </c>
      <c r="AC795" s="4">
        <f>IFERROR(__xludf.DUMMYFUNCTION("IFERROR(ABS(O795-AVERAGE(FILTER(O795:O4863,AA795:AA4863=""Neighbor""))) / STDEV(FILTER(O795:O4863, AA795:AA4863 =""Neighbor"")), """")"),0.16655284919837648)</f>
        <v>0.1665528492</v>
      </c>
      <c r="AD795" s="4">
        <f>IFERROR(__xludf.DUMMYFUNCTION("IFERROR(ABS(P795-AVERAGE(FILTER(O795:P4863,AA795:AA4863=""Neighbor""))) / STDEV(FILTER(P795:P4863, AA795:AA4863 =""Neighbor"")), """")"),1.3489970142168488)</f>
        <v>1.348997014</v>
      </c>
      <c r="AE795" s="2">
        <f>IFERROR(__xludf.DUMMYFUNCTION("IFERROR(ABS(Q795-AVERAGE(FILTER(Q795:Q4863,AA795:AA4863=""Neighbor""))) / STDEV(FILTER(Q795:Q4863, AA795:AA4863 =""Neighbor"")), """")"),0.21622448263963462)</f>
        <v>0.2162244826</v>
      </c>
      <c r="AF795" s="2">
        <f>IFERROR(__xludf.DUMMYFUNCTION("IFERROR(ABS(R795-AVERAGE(FILTER(R795:R4863,AA795:AA4863=""Neighbor""))) / STDEV(FILTER(R795:R4863, AA795:AA4863 =""Neighbor"")), """")"),0.09113245841754414)</f>
        <v>0.09113245842</v>
      </c>
    </row>
    <row r="796">
      <c r="A796" s="2" t="s">
        <v>28</v>
      </c>
      <c r="B796" s="2" t="s">
        <v>2660</v>
      </c>
      <c r="C796" s="2" t="s">
        <v>3251</v>
      </c>
      <c r="D796" s="2" t="s">
        <v>3260</v>
      </c>
      <c r="E796" s="2" t="s">
        <v>3261</v>
      </c>
      <c r="F796" s="2">
        <v>139.0</v>
      </c>
      <c r="G796" s="2">
        <v>710.0</v>
      </c>
      <c r="H796" s="2" t="b">
        <v>1</v>
      </c>
      <c r="I796" s="2">
        <v>-1.0</v>
      </c>
      <c r="J796" s="2" t="b">
        <v>0</v>
      </c>
      <c r="K796" s="2" t="b">
        <v>0</v>
      </c>
      <c r="L796" s="2" t="b">
        <v>0</v>
      </c>
      <c r="M796" s="2" t="b">
        <v>0</v>
      </c>
      <c r="N796" s="2" t="s">
        <v>33</v>
      </c>
      <c r="O796" s="2">
        <v>90.0</v>
      </c>
      <c r="P796" s="2">
        <v>14.0</v>
      </c>
      <c r="Q796" s="2">
        <v>30.0</v>
      </c>
      <c r="R796" s="2">
        <v>2.0</v>
      </c>
      <c r="S796" s="3" t="s">
        <v>3262</v>
      </c>
      <c r="T796" s="2" t="s">
        <v>3263</v>
      </c>
      <c r="Y796" s="4" t="str">
        <f>IFERROR(__xludf.DUMMYFUNCTION("""COMPUTED_VALUE"""),"7.0538652")</f>
        <v>7.0538652</v>
      </c>
      <c r="Z796" s="4" t="str">
        <f>IFERROR(__xludf.DUMMYFUNCTION("""COMPUTED_VALUE"""),"2.975056")</f>
        <v>2.975056</v>
      </c>
      <c r="AA796" s="4" t="str">
        <f t="shared" si="1"/>
        <v>Not Neighbor</v>
      </c>
      <c r="AC796" s="4">
        <f>IFERROR(__xludf.DUMMYFUNCTION("IFERROR(ABS(O796-AVERAGE(FILTER(O796:O4864,AA796:AA4864=""Neighbor""))) / STDEV(FILTER(O796:O4864, AA796:AA4864 =""Neighbor"")), """")"),0.5839738330243273)</f>
        <v>0.583973833</v>
      </c>
      <c r="AD796" s="4">
        <f>IFERROR(__xludf.DUMMYFUNCTION("IFERROR(ABS(P796-AVERAGE(FILTER(O796:P4864,AA796:AA4864=""Neighbor""))) / STDEV(FILTER(P796:P4864, AA796:AA4864 =""Neighbor"")), """")"),1.0669253998266728)</f>
        <v>1.0669254</v>
      </c>
      <c r="AE796" s="2">
        <f>IFERROR(__xludf.DUMMYFUNCTION("IFERROR(ABS(Q796-AVERAGE(FILTER(Q796:Q4864,AA796:AA4864=""Neighbor""))) / STDEV(FILTER(Q796:Q4864, AA796:AA4864 =""Neighbor"")), """")"),0.21622448263963462)</f>
        <v>0.2162244826</v>
      </c>
      <c r="AF796" s="2">
        <f>IFERROR(__xludf.DUMMYFUNCTION("IFERROR(ABS(R796-AVERAGE(FILTER(R796:R4864,AA796:AA4864=""Neighbor""))) / STDEV(FILTER(R796:R4864, AA796:AA4864 =""Neighbor"")), """")"),0.2718306281165142)</f>
        <v>0.2718306281</v>
      </c>
    </row>
    <row r="797">
      <c r="A797" s="2" t="s">
        <v>28</v>
      </c>
      <c r="B797" s="2" t="s">
        <v>2660</v>
      </c>
      <c r="C797" s="2" t="s">
        <v>3251</v>
      </c>
      <c r="D797" s="2" t="s">
        <v>3264</v>
      </c>
      <c r="E797" s="2" t="s">
        <v>3265</v>
      </c>
      <c r="F797" s="2">
        <v>91.0</v>
      </c>
      <c r="G797" s="2">
        <v>269.0</v>
      </c>
      <c r="H797" s="2" t="b">
        <v>1</v>
      </c>
      <c r="I797" s="2">
        <v>-1.0</v>
      </c>
      <c r="J797" s="2" t="b">
        <v>0</v>
      </c>
      <c r="K797" s="2" t="b">
        <v>0</v>
      </c>
      <c r="L797" s="2" t="b">
        <v>0</v>
      </c>
      <c r="M797" s="2" t="b">
        <v>0</v>
      </c>
      <c r="N797" s="2" t="s">
        <v>33</v>
      </c>
      <c r="O797" s="2">
        <v>59.0</v>
      </c>
      <c r="P797" s="2">
        <v>3.0</v>
      </c>
      <c r="Q797" s="2">
        <v>25.0</v>
      </c>
      <c r="R797" s="2">
        <v>0.0</v>
      </c>
      <c r="S797" s="3" t="s">
        <v>3266</v>
      </c>
      <c r="T797" s="2" t="s">
        <v>3267</v>
      </c>
      <c r="Y797" s="4" t="str">
        <f>IFERROR(__xludf.DUMMYFUNCTION("""COMPUTED_VALUE"""),"6.9528252")</f>
        <v>6.9528252</v>
      </c>
      <c r="Z797" s="4" t="str">
        <f>IFERROR(__xludf.DUMMYFUNCTION("""COMPUTED_VALUE"""),"3.0388429")</f>
        <v>3.0388429</v>
      </c>
      <c r="AA797" s="4" t="str">
        <f t="shared" si="1"/>
        <v>Neighbor</v>
      </c>
      <c r="AC797" s="4">
        <f>IFERROR(__xludf.DUMMYFUNCTION("IFERROR(ABS(O797-AVERAGE(FILTER(O797:O4865,AA797:AA4865=""Neighbor""))) / STDEV(FILTER(O797:O4865, AA797:AA4865 =""Neighbor"")), """")"),0.13491786134258799)</f>
        <v>0.1349178613</v>
      </c>
      <c r="AD797" s="4">
        <f>IFERROR(__xludf.DUMMYFUNCTION("IFERROR(ABS(P797-AVERAGE(FILTER(O797:P4865,AA797:AA4865=""Neighbor""))) / STDEV(FILTER(P797:P4865, AA797:AA4865 =""Neighbor"")), """")"),1.510180793868378)</f>
        <v>1.510180794</v>
      </c>
      <c r="AE797" s="2">
        <f>IFERROR(__xludf.DUMMYFUNCTION("IFERROR(ABS(Q797-AVERAGE(FILTER(Q797:Q4865,AA797:AA4865=""Neighbor""))) / STDEV(FILTER(Q797:Q4865, AA797:AA4865 =""Neighbor"")), """")"),0.010409706867107526)</f>
        <v>0.01040970687</v>
      </c>
      <c r="AF797" s="2">
        <f>IFERROR(__xludf.DUMMYFUNCTION("IFERROR(ABS(R797-AVERAGE(FILTER(R797:R4865,AA797:AA4865=""Neighbor""))) / STDEV(FILTER(R797:R4865, AA797:AA4865 =""Neighbor"")), """")"),0.0895657112814259)</f>
        <v>0.08956571128</v>
      </c>
    </row>
    <row r="798">
      <c r="A798" s="2" t="s">
        <v>28</v>
      </c>
      <c r="B798" s="2" t="s">
        <v>2660</v>
      </c>
      <c r="C798" s="2" t="s">
        <v>3251</v>
      </c>
      <c r="D798" s="2" t="s">
        <v>3268</v>
      </c>
      <c r="E798" s="2" t="s">
        <v>3269</v>
      </c>
      <c r="F798" s="2">
        <v>162.0</v>
      </c>
      <c r="G798" s="2">
        <v>733.0</v>
      </c>
      <c r="H798" s="2" t="b">
        <v>1</v>
      </c>
      <c r="I798" s="2">
        <v>-1.0</v>
      </c>
      <c r="J798" s="2" t="b">
        <v>0</v>
      </c>
      <c r="K798" s="2" t="b">
        <v>0</v>
      </c>
      <c r="L798" s="2" t="b">
        <v>0</v>
      </c>
      <c r="M798" s="2" t="b">
        <v>0</v>
      </c>
      <c r="N798" s="2" t="s">
        <v>33</v>
      </c>
      <c r="O798" s="2">
        <v>98.0</v>
      </c>
      <c r="P798" s="2">
        <v>3.0</v>
      </c>
      <c r="Q798" s="2">
        <v>52.0</v>
      </c>
      <c r="R798" s="2">
        <v>3.0</v>
      </c>
      <c r="S798" s="3" t="s">
        <v>3270</v>
      </c>
      <c r="T798" s="2" t="s">
        <v>3271</v>
      </c>
      <c r="Y798" s="4" t="str">
        <f>IFERROR(__xludf.DUMMYFUNCTION("""COMPUTED_VALUE"""),"6.9528252")</f>
        <v>6.9528252</v>
      </c>
      <c r="Z798" s="4" t="str">
        <f>IFERROR(__xludf.DUMMYFUNCTION("""COMPUTED_VALUE"""),"3.0388429")</f>
        <v>3.0388429</v>
      </c>
      <c r="AA798" s="4" t="str">
        <f t="shared" si="1"/>
        <v>Neighbor</v>
      </c>
      <c r="AC798" s="4">
        <f>IFERROR(__xludf.DUMMYFUNCTION("IFERROR(ABS(O798-AVERAGE(FILTER(O798:O4866,AA798:AA4866=""Neighbor""))) / STDEV(FILTER(O798:O4866, AA798:AA4866 =""Neighbor"")), """")"),0.7691235684814484)</f>
        <v>0.7691235685</v>
      </c>
      <c r="AD798" s="4">
        <f>IFERROR(__xludf.DUMMYFUNCTION("IFERROR(ABS(P798-AVERAGE(FILTER(O798:P4866,AA798:AA4866=""Neighbor""))) / STDEV(FILTER(P798:P4866, AA798:AA4866 =""Neighbor"")), """")"),1.5100638464236031)</f>
        <v>1.510063846</v>
      </c>
      <c r="AE798" s="2">
        <f>IFERROR(__xludf.DUMMYFUNCTION("IFERROR(ABS(Q798-AVERAGE(FILTER(Q798:Q4866,AA798:AA4866=""Neighbor""))) / STDEV(FILTER(Q798:Q4866, AA798:AA4866 =""Neighbor"")), """")"),1.1214114198047735)</f>
        <v>1.12141142</v>
      </c>
      <c r="AF798" s="2">
        <f>IFERROR(__xludf.DUMMYFUNCTION("IFERROR(ABS(R798-AVERAGE(FILTER(R798:R4866,AA798:AA4866=""Neighbor""))) / STDEV(FILTER(R798:R4866, AA798:AA4866 =""Neighbor"")), """")"),0.45230173842376903)</f>
        <v>0.4523017384</v>
      </c>
    </row>
    <row r="799">
      <c r="A799" s="2" t="s">
        <v>28</v>
      </c>
      <c r="B799" s="2" t="s">
        <v>2660</v>
      </c>
      <c r="C799" s="2" t="s">
        <v>3251</v>
      </c>
      <c r="D799" s="2" t="s">
        <v>3272</v>
      </c>
      <c r="E799" s="2" t="s">
        <v>3273</v>
      </c>
      <c r="F799" s="2">
        <v>195.0</v>
      </c>
      <c r="G799" s="2">
        <v>981.0</v>
      </c>
      <c r="H799" s="2" t="b">
        <v>1</v>
      </c>
      <c r="I799" s="2">
        <v>-1.0</v>
      </c>
      <c r="J799" s="2" t="b">
        <v>1</v>
      </c>
      <c r="K799" s="2" t="b">
        <v>1</v>
      </c>
      <c r="L799" s="2" t="b">
        <v>0</v>
      </c>
      <c r="M799" s="2" t="b">
        <v>0</v>
      </c>
      <c r="N799" s="2" t="s">
        <v>33</v>
      </c>
      <c r="O799" s="2">
        <v>0.0</v>
      </c>
      <c r="P799" s="2">
        <v>0.0</v>
      </c>
      <c r="Q799" s="2">
        <v>0.0</v>
      </c>
      <c r="R799" s="2">
        <v>0.0</v>
      </c>
      <c r="S799" s="3" t="s">
        <v>3274</v>
      </c>
      <c r="T799" s="2" t="s">
        <v>3275</v>
      </c>
      <c r="Y799" s="4" t="str">
        <f>IFERROR(__xludf.DUMMYFUNCTION("""COMPUTED_VALUE"""),"6.9528252")</f>
        <v>6.9528252</v>
      </c>
      <c r="Z799" s="4" t="str">
        <f>IFERROR(__xludf.DUMMYFUNCTION("""COMPUTED_VALUE"""),"3.0388429")</f>
        <v>3.0388429</v>
      </c>
      <c r="AA799" s="4" t="str">
        <f t="shared" si="1"/>
        <v>Neighbor</v>
      </c>
      <c r="AC799" s="4">
        <f>IFERROR(__xludf.DUMMYFUNCTION("IFERROR(ABS(O799-AVERAGE(FILTER(O799:O4867,AA799:AA4867=""Neighbor""))) / STDEV(FILTER(O799:O4867, AA799:AA4867 =""Neighbor"")), """")"),1.5019165859978316)</f>
        <v>1.501916586</v>
      </c>
      <c r="AD799" s="4">
        <f>IFERROR(__xludf.DUMMYFUNCTION("IFERROR(ABS(P799-AVERAGE(FILTER(O799:P4867,AA799:AA4867=""Neighbor""))) / STDEV(FILTER(P799:P4867, AA799:AA4867 =""Neighbor"")), """")"),1.6302037467808723)</f>
        <v>1.630203747</v>
      </c>
      <c r="AE799" s="2">
        <f>IFERROR(__xludf.DUMMYFUNCTION("IFERROR(ABS(Q799-AVERAGE(FILTER(Q799:Q4867,AA799:AA4867=""Neighbor""))) / STDEV(FILTER(Q799:Q4867, AA799:AA4867 =""Neighbor"")), """")"),1.0175721304667604)</f>
        <v>1.01757213</v>
      </c>
      <c r="AF799" s="2">
        <f>IFERROR(__xludf.DUMMYFUNCTION("IFERROR(ABS(R799-AVERAGE(FILTER(R799:R4867,AA799:AA4867=""Neighbor""))) / STDEV(FILTER(R799:R4867, AA799:AA4867 =""Neighbor"")), """")"),0.08924534932233547)</f>
        <v>0.08924534932</v>
      </c>
    </row>
    <row r="800">
      <c r="A800" s="2" t="s">
        <v>28</v>
      </c>
      <c r="B800" s="2" t="s">
        <v>2660</v>
      </c>
      <c r="C800" s="2" t="s">
        <v>3251</v>
      </c>
      <c r="D800" s="2" t="s">
        <v>3276</v>
      </c>
      <c r="E800" s="2" t="s">
        <v>3277</v>
      </c>
      <c r="F800" s="2">
        <v>180.0</v>
      </c>
      <c r="G800" s="2">
        <v>705.0</v>
      </c>
      <c r="H800" s="2" t="b">
        <v>1</v>
      </c>
      <c r="I800" s="2">
        <v>-1.0</v>
      </c>
      <c r="J800" s="2" t="b">
        <v>0</v>
      </c>
      <c r="K800" s="2" t="b">
        <v>1</v>
      </c>
      <c r="L800" s="2" t="b">
        <v>0</v>
      </c>
      <c r="M800" s="2" t="b">
        <v>0</v>
      </c>
      <c r="N800" s="2" t="s">
        <v>33</v>
      </c>
      <c r="O800" s="2">
        <v>150.0</v>
      </c>
      <c r="P800" s="2">
        <v>2.0</v>
      </c>
      <c r="Q800" s="2">
        <v>24.0</v>
      </c>
      <c r="R800" s="2">
        <v>0.0</v>
      </c>
      <c r="S800" s="3" t="s">
        <v>3278</v>
      </c>
      <c r="T800" s="2" t="s">
        <v>3279</v>
      </c>
      <c r="Y800" s="4" t="str">
        <f>IFERROR(__xludf.DUMMYFUNCTION("""COMPUTED_VALUE"""),"6.9528252")</f>
        <v>6.9528252</v>
      </c>
      <c r="Z800" s="4" t="str">
        <f>IFERROR(__xludf.DUMMYFUNCTION("""COMPUTED_VALUE"""),"3.0388429")</f>
        <v>3.0388429</v>
      </c>
      <c r="AA800" s="4" t="str">
        <f t="shared" si="1"/>
        <v>Neighbor</v>
      </c>
      <c r="AC800" s="4">
        <f>IFERROR(__xludf.DUMMYFUNCTION("IFERROR(ABS(O800-AVERAGE(FILTER(O800:O4868,AA800:AA4868=""Neighbor""))) / STDEV(FILTER(O800:O4868, AA800:AA4868 =""Neighbor"")), """")"),1.9746553695335787)</f>
        <v>1.97465537</v>
      </c>
      <c r="AD800" s="4">
        <f>IFERROR(__xludf.DUMMYFUNCTION("IFERROR(ABS(P800-AVERAGE(FILTER(O800:P4868,AA800:AA4868=""Neighbor""))) / STDEV(FILTER(P800:P4868, AA800:AA4868 =""Neighbor"")), """")"),1.5505105219048525)</f>
        <v>1.550510522</v>
      </c>
      <c r="AE800" s="2">
        <f>IFERROR(__xludf.DUMMYFUNCTION("IFERROR(ABS(Q800-AVERAGE(FILTER(Q800:Q4868,AA800:AA4868=""Neighbor""))) / STDEV(FILTER(Q800:Q4868, AA800:AA4868 =""Neighbor"")), """")"),0.030663204063096854)</f>
        <v>0.03066320406</v>
      </c>
      <c r="AF800" s="2">
        <f>IFERROR(__xludf.DUMMYFUNCTION("IFERROR(ABS(R800-AVERAGE(FILTER(R800:R4868,AA800:AA4868=""Neighbor""))) / STDEV(FILTER(R800:R4868, AA800:AA4868 =""Neighbor"")), """")"),0.08927788956221486)</f>
        <v>0.08927788956</v>
      </c>
    </row>
    <row r="801">
      <c r="A801" s="2" t="s">
        <v>28</v>
      </c>
      <c r="B801" s="2" t="s">
        <v>2660</v>
      </c>
      <c r="C801" s="2" t="s">
        <v>3251</v>
      </c>
      <c r="D801" s="2" t="s">
        <v>3280</v>
      </c>
      <c r="E801" s="2" t="s">
        <v>3281</v>
      </c>
      <c r="F801" s="2">
        <v>170.0</v>
      </c>
      <c r="G801" s="2">
        <v>629.0</v>
      </c>
      <c r="H801" s="2" t="b">
        <v>1</v>
      </c>
      <c r="I801" s="2">
        <v>-1.0</v>
      </c>
      <c r="J801" s="2" t="b">
        <v>0</v>
      </c>
      <c r="K801" s="2" t="b">
        <v>0</v>
      </c>
      <c r="L801" s="2" t="b">
        <v>0</v>
      </c>
      <c r="M801" s="2" t="b">
        <v>0</v>
      </c>
      <c r="N801" s="2" t="s">
        <v>33</v>
      </c>
      <c r="O801" s="2">
        <v>107.0</v>
      </c>
      <c r="P801" s="2">
        <v>10.0</v>
      </c>
      <c r="Q801" s="2">
        <v>41.0</v>
      </c>
      <c r="R801" s="2">
        <v>1.0</v>
      </c>
      <c r="S801" s="3" t="s">
        <v>3282</v>
      </c>
      <c r="T801" s="2" t="s">
        <v>3283</v>
      </c>
      <c r="Y801" s="4" t="str">
        <f>IFERROR(__xludf.DUMMYFUNCTION("""COMPUTED_VALUE"""),"6.9528252")</f>
        <v>6.9528252</v>
      </c>
      <c r="Z801" s="4" t="str">
        <f>IFERROR(__xludf.DUMMYFUNCTION("""COMPUTED_VALUE"""),"3.0388429")</f>
        <v>3.0388429</v>
      </c>
      <c r="AA801" s="4" t="str">
        <f t="shared" si="1"/>
        <v>Not Neighbor</v>
      </c>
      <c r="AC801" s="4">
        <f>IFERROR(__xludf.DUMMYFUNCTION("IFERROR(ABS(O801-AVERAGE(FILTER(O801:O4869,AA801:AA4869=""Neighbor""))) / STDEV(FILTER(O801:O4869, AA801:AA4869 =""Neighbor"")), """")"),0.9799925296010498)</f>
        <v>0.9799925296</v>
      </c>
      <c r="AD801" s="4">
        <f>IFERROR(__xludf.DUMMYFUNCTION("IFERROR(ABS(P801-AVERAGE(FILTER(O801:P4869,AA801:AA4869=""Neighbor""))) / STDEV(FILTER(P801:P4869, AA801:AA4869 =""Neighbor"")), """")"),1.2270423779182613)</f>
        <v>1.227042378</v>
      </c>
      <c r="AE801" s="2">
        <f>IFERROR(__xludf.DUMMYFUNCTION("IFERROR(ABS(Q801-AVERAGE(FILTER(Q801:Q4869,AA801:AA4869=""Neighbor""))) / STDEV(FILTER(Q801:Q4869, AA801:AA4869 =""Neighbor"")), """")"),0.6686642801929575)</f>
        <v>0.6686642802</v>
      </c>
      <c r="AF801" s="2">
        <f>IFERROR(__xludf.DUMMYFUNCTION("IFERROR(ABS(R801-AVERAGE(FILTER(R801:R4869,AA801:AA4869=""Neighbor""))) / STDEV(FILTER(R801:R4869, AA801:AA4869 =""Neighbor"")), """")"),0.09114113382046195)</f>
        <v>0.09114113382</v>
      </c>
    </row>
    <row r="802">
      <c r="A802" s="2" t="s">
        <v>28</v>
      </c>
      <c r="B802" s="2" t="s">
        <v>2660</v>
      </c>
      <c r="C802" s="2" t="s">
        <v>3251</v>
      </c>
      <c r="D802" s="2" t="s">
        <v>3284</v>
      </c>
      <c r="E802" s="2" t="s">
        <v>3285</v>
      </c>
      <c r="F802" s="2">
        <v>114.0</v>
      </c>
      <c r="G802" s="2">
        <v>781.0</v>
      </c>
      <c r="H802" s="2" t="b">
        <v>1</v>
      </c>
      <c r="I802" s="2">
        <v>-1.0</v>
      </c>
      <c r="J802" s="2" t="b">
        <v>0</v>
      </c>
      <c r="K802" s="2" t="b">
        <v>0</v>
      </c>
      <c r="L802" s="2" t="b">
        <v>0</v>
      </c>
      <c r="M802" s="2" t="b">
        <v>0</v>
      </c>
      <c r="N802" s="2" t="s">
        <v>33</v>
      </c>
      <c r="O802" s="2">
        <v>68.0</v>
      </c>
      <c r="P802" s="2">
        <v>7.0</v>
      </c>
      <c r="Q802" s="2">
        <v>27.0</v>
      </c>
      <c r="R802" s="2">
        <v>1.0</v>
      </c>
      <c r="S802" s="3" t="s">
        <v>3286</v>
      </c>
      <c r="T802" s="2" t="s">
        <v>3287</v>
      </c>
      <c r="Y802" s="4" t="str">
        <f>IFERROR(__xludf.DUMMYFUNCTION("""COMPUTED_VALUE"""),"7.0193013")</f>
        <v>7.0193013</v>
      </c>
      <c r="Z802" s="4" t="str">
        <f>IFERROR(__xludf.DUMMYFUNCTION("""COMPUTED_VALUE"""),"3.0269546")</f>
        <v>3.0269546</v>
      </c>
      <c r="AA802" s="4" t="str">
        <f t="shared" si="1"/>
        <v>Not Neighbor</v>
      </c>
      <c r="AC802" s="4">
        <f>IFERROR(__xludf.DUMMYFUNCTION("IFERROR(ABS(O802-AVERAGE(FILTER(O802:O4870,AA802:AA4870=""Neighbor""))) / STDEV(FILTER(O802:O4870, AA802:AA4870 =""Neighbor"")), """")"),0.07466978216068011)</f>
        <v>0.07466978216</v>
      </c>
      <c r="AD802" s="4">
        <f>IFERROR(__xludf.DUMMYFUNCTION("IFERROR(ABS(P802-AVERAGE(FILTER(O802:P4870,AA802:AA4870=""Neighbor""))) / STDEV(FILTER(P802:P4870, AA802:AA4870 =""Neighbor"")), """")"),1.3478125427800542)</f>
        <v>1.347812543</v>
      </c>
      <c r="AE802" s="2">
        <f>IFERROR(__xludf.DUMMYFUNCTION("IFERROR(ABS(Q802-AVERAGE(FILTER(Q802:Q4870,AA802:AA4870=""Neighbor""))) / STDEV(FILTER(Q802:Q4870, AA802:AA4870 =""Neighbor"")), """")"),0.09273837883644469)</f>
        <v>0.09273837884</v>
      </c>
      <c r="AF802" s="2">
        <f>IFERROR(__xludf.DUMMYFUNCTION("IFERROR(ABS(R802-AVERAGE(FILTER(R802:R4870,AA802:AA4870=""Neighbor""))) / STDEV(FILTER(R802:R4870, AA802:AA4870 =""Neighbor"")), """")"),0.09114113382046195)</f>
        <v>0.09114113382</v>
      </c>
    </row>
    <row r="803">
      <c r="A803" s="2" t="s">
        <v>28</v>
      </c>
      <c r="B803" s="2" t="s">
        <v>2660</v>
      </c>
      <c r="C803" s="2" t="s">
        <v>3251</v>
      </c>
      <c r="D803" s="2" t="s">
        <v>3288</v>
      </c>
      <c r="E803" s="2" t="s">
        <v>3289</v>
      </c>
      <c r="F803" s="2">
        <v>38.0</v>
      </c>
      <c r="G803" s="2">
        <v>233.0</v>
      </c>
      <c r="H803" s="2" t="b">
        <v>1</v>
      </c>
      <c r="I803" s="2">
        <v>-1.0</v>
      </c>
      <c r="J803" s="2" t="b">
        <v>0</v>
      </c>
      <c r="K803" s="2" t="b">
        <v>0</v>
      </c>
      <c r="L803" s="2" t="b">
        <v>0</v>
      </c>
      <c r="M803" s="2" t="b">
        <v>0</v>
      </c>
      <c r="N803" s="2" t="s">
        <v>33</v>
      </c>
      <c r="O803" s="2">
        <v>25.0</v>
      </c>
      <c r="P803" s="2">
        <v>0.0</v>
      </c>
      <c r="Q803" s="2">
        <v>9.0</v>
      </c>
      <c r="R803" s="2">
        <v>0.0</v>
      </c>
      <c r="S803" s="3" t="s">
        <v>3290</v>
      </c>
      <c r="T803" s="2" t="s">
        <v>3291</v>
      </c>
      <c r="Y803" s="4" t="str">
        <f>IFERROR(__xludf.DUMMYFUNCTION("""COMPUTED_VALUE"""),"6.9944981")</f>
        <v>6.9944981</v>
      </c>
      <c r="Z803" s="4" t="str">
        <f>IFERROR(__xludf.DUMMYFUNCTION("""COMPUTED_VALUE"""),"3.2269419")</f>
        <v>3.2269419</v>
      </c>
      <c r="AA803" s="4" t="str">
        <f t="shared" si="1"/>
        <v>Not Neighbor</v>
      </c>
      <c r="AC803" s="4">
        <f>IFERROR(__xludf.DUMMYFUNCTION("IFERROR(ABS(O803-AVERAGE(FILTER(O803:O4871,AA803:AA4871=""Neighbor""))) / STDEV(FILTER(O803:O4871, AA803:AA4871 =""Neighbor"")), """")"),0.9235065804017788)</f>
        <v>0.9235065804</v>
      </c>
      <c r="AD803" s="4">
        <f>IFERROR(__xludf.DUMMYFUNCTION("IFERROR(ABS(P803-AVERAGE(FILTER(O803:P4871,AA803:AA4871=""Neighbor""))) / STDEV(FILTER(P803:P4871, AA803:AA4871 =""Neighbor"")), """")"),1.6296095941242381)</f>
        <v>1.629609594</v>
      </c>
      <c r="AE803" s="2">
        <f>IFERROR(__xludf.DUMMYFUNCTION("IFERROR(ABS(Q803-AVERAGE(FILTER(Q803:Q4871,AA803:AA4871=""Neighbor""))) / STDEV(FILTER(Q803:Q4871, AA803:AA4871 =""Neighbor"")), """")"),0.6477377800505004)</f>
        <v>0.6477377801</v>
      </c>
      <c r="AF803" s="2">
        <f>IFERROR(__xludf.DUMMYFUNCTION("IFERROR(ABS(R803-AVERAGE(FILTER(R803:R4871,AA803:AA4871=""Neighbor""))) / STDEV(FILTER(R803:R4871, AA803:AA4871 =""Neighbor"")), """")"),0.08931046542234651)</f>
        <v>0.08931046542</v>
      </c>
    </row>
    <row r="804">
      <c r="A804" s="2" t="s">
        <v>28</v>
      </c>
      <c r="B804" s="2" t="s">
        <v>2660</v>
      </c>
      <c r="C804" s="2" t="s">
        <v>3251</v>
      </c>
      <c r="D804" s="2" t="s">
        <v>3292</v>
      </c>
      <c r="E804" s="2" t="s">
        <v>3293</v>
      </c>
      <c r="F804" s="2">
        <v>111.0</v>
      </c>
      <c r="G804" s="2">
        <v>626.0</v>
      </c>
      <c r="H804" s="2" t="b">
        <v>1</v>
      </c>
      <c r="I804" s="2">
        <v>-1.0</v>
      </c>
      <c r="J804" s="2" t="b">
        <v>0</v>
      </c>
      <c r="K804" s="2" t="b">
        <v>0</v>
      </c>
      <c r="L804" s="2" t="b">
        <v>0</v>
      </c>
      <c r="M804" s="2" t="b">
        <v>0</v>
      </c>
      <c r="N804" s="2" t="s">
        <v>33</v>
      </c>
      <c r="O804" s="2">
        <v>70.0</v>
      </c>
      <c r="P804" s="2">
        <v>6.0</v>
      </c>
      <c r="Q804" s="2">
        <v>29.0</v>
      </c>
      <c r="R804" s="2">
        <v>0.0</v>
      </c>
      <c r="S804" s="3" t="s">
        <v>3294</v>
      </c>
      <c r="T804" s="2" t="s">
        <v>3295</v>
      </c>
      <c r="Y804" s="4" t="str">
        <f>IFERROR(__xludf.DUMMYFUNCTION("""COMPUTED_VALUE"""),"6.9528252")</f>
        <v>6.9528252</v>
      </c>
      <c r="Z804" s="4" t="str">
        <f>IFERROR(__xludf.DUMMYFUNCTION("""COMPUTED_VALUE"""),"3.0388429")</f>
        <v>3.0388429</v>
      </c>
      <c r="AA804" s="4" t="str">
        <f t="shared" si="1"/>
        <v>Neighbor</v>
      </c>
      <c r="AC804" s="4">
        <f>IFERROR(__xludf.DUMMYFUNCTION("IFERROR(ABS(O804-AVERAGE(FILTER(O804:O4872,AA804:AA4872=""Neighbor""))) / STDEV(FILTER(O804:O4872, AA804:AA4872 =""Neighbor"")), """")"),0.12109658972172471)</f>
        <v>0.1210965897</v>
      </c>
      <c r="AD804" s="4">
        <f>IFERROR(__xludf.DUMMYFUNCTION("IFERROR(ABS(P804-AVERAGE(FILTER(O804:P4872,AA804:AA4872=""Neighbor""))) / STDEV(FILTER(P804:P4872, AA804:AA4872 =""Neighbor"")), """")"),1.388069264400652)</f>
        <v>1.388069264</v>
      </c>
      <c r="AE804" s="2">
        <f>IFERROR(__xludf.DUMMYFUNCTION("IFERROR(ABS(Q804-AVERAGE(FILTER(Q804:Q4872,AA804:AA4872=""Neighbor""))) / STDEV(FILTER(Q804:Q4872, AA804:AA4872 =""Neighbor"")), """")"),0.1750135076016608)</f>
        <v>0.1750135076</v>
      </c>
      <c r="AF804" s="2">
        <f>IFERROR(__xludf.DUMMYFUNCTION("IFERROR(ABS(R804-AVERAGE(FILTER(R804:R4872,AA804:AA4872=""Neighbor""))) / STDEV(FILTER(R804:R4872, AA804:AA4872 =""Neighbor"")), """")"),0.08931046542234651)</f>
        <v>0.08931046542</v>
      </c>
    </row>
    <row r="805">
      <c r="A805" s="2" t="s">
        <v>28</v>
      </c>
      <c r="B805" s="2" t="s">
        <v>2660</v>
      </c>
      <c r="C805" s="2" t="s">
        <v>3251</v>
      </c>
      <c r="D805" s="2" t="s">
        <v>3296</v>
      </c>
      <c r="E805" s="2" t="s">
        <v>3297</v>
      </c>
      <c r="F805" s="2">
        <v>186.0</v>
      </c>
      <c r="G805" s="2">
        <v>967.0</v>
      </c>
      <c r="H805" s="2" t="b">
        <v>1</v>
      </c>
      <c r="I805" s="2">
        <v>-1.0</v>
      </c>
      <c r="J805" s="2" t="b">
        <v>0</v>
      </c>
      <c r="K805" s="2" t="b">
        <v>0</v>
      </c>
      <c r="L805" s="2" t="b">
        <v>0</v>
      </c>
      <c r="M805" s="2" t="b">
        <v>0</v>
      </c>
      <c r="N805" s="2" t="s">
        <v>33</v>
      </c>
      <c r="O805" s="2">
        <v>89.0</v>
      </c>
      <c r="P805" s="2">
        <v>10.0</v>
      </c>
      <c r="Q805" s="2">
        <v>39.0</v>
      </c>
      <c r="R805" s="2">
        <v>26.0</v>
      </c>
      <c r="S805" s="3" t="s">
        <v>3298</v>
      </c>
      <c r="T805" s="2" t="s">
        <v>3299</v>
      </c>
      <c r="Y805" s="4" t="str">
        <f>IFERROR(__xludf.DUMMYFUNCTION("""COMPUTED_VALUE"""),"6.9528252")</f>
        <v>6.9528252</v>
      </c>
      <c r="Z805" s="4" t="str">
        <f>IFERROR(__xludf.DUMMYFUNCTION("""COMPUTED_VALUE"""),"3.0388429")</f>
        <v>3.0388429</v>
      </c>
      <c r="AA805" s="4" t="str">
        <f t="shared" si="1"/>
        <v>Not Neighbor</v>
      </c>
      <c r="AC805" s="4">
        <f>IFERROR(__xludf.DUMMYFUNCTION("IFERROR(ABS(O805-AVERAGE(FILTER(O805:O4873,AA805:AA4873=""Neighbor""))) / STDEV(FILTER(O805:O4873, AA805:AA4873 =""Neighbor"")), """")"),0.5620381723854662)</f>
        <v>0.5620381724</v>
      </c>
      <c r="AD805" s="4">
        <f>IFERROR(__xludf.DUMMYFUNCTION("IFERROR(ABS(P805-AVERAGE(FILTER(O805:P4873,AA805:AA4873=""Neighbor""))) / STDEV(FILTER(P805:P4873, AA805:AA4873 =""Neighbor"")), """")"),1.2267445008400606)</f>
        <v>1.226744501</v>
      </c>
      <c r="AE805" s="2">
        <f>IFERROR(__xludf.DUMMYFUNCTION("IFERROR(ABS(Q805-AVERAGE(FILTER(Q805:Q4873,AA805:AA4873=""Neighbor""))) / STDEV(FILTER(Q805:Q4873, AA805:AA4873 =""Neighbor"")), """")"),0.5863098824707962)</f>
        <v>0.5863098825</v>
      </c>
      <c r="AF805" s="2">
        <f>IFERROR(__xludf.DUMMYFUNCTION("IFERROR(ABS(R805-AVERAGE(FILTER(R805:R4873,AA805:AA4873=""Neighbor""))) / STDEV(FILTER(R805:R4873, AA805:AA4873 =""Neighbor"")), """")"),4.600710629624079)</f>
        <v>4.60071063</v>
      </c>
    </row>
    <row r="806">
      <c r="A806" s="2" t="s">
        <v>28</v>
      </c>
      <c r="B806" s="2" t="s">
        <v>2660</v>
      </c>
      <c r="C806" s="2" t="s">
        <v>3251</v>
      </c>
      <c r="D806" s="2" t="s">
        <v>3300</v>
      </c>
      <c r="E806" s="2" t="s">
        <v>3301</v>
      </c>
      <c r="F806" s="2">
        <v>109.0</v>
      </c>
      <c r="G806" s="2">
        <v>559.0</v>
      </c>
      <c r="H806" s="2" t="b">
        <v>1</v>
      </c>
      <c r="I806" s="2">
        <v>-1.0</v>
      </c>
      <c r="J806" s="2" t="b">
        <v>0</v>
      </c>
      <c r="K806" s="2" t="b">
        <v>1</v>
      </c>
      <c r="L806" s="2" t="b">
        <v>0</v>
      </c>
      <c r="M806" s="2" t="b">
        <v>0</v>
      </c>
      <c r="N806" s="2" t="s">
        <v>33</v>
      </c>
      <c r="O806" s="2">
        <v>73.0</v>
      </c>
      <c r="P806" s="2">
        <v>1.0</v>
      </c>
      <c r="Q806" s="2">
        <v>21.0</v>
      </c>
      <c r="R806" s="2">
        <v>1.0</v>
      </c>
      <c r="S806" s="3" t="s">
        <v>3302</v>
      </c>
      <c r="T806" s="2" t="s">
        <v>3303</v>
      </c>
      <c r="Y806" s="4" t="str">
        <f>IFERROR(__xludf.DUMMYFUNCTION("""COMPUTED_VALUE"""),"6.9599806")</f>
        <v>6.9599806</v>
      </c>
      <c r="Z806" s="4" t="str">
        <f>IFERROR(__xludf.DUMMYFUNCTION("""COMPUTED_VALUE"""),"2.9538954")</f>
        <v>2.9538954</v>
      </c>
      <c r="AA806" s="4" t="str">
        <f t="shared" si="1"/>
        <v>Not Neighbor</v>
      </c>
      <c r="AC806" s="4">
        <f>IFERROR(__xludf.DUMMYFUNCTION("IFERROR(ABS(O806-AVERAGE(FILTER(O806:O4874,AA806:AA4874=""Neighbor""))) / STDEV(FILTER(O806:O4874, AA806:AA4874 =""Neighbor"")), """")"),0.19075642880723476)</f>
        <v>0.1907564288</v>
      </c>
      <c r="AD806" s="4">
        <f>IFERROR(__xludf.DUMMYFUNCTION("IFERROR(ABS(P806-AVERAGE(FILTER(O806:P4874,AA806:AA4874=""Neighbor""))) / STDEV(FILTER(P806:P4874, AA806:AA4874 =""Neighbor"")), """")"),1.588945666533554)</f>
        <v>1.588945667</v>
      </c>
      <c r="AE806" s="2">
        <f>IFERROR(__xludf.DUMMYFUNCTION("IFERROR(ABS(Q806-AVERAGE(FILTER(Q806:Q4874,AA806:AA4874=""Neighbor""))) / STDEV(FILTER(Q806:Q4874, AA806:AA4874 =""Neighbor"")), """")"),0.15390597138659165)</f>
        <v>0.1539059714</v>
      </c>
      <c r="AF806" s="2">
        <f>IFERROR(__xludf.DUMMYFUNCTION("IFERROR(ABS(R806-AVERAGE(FILTER(R806:R4874,AA806:AA4874=""Neighbor""))) / STDEV(FILTER(R806:R4874, AA806:AA4874 =""Neighbor"")), """")"),0.09104360405499867)</f>
        <v>0.09104360405</v>
      </c>
    </row>
    <row r="807">
      <c r="A807" s="2" t="s">
        <v>28</v>
      </c>
      <c r="B807" s="2" t="s">
        <v>2660</v>
      </c>
      <c r="C807" s="2" t="s">
        <v>3251</v>
      </c>
      <c r="D807" s="2" t="s">
        <v>3304</v>
      </c>
      <c r="E807" s="2" t="s">
        <v>3305</v>
      </c>
      <c r="F807" s="2">
        <v>169.0</v>
      </c>
      <c r="G807" s="2">
        <v>890.0</v>
      </c>
      <c r="H807" s="2" t="b">
        <v>1</v>
      </c>
      <c r="I807" s="2">
        <v>-1.0</v>
      </c>
      <c r="J807" s="2" t="b">
        <v>0</v>
      </c>
      <c r="K807" s="2" t="b">
        <v>1</v>
      </c>
      <c r="L807" s="2" t="b">
        <v>0</v>
      </c>
      <c r="M807" s="2" t="b">
        <v>0</v>
      </c>
      <c r="N807" s="2" t="s">
        <v>33</v>
      </c>
      <c r="O807" s="2">
        <v>94.0</v>
      </c>
      <c r="P807" s="2">
        <v>9.0</v>
      </c>
      <c r="Q807" s="2">
        <v>29.0</v>
      </c>
      <c r="R807" s="2">
        <v>21.0</v>
      </c>
      <c r="S807" s="3" t="s">
        <v>3306</v>
      </c>
      <c r="T807" s="2" t="s">
        <v>3307</v>
      </c>
      <c r="Y807" s="4" t="str">
        <f>IFERROR(__xludf.DUMMYFUNCTION("""COMPUTED_VALUE"""),"6.9528252")</f>
        <v>6.9528252</v>
      </c>
      <c r="Z807" s="4" t="str">
        <f>IFERROR(__xludf.DUMMYFUNCTION("""COMPUTED_VALUE"""),"3.0388429")</f>
        <v>3.0388429</v>
      </c>
      <c r="AA807" s="4" t="str">
        <f t="shared" si="1"/>
        <v>Not Neighbor</v>
      </c>
      <c r="AC807" s="4">
        <f>IFERROR(__xludf.DUMMYFUNCTION("IFERROR(ABS(O807-AVERAGE(FILTER(O807:O4875,AA807:AA4875=""Neighbor""))) / STDEV(FILTER(O807:O4875, AA807:AA4875 =""Neighbor"")), """")"),0.6780637172536634)</f>
        <v>0.6780637173</v>
      </c>
      <c r="AD807" s="4">
        <f>IFERROR(__xludf.DUMMYFUNCTION("IFERROR(ABS(P807-AVERAGE(FILTER(O807:P4875,AA807:AA4875=""Neighbor""))) / STDEV(FILTER(P807:P4875, AA807:AA4875 =""Neighbor"")), """")"),1.2669890748060042)</f>
        <v>1.266989075</v>
      </c>
      <c r="AE807" s="2">
        <f>IFERROR(__xludf.DUMMYFUNCTION("IFERROR(ABS(Q807-AVERAGE(FILTER(Q807:Q4875,AA807:AA4875=""Neighbor""))) / STDEV(FILTER(Q807:Q4875, AA807:AA4875 =""Neighbor"")), """")"),0.17507885255002514)</f>
        <v>0.1750788526</v>
      </c>
      <c r="AF807" s="2">
        <f>IFERROR(__xludf.DUMMYFUNCTION("IFERROR(ABS(R807-AVERAGE(FILTER(R807:R4875,AA807:AA4875=""Neighbor""))) / STDEV(FILTER(R807:R4875, AA807:AA4875 =""Neighbor"")), """")"),3.698777224510263)</f>
        <v>3.698777225</v>
      </c>
    </row>
    <row r="808">
      <c r="A808" s="2" t="s">
        <v>28</v>
      </c>
      <c r="B808" s="2" t="s">
        <v>2660</v>
      </c>
      <c r="C808" s="2" t="s">
        <v>3251</v>
      </c>
      <c r="D808" s="2" t="s">
        <v>3308</v>
      </c>
      <c r="E808" s="2" t="s">
        <v>3309</v>
      </c>
      <c r="F808" s="2">
        <v>127.0</v>
      </c>
      <c r="G808" s="2">
        <v>589.0</v>
      </c>
      <c r="H808" s="2" t="b">
        <v>1</v>
      </c>
      <c r="I808" s="2">
        <v>-1.0</v>
      </c>
      <c r="J808" s="2" t="b">
        <v>0</v>
      </c>
      <c r="K808" s="2" t="b">
        <v>0</v>
      </c>
      <c r="L808" s="2" t="b">
        <v>0</v>
      </c>
      <c r="M808" s="2" t="b">
        <v>0</v>
      </c>
      <c r="N808" s="2" t="s">
        <v>33</v>
      </c>
      <c r="O808" s="2">
        <v>81.0</v>
      </c>
      <c r="P808" s="2">
        <v>7.0</v>
      </c>
      <c r="Q808" s="2">
        <v>24.0</v>
      </c>
      <c r="R808" s="2">
        <v>3.0</v>
      </c>
      <c r="S808" s="3" t="s">
        <v>3310</v>
      </c>
      <c r="T808" s="2" t="s">
        <v>3311</v>
      </c>
      <c r="Y808" s="4" t="str">
        <f>IFERROR(__xludf.DUMMYFUNCTION("""COMPUTED_VALUE"""),"7.053766")</f>
        <v>7.053766</v>
      </c>
      <c r="Z808" s="4" t="str">
        <f>IFERROR(__xludf.DUMMYFUNCTION("""COMPUTED_VALUE"""),"2.9738188")</f>
        <v>2.9738188</v>
      </c>
      <c r="AA808" s="4" t="str">
        <f t="shared" si="1"/>
        <v>Neighbor</v>
      </c>
      <c r="AC808" s="4">
        <f>IFERROR(__xludf.DUMMYFUNCTION("IFERROR(ABS(O808-AVERAGE(FILTER(O808:O4876,AA808:AA4876=""Neighbor""))) / STDEV(FILTER(O808:O4876, AA808:AA4876 =""Neighbor"")), """")"),0.37639730059635046)</f>
        <v>0.3763973006</v>
      </c>
      <c r="AD808" s="4">
        <f>IFERROR(__xludf.DUMMYFUNCTION("IFERROR(ABS(P808-AVERAGE(FILTER(O808:P4876,AA808:AA4876=""Neighbor""))) / STDEV(FILTER(P808:P4876, AA808:AA4876 =""Neighbor"")), """")"),1.3474782227378916)</f>
        <v>1.347478223</v>
      </c>
      <c r="AE808" s="2">
        <f>IFERROR(__xludf.DUMMYFUNCTION("IFERROR(ABS(Q808-AVERAGE(FILTER(Q808:Q4876,AA808:AA4876=""Neighbor""))) / STDEV(FILTER(Q808:Q4876, AA808:AA4876 =""Neighbor"")), """")"),0.03053666241036036)</f>
        <v>0.03053666241</v>
      </c>
      <c r="AF808" s="2">
        <f>IFERROR(__xludf.DUMMYFUNCTION("IFERROR(ABS(R808-AVERAGE(FILTER(R808:R4876,AA808:AA4876=""Neighbor""))) / STDEV(FILTER(R808:R4876, AA808:AA4876 =""Neighbor"")), """")"),0.4518169661005251)</f>
        <v>0.4518169661</v>
      </c>
    </row>
    <row r="809">
      <c r="A809" s="2" t="s">
        <v>28</v>
      </c>
      <c r="B809" s="2" t="s">
        <v>2660</v>
      </c>
      <c r="C809" s="2" t="s">
        <v>3251</v>
      </c>
      <c r="D809" s="2" t="s">
        <v>3312</v>
      </c>
      <c r="E809" s="2" t="s">
        <v>3313</v>
      </c>
      <c r="F809" s="2">
        <v>170.0</v>
      </c>
      <c r="G809" s="2">
        <v>864.0</v>
      </c>
      <c r="H809" s="2" t="b">
        <v>1</v>
      </c>
      <c r="I809" s="2">
        <v>-1.0</v>
      </c>
      <c r="J809" s="2" t="b">
        <v>0</v>
      </c>
      <c r="K809" s="2" t="b">
        <v>0</v>
      </c>
      <c r="L809" s="2" t="b">
        <v>0</v>
      </c>
      <c r="M809" s="2" t="b">
        <v>0</v>
      </c>
      <c r="N809" s="2" t="s">
        <v>33</v>
      </c>
      <c r="O809" s="2">
        <v>138.0</v>
      </c>
      <c r="P809" s="2">
        <v>8.0</v>
      </c>
      <c r="Q809" s="2">
        <v>19.0</v>
      </c>
      <c r="R809" s="2">
        <v>1.0</v>
      </c>
      <c r="S809" s="3" t="s">
        <v>3314</v>
      </c>
      <c r="T809" s="2" t="s">
        <v>3315</v>
      </c>
      <c r="Y809" s="4" t="str">
        <f>IFERROR(__xludf.DUMMYFUNCTION("""COMPUTED_VALUE"""),"7.0538652")</f>
        <v>7.0538652</v>
      </c>
      <c r="Z809" s="4" t="str">
        <f>IFERROR(__xludf.DUMMYFUNCTION("""COMPUTED_VALUE"""),"2.975056")</f>
        <v>2.975056</v>
      </c>
      <c r="AA809" s="4" t="str">
        <f t="shared" si="1"/>
        <v>Not Neighbor</v>
      </c>
      <c r="AC809" s="4">
        <f>IFERROR(__xludf.DUMMYFUNCTION("IFERROR(ABS(O809-AVERAGE(FILTER(O809:O4877,AA809:AA4877=""Neighbor""))) / STDEV(FILTER(O809:O4877, AA809:AA4877 =""Neighbor"")), """")"),1.6988323391375235)</f>
        <v>1.698832339</v>
      </c>
      <c r="AD809" s="4">
        <f>IFERROR(__xludf.DUMMYFUNCTION("IFERROR(ABS(P809-AVERAGE(FILTER(O809:P4877,AA809:AA4877=""Neighbor""))) / STDEV(FILTER(P809:P4877, AA809:AA4877 =""Neighbor"")), """")"),1.306721373372313)</f>
        <v>1.306721373</v>
      </c>
      <c r="AE809" s="2">
        <f>IFERROR(__xludf.DUMMYFUNCTION("IFERROR(ABS(Q809-AVERAGE(FILTER(Q809:Q4877,AA809:AA4877=""Neighbor""))) / STDEV(FILTER(Q809:Q4877, AA809:AA4877 =""Neighbor"")), """")"),0.23608870728151718)</f>
        <v>0.2360887073</v>
      </c>
      <c r="AF809" s="2">
        <f>IFERROR(__xludf.DUMMYFUNCTION("IFERROR(ABS(R809-AVERAGE(FILTER(R809:R4877,AA809:AA4877=""Neighbor""))) / STDEV(FILTER(R809:R4877, AA809:AA4877 =""Neighbor"")), """")"),0.09134509431158316)</f>
        <v>0.09134509431</v>
      </c>
    </row>
    <row r="810">
      <c r="A810" s="2" t="s">
        <v>28</v>
      </c>
      <c r="B810" s="2" t="s">
        <v>2660</v>
      </c>
      <c r="C810" s="2" t="s">
        <v>3251</v>
      </c>
      <c r="D810" s="2" t="s">
        <v>3316</v>
      </c>
      <c r="E810" s="2" t="s">
        <v>3317</v>
      </c>
      <c r="F810" s="2">
        <v>77.0</v>
      </c>
      <c r="G810" s="2">
        <v>309.0</v>
      </c>
      <c r="H810" s="2" t="b">
        <v>1</v>
      </c>
      <c r="I810" s="2">
        <v>-1.0</v>
      </c>
      <c r="J810" s="2" t="b">
        <v>0</v>
      </c>
      <c r="K810" s="2" t="b">
        <v>0</v>
      </c>
      <c r="L810" s="2" t="b">
        <v>0</v>
      </c>
      <c r="M810" s="2" t="b">
        <v>0</v>
      </c>
      <c r="N810" s="2" t="s">
        <v>33</v>
      </c>
      <c r="O810" s="2">
        <v>45.0</v>
      </c>
      <c r="P810" s="2">
        <v>2.0</v>
      </c>
      <c r="Q810" s="2">
        <v>21.0</v>
      </c>
      <c r="R810" s="2">
        <v>1.0</v>
      </c>
      <c r="S810" s="3" t="s">
        <v>3318</v>
      </c>
      <c r="T810" s="2" t="s">
        <v>3319</v>
      </c>
      <c r="Y810" s="4" t="str">
        <f>IFERROR(__xludf.DUMMYFUNCTION("""COMPUTED_VALUE"""),"7.0274425")</f>
        <v>7.0274425</v>
      </c>
      <c r="Z810" s="4" t="str">
        <f>IFERROR(__xludf.DUMMYFUNCTION("""COMPUTED_VALUE"""),"3.0131929")</f>
        <v>3.0131929</v>
      </c>
      <c r="AA810" s="4" t="str">
        <f t="shared" si="1"/>
        <v>Not Neighbor</v>
      </c>
      <c r="AC810" s="4">
        <f>IFERROR(__xludf.DUMMYFUNCTION("IFERROR(ABS(O810-AVERAGE(FILTER(O810:O4878,AA810:AA4878=""Neighbor""))) / STDEV(FILTER(O810:O4878, AA810:AA4878 =""Neighbor"")), """")"),0.458570593952337)</f>
        <v>0.458570594</v>
      </c>
      <c r="AD810" s="4">
        <f>IFERROR(__xludf.DUMMYFUNCTION("IFERROR(ABS(P810-AVERAGE(FILTER(O810:P4878,AA810:AA4878=""Neighbor""))) / STDEV(FILTER(P810:P4878, AA810:AA4878 =""Neighbor"")), """")"),1.5481131627023015)</f>
        <v>1.548113163</v>
      </c>
      <c r="AE810" s="2">
        <f>IFERROR(__xludf.DUMMYFUNCTION("IFERROR(ABS(Q810-AVERAGE(FILTER(Q810:Q4878,AA810:AA4878=""Neighbor""))) / STDEV(FILTER(Q810:Q4878, AA810:AA4878 =""Neighbor"")), """")"),0.15387232147562113)</f>
        <v>0.1538723215</v>
      </c>
      <c r="AF810" s="2">
        <f>IFERROR(__xludf.DUMMYFUNCTION("IFERROR(ABS(R810-AVERAGE(FILTER(R810:R4878,AA810:AA4878=""Neighbor""))) / STDEV(FILTER(R810:R4878, AA810:AA4878 =""Neighbor"")), """")"),0.09134509431158316)</f>
        <v>0.09134509431</v>
      </c>
    </row>
    <row r="811">
      <c r="A811" s="2" t="s">
        <v>28</v>
      </c>
      <c r="B811" s="2" t="s">
        <v>3320</v>
      </c>
      <c r="C811" s="2" t="s">
        <v>3321</v>
      </c>
      <c r="D811" s="2" t="s">
        <v>3322</v>
      </c>
      <c r="E811" s="2" t="s">
        <v>3323</v>
      </c>
      <c r="F811" s="2">
        <v>134.0</v>
      </c>
      <c r="G811" s="2">
        <v>686.0</v>
      </c>
      <c r="H811" s="2" t="b">
        <v>1</v>
      </c>
      <c r="I811" s="2">
        <v>-1.0</v>
      </c>
      <c r="J811" s="2" t="b">
        <v>0</v>
      </c>
      <c r="K811" s="2" t="b">
        <v>0</v>
      </c>
      <c r="L811" s="2" t="b">
        <v>0</v>
      </c>
      <c r="M811" s="2" t="b">
        <v>0</v>
      </c>
      <c r="N811" s="2" t="s">
        <v>33</v>
      </c>
      <c r="O811" s="2">
        <v>80.0</v>
      </c>
      <c r="P811" s="2">
        <v>20.0</v>
      </c>
      <c r="Q811" s="2">
        <v>20.0</v>
      </c>
      <c r="R811" s="2">
        <v>0.0</v>
      </c>
      <c r="S811" s="3" t="s">
        <v>3324</v>
      </c>
      <c r="T811" s="2" t="s">
        <v>3325</v>
      </c>
      <c r="Y811" s="4" t="str">
        <f>IFERROR(__xludf.DUMMYFUNCTION("""COMPUTED_VALUE"""),"6.9221932")</f>
        <v>6.9221932</v>
      </c>
      <c r="Z811" s="4" t="str">
        <f>IFERROR(__xludf.DUMMYFUNCTION("""COMPUTED_VALUE"""),"3.0075642")</f>
        <v>3.0075642</v>
      </c>
      <c r="AA811" s="4" t="str">
        <f t="shared" si="1"/>
        <v>Neighbor</v>
      </c>
      <c r="AC811" s="4">
        <f>IFERROR(__xludf.DUMMYFUNCTION("IFERROR(ABS(O811-AVERAGE(FILTER(O811:O4879,AA811:AA4879=""Neighbor""))) / STDEV(FILTER(O811:O4879, AA811:AA4879 =""Neighbor"")), """")"),0.3533552410814815)</f>
        <v>0.3533552411</v>
      </c>
      <c r="AD811" s="4">
        <f>IFERROR(__xludf.DUMMYFUNCTION("IFERROR(ABS(P811-AVERAGE(FILTER(O811:P4879,AA811:AA4879=""Neighbor""))) / STDEV(FILTER(P811:P4879, AA811:AA4879 =""Neighbor"")), """")"),0.8239377947123366)</f>
        <v>0.8239377947</v>
      </c>
      <c r="AE811" s="2">
        <f>IFERROR(__xludf.DUMMYFUNCTION("IFERROR(ABS(Q811-AVERAGE(FILTER(Q811:Q4879,AA811:AA4879=""Neighbor""))) / STDEV(FILTER(Q811:Q4879, AA811:AA4879 =""Neighbor"")), """")"),0.19498051437856914)</f>
        <v>0.1949805144</v>
      </c>
      <c r="AF811" s="2">
        <f>IFERROR(__xludf.DUMMYFUNCTION("IFERROR(ABS(R811-AVERAGE(FILTER(R811:R4879,AA811:AA4879=""Neighbor""))) / STDEV(FILTER(R811:R4879, AA811:AA4879 =""Neighbor"")), """")"),0.0889894901602816)</f>
        <v>0.08898949016</v>
      </c>
    </row>
    <row r="812">
      <c r="A812" s="2" t="s">
        <v>28</v>
      </c>
      <c r="B812" s="2" t="s">
        <v>3320</v>
      </c>
      <c r="C812" s="2" t="s">
        <v>3321</v>
      </c>
      <c r="D812" s="2" t="s">
        <v>3326</v>
      </c>
      <c r="E812" s="2" t="s">
        <v>3327</v>
      </c>
      <c r="F812" s="2">
        <v>109.0</v>
      </c>
      <c r="G812" s="2">
        <v>730.0</v>
      </c>
      <c r="H812" s="2" t="b">
        <v>1</v>
      </c>
      <c r="I812" s="2">
        <v>-1.0</v>
      </c>
      <c r="J812" s="2" t="b">
        <v>0</v>
      </c>
      <c r="K812" s="2" t="b">
        <v>0</v>
      </c>
      <c r="L812" s="2" t="b">
        <v>0</v>
      </c>
      <c r="M812" s="2" t="b">
        <v>0</v>
      </c>
      <c r="N812" s="2" t="s">
        <v>33</v>
      </c>
      <c r="O812" s="2">
        <v>64.0</v>
      </c>
      <c r="P812" s="2">
        <v>24.0</v>
      </c>
      <c r="Q812" s="2">
        <v>16.0</v>
      </c>
      <c r="R812" s="2">
        <v>0.0</v>
      </c>
      <c r="S812" s="3" t="s">
        <v>3328</v>
      </c>
      <c r="T812" s="2" t="s">
        <v>3329</v>
      </c>
      <c r="Y812" s="4" t="str">
        <f>IFERROR(__xludf.DUMMYFUNCTION("""COMPUTED_VALUE"""),"6.9221932")</f>
        <v>6.9221932</v>
      </c>
      <c r="Z812" s="4" t="str">
        <f>IFERROR(__xludf.DUMMYFUNCTION("""COMPUTED_VALUE"""),"3.0075642")</f>
        <v>3.0075642</v>
      </c>
      <c r="AA812" s="4" t="str">
        <f t="shared" si="1"/>
        <v>Not Neighbor</v>
      </c>
      <c r="AC812" s="4">
        <f>IFERROR(__xludf.DUMMYFUNCTION("IFERROR(ABS(O812-AVERAGE(FILTER(O812:O4880,AA812:AA4880=""Neighbor""))) / STDEV(FILTER(O812:O4880, AA812:AA4880 =""Neighbor"")), """")"),0.017548663522536003)</f>
        <v>0.01754866352</v>
      </c>
      <c r="AD812" s="4">
        <f>IFERROR(__xludf.DUMMYFUNCTION("IFERROR(ABS(P812-AVERAGE(FILTER(O812:P4880,AA812:AA4880=""Neighbor""))) / STDEV(FILTER(P812:P4880, AA812:AA4880 =""Neighbor"")), """")"),0.6624967434229746)</f>
        <v>0.6624967434</v>
      </c>
      <c r="AE812" s="2">
        <f>IFERROR(__xludf.DUMMYFUNCTION("IFERROR(ABS(Q812-AVERAGE(FILTER(Q812:Q4880,AA812:AA4880=""Neighbor""))) / STDEV(FILTER(Q812:Q4880, AA812:AA4880 =""Neighbor"")), """")"),0.35942926835305045)</f>
        <v>0.3594292684</v>
      </c>
      <c r="AF812" s="2">
        <f>IFERROR(__xludf.DUMMYFUNCTION("IFERROR(ABS(R812-AVERAGE(FILTER(R812:R4880,AA812:AA4880=""Neighbor""))) / STDEV(FILTER(R812:R4880, AA812:AA4880 =""Neighbor"")), """")"),0.08902202980460583)</f>
        <v>0.0890220298</v>
      </c>
    </row>
    <row r="813">
      <c r="A813" s="2" t="s">
        <v>28</v>
      </c>
      <c r="B813" s="2" t="s">
        <v>3320</v>
      </c>
      <c r="C813" s="2" t="s">
        <v>3321</v>
      </c>
      <c r="D813" s="2" t="s">
        <v>3330</v>
      </c>
      <c r="E813" s="2" t="s">
        <v>3331</v>
      </c>
      <c r="F813" s="2">
        <v>181.0</v>
      </c>
      <c r="G813" s="2">
        <v>1005.0</v>
      </c>
      <c r="H813" s="2" t="b">
        <v>1</v>
      </c>
      <c r="I813" s="2">
        <v>-1.0</v>
      </c>
      <c r="J813" s="2" t="b">
        <v>0</v>
      </c>
      <c r="K813" s="2" t="b">
        <v>0</v>
      </c>
      <c r="L813" s="2" t="b">
        <v>0</v>
      </c>
      <c r="M813" s="2" t="b">
        <v>0</v>
      </c>
      <c r="N813" s="2" t="s">
        <v>33</v>
      </c>
      <c r="O813" s="2">
        <v>100.0</v>
      </c>
      <c r="P813" s="2">
        <v>18.0</v>
      </c>
      <c r="Q813" s="2">
        <v>44.0</v>
      </c>
      <c r="R813" s="2">
        <v>0.0</v>
      </c>
      <c r="S813" s="3" t="s">
        <v>3332</v>
      </c>
      <c r="T813" s="2" t="s">
        <v>3333</v>
      </c>
      <c r="Y813" s="4" t="str">
        <f>IFERROR(__xludf.DUMMYFUNCTION("""COMPUTED_VALUE"""),"6.8953757")</f>
        <v>6.8953757</v>
      </c>
      <c r="Z813" s="4" t="str">
        <f>IFERROR(__xludf.DUMMYFUNCTION("""COMPUTED_VALUE"""),"3.0147898")</f>
        <v>3.0147898</v>
      </c>
      <c r="AA813" s="4" t="str">
        <f t="shared" si="1"/>
        <v>Neighbor</v>
      </c>
      <c r="AC813" s="4">
        <f>IFERROR(__xludf.DUMMYFUNCTION("IFERROR(ABS(O813-AVERAGE(FILTER(O813:O4881,AA813:AA4881=""Neighbor""))) / STDEV(FILTER(O813:O4881, AA813:AA4881 =""Neighbor"")), """")"),0.8173096360351909)</f>
        <v>0.817309636</v>
      </c>
      <c r="AD813" s="4">
        <f>IFERROR(__xludf.DUMMYFUNCTION("IFERROR(ABS(P813-AVERAGE(FILTER(O813:P4881,AA813:AA4881=""Neighbor""))) / STDEV(FILTER(P813:P4881, AA813:AA4881 =""Neighbor"")), """")"),0.9038029240058171)</f>
        <v>0.903802924</v>
      </c>
      <c r="AE813" s="2">
        <f>IFERROR(__xludf.DUMMYFUNCTION("IFERROR(ABS(Q813-AVERAGE(FILTER(Q813:Q4881,AA813:AA4881=""Neighbor""))) / STDEV(FILTER(Q813:Q4881, AA813:AA4881 =""Neighbor"")), """")"),0.7911980041992757)</f>
        <v>0.7911980042</v>
      </c>
      <c r="AF813" s="2">
        <f>IFERROR(__xludf.DUMMYFUNCTION("IFERROR(ABS(R813-AVERAGE(FILTER(R813:R4881,AA813:AA4881=""Neighbor""))) / STDEV(FILTER(R813:R4881, AA813:AA4881 =""Neighbor"")), """")"),0.08902202980460583)</f>
        <v>0.0890220298</v>
      </c>
    </row>
    <row r="814">
      <c r="A814" s="2" t="s">
        <v>28</v>
      </c>
      <c r="B814" s="2" t="s">
        <v>3320</v>
      </c>
      <c r="C814" s="2" t="s">
        <v>3321</v>
      </c>
      <c r="D814" s="2" t="s">
        <v>3334</v>
      </c>
      <c r="E814" s="2" t="s">
        <v>3335</v>
      </c>
      <c r="F814" s="2">
        <v>98.0</v>
      </c>
      <c r="G814" s="2">
        <v>750.0</v>
      </c>
      <c r="H814" s="2" t="b">
        <v>1</v>
      </c>
      <c r="I814" s="2">
        <v>-1.0</v>
      </c>
      <c r="J814" s="2" t="b">
        <v>0</v>
      </c>
      <c r="K814" s="2" t="b">
        <v>0</v>
      </c>
      <c r="L814" s="2" t="b">
        <v>0</v>
      </c>
      <c r="M814" s="2" t="b">
        <v>0</v>
      </c>
      <c r="N814" s="2" t="s">
        <v>33</v>
      </c>
      <c r="O814" s="2">
        <v>59.0</v>
      </c>
      <c r="P814" s="2">
        <v>9.0</v>
      </c>
      <c r="Q814" s="2">
        <v>14.0</v>
      </c>
      <c r="R814" s="2">
        <v>4.0</v>
      </c>
      <c r="S814" s="3" t="s">
        <v>3336</v>
      </c>
      <c r="T814" s="2" t="s">
        <v>3337</v>
      </c>
      <c r="Y814" s="4" t="str">
        <f>IFERROR(__xludf.DUMMYFUNCTION("""COMPUTED_VALUE"""),"6.8953757")</f>
        <v>6.8953757</v>
      </c>
      <c r="Z814" s="4" t="str">
        <f>IFERROR(__xludf.DUMMYFUNCTION("""COMPUTED_VALUE"""),"3.0147898")</f>
        <v>3.0147898</v>
      </c>
      <c r="AA814" s="4" t="str">
        <f t="shared" si="1"/>
        <v>Not Neighbor</v>
      </c>
      <c r="AC814" s="4">
        <f>IFERROR(__xludf.DUMMYFUNCTION("IFERROR(ABS(O814-AVERAGE(FILTER(O814:O4882,AA814:AA4882=""Neighbor""))) / STDEV(FILTER(O814:O4882, AA814:AA4882 =""Neighbor"")), """")"),0.13289121069353083)</f>
        <v>0.1328912107</v>
      </c>
      <c r="AD814" s="4">
        <f>IFERROR(__xludf.DUMMYFUNCTION("IFERROR(ABS(P814-AVERAGE(FILTER(O814:P4882,AA814:AA4882=""Neighbor""))) / STDEV(FILTER(P814:P4882, AA814:AA4882 =""Neighbor"")), """")"),1.2647632921445833)</f>
        <v>1.264763292</v>
      </c>
      <c r="AE814" s="2">
        <f>IFERROR(__xludf.DUMMYFUNCTION("IFERROR(ABS(Q814-AVERAGE(FILTER(Q814:Q4882,AA814:AA4882=""Neighbor""))) / STDEV(FILTER(Q814:Q4882, AA814:AA4882 =""Neighbor"")), """")"),0.4409820346753425)</f>
        <v>0.4409820347</v>
      </c>
      <c r="AF814" s="2">
        <f>IFERROR(__xludf.DUMMYFUNCTION("IFERROR(ABS(R814-AVERAGE(FILTER(R814:R4882,AA814:AA4882=""Neighbor""))) / STDEV(FILTER(R814:R4882, AA814:AA4882 =""Neighbor"")), """")"),0.6317638460909227)</f>
        <v>0.6317638461</v>
      </c>
    </row>
    <row r="815">
      <c r="A815" s="2" t="s">
        <v>28</v>
      </c>
      <c r="B815" s="2" t="s">
        <v>3320</v>
      </c>
      <c r="C815" s="2" t="s">
        <v>3321</v>
      </c>
      <c r="D815" s="2" t="s">
        <v>3338</v>
      </c>
      <c r="E815" s="2" t="s">
        <v>3339</v>
      </c>
      <c r="F815" s="2">
        <v>105.0</v>
      </c>
      <c r="G815" s="2">
        <v>445.0</v>
      </c>
      <c r="H815" s="2" t="b">
        <v>1</v>
      </c>
      <c r="I815" s="2">
        <v>-1.0</v>
      </c>
      <c r="J815" s="2" t="b">
        <v>0</v>
      </c>
      <c r="K815" s="2" t="b">
        <v>0</v>
      </c>
      <c r="L815" s="2" t="b">
        <v>0</v>
      </c>
      <c r="M815" s="2" t="b">
        <v>0</v>
      </c>
      <c r="N815" s="2" t="s">
        <v>33</v>
      </c>
      <c r="O815" s="2">
        <v>59.0</v>
      </c>
      <c r="P815" s="2">
        <v>2.0</v>
      </c>
      <c r="Q815" s="2">
        <v>28.0</v>
      </c>
      <c r="R815" s="2">
        <v>0.0</v>
      </c>
      <c r="S815" s="3" t="s">
        <v>3340</v>
      </c>
      <c r="T815" s="2" t="s">
        <v>3341</v>
      </c>
      <c r="Y815" s="4" t="str">
        <f>IFERROR(__xludf.DUMMYFUNCTION("""COMPUTED_VALUE"""),"6.9221932")</f>
        <v>6.9221932</v>
      </c>
      <c r="Z815" s="4" t="str">
        <f>IFERROR(__xludf.DUMMYFUNCTION("""COMPUTED_VALUE"""),"3.0075642")</f>
        <v>3.0075642</v>
      </c>
      <c r="AA815" s="4" t="str">
        <f t="shared" si="1"/>
        <v>Neighbor</v>
      </c>
      <c r="AC815" s="4">
        <f>IFERROR(__xludf.DUMMYFUNCTION("IFERROR(ABS(O815-AVERAGE(FILTER(O815:O4883,AA815:AA4883=""Neighbor""))) / STDEV(FILTER(O815:O4883, AA815:AA4883 =""Neighbor"")), """")"),0.13289121069353083)</f>
        <v>0.1328912107</v>
      </c>
      <c r="AD815" s="4">
        <f>IFERROR(__xludf.DUMMYFUNCTION("IFERROR(ABS(P815-AVERAGE(FILTER(O815:P4883,AA815:AA4883=""Neighbor""))) / STDEV(FILTER(P815:P4883, AA815:AA4883 =""Neighbor"")), """")"),1.5461853959594192)</f>
        <v>1.546185396</v>
      </c>
      <c r="AE815" s="2">
        <f>IFERROR(__xludf.DUMMYFUNCTION("IFERROR(ABS(Q815-AVERAGE(FILTER(Q815:Q4883,AA815:AA4883=""Neighbor""))) / STDEV(FILTER(Q815:Q4883, AA815:AA4883 =""Neighbor"")), """")"),0.13425346884482256)</f>
        <v>0.1342534688</v>
      </c>
      <c r="AF815" s="2">
        <f>IFERROR(__xludf.DUMMYFUNCTION("IFERROR(ABS(R815-AVERAGE(FILTER(R815:R4883,AA815:AA4883=""Neighbor""))) / STDEV(FILTER(R815:R4883, AA815:AA4883 =""Neighbor"")), """")"),0.08905460517036223)</f>
        <v>0.08905460517</v>
      </c>
    </row>
    <row r="816">
      <c r="A816" s="2" t="s">
        <v>28</v>
      </c>
      <c r="B816" s="2" t="s">
        <v>3320</v>
      </c>
      <c r="C816" s="2" t="s">
        <v>3321</v>
      </c>
      <c r="D816" s="2" t="s">
        <v>3342</v>
      </c>
      <c r="E816" s="2" t="s">
        <v>3343</v>
      </c>
      <c r="F816" s="2">
        <v>37.0</v>
      </c>
      <c r="G816" s="2">
        <v>357.0</v>
      </c>
      <c r="H816" s="2" t="b">
        <v>1</v>
      </c>
      <c r="I816" s="2">
        <v>-1.0</v>
      </c>
      <c r="J816" s="2" t="b">
        <v>0</v>
      </c>
      <c r="K816" s="2" t="b">
        <v>0</v>
      </c>
      <c r="L816" s="2" t="b">
        <v>0</v>
      </c>
      <c r="M816" s="2" t="b">
        <v>0</v>
      </c>
      <c r="N816" s="2" t="s">
        <v>33</v>
      </c>
      <c r="O816" s="2">
        <v>27.0</v>
      </c>
      <c r="P816" s="2">
        <v>0.0</v>
      </c>
      <c r="Q816" s="2">
        <v>5.0</v>
      </c>
      <c r="R816" s="2">
        <v>0.0</v>
      </c>
      <c r="S816" s="3" t="s">
        <v>3344</v>
      </c>
      <c r="T816" s="2" t="s">
        <v>3345</v>
      </c>
      <c r="Y816" s="4" t="str">
        <f>IFERROR(__xludf.DUMMYFUNCTION("""COMPUTED_VALUE"""),"6.9221932")</f>
        <v>6.9221932</v>
      </c>
      <c r="Z816" s="4" t="str">
        <f>IFERROR(__xludf.DUMMYFUNCTION("""COMPUTED_VALUE"""),"3.0075642")</f>
        <v>3.0075642</v>
      </c>
      <c r="AA816" s="4" t="str">
        <f t="shared" si="1"/>
        <v>Neighbor</v>
      </c>
      <c r="AC816" s="4">
        <f>IFERROR(__xludf.DUMMYFUNCTION("IFERROR(ABS(O816-AVERAGE(FILTER(O816:O4884,AA816:AA4884=""Neighbor""))) / STDEV(FILTER(O816:O4884, AA816:AA4884 =""Neighbor"")), """")"),0.8746820631215494)</f>
        <v>0.8746820631</v>
      </c>
      <c r="AD816" s="4">
        <f>IFERROR(__xludf.DUMMYFUNCTION("IFERROR(ABS(P816-AVERAGE(FILTER(O816:P4884,AA816:AA4884=""Neighbor""))) / STDEV(FILTER(P816:P4884, AA816:AA4884 =""Neighbor"")), """")"),1.6264837774637655)</f>
        <v>1.626483777</v>
      </c>
      <c r="AE816" s="2">
        <f>IFERROR(__xludf.DUMMYFUNCTION("IFERROR(ABS(Q816-AVERAGE(FILTER(Q816:Q4884,AA816:AA4884=""Neighbor""))) / STDEV(FILTER(Q816:Q4884, AA816:AA4884 =""Neighbor"")), """")"),0.8103891175142462)</f>
        <v>0.8103891175</v>
      </c>
      <c r="AF816" s="2">
        <f>IFERROR(__xludf.DUMMYFUNCTION("IFERROR(ABS(R816-AVERAGE(FILTER(R816:R4884,AA816:AA4884=""Neighbor""))) / STDEV(FILTER(R816:R4884, AA816:AA4884 =""Neighbor"")), """")"),0.08908721632295641)</f>
        <v>0.08908721632</v>
      </c>
    </row>
    <row r="817">
      <c r="A817" s="2" t="s">
        <v>28</v>
      </c>
      <c r="B817" s="2" t="s">
        <v>3320</v>
      </c>
      <c r="C817" s="2" t="s">
        <v>3321</v>
      </c>
      <c r="D817" s="2" t="s">
        <v>3346</v>
      </c>
      <c r="E817" s="2" t="s">
        <v>3347</v>
      </c>
      <c r="F817" s="2">
        <v>95.0</v>
      </c>
      <c r="G817" s="2">
        <v>616.0</v>
      </c>
      <c r="H817" s="2" t="b">
        <v>1</v>
      </c>
      <c r="I817" s="2">
        <v>-1.0</v>
      </c>
      <c r="J817" s="2" t="b">
        <v>0</v>
      </c>
      <c r="K817" s="2" t="b">
        <v>0</v>
      </c>
      <c r="L817" s="2" t="b">
        <v>0</v>
      </c>
      <c r="M817" s="2" t="b">
        <v>0</v>
      </c>
      <c r="N817" s="2" t="s">
        <v>33</v>
      </c>
      <c r="O817" s="2">
        <v>54.0</v>
      </c>
      <c r="P817" s="2">
        <v>8.0</v>
      </c>
      <c r="Q817" s="2">
        <v>24.0</v>
      </c>
      <c r="R817" s="2">
        <v>0.0</v>
      </c>
      <c r="S817" s="3" t="s">
        <v>3348</v>
      </c>
      <c r="T817" s="2" t="s">
        <v>3349</v>
      </c>
      <c r="Y817" s="4" t="str">
        <f>IFERROR(__xludf.DUMMYFUNCTION("""COMPUTED_VALUE"""),"6.9221932")</f>
        <v>6.9221932</v>
      </c>
      <c r="Z817" s="4" t="str">
        <f>IFERROR(__xludf.DUMMYFUNCTION("""COMPUTED_VALUE"""),"3.0075642")</f>
        <v>3.0075642</v>
      </c>
      <c r="AA817" s="4" t="str">
        <f t="shared" si="1"/>
        <v>Not Neighbor</v>
      </c>
      <c r="AC817" s="4">
        <f>IFERROR(__xludf.DUMMYFUNCTION("IFERROR(ABS(O817-AVERAGE(FILTER(O817:O4885,AA817:AA4885=""Neighbor""))) / STDEV(FILTER(O817:O4885, AA817:AA4885 =""Neighbor"")), """")"),0.24945279379904067)</f>
        <v>0.2494527938</v>
      </c>
      <c r="AD817" s="4">
        <f>IFERROR(__xludf.DUMMYFUNCTION("IFERROR(ABS(P817-AVERAGE(FILTER(O817:P4885,AA817:AA4885=""Neighbor""))) / STDEV(FILTER(P817:P4885, AA817:AA4885 =""Neighbor"")), """")"),1.3054525441758753)</f>
        <v>1.305452544</v>
      </c>
      <c r="AE817" s="2">
        <f>IFERROR(__xludf.DUMMYFUNCTION("IFERROR(ABS(Q817-AVERAGE(FILTER(Q817:Q4885,AA817:AA4885=""Neighbor""))) / STDEV(FILTER(Q817:Q4885, AA817:AA4885 =""Neighbor"")), """")"),0.030577164271225015)</f>
        <v>0.03057716427</v>
      </c>
      <c r="AF817" s="2">
        <f>IFERROR(__xludf.DUMMYFUNCTION("IFERROR(ABS(R817-AVERAGE(FILTER(R817:R4885,AA817:AA4885=""Neighbor""))) / STDEV(FILTER(R817:R4885, AA817:AA4885 =""Neighbor"")), """")"),0.08911986332796172)</f>
        <v>0.08911986333</v>
      </c>
    </row>
    <row r="818">
      <c r="A818" s="2" t="s">
        <v>28</v>
      </c>
      <c r="B818" s="2" t="s">
        <v>3320</v>
      </c>
      <c r="C818" s="2" t="s">
        <v>3321</v>
      </c>
      <c r="D818" s="2" t="s">
        <v>3350</v>
      </c>
      <c r="E818" s="2" t="s">
        <v>3351</v>
      </c>
      <c r="F818" s="2">
        <v>447.0</v>
      </c>
      <c r="G818" s="2">
        <v>2384.0</v>
      </c>
      <c r="H818" s="2" t="b">
        <v>1</v>
      </c>
      <c r="I818" s="2">
        <v>-1.0</v>
      </c>
      <c r="J818" s="2" t="b">
        <v>1</v>
      </c>
      <c r="K818" s="2" t="b">
        <v>0</v>
      </c>
      <c r="L818" s="2" t="b">
        <v>0</v>
      </c>
      <c r="M818" s="2" t="b">
        <v>0</v>
      </c>
      <c r="N818" s="2" t="s">
        <v>33</v>
      </c>
      <c r="O818" s="2">
        <v>86.0</v>
      </c>
      <c r="P818" s="2">
        <v>14.0</v>
      </c>
      <c r="Q818" s="2">
        <v>17.0</v>
      </c>
      <c r="R818" s="2">
        <v>0.0</v>
      </c>
      <c r="S818" s="3" t="s">
        <v>3352</v>
      </c>
      <c r="T818" s="2" t="s">
        <v>3353</v>
      </c>
      <c r="Y818" s="4" t="str">
        <f>IFERROR(__xludf.DUMMYFUNCTION("""COMPUTED_VALUE"""),"6.8902833")</f>
        <v>6.8902833</v>
      </c>
      <c r="Z818" s="4" t="str">
        <f>IFERROR(__xludf.DUMMYFUNCTION("""COMPUTED_VALUE"""),"3.0153101")</f>
        <v>3.0153101</v>
      </c>
      <c r="AA818" s="4" t="str">
        <f t="shared" si="1"/>
        <v>Not Neighbor</v>
      </c>
      <c r="AC818" s="4">
        <f>IFERROR(__xludf.DUMMYFUNCTION("IFERROR(ABS(O818-AVERAGE(FILTER(O818:O4886,AA818:AA4886=""Neighbor""))) / STDEV(FILTER(O818:O4886, AA818:AA4886 =""Neighbor"")), """")"),0.49222562368515066)</f>
        <v>0.4922256237</v>
      </c>
      <c r="AD818" s="4">
        <f>IFERROR(__xludf.DUMMYFUNCTION("IFERROR(ABS(P818-AVERAGE(FILTER(O818:P4886,AA818:AA4886=""Neighbor""))) / STDEV(FILTER(P818:P4886, AA818:AA4886 =""Neighbor"")), """")"),1.064343332459191)</f>
        <v>1.064343332</v>
      </c>
      <c r="AE818" s="2">
        <f>IFERROR(__xludf.DUMMYFUNCTION("IFERROR(ABS(Q818-AVERAGE(FILTER(Q818:Q4886,AA818:AA4886=""Neighbor""))) / STDEV(FILTER(Q818:Q4886, AA818:AA4886 =""Neighbor"")), """")"),0.3180563098828004)</f>
        <v>0.3180563099</v>
      </c>
      <c r="AF818" s="2">
        <f>IFERROR(__xludf.DUMMYFUNCTION("IFERROR(ABS(R818-AVERAGE(FILTER(R818:R4886,AA818:AA4886=""Neighbor""))) / STDEV(FILTER(R818:R4886, AA818:AA4886 =""Neighbor"")), """")"),0.08911986332796172)</f>
        <v>0.08911986333</v>
      </c>
    </row>
    <row r="819">
      <c r="A819" s="2" t="s">
        <v>28</v>
      </c>
      <c r="B819" s="2" t="s">
        <v>3320</v>
      </c>
      <c r="C819" s="2" t="s">
        <v>3321</v>
      </c>
      <c r="D819" s="2" t="s">
        <v>3354</v>
      </c>
      <c r="E819" s="2" t="s">
        <v>3355</v>
      </c>
      <c r="F819" s="2">
        <v>122.0</v>
      </c>
      <c r="G819" s="2">
        <v>845.0</v>
      </c>
      <c r="H819" s="2" t="b">
        <v>1</v>
      </c>
      <c r="I819" s="2">
        <v>-1.0</v>
      </c>
      <c r="J819" s="2" t="b">
        <v>0</v>
      </c>
      <c r="K819" s="2" t="b">
        <v>0</v>
      </c>
      <c r="L819" s="2" t="b">
        <v>0</v>
      </c>
      <c r="M819" s="2" t="b">
        <v>0</v>
      </c>
      <c r="N819" s="2" t="s">
        <v>33</v>
      </c>
      <c r="O819" s="2">
        <v>78.0</v>
      </c>
      <c r="P819" s="2">
        <v>23.0</v>
      </c>
      <c r="Q819" s="2">
        <v>4.0</v>
      </c>
      <c r="R819" s="2">
        <v>3.0</v>
      </c>
      <c r="S819" s="3" t="s">
        <v>3356</v>
      </c>
      <c r="T819" s="2" t="s">
        <v>3357</v>
      </c>
      <c r="Y819" s="4" t="str">
        <f>IFERROR(__xludf.DUMMYFUNCTION("""COMPUTED_VALUE"""),"6.9221932")</f>
        <v>6.9221932</v>
      </c>
      <c r="Z819" s="4" t="str">
        <f>IFERROR(__xludf.DUMMYFUNCTION("""COMPUTED_VALUE"""),"3.0075642")</f>
        <v>3.0075642</v>
      </c>
      <c r="AA819" s="4" t="str">
        <f t="shared" si="1"/>
        <v>Not Neighbor</v>
      </c>
      <c r="AC819" s="4">
        <f>IFERROR(__xludf.DUMMYFUNCTION("IFERROR(ABS(O819-AVERAGE(FILTER(O819:O4887,AA819:AA4887=""Neighbor""))) / STDEV(FILTER(O819:O4887, AA819:AA4887 =""Neighbor"")), """")"),0.30680601931410284)</f>
        <v>0.3068060193</v>
      </c>
      <c r="AD819" s="4">
        <f>IFERROR(__xludf.DUMMYFUNCTION("IFERROR(ABS(P819-AVERAGE(FILTER(O819:P4887,AA819:AA4887=""Neighbor""))) / STDEV(FILTER(P819:P4887, AA819:AA4887 =""Neighbor"")), """")"),0.7026795148841647)</f>
        <v>0.7026795149</v>
      </c>
      <c r="AE819" s="2">
        <f>IFERROR(__xludf.DUMMYFUNCTION("IFERROR(ABS(Q819-AVERAGE(FILTER(Q819:Q4887,AA819:AA4887=""Neighbor""))) / STDEV(FILTER(Q819:Q4887, AA819:AA4887 =""Neighbor"")), """")"),0.851946151732869)</f>
        <v>0.8519461517</v>
      </c>
      <c r="AF819" s="2">
        <f>IFERROR(__xludf.DUMMYFUNCTION("IFERROR(ABS(R819-AVERAGE(FILTER(R819:R4887,AA819:AA4887=""Neighbor""))) / STDEV(FILTER(R819:R4887, AA819:AA4887 =""Neighbor"")), """")"),0.4511037787865357)</f>
        <v>0.4511037788</v>
      </c>
    </row>
    <row r="820">
      <c r="A820" s="2" t="s">
        <v>28</v>
      </c>
      <c r="B820" s="2" t="s">
        <v>3320</v>
      </c>
      <c r="C820" s="2" t="s">
        <v>3321</v>
      </c>
      <c r="D820" s="2" t="s">
        <v>3358</v>
      </c>
      <c r="E820" s="2" t="s">
        <v>3359</v>
      </c>
      <c r="F820" s="2">
        <v>64.0</v>
      </c>
      <c r="G820" s="2">
        <v>373.0</v>
      </c>
      <c r="H820" s="2" t="b">
        <v>1</v>
      </c>
      <c r="I820" s="2">
        <v>-1.0</v>
      </c>
      <c r="J820" s="2" t="b">
        <v>0</v>
      </c>
      <c r="K820" s="2" t="b">
        <v>0</v>
      </c>
      <c r="L820" s="2" t="b">
        <v>0</v>
      </c>
      <c r="M820" s="2" t="b">
        <v>0</v>
      </c>
      <c r="N820" s="2" t="s">
        <v>33</v>
      </c>
      <c r="O820" s="2">
        <v>41.0</v>
      </c>
      <c r="P820" s="2">
        <v>3.0</v>
      </c>
      <c r="Q820" s="2">
        <v>16.0</v>
      </c>
      <c r="R820" s="2">
        <v>0.0</v>
      </c>
      <c r="S820" s="3" t="s">
        <v>3360</v>
      </c>
      <c r="T820" s="2" t="s">
        <v>3361</v>
      </c>
      <c r="Y820" s="4" t="str">
        <f>IFERROR(__xludf.DUMMYFUNCTION("""COMPUTED_VALUE"""),"6.9194")</f>
        <v>6.9194</v>
      </c>
      <c r="Z820" s="4" t="str">
        <f>IFERROR(__xludf.DUMMYFUNCTION("""COMPUTED_VALUE"""),"3.0251")</f>
        <v>3.0251</v>
      </c>
      <c r="AA820" s="4" t="str">
        <f t="shared" si="1"/>
        <v>Not Neighbor</v>
      </c>
      <c r="AC820" s="4">
        <f>IFERROR(__xludf.DUMMYFUNCTION("IFERROR(ABS(O820-AVERAGE(FILTER(O820:O4888,AA820:AA4888=""Neighbor""))) / STDEV(FILTER(O820:O4888, AA820:AA4888 =""Neighbor"")), """")"),0.5507596509019934)</f>
        <v>0.5507596509</v>
      </c>
      <c r="AD820" s="4">
        <f>IFERROR(__xludf.DUMMYFUNCTION("IFERROR(ABS(P820-AVERAGE(FILTER(O820:P4888,AA820:AA4888=""Neighbor""))) / STDEV(FILTER(P820:P4888, AA820:AA4888 =""Neighbor"")), """")"),1.506376887273112)</f>
        <v>1.506376887</v>
      </c>
      <c r="AE820" s="2">
        <f>IFERROR(__xludf.DUMMYFUNCTION("IFERROR(ABS(Q820-AVERAGE(FILTER(Q820:Q4888,AA820:AA4888=""Neighbor""))) / STDEV(FILTER(Q820:Q4888, AA820:AA4888 =""Neighbor"")), """")"),0.3591247592558826)</f>
        <v>0.3591247593</v>
      </c>
      <c r="AF820" s="2">
        <f>IFERROR(__xludf.DUMMYFUNCTION("IFERROR(ABS(R820-AVERAGE(FILTER(R820:R4888,AA820:AA4888=""Neighbor""))) / STDEV(FILTER(R820:R4888, AA820:AA4888 =""Neighbor"")), """")"),0.08911986332796172)</f>
        <v>0.08911986333</v>
      </c>
    </row>
    <row r="821">
      <c r="A821" s="2" t="s">
        <v>28</v>
      </c>
      <c r="B821" s="2" t="s">
        <v>3320</v>
      </c>
      <c r="C821" s="2" t="s">
        <v>3321</v>
      </c>
      <c r="D821" s="2" t="s">
        <v>3362</v>
      </c>
      <c r="E821" s="2" t="s">
        <v>3363</v>
      </c>
      <c r="F821" s="2">
        <v>111.0</v>
      </c>
      <c r="G821" s="2">
        <v>580.0</v>
      </c>
      <c r="H821" s="2" t="b">
        <v>1</v>
      </c>
      <c r="I821" s="2">
        <v>-1.0</v>
      </c>
      <c r="J821" s="2" t="b">
        <v>0</v>
      </c>
      <c r="K821" s="2" t="b">
        <v>0</v>
      </c>
      <c r="L821" s="2" t="b">
        <v>0</v>
      </c>
      <c r="M821" s="2" t="b">
        <v>0</v>
      </c>
      <c r="N821" s="2" t="s">
        <v>33</v>
      </c>
      <c r="O821" s="2">
        <v>69.0</v>
      </c>
      <c r="P821" s="2">
        <v>17.0</v>
      </c>
      <c r="Q821" s="2">
        <v>13.0</v>
      </c>
      <c r="R821" s="2">
        <v>3.0</v>
      </c>
      <c r="S821" s="3" t="s">
        <v>3364</v>
      </c>
      <c r="T821" s="2" t="s">
        <v>3365</v>
      </c>
      <c r="Y821" s="4" t="str">
        <f>IFERROR(__xludf.DUMMYFUNCTION("""COMPUTED_VALUE"""),"6.9221932")</f>
        <v>6.9221932</v>
      </c>
      <c r="Z821" s="4" t="str">
        <f>IFERROR(__xludf.DUMMYFUNCTION("""COMPUTED_VALUE"""),"3.0075642")</f>
        <v>3.0075642</v>
      </c>
      <c r="AA821" s="4" t="str">
        <f t="shared" si="1"/>
        <v>Not Neighbor</v>
      </c>
      <c r="AC821" s="4">
        <f>IFERROR(__xludf.DUMMYFUNCTION("IFERROR(ABS(O821-AVERAGE(FILTER(O821:O4889,AA821:AA4889=""Neighbor""))) / STDEV(FILTER(O821:O4889, AA821:AA4889 =""Neighbor"")), """")"),0.09820896439667401)</f>
        <v>0.0982089644</v>
      </c>
      <c r="AD821" s="4">
        <f>IFERROR(__xludf.DUMMYFUNCTION("IFERROR(ABS(P821-AVERAGE(FILTER(O821:P4889,AA821:AA4889=""Neighbor""))) / STDEV(FILTER(P821:P4889, AA821:AA4889 =""Neighbor"")), """")"),0.9437887266008489)</f>
        <v>0.9437887266</v>
      </c>
      <c r="AE821" s="2">
        <f>IFERROR(__xludf.DUMMYFUNCTION("IFERROR(ABS(Q821-AVERAGE(FILTER(Q821:Q4889,AA821:AA4889=""Neighbor""))) / STDEV(FILTER(Q821:Q4889, AA821:AA4889 =""Neighbor"")), """")"),0.4823301073751292)</f>
        <v>0.4823301074</v>
      </c>
      <c r="AF821" s="2">
        <f>IFERROR(__xludf.DUMMYFUNCTION("IFERROR(ABS(R821-AVERAGE(FILTER(R821:R4889,AA821:AA4889=""Neighbor""))) / STDEV(FILTER(R821:R4889, AA821:AA4889 =""Neighbor"")), """")"),0.4511037787865357)</f>
        <v>0.4511037788</v>
      </c>
    </row>
    <row r="822">
      <c r="A822" s="2" t="s">
        <v>28</v>
      </c>
      <c r="B822" s="2" t="s">
        <v>3320</v>
      </c>
      <c r="C822" s="2" t="s">
        <v>3321</v>
      </c>
      <c r="D822" s="2" t="s">
        <v>3366</v>
      </c>
      <c r="E822" s="2" t="s">
        <v>3367</v>
      </c>
      <c r="F822" s="2">
        <v>333.0</v>
      </c>
      <c r="G822" s="2">
        <v>2445.0</v>
      </c>
      <c r="H822" s="2" t="b">
        <v>1</v>
      </c>
      <c r="I822" s="2">
        <v>-1.0</v>
      </c>
      <c r="J822" s="2" t="b">
        <v>0</v>
      </c>
      <c r="K822" s="2" t="b">
        <v>0</v>
      </c>
      <c r="L822" s="2" t="b">
        <v>0</v>
      </c>
      <c r="M822" s="2" t="b">
        <v>0</v>
      </c>
      <c r="N822" s="2" t="s">
        <v>33</v>
      </c>
      <c r="O822" s="2">
        <v>196.0</v>
      </c>
      <c r="P822" s="2">
        <v>88.0</v>
      </c>
      <c r="Q822" s="2">
        <v>29.0</v>
      </c>
      <c r="R822" s="2">
        <v>1.0</v>
      </c>
      <c r="S822" s="3" t="s">
        <v>3368</v>
      </c>
      <c r="T822" s="2" t="s">
        <v>3369</v>
      </c>
      <c r="Y822" s="4" t="str">
        <f>IFERROR(__xludf.DUMMYFUNCTION("""COMPUTED_VALUE"""),"6.9006661")</f>
        <v>6.9006661</v>
      </c>
      <c r="Z822" s="4" t="str">
        <f>IFERROR(__xludf.DUMMYFUNCTION("""COMPUTED_VALUE"""),"3.0116488")</f>
        <v>3.0116488</v>
      </c>
      <c r="AA822" s="4" t="str">
        <f t="shared" si="1"/>
        <v>Not Neighbor</v>
      </c>
      <c r="AC822" s="4">
        <f>IFERROR(__xludf.DUMMYFUNCTION("IFERROR(ABS(O822-AVERAGE(FILTER(O822:O4890,AA822:AA4890=""Neighbor""))) / STDEV(FILTER(O822:O4890, AA822:AA4890 =""Neighbor"")), """")"),3.041745183787058)</f>
        <v>3.041745184</v>
      </c>
      <c r="AD822" s="4">
        <f>IFERROR(__xludf.DUMMYFUNCTION("IFERROR(ABS(P822-AVERAGE(FILTER(O822:P4890,AA822:AA4890=""Neighbor""))) / STDEV(FILTER(P822:P4890, AA822:AA4890 =""Neighbor"")), """")"),1.9093369453799143)</f>
        <v>1.909336945</v>
      </c>
      <c r="AE822" s="2">
        <f>IFERROR(__xludf.DUMMYFUNCTION("IFERROR(ABS(Q822-AVERAGE(FILTER(Q822:Q4890,AA822:AA4890=""Neighbor""))) / STDEV(FILTER(Q822:Q4890, AA822:AA4890 =""Neighbor"")), """")"),0.17476508259418597)</f>
        <v>0.1747650826</v>
      </c>
      <c r="AF822" s="2">
        <f>IFERROR(__xludf.DUMMYFUNCTION("IFERROR(ABS(R822-AVERAGE(FILTER(R822:R4890,AA822:AA4890=""Neighbor""))) / STDEV(FILTER(R822:R4890, AA822:AA4890 =""Neighbor"")), """")"),0.0909546840435374)</f>
        <v>0.09095468404</v>
      </c>
    </row>
    <row r="823">
      <c r="A823" s="2" t="s">
        <v>28</v>
      </c>
      <c r="B823" s="2" t="s">
        <v>3320</v>
      </c>
      <c r="C823" s="2" t="s">
        <v>3321</v>
      </c>
      <c r="D823" s="2" t="s">
        <v>3370</v>
      </c>
      <c r="E823" s="2" t="s">
        <v>3371</v>
      </c>
      <c r="F823" s="2">
        <v>182.0</v>
      </c>
      <c r="G823" s="2">
        <v>1733.0</v>
      </c>
      <c r="H823" s="2" t="b">
        <v>1</v>
      </c>
      <c r="I823" s="2">
        <v>-1.0</v>
      </c>
      <c r="J823" s="2" t="b">
        <v>0</v>
      </c>
      <c r="K823" s="2" t="b">
        <v>1</v>
      </c>
      <c r="L823" s="2" t="b">
        <v>0</v>
      </c>
      <c r="M823" s="2" t="b">
        <v>0</v>
      </c>
      <c r="N823" s="2" t="s">
        <v>33</v>
      </c>
      <c r="O823" s="2">
        <v>87.0</v>
      </c>
      <c r="P823" s="2">
        <v>81.0</v>
      </c>
      <c r="Q823" s="2">
        <v>7.0</v>
      </c>
      <c r="R823" s="2">
        <v>0.0</v>
      </c>
      <c r="S823" s="3" t="s">
        <v>3372</v>
      </c>
      <c r="T823" s="2" t="s">
        <v>3373</v>
      </c>
      <c r="Y823" s="4" t="str">
        <f>IFERROR(__xludf.DUMMYFUNCTION("""COMPUTED_VALUE"""),"6.9221932")</f>
        <v>6.9221932</v>
      </c>
      <c r="Z823" s="4" t="str">
        <f>IFERROR(__xludf.DUMMYFUNCTION("""COMPUTED_VALUE"""),"3.0075642")</f>
        <v>3.0075642</v>
      </c>
      <c r="AA823" s="4" t="str">
        <f t="shared" si="1"/>
        <v>Neighbor</v>
      </c>
      <c r="AC823" s="4">
        <f>IFERROR(__xludf.DUMMYFUNCTION("IFERROR(ABS(O823-AVERAGE(FILTER(O823:O4891,AA823:AA4891=""Neighbor""))) / STDEV(FILTER(O823:O4891, AA823:AA4891 =""Neighbor"")), """")"),0.5154030742315316)</f>
        <v>0.5154030742</v>
      </c>
      <c r="AD823" s="4">
        <f>IFERROR(__xludf.DUMMYFUNCTION("IFERROR(ABS(P823-AVERAGE(FILTER(O823:P4891,AA823:AA4891=""Neighbor""))) / STDEV(FILTER(P823:P4891, AA823:AA4891 =""Neighbor"")), """")"),1.6280428650437826)</f>
        <v>1.628042865</v>
      </c>
      <c r="AE823" s="2">
        <f>IFERROR(__xludf.DUMMYFUNCTION("IFERROR(ABS(Q823-AVERAGE(FILTER(Q823:Q4891,AA823:AA4891=""Neighbor""))) / STDEV(FILTER(Q823:Q4891, AA823:AA4891 =""Neighbor"")), """")"),0.7287408036136224)</f>
        <v>0.7287408036</v>
      </c>
      <c r="AF823" s="2">
        <f>IFERROR(__xludf.DUMMYFUNCTION("IFERROR(ABS(R823-AVERAGE(FILTER(R823:R4891,AA823:AA4891=""Neighbor""))) / STDEV(FILTER(R823:R4891, AA823:AA4891 =""Neighbor"")), """")"),0.08911986332796172)</f>
        <v>0.08911986333</v>
      </c>
    </row>
    <row r="824">
      <c r="A824" s="2" t="s">
        <v>28</v>
      </c>
      <c r="B824" s="2" t="s">
        <v>3320</v>
      </c>
      <c r="C824" s="2" t="s">
        <v>3321</v>
      </c>
      <c r="D824" s="2" t="s">
        <v>3374</v>
      </c>
      <c r="E824" s="2" t="s">
        <v>3375</v>
      </c>
      <c r="F824" s="2">
        <v>91.0</v>
      </c>
      <c r="G824" s="2">
        <v>647.0</v>
      </c>
      <c r="H824" s="2" t="b">
        <v>1</v>
      </c>
      <c r="I824" s="2">
        <v>-1.0</v>
      </c>
      <c r="J824" s="2" t="b">
        <v>0</v>
      </c>
      <c r="K824" s="2" t="b">
        <v>1</v>
      </c>
      <c r="L824" s="2" t="b">
        <v>0</v>
      </c>
      <c r="M824" s="2" t="b">
        <v>0</v>
      </c>
      <c r="N824" s="2" t="s">
        <v>33</v>
      </c>
      <c r="O824" s="2">
        <v>59.0</v>
      </c>
      <c r="P824" s="2">
        <v>3.0</v>
      </c>
      <c r="Q824" s="2">
        <v>21.0</v>
      </c>
      <c r="R824" s="2">
        <v>0.0</v>
      </c>
      <c r="S824" s="3" t="s">
        <v>3376</v>
      </c>
      <c r="T824" s="2" t="s">
        <v>3377</v>
      </c>
      <c r="Y824" s="4" t="str">
        <f>IFERROR(__xludf.DUMMYFUNCTION("""COMPUTED_VALUE"""),"6.9221932")</f>
        <v>6.9221932</v>
      </c>
      <c r="Z824" s="4" t="str">
        <f>IFERROR(__xludf.DUMMYFUNCTION("""COMPUTED_VALUE"""),"3.0075642")</f>
        <v>3.0075642</v>
      </c>
      <c r="AA824" s="4" t="str">
        <f t="shared" si="1"/>
        <v>Not Neighbor</v>
      </c>
      <c r="AC824" s="4">
        <f>IFERROR(__xludf.DUMMYFUNCTION("IFERROR(ABS(O824-AVERAGE(FILTER(O824:O4892,AA824:AA4892=""Neighbor""))) / STDEV(FILTER(O824:O4892, AA824:AA4892 =""Neighbor"")), """")"),0.13315453528586788)</f>
        <v>0.1331545353</v>
      </c>
      <c r="AD824" s="4">
        <f>IFERROR(__xludf.DUMMYFUNCTION("IFERROR(ABS(P824-AVERAGE(FILTER(O824:P4892,AA824:AA4892=""Neighbor""))) / STDEV(FILTER(P824:P4892, AA824:AA4892 =""Neighbor"")), """")"),1.508285757739102)</f>
        <v>1.508285758</v>
      </c>
      <c r="AE824" s="2">
        <f>IFERROR(__xludf.DUMMYFUNCTION("IFERROR(ABS(Q824-AVERAGE(FILTER(Q824:Q4892,AA824:AA4892=""Neighbor""))) / STDEV(FILTER(Q824:Q4892, AA824:AA4892 =""Neighbor"")), """")"),0.1542869348016901)</f>
        <v>0.1542869348</v>
      </c>
      <c r="AF824" s="2">
        <f>IFERROR(__xludf.DUMMYFUNCTION("IFERROR(ABS(R824-AVERAGE(FILTER(R824:R4892,AA824:AA4892=""Neighbor""))) / STDEV(FILTER(R824:R4892, AA824:AA4892 =""Neighbor"")), """")"),0.08915254625111978)</f>
        <v>0.08915254625</v>
      </c>
    </row>
    <row r="825">
      <c r="A825" s="2" t="s">
        <v>28</v>
      </c>
      <c r="B825" s="2" t="s">
        <v>3320</v>
      </c>
      <c r="C825" s="2" t="s">
        <v>3378</v>
      </c>
      <c r="D825" s="2" t="s">
        <v>3379</v>
      </c>
      <c r="E825" s="2" t="s">
        <v>3380</v>
      </c>
      <c r="F825" s="2">
        <v>139.0</v>
      </c>
      <c r="G825" s="2">
        <v>800.0</v>
      </c>
      <c r="H825" s="2" t="b">
        <v>1</v>
      </c>
      <c r="I825" s="2">
        <v>-1.0</v>
      </c>
      <c r="J825" s="2" t="b">
        <v>0</v>
      </c>
      <c r="K825" s="2" t="b">
        <v>0</v>
      </c>
      <c r="L825" s="2" t="b">
        <v>0</v>
      </c>
      <c r="M825" s="2" t="b">
        <v>0</v>
      </c>
      <c r="N825" s="2" t="s">
        <v>33</v>
      </c>
      <c r="O825" s="2">
        <v>86.0</v>
      </c>
      <c r="P825" s="2">
        <v>19.0</v>
      </c>
      <c r="Q825" s="2">
        <v>21.0</v>
      </c>
      <c r="R825" s="2">
        <v>0.0</v>
      </c>
      <c r="S825" s="3" t="s">
        <v>3381</v>
      </c>
      <c r="T825" s="2" t="s">
        <v>3382</v>
      </c>
      <c r="Y825" s="4" t="str">
        <f>IFERROR(__xludf.DUMMYFUNCTION("""COMPUTED_VALUE"""),"6.8953645")</f>
        <v>6.8953645</v>
      </c>
      <c r="Z825" s="4" t="str">
        <f>IFERROR(__xludf.DUMMYFUNCTION("""COMPUTED_VALUE"""),"3.0125674")</f>
        <v>3.0125674</v>
      </c>
      <c r="AA825" s="4" t="str">
        <f t="shared" si="1"/>
        <v>Neighbor</v>
      </c>
      <c r="AC825" s="4">
        <f>IFERROR(__xludf.DUMMYFUNCTION("IFERROR(ABS(O825-AVERAGE(FILTER(O825:O4893,AA825:AA4893=""Neighbor""))) / STDEV(FILTER(O825:O4893, AA825:AA4893 =""Neighbor"")), """")"),0.49246926415423437)</f>
        <v>0.4924692642</v>
      </c>
      <c r="AD825" s="4">
        <f>IFERROR(__xludf.DUMMYFUNCTION("IFERROR(ABS(P825-AVERAGE(FILTER(O825:P4893,AA825:AA4893=""Neighbor""))) / STDEV(FILTER(P825:P4893, AA825:AA4893 =""Neighbor"")), """")"),0.8639683726926735)</f>
        <v>0.8639683727</v>
      </c>
      <c r="AE825" s="2">
        <f>IFERROR(__xludf.DUMMYFUNCTION("IFERROR(ABS(Q825-AVERAGE(FILTER(Q825:Q4893,AA825:AA4893=""Neighbor""))) / STDEV(FILTER(Q825:Q4893, AA825:AA4893 =""Neighbor"")), """")"),0.1542869348016901)</f>
        <v>0.1542869348</v>
      </c>
      <c r="AF825" s="2">
        <f>IFERROR(__xludf.DUMMYFUNCTION("IFERROR(ABS(R825-AVERAGE(FILTER(R825:R4893,AA825:AA4893=""Neighbor""))) / STDEV(FILTER(R825:R4893, AA825:AA4893 =""Neighbor"")), """")"),0.08915254625111978)</f>
        <v>0.08915254625</v>
      </c>
    </row>
    <row r="826">
      <c r="A826" s="2" t="s">
        <v>28</v>
      </c>
      <c r="B826" s="2" t="s">
        <v>3320</v>
      </c>
      <c r="C826" s="2" t="s">
        <v>3378</v>
      </c>
      <c r="D826" s="2" t="s">
        <v>3383</v>
      </c>
      <c r="E826" s="2" t="s">
        <v>3384</v>
      </c>
      <c r="F826" s="2">
        <v>97.0</v>
      </c>
      <c r="G826" s="2">
        <v>529.0</v>
      </c>
      <c r="H826" s="2" t="b">
        <v>1</v>
      </c>
      <c r="I826" s="2">
        <v>-1.0</v>
      </c>
      <c r="J826" s="2" t="b">
        <v>0</v>
      </c>
      <c r="K826" s="2" t="b">
        <v>1</v>
      </c>
      <c r="L826" s="2" t="b">
        <v>0</v>
      </c>
      <c r="M826" s="2" t="b">
        <v>0</v>
      </c>
      <c r="N826" s="2" t="s">
        <v>33</v>
      </c>
      <c r="O826" s="2">
        <v>54.0</v>
      </c>
      <c r="P826" s="2">
        <v>5.0</v>
      </c>
      <c r="Q826" s="2">
        <v>18.0</v>
      </c>
      <c r="R826" s="2">
        <v>0.0</v>
      </c>
      <c r="S826" s="3" t="s">
        <v>3385</v>
      </c>
      <c r="T826" s="2" t="s">
        <v>3386</v>
      </c>
      <c r="Y826" s="4" t="str">
        <f>IFERROR(__xludf.DUMMYFUNCTION("""COMPUTED_VALUE"""),"6.8953645")</f>
        <v>6.8953645</v>
      </c>
      <c r="Z826" s="4" t="str">
        <f>IFERROR(__xludf.DUMMYFUNCTION("""COMPUTED_VALUE"""),"3.0125674")</f>
        <v>3.0125674</v>
      </c>
      <c r="AA826" s="4" t="str">
        <f t="shared" si="1"/>
        <v>Not Neighbor</v>
      </c>
      <c r="AC826" s="4">
        <f>IFERROR(__xludf.DUMMYFUNCTION("IFERROR(ABS(O826-AVERAGE(FILTER(O826:O4894,AA826:AA4894=""Neighbor""))) / STDEV(FILTER(O826:O4894, AA826:AA4894 =""Neighbor"")), """")"),0.24858320653686927)</f>
        <v>0.2485832065</v>
      </c>
      <c r="AD826" s="4">
        <f>IFERROR(__xludf.DUMMYFUNCTION("IFERROR(ABS(P826-AVERAGE(FILTER(O826:P4894,AA826:AA4894=""Neighbor""))) / STDEV(FILTER(P826:P4894, AA826:AA4894 =""Neighbor"")), """")"),1.4268790474075277)</f>
        <v>1.426879047</v>
      </c>
      <c r="AE826" s="2">
        <f>IFERROR(__xludf.DUMMYFUNCTION("IFERROR(ABS(Q826-AVERAGE(FILTER(Q826:Q4894,AA826:AA4894=""Neighbor""))) / STDEV(FILTER(Q826:Q4894, AA826:AA4894 =""Neighbor"")), """")"),0.2774849347787406)</f>
        <v>0.2774849348</v>
      </c>
      <c r="AF826" s="2">
        <f>IFERROR(__xludf.DUMMYFUNCTION("IFERROR(ABS(R826-AVERAGE(FILTER(R826:R4894,AA826:AA4894=""Neighbor""))) / STDEV(FILTER(R826:R4894, AA826:AA4894 =""Neighbor"")), """")"),0.08918526515834115)</f>
        <v>0.08918526516</v>
      </c>
    </row>
    <row r="827">
      <c r="A827" s="2" t="s">
        <v>28</v>
      </c>
      <c r="B827" s="2" t="s">
        <v>3320</v>
      </c>
      <c r="C827" s="2" t="s">
        <v>3378</v>
      </c>
      <c r="D827" s="2" t="s">
        <v>3387</v>
      </c>
      <c r="E827" s="2" t="s">
        <v>3388</v>
      </c>
      <c r="F827" s="2">
        <v>68.0</v>
      </c>
      <c r="G827" s="2">
        <v>436.0</v>
      </c>
      <c r="H827" s="2" t="b">
        <v>1</v>
      </c>
      <c r="I827" s="2">
        <v>-1.0</v>
      </c>
      <c r="J827" s="2" t="b">
        <v>0</v>
      </c>
      <c r="K827" s="2" t="b">
        <v>0</v>
      </c>
      <c r="L827" s="2" t="b">
        <v>0</v>
      </c>
      <c r="M827" s="2" t="b">
        <v>0</v>
      </c>
      <c r="N827" s="2" t="s">
        <v>33</v>
      </c>
      <c r="O827" s="2">
        <v>50.0</v>
      </c>
      <c r="P827" s="2">
        <v>4.0</v>
      </c>
      <c r="Q827" s="2">
        <v>7.0</v>
      </c>
      <c r="R827" s="2">
        <v>0.0</v>
      </c>
      <c r="S827" s="3" t="s">
        <v>3389</v>
      </c>
      <c r="T827" s="2" t="s">
        <v>3390</v>
      </c>
      <c r="Y827" s="4" t="str">
        <f>IFERROR(__xludf.DUMMYFUNCTION("""COMPUTED_VALUE"""),"6.8951117")</f>
        <v>6.8951117</v>
      </c>
      <c r="Z827" s="4" t="str">
        <f>IFERROR(__xludf.DUMMYFUNCTION("""COMPUTED_VALUE"""),"3.052612")</f>
        <v>3.052612</v>
      </c>
      <c r="AA827" s="4" t="str">
        <f t="shared" si="1"/>
        <v>Not Neighbor</v>
      </c>
      <c r="AC827" s="4">
        <f>IFERROR(__xludf.DUMMYFUNCTION("IFERROR(ABS(O827-AVERAGE(FILTER(O827:O4895,AA827:AA4895=""Neighbor""))) / STDEV(FILTER(O827:O4895, AA827:AA4895 =""Neighbor"")), """")"),0.3412426263204962)</f>
        <v>0.3412426263</v>
      </c>
      <c r="AD827" s="4">
        <f>IFERROR(__xludf.DUMMYFUNCTION("IFERROR(ABS(P827-AVERAGE(FILTER(O827:P4895,AA827:AA4895=""Neighbor""))) / STDEV(FILTER(P827:P4895, AA827:AA4895 =""Neighbor"")), """")"),1.467134397397619)</f>
        <v>1.467134397</v>
      </c>
      <c r="AE827" s="2">
        <f>IFERROR(__xludf.DUMMYFUNCTION("IFERROR(ABS(Q827-AVERAGE(FILTER(Q827:Q4895,AA827:AA4895=""Neighbor""))) / STDEV(FILTER(Q827:Q4895, AA827:AA4895 =""Neighbor"")), """")"),0.7290000437470157)</f>
        <v>0.7290000437</v>
      </c>
      <c r="AF827" s="2">
        <f>IFERROR(__xludf.DUMMYFUNCTION("IFERROR(ABS(R827-AVERAGE(FILTER(R827:R4895,AA827:AA4895=""Neighbor""))) / STDEV(FILTER(R827:R4895, AA827:AA4895 =""Neighbor"")), """")"),0.08918526515834115)</f>
        <v>0.08918526516</v>
      </c>
    </row>
    <row r="828">
      <c r="A828" s="2" t="s">
        <v>28</v>
      </c>
      <c r="B828" s="2" t="s">
        <v>3320</v>
      </c>
      <c r="C828" s="2" t="s">
        <v>3378</v>
      </c>
      <c r="D828" s="2" t="s">
        <v>3391</v>
      </c>
      <c r="E828" s="2" t="s">
        <v>3392</v>
      </c>
      <c r="F828" s="2">
        <v>198.0</v>
      </c>
      <c r="G828" s="2">
        <v>813.0</v>
      </c>
      <c r="H828" s="2" t="b">
        <v>1</v>
      </c>
      <c r="I828" s="2">
        <v>-1.0</v>
      </c>
      <c r="J828" s="2" t="b">
        <v>0</v>
      </c>
      <c r="K828" s="2" t="b">
        <v>0</v>
      </c>
      <c r="L828" s="2" t="b">
        <v>0</v>
      </c>
      <c r="M828" s="2" t="b">
        <v>0</v>
      </c>
      <c r="N828" s="2" t="s">
        <v>33</v>
      </c>
      <c r="O828" s="2">
        <v>142.0</v>
      </c>
      <c r="P828" s="2">
        <v>13.0</v>
      </c>
      <c r="Q828" s="2">
        <v>30.0</v>
      </c>
      <c r="R828" s="2">
        <v>0.0</v>
      </c>
      <c r="S828" s="3" t="s">
        <v>3393</v>
      </c>
      <c r="T828" s="2" t="s">
        <v>3394</v>
      </c>
      <c r="Y828" s="4" t="str">
        <f>IFERROR(__xludf.DUMMYFUNCTION("""COMPUTED_VALUE"""),"6.890537")</f>
        <v>6.890537</v>
      </c>
      <c r="Z828" s="4" t="str">
        <f>IFERROR(__xludf.DUMMYFUNCTION("""COMPUTED_VALUE"""),"3.0214025")</f>
        <v>3.0214025</v>
      </c>
      <c r="AA828" s="4" t="str">
        <f t="shared" si="1"/>
        <v>Neighbor</v>
      </c>
      <c r="AC828" s="4">
        <f>IFERROR(__xludf.DUMMYFUNCTION("IFERROR(ABS(O828-AVERAGE(FILTER(O828:O4896,AA828:AA4896=""Neighbor""))) / STDEV(FILTER(O828:O4896, AA828:AA4896 =""Neighbor"")), """")"),1.789924028702922)</f>
        <v>1.789924029</v>
      </c>
      <c r="AD828" s="4">
        <f>IFERROR(__xludf.DUMMYFUNCTION("IFERROR(ABS(P828-AVERAGE(FILTER(O828:P4896,AA828:AA4896=""Neighbor""))) / STDEV(FILTER(P828:P4896, AA828:AA4896 =""Neighbor"")), """")"),1.1048362474867968)</f>
        <v>1.104836247</v>
      </c>
      <c r="AE828" s="2">
        <f>IFERROR(__xludf.DUMMYFUNCTION("IFERROR(ABS(Q828-AVERAGE(FILTER(Q828:Q4896,AA828:AA4896=""Neighbor""))) / STDEV(FILTER(Q828:Q4896, AA828:AA4896 =""Neighbor"")), """")"),0.21507700227755958)</f>
        <v>0.2150770023</v>
      </c>
      <c r="AF828" s="2">
        <f>IFERROR(__xludf.DUMMYFUNCTION("IFERROR(ABS(R828-AVERAGE(FILTER(R828:R4896,AA828:AA4896=""Neighbor""))) / STDEV(FILTER(R828:R4896, AA828:AA4896 =""Neighbor"")), """")"),0.08918526515834115)</f>
        <v>0.08918526516</v>
      </c>
    </row>
    <row r="829">
      <c r="A829" s="2" t="s">
        <v>28</v>
      </c>
      <c r="B829" s="2" t="s">
        <v>3320</v>
      </c>
      <c r="C829" s="2" t="s">
        <v>3378</v>
      </c>
      <c r="D829" s="2" t="s">
        <v>3395</v>
      </c>
      <c r="E829" s="2" t="s">
        <v>3396</v>
      </c>
      <c r="F829" s="2">
        <v>139.0</v>
      </c>
      <c r="G829" s="2">
        <v>759.0</v>
      </c>
      <c r="H829" s="2" t="b">
        <v>1</v>
      </c>
      <c r="I829" s="2">
        <v>-1.0</v>
      </c>
      <c r="J829" s="2" t="b">
        <v>0</v>
      </c>
      <c r="K829" s="2" t="b">
        <v>0</v>
      </c>
      <c r="L829" s="2" t="b">
        <v>0</v>
      </c>
      <c r="M829" s="2" t="b">
        <v>0</v>
      </c>
      <c r="N829" s="2" t="s">
        <v>33</v>
      </c>
      <c r="O829" s="2">
        <v>90.0</v>
      </c>
      <c r="P829" s="2">
        <v>20.0</v>
      </c>
      <c r="Q829" s="2">
        <v>12.0</v>
      </c>
      <c r="R829" s="2">
        <v>2.0</v>
      </c>
      <c r="S829" s="3" t="s">
        <v>3397</v>
      </c>
      <c r="T829" s="2" t="s">
        <v>3398</v>
      </c>
      <c r="Y829" s="4" t="str">
        <f>IFERROR(__xludf.DUMMYFUNCTION("""COMPUTED_VALUE"""),"6.8934979")</f>
        <v>6.8934979</v>
      </c>
      <c r="Z829" s="4" t="str">
        <f>IFERROR(__xludf.DUMMYFUNCTION("""COMPUTED_VALUE"""),"3.0187495")</f>
        <v>3.0187495</v>
      </c>
      <c r="AA829" s="4" t="str">
        <f t="shared" si="1"/>
        <v>Not Neighbor</v>
      </c>
      <c r="AC829" s="4">
        <f>IFERROR(__xludf.DUMMYFUNCTION("IFERROR(ABS(O829-AVERAGE(FILTER(O829:O4897,AA829:AA4897=""Neighbor""))) / STDEV(FILTER(O829:O4897, AA829:AA4897 =""Neighbor"")), """")"),0.5871300622280224)</f>
        <v>0.5871300622</v>
      </c>
      <c r="AD829" s="4">
        <f>IFERROR(__xludf.DUMMYFUNCTION("IFERROR(ABS(P829-AVERAGE(FILTER(O829:P4897,AA829:AA4897=""Neighbor""))) / STDEV(FILTER(P829:P4897, AA829:AA4897 =""Neighbor"")), """")"),0.8216658399154813)</f>
        <v>0.8216658399</v>
      </c>
      <c r="AE829" s="2">
        <f>IFERROR(__xludf.DUMMYFUNCTION("IFERROR(ABS(Q829-AVERAGE(FILTER(Q829:Q4897,AA829:AA4897=""Neighbor""))) / STDEV(FILTER(Q829:Q4897, AA829:AA4897 =""Neighbor"")), """")"),0.5234268705061815)</f>
        <v>0.5234268705</v>
      </c>
      <c r="AF829" s="2">
        <f>IFERROR(__xludf.DUMMYFUNCTION("IFERROR(ABS(R829-AVERAGE(FILTER(R829:R4897,AA829:AA4897=""Neighbor""))) / STDEV(FILTER(R829:R4897, AA829:AA4897 =""Neighbor"")), """")"),0.2705405257038013)</f>
        <v>0.2705405257</v>
      </c>
    </row>
    <row r="830">
      <c r="A830" s="2" t="s">
        <v>28</v>
      </c>
      <c r="B830" s="2" t="s">
        <v>3320</v>
      </c>
      <c r="C830" s="2" t="s">
        <v>3378</v>
      </c>
      <c r="D830" s="2" t="s">
        <v>3399</v>
      </c>
      <c r="E830" s="2" t="s">
        <v>3400</v>
      </c>
      <c r="F830" s="2">
        <v>425.0</v>
      </c>
      <c r="G830" s="2">
        <v>2211.0</v>
      </c>
      <c r="H830" s="2" t="b">
        <v>1</v>
      </c>
      <c r="I830" s="2">
        <v>-1.0</v>
      </c>
      <c r="J830" s="2" t="b">
        <v>1</v>
      </c>
      <c r="K830" s="2" t="b">
        <v>0</v>
      </c>
      <c r="L830" s="2" t="b">
        <v>0</v>
      </c>
      <c r="M830" s="2" t="b">
        <v>0</v>
      </c>
      <c r="N830" s="2" t="s">
        <v>33</v>
      </c>
      <c r="O830" s="2">
        <v>235.0</v>
      </c>
      <c r="P830" s="2">
        <v>77.0</v>
      </c>
      <c r="Q830" s="2">
        <v>54.0</v>
      </c>
      <c r="R830" s="2">
        <v>0.0</v>
      </c>
      <c r="S830" s="3" t="s">
        <v>3401</v>
      </c>
      <c r="T830" s="2" t="s">
        <v>3402</v>
      </c>
      <c r="Y830" s="4" t="str">
        <f>IFERROR(__xludf.DUMMYFUNCTION("""COMPUTED_VALUE"""),"6.887053")</f>
        <v>6.887053</v>
      </c>
      <c r="Z830" s="4" t="str">
        <f>IFERROR(__xludf.DUMMYFUNCTION("""COMPUTED_VALUE"""),"3.0296136")</f>
        <v>3.0296136</v>
      </c>
      <c r="AA830" s="4" t="str">
        <f t="shared" si="1"/>
        <v>Not Neighbor</v>
      </c>
      <c r="AC830" s="4">
        <f>IFERROR(__xludf.DUMMYFUNCTION("IFERROR(ABS(O830-AVERAGE(FILTER(O830:O4898,AA830:AA4898=""Neighbor""))) / STDEV(FILTER(O830:O4898, AA830:AA4898 =""Neighbor"")), """")"),3.9487417877146074)</f>
        <v>3.948741788</v>
      </c>
      <c r="AD830" s="4">
        <f>IFERROR(__xludf.DUMMYFUNCTION("IFERROR(ABS(P830-AVERAGE(FILTER(O830:P4898,AA830:AA4898=""Neighbor""))) / STDEV(FILTER(P830:P4898, AA830:AA4898 =""Neighbor"")), """")"),1.472065687978893)</f>
        <v>1.472065688</v>
      </c>
      <c r="AE830" s="2">
        <f>IFERROR(__xludf.DUMMYFUNCTION("IFERROR(ABS(Q830-AVERAGE(FILTER(Q830:Q4898,AA830:AA4898=""Neighbor""))) / STDEV(FILTER(Q830:Q4898, AA830:AA4898 =""Neighbor"")), """")"),1.1999401634858675)</f>
        <v>1.199940163</v>
      </c>
      <c r="AF830" s="2">
        <f>IFERROR(__xludf.DUMMYFUNCTION("IFERROR(ABS(R830-AVERAGE(FILTER(R830:R4898,AA830:AA4898=""Neighbor""))) / STDEV(FILTER(R830:R4898, AA830:AA4898 =""Neighbor"")), """")"),0.08921802011570557)</f>
        <v>0.08921802012</v>
      </c>
    </row>
    <row r="831">
      <c r="A831" s="2" t="s">
        <v>28</v>
      </c>
      <c r="B831" s="2" t="s">
        <v>3320</v>
      </c>
      <c r="C831" s="2" t="s">
        <v>3378</v>
      </c>
      <c r="D831" s="2" t="s">
        <v>3403</v>
      </c>
      <c r="E831" s="2" t="s">
        <v>3404</v>
      </c>
      <c r="F831" s="2">
        <v>138.0</v>
      </c>
      <c r="G831" s="2">
        <v>477.0</v>
      </c>
      <c r="H831" s="2" t="b">
        <v>1</v>
      </c>
      <c r="I831" s="2">
        <v>-1.0</v>
      </c>
      <c r="J831" s="2" t="b">
        <v>0</v>
      </c>
      <c r="K831" s="2" t="b">
        <v>0</v>
      </c>
      <c r="L831" s="2" t="b">
        <v>0</v>
      </c>
      <c r="M831" s="2" t="b">
        <v>0</v>
      </c>
      <c r="N831" s="2" t="s">
        <v>33</v>
      </c>
      <c r="O831" s="2">
        <v>84.0</v>
      </c>
      <c r="P831" s="2">
        <v>7.0</v>
      </c>
      <c r="Q831" s="2">
        <v>35.0</v>
      </c>
      <c r="R831" s="2">
        <v>0.0</v>
      </c>
      <c r="S831" s="3" t="s">
        <v>3405</v>
      </c>
      <c r="T831" s="2" t="s">
        <v>3406</v>
      </c>
      <c r="Y831" s="4" t="str">
        <f>IFERROR(__xludf.DUMMYFUNCTION("""COMPUTED_VALUE"""),"6.8951117")</f>
        <v>6.8951117</v>
      </c>
      <c r="Z831" s="4" t="str">
        <f>IFERROR(__xludf.DUMMYFUNCTION("""COMPUTED_VALUE"""),"3.052612")</f>
        <v>3.052612</v>
      </c>
      <c r="AA831" s="4" t="str">
        <f t="shared" si="1"/>
        <v>Neighbor</v>
      </c>
      <c r="AC831" s="4">
        <f>IFERROR(__xludf.DUMMYFUNCTION("IFERROR(ABS(O831-AVERAGE(FILTER(O831:O4899,AA831:AA4899=""Neighbor""))) / STDEV(FILTER(O831:O4899, AA831:AA4899 =""Neighbor"")), """")"),0.44802888738030167)</f>
        <v>0.4480288874</v>
      </c>
      <c r="AD831" s="4">
        <f>IFERROR(__xludf.DUMMYFUNCTION("IFERROR(ABS(P831-AVERAGE(FILTER(O831:P4899,AA831:AA4899=""Neighbor""))) / STDEV(FILTER(P831:P4899, AA831:AA4899 =""Neighbor"")), """")"),1.3447975918913913)</f>
        <v>1.344797592</v>
      </c>
      <c r="AE831" s="2">
        <f>IFERROR(__xludf.DUMMYFUNCTION("IFERROR(ABS(Q831-AVERAGE(FILTER(Q831:Q4899,AA831:AA4899=""Neighbor""))) / STDEV(FILTER(Q831:Q4899, AA831:AA4899 =""Neighbor"")), """")"),0.42032174334660716)</f>
        <v>0.4203217433</v>
      </c>
      <c r="AF831" s="2">
        <f>IFERROR(__xludf.DUMMYFUNCTION("IFERROR(ABS(R831-AVERAGE(FILTER(R831:R4899,AA831:AA4899=""Neighbor""))) / STDEV(FILTER(R831:R4899, AA831:AA4899 =""Neighbor"")), """")"),0.08921802011570557)</f>
        <v>0.08921802012</v>
      </c>
    </row>
    <row r="832">
      <c r="A832" s="2" t="s">
        <v>28</v>
      </c>
      <c r="B832" s="2" t="s">
        <v>3320</v>
      </c>
      <c r="C832" s="2" t="s">
        <v>3378</v>
      </c>
      <c r="D832" s="2" t="s">
        <v>3407</v>
      </c>
      <c r="E832" s="2" t="s">
        <v>3408</v>
      </c>
      <c r="F832" s="2">
        <v>123.0</v>
      </c>
      <c r="G832" s="2">
        <v>542.0</v>
      </c>
      <c r="H832" s="2" t="b">
        <v>1</v>
      </c>
      <c r="I832" s="2">
        <v>-1.0</v>
      </c>
      <c r="J832" s="2" t="b">
        <v>0</v>
      </c>
      <c r="K832" s="2" t="b">
        <v>0</v>
      </c>
      <c r="L832" s="2" t="b">
        <v>0</v>
      </c>
      <c r="M832" s="2" t="b">
        <v>0</v>
      </c>
      <c r="N832" s="2" t="s">
        <v>33</v>
      </c>
      <c r="O832" s="2">
        <v>77.0</v>
      </c>
      <c r="P832" s="2">
        <v>14.0</v>
      </c>
      <c r="Q832" s="2">
        <v>21.0</v>
      </c>
      <c r="R832" s="2">
        <v>0.0</v>
      </c>
      <c r="S832" s="3" t="s">
        <v>3409</v>
      </c>
      <c r="T832" s="2" t="s">
        <v>3410</v>
      </c>
      <c r="Y832" s="4" t="str">
        <f>IFERROR(__xludf.DUMMYFUNCTION("""COMPUTED_VALUE"""),"6.8951117")</f>
        <v>6.8951117</v>
      </c>
      <c r="Z832" s="4" t="str">
        <f>IFERROR(__xludf.DUMMYFUNCTION("""COMPUTED_VALUE"""),"3.052612")</f>
        <v>3.052612</v>
      </c>
      <c r="AA832" s="4" t="str">
        <f t="shared" si="1"/>
        <v>Neighbor</v>
      </c>
      <c r="AC832" s="4">
        <f>IFERROR(__xludf.DUMMYFUNCTION("IFERROR(ABS(O832-AVERAGE(FILTER(O832:O4900,AA832:AA4900=""Neighbor""))) / STDEV(FILTER(O832:O4900, AA832:AA4900 =""Neighbor"")), """")"),0.2859877544271667)</f>
        <v>0.2859877544</v>
      </c>
      <c r="AD832" s="4">
        <f>IFERROR(__xludf.DUMMYFUNCTION("IFERROR(ABS(P832-AVERAGE(FILTER(O832:P4900,AA832:AA4900=""Neighbor""))) / STDEV(FILTER(P832:P4900, AA832:AA4900 =""Neighbor"")), """")"),1.0626267610968925)</f>
        <v>1.062626761</v>
      </c>
      <c r="AE832" s="2">
        <f>IFERROR(__xludf.DUMMYFUNCTION("IFERROR(ABS(Q832-AVERAGE(FILTER(Q832:Q4900,AA832:AA4900=""Neighbor""))) / STDEV(FILTER(Q832:Q4900, AA832:AA4900 =""Neighbor"")), """")"),0.15378090200065475)</f>
        <v>0.153780902</v>
      </c>
      <c r="AF832" s="2">
        <f>IFERROR(__xludf.DUMMYFUNCTION("IFERROR(ABS(R832-AVERAGE(FILTER(R832:R4900,AA832:AA4900=""Neighbor""))) / STDEV(FILTER(R832:R4900, AA832:AA4900 =""Neighbor"")), """")"),0.0892508111894635)</f>
        <v>0.08925081119</v>
      </c>
    </row>
    <row r="833">
      <c r="A833" s="2" t="s">
        <v>28</v>
      </c>
      <c r="B833" s="2" t="s">
        <v>3320</v>
      </c>
      <c r="C833" s="2" t="s">
        <v>3378</v>
      </c>
      <c r="D833" s="2" t="s">
        <v>3411</v>
      </c>
      <c r="E833" s="2" t="s">
        <v>3412</v>
      </c>
      <c r="F833" s="2">
        <v>183.0</v>
      </c>
      <c r="G833" s="2">
        <v>610.0</v>
      </c>
      <c r="H833" s="2" t="b">
        <v>1</v>
      </c>
      <c r="I833" s="2">
        <v>-1.0</v>
      </c>
      <c r="J833" s="2" t="b">
        <v>0</v>
      </c>
      <c r="K833" s="2" t="b">
        <v>0</v>
      </c>
      <c r="L833" s="2" t="b">
        <v>0</v>
      </c>
      <c r="M833" s="2" t="b">
        <v>0</v>
      </c>
      <c r="N833" s="2" t="s">
        <v>33</v>
      </c>
      <c r="O833" s="2">
        <v>131.0</v>
      </c>
      <c r="P833" s="2">
        <v>8.0</v>
      </c>
      <c r="Q833" s="2">
        <v>40.0</v>
      </c>
      <c r="R833" s="2">
        <v>0.0</v>
      </c>
      <c r="S833" s="3" t="s">
        <v>3413</v>
      </c>
      <c r="T833" s="2" t="s">
        <v>3414</v>
      </c>
      <c r="Y833" s="4" t="str">
        <f>IFERROR(__xludf.DUMMYFUNCTION("""COMPUTED_VALUE"""),"6.8951117")</f>
        <v>6.8951117</v>
      </c>
      <c r="Z833" s="4" t="str">
        <f>IFERROR(__xludf.DUMMYFUNCTION("""COMPUTED_VALUE"""),"3.052612")</f>
        <v>3.052612</v>
      </c>
      <c r="AA833" s="4" t="str">
        <f t="shared" si="1"/>
        <v>Neighbor</v>
      </c>
      <c r="AC833" s="4">
        <f>IFERROR(__xludf.DUMMYFUNCTION("IFERROR(ABS(O833-AVERAGE(FILTER(O833:O4901,AA833:AA4901=""Neighbor""))) / STDEV(FILTER(O833:O4901, AA833:AA4901 =""Neighbor"")), """")"),1.537226224691994)</f>
        <v>1.537226225</v>
      </c>
      <c r="AD833" s="4">
        <f>IFERROR(__xludf.DUMMYFUNCTION("IFERROR(ABS(P833-AVERAGE(FILTER(O833:P4901,AA833:AA4901=""Neighbor""))) / STDEV(FILTER(P833:P4901, AA833:AA4901 =""Neighbor"")), """")"),1.3033739478824795)</f>
        <v>1.303373948</v>
      </c>
      <c r="AE833" s="2">
        <f>IFERROR(__xludf.DUMMYFUNCTION("IFERROR(ABS(Q833-AVERAGE(FILTER(Q833:Q4901,AA833:AA4901=""Neighbor""))) / STDEV(FILTER(Q833:Q4901, AA833:AA4901 =""Neighbor"")), """")"),0.6252678093977541)</f>
        <v>0.6252678094</v>
      </c>
      <c r="AF833" s="2">
        <f>IFERROR(__xludf.DUMMYFUNCTION("IFERROR(ABS(R833-AVERAGE(FILTER(R833:R4901,AA833:AA4901=""Neighbor""))) / STDEV(FILTER(R833:R4901, AA833:AA4901 =""Neighbor"")), """")"),0.08928363844603532)</f>
        <v>0.08928363845</v>
      </c>
    </row>
    <row r="834">
      <c r="A834" s="2" t="s">
        <v>28</v>
      </c>
      <c r="B834" s="2" t="s">
        <v>3320</v>
      </c>
      <c r="C834" s="2" t="s">
        <v>3378</v>
      </c>
      <c r="D834" s="2" t="s">
        <v>3415</v>
      </c>
      <c r="E834" s="2" t="s">
        <v>3416</v>
      </c>
      <c r="F834" s="2">
        <v>64.0</v>
      </c>
      <c r="G834" s="2">
        <v>295.0</v>
      </c>
      <c r="H834" s="2" t="b">
        <v>1</v>
      </c>
      <c r="I834" s="2">
        <v>-1.0</v>
      </c>
      <c r="J834" s="2" t="b">
        <v>0</v>
      </c>
      <c r="K834" s="2" t="b">
        <v>0</v>
      </c>
      <c r="L834" s="2" t="b">
        <v>0</v>
      </c>
      <c r="M834" s="2" t="b">
        <v>0</v>
      </c>
      <c r="N834" s="2" t="s">
        <v>33</v>
      </c>
      <c r="O834" s="2">
        <v>35.0</v>
      </c>
      <c r="P834" s="2">
        <v>6.0</v>
      </c>
      <c r="Q834" s="2">
        <v>19.0</v>
      </c>
      <c r="R834" s="2">
        <v>0.0</v>
      </c>
      <c r="S834" s="3" t="s">
        <v>3417</v>
      </c>
      <c r="T834" s="2" t="s">
        <v>3418</v>
      </c>
      <c r="Y834" s="4" t="str">
        <f>IFERROR(__xludf.DUMMYFUNCTION("""COMPUTED_VALUE"""),"6.8951117")</f>
        <v>6.8951117</v>
      </c>
      <c r="Z834" s="4" t="str">
        <f>IFERROR(__xludf.DUMMYFUNCTION("""COMPUTED_VALUE"""),"3.052612")</f>
        <v>3.052612</v>
      </c>
      <c r="AA834" s="4" t="str">
        <f t="shared" si="1"/>
        <v>Not Neighbor</v>
      </c>
      <c r="AC834" s="4">
        <f>IFERROR(__xludf.DUMMYFUNCTION("IFERROR(ABS(O834-AVERAGE(FILTER(O834:O4902,AA834:AA4902=""Neighbor""))) / STDEV(FILTER(O834:O4902, AA834:AA4902 =""Neighbor"")), """")"),0.6862159318452619)</f>
        <v>0.6862159318</v>
      </c>
      <c r="AD834" s="4">
        <f>IFERROR(__xludf.DUMMYFUNCTION("IFERROR(ABS(P834-AVERAGE(FILTER(O834:P4902,AA834:AA4902=""Neighbor""))) / STDEV(FILTER(P834:P4902, AA834:AA4902 =""Neighbor"")), """")"),1.3824951562384529)</f>
        <v>1.382495156</v>
      </c>
      <c r="AE834" s="2">
        <f>IFERROR(__xludf.DUMMYFUNCTION("IFERROR(ABS(Q834-AVERAGE(FILTER(Q834:Q4902,AA834:AA4902=""Neighbor""))) / STDEV(FILTER(Q834:Q4902, AA834:AA4902 =""Neighbor"")), """")"),0.23534005779375528)</f>
        <v>0.2353400578</v>
      </c>
      <c r="AF834" s="2">
        <f>IFERROR(__xludf.DUMMYFUNCTION("IFERROR(ABS(R834-AVERAGE(FILTER(R834:R4902,AA834:AA4902=""Neighbor""))) / STDEV(FILTER(R834:R4902, AA834:AA4902 =""Neighbor"")), """")"),0.08931650195201277)</f>
        <v>0.08931650195</v>
      </c>
    </row>
    <row r="835">
      <c r="A835" s="2" t="s">
        <v>28</v>
      </c>
      <c r="B835" s="2" t="s">
        <v>3320</v>
      </c>
      <c r="C835" s="2" t="s">
        <v>3378</v>
      </c>
      <c r="D835" s="2" t="s">
        <v>3419</v>
      </c>
      <c r="E835" s="2" t="s">
        <v>3420</v>
      </c>
      <c r="F835" s="2">
        <v>132.0</v>
      </c>
      <c r="G835" s="2">
        <v>671.0</v>
      </c>
      <c r="H835" s="2" t="b">
        <v>1</v>
      </c>
      <c r="I835" s="2">
        <v>-1.0</v>
      </c>
      <c r="J835" s="2" t="b">
        <v>0</v>
      </c>
      <c r="K835" s="2" t="b">
        <v>0</v>
      </c>
      <c r="L835" s="2" t="b">
        <v>0</v>
      </c>
      <c r="M835" s="2" t="b">
        <v>0</v>
      </c>
      <c r="N835" s="2" t="s">
        <v>33</v>
      </c>
      <c r="O835" s="2">
        <v>82.0</v>
      </c>
      <c r="P835" s="2">
        <v>18.0</v>
      </c>
      <c r="Q835" s="2">
        <v>24.0</v>
      </c>
      <c r="R835" s="2">
        <v>1.0</v>
      </c>
      <c r="S835" s="3" t="s">
        <v>3421</v>
      </c>
      <c r="T835" s="2" t="s">
        <v>3422</v>
      </c>
      <c r="Y835" s="4" t="str">
        <f>IFERROR(__xludf.DUMMYFUNCTION("""COMPUTED_VALUE"""),"6.8926716")</f>
        <v>6.8926716</v>
      </c>
      <c r="Z835" s="4" t="str">
        <f>IFERROR(__xludf.DUMMYFUNCTION("""COMPUTED_VALUE"""),"3.0214416")</f>
        <v>3.0214416</v>
      </c>
      <c r="AA835" s="4" t="str">
        <f t="shared" si="1"/>
        <v>Neighbor</v>
      </c>
      <c r="AC835" s="4">
        <f>IFERROR(__xludf.DUMMYFUNCTION("IFERROR(ABS(O835-AVERAGE(FILTER(O835:O4903,AA835:AA4903=""Neighbor""))) / STDEV(FILTER(O835:O4903, AA835:AA4903 =""Neighbor"")), """")"),0.4032706857788324)</f>
        <v>0.4032706858</v>
      </c>
      <c r="AD835" s="4">
        <f>IFERROR(__xludf.DUMMYFUNCTION("IFERROR(ABS(P835-AVERAGE(FILTER(O835:P4903,AA835:AA4903=""Neighbor""))) / STDEV(FILTER(P835:P4903, AA835:AA4903 =""Neighbor"")), """")"),0.900088964683247)</f>
        <v>0.9000889647</v>
      </c>
      <c r="AE835" s="2">
        <f>IFERROR(__xludf.DUMMYFUNCTION("IFERROR(ABS(Q835-AVERAGE(FILTER(Q835:Q4903,AA835:AA4903=""Neighbor""))) / STDEV(FILTER(Q835:Q4903, AA835:AA4903 =""Neighbor"")), """")"),0.03035775863301592)</f>
        <v>0.03035775863</v>
      </c>
      <c r="AF835" s="2">
        <f>IFERROR(__xludf.DUMMYFUNCTION("IFERROR(ABS(R835-AVERAGE(FILTER(R835:R4903,AA835:AA4903=""Neighbor""))) / STDEV(FILTER(R835:R4903, AA835:AA4903 =""Neighbor"")), """")"),0.09036728432791882)</f>
        <v>0.09036728433</v>
      </c>
    </row>
    <row r="836">
      <c r="A836" s="2" t="s">
        <v>28</v>
      </c>
      <c r="B836" s="2" t="s">
        <v>3320</v>
      </c>
      <c r="C836" s="2" t="s">
        <v>3423</v>
      </c>
      <c r="D836" s="2" t="s">
        <v>3424</v>
      </c>
      <c r="E836" s="2" t="s">
        <v>3425</v>
      </c>
      <c r="F836" s="2">
        <v>119.0</v>
      </c>
      <c r="G836" s="2">
        <v>592.0</v>
      </c>
      <c r="H836" s="2" t="b">
        <v>1</v>
      </c>
      <c r="I836" s="2">
        <v>-1.0</v>
      </c>
      <c r="J836" s="2" t="b">
        <v>0</v>
      </c>
      <c r="K836" s="2" t="b">
        <v>0</v>
      </c>
      <c r="L836" s="2" t="b">
        <v>0</v>
      </c>
      <c r="M836" s="2" t="b">
        <v>0</v>
      </c>
      <c r="N836" s="2" t="s">
        <v>33</v>
      </c>
      <c r="O836" s="2">
        <v>82.0</v>
      </c>
      <c r="P836" s="2">
        <v>12.0</v>
      </c>
      <c r="Q836" s="2">
        <v>14.0</v>
      </c>
      <c r="R836" s="2">
        <v>0.0</v>
      </c>
      <c r="S836" s="3" t="s">
        <v>3426</v>
      </c>
      <c r="T836" s="2" t="s">
        <v>3427</v>
      </c>
      <c r="Y836" s="4" t="str">
        <f>IFERROR(__xludf.DUMMYFUNCTION("""COMPUTED_VALUE"""),"6.887014")</f>
        <v>6.887014</v>
      </c>
      <c r="Z836" s="4" t="str">
        <f>IFERROR(__xludf.DUMMYFUNCTION("""COMPUTED_VALUE"""),"3.02255")</f>
        <v>3.02255</v>
      </c>
      <c r="AA836" s="4" t="str">
        <f t="shared" si="1"/>
        <v>Not Neighbor</v>
      </c>
      <c r="AC836" s="4">
        <f>IFERROR(__xludf.DUMMYFUNCTION("IFERROR(ABS(O836-AVERAGE(FILTER(O836:O4904,AA836:AA4904=""Neighbor""))) / STDEV(FILTER(O836:O4904, AA836:AA4904 =""Neighbor"")), """")"),0.40344206927287546)</f>
        <v>0.4034420693</v>
      </c>
      <c r="AD836" s="4">
        <f>IFERROR(__xludf.DUMMYFUNCTION("IFERROR(ABS(P836-AVERAGE(FILTER(O836:P4904,AA836:AA4904=""Neighbor""))) / STDEV(FILTER(P836:P4904, AA836:AA4904 =""Neighbor"")), """")"),1.140594276165422)</f>
        <v>1.140594276</v>
      </c>
      <c r="AE836" s="2">
        <f>IFERROR(__xludf.DUMMYFUNCTION("IFERROR(ABS(Q836-AVERAGE(FILTER(Q836:Q4904,AA836:AA4904=""Neighbor""))) / STDEV(FILTER(Q836:Q4904, AA836:AA4904 =""Neighbor"")), """")"),0.4401836211678328)</f>
        <v>0.4401836212</v>
      </c>
      <c r="AF836" s="2">
        <f>IFERROR(__xludf.DUMMYFUNCTION("IFERROR(ABS(R836-AVERAGE(FILTER(R836:R4904,AA836:AA4904=""Neighbor""))) / STDEV(FILTER(R836:R4904, AA836:AA4904 =""Neighbor"")), """")"),0.08921801176097066)</f>
        <v>0.08921801176</v>
      </c>
    </row>
    <row r="837">
      <c r="A837" s="2" t="s">
        <v>28</v>
      </c>
      <c r="B837" s="2" t="s">
        <v>3320</v>
      </c>
      <c r="C837" s="2" t="s">
        <v>3423</v>
      </c>
      <c r="D837" s="2" t="s">
        <v>3428</v>
      </c>
      <c r="E837" s="2" t="s">
        <v>3429</v>
      </c>
      <c r="F837" s="2">
        <v>109.0</v>
      </c>
      <c r="G837" s="2">
        <v>622.0</v>
      </c>
      <c r="H837" s="2" t="b">
        <v>1</v>
      </c>
      <c r="I837" s="2">
        <v>-1.0</v>
      </c>
      <c r="J837" s="2" t="b">
        <v>0</v>
      </c>
      <c r="K837" s="2" t="b">
        <v>0</v>
      </c>
      <c r="L837" s="2" t="b">
        <v>0</v>
      </c>
      <c r="M837" s="2" t="b">
        <v>0</v>
      </c>
      <c r="N837" s="2" t="s">
        <v>33</v>
      </c>
      <c r="O837" s="2">
        <v>61.0</v>
      </c>
      <c r="P837" s="2">
        <v>9.0</v>
      </c>
      <c r="Q837" s="2">
        <v>20.0</v>
      </c>
      <c r="R837" s="2">
        <v>0.0</v>
      </c>
      <c r="S837" s="3" t="s">
        <v>3430</v>
      </c>
      <c r="T837" s="2" t="s">
        <v>3431</v>
      </c>
      <c r="Y837" s="4" t="str">
        <f>IFERROR(__xludf.DUMMYFUNCTION("""COMPUTED_VALUE"""),"6.8632224")</f>
        <v>6.8632224</v>
      </c>
      <c r="Z837" s="4" t="str">
        <f>IFERROR(__xludf.DUMMYFUNCTION("""COMPUTED_VALUE"""),"3.0125674")</f>
        <v>3.0125674</v>
      </c>
      <c r="AA837" s="4" t="str">
        <f t="shared" si="1"/>
        <v>Not Neighbor</v>
      </c>
      <c r="AC837" s="4">
        <f>IFERROR(__xludf.DUMMYFUNCTION("IFERROR(ABS(O837-AVERAGE(FILTER(O837:O4905,AA837:AA4905=""Neighbor""))) / STDEV(FILTER(O837:O4905, AA837:AA4905 =""Neighbor"")), """")"),0.08320070910505789)</f>
        <v>0.08320070911</v>
      </c>
      <c r="AD837" s="4">
        <f>IFERROR(__xludf.DUMMYFUNCTION("IFERROR(ABS(P837-AVERAGE(FILTER(O837:P4905,AA837:AA4905=""Neighbor""))) / STDEV(FILTER(P837:P4905, AA837:AA4905 =""Neighbor"")), """")"),1.2611519412527143)</f>
        <v>1.261151941</v>
      </c>
      <c r="AE837" s="2">
        <f>IFERROR(__xludf.DUMMYFUNCTION("IFERROR(ABS(Q837-AVERAGE(FILTER(Q837:Q4905,AA837:AA4905=""Neighbor""))) / STDEV(FILTER(Q837:Q4905, AA837:AA4905 =""Neighbor"")), """")"),0.194294765973488)</f>
        <v>0.194294766</v>
      </c>
      <c r="AF837" s="2">
        <f>IFERROR(__xludf.DUMMYFUNCTION("IFERROR(ABS(R837-AVERAGE(FILTER(R837:R4905,AA837:AA4905=""Neighbor""))) / STDEV(FILTER(R837:R4905, AA837:AA4905 =""Neighbor"")), """")"),0.08921801176097066)</f>
        <v>0.08921801176</v>
      </c>
    </row>
    <row r="838">
      <c r="A838" s="2" t="s">
        <v>28</v>
      </c>
      <c r="B838" s="2" t="s">
        <v>3320</v>
      </c>
      <c r="C838" s="2" t="s">
        <v>3423</v>
      </c>
      <c r="D838" s="2" t="s">
        <v>3432</v>
      </c>
      <c r="E838" s="2" t="s">
        <v>3433</v>
      </c>
      <c r="F838" s="2">
        <v>145.0</v>
      </c>
      <c r="G838" s="2">
        <v>561.0</v>
      </c>
      <c r="H838" s="2" t="b">
        <v>1</v>
      </c>
      <c r="I838" s="2">
        <v>-1.0</v>
      </c>
      <c r="J838" s="2" t="b">
        <v>0</v>
      </c>
      <c r="K838" s="2" t="b">
        <v>0</v>
      </c>
      <c r="L838" s="2" t="b">
        <v>0</v>
      </c>
      <c r="M838" s="2" t="b">
        <v>0</v>
      </c>
      <c r="N838" s="2" t="s">
        <v>33</v>
      </c>
      <c r="O838" s="2">
        <v>93.0</v>
      </c>
      <c r="P838" s="2">
        <v>13.0</v>
      </c>
      <c r="Q838" s="2">
        <v>19.0</v>
      </c>
      <c r="R838" s="2">
        <v>0.0</v>
      </c>
      <c r="S838" s="3" t="s">
        <v>3434</v>
      </c>
      <c r="T838" s="2" t="s">
        <v>3435</v>
      </c>
      <c r="Y838" s="4" t="str">
        <f>IFERROR(__xludf.DUMMYFUNCTION("""COMPUTED_VALUE"""),"6.887946")</f>
        <v>6.887946</v>
      </c>
      <c r="Z838" s="4" t="str">
        <f>IFERROR(__xludf.DUMMYFUNCTION("""COMPUTED_VALUE"""),"3.018251")</f>
        <v>3.018251</v>
      </c>
      <c r="AA838" s="4" t="str">
        <f t="shared" si="1"/>
        <v>Not Neighbor</v>
      </c>
      <c r="AC838" s="4">
        <f>IFERROR(__xludf.DUMMYFUNCTION("IFERROR(ABS(O838-AVERAGE(FILTER(O838:O4906,AA838:AA4906=""Neighbor""))) / STDEV(FILTER(O838:O4906, AA838:AA4906 =""Neighbor"")), """")"),0.6583501912803643)</f>
        <v>0.6583501913</v>
      </c>
      <c r="AD838" s="4">
        <f>IFERROR(__xludf.DUMMYFUNCTION("IFERROR(ABS(P838-AVERAGE(FILTER(O838:P4906,AA838:AA4906=""Neighbor""))) / STDEV(FILTER(P838:P4906, AA838:AA4906 =""Neighbor"")), """")"),1.1004083878029913)</f>
        <v>1.100408388</v>
      </c>
      <c r="AE838" s="2">
        <f>IFERROR(__xludf.DUMMYFUNCTION("IFERROR(ABS(Q838-AVERAGE(FILTER(Q838:Q4906,AA838:AA4906=""Neighbor""))) / STDEV(FILTER(Q838:Q4906, AA838:AA4906 =""Neighbor"")), """")"),0.2352762418392121)</f>
        <v>0.2352762418</v>
      </c>
      <c r="AF838" s="2">
        <f>IFERROR(__xludf.DUMMYFUNCTION("IFERROR(ABS(R838-AVERAGE(FILTER(R838:R4906,AA838:AA4906=""Neighbor""))) / STDEV(FILTER(R838:R4906, AA838:AA4906 =""Neighbor"")), """")"),0.08921801176097066)</f>
        <v>0.08921801176</v>
      </c>
    </row>
    <row r="839">
      <c r="A839" s="2" t="s">
        <v>28</v>
      </c>
      <c r="B839" s="2" t="s">
        <v>3320</v>
      </c>
      <c r="C839" s="2" t="s">
        <v>3423</v>
      </c>
      <c r="D839" s="2" t="s">
        <v>3436</v>
      </c>
      <c r="E839" s="2" t="s">
        <v>3437</v>
      </c>
      <c r="F839" s="2">
        <v>128.0</v>
      </c>
      <c r="G839" s="2">
        <v>626.0</v>
      </c>
      <c r="H839" s="2" t="b">
        <v>1</v>
      </c>
      <c r="I839" s="2">
        <v>-1.0</v>
      </c>
      <c r="J839" s="2" t="b">
        <v>0</v>
      </c>
      <c r="K839" s="2" t="b">
        <v>0</v>
      </c>
      <c r="L839" s="2" t="b">
        <v>0</v>
      </c>
      <c r="M839" s="2" t="b">
        <v>0</v>
      </c>
      <c r="N839" s="2" t="s">
        <v>33</v>
      </c>
      <c r="O839" s="2">
        <v>78.0</v>
      </c>
      <c r="P839" s="2">
        <v>7.0</v>
      </c>
      <c r="Q839" s="2">
        <v>37.0</v>
      </c>
      <c r="R839" s="2">
        <v>1.0</v>
      </c>
      <c r="S839" s="3" t="s">
        <v>3438</v>
      </c>
      <c r="T839" s="2" t="s">
        <v>3439</v>
      </c>
      <c r="Y839" s="4" t="str">
        <f>IFERROR(__xludf.DUMMYFUNCTION("""COMPUTED_VALUE"""),"6.8632224")</f>
        <v>6.8632224</v>
      </c>
      <c r="Z839" s="4" t="str">
        <f>IFERROR(__xludf.DUMMYFUNCTION("""COMPUTED_VALUE"""),"3.0125674")</f>
        <v>3.0125674</v>
      </c>
      <c r="AA839" s="4" t="str">
        <f t="shared" si="1"/>
        <v>Neighbor</v>
      </c>
      <c r="AC839" s="4">
        <f>IFERROR(__xludf.DUMMYFUNCTION("IFERROR(ABS(O839-AVERAGE(FILTER(O839:O4907,AA839:AA4907=""Neighbor""))) / STDEV(FILTER(O839:O4907, AA839:AA4907 =""Neighbor"")), """")"),0.31074820672469766)</f>
        <v>0.3107482067</v>
      </c>
      <c r="AD839" s="4">
        <f>IFERROR(__xludf.DUMMYFUNCTION("IFERROR(ABS(P839-AVERAGE(FILTER(O839:P4907,AA839:AA4907=""Neighbor""))) / STDEV(FILTER(P839:P4907, AA839:AA4907 =""Neighbor"")), """")"),1.3415237179775759)</f>
        <v>1.341523718</v>
      </c>
      <c r="AE839" s="2">
        <f>IFERROR(__xludf.DUMMYFUNCTION("IFERROR(ABS(Q839-AVERAGE(FILTER(Q839:Q4907,AA839:AA4907=""Neighbor""))) / STDEV(FILTER(Q839:Q4907, AA839:AA4907 =""Neighbor"")), """")"),0.5023903237438223)</f>
        <v>0.5023903237</v>
      </c>
      <c r="AF839" s="2">
        <f>IFERROR(__xludf.DUMMYFUNCTION("IFERROR(ABS(R839-AVERAGE(FILTER(R839:R4907,AA839:AA4907=""Neighbor""))) / STDEV(FILTER(R839:R4907, AA839:AA4907 =""Neighbor"")), """")"),0.09040057745441504)</f>
        <v>0.09040057745</v>
      </c>
    </row>
    <row r="840">
      <c r="A840" s="2" t="s">
        <v>28</v>
      </c>
      <c r="B840" s="2" t="s">
        <v>3320</v>
      </c>
      <c r="C840" s="2" t="s">
        <v>3423</v>
      </c>
      <c r="D840" s="2" t="s">
        <v>3440</v>
      </c>
      <c r="E840" s="2" t="s">
        <v>3441</v>
      </c>
      <c r="F840" s="2">
        <v>105.0</v>
      </c>
      <c r="G840" s="2">
        <v>563.0</v>
      </c>
      <c r="H840" s="2" t="b">
        <v>1</v>
      </c>
      <c r="I840" s="2">
        <v>-1.0</v>
      </c>
      <c r="J840" s="2" t="b">
        <v>0</v>
      </c>
      <c r="K840" s="2" t="b">
        <v>0</v>
      </c>
      <c r="L840" s="2" t="b">
        <v>0</v>
      </c>
      <c r="M840" s="2" t="b">
        <v>0</v>
      </c>
      <c r="N840" s="2" t="s">
        <v>33</v>
      </c>
      <c r="O840" s="2">
        <v>60.0</v>
      </c>
      <c r="P840" s="2">
        <v>7.0</v>
      </c>
      <c r="Q840" s="2">
        <v>29.0</v>
      </c>
      <c r="R840" s="2">
        <v>0.0</v>
      </c>
      <c r="S840" s="3" t="s">
        <v>3442</v>
      </c>
      <c r="T840" s="2" t="s">
        <v>3443</v>
      </c>
      <c r="Y840" s="4" t="str">
        <f>IFERROR(__xludf.DUMMYFUNCTION("""COMPUTED_VALUE"""),"6.8632224")</f>
        <v>6.8632224</v>
      </c>
      <c r="Z840" s="4" t="str">
        <f>IFERROR(__xludf.DUMMYFUNCTION("""COMPUTED_VALUE"""),"3.0125674")</f>
        <v>3.0125674</v>
      </c>
      <c r="AA840" s="4" t="str">
        <f t="shared" si="1"/>
        <v>Neighbor</v>
      </c>
      <c r="AC840" s="4">
        <f>IFERROR(__xludf.DUMMYFUNCTION("IFERROR(ABS(O840-AVERAGE(FILTER(O840:O4908,AA840:AA4908=""Neighbor""))) / STDEV(FILTER(O840:O4908, AA840:AA4908 =""Neighbor"")), """")"),0.1061115802159493)</f>
        <v>0.1061115802</v>
      </c>
      <c r="AD840" s="4">
        <f>IFERROR(__xludf.DUMMYFUNCTION("IFERROR(ABS(P840-AVERAGE(FILTER(O840:P4908,AA840:AA4908=""Neighbor""))) / STDEV(FILTER(P840:P4908, AA840:AA4908 =""Neighbor"")), """")"),1.3410371178716116)</f>
        <v>1.341037118</v>
      </c>
      <c r="AE840" s="2">
        <f>IFERROR(__xludf.DUMMYFUNCTION("IFERROR(ABS(Q840-AVERAGE(FILTER(Q840:Q4908,AA840:AA4908=""Neighbor""))) / STDEV(FILTER(Q840:Q4908, AA840:AA4908 =""Neighbor"")), """")"),0.17485843272291826)</f>
        <v>0.1748584327</v>
      </c>
      <c r="AF840" s="2">
        <f>IFERROR(__xludf.DUMMYFUNCTION("IFERROR(ABS(R840-AVERAGE(FILTER(R840:R4908,AA840:AA4908=""Neighbor""))) / STDEV(FILTER(R840:R4908, AA840:AA4908 =""Neighbor"")), """")"),0.08911946107730989)</f>
        <v>0.08911946108</v>
      </c>
    </row>
    <row r="841">
      <c r="A841" s="2" t="s">
        <v>28</v>
      </c>
      <c r="B841" s="2" t="s">
        <v>3320</v>
      </c>
      <c r="C841" s="2" t="s">
        <v>3423</v>
      </c>
      <c r="D841" s="2" t="s">
        <v>3444</v>
      </c>
      <c r="E841" s="2" t="s">
        <v>3445</v>
      </c>
      <c r="F841" s="2">
        <v>149.0</v>
      </c>
      <c r="G841" s="2">
        <v>540.0</v>
      </c>
      <c r="H841" s="2" t="b">
        <v>1</v>
      </c>
      <c r="I841" s="2">
        <v>-1.0</v>
      </c>
      <c r="J841" s="2" t="b">
        <v>0</v>
      </c>
      <c r="K841" s="2" t="b">
        <v>0</v>
      </c>
      <c r="L841" s="2" t="b">
        <v>0</v>
      </c>
      <c r="M841" s="2" t="b">
        <v>0</v>
      </c>
      <c r="N841" s="2" t="s">
        <v>33</v>
      </c>
      <c r="O841" s="2">
        <v>91.0</v>
      </c>
      <c r="P841" s="2">
        <v>17.0</v>
      </c>
      <c r="Q841" s="2">
        <v>27.0</v>
      </c>
      <c r="R841" s="2">
        <v>0.0</v>
      </c>
      <c r="S841" s="3" t="s">
        <v>3446</v>
      </c>
      <c r="T841" s="2" t="s">
        <v>3447</v>
      </c>
      <c r="Y841" s="4" t="str">
        <f>IFERROR(__xludf.DUMMYFUNCTION("""COMPUTED_VALUE"""),"6.8632224")</f>
        <v>6.8632224</v>
      </c>
      <c r="Z841" s="4" t="str">
        <f>IFERROR(__xludf.DUMMYFUNCTION("""COMPUTED_VALUE"""),"3.0125674")</f>
        <v>3.0125674</v>
      </c>
      <c r="AA841" s="4" t="str">
        <f t="shared" si="1"/>
        <v>Neighbor</v>
      </c>
      <c r="AC841" s="4">
        <f>IFERROR(__xludf.DUMMYFUNCTION("IFERROR(ABS(O841-AVERAGE(FILTER(O841:O4909,AA841:AA4909=""Neighbor""))) / STDEV(FILTER(O841:O4909, AA841:AA4909 =""Neighbor"")), """")"),0.6117288479849085)</f>
        <v>0.611728848</v>
      </c>
      <c r="AD841" s="4">
        <f>IFERROR(__xludf.DUMMYFUNCTION("IFERROR(ABS(P841-AVERAGE(FILTER(O841:P4909,AA841:AA4909=""Neighbor""))) / STDEV(FILTER(P841:P4909, AA841:AA4909 =""Neighbor"")), """")"),0.9392105168855122)</f>
        <v>0.9392105169</v>
      </c>
      <c r="AE841" s="2">
        <f>IFERROR(__xludf.DUMMYFUNCTION("IFERROR(ABS(Q841-AVERAGE(FILTER(Q841:Q4909,AA841:AA4909=""Neighbor""))) / STDEV(FILTER(Q841:Q4909, AA841:AA4909 =""Neighbor"")), """")"),0.09301296646995282)</f>
        <v>0.09301296647</v>
      </c>
      <c r="AF841" s="2">
        <f>IFERROR(__xludf.DUMMYFUNCTION("IFERROR(ABS(R841-AVERAGE(FILTER(R841:R4909,AA841:AA4909=""Neighbor""))) / STDEV(FILTER(R841:R4909, AA841:AA4909 =""Neighbor"")), """")"),0.08915233522541725)</f>
        <v>0.08915233523</v>
      </c>
    </row>
    <row r="842">
      <c r="A842" s="2" t="s">
        <v>28</v>
      </c>
      <c r="B842" s="2" t="s">
        <v>3320</v>
      </c>
      <c r="C842" s="2" t="s">
        <v>3423</v>
      </c>
      <c r="D842" s="2" t="s">
        <v>3448</v>
      </c>
      <c r="E842" s="2" t="s">
        <v>3449</v>
      </c>
      <c r="F842" s="2">
        <v>204.0</v>
      </c>
      <c r="G842" s="2">
        <v>929.0</v>
      </c>
      <c r="H842" s="2" t="b">
        <v>1</v>
      </c>
      <c r="I842" s="2">
        <v>-1.0</v>
      </c>
      <c r="J842" s="2" t="b">
        <v>0</v>
      </c>
      <c r="K842" s="2" t="b">
        <v>0</v>
      </c>
      <c r="L842" s="2" t="b">
        <v>0</v>
      </c>
      <c r="M842" s="2" t="b">
        <v>0</v>
      </c>
      <c r="N842" s="2" t="s">
        <v>33</v>
      </c>
      <c r="O842" s="2">
        <v>135.0</v>
      </c>
      <c r="P842" s="2">
        <v>20.0</v>
      </c>
      <c r="Q842" s="2">
        <v>32.0</v>
      </c>
      <c r="R842" s="2">
        <v>0.0</v>
      </c>
      <c r="S842" s="3" t="s">
        <v>3450</v>
      </c>
      <c r="T842" s="2" t="s">
        <v>3451</v>
      </c>
      <c r="Y842" s="4" t="str">
        <f>IFERROR(__xludf.DUMMYFUNCTION("""COMPUTED_VALUE"""),"6.8632224")</f>
        <v>6.8632224</v>
      </c>
      <c r="Z842" s="4" t="str">
        <f>IFERROR(__xludf.DUMMYFUNCTION("""COMPUTED_VALUE"""),"3.0125674")</f>
        <v>3.0125674</v>
      </c>
      <c r="AA842" s="4" t="str">
        <f t="shared" si="1"/>
        <v>Neighbor</v>
      </c>
      <c r="AC842" s="4">
        <f>IFERROR(__xludf.DUMMYFUNCTION("IFERROR(ABS(O842-AVERAGE(FILTER(O842:O4910,AA842:AA4910=""Neighbor""))) / STDEV(FILTER(O842:O4910, AA842:AA4910 =""Neighbor"")), """")"),1.630729207062459)</f>
        <v>1.630729207</v>
      </c>
      <c r="AD842" s="4">
        <f>IFERROR(__xludf.DUMMYFUNCTION("IFERROR(ABS(P842-AVERAGE(FILTER(O842:P4910,AA842:AA4910=""Neighbor""))) / STDEV(FILTER(P842:P4910, AA842:AA4910 =""Neighbor"")), """")"),0.8180285938569514)</f>
        <v>0.8180285939</v>
      </c>
      <c r="AE842" s="2">
        <f>IFERROR(__xludf.DUMMYFUNCTION("IFERROR(ABS(Q842-AVERAGE(FILTER(Q842:Q4910,AA842:AA4910=""Neighbor""))) / STDEV(FILTER(Q842:Q4910, AA842:AA4910 =""Neighbor"")), """")"),0.29775144377804813)</f>
        <v>0.2977514438</v>
      </c>
      <c r="AF842" s="2">
        <f>IFERROR(__xludf.DUMMYFUNCTION("IFERROR(ABS(R842-AVERAGE(FILTER(R842:R4910,AA842:AA4910=""Neighbor""))) / STDEV(FILTER(R842:R4910, AA842:AA4910 =""Neighbor"")), """")"),0.08918524578022106)</f>
        <v>0.08918524578</v>
      </c>
    </row>
    <row r="843">
      <c r="A843" s="2" t="s">
        <v>28</v>
      </c>
      <c r="B843" s="2" t="s">
        <v>3320</v>
      </c>
      <c r="C843" s="2" t="s">
        <v>3423</v>
      </c>
      <c r="D843" s="2" t="s">
        <v>3452</v>
      </c>
      <c r="E843" s="2" t="s">
        <v>3453</v>
      </c>
      <c r="F843" s="2">
        <v>144.0</v>
      </c>
      <c r="G843" s="2">
        <v>750.0</v>
      </c>
      <c r="H843" s="2" t="b">
        <v>1</v>
      </c>
      <c r="I843" s="2">
        <v>-1.0</v>
      </c>
      <c r="J843" s="2" t="b">
        <v>0</v>
      </c>
      <c r="K843" s="2" t="b">
        <v>0</v>
      </c>
      <c r="L843" s="2" t="b">
        <v>0</v>
      </c>
      <c r="M843" s="2" t="b">
        <v>0</v>
      </c>
      <c r="N843" s="2" t="s">
        <v>33</v>
      </c>
      <c r="O843" s="2">
        <v>99.0</v>
      </c>
      <c r="P843" s="2">
        <v>10.0</v>
      </c>
      <c r="Q843" s="2">
        <v>21.0</v>
      </c>
      <c r="R843" s="2">
        <v>0.0</v>
      </c>
      <c r="S843" s="3" t="s">
        <v>3454</v>
      </c>
      <c r="T843" s="2" t="s">
        <v>3455</v>
      </c>
      <c r="Y843" s="4" t="str">
        <f>IFERROR(__xludf.DUMMYFUNCTION("""COMPUTED_VALUE"""),"6.8632224")</f>
        <v>6.8632224</v>
      </c>
      <c r="Z843" s="4" t="str">
        <f>IFERROR(__xludf.DUMMYFUNCTION("""COMPUTED_VALUE"""),"3.0125674")</f>
        <v>3.0125674</v>
      </c>
      <c r="AA843" s="4" t="str">
        <f t="shared" si="1"/>
        <v>Neighbor</v>
      </c>
      <c r="AC843" s="4">
        <f>IFERROR(__xludf.DUMMYFUNCTION("IFERROR(ABS(O843-AVERAGE(FILTER(O843:O4911,AA843:AA4911=""Neighbor""))) / STDEV(FILTER(O843:O4911, AA843:AA4911 =""Neighbor"")), """")"),0.7989374947061817)</f>
        <v>0.7989374947</v>
      </c>
      <c r="AD843" s="4">
        <f>IFERROR(__xludf.DUMMYFUNCTION("IFERROR(ABS(P843-AVERAGE(FILTER(O843:P4911,AA843:AA4911=""Neighbor""))) / STDEV(FILTER(P843:P4911, AA843:AA4911 =""Neighbor"")), """")"),1.2179561290678949)</f>
        <v>1.217956129</v>
      </c>
      <c r="AE843" s="2">
        <f>IFERROR(__xludf.DUMMYFUNCTION("IFERROR(ABS(Q843-AVERAGE(FILTER(Q843:Q4911,AA843:AA4911=""Neighbor""))) / STDEV(FILTER(Q843:Q4911, AA843:AA4911 =""Neighbor"")), """")"),0.152328211017373)</f>
        <v>0.152328211</v>
      </c>
      <c r="AF843" s="2">
        <f>IFERROR(__xludf.DUMMYFUNCTION("IFERROR(ABS(R843-AVERAGE(FILTER(R843:R4911,AA843:AA4911=""Neighbor""))) / STDEV(FILTER(R843:R4911, AA843:AA4911 =""Neighbor"")), """")"),0.08921819280896962)</f>
        <v>0.08921819281</v>
      </c>
    </row>
    <row r="844">
      <c r="A844" s="2" t="s">
        <v>28</v>
      </c>
      <c r="B844" s="2" t="s">
        <v>3320</v>
      </c>
      <c r="C844" s="2" t="s">
        <v>3423</v>
      </c>
      <c r="D844" s="2" t="s">
        <v>3456</v>
      </c>
      <c r="E844" s="2" t="s">
        <v>3457</v>
      </c>
      <c r="F844" s="2">
        <v>219.0</v>
      </c>
      <c r="G844" s="2">
        <v>829.0</v>
      </c>
      <c r="H844" s="2" t="b">
        <v>1</v>
      </c>
      <c r="I844" s="2">
        <v>-1.0</v>
      </c>
      <c r="J844" s="2" t="b">
        <v>0</v>
      </c>
      <c r="K844" s="2" t="b">
        <v>0</v>
      </c>
      <c r="L844" s="2" t="b">
        <v>0</v>
      </c>
      <c r="M844" s="2" t="b">
        <v>0</v>
      </c>
      <c r="N844" s="2" t="s">
        <v>33</v>
      </c>
      <c r="O844" s="2">
        <v>166.0</v>
      </c>
      <c r="P844" s="2">
        <v>13.0</v>
      </c>
      <c r="Q844" s="2">
        <v>23.0</v>
      </c>
      <c r="R844" s="2">
        <v>0.0</v>
      </c>
      <c r="S844" s="3" t="s">
        <v>3458</v>
      </c>
      <c r="T844" s="2" t="s">
        <v>3459</v>
      </c>
      <c r="Y844" s="4" t="str">
        <f>IFERROR(__xludf.DUMMYFUNCTION("""COMPUTED_VALUE"""),"6.8632224")</f>
        <v>6.8632224</v>
      </c>
      <c r="Z844" s="4" t="str">
        <f>IFERROR(__xludf.DUMMYFUNCTION("""COMPUTED_VALUE"""),"3.0125674")</f>
        <v>3.0125674</v>
      </c>
      <c r="AA844" s="4" t="str">
        <f t="shared" si="1"/>
        <v>Neighbor</v>
      </c>
      <c r="AC844" s="4">
        <f>IFERROR(__xludf.DUMMYFUNCTION("IFERROR(ABS(O844-AVERAGE(FILTER(O844:O4912,AA844:AA4912=""Neighbor""))) / STDEV(FILTER(O844:O4912, AA844:AA4912 =""Neighbor"")), """")"),2.351349471759397)</f>
        <v>2.351349472</v>
      </c>
      <c r="AD844" s="4">
        <f>IFERROR(__xludf.DUMMYFUNCTION("IFERROR(ABS(P844-AVERAGE(FILTER(O844:P4912,AA844:AA4912=""Neighbor""))) / STDEV(FILTER(P844:P4912, AA844:AA4912 =""Neighbor"")), """")"),1.0967670552053157)</f>
        <v>1.096767055</v>
      </c>
      <c r="AE844" s="2">
        <f>IFERROR(__xludf.DUMMYFUNCTION("IFERROR(ABS(Q844-AVERAGE(FILTER(Q844:Q4912,AA844:AA4912=""Neighbor""))) / STDEV(FILTER(Q844:Q4912, AA844:AA4912 =""Neighbor"")), """")"),0.07056046844555977)</f>
        <v>0.07056046845</v>
      </c>
      <c r="AF844" s="2">
        <f>IFERROR(__xludf.DUMMYFUNCTION("IFERROR(ABS(R844-AVERAGE(FILTER(R844:R4912,AA844:AA4912=""Neighbor""))) / STDEV(FILTER(R844:R4912, AA844:AA4912 =""Neighbor"")), """")"),0.0892511763790849)</f>
        <v>0.08925117638</v>
      </c>
    </row>
    <row r="845">
      <c r="A845" s="2" t="s">
        <v>28</v>
      </c>
      <c r="B845" s="2" t="s">
        <v>3320</v>
      </c>
      <c r="C845" s="2" t="s">
        <v>3423</v>
      </c>
      <c r="D845" s="2" t="s">
        <v>3460</v>
      </c>
      <c r="E845" s="2" t="s">
        <v>3461</v>
      </c>
      <c r="F845" s="2">
        <v>67.0</v>
      </c>
      <c r="G845" s="2">
        <v>235.0</v>
      </c>
      <c r="H845" s="2" t="b">
        <v>1</v>
      </c>
      <c r="I845" s="2">
        <v>-1.0</v>
      </c>
      <c r="J845" s="2" t="b">
        <v>0</v>
      </c>
      <c r="K845" s="2" t="b">
        <v>0</v>
      </c>
      <c r="L845" s="2" t="b">
        <v>0</v>
      </c>
      <c r="M845" s="2" t="b">
        <v>0</v>
      </c>
      <c r="N845" s="2" t="s">
        <v>33</v>
      </c>
      <c r="O845" s="2">
        <v>49.0</v>
      </c>
      <c r="P845" s="2">
        <v>3.0</v>
      </c>
      <c r="Q845" s="2">
        <v>5.0</v>
      </c>
      <c r="R845" s="2">
        <v>2.0</v>
      </c>
      <c r="S845" s="3" t="s">
        <v>3462</v>
      </c>
      <c r="T845" s="2" t="s">
        <v>3463</v>
      </c>
      <c r="Y845" s="4" t="str">
        <f>IFERROR(__xludf.DUMMYFUNCTION("""COMPUTED_VALUE"""),"6.8632224")</f>
        <v>6.8632224</v>
      </c>
      <c r="Z845" s="4" t="str">
        <f>IFERROR(__xludf.DUMMYFUNCTION("""COMPUTED_VALUE"""),"3.0125674")</f>
        <v>3.0125674</v>
      </c>
      <c r="AA845" s="4" t="str">
        <f t="shared" si="1"/>
        <v>Not Neighbor</v>
      </c>
      <c r="AC845" s="4">
        <f>IFERROR(__xludf.DUMMYFUNCTION("IFERROR(ABS(O845-AVERAGE(FILTER(O845:O4913,AA845:AA4913=""Neighbor""))) / STDEV(FILTER(O845:O4913, AA845:AA4913 =""Neighbor"")), """")"),0.35760859985890076)</f>
        <v>0.3576085999</v>
      </c>
      <c r="AD845" s="4">
        <f>IFERROR(__xludf.DUMMYFUNCTION("IFERROR(ABS(P845-AVERAGE(FILTER(O845:P4913,AA845:AA4913=""Neighbor""))) / STDEV(FILTER(P845:P4913, AA845:AA4913 =""Neighbor"")), """")"),1.4959525039158574)</f>
        <v>1.495952504</v>
      </c>
      <c r="AE845" s="2">
        <f>IFERROR(__xludf.DUMMYFUNCTION("IFERROR(ABS(Q845-AVERAGE(FILTER(Q845:Q4913,AA845:AA4913=""Neighbor""))) / STDEV(FILTER(Q845:Q4913, AA845:AA4913 =""Neighbor"")), """")"),0.8067414480415729)</f>
        <v>0.806741448</v>
      </c>
      <c r="AF845" s="2">
        <f>IFERROR(__xludf.DUMMYFUNCTION("IFERROR(ABS(R845-AVERAGE(FILTER(R845:R4913,AA845:AA4913=""Neighbor""))) / STDEV(FILTER(R845:R4913, AA845:AA4913 =""Neighbor"")), """")"),0.2691694657299233)</f>
        <v>0.2691694657</v>
      </c>
    </row>
    <row r="846">
      <c r="A846" s="2" t="s">
        <v>28</v>
      </c>
      <c r="B846" s="2" t="s">
        <v>3320</v>
      </c>
      <c r="C846" s="2" t="s">
        <v>3423</v>
      </c>
      <c r="D846" s="2" t="s">
        <v>3464</v>
      </c>
      <c r="E846" s="2" t="s">
        <v>3465</v>
      </c>
      <c r="F846" s="2">
        <v>197.0</v>
      </c>
      <c r="G846" s="2">
        <v>750.0</v>
      </c>
      <c r="H846" s="2" t="b">
        <v>1</v>
      </c>
      <c r="I846" s="2">
        <v>-1.0</v>
      </c>
      <c r="J846" s="2" t="b">
        <v>0</v>
      </c>
      <c r="K846" s="2" t="b">
        <v>0</v>
      </c>
      <c r="L846" s="2" t="b">
        <v>0</v>
      </c>
      <c r="M846" s="2" t="b">
        <v>0</v>
      </c>
      <c r="N846" s="2" t="s">
        <v>33</v>
      </c>
      <c r="O846" s="2">
        <v>120.0</v>
      </c>
      <c r="P846" s="2">
        <v>38.0</v>
      </c>
      <c r="Q846" s="2">
        <v>28.0</v>
      </c>
      <c r="R846" s="2">
        <v>1.0</v>
      </c>
      <c r="S846" s="3" t="s">
        <v>3466</v>
      </c>
      <c r="T846" s="2" t="s">
        <v>3467</v>
      </c>
      <c r="Y846" s="4" t="str">
        <f>IFERROR(__xludf.DUMMYFUNCTION("""COMPUTED_VALUE"""),"6.876507")</f>
        <v>6.876507</v>
      </c>
      <c r="Z846" s="4" t="str">
        <f>IFERROR(__xludf.DUMMYFUNCTION("""COMPUTED_VALUE"""),"3.0060192")</f>
        <v>3.0060192</v>
      </c>
      <c r="AA846" s="4" t="str">
        <f t="shared" si="1"/>
        <v>Not Neighbor</v>
      </c>
      <c r="AC846" s="4">
        <f>IFERROR(__xludf.DUMMYFUNCTION("IFERROR(ABS(O846-AVERAGE(FILTER(O846:O4914,AA846:AA4914=""Neighbor""))) / STDEV(FILTER(O846:O4914, AA846:AA4914 =""Neighbor"")), """")"),1.289723078310782)</f>
        <v>1.289723078</v>
      </c>
      <c r="AD846" s="4">
        <f>IFERROR(__xludf.DUMMYFUNCTION("IFERROR(ABS(P846-AVERAGE(FILTER(O846:P4914,AA846:AA4914=""Neighbor""))) / STDEV(FILTER(P846:P4914, AA846:AA4914 =""Neighbor"")), """")"),0.09234602114030802)</f>
        <v>0.09234602114</v>
      </c>
      <c r="AE846" s="2">
        <f>IFERROR(__xludf.DUMMYFUNCTION("IFERROR(ABS(Q846-AVERAGE(FILTER(Q846:Q4914,AA846:AA4914=""Neighbor""))) / STDEV(FILTER(Q846:Q4914, AA846:AA4914 =""Neighbor"")), """")"),0.13390099051935975)</f>
        <v>0.1339009905</v>
      </c>
      <c r="AF846" s="2">
        <f>IFERROR(__xludf.DUMMYFUNCTION("IFERROR(ABS(R846-AVERAGE(FILTER(R846:R4914,AA846:AA4914=""Neighbor""))) / STDEV(FILTER(R846:R4914, AA846:AA4914 =""Neighbor"")), """")"),0.08994263458587946)</f>
        <v>0.08994263459</v>
      </c>
    </row>
    <row r="847">
      <c r="A847" s="2" t="s">
        <v>28</v>
      </c>
      <c r="B847" s="2" t="s">
        <v>3320</v>
      </c>
      <c r="C847" s="2" t="s">
        <v>3423</v>
      </c>
      <c r="D847" s="2" t="s">
        <v>3468</v>
      </c>
      <c r="E847" s="2" t="s">
        <v>3469</v>
      </c>
      <c r="F847" s="2">
        <v>106.0</v>
      </c>
      <c r="G847" s="2">
        <v>351.0</v>
      </c>
      <c r="H847" s="2" t="b">
        <v>1</v>
      </c>
      <c r="I847" s="2">
        <v>-1.0</v>
      </c>
      <c r="J847" s="2" t="b">
        <v>0</v>
      </c>
      <c r="K847" s="2" t="b">
        <v>0</v>
      </c>
      <c r="L847" s="2" t="b">
        <v>0</v>
      </c>
      <c r="M847" s="2" t="b">
        <v>0</v>
      </c>
      <c r="N847" s="2" t="s">
        <v>33</v>
      </c>
      <c r="O847" s="2">
        <v>72.0</v>
      </c>
      <c r="P847" s="2">
        <v>2.0</v>
      </c>
      <c r="Q847" s="2">
        <v>29.0</v>
      </c>
      <c r="R847" s="2">
        <v>0.0</v>
      </c>
      <c r="S847" s="3" t="s">
        <v>3470</v>
      </c>
      <c r="T847" s="2" t="s">
        <v>3471</v>
      </c>
      <c r="Y847" s="4" t="str">
        <f>IFERROR(__xludf.DUMMYFUNCTION("""COMPUTED_VALUE"""),"6.8632224")</f>
        <v>6.8632224</v>
      </c>
      <c r="Z847" s="4" t="str">
        <f>IFERROR(__xludf.DUMMYFUNCTION("""COMPUTED_VALUE"""),"3.0125674")</f>
        <v>3.0125674</v>
      </c>
      <c r="AA847" s="4" t="str">
        <f t="shared" si="1"/>
        <v>Not Neighbor</v>
      </c>
      <c r="AC847" s="4">
        <f>IFERROR(__xludf.DUMMYFUNCTION("IFERROR(ABS(O847-AVERAGE(FILTER(O847:O4915,AA847:AA4915=""Neighbor""))) / STDEV(FILTER(O847:O4915, AA847:AA4915 =""Neighbor"")), """")"),0.17603405644958806)</f>
        <v>0.1760340564</v>
      </c>
      <c r="AD847" s="4">
        <f>IFERROR(__xludf.DUMMYFUNCTION("IFERROR(ABS(P847-AVERAGE(FILTER(O847:P4915,AA847:AA4915=""Neighbor""))) / STDEV(FILTER(P847:P4915, AA847:AA4915 =""Neighbor"")), """")"),1.5360555462808732)</f>
        <v>1.536055546</v>
      </c>
      <c r="AE847" s="2">
        <f>IFERROR(__xludf.DUMMYFUNCTION("IFERROR(ABS(Q847-AVERAGE(FILTER(Q847:Q4915,AA847:AA4915=""Neighbor""))) / STDEV(FILTER(Q847:Q4915, AA847:AA4915 =""Neighbor"")), """")"),0.17479848784809593)</f>
        <v>0.1747984878</v>
      </c>
      <c r="AF847" s="2">
        <f>IFERROR(__xludf.DUMMYFUNCTION("IFERROR(ABS(R847-AVERAGE(FILTER(R847:R4915,AA847:AA4915=""Neighbor""))) / STDEV(FILTER(R847:R4915, AA847:AA4915 =""Neighbor"")), """")"),0.08928419655816437)</f>
        <v>0.08928419656</v>
      </c>
    </row>
    <row r="848">
      <c r="A848" s="2" t="s">
        <v>28</v>
      </c>
      <c r="B848" s="2" t="s">
        <v>3320</v>
      </c>
      <c r="C848" s="2" t="s">
        <v>3423</v>
      </c>
      <c r="D848" s="2" t="s">
        <v>3472</v>
      </c>
      <c r="E848" s="2" t="s">
        <v>3473</v>
      </c>
      <c r="F848" s="2">
        <v>136.0</v>
      </c>
      <c r="G848" s="2">
        <v>659.0</v>
      </c>
      <c r="H848" s="2" t="b">
        <v>1</v>
      </c>
      <c r="I848" s="2">
        <v>-1.0</v>
      </c>
      <c r="J848" s="2" t="b">
        <v>0</v>
      </c>
      <c r="K848" s="2" t="b">
        <v>1</v>
      </c>
      <c r="L848" s="2" t="b">
        <v>0</v>
      </c>
      <c r="M848" s="2" t="b">
        <v>0</v>
      </c>
      <c r="N848" s="2" t="s">
        <v>33</v>
      </c>
      <c r="O848" s="2">
        <v>92.0</v>
      </c>
      <c r="P848" s="2">
        <v>14.0</v>
      </c>
      <c r="Q848" s="2">
        <v>22.0</v>
      </c>
      <c r="R848" s="2">
        <v>0.0</v>
      </c>
      <c r="S848" s="3" t="s">
        <v>3474</v>
      </c>
      <c r="T848" s="2" t="s">
        <v>3475</v>
      </c>
      <c r="Y848" s="4" t="str">
        <f>IFERROR(__xludf.DUMMYFUNCTION("""COMPUTED_VALUE"""),"6.8953645")</f>
        <v>6.8953645</v>
      </c>
      <c r="Z848" s="4" t="str">
        <f>IFERROR(__xludf.DUMMYFUNCTION("""COMPUTED_VALUE"""),"3.0125674")</f>
        <v>3.0125674</v>
      </c>
      <c r="AA848" s="4" t="str">
        <f t="shared" si="1"/>
        <v>Not Neighbor</v>
      </c>
      <c r="AC848" s="4">
        <f>IFERROR(__xludf.DUMMYFUNCTION("IFERROR(ABS(O848-AVERAGE(FILTER(O848:O4916,AA848:AA4916=""Neighbor""))) / STDEV(FILTER(O848:O4916, AA848:AA4916 =""Neighbor"")), """")"),0.6400711488917522)</f>
        <v>0.6400711489</v>
      </c>
      <c r="AD848" s="4">
        <f>IFERROR(__xludf.DUMMYFUNCTION("IFERROR(ABS(P848-AVERAGE(FILTER(O848:P4916,AA848:AA4916=""Neighbor""))) / STDEV(FILTER(P848:P4916, AA848:AA4916 =""Neighbor"")), """")"),1.0548190379006848)</f>
        <v>1.054819038</v>
      </c>
      <c r="AE848" s="2">
        <f>IFERROR(__xludf.DUMMYFUNCTION("IFERROR(ABS(Q848-AVERAGE(FILTER(Q848:Q4916,AA848:AA4916=""Neighbor""))) / STDEV(FILTER(Q848:Q4916, AA848:AA4916 =""Neighbor"")), """")"),0.11148399345305747)</f>
        <v>0.1114839935</v>
      </c>
      <c r="AF848" s="2">
        <f>IFERROR(__xludf.DUMMYFUNCTION("IFERROR(ABS(R848-AVERAGE(FILTER(R848:R4916,AA848:AA4916=""Neighbor""))) / STDEV(FILTER(R848:R4916, AA848:AA4916 =""Neighbor"")), """")"),0.08928419655816437)</f>
        <v>0.08928419656</v>
      </c>
    </row>
    <row r="849">
      <c r="A849" s="2" t="s">
        <v>28</v>
      </c>
      <c r="B849" s="2" t="s">
        <v>3320</v>
      </c>
      <c r="C849" s="2" t="s">
        <v>3423</v>
      </c>
      <c r="D849" s="2" t="s">
        <v>3476</v>
      </c>
      <c r="E849" s="2" t="s">
        <v>3477</v>
      </c>
      <c r="F849" s="2">
        <v>108.0</v>
      </c>
      <c r="G849" s="2">
        <v>509.0</v>
      </c>
      <c r="H849" s="2" t="b">
        <v>1</v>
      </c>
      <c r="I849" s="2">
        <v>-1.0</v>
      </c>
      <c r="J849" s="2" t="b">
        <v>0</v>
      </c>
      <c r="K849" s="2" t="b">
        <v>0</v>
      </c>
      <c r="L849" s="2" t="b">
        <v>0</v>
      </c>
      <c r="M849" s="2" t="b">
        <v>0</v>
      </c>
      <c r="N849" s="2" t="s">
        <v>33</v>
      </c>
      <c r="O849" s="2">
        <v>63.0</v>
      </c>
      <c r="P849" s="2">
        <v>11.0</v>
      </c>
      <c r="Q849" s="2">
        <v>19.0</v>
      </c>
      <c r="R849" s="2">
        <v>0.0</v>
      </c>
      <c r="S849" s="3" t="s">
        <v>3478</v>
      </c>
      <c r="T849" s="2" t="s">
        <v>3479</v>
      </c>
      <c r="Y849" s="4" t="str">
        <f>IFERROR(__xludf.DUMMYFUNCTION("""COMPUTED_VALUE"""),"6.8632224")</f>
        <v>6.8632224</v>
      </c>
      <c r="Z849" s="4" t="str">
        <f>IFERROR(__xludf.DUMMYFUNCTION("""COMPUTED_VALUE"""),"3.0125674")</f>
        <v>3.0125674</v>
      </c>
      <c r="AA849" s="4" t="str">
        <f t="shared" si="1"/>
        <v>Not Neighbor</v>
      </c>
      <c r="AC849" s="4">
        <f>IFERROR(__xludf.DUMMYFUNCTION("IFERROR(ABS(O849-AVERAGE(FILTER(O849:O4917,AA849:AA4917=""Neighbor""))) / STDEV(FILTER(O849:O4917, AA849:AA4917 =""Neighbor"")), """")"),0.032782635149385835)</f>
        <v>0.03278263515</v>
      </c>
      <c r="AD849" s="4">
        <f>IFERROR(__xludf.DUMMYFUNCTION("IFERROR(ABS(P849-AVERAGE(FILTER(O849:P4917,AA849:AA4917=""Neighbor""))) / STDEV(FILTER(P849:P4917, AA849:AA4917 =""Neighbor"")), """")"),1.175128164995732)</f>
        <v>1.175128165</v>
      </c>
      <c r="AE849" s="2">
        <f>IFERROR(__xludf.DUMMYFUNCTION("IFERROR(ABS(Q849-AVERAGE(FILTER(Q849:Q4917,AA849:AA4917=""Neighbor""))) / STDEV(FILTER(Q849:Q4917, AA849:AA4917 =""Neighbor"")), """")"),0.23417648543926606)</f>
        <v>0.2341764854</v>
      </c>
      <c r="AF849" s="2">
        <f>IFERROR(__xludf.DUMMYFUNCTION("IFERROR(ABS(R849-AVERAGE(FILTER(R849:R4917,AA849:AA4917=""Neighbor""))) / STDEV(FILTER(R849:R4917, AA849:AA4917 =""Neighbor"")), """")"),0.08928419655816437)</f>
        <v>0.08928419656</v>
      </c>
    </row>
    <row r="850">
      <c r="A850" s="2" t="s">
        <v>28</v>
      </c>
      <c r="B850" s="2" t="s">
        <v>3320</v>
      </c>
      <c r="C850" s="2" t="s">
        <v>3423</v>
      </c>
      <c r="D850" s="2" t="s">
        <v>3480</v>
      </c>
      <c r="E850" s="2" t="s">
        <v>3481</v>
      </c>
      <c r="F850" s="2">
        <v>244.0</v>
      </c>
      <c r="G850" s="2">
        <v>1078.0</v>
      </c>
      <c r="H850" s="2" t="b">
        <v>1</v>
      </c>
      <c r="I850" s="2">
        <v>-1.0</v>
      </c>
      <c r="J850" s="2" t="b">
        <v>0</v>
      </c>
      <c r="K850" s="2" t="b">
        <v>0</v>
      </c>
      <c r="L850" s="2" t="b">
        <v>0</v>
      </c>
      <c r="M850" s="2" t="b">
        <v>0</v>
      </c>
      <c r="N850" s="2" t="s">
        <v>33</v>
      </c>
      <c r="O850" s="2">
        <v>133.0</v>
      </c>
      <c r="P850" s="2">
        <v>25.0</v>
      </c>
      <c r="Q850" s="2">
        <v>47.0</v>
      </c>
      <c r="R850" s="2">
        <v>0.0</v>
      </c>
      <c r="S850" s="3" t="s">
        <v>3482</v>
      </c>
      <c r="T850" s="2" t="s">
        <v>3483</v>
      </c>
      <c r="Y850" s="4" t="str">
        <f>IFERROR(__xludf.DUMMYFUNCTION("""COMPUTED_VALUE"""),"6.8953645")</f>
        <v>6.8953645</v>
      </c>
      <c r="Z850" s="4" t="str">
        <f>IFERROR(__xludf.DUMMYFUNCTION("""COMPUTED_VALUE"""),"3.0125674")</f>
        <v>3.0125674</v>
      </c>
      <c r="AA850" s="4" t="str">
        <f t="shared" si="1"/>
        <v>Not Neighbor</v>
      </c>
      <c r="AC850" s="4">
        <f>IFERROR(__xludf.DUMMYFUNCTION("IFERROR(ABS(O850-AVERAGE(FILTER(O850:O4918,AA850:AA4918=""Neighbor""))) / STDEV(FILTER(O850:O4918, AA850:AA4918 =""Neighbor"")), """")"),1.591347188398189)</f>
        <v>1.591347188</v>
      </c>
      <c r="AD850" s="4">
        <f>IFERROR(__xludf.DUMMYFUNCTION("IFERROR(ABS(P850-AVERAGE(FILTER(O850:P4918,AA850:AA4918=""Neighbor""))) / STDEV(FILTER(P850:P4918, AA850:AA4918 =""Neighbor"")), """")"),0.6136855718855121)</f>
        <v>0.6136855719</v>
      </c>
      <c r="AE850" s="2">
        <f>IFERROR(__xludf.DUMMYFUNCTION("IFERROR(ABS(Q850-AVERAGE(FILTER(Q850:Q4918,AA850:AA4918=""Neighbor""))) / STDEV(FILTER(Q850:Q4918, AA850:AA4918 =""Neighbor"")), """")"),0.9109534397653476)</f>
        <v>0.9109534398</v>
      </c>
      <c r="AF850" s="2">
        <f>IFERROR(__xludf.DUMMYFUNCTION("IFERROR(ABS(R850-AVERAGE(FILTER(R850:R4918,AA850:AA4918=""Neighbor""))) / STDEV(FILTER(R850:R4918, AA850:AA4918 =""Neighbor"")), """")"),0.08928419655816437)</f>
        <v>0.08928419656</v>
      </c>
    </row>
    <row r="851">
      <c r="A851" s="2" t="s">
        <v>28</v>
      </c>
      <c r="B851" s="2" t="s">
        <v>3320</v>
      </c>
      <c r="C851" s="2" t="s">
        <v>3423</v>
      </c>
      <c r="D851" s="2" t="s">
        <v>3484</v>
      </c>
      <c r="E851" s="2" t="s">
        <v>3485</v>
      </c>
      <c r="F851" s="2">
        <v>97.0</v>
      </c>
      <c r="G851" s="2">
        <v>630.0</v>
      </c>
      <c r="H851" s="2" t="b">
        <v>1</v>
      </c>
      <c r="I851" s="2">
        <v>-1.0</v>
      </c>
      <c r="J851" s="2" t="b">
        <v>0</v>
      </c>
      <c r="K851" s="2" t="b">
        <v>1</v>
      </c>
      <c r="L851" s="2" t="b">
        <v>0</v>
      </c>
      <c r="M851" s="2" t="b">
        <v>0</v>
      </c>
      <c r="N851" s="2" t="s">
        <v>33</v>
      </c>
      <c r="O851" s="2">
        <v>62.0</v>
      </c>
      <c r="P851" s="2">
        <v>6.0</v>
      </c>
      <c r="Q851" s="2">
        <v>15.0</v>
      </c>
      <c r="R851" s="2">
        <v>1.0</v>
      </c>
      <c r="S851" s="3" t="s">
        <v>3486</v>
      </c>
      <c r="T851" s="2" t="s">
        <v>3487</v>
      </c>
      <c r="Y851" s="4" t="str">
        <f>IFERROR(__xludf.DUMMYFUNCTION("""COMPUTED_VALUE"""),"6.8632224")</f>
        <v>6.8632224</v>
      </c>
      <c r="Z851" s="4" t="str">
        <f>IFERROR(__xludf.DUMMYFUNCTION("""COMPUTED_VALUE"""),"3.0125674")</f>
        <v>3.0125674</v>
      </c>
      <c r="AA851" s="4" t="str">
        <f t="shared" si="1"/>
        <v>Neighbor</v>
      </c>
      <c r="AC851" s="4">
        <f>IFERROR(__xludf.DUMMYFUNCTION("IFERROR(ABS(O851-AVERAGE(FILTER(O851:O4919,AA851:AA4919=""Neighbor""))) / STDEV(FILTER(O851:O4919, AA851:AA4919 =""Neighbor"")), """")"),0.05598448977149404)</f>
        <v>0.05598448977</v>
      </c>
      <c r="AD851" s="4">
        <f>IFERROR(__xludf.DUMMYFUNCTION("IFERROR(ABS(P851-AVERAGE(FILTER(O851:P4919,AA851:AA4919=""Neighbor""))) / STDEV(FILTER(P851:P4919, AA851:AA4919 =""Neighbor"")), """")"),1.3756433768208105)</f>
        <v>1.375643377</v>
      </c>
      <c r="AE851" s="2">
        <f>IFERROR(__xludf.DUMMYFUNCTION("IFERROR(ABS(Q851-AVERAGE(FILTER(Q851:Q4919,AA851:AA4919=""Neighbor""))) / STDEV(FILTER(Q851:Q4919, AA851:AA4919 =""Neighbor"")), """")"),0.3977664747542109)</f>
        <v>0.3977664748</v>
      </c>
      <c r="AF851" s="2">
        <f>IFERROR(__xludf.DUMMYFUNCTION("IFERROR(ABS(R851-AVERAGE(FILTER(R851:R4919,AA851:AA4919=""Neighbor""))) / STDEV(FILTER(R851:R4919, AA851:AA4919 =""Neighbor"")), """")"),0.08994263458587946)</f>
        <v>0.08994263459</v>
      </c>
    </row>
    <row r="852">
      <c r="A852" s="2" t="s">
        <v>28</v>
      </c>
      <c r="B852" s="2" t="s">
        <v>3320</v>
      </c>
      <c r="C852" s="2" t="s">
        <v>3423</v>
      </c>
      <c r="D852" s="2" t="s">
        <v>3488</v>
      </c>
      <c r="E852" s="2" t="s">
        <v>3489</v>
      </c>
      <c r="F852" s="2">
        <v>74.0</v>
      </c>
      <c r="G852" s="2">
        <v>544.0</v>
      </c>
      <c r="H852" s="2" t="b">
        <v>1</v>
      </c>
      <c r="I852" s="2">
        <v>-1.0</v>
      </c>
      <c r="J852" s="2" t="b">
        <v>0</v>
      </c>
      <c r="K852" s="2" t="b">
        <v>0</v>
      </c>
      <c r="L852" s="2" t="b">
        <v>0</v>
      </c>
      <c r="M852" s="2" t="b">
        <v>0</v>
      </c>
      <c r="N852" s="2" t="s">
        <v>33</v>
      </c>
      <c r="O852" s="2">
        <v>48.0</v>
      </c>
      <c r="P852" s="2">
        <v>2.0</v>
      </c>
      <c r="Q852" s="2">
        <v>12.0</v>
      </c>
      <c r="R852" s="2">
        <v>0.0</v>
      </c>
      <c r="S852" s="3" t="s">
        <v>3490</v>
      </c>
      <c r="T852" s="2" t="s">
        <v>3491</v>
      </c>
      <c r="Y852" s="4" t="str">
        <f>IFERROR(__xludf.DUMMYFUNCTION("""COMPUTED_VALUE"""),"6.8632224")</f>
        <v>6.8632224</v>
      </c>
      <c r="Z852" s="4" t="str">
        <f>IFERROR(__xludf.DUMMYFUNCTION("""COMPUTED_VALUE"""),"3.0125674")</f>
        <v>3.0125674</v>
      </c>
      <c r="AA852" s="4" t="str">
        <f t="shared" si="1"/>
        <v>Not Neighbor</v>
      </c>
      <c r="AC852" s="4">
        <f>IFERROR(__xludf.DUMMYFUNCTION("IFERROR(ABS(O852-AVERAGE(FILTER(O852:O4920,AA852:AA4920=""Neighbor""))) / STDEV(FILTER(O852:O4920, AA852:AA4920 =""Neighbor"")), """")"),0.380712013839263)</f>
        <v>0.3807120138</v>
      </c>
      <c r="AD852" s="4">
        <f>IFERROR(__xludf.DUMMYFUNCTION("IFERROR(ABS(P852-AVERAGE(FILTER(O852:P4920,AA852:AA4920=""Neighbor""))) / STDEV(FILTER(P852:P4920, AA852:AA4920 =""Neighbor"")), """")"),1.5357709069324494)</f>
        <v>1.535770907</v>
      </c>
      <c r="AE852" s="2">
        <f>IFERROR(__xludf.DUMMYFUNCTION("IFERROR(ABS(Q852-AVERAGE(FILTER(Q852:Q4920,AA852:AA4920=""Neighbor""))) / STDEV(FILTER(Q852:Q4920, AA852:AA4920 =""Neighbor"")), """")"),0.5205902592206589)</f>
        <v>0.5205902592</v>
      </c>
      <c r="AF852" s="2">
        <f>IFERROR(__xludf.DUMMYFUNCTION("IFERROR(ABS(R852-AVERAGE(FILTER(R852:R4920,AA852:AA4920=""Neighbor""))) / STDEV(FILTER(R852:R4920, AA852:AA4920 =""Neighbor"")), """")"),0.08918552092427791)</f>
        <v>0.08918552092</v>
      </c>
    </row>
    <row r="853">
      <c r="A853" s="2" t="s">
        <v>28</v>
      </c>
      <c r="B853" s="2" t="s">
        <v>3320</v>
      </c>
      <c r="C853" s="2" t="s">
        <v>3423</v>
      </c>
      <c r="D853" s="2" t="s">
        <v>3492</v>
      </c>
      <c r="E853" s="2" t="s">
        <v>3493</v>
      </c>
      <c r="F853" s="2">
        <v>132.0</v>
      </c>
      <c r="G853" s="2">
        <v>585.0</v>
      </c>
      <c r="H853" s="2" t="b">
        <v>1</v>
      </c>
      <c r="I853" s="2">
        <v>-1.0</v>
      </c>
      <c r="J853" s="2" t="b">
        <v>0</v>
      </c>
      <c r="K853" s="2" t="b">
        <v>0</v>
      </c>
      <c r="L853" s="2" t="b">
        <v>0</v>
      </c>
      <c r="M853" s="2" t="b">
        <v>0</v>
      </c>
      <c r="N853" s="2" t="s">
        <v>33</v>
      </c>
      <c r="O853" s="2">
        <v>70.0</v>
      </c>
      <c r="P853" s="2">
        <v>10.0</v>
      </c>
      <c r="Q853" s="2">
        <v>32.0</v>
      </c>
      <c r="R853" s="2">
        <v>0.0</v>
      </c>
      <c r="S853" s="3" t="s">
        <v>3494</v>
      </c>
      <c r="T853" s="2" t="s">
        <v>3495</v>
      </c>
      <c r="Y853" s="4" t="str">
        <f>IFERROR(__xludf.DUMMYFUNCTION("""COMPUTED_VALUE"""),"6.8953645")</f>
        <v>6.8953645</v>
      </c>
      <c r="Z853" s="4" t="str">
        <f>IFERROR(__xludf.DUMMYFUNCTION("""COMPUTED_VALUE"""),"3.0125674")</f>
        <v>3.0125674</v>
      </c>
      <c r="AA853" s="4" t="str">
        <f t="shared" si="1"/>
        <v>Not Neighbor</v>
      </c>
      <c r="AC853" s="4">
        <f>IFERROR(__xludf.DUMMYFUNCTION("IFERROR(ABS(O853-AVERAGE(FILTER(O853:O4921,AA853:AA4921=""Neighbor""))) / STDEV(FILTER(O853:O4921, AA853:AA4921 =""Neighbor"")), """")"),0.1295416796776132)</f>
        <v>0.1295416797</v>
      </c>
      <c r="AD853" s="4">
        <f>IFERROR(__xludf.DUMMYFUNCTION("IFERROR(ABS(P853-AVERAGE(FILTER(O853:P4921,AA853:AA4921=""Neighbor""))) / STDEV(FILTER(P853:P4921, AA853:AA4921 =""Neighbor"")), """")"),1.2150448240228358)</f>
        <v>1.215044824</v>
      </c>
      <c r="AE853" s="2">
        <f>IFERROR(__xludf.DUMMYFUNCTION("IFERROR(ABS(Q853-AVERAGE(FILTER(Q853:Q4921,AA853:AA4921=""Neighbor""))) / STDEV(FILTER(Q853:Q4921, AA853:AA4921 =""Neighbor"")), """")"),0.29710651567117696)</f>
        <v>0.2971065157</v>
      </c>
      <c r="AF853" s="2">
        <f>IFERROR(__xludf.DUMMYFUNCTION("IFERROR(ABS(R853-AVERAGE(FILTER(R853:R4921,AA853:AA4921=""Neighbor""))) / STDEV(FILTER(R853:R4921, AA853:AA4921 =""Neighbor"")), """")"),0.08918552092427791)</f>
        <v>0.08918552092</v>
      </c>
    </row>
    <row r="854">
      <c r="A854" s="2" t="s">
        <v>28</v>
      </c>
      <c r="B854" s="2" t="s">
        <v>3320</v>
      </c>
      <c r="C854" s="2" t="s">
        <v>3423</v>
      </c>
      <c r="D854" s="2" t="s">
        <v>3496</v>
      </c>
      <c r="E854" s="2" t="s">
        <v>3497</v>
      </c>
      <c r="F854" s="2">
        <v>37.0</v>
      </c>
      <c r="G854" s="2">
        <v>346.0</v>
      </c>
      <c r="H854" s="2" t="b">
        <v>1</v>
      </c>
      <c r="I854" s="2">
        <v>-1.0</v>
      </c>
      <c r="J854" s="2" t="b">
        <v>0</v>
      </c>
      <c r="K854" s="2" t="b">
        <v>1</v>
      </c>
      <c r="L854" s="2" t="b">
        <v>0</v>
      </c>
      <c r="M854" s="2" t="b">
        <v>0</v>
      </c>
      <c r="N854" s="2" t="s">
        <v>33</v>
      </c>
      <c r="O854" s="2">
        <v>0.0</v>
      </c>
      <c r="P854" s="2">
        <v>0.0</v>
      </c>
      <c r="Q854" s="2">
        <v>0.0</v>
      </c>
      <c r="R854" s="2">
        <v>0.0</v>
      </c>
      <c r="S854" s="3" t="s">
        <v>3498</v>
      </c>
      <c r="T854" s="2" t="s">
        <v>3499</v>
      </c>
      <c r="Y854" s="4" t="str">
        <f>IFERROR(__xludf.DUMMYFUNCTION("""COMPUTED_VALUE"""),"6.8632224")</f>
        <v>6.8632224</v>
      </c>
      <c r="Z854" s="4" t="str">
        <f>IFERROR(__xludf.DUMMYFUNCTION("""COMPUTED_VALUE"""),"3.0125674")</f>
        <v>3.0125674</v>
      </c>
      <c r="AA854" s="4" t="str">
        <f t="shared" si="1"/>
        <v>Neighbor</v>
      </c>
      <c r="AC854" s="4">
        <f>IFERROR(__xludf.DUMMYFUNCTION("IFERROR(ABS(O854-AVERAGE(FILTER(O854:O4922,AA854:AA4922=""Neighbor""))) / STDEV(FILTER(O854:O4922, AA854:AA4922 =""Neighbor"")), """")"),1.4939927996942657)</f>
        <v>1.4939928</v>
      </c>
      <c r="AD854" s="4">
        <f>IFERROR(__xludf.DUMMYFUNCTION("IFERROR(ABS(P854-AVERAGE(FILTER(O854:P4922,AA854:AA4922=""Neighbor""))) / STDEV(FILTER(P854:P4922, AA854:AA4922 =""Neighbor"")), """")"),1.615952427659853)</f>
        <v>1.615952428</v>
      </c>
      <c r="AE854" s="2">
        <f>IFERROR(__xludf.DUMMYFUNCTION("IFERROR(ABS(Q854-AVERAGE(FILTER(Q854:Q4922,AA854:AA4922=""Neighbor""))) / STDEV(FILTER(Q854:Q4922, AA854:AA4922 =""Neighbor"")), """")"),1.0112083241557606)</f>
        <v>1.011208324</v>
      </c>
      <c r="AF854" s="2">
        <f>IFERROR(__xludf.DUMMYFUNCTION("IFERROR(ABS(R854-AVERAGE(FILTER(R854:R4922,AA854:AA4922=""Neighbor""))) / STDEV(FILTER(R854:R4922, AA854:AA4922 =""Neighbor"")), """")"),0.08918552092427791)</f>
        <v>0.08918552092</v>
      </c>
    </row>
    <row r="855">
      <c r="A855" s="2" t="s">
        <v>28</v>
      </c>
      <c r="B855" s="2" t="s">
        <v>3320</v>
      </c>
      <c r="C855" s="2" t="s">
        <v>3423</v>
      </c>
      <c r="D855" s="2" t="s">
        <v>3500</v>
      </c>
      <c r="E855" s="2" t="s">
        <v>3501</v>
      </c>
      <c r="F855" s="2">
        <v>132.0</v>
      </c>
      <c r="G855" s="2">
        <v>639.0</v>
      </c>
      <c r="H855" s="2" t="b">
        <v>1</v>
      </c>
      <c r="I855" s="2">
        <v>-1.0</v>
      </c>
      <c r="J855" s="2" t="b">
        <v>0</v>
      </c>
      <c r="K855" s="2" t="b">
        <v>0</v>
      </c>
      <c r="L855" s="2" t="b">
        <v>0</v>
      </c>
      <c r="M855" s="2" t="b">
        <v>0</v>
      </c>
      <c r="N855" s="2" t="s">
        <v>33</v>
      </c>
      <c r="O855" s="2">
        <v>96.0</v>
      </c>
      <c r="P855" s="2">
        <v>14.0</v>
      </c>
      <c r="Q855" s="2">
        <v>18.0</v>
      </c>
      <c r="R855" s="2">
        <v>0.0</v>
      </c>
      <c r="S855" s="3" t="s">
        <v>3502</v>
      </c>
      <c r="T855" s="2" t="s">
        <v>3503</v>
      </c>
      <c r="Y855" s="4" t="str">
        <f>IFERROR(__xludf.DUMMYFUNCTION("""COMPUTED_VALUE"""),"6.8632224")</f>
        <v>6.8632224</v>
      </c>
      <c r="Z855" s="4" t="str">
        <f>IFERROR(__xludf.DUMMYFUNCTION("""COMPUTED_VALUE"""),"3.0125674")</f>
        <v>3.0125674</v>
      </c>
      <c r="AA855" s="4" t="str">
        <f t="shared" si="1"/>
        <v>Not Neighbor</v>
      </c>
      <c r="AC855" s="4">
        <f>IFERROR(__xludf.DUMMYFUNCTION("IFERROR(ABS(O855-AVERAGE(FILTER(O855:O4923,AA855:AA4923=""Neighbor""))) / STDEV(FILTER(O855:O4923, AA855:AA4923 =""Neighbor"")), """")"),0.731801912905281)</f>
        <v>0.7318019129</v>
      </c>
      <c r="AD855" s="4">
        <f>IFERROR(__xludf.DUMMYFUNCTION("IFERROR(ABS(P855-AVERAGE(FILTER(O855:P4923,AA855:AA4923=""Neighbor""))) / STDEV(FILTER(P855:P4923, AA855:AA4923 =""Neighbor"")), """")"),1.0556462733320462)</f>
        <v>1.055646273</v>
      </c>
      <c r="AE855" s="2">
        <f>IFERROR(__xludf.DUMMYFUNCTION("IFERROR(ABS(Q855-AVERAGE(FILTER(Q855:Q4923,AA855:AA4923=""Neighbor""))) / STDEV(FILTER(Q855:Q4923, AA855:AA4923 =""Neighbor"")), """")"),0.27602767686054314)</f>
        <v>0.2760276769</v>
      </c>
      <c r="AF855" s="2">
        <f>IFERROR(__xludf.DUMMYFUNCTION("IFERROR(ABS(R855-AVERAGE(FILTER(R855:R4923,AA855:AA4923=""Neighbor""))) / STDEV(FILTER(R855:R4923, AA855:AA4923 =""Neighbor"")), """")"),0.08921856494314949)</f>
        <v>0.08921856494</v>
      </c>
    </row>
    <row r="856">
      <c r="A856" s="2" t="s">
        <v>28</v>
      </c>
      <c r="B856" s="2" t="s">
        <v>3320</v>
      </c>
      <c r="C856" s="2" t="s">
        <v>3504</v>
      </c>
      <c r="D856" s="2" t="s">
        <v>3505</v>
      </c>
      <c r="E856" s="2" t="s">
        <v>3506</v>
      </c>
      <c r="F856" s="2">
        <v>233.0</v>
      </c>
      <c r="G856" s="2">
        <v>842.0</v>
      </c>
      <c r="H856" s="2" t="b">
        <v>1</v>
      </c>
      <c r="I856" s="2">
        <v>-1.0</v>
      </c>
      <c r="J856" s="2" t="b">
        <v>0</v>
      </c>
      <c r="K856" s="2" t="b">
        <v>0</v>
      </c>
      <c r="L856" s="2" t="b">
        <v>0</v>
      </c>
      <c r="M856" s="2" t="b">
        <v>0</v>
      </c>
      <c r="N856" s="2" t="s">
        <v>33</v>
      </c>
      <c r="O856" s="2">
        <v>166.0</v>
      </c>
      <c r="P856" s="2">
        <v>12.0</v>
      </c>
      <c r="Q856" s="2">
        <v>22.0</v>
      </c>
      <c r="R856" s="2">
        <v>1.0</v>
      </c>
      <c r="S856" s="3" t="s">
        <v>3507</v>
      </c>
      <c r="T856" s="2" t="s">
        <v>3508</v>
      </c>
      <c r="Y856" s="4" t="str">
        <f>IFERROR(__xludf.DUMMYFUNCTION("""COMPUTED_VALUE"""),"6.8003155")</f>
        <v>6.8003155</v>
      </c>
      <c r="Z856" s="4" t="str">
        <f>IFERROR(__xludf.DUMMYFUNCTION("""COMPUTED_VALUE"""),"3.0138183")</f>
        <v>3.0138183</v>
      </c>
      <c r="AA856" s="4" t="str">
        <f t="shared" si="1"/>
        <v>Not Neighbor</v>
      </c>
      <c r="AC856" s="4">
        <f>IFERROR(__xludf.DUMMYFUNCTION("IFERROR(ABS(O856-AVERAGE(FILTER(O856:O4924,AA856:AA4924=""Neighbor""))) / STDEV(FILTER(O856:O4924, AA856:AA4924 =""Neighbor"")), """")"),2.3560743341530497)</f>
        <v>2.356074334</v>
      </c>
      <c r="AD856" s="4">
        <f>IFERROR(__xludf.DUMMYFUNCTION("IFERROR(ABS(P856-AVERAGE(FILTER(O856:P4924,AA856:AA4924=""Neighbor""))) / STDEV(FILTER(P856:P4924, AA856:AA4924 =""Neighbor"")), """")"),1.1358107394394583)</f>
        <v>1.135810739</v>
      </c>
      <c r="AE856" s="2">
        <f>IFERROR(__xludf.DUMMYFUNCTION("IFERROR(ABS(Q856-AVERAGE(FILTER(Q856:Q4924,AA856:AA4924=""Neighbor""))) / STDEV(FILTER(Q856:Q4924, AA856:AA4924 =""Neighbor"")), """")"),0.11248691921325026)</f>
        <v>0.1124869192</v>
      </c>
      <c r="AF856" s="2">
        <f>IFERROR(__xludf.DUMMYFUNCTION("IFERROR(ABS(R856-AVERAGE(FILTER(R856:R4924,AA856:AA4924=""Neighbor""))) / STDEV(FILTER(R856:R4924, AA856:AA4924 =""Neighbor"")), """")"),0.08987749082899255)</f>
        <v>0.08987749083</v>
      </c>
    </row>
    <row r="857">
      <c r="A857" s="2" t="s">
        <v>28</v>
      </c>
      <c r="B857" s="2" t="s">
        <v>3320</v>
      </c>
      <c r="C857" s="2" t="s">
        <v>3504</v>
      </c>
      <c r="D857" s="2" t="s">
        <v>3509</v>
      </c>
      <c r="E857" s="2" t="s">
        <v>3510</v>
      </c>
      <c r="F857" s="2">
        <v>303.0</v>
      </c>
      <c r="G857" s="2">
        <v>906.0</v>
      </c>
      <c r="H857" s="2" t="b">
        <v>1</v>
      </c>
      <c r="I857" s="2">
        <v>-1.0</v>
      </c>
      <c r="J857" s="2" t="b">
        <v>0</v>
      </c>
      <c r="K857" s="2" t="b">
        <v>0</v>
      </c>
      <c r="L857" s="2" t="b">
        <v>0</v>
      </c>
      <c r="M857" s="2" t="b">
        <v>0</v>
      </c>
      <c r="N857" s="2" t="s">
        <v>33</v>
      </c>
      <c r="O857" s="2">
        <v>185.0</v>
      </c>
      <c r="P857" s="2">
        <v>3.0</v>
      </c>
      <c r="Q857" s="2">
        <v>67.0</v>
      </c>
      <c r="R857" s="2">
        <v>1.0</v>
      </c>
      <c r="S857" s="3" t="s">
        <v>3511</v>
      </c>
      <c r="T857" s="2" t="s">
        <v>3512</v>
      </c>
      <c r="Y857" s="4" t="str">
        <f>IFERROR(__xludf.DUMMYFUNCTION("""COMPUTED_VALUE"""),"6.7914934")</f>
        <v>6.7914934</v>
      </c>
      <c r="Z857" s="4" t="str">
        <f>IFERROR(__xludf.DUMMYFUNCTION("""COMPUTED_VALUE"""),"3.0344627")</f>
        <v>3.0344627</v>
      </c>
      <c r="AA857" s="4" t="str">
        <f t="shared" si="1"/>
        <v>Not Neighbor</v>
      </c>
      <c r="AC857" s="4">
        <f>IFERROR(__xludf.DUMMYFUNCTION("IFERROR(ABS(O857-AVERAGE(FILTER(O857:O4925,AA857:AA4925=""Neighbor""))) / STDEV(FILTER(O857:O4925, AA857:AA4925 =""Neighbor"")), """")"),2.796948277063158)</f>
        <v>2.796948277</v>
      </c>
      <c r="AD857" s="4">
        <f>IFERROR(__xludf.DUMMYFUNCTION("IFERROR(ABS(P857-AVERAGE(FILTER(O857:P4925,AA857:AA4925=""Neighbor""))) / STDEV(FILTER(P857:P4925, AA857:AA4925 =""Neighbor"")), """")"),1.4965508369228138)</f>
        <v>1.496550837</v>
      </c>
      <c r="AE857" s="2">
        <f>IFERROR(__xludf.DUMMYFUNCTION("IFERROR(ABS(Q857-AVERAGE(FILTER(Q857:Q4925,AA857:AA4925=""Neighbor""))) / STDEV(FILTER(Q857:Q4925, AA857:AA4925 =""Neighbor"")), """")"),1.7273466043187944)</f>
        <v>1.727346604</v>
      </c>
      <c r="AF857" s="2">
        <f>IFERROR(__xludf.DUMMYFUNCTION("IFERROR(ABS(R857-AVERAGE(FILTER(R857:R4925,AA857:AA4925=""Neighbor""))) / STDEV(FILTER(R857:R4925, AA857:AA4925 =""Neighbor"")), """")"),0.08987749082899255)</f>
        <v>0.08987749083</v>
      </c>
    </row>
    <row r="858">
      <c r="A858" s="2" t="s">
        <v>28</v>
      </c>
      <c r="B858" s="2" t="s">
        <v>3320</v>
      </c>
      <c r="C858" s="2" t="s">
        <v>3504</v>
      </c>
      <c r="D858" s="2" t="s">
        <v>3513</v>
      </c>
      <c r="E858" s="2" t="s">
        <v>3514</v>
      </c>
      <c r="F858" s="2">
        <v>69.0</v>
      </c>
      <c r="G858" s="2">
        <v>382.0</v>
      </c>
      <c r="H858" s="2" t="b">
        <v>1</v>
      </c>
      <c r="I858" s="2">
        <v>-1.0</v>
      </c>
      <c r="J858" s="2" t="b">
        <v>0</v>
      </c>
      <c r="K858" s="2" t="b">
        <v>0</v>
      </c>
      <c r="L858" s="2" t="b">
        <v>0</v>
      </c>
      <c r="M858" s="2" t="b">
        <v>0</v>
      </c>
      <c r="N858" s="2" t="s">
        <v>33</v>
      </c>
      <c r="O858" s="2">
        <v>42.0</v>
      </c>
      <c r="P858" s="2">
        <v>1.0</v>
      </c>
      <c r="Q858" s="2">
        <v>20.0</v>
      </c>
      <c r="R858" s="2">
        <v>0.0</v>
      </c>
      <c r="S858" s="3" t="s">
        <v>3515</v>
      </c>
      <c r="T858" s="2" t="s">
        <v>3516</v>
      </c>
      <c r="Y858" s="4" t="str">
        <f>IFERROR(__xludf.DUMMYFUNCTION("""COMPUTED_VALUE"""),"6.6735692")</f>
        <v>6.6735692</v>
      </c>
      <c r="Z858" s="4" t="str">
        <f>IFERROR(__xludf.DUMMYFUNCTION("""COMPUTED_VALUE"""),"2.9800558")</f>
        <v>2.9800558</v>
      </c>
      <c r="AA858" s="4" t="str">
        <f t="shared" si="1"/>
        <v>Not Neighbor</v>
      </c>
      <c r="AC858" s="4">
        <f>IFERROR(__xludf.DUMMYFUNCTION("IFERROR(ABS(O858-AVERAGE(FILTER(O858:O4926,AA858:AA4926=""Neighbor""))) / STDEV(FILTER(O858:O4926, AA858:AA4926 =""Neighbor"")), """")"),0.521208240628712)</f>
        <v>0.5212082406</v>
      </c>
      <c r="AD858" s="4">
        <f>IFERROR(__xludf.DUMMYFUNCTION("IFERROR(ABS(P858-AVERAGE(FILTER(O858:P4926,AA858:AA4926=""Neighbor""))) / STDEV(FILTER(P858:P4926, AA858:AA4926 =""Neighbor"")), """")"),1.5767153030302261)</f>
        <v>1.576715303</v>
      </c>
      <c r="AE858" s="2">
        <f>IFERROR(__xludf.DUMMYFUNCTION("IFERROR(ABS(Q858-AVERAGE(FILTER(Q858:Q4926,AA858:AA4926=""Neighbor""))) / STDEV(FILTER(Q858:Q4926, AA858:AA4926 =""Neighbor"")), """")"),0.19425729803689668)</f>
        <v>0.194257298</v>
      </c>
      <c r="AF858" s="2">
        <f>IFERROR(__xludf.DUMMYFUNCTION("IFERROR(ABS(R858-AVERAGE(FILTER(R858:R4926,AA858:AA4926=""Neighbor""))) / STDEV(FILTER(R858:R4926, AA858:AA4926 =""Neighbor"")), """")"),0.08921856494314949)</f>
        <v>0.08921856494</v>
      </c>
    </row>
    <row r="859">
      <c r="A859" s="2" t="s">
        <v>28</v>
      </c>
      <c r="B859" s="2" t="s">
        <v>3320</v>
      </c>
      <c r="C859" s="2" t="s">
        <v>3504</v>
      </c>
      <c r="D859" s="2" t="s">
        <v>3517</v>
      </c>
      <c r="E859" s="2" t="s">
        <v>3518</v>
      </c>
      <c r="F859" s="2">
        <v>61.0</v>
      </c>
      <c r="G859" s="2">
        <v>256.0</v>
      </c>
      <c r="H859" s="2" t="b">
        <v>1</v>
      </c>
      <c r="I859" s="2">
        <v>-1.0</v>
      </c>
      <c r="J859" s="2" t="b">
        <v>0</v>
      </c>
      <c r="K859" s="2" t="b">
        <v>0</v>
      </c>
      <c r="L859" s="2" t="b">
        <v>0</v>
      </c>
      <c r="M859" s="2" t="b">
        <v>0</v>
      </c>
      <c r="N859" s="2" t="s">
        <v>33</v>
      </c>
      <c r="O859" s="2">
        <v>14.0</v>
      </c>
      <c r="P859" s="2">
        <v>0.0</v>
      </c>
      <c r="Q859" s="2">
        <v>29.0</v>
      </c>
      <c r="R859" s="2">
        <v>0.0</v>
      </c>
      <c r="S859" s="3" t="s">
        <v>3519</v>
      </c>
      <c r="T859" s="2" t="s">
        <v>3520</v>
      </c>
      <c r="Y859" s="4" t="str">
        <f>IFERROR(__xludf.DUMMYFUNCTION("""COMPUTED_VALUE"""),"6.8003155")</f>
        <v>6.8003155</v>
      </c>
      <c r="Z859" s="4" t="str">
        <f>IFERROR(__xludf.DUMMYFUNCTION("""COMPUTED_VALUE"""),"3.0138183")</f>
        <v>3.0138183</v>
      </c>
      <c r="AA859" s="4" t="str">
        <f t="shared" si="1"/>
        <v>Not Neighbor</v>
      </c>
      <c r="AC859" s="4">
        <f>IFERROR(__xludf.DUMMYFUNCTION("IFERROR(ABS(O859-AVERAGE(FILTER(O859:O4927,AA859:AA4927=""Neighbor""))) / STDEV(FILTER(O859:O4927, AA859:AA4927 =""Neighbor"")), """")"),1.1709172091278195)</f>
        <v>1.170917209</v>
      </c>
      <c r="AD859" s="4">
        <f>IFERROR(__xludf.DUMMYFUNCTION("IFERROR(ABS(P859-AVERAGE(FILTER(O859:P4927,AA859:AA4927=""Neighbor""))) / STDEV(FILTER(P859:P4927, AA859:AA4927 =""Neighbor"")), """")"),1.6167975360839322)</f>
        <v>1.616797536</v>
      </c>
      <c r="AE859" s="2">
        <f>IFERROR(__xludf.DUMMYFUNCTION("IFERROR(ABS(Q859-AVERAGE(FILTER(Q859:Q4927,AA859:AA4927=""Neighbor""))) / STDEV(FILTER(Q859:Q4927, AA859:AA4927 =""Neighbor"")), """")"),0.17370940666951226)</f>
        <v>0.1737094067</v>
      </c>
      <c r="AF859" s="2">
        <f>IFERROR(__xludf.DUMMYFUNCTION("IFERROR(ABS(R859-AVERAGE(FILTER(R859:R4927,AA859:AA4927=""Neighbor""))) / STDEV(FILTER(R859:R4927, AA859:AA4927 =""Neighbor"")), """")"),0.08921856494314949)</f>
        <v>0.08921856494</v>
      </c>
    </row>
    <row r="860">
      <c r="A860" s="2" t="s">
        <v>28</v>
      </c>
      <c r="B860" s="2" t="s">
        <v>3320</v>
      </c>
      <c r="C860" s="2" t="s">
        <v>3504</v>
      </c>
      <c r="D860" s="2" t="s">
        <v>3521</v>
      </c>
      <c r="E860" s="2" t="s">
        <v>3522</v>
      </c>
      <c r="F860" s="2">
        <v>128.0</v>
      </c>
      <c r="G860" s="2">
        <v>633.0</v>
      </c>
      <c r="H860" s="2" t="b">
        <v>1</v>
      </c>
      <c r="I860" s="2">
        <v>-1.0</v>
      </c>
      <c r="J860" s="2" t="b">
        <v>0</v>
      </c>
      <c r="K860" s="2" t="b">
        <v>0</v>
      </c>
      <c r="L860" s="2" t="b">
        <v>0</v>
      </c>
      <c r="M860" s="2" t="b">
        <v>0</v>
      </c>
      <c r="N860" s="2" t="s">
        <v>33</v>
      </c>
      <c r="O860" s="2">
        <v>94.0</v>
      </c>
      <c r="P860" s="2">
        <v>2.0</v>
      </c>
      <c r="Q860" s="2">
        <v>23.0</v>
      </c>
      <c r="R860" s="2">
        <v>0.0</v>
      </c>
      <c r="S860" s="3" t="s">
        <v>3523</v>
      </c>
      <c r="T860" s="2" t="s">
        <v>3524</v>
      </c>
      <c r="Y860" s="4" t="str">
        <f>IFERROR(__xludf.DUMMYFUNCTION("""COMPUTED_VALUE"""),"6.9349984")</f>
        <v>6.9349984</v>
      </c>
      <c r="Z860" s="4" t="str">
        <f>IFERROR(__xludf.DUMMYFUNCTION("""COMPUTED_VALUE"""),"2.982634")</f>
        <v>2.982634</v>
      </c>
      <c r="AA860" s="4" t="str">
        <f t="shared" si="1"/>
        <v>Not Neighbor</v>
      </c>
      <c r="AC860" s="4">
        <f>IFERROR(__xludf.DUMMYFUNCTION("IFERROR(ABS(O860-AVERAGE(FILTER(O860:O4928,AA860:AA4928=""Neighbor""))) / STDEV(FILTER(O860:O4928, AA860:AA4928 =""Neighbor"")), """")"),0.685394129441059)</f>
        <v>0.6853941294</v>
      </c>
      <c r="AD860" s="4">
        <f>IFERROR(__xludf.DUMMYFUNCTION("IFERROR(ABS(P860-AVERAGE(FILTER(O860:P4928,AA860:AA4928=""Neighbor""))) / STDEV(FILTER(P860:P4928, AA860:AA4928 =""Neighbor"")), """")"),1.5366330699765198)</f>
        <v>1.53663307</v>
      </c>
      <c r="AE860" s="2">
        <f>IFERROR(__xludf.DUMMYFUNCTION("IFERROR(ABS(Q860-AVERAGE(FILTER(Q860:Q4928,AA860:AA4928=""Neighbor""))) / STDEV(FILTER(Q860:Q4928, AA860:AA4928 =""Neighbor"")), """")"),0.07160172980142704)</f>
        <v>0.0716017298</v>
      </c>
      <c r="AF860" s="2">
        <f>IFERROR(__xludf.DUMMYFUNCTION("IFERROR(ABS(R860-AVERAGE(FILTER(R860:R4928,AA860:AA4928=""Neighbor""))) / STDEV(FILTER(R860:R4928, AA860:AA4928 =""Neighbor"")), """")"),0.08921856494314949)</f>
        <v>0.08921856494</v>
      </c>
    </row>
    <row r="861">
      <c r="A861" s="2" t="s">
        <v>28</v>
      </c>
      <c r="B861" s="2" t="s">
        <v>3320</v>
      </c>
      <c r="C861" s="2" t="s">
        <v>3504</v>
      </c>
      <c r="D861" s="2" t="s">
        <v>3525</v>
      </c>
      <c r="E861" s="2" t="s">
        <v>3526</v>
      </c>
      <c r="F861" s="2">
        <v>100.0</v>
      </c>
      <c r="G861" s="2">
        <v>572.0</v>
      </c>
      <c r="H861" s="2" t="b">
        <v>1</v>
      </c>
      <c r="I861" s="2">
        <v>-1.0</v>
      </c>
      <c r="J861" s="2" t="b">
        <v>1</v>
      </c>
      <c r="K861" s="2" t="b">
        <v>0</v>
      </c>
      <c r="L861" s="2" t="b">
        <v>0</v>
      </c>
      <c r="M861" s="2" t="b">
        <v>0</v>
      </c>
      <c r="N861" s="2" t="s">
        <v>33</v>
      </c>
      <c r="O861" s="2">
        <v>45.0</v>
      </c>
      <c r="P861" s="2">
        <v>2.0</v>
      </c>
      <c r="Q861" s="2">
        <v>16.0</v>
      </c>
      <c r="R861" s="2">
        <v>0.0</v>
      </c>
      <c r="S861" s="3" t="s">
        <v>3527</v>
      </c>
      <c r="T861" s="2" t="s">
        <v>3528</v>
      </c>
      <c r="Y861" s="4" t="str">
        <f>IFERROR(__xludf.DUMMYFUNCTION("""COMPUTED_VALUE"""),"6.8003155")</f>
        <v>6.8003155</v>
      </c>
      <c r="Z861" s="4" t="str">
        <f>IFERROR(__xludf.DUMMYFUNCTION("""COMPUTED_VALUE"""),"3.0138183")</f>
        <v>3.0138183</v>
      </c>
      <c r="AA861" s="4" t="str">
        <f t="shared" si="1"/>
        <v>Not Neighbor</v>
      </c>
      <c r="AC861" s="4">
        <f>IFERROR(__xludf.DUMMYFUNCTION("IFERROR(ABS(O861-AVERAGE(FILTER(O861:O4929,AA861:AA4929=""Neighbor""))) / STDEV(FILTER(O861:O4929, AA861:AA4929 =""Neighbor"")), """")"),0.451596565432379)</f>
        <v>0.4515965654</v>
      </c>
      <c r="AD861" s="4">
        <f>IFERROR(__xludf.DUMMYFUNCTION("IFERROR(ABS(P861-AVERAGE(FILTER(O861:P4929,AA861:AA4929=""Neighbor""))) / STDEV(FILTER(P861:P4929, AA861:AA4929 =""Neighbor"")), """")"),1.5366330699765198)</f>
        <v>1.53663307</v>
      </c>
      <c r="AE861" s="2">
        <f>IFERROR(__xludf.DUMMYFUNCTION("IFERROR(ABS(Q861-AVERAGE(FILTER(Q861:Q4929,AA861:AA4929=""Neighbor""))) / STDEV(FILTER(Q861:Q4929, AA861:AA4929 =""Neighbor"")), """")"),0.35779805568418954)</f>
        <v>0.3577980557</v>
      </c>
      <c r="AF861" s="2">
        <f>IFERROR(__xludf.DUMMYFUNCTION("IFERROR(ABS(R861-AVERAGE(FILTER(R861:R4929,AA861:AA4929=""Neighbor""))) / STDEV(FILTER(R861:R4929, AA861:AA4929 =""Neighbor"")), """")"),0.08921856494314949)</f>
        <v>0.08921856494</v>
      </c>
    </row>
    <row r="862">
      <c r="A862" s="2" t="s">
        <v>28</v>
      </c>
      <c r="B862" s="2" t="s">
        <v>3320</v>
      </c>
      <c r="C862" s="2" t="s">
        <v>3504</v>
      </c>
      <c r="D862" s="2" t="s">
        <v>3529</v>
      </c>
      <c r="E862" s="2" t="s">
        <v>3530</v>
      </c>
      <c r="F862" s="2">
        <v>65.0</v>
      </c>
      <c r="G862" s="2">
        <v>387.0</v>
      </c>
      <c r="H862" s="2" t="b">
        <v>1</v>
      </c>
      <c r="I862" s="2">
        <v>-1.0</v>
      </c>
      <c r="J862" s="2" t="b">
        <v>0</v>
      </c>
      <c r="K862" s="2" t="b">
        <v>0</v>
      </c>
      <c r="L862" s="2" t="b">
        <v>0</v>
      </c>
      <c r="M862" s="2" t="b">
        <v>0</v>
      </c>
      <c r="N862" s="2" t="s">
        <v>33</v>
      </c>
      <c r="O862" s="2">
        <v>42.0</v>
      </c>
      <c r="P862" s="2">
        <v>1.0</v>
      </c>
      <c r="Q862" s="2">
        <v>8.0</v>
      </c>
      <c r="R862" s="2">
        <v>0.0</v>
      </c>
      <c r="S862" s="3" t="s">
        <v>3531</v>
      </c>
      <c r="T862" s="2" t="s">
        <v>3532</v>
      </c>
      <c r="Y862" s="4" t="str">
        <f>IFERROR(__xludf.DUMMYFUNCTION("""COMPUTED_VALUE"""),"6.7995704")</f>
        <v>6.7995704</v>
      </c>
      <c r="Z862" s="4" t="str">
        <f>IFERROR(__xludf.DUMMYFUNCTION("""COMPUTED_VALUE"""),"2.9683969")</f>
        <v>2.9683969</v>
      </c>
      <c r="AA862" s="4" t="str">
        <f t="shared" si="1"/>
        <v>Not Neighbor</v>
      </c>
      <c r="AC862" s="4">
        <f>IFERROR(__xludf.DUMMYFUNCTION("IFERROR(ABS(O862-AVERAGE(FILTER(O862:O4930,AA862:AA4930=""Neighbor""))) / STDEV(FILTER(O862:O4930, AA862:AA4930 =""Neighbor"")), """")"),0.521208240628712)</f>
        <v>0.5212082406</v>
      </c>
      <c r="AD862" s="4">
        <f>IFERROR(__xludf.DUMMYFUNCTION("IFERROR(ABS(P862-AVERAGE(FILTER(O862:P4930,AA862:AA4930=""Neighbor""))) / STDEV(FILTER(P862:P4930, AA862:AA4930 =""Neighbor"")), """")"),1.5767153030302261)</f>
        <v>1.576715303</v>
      </c>
      <c r="AE862" s="2">
        <f>IFERROR(__xludf.DUMMYFUNCTION("IFERROR(ABS(Q862-AVERAGE(FILTER(Q862:Q4930,AA862:AA4930=""Neighbor""))) / STDEV(FILTER(Q862:Q4930, AA862:AA4930 =""Neighbor"")), """")"),0.6848795709787753)</f>
        <v>0.684879571</v>
      </c>
      <c r="AF862" s="2">
        <f>IFERROR(__xludf.DUMMYFUNCTION("IFERROR(ABS(R862-AVERAGE(FILTER(R862:R4930,AA862:AA4930=""Neighbor""))) / STDEV(FILTER(R862:R4930, AA862:AA4930 =""Neighbor"")), """")"),0.08921856494314949)</f>
        <v>0.08921856494</v>
      </c>
    </row>
    <row r="863">
      <c r="A863" s="2" t="s">
        <v>28</v>
      </c>
      <c r="B863" s="2" t="s">
        <v>3320</v>
      </c>
      <c r="C863" s="2" t="s">
        <v>3504</v>
      </c>
      <c r="D863" s="2" t="s">
        <v>3533</v>
      </c>
      <c r="E863" s="2" t="s">
        <v>3534</v>
      </c>
      <c r="F863" s="2">
        <v>87.0</v>
      </c>
      <c r="G863" s="2">
        <v>253.0</v>
      </c>
      <c r="H863" s="2" t="b">
        <v>1</v>
      </c>
      <c r="I863" s="2">
        <v>-1.0</v>
      </c>
      <c r="J863" s="2" t="b">
        <v>0</v>
      </c>
      <c r="K863" s="2" t="b">
        <v>0</v>
      </c>
      <c r="L863" s="2" t="b">
        <v>0</v>
      </c>
      <c r="M863" s="2" t="b">
        <v>0</v>
      </c>
      <c r="N863" s="2" t="s">
        <v>33</v>
      </c>
      <c r="O863" s="2">
        <v>52.0</v>
      </c>
      <c r="P863" s="2">
        <v>0.0</v>
      </c>
      <c r="Q863" s="2">
        <v>30.0</v>
      </c>
      <c r="R863" s="2">
        <v>0.0</v>
      </c>
      <c r="S863" s="3" t="s">
        <v>3535</v>
      </c>
      <c r="T863" s="2" t="s">
        <v>3536</v>
      </c>
      <c r="Y863" s="4" t="str">
        <f>IFERROR(__xludf.DUMMYFUNCTION("""COMPUTED_VALUE"""),"6.8162203")</f>
        <v>6.8162203</v>
      </c>
      <c r="Z863" s="4" t="str">
        <f>IFERROR(__xludf.DUMMYFUNCTION("""COMPUTED_VALUE"""),"2.9897297")</f>
        <v>2.9897297</v>
      </c>
      <c r="AA863" s="4" t="str">
        <f t="shared" si="1"/>
        <v>Not Neighbor</v>
      </c>
      <c r="AC863" s="4">
        <f>IFERROR(__xludf.DUMMYFUNCTION("IFERROR(ABS(O863-AVERAGE(FILTER(O863:O4931,AA863:AA4931=""Neighbor""))) / STDEV(FILTER(O863:O4931, AA863:AA4931 =""Neighbor"")), """")"),0.2891693233076022)</f>
        <v>0.2891693233</v>
      </c>
      <c r="AD863" s="4">
        <f>IFERROR(__xludf.DUMMYFUNCTION("IFERROR(ABS(P863-AVERAGE(FILTER(O863:P4931,AA863:AA4931=""Neighbor""))) / STDEV(FILTER(P863:P4931, AA863:AA4931 =""Neighbor"")), """")"),1.6167975360839322)</f>
        <v>1.616797536</v>
      </c>
      <c r="AE863" s="2">
        <f>IFERROR(__xludf.DUMMYFUNCTION("IFERROR(ABS(Q863-AVERAGE(FILTER(Q863:Q4931,AA863:AA4931=""Neighbor""))) / STDEV(FILTER(Q863:Q4931, AA863:AA4931 =""Neighbor"")), """")"),0.2145945960813355)</f>
        <v>0.2145945961</v>
      </c>
      <c r="AF863" s="2">
        <f>IFERROR(__xludf.DUMMYFUNCTION("IFERROR(ABS(R863-AVERAGE(FILTER(R863:R4931,AA863:AA4931=""Neighbor""))) / STDEV(FILTER(R863:R4931, AA863:AA4931 =""Neighbor"")), """")"),0.08921856494314949)</f>
        <v>0.08921856494</v>
      </c>
    </row>
    <row r="864">
      <c r="A864" s="2" t="s">
        <v>28</v>
      </c>
      <c r="B864" s="2" t="s">
        <v>3320</v>
      </c>
      <c r="C864" s="2" t="s">
        <v>3504</v>
      </c>
      <c r="D864" s="2" t="s">
        <v>3537</v>
      </c>
      <c r="E864" s="2" t="s">
        <v>3538</v>
      </c>
      <c r="F864" s="2">
        <v>107.0</v>
      </c>
      <c r="G864" s="2">
        <v>514.0</v>
      </c>
      <c r="H864" s="2" t="b">
        <v>1</v>
      </c>
      <c r="I864" s="2">
        <v>-1.0</v>
      </c>
      <c r="J864" s="2" t="b">
        <v>0</v>
      </c>
      <c r="K864" s="2" t="b">
        <v>0</v>
      </c>
      <c r="L864" s="2" t="b">
        <v>0</v>
      </c>
      <c r="M864" s="2" t="b">
        <v>0</v>
      </c>
      <c r="N864" s="2" t="s">
        <v>33</v>
      </c>
      <c r="O864" s="2">
        <v>50.0</v>
      </c>
      <c r="P864" s="2">
        <v>3.0</v>
      </c>
      <c r="Q864" s="2">
        <v>33.0</v>
      </c>
      <c r="R864" s="2">
        <v>0.0</v>
      </c>
      <c r="S864" s="3" t="s">
        <v>3539</v>
      </c>
      <c r="T864" s="2" t="s">
        <v>3540</v>
      </c>
      <c r="Y864" s="4" t="str">
        <f>IFERROR(__xludf.DUMMYFUNCTION("""COMPUTED_VALUE"""),"6.8003155")</f>
        <v>6.8003155</v>
      </c>
      <c r="Z864" s="4" t="str">
        <f>IFERROR(__xludf.DUMMYFUNCTION("""COMPUTED_VALUE"""),"3.0138183")</f>
        <v>3.0138183</v>
      </c>
      <c r="AA864" s="4" t="str">
        <f t="shared" si="1"/>
        <v>Neighbor</v>
      </c>
      <c r="AC864" s="4">
        <f>IFERROR(__xludf.DUMMYFUNCTION("IFERROR(ABS(O864-AVERAGE(FILTER(O864:O4932,AA864:AA4932=""Neighbor""))) / STDEV(FILTER(O864:O4932, AA864:AA4932 =""Neighbor"")), """")"),0.3355771067718241)</f>
        <v>0.3355771068</v>
      </c>
      <c r="AD864" s="4">
        <f>IFERROR(__xludf.DUMMYFUNCTION("IFERROR(ABS(P864-AVERAGE(FILTER(O864:P4932,AA864:AA4932=""Neighbor""))) / STDEV(FILTER(P864:P4932, AA864:AA4932 =""Neighbor"")), """")"),1.4965508369228138)</f>
        <v>1.496550837</v>
      </c>
      <c r="AE864" s="2">
        <f>IFERROR(__xludf.DUMMYFUNCTION("IFERROR(ABS(Q864-AVERAGE(FILTER(Q864:Q4932,AA864:AA4932=""Neighbor""))) / STDEV(FILTER(Q864:Q4932, AA864:AA4932 =""Neighbor"")), """")"),0.33725016431680516)</f>
        <v>0.3372501643</v>
      </c>
      <c r="AF864" s="2">
        <f>IFERROR(__xludf.DUMMYFUNCTION("IFERROR(ABS(R864-AVERAGE(FILTER(R864:R4932,AA864:AA4932=""Neighbor""))) / STDEV(FILTER(R864:R4932, AA864:AA4932 =""Neighbor"")), """")"),0.08921856494314949)</f>
        <v>0.08921856494</v>
      </c>
    </row>
    <row r="865">
      <c r="A865" s="2" t="s">
        <v>28</v>
      </c>
      <c r="B865" s="2" t="s">
        <v>3320</v>
      </c>
      <c r="C865" s="2" t="s">
        <v>3504</v>
      </c>
      <c r="D865" s="2" t="s">
        <v>3541</v>
      </c>
      <c r="E865" s="2" t="s">
        <v>3542</v>
      </c>
      <c r="F865" s="2">
        <v>212.0</v>
      </c>
      <c r="G865" s="2">
        <v>861.0</v>
      </c>
      <c r="H865" s="2" t="b">
        <v>1</v>
      </c>
      <c r="I865" s="2">
        <v>-1.0</v>
      </c>
      <c r="J865" s="2" t="b">
        <v>0</v>
      </c>
      <c r="K865" s="2" t="b">
        <v>1</v>
      </c>
      <c r="L865" s="2" t="b">
        <v>0</v>
      </c>
      <c r="M865" s="2" t="b">
        <v>0</v>
      </c>
      <c r="N865" s="2" t="s">
        <v>33</v>
      </c>
      <c r="O865" s="2">
        <v>121.0</v>
      </c>
      <c r="P865" s="2">
        <v>17.0</v>
      </c>
      <c r="Q865" s="2">
        <v>36.0</v>
      </c>
      <c r="R865" s="2">
        <v>0.0</v>
      </c>
      <c r="S865" s="3" t="s">
        <v>3543</v>
      </c>
      <c r="T865" s="2" t="s">
        <v>3544</v>
      </c>
      <c r="Y865" s="4" t="str">
        <f>IFERROR(__xludf.DUMMYFUNCTION("""COMPUTED_VALUE"""),"6.8003155")</f>
        <v>6.8003155</v>
      </c>
      <c r="Z865" s="4" t="str">
        <f>IFERROR(__xludf.DUMMYFUNCTION("""COMPUTED_VALUE"""),"3.0138183")</f>
        <v>3.0138183</v>
      </c>
      <c r="AA865" s="4" t="str">
        <f t="shared" si="1"/>
        <v>Neighbor</v>
      </c>
      <c r="AC865" s="4">
        <f>IFERROR(__xludf.DUMMYFUNCTION("IFERROR(ABS(O865-AVERAGE(FILTER(O865:O4933,AA865:AA4933=""Neighbor""))) / STDEV(FILTER(O865:O4933, AA865:AA4933 =""Neighbor"")), """")"),1.311223478455873)</f>
        <v>1.311223478</v>
      </c>
      <c r="AD865" s="4">
        <f>IFERROR(__xludf.DUMMYFUNCTION("IFERROR(ABS(P865-AVERAGE(FILTER(O865:P4933,AA865:AA4933=""Neighbor""))) / STDEV(FILTER(P865:P4933, AA865:AA4933 =""Neighbor"")), """")"),0.9355600414256091)</f>
        <v>0.9355600414</v>
      </c>
      <c r="AE865" s="2">
        <f>IFERROR(__xludf.DUMMYFUNCTION("IFERROR(ABS(Q865-AVERAGE(FILTER(Q865:Q4933,AA865:AA4933=""Neighbor""))) / STDEV(FILTER(Q865:Q4933, AA865:AA4933 =""Neighbor"")), """")"),0.46000389930755675)</f>
        <v>0.4600038993</v>
      </c>
      <c r="AF865" s="2">
        <f>IFERROR(__xludf.DUMMYFUNCTION("IFERROR(ABS(R865-AVERAGE(FILTER(R865:R4933,AA865:AA4933=""Neighbor""))) / STDEV(FILTER(R865:R4933, AA865:AA4933 =""Neighbor"")), """")"),0.08925164571881433)</f>
        <v>0.08925164572</v>
      </c>
    </row>
    <row r="866">
      <c r="A866" s="2" t="s">
        <v>28</v>
      </c>
      <c r="B866" s="2" t="s">
        <v>3320</v>
      </c>
      <c r="C866" s="2" t="s">
        <v>3504</v>
      </c>
      <c r="D866" s="2" t="s">
        <v>3545</v>
      </c>
      <c r="E866" s="2" t="s">
        <v>3546</v>
      </c>
      <c r="F866" s="2">
        <v>92.0</v>
      </c>
      <c r="G866" s="2">
        <v>282.0</v>
      </c>
      <c r="H866" s="2" t="b">
        <v>1</v>
      </c>
      <c r="I866" s="2">
        <v>-1.0</v>
      </c>
      <c r="J866" s="2" t="b">
        <v>0</v>
      </c>
      <c r="K866" s="2" t="b">
        <v>0</v>
      </c>
      <c r="L866" s="2" t="b">
        <v>0</v>
      </c>
      <c r="M866" s="2" t="b">
        <v>0</v>
      </c>
      <c r="N866" s="2" t="s">
        <v>33</v>
      </c>
      <c r="O866" s="2">
        <v>0.0</v>
      </c>
      <c r="P866" s="2">
        <v>0.0</v>
      </c>
      <c r="Q866" s="2">
        <v>0.0</v>
      </c>
      <c r="R866" s="2">
        <v>0.0</v>
      </c>
      <c r="S866" s="3" t="s">
        <v>3547</v>
      </c>
      <c r="T866" s="2" t="s">
        <v>3548</v>
      </c>
      <c r="Y866" s="4" t="str">
        <f>IFERROR(__xludf.DUMMYFUNCTION("""COMPUTED_VALUE"""),"6.8003155")</f>
        <v>6.8003155</v>
      </c>
      <c r="Z866" s="4" t="str">
        <f>IFERROR(__xludf.DUMMYFUNCTION("""COMPUTED_VALUE"""),"3.0138183")</f>
        <v>3.0138183</v>
      </c>
      <c r="AA866" s="4" t="str">
        <f t="shared" si="1"/>
        <v>Neighbor</v>
      </c>
      <c r="AC866" s="4">
        <f>IFERROR(__xludf.DUMMYFUNCTION("IFERROR(ABS(O866-AVERAGE(FILTER(O866:O4934,AA866:AA4934=""Neighbor""))) / STDEV(FILTER(O866:O4934, AA866:AA4934 =""Neighbor"")), """")"),1.4949609366431447)</f>
        <v>1.494960937</v>
      </c>
      <c r="AD866" s="4">
        <f>IFERROR(__xludf.DUMMYFUNCTION("IFERROR(ABS(P866-AVERAGE(FILTER(O866:P4934,AA866:AA4934=""Neighbor""))) / STDEV(FILTER(P866:P4934, AA866:AA4934 =""Neighbor"")), """")"),1.6153364272916926)</f>
        <v>1.615336427</v>
      </c>
      <c r="AE866" s="2">
        <f>IFERROR(__xludf.DUMMYFUNCTION("IFERROR(ABS(Q866-AVERAGE(FILTER(Q866:Q4934,AA866:AA4934=""Neighbor""))) / STDEV(FILTER(Q866:Q4934, AA866:AA4934 =""Neighbor"")), """")"),1.0107498422172636)</f>
        <v>1.010749842</v>
      </c>
      <c r="AF866" s="2">
        <f>IFERROR(__xludf.DUMMYFUNCTION("IFERROR(ABS(R866-AVERAGE(FILTER(R866:R4934,AA866:AA4934=""Neighbor""))) / STDEV(FILTER(R866:R4934, AA866:AA4934 =""Neighbor"")), """")"),0.08928476331946801)</f>
        <v>0.08928476332</v>
      </c>
    </row>
    <row r="867">
      <c r="A867" s="2" t="s">
        <v>28</v>
      </c>
      <c r="B867" s="2" t="s">
        <v>3320</v>
      </c>
      <c r="C867" s="2" t="s">
        <v>3504</v>
      </c>
      <c r="D867" s="2" t="s">
        <v>3549</v>
      </c>
      <c r="E867" s="2" t="s">
        <v>3550</v>
      </c>
      <c r="F867" s="2">
        <v>61.0</v>
      </c>
      <c r="G867" s="2">
        <v>260.0</v>
      </c>
      <c r="H867" s="2" t="b">
        <v>1</v>
      </c>
      <c r="I867" s="2">
        <v>-1.0</v>
      </c>
      <c r="J867" s="2" t="b">
        <v>1</v>
      </c>
      <c r="K867" s="2" t="b">
        <v>0</v>
      </c>
      <c r="L867" s="2" t="b">
        <v>0</v>
      </c>
      <c r="M867" s="2" t="b">
        <v>0</v>
      </c>
      <c r="N867" s="2" t="s">
        <v>33</v>
      </c>
      <c r="O867" s="2">
        <v>30.0</v>
      </c>
      <c r="P867" s="2">
        <v>0.0</v>
      </c>
      <c r="Q867" s="2">
        <v>22.0</v>
      </c>
      <c r="R867" s="2">
        <v>1.0</v>
      </c>
      <c r="S867" s="3" t="s">
        <v>3551</v>
      </c>
      <c r="T867" s="2" t="s">
        <v>3552</v>
      </c>
      <c r="Y867" s="4" t="str">
        <f>IFERROR(__xludf.DUMMYFUNCTION("""COMPUTED_VALUE"""),"6.8003155")</f>
        <v>6.8003155</v>
      </c>
      <c r="Z867" s="4" t="str">
        <f>IFERROR(__xludf.DUMMYFUNCTION("""COMPUTED_VALUE"""),"3.0138183")</f>
        <v>3.0138183</v>
      </c>
      <c r="AA867" s="4" t="str">
        <f t="shared" si="1"/>
        <v>Not Neighbor</v>
      </c>
      <c r="AC867" s="4">
        <f>IFERROR(__xludf.DUMMYFUNCTION("IFERROR(ABS(O867-AVERAGE(FILTER(O867:O4935,AA867:AA4935=""Neighbor""))) / STDEV(FILTER(O867:O4935, AA867:AA4935 =""Neighbor"")), """")"),0.8003544473265631)</f>
        <v>0.8003544473</v>
      </c>
      <c r="AD867" s="4">
        <f>IFERROR(__xludf.DUMMYFUNCTION("IFERROR(ABS(P867-AVERAGE(FILTER(O867:P4935,AA867:AA4935=""Neighbor""))) / STDEV(FILTER(P867:P4935, AA867:AA4935 =""Neighbor"")), """")"),1.61618331077524)</f>
        <v>1.616183311</v>
      </c>
      <c r="AE867" s="2">
        <f>IFERROR(__xludf.DUMMYFUNCTION("IFERROR(ABS(Q867-AVERAGE(FILTER(Q867:Q4935,AA867:AA4935=""Neighbor""))) / STDEV(FILTER(Q867:Q4935, AA867:AA4935 =""Neighbor"")), """")"),0.11257678093902754)</f>
        <v>0.1125767809</v>
      </c>
      <c r="AF867" s="2">
        <f>IFERROR(__xludf.DUMMYFUNCTION("IFERROR(ABS(R867-AVERAGE(FILTER(R867:R4935,AA867:AA4935=""Neighbor""))) / STDEV(FILTER(R867:R4935, AA867:AA4935 =""Neighbor"")), """")"),0.08958178167703879)</f>
        <v>0.08958178168</v>
      </c>
    </row>
    <row r="868">
      <c r="A868" s="2" t="s">
        <v>28</v>
      </c>
      <c r="B868" s="2" t="s">
        <v>3320</v>
      </c>
      <c r="C868" s="2" t="s">
        <v>3504</v>
      </c>
      <c r="D868" s="2" t="s">
        <v>3553</v>
      </c>
      <c r="E868" s="2" t="s">
        <v>3554</v>
      </c>
      <c r="F868" s="2">
        <v>55.0</v>
      </c>
      <c r="G868" s="2">
        <v>341.0</v>
      </c>
      <c r="H868" s="2" t="b">
        <v>1</v>
      </c>
      <c r="I868" s="2">
        <v>-1.0</v>
      </c>
      <c r="J868" s="2" t="b">
        <v>0</v>
      </c>
      <c r="K868" s="2" t="b">
        <v>0</v>
      </c>
      <c r="L868" s="2" t="b">
        <v>0</v>
      </c>
      <c r="M868" s="2" t="b">
        <v>0</v>
      </c>
      <c r="N868" s="2" t="s">
        <v>33</v>
      </c>
      <c r="O868" s="2">
        <v>32.0</v>
      </c>
      <c r="P868" s="2">
        <v>1.0</v>
      </c>
      <c r="Q868" s="2">
        <v>12.0</v>
      </c>
      <c r="R868" s="2">
        <v>0.0</v>
      </c>
      <c r="S868" s="3" t="s">
        <v>3555</v>
      </c>
      <c r="T868" s="2" t="s">
        <v>3556</v>
      </c>
      <c r="Y868" s="4" t="str">
        <f>IFERROR(__xludf.DUMMYFUNCTION("""COMPUTED_VALUE"""),"6.8148492")</f>
        <v>6.8148492</v>
      </c>
      <c r="Z868" s="4" t="str">
        <f>IFERROR(__xludf.DUMMYFUNCTION("""COMPUTED_VALUE"""),"2.9891193")</f>
        <v>2.9891193</v>
      </c>
      <c r="AA868" s="4" t="str">
        <f t="shared" si="1"/>
        <v>Not Neighbor</v>
      </c>
      <c r="AC868" s="4">
        <f>IFERROR(__xludf.DUMMYFUNCTION("IFERROR(ABS(O868-AVERAGE(FILTER(O868:O4936,AA868:AA4936=""Neighbor""))) / STDEV(FILTER(O868:O4936, AA868:AA4936 =""Neighbor"")), """")"),0.753928308658464)</f>
        <v>0.7539283087</v>
      </c>
      <c r="AD868" s="4">
        <f>IFERROR(__xludf.DUMMYFUNCTION("IFERROR(ABS(P868-AVERAGE(FILTER(O868:P4936,AA868:AA4936=""Neighbor""))) / STDEV(FILTER(P868:P4936, AA868:AA4936 =""Neighbor"")), """")"),1.5761349838638008)</f>
        <v>1.576134984</v>
      </c>
      <c r="AE868" s="2">
        <f>IFERROR(__xludf.DUMMYFUNCTION("IFERROR(ABS(Q868-AVERAGE(FILTER(Q868:Q4936,AA868:AA4936=""Neighbor""))) / STDEV(FILTER(Q868:Q4936, AA868:AA4936 =""Neighbor"")), """")"),0.5211798723558405)</f>
        <v>0.5211798724</v>
      </c>
      <c r="AF868" s="2">
        <f>IFERROR(__xludf.DUMMYFUNCTION("IFERROR(ABS(R868-AVERAGE(FILTER(R868:R4936,AA868:AA4936=""Neighbor""))) / STDEV(FILTER(R868:R4936, AA868:AA4936 =""Neighbor"")), """")"),0.08931791781348346)</f>
        <v>0.08931791781</v>
      </c>
    </row>
    <row r="869">
      <c r="A869" s="2" t="s">
        <v>28</v>
      </c>
      <c r="B869" s="2" t="s">
        <v>3320</v>
      </c>
      <c r="C869" s="2" t="s">
        <v>3504</v>
      </c>
      <c r="D869" s="2" t="s">
        <v>3557</v>
      </c>
      <c r="E869" s="2" t="s">
        <v>3558</v>
      </c>
      <c r="F869" s="2">
        <v>52.0</v>
      </c>
      <c r="G869" s="2">
        <v>243.0</v>
      </c>
      <c r="H869" s="2" t="b">
        <v>1</v>
      </c>
      <c r="I869" s="2">
        <v>-1.0</v>
      </c>
      <c r="J869" s="2" t="b">
        <v>0</v>
      </c>
      <c r="K869" s="2" t="b">
        <v>0</v>
      </c>
      <c r="L869" s="2" t="b">
        <v>0</v>
      </c>
      <c r="M869" s="2" t="b">
        <v>0</v>
      </c>
      <c r="N869" s="2" t="s">
        <v>33</v>
      </c>
      <c r="O869" s="2">
        <v>27.0</v>
      </c>
      <c r="P869" s="2">
        <v>0.0</v>
      </c>
      <c r="Q869" s="2">
        <v>5.0</v>
      </c>
      <c r="R869" s="2">
        <v>1.0</v>
      </c>
      <c r="S869" s="3" t="s">
        <v>3559</v>
      </c>
      <c r="T869" s="2" t="s">
        <v>3560</v>
      </c>
      <c r="Y869" s="4" t="str">
        <f>IFERROR(__xludf.DUMMYFUNCTION("""COMPUTED_VALUE"""),"6.8003155")</f>
        <v>6.8003155</v>
      </c>
      <c r="Z869" s="4" t="str">
        <f>IFERROR(__xludf.DUMMYFUNCTION("""COMPUTED_VALUE"""),"3.0138183")</f>
        <v>3.0138183</v>
      </c>
      <c r="AA869" s="4" t="str">
        <f t="shared" si="1"/>
        <v>Not Neighbor</v>
      </c>
      <c r="AC869" s="4">
        <f>IFERROR(__xludf.DUMMYFUNCTION("IFERROR(ABS(O869-AVERAGE(FILTER(O869:O4937,AA869:AA4937=""Neighbor""))) / STDEV(FILTER(O869:O4937, AA869:AA4937 =""Neighbor"")), """")"),0.8699936553287119)</f>
        <v>0.8699936553</v>
      </c>
      <c r="AD869" s="4">
        <f>IFERROR(__xludf.DUMMYFUNCTION("IFERROR(ABS(P869-AVERAGE(FILTER(O869:P4937,AA869:AA4937=""Neighbor""))) / STDEV(FILTER(P869:P4937, AA869:AA4937 =""Neighbor"")), """")"),1.61618331077524)</f>
        <v>1.616183311</v>
      </c>
      <c r="AE869" s="2">
        <f>IFERROR(__xludf.DUMMYFUNCTION("IFERROR(ABS(Q869-AVERAGE(FILTER(Q869:Q4937,AA869:AA4937=""Neighbor""))) / STDEV(FILTER(Q869:Q4937, AA869:AA4937 =""Neighbor"")), """")"),0.8072020363476096)</f>
        <v>0.8072020363</v>
      </c>
      <c r="AF869" s="2">
        <f>IFERROR(__xludf.DUMMYFUNCTION("IFERROR(ABS(R869-AVERAGE(FILTER(R869:R4937,AA869:AA4937=""Neighbor""))) / STDEV(FILTER(R869:R4937, AA869:AA4937 =""Neighbor"")), """")"),0.08958178167703879)</f>
        <v>0.08958178168</v>
      </c>
    </row>
    <row r="870">
      <c r="A870" s="2" t="s">
        <v>28</v>
      </c>
      <c r="B870" s="2" t="s">
        <v>3320</v>
      </c>
      <c r="C870" s="2" t="s">
        <v>3561</v>
      </c>
      <c r="D870" s="2" t="s">
        <v>3562</v>
      </c>
      <c r="E870" s="2" t="s">
        <v>3563</v>
      </c>
      <c r="F870" s="2">
        <v>109.0</v>
      </c>
      <c r="G870" s="2">
        <v>387.0</v>
      </c>
      <c r="H870" s="2" t="b">
        <v>1</v>
      </c>
      <c r="I870" s="2">
        <v>-1.0</v>
      </c>
      <c r="J870" s="2" t="b">
        <v>0</v>
      </c>
      <c r="K870" s="2" t="b">
        <v>0</v>
      </c>
      <c r="L870" s="2" t="b">
        <v>0</v>
      </c>
      <c r="M870" s="2" t="b">
        <v>0</v>
      </c>
      <c r="N870" s="2" t="s">
        <v>33</v>
      </c>
      <c r="O870" s="2">
        <v>54.0</v>
      </c>
      <c r="P870" s="2">
        <v>3.0</v>
      </c>
      <c r="Q870" s="2">
        <v>38.0</v>
      </c>
      <c r="R870" s="2">
        <v>1.0</v>
      </c>
      <c r="S870" s="3" t="s">
        <v>3564</v>
      </c>
      <c r="T870" s="2" t="s">
        <v>3565</v>
      </c>
      <c r="Y870" s="4" t="str">
        <f>IFERROR(__xludf.DUMMYFUNCTION("""COMPUTED_VALUE"""),"6.8357148")</f>
        <v>6.8357148</v>
      </c>
      <c r="Z870" s="4" t="str">
        <f>IFERROR(__xludf.DUMMYFUNCTION("""COMPUTED_VALUE"""),"2.9138505")</f>
        <v>2.9138505</v>
      </c>
      <c r="AA870" s="4" t="str">
        <f t="shared" si="1"/>
        <v>Neighbor</v>
      </c>
      <c r="AC870" s="4">
        <f>IFERROR(__xludf.DUMMYFUNCTION("IFERROR(ABS(O870-AVERAGE(FILTER(O870:O4938,AA870:AA4938=""Neighbor""))) / STDEV(FILTER(O870:O4938, AA870:AA4938 =""Neighbor"")), """")"),0.2432407833093735)</f>
        <v>0.2432407833</v>
      </c>
      <c r="AD870" s="4">
        <f>IFERROR(__xludf.DUMMYFUNCTION("IFERROR(ABS(P870-AVERAGE(FILTER(O870:P4938,AA870:AA4938=""Neighbor""))) / STDEV(FILTER(P870:P4938, AA870:AA4938 =""Neighbor"")), """")"),1.4960383300409226)</f>
        <v>1.49603833</v>
      </c>
      <c r="AE870" s="2">
        <f>IFERROR(__xludf.DUMMYFUNCTION("IFERROR(ABS(Q870-AVERAGE(FILTER(Q870:Q4938,AA870:AA4938=""Neighbor""))) / STDEV(FILTER(Q870:Q4938, AA870:AA4938 =""Neighbor"")), """")"),0.5411881653278733)</f>
        <v>0.5411881653</v>
      </c>
      <c r="AF870" s="2">
        <f>IFERROR(__xludf.DUMMYFUNCTION("IFERROR(ABS(R870-AVERAGE(FILTER(R870:R4938,AA870:AA4938=""Neighbor""))) / STDEV(FILTER(R870:R4938, AA870:AA4938 =""Neighbor"")), """")"),0.08958178167703879)</f>
        <v>0.08958178168</v>
      </c>
    </row>
    <row r="871">
      <c r="A871" s="2" t="s">
        <v>28</v>
      </c>
      <c r="B871" s="2" t="s">
        <v>3320</v>
      </c>
      <c r="C871" s="2" t="s">
        <v>3561</v>
      </c>
      <c r="D871" s="2" t="s">
        <v>3566</v>
      </c>
      <c r="E871" s="2" t="s">
        <v>3567</v>
      </c>
      <c r="F871" s="2">
        <v>206.0</v>
      </c>
      <c r="G871" s="2">
        <v>694.0</v>
      </c>
      <c r="H871" s="2" t="b">
        <v>1</v>
      </c>
      <c r="I871" s="2">
        <v>-1.0</v>
      </c>
      <c r="J871" s="2" t="b">
        <v>0</v>
      </c>
      <c r="K871" s="2" t="b">
        <v>0</v>
      </c>
      <c r="L871" s="2" t="b">
        <v>0</v>
      </c>
      <c r="M871" s="2" t="b">
        <v>0</v>
      </c>
      <c r="N871" s="2" t="s">
        <v>33</v>
      </c>
      <c r="O871" s="2">
        <v>94.0</v>
      </c>
      <c r="P871" s="2">
        <v>8.0</v>
      </c>
      <c r="Q871" s="2">
        <v>67.0</v>
      </c>
      <c r="R871" s="2">
        <v>0.0</v>
      </c>
      <c r="S871" s="3" t="s">
        <v>3568</v>
      </c>
      <c r="T871" s="2" t="s">
        <v>3569</v>
      </c>
      <c r="Y871" s="4" t="str">
        <f>IFERROR(__xludf.DUMMYFUNCTION("""COMPUTED_VALUE"""),"6.8357148")</f>
        <v>6.8357148</v>
      </c>
      <c r="Z871" s="4" t="str">
        <f>IFERROR(__xludf.DUMMYFUNCTION("""COMPUTED_VALUE"""),"2.9138505")</f>
        <v>2.9138505</v>
      </c>
      <c r="AA871" s="4" t="str">
        <f t="shared" si="1"/>
        <v>Not Neighbor</v>
      </c>
      <c r="AC871" s="4">
        <f>IFERROR(__xludf.DUMMYFUNCTION("IFERROR(ABS(O871-AVERAGE(FILTER(O871:O4939,AA871:AA4939=""Neighbor""))) / STDEV(FILTER(O871:O4939, AA871:AA4939 =""Neighbor"")), """")"),0.6848645880626419)</f>
        <v>0.6848645881</v>
      </c>
      <c r="AD871" s="4">
        <f>IFERROR(__xludf.DUMMYFUNCTION("IFERROR(ABS(P871-AVERAGE(FILTER(O871:P4939,AA871:AA4939=""Neighbor""))) / STDEV(FILTER(P871:P4939, AA871:AA4939 =""Neighbor"")), """")"),1.2958031348660968)</f>
        <v>1.295803135</v>
      </c>
      <c r="AE871" s="2">
        <f>IFERROR(__xludf.DUMMYFUNCTION("IFERROR(ABS(Q871-AVERAGE(FILTER(Q871:Q4939,AA871:AA4939=""Neighbor""))) / STDEV(FILTER(Q871:Q4939, AA871:AA4939 =""Neighbor"")), """")"),1.7260860107512805)</f>
        <v>1.726086011</v>
      </c>
      <c r="AF871" s="2">
        <f>IFERROR(__xludf.DUMMYFUNCTION("IFERROR(ABS(R871-AVERAGE(FILTER(R871:R4939,AA871:AA4939=""Neighbor""))) / STDEV(FILTER(R871:R4939, AA871:AA4939 =""Neighbor"")), """")"),0.08921912986562584)</f>
        <v>0.08921912987</v>
      </c>
    </row>
    <row r="872">
      <c r="A872" s="2" t="s">
        <v>28</v>
      </c>
      <c r="B872" s="2" t="s">
        <v>3320</v>
      </c>
      <c r="C872" s="2" t="s">
        <v>3561</v>
      </c>
      <c r="D872" s="2" t="s">
        <v>3570</v>
      </c>
      <c r="E872" s="2" t="s">
        <v>3571</v>
      </c>
      <c r="F872" s="2">
        <v>102.0</v>
      </c>
      <c r="G872" s="2">
        <v>480.0</v>
      </c>
      <c r="H872" s="2" t="b">
        <v>1</v>
      </c>
      <c r="I872" s="2">
        <v>-1.0</v>
      </c>
      <c r="J872" s="2" t="b">
        <v>1</v>
      </c>
      <c r="K872" s="2" t="b">
        <v>1</v>
      </c>
      <c r="L872" s="2" t="b">
        <v>0</v>
      </c>
      <c r="M872" s="2" t="b">
        <v>0</v>
      </c>
      <c r="N872" s="2" t="s">
        <v>33</v>
      </c>
      <c r="O872" s="2">
        <v>66.0</v>
      </c>
      <c r="P872" s="2">
        <v>0.0</v>
      </c>
      <c r="Q872" s="2">
        <v>31.0</v>
      </c>
      <c r="R872" s="2">
        <v>0.0</v>
      </c>
      <c r="S872" s="3" t="s">
        <v>3572</v>
      </c>
      <c r="T872" s="2" t="s">
        <v>3573</v>
      </c>
      <c r="Y872" s="4" t="str">
        <f>IFERROR(__xludf.DUMMYFUNCTION("""COMPUTED_VALUE"""),"6.8615581")</f>
        <v>6.8615581</v>
      </c>
      <c r="Z872" s="4" t="str">
        <f>IFERROR(__xludf.DUMMYFUNCTION("""COMPUTED_VALUE"""),"2.956936")</f>
        <v>2.956936</v>
      </c>
      <c r="AA872" s="4" t="str">
        <f t="shared" si="1"/>
        <v>Not Neighbor</v>
      </c>
      <c r="AC872" s="4">
        <f>IFERROR(__xludf.DUMMYFUNCTION("IFERROR(ABS(O872-AVERAGE(FILTER(O872:O4940,AA872:AA4940=""Neighbor""))) / STDEV(FILTER(O872:O4940, AA872:AA4940 =""Neighbor"")), """")"),0.0351243347282257)</f>
        <v>0.03512433473</v>
      </c>
      <c r="AD872" s="4">
        <f>IFERROR(__xludf.DUMMYFUNCTION("IFERROR(ABS(P872-AVERAGE(FILTER(O872:P4940,AA872:AA4940=""Neighbor""))) / STDEV(FILTER(P872:P4940, AA872:AA4940 =""Neighbor"")), """")"),1.616104726099473)</f>
        <v>1.616104726</v>
      </c>
      <c r="AE872" s="2">
        <f>IFERROR(__xludf.DUMMYFUNCTION("IFERROR(ABS(Q872-AVERAGE(FILTER(Q872:Q4940,AA872:AA4940=""Neighbor""))) / STDEV(FILTER(Q872:Q4940, AA872:AA4940 =""Neighbor"")), """")"),0.2554987152408891)</f>
        <v>0.2554987152</v>
      </c>
      <c r="AF872" s="2">
        <f>IFERROR(__xludf.DUMMYFUNCTION("IFERROR(ABS(R872-AVERAGE(FILTER(R872:R4940,AA872:AA4940=""Neighbor""))) / STDEV(FILTER(R872:R4940, AA872:AA4940 =""Neighbor"")), """")"),0.08921912986562584)</f>
        <v>0.08921912987</v>
      </c>
    </row>
    <row r="873">
      <c r="A873" s="2" t="s">
        <v>28</v>
      </c>
      <c r="B873" s="2" t="s">
        <v>3320</v>
      </c>
      <c r="C873" s="2" t="s">
        <v>3561</v>
      </c>
      <c r="D873" s="2" t="s">
        <v>3574</v>
      </c>
      <c r="E873" s="2" t="s">
        <v>3575</v>
      </c>
      <c r="F873" s="2">
        <v>94.0</v>
      </c>
      <c r="G873" s="2">
        <v>289.0</v>
      </c>
      <c r="H873" s="2" t="b">
        <v>1</v>
      </c>
      <c r="I873" s="2">
        <v>-1.0</v>
      </c>
      <c r="J873" s="2" t="b">
        <v>0</v>
      </c>
      <c r="K873" s="2" t="b">
        <v>1</v>
      </c>
      <c r="L873" s="2" t="b">
        <v>0</v>
      </c>
      <c r="M873" s="2" t="b">
        <v>0</v>
      </c>
      <c r="N873" s="2" t="s">
        <v>33</v>
      </c>
      <c r="O873" s="2">
        <v>54.0</v>
      </c>
      <c r="P873" s="2">
        <v>3.0</v>
      </c>
      <c r="Q873" s="2">
        <v>30.0</v>
      </c>
      <c r="R873" s="2">
        <v>2.0</v>
      </c>
      <c r="S873" s="3" t="s">
        <v>3576</v>
      </c>
      <c r="T873" s="2" t="s">
        <v>3577</v>
      </c>
      <c r="Y873" s="4" t="str">
        <f>IFERROR(__xludf.DUMMYFUNCTION("""COMPUTED_VALUE"""),"6.8043096")</f>
        <v>6.8043096</v>
      </c>
      <c r="Z873" s="4" t="str">
        <f>IFERROR(__xludf.DUMMYFUNCTION("""COMPUTED_VALUE"""),"2.9069853")</f>
        <v>2.9069853</v>
      </c>
      <c r="AA873" s="4" t="str">
        <f t="shared" si="1"/>
        <v>Not Neighbor</v>
      </c>
      <c r="AC873" s="4">
        <f>IFERROR(__xludf.DUMMYFUNCTION("IFERROR(ABS(O873-AVERAGE(FILTER(O873:O4941,AA873:AA4941=""Neighbor""))) / STDEV(FILTER(O873:O4941, AA873:AA4941 =""Neighbor"")), """")"),0.24333577384366697)</f>
        <v>0.2433357738</v>
      </c>
      <c r="AD873" s="4">
        <f>IFERROR(__xludf.DUMMYFUNCTION("IFERROR(ABS(P873-AVERAGE(FILTER(O873:P4941,AA873:AA4941=""Neighbor""))) / STDEV(FILTER(P873:P4941, AA873:AA4941 =""Neighbor"")), """")"),1.4959916293869568)</f>
        <v>1.495991629</v>
      </c>
      <c r="AE873" s="2">
        <f>IFERROR(__xludf.DUMMYFUNCTION("IFERROR(ABS(Q873-AVERAGE(FILTER(Q873:Q4941,AA873:AA4941=""Neighbor""))) / STDEV(FILTER(Q873:Q4941, AA873:AA4941 =""Neighbor"")), """")"),0.21464906814337817)</f>
        <v>0.2146490681</v>
      </c>
      <c r="AF873" s="2">
        <f>IFERROR(__xludf.DUMMYFUNCTION("IFERROR(ABS(R873-AVERAGE(FILTER(R873:R4941,AA873:AA4941=""Neighbor""))) / STDEV(FILTER(R873:R4941, AA873:AA4941 =""Neighbor"")), """")"),0.26844927536491564)</f>
        <v>0.2684492754</v>
      </c>
    </row>
    <row r="874">
      <c r="A874" s="2" t="s">
        <v>28</v>
      </c>
      <c r="B874" s="2" t="s">
        <v>3320</v>
      </c>
      <c r="C874" s="2" t="s">
        <v>3561</v>
      </c>
      <c r="D874" s="2" t="s">
        <v>3578</v>
      </c>
      <c r="E874" s="2" t="s">
        <v>3579</v>
      </c>
      <c r="F874" s="2">
        <v>76.0</v>
      </c>
      <c r="G874" s="2">
        <v>468.0</v>
      </c>
      <c r="H874" s="2" t="b">
        <v>1</v>
      </c>
      <c r="I874" s="2">
        <v>-1.0</v>
      </c>
      <c r="J874" s="2" t="b">
        <v>0</v>
      </c>
      <c r="K874" s="2" t="b">
        <v>0</v>
      </c>
      <c r="L874" s="2" t="b">
        <v>0</v>
      </c>
      <c r="M874" s="2" t="b">
        <v>0</v>
      </c>
      <c r="N874" s="2" t="s">
        <v>33</v>
      </c>
      <c r="O874" s="2">
        <v>86.0</v>
      </c>
      <c r="P874" s="2">
        <v>3.0</v>
      </c>
      <c r="Q874" s="2">
        <v>48.0</v>
      </c>
      <c r="R874" s="2">
        <v>0.0</v>
      </c>
      <c r="S874" s="3" t="s">
        <v>3580</v>
      </c>
      <c r="T874" s="2" t="s">
        <v>3581</v>
      </c>
      <c r="Y874" s="4" t="str">
        <f>IFERROR(__xludf.DUMMYFUNCTION("""COMPUTED_VALUE"""),"6.8205068")</f>
        <v>6.8205068</v>
      </c>
      <c r="Z874" s="4" t="str">
        <f>IFERROR(__xludf.DUMMYFUNCTION("""COMPUTED_VALUE"""),"2.8832771")</f>
        <v>2.8832771</v>
      </c>
      <c r="AA874" s="4" t="str">
        <f t="shared" si="1"/>
        <v>Not Neighbor</v>
      </c>
      <c r="AC874" s="4">
        <f>IFERROR(__xludf.DUMMYFUNCTION("IFERROR(ABS(O874-AVERAGE(FILTER(O874:O4942,AA874:AA4942=""Neighbor""))) / STDEV(FILTER(O874:O4942, AA874:AA4942 =""Neighbor"")), """")"),0.49922451568138015)</f>
        <v>0.4992245157</v>
      </c>
      <c r="AD874" s="4">
        <f>IFERROR(__xludf.DUMMYFUNCTION("IFERROR(ABS(P874-AVERAGE(FILTER(O874:P4942,AA874:AA4942=""Neighbor""))) / STDEV(FILTER(P874:P4942, AA874:AA4942 =""Neighbor"")), """")"),1.4959916293869568)</f>
        <v>1.495991629</v>
      </c>
      <c r="AE874" s="2">
        <f>IFERROR(__xludf.DUMMYFUNCTION("IFERROR(ABS(Q874-AVERAGE(FILTER(Q874:Q4942,AA874:AA4942=""Neighbor""))) / STDEV(FILTER(Q874:Q4942, AA874:AA4942 =""Neighbor"")), """")"),0.9499427158985739)</f>
        <v>0.9499427159</v>
      </c>
      <c r="AF874" s="2">
        <f>IFERROR(__xludf.DUMMYFUNCTION("IFERROR(ABS(R874-AVERAGE(FILTER(R874:R4942,AA874:AA4942=""Neighbor""))) / STDEV(FILTER(R874:R4942, AA874:AA4942 =""Neighbor"")), """")"),0.08921912986562584)</f>
        <v>0.08921912987</v>
      </c>
    </row>
    <row r="875">
      <c r="A875" s="2" t="s">
        <v>28</v>
      </c>
      <c r="B875" s="2" t="s">
        <v>3320</v>
      </c>
      <c r="C875" s="2" t="s">
        <v>3561</v>
      </c>
      <c r="D875" s="2" t="s">
        <v>3582</v>
      </c>
      <c r="E875" s="2" t="s">
        <v>3583</v>
      </c>
      <c r="F875" s="2">
        <v>55.0</v>
      </c>
      <c r="G875" s="2">
        <v>152.0</v>
      </c>
      <c r="H875" s="2" t="b">
        <v>1</v>
      </c>
      <c r="I875" s="2">
        <v>-1.0</v>
      </c>
      <c r="J875" s="2" t="b">
        <v>0</v>
      </c>
      <c r="K875" s="2" t="b">
        <v>0</v>
      </c>
      <c r="L875" s="2" t="b">
        <v>0</v>
      </c>
      <c r="M875" s="2" t="b">
        <v>0</v>
      </c>
      <c r="N875" s="2" t="s">
        <v>33</v>
      </c>
      <c r="O875" s="2">
        <v>38.0</v>
      </c>
      <c r="P875" s="2">
        <v>0.0</v>
      </c>
      <c r="Q875" s="2">
        <v>7.0</v>
      </c>
      <c r="R875" s="2">
        <v>0.0</v>
      </c>
      <c r="S875" s="3" t="s">
        <v>3584</v>
      </c>
      <c r="T875" s="2" t="s">
        <v>3585</v>
      </c>
      <c r="Y875" s="4" t="str">
        <f>IFERROR(__xludf.DUMMYFUNCTION("""COMPUTED_VALUE"""),"6.8362676")</f>
        <v>6.8362676</v>
      </c>
      <c r="Z875" s="4" t="str">
        <f>IFERROR(__xludf.DUMMYFUNCTION("""COMPUTED_VALUE"""),"2.8773519")</f>
        <v>2.8773519</v>
      </c>
      <c r="AA875" s="4" t="str">
        <f t="shared" si="1"/>
        <v>Not Neighbor</v>
      </c>
      <c r="AC875" s="4">
        <f>IFERROR(__xludf.DUMMYFUNCTION("IFERROR(ABS(O875-AVERAGE(FILTER(O875:O4943,AA875:AA4943=""Neighbor""))) / STDEV(FILTER(O875:O4943, AA875:AA4943 =""Neighbor"")), """")"),0.6146159186061905)</f>
        <v>0.6146159186</v>
      </c>
      <c r="AD875" s="4">
        <f>IFERROR(__xludf.DUMMYFUNCTION("IFERROR(ABS(P875-AVERAGE(FILTER(O875:P4943,AA875:AA4943=""Neighbor""))) / STDEV(FILTER(P875:P4943, AA875:AA4943 =""Neighbor"")), """")"),1.616104726099473)</f>
        <v>1.616104726</v>
      </c>
      <c r="AE875" s="2">
        <f>IFERROR(__xludf.DUMMYFUNCTION("IFERROR(ABS(Q875-AVERAGE(FILTER(Q875:Q4943,AA875:AA4943=""Neighbor""))) / STDEV(FILTER(Q875:Q4943, AA875:AA4943 =""Neighbor"")), """")"),0.724892815099372)</f>
        <v>0.7248928151</v>
      </c>
      <c r="AF875" s="2">
        <f>IFERROR(__xludf.DUMMYFUNCTION("IFERROR(ABS(R875-AVERAGE(FILTER(R875:R4943,AA875:AA4943=""Neighbor""))) / STDEV(FILTER(R875:R4943, AA875:AA4943 =""Neighbor"")), """")"),0.08921912986562584)</f>
        <v>0.08921912987</v>
      </c>
    </row>
    <row r="876">
      <c r="A876" s="2" t="s">
        <v>28</v>
      </c>
      <c r="B876" s="2" t="s">
        <v>3320</v>
      </c>
      <c r="C876" s="2" t="s">
        <v>3561</v>
      </c>
      <c r="D876" s="2" t="s">
        <v>3586</v>
      </c>
      <c r="E876" s="2" t="s">
        <v>3587</v>
      </c>
      <c r="F876" s="2">
        <v>213.0</v>
      </c>
      <c r="G876" s="2">
        <v>850.0</v>
      </c>
      <c r="H876" s="2" t="b">
        <v>1</v>
      </c>
      <c r="I876" s="2">
        <v>-1.0</v>
      </c>
      <c r="J876" s="2" t="b">
        <v>0</v>
      </c>
      <c r="K876" s="2" t="b">
        <v>0</v>
      </c>
      <c r="L876" s="2" t="b">
        <v>0</v>
      </c>
      <c r="M876" s="2" t="b">
        <v>0</v>
      </c>
      <c r="N876" s="2" t="s">
        <v>33</v>
      </c>
      <c r="O876" s="2">
        <v>126.0</v>
      </c>
      <c r="P876" s="2">
        <v>3.0</v>
      </c>
      <c r="Q876" s="2">
        <v>43.0</v>
      </c>
      <c r="R876" s="2">
        <v>0.0</v>
      </c>
      <c r="S876" s="3" t="s">
        <v>3588</v>
      </c>
      <c r="T876" s="2" t="s">
        <v>3589</v>
      </c>
      <c r="Y876" s="4" t="str">
        <f>IFERROR(__xludf.DUMMYFUNCTION("""COMPUTED_VALUE"""),"6.7853721")</f>
        <v>6.7853721</v>
      </c>
      <c r="Z876" s="4" t="str">
        <f>IFERROR(__xludf.DUMMYFUNCTION("""COMPUTED_VALUE"""),"2.8290424")</f>
        <v>2.8290424</v>
      </c>
      <c r="AA876" s="4" t="str">
        <f t="shared" si="1"/>
        <v>Not Neighbor</v>
      </c>
      <c r="AC876" s="4">
        <f>IFERROR(__xludf.DUMMYFUNCTION("IFERROR(ABS(O876-AVERAGE(FILTER(O876:O4944,AA876:AA4944=""Neighbor""))) / STDEV(FILTER(O876:O4944, AA876:AA4944 =""Neighbor"")), """")"),1.427424877587689)</f>
        <v>1.427424878</v>
      </c>
      <c r="AD876" s="4">
        <f>IFERROR(__xludf.DUMMYFUNCTION("IFERROR(ABS(P876-AVERAGE(FILTER(O876:P4944,AA876:AA4944=""Neighbor""))) / STDEV(FILTER(P876:P4944, AA876:AA4944 =""Neighbor"")), """")"),1.4959916293869568)</f>
        <v>1.495991629</v>
      </c>
      <c r="AE876" s="2">
        <f>IFERROR(__xludf.DUMMYFUNCTION("IFERROR(ABS(Q876-AVERAGE(FILTER(Q876:Q4944,AA876:AA4944=""Neighbor""))) / STDEV(FILTER(Q876:Q4944, AA876:AA4944 =""Neighbor"")), """")"),0.7456944804110196)</f>
        <v>0.7456944804</v>
      </c>
      <c r="AF876" s="2">
        <f>IFERROR(__xludf.DUMMYFUNCTION("IFERROR(ABS(R876-AVERAGE(FILTER(R876:R4944,AA876:AA4944=""Neighbor""))) / STDEV(FILTER(R876:R4944, AA876:AA4944 =""Neighbor"")), """")"),0.08921912986562584)</f>
        <v>0.08921912987</v>
      </c>
    </row>
    <row r="877">
      <c r="A877" s="2" t="s">
        <v>28</v>
      </c>
      <c r="B877" s="2" t="s">
        <v>3320</v>
      </c>
      <c r="C877" s="2" t="s">
        <v>3561</v>
      </c>
      <c r="D877" s="2" t="s">
        <v>3590</v>
      </c>
      <c r="E877" s="2" t="s">
        <v>3591</v>
      </c>
      <c r="F877" s="2">
        <v>122.0</v>
      </c>
      <c r="G877" s="2">
        <v>495.0</v>
      </c>
      <c r="H877" s="2" t="b">
        <v>1</v>
      </c>
      <c r="I877" s="2">
        <v>-1.0</v>
      </c>
      <c r="J877" s="2" t="b">
        <v>0</v>
      </c>
      <c r="K877" s="2" t="b">
        <v>0</v>
      </c>
      <c r="L877" s="2" t="b">
        <v>0</v>
      </c>
      <c r="M877" s="2" t="b">
        <v>0</v>
      </c>
      <c r="N877" s="2" t="s">
        <v>33</v>
      </c>
      <c r="O877" s="2">
        <v>50.0</v>
      </c>
      <c r="P877" s="2">
        <v>6.0</v>
      </c>
      <c r="Q877" s="2">
        <v>66.0</v>
      </c>
      <c r="R877" s="2">
        <v>0.0</v>
      </c>
      <c r="S877" s="3" t="s">
        <v>3592</v>
      </c>
      <c r="T877" s="2" t="s">
        <v>3593</v>
      </c>
      <c r="Y877" s="4" t="str">
        <f>IFERROR(__xludf.DUMMYFUNCTION("""COMPUTED_VALUE"""),"6.7704899")</f>
        <v>6.7704899</v>
      </c>
      <c r="Z877" s="4" t="str">
        <f>IFERROR(__xludf.DUMMYFUNCTION("""COMPUTED_VALUE"""),"2.8152598")</f>
        <v>2.8152598</v>
      </c>
      <c r="AA877" s="4" t="str">
        <f t="shared" si="1"/>
        <v>Not Neighbor</v>
      </c>
      <c r="AC877" s="4">
        <f>IFERROR(__xludf.DUMMYFUNCTION("IFERROR(ABS(O877-AVERAGE(FILTER(O877:O4945,AA877:AA4945=""Neighbor""))) / STDEV(FILTER(O877:O4945, AA877:AA4945 =""Neighbor"")), """")"),0.33615581003429784)</f>
        <v>0.33615581</v>
      </c>
      <c r="AD877" s="4">
        <f>IFERROR(__xludf.DUMMYFUNCTION("IFERROR(ABS(P877-AVERAGE(FILTER(O877:P4945,AA877:AA4945=""Neighbor""))) / STDEV(FILTER(P877:P4945, AA877:AA4945 =""Neighbor"")), """")"),1.3758785326744407)</f>
        <v>1.375878533</v>
      </c>
      <c r="AE877" s="2">
        <f>IFERROR(__xludf.DUMMYFUNCTION("IFERROR(ABS(Q877-AVERAGE(FILTER(Q877:Q4945,AA877:AA4945=""Neighbor""))) / STDEV(FILTER(Q877:Q4945, AA877:AA4945 =""Neighbor"")), """")"),1.6852363636537695)</f>
        <v>1.685236364</v>
      </c>
      <c r="AF877" s="2">
        <f>IFERROR(__xludf.DUMMYFUNCTION("IFERROR(ABS(R877-AVERAGE(FILTER(R877:R4945,AA877:AA4945=""Neighbor""))) / STDEV(FILTER(R877:R4945, AA877:AA4945 =""Neighbor"")), """")"),0.08921912986562584)</f>
        <v>0.08921912987</v>
      </c>
    </row>
    <row r="878">
      <c r="A878" s="2" t="s">
        <v>28</v>
      </c>
      <c r="B878" s="2" t="s">
        <v>3320</v>
      </c>
      <c r="C878" s="2" t="s">
        <v>3561</v>
      </c>
      <c r="D878" s="2" t="s">
        <v>3594</v>
      </c>
      <c r="E878" s="2" t="s">
        <v>3595</v>
      </c>
      <c r="F878" s="2">
        <v>50.0</v>
      </c>
      <c r="G878" s="2">
        <v>261.0</v>
      </c>
      <c r="H878" s="2" t="b">
        <v>1</v>
      </c>
      <c r="I878" s="2">
        <v>-1.0</v>
      </c>
      <c r="J878" s="2" t="b">
        <v>0</v>
      </c>
      <c r="K878" s="2" t="b">
        <v>0</v>
      </c>
      <c r="L878" s="2" t="b">
        <v>0</v>
      </c>
      <c r="M878" s="2" t="b">
        <v>0</v>
      </c>
      <c r="N878" s="2" t="s">
        <v>33</v>
      </c>
      <c r="O878" s="2">
        <v>27.0</v>
      </c>
      <c r="P878" s="2">
        <v>2.0</v>
      </c>
      <c r="Q878" s="2">
        <v>20.0</v>
      </c>
      <c r="R878" s="2">
        <v>0.0</v>
      </c>
      <c r="S878" s="3" t="s">
        <v>3596</v>
      </c>
      <c r="T878" s="2" t="s">
        <v>3597</v>
      </c>
      <c r="Y878" s="4" t="str">
        <f>IFERROR(__xludf.DUMMYFUNCTION("""COMPUTED_VALUE"""),"6.856704")</f>
        <v>6.856704</v>
      </c>
      <c r="Z878" s="4" t="str">
        <f>IFERROR(__xludf.DUMMYFUNCTION("""COMPUTED_VALUE"""),"2.9018372")</f>
        <v>2.9018372</v>
      </c>
      <c r="AA878" s="4" t="str">
        <f t="shared" si="1"/>
        <v>Not Neighbor</v>
      </c>
      <c r="AC878" s="4">
        <f>IFERROR(__xludf.DUMMYFUNCTION("IFERROR(ABS(O878-AVERAGE(FILTER(O878:O4946,AA878:AA4946=""Neighbor""))) / STDEV(FILTER(O878:O4946, AA878:AA4946 =""Neighbor"")), """")"),0.8698710181304254)</f>
        <v>0.8698710181</v>
      </c>
      <c r="AD878" s="4">
        <f>IFERROR(__xludf.DUMMYFUNCTION("IFERROR(ABS(P878-AVERAGE(FILTER(O878:P4946,AA878:AA4946=""Neighbor""))) / STDEV(FILTER(P878:P4946, AA878:AA4946 =""Neighbor"")), """")"),1.536029328291129)</f>
        <v>1.536029328</v>
      </c>
      <c r="AE878" s="2">
        <f>IFERROR(__xludf.DUMMYFUNCTION("IFERROR(ABS(Q878-AVERAGE(FILTER(Q878:Q4946,AA878:AA4946=""Neighbor""))) / STDEV(FILTER(Q878:Q4946, AA878:AA4946 =""Neighbor"")), """")"),0.19384740283173058)</f>
        <v>0.1938474028</v>
      </c>
      <c r="AF878" s="2">
        <f>IFERROR(__xludf.DUMMYFUNCTION("IFERROR(ABS(R878-AVERAGE(FILTER(R878:R4946,AA878:AA4946=""Neighbor""))) / STDEV(FILTER(R878:R4946, AA878:AA4946 =""Neighbor"")), """")"),0.08921912986562584)</f>
        <v>0.08921912987</v>
      </c>
    </row>
    <row r="879">
      <c r="A879" s="2" t="s">
        <v>28</v>
      </c>
      <c r="B879" s="2" t="s">
        <v>3320</v>
      </c>
      <c r="C879" s="2" t="s">
        <v>3561</v>
      </c>
      <c r="D879" s="2" t="s">
        <v>3598</v>
      </c>
      <c r="E879" s="2" t="s">
        <v>3599</v>
      </c>
      <c r="F879" s="2">
        <v>51.0</v>
      </c>
      <c r="G879" s="2">
        <v>235.0</v>
      </c>
      <c r="H879" s="2" t="b">
        <v>1</v>
      </c>
      <c r="I879" s="2">
        <v>-1.0</v>
      </c>
      <c r="J879" s="2" t="b">
        <v>0</v>
      </c>
      <c r="K879" s="2" t="b">
        <v>0</v>
      </c>
      <c r="L879" s="2" t="b">
        <v>0</v>
      </c>
      <c r="M879" s="2" t="b">
        <v>0</v>
      </c>
      <c r="N879" s="2" t="s">
        <v>33</v>
      </c>
      <c r="O879" s="2">
        <v>39.0</v>
      </c>
      <c r="P879" s="2">
        <v>0.0</v>
      </c>
      <c r="Q879" s="2">
        <v>0.0</v>
      </c>
      <c r="R879" s="2">
        <v>0.0</v>
      </c>
      <c r="S879" s="3" t="s">
        <v>3600</v>
      </c>
      <c r="T879" s="2" t="s">
        <v>3601</v>
      </c>
      <c r="Y879" s="4" t="str">
        <f>IFERROR(__xludf.DUMMYFUNCTION("""COMPUTED_VALUE"""),"6.8403904")</f>
        <v>6.8403904</v>
      </c>
      <c r="Z879" s="4" t="str">
        <f>IFERROR(__xludf.DUMMYFUNCTION("""COMPUTED_VALUE"""),"2.859269")</f>
        <v>2.859269</v>
      </c>
      <c r="AA879" s="4" t="str">
        <f t="shared" si="1"/>
        <v>Not Neighbor</v>
      </c>
      <c r="AC879" s="4">
        <f>IFERROR(__xludf.DUMMYFUNCTION("IFERROR(ABS(O879-AVERAGE(FILTER(O879:O4947,AA879:AA4947=""Neighbor""))) / STDEV(FILTER(O879:O4947, AA879:AA4947 =""Neighbor"")), """")"),0.5914109095585328)</f>
        <v>0.5914109096</v>
      </c>
      <c r="AD879" s="4">
        <f>IFERROR(__xludf.DUMMYFUNCTION("IFERROR(ABS(P879-AVERAGE(FILTER(O879:P4947,AA879:AA4947=""Neighbor""))) / STDEV(FILTER(P879:P4947, AA879:AA4947 =""Neighbor"")), """")"),1.616104726099473)</f>
        <v>1.616104726</v>
      </c>
      <c r="AE879" s="2">
        <f>IFERROR(__xludf.DUMMYFUNCTION("IFERROR(ABS(Q879-AVERAGE(FILTER(Q879:Q4947,AA879:AA4947=""Neighbor""))) / STDEV(FILTER(Q879:Q4947, AA879:AA4947 =""Neighbor"")), """")"),1.010840344781948)</f>
        <v>1.010840345</v>
      </c>
      <c r="AF879" s="2">
        <f>IFERROR(__xludf.DUMMYFUNCTION("IFERROR(ABS(R879-AVERAGE(FILTER(R879:R4947,AA879:AA4947=""Neighbor""))) / STDEV(FILTER(R879:R4947, AA879:AA4947 =""Neighbor"")), """")"),0.08921912986562584)</f>
        <v>0.08921912987</v>
      </c>
    </row>
    <row r="880">
      <c r="A880" s="2" t="s">
        <v>28</v>
      </c>
      <c r="B880" s="2" t="s">
        <v>3320</v>
      </c>
      <c r="C880" s="2" t="s">
        <v>3561</v>
      </c>
      <c r="D880" s="2" t="s">
        <v>3602</v>
      </c>
      <c r="E880" s="2" t="s">
        <v>3603</v>
      </c>
      <c r="F880" s="2">
        <v>83.0</v>
      </c>
      <c r="G880" s="2">
        <v>279.0</v>
      </c>
      <c r="H880" s="2" t="b">
        <v>1</v>
      </c>
      <c r="I880" s="2">
        <v>-1.0</v>
      </c>
      <c r="J880" s="2" t="b">
        <v>0</v>
      </c>
      <c r="K880" s="2" t="b">
        <v>0</v>
      </c>
      <c r="L880" s="2" t="b">
        <v>0</v>
      </c>
      <c r="M880" s="2" t="b">
        <v>0</v>
      </c>
      <c r="N880" s="2" t="s">
        <v>33</v>
      </c>
      <c r="O880" s="2">
        <v>46.0</v>
      </c>
      <c r="P880" s="2">
        <v>3.0</v>
      </c>
      <c r="Q880" s="2">
        <v>16.0</v>
      </c>
      <c r="R880" s="2">
        <v>0.0</v>
      </c>
      <c r="S880" s="3" t="s">
        <v>3604</v>
      </c>
      <c r="T880" s="2" t="s">
        <v>3605</v>
      </c>
      <c r="Y880" s="4" t="str">
        <f>IFERROR(__xludf.DUMMYFUNCTION("""COMPUTED_VALUE"""),"6.8357148")</f>
        <v>6.8357148</v>
      </c>
      <c r="Z880" s="4" t="str">
        <f>IFERROR(__xludf.DUMMYFUNCTION("""COMPUTED_VALUE"""),"2.9138505")</f>
        <v>2.9138505</v>
      </c>
      <c r="AA880" s="4" t="str">
        <f t="shared" si="1"/>
        <v>Neighbor</v>
      </c>
      <c r="AC880" s="4">
        <f>IFERROR(__xludf.DUMMYFUNCTION("IFERROR(ABS(O880-AVERAGE(FILTER(O880:O4948,AA880:AA4948=""Neighbor""))) / STDEV(FILTER(O880:O4948, AA880:AA4948 =""Neighbor"")), """")"),0.42897584622492874)</f>
        <v>0.4289758462</v>
      </c>
      <c r="AD880" s="4">
        <f>IFERROR(__xludf.DUMMYFUNCTION("IFERROR(ABS(P880-AVERAGE(FILTER(O880:P4948,AA880:AA4948=""Neighbor""))) / STDEV(FILTER(P880:P4948, AA880:AA4948 =""Neighbor"")), """")"),1.4959916293869568)</f>
        <v>1.495991629</v>
      </c>
      <c r="AE880" s="2">
        <f>IFERROR(__xludf.DUMMYFUNCTION("IFERROR(ABS(Q880-AVERAGE(FILTER(Q880:Q4948,AA880:AA4948=""Neighbor""))) / STDEV(FILTER(Q880:Q4948, AA880:AA4948 =""Neighbor"")), """")"),0.3572459912217741)</f>
        <v>0.3572459912</v>
      </c>
      <c r="AF880" s="2">
        <f>IFERROR(__xludf.DUMMYFUNCTION("IFERROR(ABS(R880-AVERAGE(FILTER(R880:R4948,AA880:AA4948=""Neighbor""))) / STDEV(FILTER(R880:R4948, AA880:AA4948 =""Neighbor"")), """")"),0.08921912986562584)</f>
        <v>0.08921912987</v>
      </c>
    </row>
    <row r="881">
      <c r="A881" s="2" t="s">
        <v>28</v>
      </c>
      <c r="B881" s="2" t="s">
        <v>3320</v>
      </c>
      <c r="C881" s="2" t="s">
        <v>3561</v>
      </c>
      <c r="D881" s="2" t="s">
        <v>3606</v>
      </c>
      <c r="E881" s="2" t="s">
        <v>3607</v>
      </c>
      <c r="F881" s="2">
        <v>71.0</v>
      </c>
      <c r="G881" s="2">
        <v>340.0</v>
      </c>
      <c r="H881" s="2" t="b">
        <v>1</v>
      </c>
      <c r="I881" s="2">
        <v>-1.0</v>
      </c>
      <c r="J881" s="2" t="b">
        <v>0</v>
      </c>
      <c r="K881" s="2" t="b">
        <v>0</v>
      </c>
      <c r="L881" s="2" t="b">
        <v>0</v>
      </c>
      <c r="M881" s="2" t="b">
        <v>0</v>
      </c>
      <c r="N881" s="2" t="s">
        <v>33</v>
      </c>
      <c r="O881" s="2">
        <v>37.0</v>
      </c>
      <c r="P881" s="2">
        <v>8.0</v>
      </c>
      <c r="Q881" s="2">
        <v>19.0</v>
      </c>
      <c r="R881" s="2">
        <v>0.0</v>
      </c>
      <c r="S881" s="3" t="s">
        <v>3608</v>
      </c>
      <c r="T881" s="2" t="s">
        <v>3609</v>
      </c>
      <c r="Y881" s="4" t="str">
        <f>IFERROR(__xludf.DUMMYFUNCTION("""COMPUTED_VALUE"""),"6.8357148")</f>
        <v>6.8357148</v>
      </c>
      <c r="Z881" s="4" t="str">
        <f>IFERROR(__xludf.DUMMYFUNCTION("""COMPUTED_VALUE"""),"2.9138505")</f>
        <v>2.9138505</v>
      </c>
      <c r="AA881" s="4" t="str">
        <f t="shared" si="1"/>
        <v>Not Neighbor</v>
      </c>
      <c r="AC881" s="4">
        <f>IFERROR(__xludf.DUMMYFUNCTION("IFERROR(ABS(O881-AVERAGE(FILTER(O881:O4949,AA881:AA4949=""Neighbor""))) / STDEV(FILTER(O881:O4949, AA881:AA4949 =""Neighbor"")), """")"),0.6379454408256588)</f>
        <v>0.6379454408</v>
      </c>
      <c r="AD881" s="4">
        <f>IFERROR(__xludf.DUMMYFUNCTION("IFERROR(ABS(P881-AVERAGE(FILTER(O881:P4949,AA881:AA4949=""Neighbor""))) / STDEV(FILTER(P881:P4949, AA881:AA4949 =""Neighbor"")), """")"),1.295928118329742)</f>
        <v>1.295928118</v>
      </c>
      <c r="AE881" s="2">
        <f>IFERROR(__xludf.DUMMYFUNCTION("IFERROR(ABS(Q881-AVERAGE(FILTER(Q881:Q4949,AA881:AA4949=""Neighbor""))) / STDEV(FILTER(Q881:Q4949, AA881:AA4949 =""Neighbor"")), """")"),0.23488519161599367)</f>
        <v>0.2348851916</v>
      </c>
      <c r="AF881" s="2">
        <f>IFERROR(__xludf.DUMMYFUNCTION("IFERROR(ABS(R881-AVERAGE(FILTER(R881:R4949,AA881:AA4949=""Neighbor""))) / STDEV(FILTER(R881:R4949, AA881:AA4949 =""Neighbor"")), """")"),0.08925230849347748)</f>
        <v>0.08925230849</v>
      </c>
    </row>
    <row r="882">
      <c r="A882" s="2" t="s">
        <v>28</v>
      </c>
      <c r="B882" s="2" t="s">
        <v>3320</v>
      </c>
      <c r="C882" s="2" t="s">
        <v>3561</v>
      </c>
      <c r="D882" s="2" t="s">
        <v>3610</v>
      </c>
      <c r="E882" s="2" t="s">
        <v>3611</v>
      </c>
      <c r="F882" s="2">
        <v>102.0</v>
      </c>
      <c r="G882" s="2">
        <v>493.0</v>
      </c>
      <c r="H882" s="2" t="b">
        <v>1</v>
      </c>
      <c r="I882" s="2">
        <v>-1.0</v>
      </c>
      <c r="J882" s="2" t="b">
        <v>0</v>
      </c>
      <c r="K882" s="2" t="b">
        <v>0</v>
      </c>
      <c r="L882" s="2" t="b">
        <v>0</v>
      </c>
      <c r="M882" s="2" t="b">
        <v>0</v>
      </c>
      <c r="N882" s="2" t="s">
        <v>33</v>
      </c>
      <c r="O882" s="2">
        <v>65.0</v>
      </c>
      <c r="P882" s="2">
        <v>1.0</v>
      </c>
      <c r="Q882" s="2">
        <v>15.0</v>
      </c>
      <c r="R882" s="2">
        <v>0.0</v>
      </c>
      <c r="S882" s="3" t="s">
        <v>3612</v>
      </c>
      <c r="T882" s="2" t="s">
        <v>3613</v>
      </c>
      <c r="Y882" s="4" t="str">
        <f>IFERROR(__xludf.DUMMYFUNCTION("""COMPUTED_VALUE"""),"6.7985886")</f>
        <v>6.7985886</v>
      </c>
      <c r="Z882" s="4" t="str">
        <f>IFERROR(__xludf.DUMMYFUNCTION("""COMPUTED_VALUE"""),"2.8564637")</f>
        <v>2.8564637</v>
      </c>
      <c r="AA882" s="4" t="str">
        <f t="shared" si="1"/>
        <v>Not Neighbor</v>
      </c>
      <c r="AC882" s="4">
        <f>IFERROR(__xludf.DUMMYFUNCTION("IFERROR(ABS(O882-AVERAGE(FILTER(O882:O4950,AA882:AA4950=""Neighbor""))) / STDEV(FILTER(O882:O4950, AA882:AA4950 =""Neighbor"")), """")"),0.011599008015011979)</f>
        <v>0.01159900802</v>
      </c>
      <c r="AD882" s="4">
        <f>IFERROR(__xludf.DUMMYFUNCTION("IFERROR(ABS(P882-AVERAGE(FILTER(O882:P4950,AA882:AA4950=""Neighbor""))) / STDEV(FILTER(P882:P4950, AA882:AA4950 =""Neighbor"")), """")"),1.5761176069075415)</f>
        <v>1.576117607</v>
      </c>
      <c r="AE882" s="2">
        <f>IFERROR(__xludf.DUMMYFUNCTION("IFERROR(ABS(Q882-AVERAGE(FILTER(Q882:Q4950,AA882:AA4950=""Neighbor""))) / STDEV(FILTER(Q882:Q4950, AA882:AA4950 =""Neighbor"")), """")"),0.39823113380811254)</f>
        <v>0.3982311338</v>
      </c>
      <c r="AF882" s="2">
        <f>IFERROR(__xludf.DUMMYFUNCTION("IFERROR(ABS(R882-AVERAGE(FILTER(R882:R4950,AA882:AA4950=""Neighbor""))) / STDEV(FILTER(R882:R4950, AA882:AA4950 =""Neighbor"")), """")"),0.08925230849347748)</f>
        <v>0.08925230849</v>
      </c>
    </row>
    <row r="883">
      <c r="A883" s="2" t="s">
        <v>28</v>
      </c>
      <c r="B883" s="2" t="s">
        <v>3320</v>
      </c>
      <c r="C883" s="2" t="s">
        <v>3561</v>
      </c>
      <c r="D883" s="2" t="s">
        <v>3614</v>
      </c>
      <c r="E883" s="2" t="s">
        <v>3615</v>
      </c>
      <c r="F883" s="2">
        <v>86.0</v>
      </c>
      <c r="G883" s="2">
        <v>228.0</v>
      </c>
      <c r="H883" s="2" t="b">
        <v>1</v>
      </c>
      <c r="I883" s="2">
        <v>-1.0</v>
      </c>
      <c r="J883" s="2" t="b">
        <v>0</v>
      </c>
      <c r="K883" s="2" t="b">
        <v>0</v>
      </c>
      <c r="L883" s="2" t="b">
        <v>0</v>
      </c>
      <c r="M883" s="2" t="b">
        <v>0</v>
      </c>
      <c r="N883" s="2" t="s">
        <v>33</v>
      </c>
      <c r="O883" s="2">
        <v>43.0</v>
      </c>
      <c r="P883" s="2">
        <v>1.0</v>
      </c>
      <c r="Q883" s="2">
        <v>30.0</v>
      </c>
      <c r="R883" s="2">
        <v>0.0</v>
      </c>
      <c r="S883" s="3" t="s">
        <v>3616</v>
      </c>
      <c r="T883" s="2" t="s">
        <v>3617</v>
      </c>
      <c r="Y883" s="4" t="str">
        <f>IFERROR(__xludf.DUMMYFUNCTION("""COMPUTED_VALUE"""),"6.8271014")</f>
        <v>6.8271014</v>
      </c>
      <c r="Z883" s="4" t="str">
        <f>IFERROR(__xludf.DUMMYFUNCTION("""COMPUTED_VALUE"""),"2.8994973")</f>
        <v>2.8994973</v>
      </c>
      <c r="AA883" s="4" t="str">
        <f t="shared" si="1"/>
        <v>Not Neighbor</v>
      </c>
      <c r="AC883" s="4">
        <f>IFERROR(__xludf.DUMMYFUNCTION("IFERROR(ABS(O883-AVERAGE(FILTER(O883:O4951,AA883:AA4951=""Neighbor""))) / STDEV(FILTER(O883:O4951, AA883:AA4951 =""Neighbor"")), """")"),0.49875734464551513)</f>
        <v>0.4987573446</v>
      </c>
      <c r="AD883" s="4">
        <f>IFERROR(__xludf.DUMMYFUNCTION("IFERROR(ABS(P883-AVERAGE(FILTER(O883:P4951,AA883:AA4951=""Neighbor""))) / STDEV(FILTER(P883:P4951, AA883:AA4951 =""Neighbor"")), """")"),1.5761176069075415)</f>
        <v>1.576117607</v>
      </c>
      <c r="AE883" s="2">
        <f>IFERROR(__xludf.DUMMYFUNCTION("IFERROR(ABS(Q883-AVERAGE(FILTER(Q883:Q4951,AA883:AA4951=""Neighbor""))) / STDEV(FILTER(Q883:Q4951, AA883:AA4951 =""Neighbor"")), """")"),0.21431614941233332)</f>
        <v>0.2143161494</v>
      </c>
      <c r="AF883" s="2">
        <f>IFERROR(__xludf.DUMMYFUNCTION("IFERROR(ABS(R883-AVERAGE(FILTER(R883:R4951,AA883:AA4951=""Neighbor""))) / STDEV(FILTER(R883:R4951, AA883:AA4951 =""Neighbor"")), """")"),0.08925230849347748)</f>
        <v>0.08925230849</v>
      </c>
    </row>
    <row r="884">
      <c r="A884" s="2" t="s">
        <v>28</v>
      </c>
      <c r="B884" s="2" t="s">
        <v>3320</v>
      </c>
      <c r="C884" s="2" t="s">
        <v>3618</v>
      </c>
      <c r="D884" s="2" t="s">
        <v>3619</v>
      </c>
      <c r="E884" s="2" t="s">
        <v>3620</v>
      </c>
      <c r="F884" s="2">
        <v>274.0</v>
      </c>
      <c r="G884" s="2">
        <v>1185.0</v>
      </c>
      <c r="H884" s="2" t="b">
        <v>1</v>
      </c>
      <c r="I884" s="2">
        <v>-1.0</v>
      </c>
      <c r="J884" s="2" t="b">
        <v>0</v>
      </c>
      <c r="K884" s="2" t="b">
        <v>0</v>
      </c>
      <c r="L884" s="2" t="b">
        <v>0</v>
      </c>
      <c r="M884" s="2" t="b">
        <v>0</v>
      </c>
      <c r="N884" s="2" t="s">
        <v>33</v>
      </c>
      <c r="O884" s="2">
        <v>129.0</v>
      </c>
      <c r="P884" s="2">
        <v>20.0</v>
      </c>
      <c r="Q884" s="2">
        <v>50.0</v>
      </c>
      <c r="R884" s="2">
        <v>6.0</v>
      </c>
      <c r="S884" s="3" t="s">
        <v>3621</v>
      </c>
      <c r="T884" s="2" t="s">
        <v>3622</v>
      </c>
      <c r="Y884" s="4" t="str">
        <f>IFERROR(__xludf.DUMMYFUNCTION("""COMPUTED_VALUE"""),"6.7060944")</f>
        <v>6.7060944</v>
      </c>
      <c r="Z884" s="4" t="str">
        <f>IFERROR(__xludf.DUMMYFUNCTION("""COMPUTED_VALUE"""),"2.9001212")</f>
        <v>2.9001212</v>
      </c>
      <c r="AA884" s="4" t="str">
        <f t="shared" si="1"/>
        <v>Neighbor</v>
      </c>
      <c r="AC884" s="4">
        <f>IFERROR(__xludf.DUMMYFUNCTION("IFERROR(ABS(O884-AVERAGE(FILTER(O884:O4952,AA884:AA4952=""Neighbor""))) / STDEV(FILTER(O884:O4952, AA884:AA4952 =""Neighbor"")), """")"),1.4962720339365454)</f>
        <v>1.496272034</v>
      </c>
      <c r="AD884" s="4">
        <f>IFERROR(__xludf.DUMMYFUNCTION("IFERROR(ABS(P884-AVERAGE(FILTER(O884:P4952,AA884:AA4952=""Neighbor""))) / STDEV(FILTER(P884:P4952, AA884:AA4952 =""Neighbor"")), """")"),0.8156032807677996)</f>
        <v>0.8156032808</v>
      </c>
      <c r="AE884" s="2">
        <f>IFERROR(__xludf.DUMMYFUNCTION("IFERROR(ABS(Q884-AVERAGE(FILTER(Q884:Q4952,AA884:AA4952=""Neighbor""))) / STDEV(FILTER(Q884:Q4952, AA884:AA4952 =""Neighbor"")), """")"),1.0310458603729278)</f>
        <v>1.03104586</v>
      </c>
      <c r="AF884" s="2">
        <f>IFERROR(__xludf.DUMMYFUNCTION("IFERROR(ABS(R884-AVERAGE(FILTER(R884:R4952,AA884:AA4952=""Neighbor""))) / STDEV(FILTER(R884:R4952, AA884:AA4952 =""Neighbor"")), """")"),0.9833597539340537)</f>
        <v>0.9833597539</v>
      </c>
    </row>
    <row r="885">
      <c r="A885" s="2" t="s">
        <v>28</v>
      </c>
      <c r="B885" s="2" t="s">
        <v>3320</v>
      </c>
      <c r="C885" s="2" t="s">
        <v>3618</v>
      </c>
      <c r="D885" s="2" t="s">
        <v>3623</v>
      </c>
      <c r="E885" s="2" t="s">
        <v>3624</v>
      </c>
      <c r="F885" s="2">
        <v>164.0</v>
      </c>
      <c r="G885" s="2">
        <v>750.0</v>
      </c>
      <c r="H885" s="2" t="b">
        <v>1</v>
      </c>
      <c r="I885" s="2">
        <v>-1.0</v>
      </c>
      <c r="J885" s="2" t="b">
        <v>0</v>
      </c>
      <c r="K885" s="2" t="b">
        <v>0</v>
      </c>
      <c r="L885" s="2" t="b">
        <v>0</v>
      </c>
      <c r="M885" s="2" t="b">
        <v>0</v>
      </c>
      <c r="N885" s="2" t="s">
        <v>33</v>
      </c>
      <c r="O885" s="2">
        <v>99.0</v>
      </c>
      <c r="P885" s="2">
        <v>3.0</v>
      </c>
      <c r="Q885" s="2">
        <v>41.0</v>
      </c>
      <c r="R885" s="2">
        <v>5.0</v>
      </c>
      <c r="S885" s="3" t="s">
        <v>3625</v>
      </c>
      <c r="T885" s="2" t="s">
        <v>3626</v>
      </c>
      <c r="Y885" s="4" t="str">
        <f>IFERROR(__xludf.DUMMYFUNCTION("""COMPUTED_VALUE"""),"6.7060944")</f>
        <v>6.7060944</v>
      </c>
      <c r="Z885" s="4" t="str">
        <f>IFERROR(__xludf.DUMMYFUNCTION("""COMPUTED_VALUE"""),"2.9001212")</f>
        <v>2.9001212</v>
      </c>
      <c r="AA885" s="4" t="str">
        <f t="shared" si="1"/>
        <v>Neighbor</v>
      </c>
      <c r="AC885" s="4">
        <f>IFERROR(__xludf.DUMMYFUNCTION("IFERROR(ABS(O885-AVERAGE(FILTER(O885:O4953,AA885:AA4953=""Neighbor""))) / STDEV(FILTER(O885:O4953, AA885:AA4953 =""Neighbor"")), """")"),0.8018053651051146)</f>
        <v>0.8018053651</v>
      </c>
      <c r="AD885" s="4">
        <f>IFERROR(__xludf.DUMMYFUNCTION("IFERROR(ABS(P885-AVERAGE(FILTER(O885:P4953,AA885:AA4953=""Neighbor""))) / STDEV(FILTER(P885:P4953, AA885:AA4953 =""Neighbor"")), """")"),1.4945137911594732)</f>
        <v>1.494513791</v>
      </c>
      <c r="AE885" s="2">
        <f>IFERROR(__xludf.DUMMYFUNCTION("IFERROR(ABS(Q885-AVERAGE(FILTER(Q885:Q4953,AA885:AA4953=""Neighbor""))) / STDEV(FILTER(Q885:Q4953, AA885:AA4953 =""Neighbor"")), """")"),0.6642952188365596)</f>
        <v>0.6642952188</v>
      </c>
      <c r="AF885" s="2">
        <f>IFERROR(__xludf.DUMMYFUNCTION("IFERROR(ABS(R885-AVERAGE(FILTER(R885:R4953,AA885:AA4953=""Neighbor""))) / STDEV(FILTER(R885:R4953, AA885:AA4953 =""Neighbor"")), """")"),0.8053082601302142)</f>
        <v>0.8053082601</v>
      </c>
    </row>
    <row r="886">
      <c r="A886" s="2" t="s">
        <v>28</v>
      </c>
      <c r="B886" s="2" t="s">
        <v>3320</v>
      </c>
      <c r="C886" s="2" t="s">
        <v>3618</v>
      </c>
      <c r="D886" s="2" t="s">
        <v>3627</v>
      </c>
      <c r="E886" s="2" t="s">
        <v>3628</v>
      </c>
      <c r="F886" s="2">
        <v>246.0</v>
      </c>
      <c r="G886" s="2">
        <v>815.0</v>
      </c>
      <c r="H886" s="2" t="b">
        <v>1</v>
      </c>
      <c r="I886" s="2">
        <v>-1.0</v>
      </c>
      <c r="J886" s="2" t="b">
        <v>0</v>
      </c>
      <c r="K886" s="2" t="b">
        <v>0</v>
      </c>
      <c r="L886" s="2" t="b">
        <v>0</v>
      </c>
      <c r="M886" s="2" t="b">
        <v>0</v>
      </c>
      <c r="N886" s="2" t="s">
        <v>33</v>
      </c>
      <c r="O886" s="2">
        <v>174.0</v>
      </c>
      <c r="P886" s="2">
        <v>8.0</v>
      </c>
      <c r="Q886" s="2">
        <v>51.0</v>
      </c>
      <c r="R886" s="2">
        <v>4.0</v>
      </c>
      <c r="S886" s="3" t="s">
        <v>3629</v>
      </c>
      <c r="T886" s="2" t="s">
        <v>3630</v>
      </c>
      <c r="Y886" s="4" t="str">
        <f>IFERROR(__xludf.DUMMYFUNCTION("""COMPUTED_VALUE"""),"6.701373")</f>
        <v>6.701373</v>
      </c>
      <c r="Z886" s="4" t="str">
        <f>IFERROR(__xludf.DUMMYFUNCTION("""COMPUTED_VALUE"""),"2.901604")</f>
        <v>2.901604</v>
      </c>
      <c r="AA886" s="4" t="str">
        <f t="shared" si="1"/>
        <v>Neighbor</v>
      </c>
      <c r="AC886" s="4">
        <f>IFERROR(__xludf.DUMMYFUNCTION("IFERROR(ABS(O886-AVERAGE(FILTER(O886:O4954,AA886:AA4954=""Neighbor""))) / STDEV(FILTER(O886:O4954, AA886:AA4954 =""Neighbor"")), """")"),2.5427127545462804)</f>
        <v>2.542712755</v>
      </c>
      <c r="AD886" s="4">
        <f>IFERROR(__xludf.DUMMYFUNCTION("IFERROR(ABS(P886-AVERAGE(FILTER(O886:P4954,AA886:AA4954=""Neighbor""))) / STDEV(FILTER(P886:P4954, AA886:AA4954 =""Neighbor"")), """")"),1.2937914962556987)</f>
        <v>1.293791496</v>
      </c>
      <c r="AE886" s="2">
        <f>IFERROR(__xludf.DUMMYFUNCTION("IFERROR(ABS(Q886-AVERAGE(FILTER(Q886:Q4954,AA886:AA4954=""Neighbor""))) / STDEV(FILTER(Q886:Q4954, AA886:AA4954 =""Neighbor"")), """")"),1.0729393519169692)</f>
        <v>1.072939352</v>
      </c>
      <c r="AF886" s="2">
        <f>IFERROR(__xludf.DUMMYFUNCTION("IFERROR(ABS(R886-AVERAGE(FILTER(R886:R4954,AA886:AA4954=""Neighbor""))) / STDEV(FILTER(R886:R4954, AA886:AA4954 =""Neighbor"")), """")"),0.6270559085384292)</f>
        <v>0.6270559085</v>
      </c>
    </row>
    <row r="887">
      <c r="A887" s="2" t="s">
        <v>28</v>
      </c>
      <c r="B887" s="2" t="s">
        <v>3320</v>
      </c>
      <c r="C887" s="2" t="s">
        <v>3618</v>
      </c>
      <c r="D887" s="2" t="s">
        <v>3631</v>
      </c>
      <c r="E887" s="2" t="s">
        <v>3632</v>
      </c>
      <c r="F887" s="2">
        <v>206.0</v>
      </c>
      <c r="G887" s="2">
        <v>1005.0</v>
      </c>
      <c r="H887" s="2" t="b">
        <v>1</v>
      </c>
      <c r="I887" s="2">
        <v>-1.0</v>
      </c>
      <c r="J887" s="2" t="b">
        <v>0</v>
      </c>
      <c r="K887" s="2" t="b">
        <v>0</v>
      </c>
      <c r="L887" s="2" t="b">
        <v>0</v>
      </c>
      <c r="M887" s="2" t="b">
        <v>0</v>
      </c>
      <c r="N887" s="2" t="s">
        <v>33</v>
      </c>
      <c r="O887" s="2">
        <v>96.0</v>
      </c>
      <c r="P887" s="2">
        <v>7.0</v>
      </c>
      <c r="Q887" s="2">
        <v>34.0</v>
      </c>
      <c r="R887" s="2">
        <v>0.0</v>
      </c>
      <c r="S887" s="3" t="s">
        <v>3633</v>
      </c>
      <c r="T887" s="2" t="s">
        <v>3634</v>
      </c>
      <c r="Y887" s="4" t="str">
        <f>IFERROR(__xludf.DUMMYFUNCTION("""COMPUTED_VALUE"""),"6.701373")</f>
        <v>6.701373</v>
      </c>
      <c r="Z887" s="4" t="str">
        <f>IFERROR(__xludf.DUMMYFUNCTION("""COMPUTED_VALUE"""),"2.901604")</f>
        <v>2.901604</v>
      </c>
      <c r="AA887" s="4" t="str">
        <f t="shared" si="1"/>
        <v>Not Neighbor</v>
      </c>
      <c r="AC887" s="4">
        <f>IFERROR(__xludf.DUMMYFUNCTION("IFERROR(ABS(O887-AVERAGE(FILTER(O887:O4955,AA887:AA4955=""Neighbor""))) / STDEV(FILTER(O887:O4955, AA887:AA4955 =""Neighbor"")), """")"),0.7360505628715391)</f>
        <v>0.7360505629</v>
      </c>
      <c r="AD887" s="4">
        <f>IFERROR(__xludf.DUMMYFUNCTION("IFERROR(ABS(P887-AVERAGE(FILTER(O887:P4955,AA887:AA4955=""Neighbor""))) / STDEV(FILTER(P887:P4955, AA887:AA4955 =""Neighbor"")), """")"),1.3318542417828643)</f>
        <v>1.331854242</v>
      </c>
      <c r="AE887" s="2">
        <f>IFERROR(__xludf.DUMMYFUNCTION("IFERROR(ABS(Q887-AVERAGE(FILTER(Q887:Q4955,AA887:AA4955=""Neighbor""))) / STDEV(FILTER(Q887:Q4955, AA887:AA4955 =""Neighbor"")), """")"),0.3796616934021515)</f>
        <v>0.3796616934</v>
      </c>
      <c r="AF887" s="2">
        <f>IFERROR(__xludf.DUMMYFUNCTION("IFERROR(ABS(R887-AVERAGE(FILTER(R887:R4955,AA887:AA4955=""Neighbor""))) / STDEV(FILTER(R887:R4955, AA887:AA4955 =""Neighbor"")), """")"),0.08743360932249339)</f>
        <v>0.08743360932</v>
      </c>
    </row>
    <row r="888">
      <c r="A888" s="2" t="s">
        <v>28</v>
      </c>
      <c r="B888" s="2" t="s">
        <v>3320</v>
      </c>
      <c r="C888" s="2" t="s">
        <v>3618</v>
      </c>
      <c r="D888" s="2" t="s">
        <v>3635</v>
      </c>
      <c r="E888" s="2" t="s">
        <v>3636</v>
      </c>
      <c r="F888" s="2">
        <v>134.0</v>
      </c>
      <c r="G888" s="2">
        <v>560.0</v>
      </c>
      <c r="H888" s="2" t="b">
        <v>1</v>
      </c>
      <c r="I888" s="2">
        <v>-1.0</v>
      </c>
      <c r="J888" s="2" t="b">
        <v>0</v>
      </c>
      <c r="K888" s="2" t="b">
        <v>0</v>
      </c>
      <c r="L888" s="2" t="b">
        <v>0</v>
      </c>
      <c r="M888" s="2" t="b">
        <v>0</v>
      </c>
      <c r="N888" s="2" t="s">
        <v>33</v>
      </c>
      <c r="O888" s="2">
        <v>65.0</v>
      </c>
      <c r="P888" s="2">
        <v>2.0</v>
      </c>
      <c r="Q888" s="2">
        <v>29.0</v>
      </c>
      <c r="R888" s="2">
        <v>0.0</v>
      </c>
      <c r="S888" s="3" t="s">
        <v>3637</v>
      </c>
      <c r="T888" s="2" t="s">
        <v>3638</v>
      </c>
      <c r="Y888" s="4" t="str">
        <f>IFERROR(__xludf.DUMMYFUNCTION("""COMPUTED_VALUE"""),"6.6626176")</f>
        <v>6.6626176</v>
      </c>
      <c r="Z888" s="4" t="str">
        <f>IFERROR(__xludf.DUMMYFUNCTION("""COMPUTED_VALUE"""),"2.9096019")</f>
        <v>2.9096019</v>
      </c>
      <c r="AA888" s="4" t="str">
        <f t="shared" si="1"/>
        <v>Not Neighbor</v>
      </c>
      <c r="AC888" s="4">
        <f>IFERROR(__xludf.DUMMYFUNCTION("IFERROR(ABS(O888-AVERAGE(FILTER(O888:O4956,AA888:AA4956=""Neighbor""))) / STDEV(FILTER(O888:O4956, AA888:AA4956 =""Neighbor"")), """")"),0.015214981821078895)</f>
        <v>0.01521498182</v>
      </c>
      <c r="AD888" s="4">
        <f>IFERROR(__xludf.DUMMYFUNCTION("IFERROR(ABS(P888-AVERAGE(FILTER(O888:P4956,AA888:AA4956=""Neighbor""))) / STDEV(FILTER(P888:P4956, AA888:AA4956 =""Neighbor"")), """")"),1.531798134645413)</f>
        <v>1.531798135</v>
      </c>
      <c r="AE888" s="2">
        <f>IFERROR(__xludf.DUMMYFUNCTION("IFERROR(ABS(Q888-AVERAGE(FILTER(Q888:Q4956,AA888:AA4956=""Neighbor""))) / STDEV(FILTER(Q888:Q4956, AA888:AA4956 =""Neighbor"")), """")"),0.17550513083794728)</f>
        <v>0.1755051308</v>
      </c>
      <c r="AF888" s="2">
        <f>IFERROR(__xludf.DUMMYFUNCTION("IFERROR(ABS(R888-AVERAGE(FILTER(R888:R4956,AA888:AA4956=""Neighbor""))) / STDEV(FILTER(R888:R4956, AA888:AA4956 =""Neighbor"")), """")"),0.08743360932249339)</f>
        <v>0.08743360932</v>
      </c>
    </row>
    <row r="889">
      <c r="A889" s="2" t="s">
        <v>28</v>
      </c>
      <c r="B889" s="2" t="s">
        <v>3320</v>
      </c>
      <c r="C889" s="2" t="s">
        <v>3618</v>
      </c>
      <c r="D889" s="2" t="s">
        <v>3639</v>
      </c>
      <c r="E889" s="2" t="s">
        <v>3640</v>
      </c>
      <c r="F889" s="2">
        <v>87.0</v>
      </c>
      <c r="G889" s="2">
        <v>416.0</v>
      </c>
      <c r="H889" s="2" t="b">
        <v>1</v>
      </c>
      <c r="I889" s="2">
        <v>-1.0</v>
      </c>
      <c r="J889" s="2" t="b">
        <v>0</v>
      </c>
      <c r="K889" s="2" t="b">
        <v>0</v>
      </c>
      <c r="L889" s="2" t="b">
        <v>0</v>
      </c>
      <c r="M889" s="2" t="b">
        <v>0</v>
      </c>
      <c r="N889" s="2" t="s">
        <v>33</v>
      </c>
      <c r="O889" s="2">
        <v>58.0</v>
      </c>
      <c r="P889" s="2">
        <v>3.0</v>
      </c>
      <c r="Q889" s="2">
        <v>10.0</v>
      </c>
      <c r="R889" s="2">
        <v>0.0</v>
      </c>
      <c r="S889" s="3" t="s">
        <v>3641</v>
      </c>
      <c r="T889" s="2" t="s">
        <v>3642</v>
      </c>
      <c r="Y889" s="4" t="str">
        <f>IFERROR(__xludf.DUMMYFUNCTION("""COMPUTED_VALUE"""),"6.6125721")</f>
        <v>6.6125721</v>
      </c>
      <c r="Z889" s="4" t="str">
        <f>IFERROR(__xludf.DUMMYFUNCTION("""COMPUTED_VALUE"""),"2.8567754")</f>
        <v>2.8567754</v>
      </c>
      <c r="AA889" s="4" t="str">
        <f t="shared" si="1"/>
        <v>Not Neighbor</v>
      </c>
      <c r="AC889" s="4">
        <f>IFERROR(__xludf.DUMMYFUNCTION("IFERROR(ABS(O889-AVERAGE(FILTER(O889:O4957,AA889:AA4957=""Neighbor""))) / STDEV(FILTER(O889:O4957, AA889:AA4957 =""Neighbor"")), """")"),0.14755434293225084)</f>
        <v>0.1475543429</v>
      </c>
      <c r="AD889" s="4">
        <f>IFERROR(__xludf.DUMMYFUNCTION("IFERROR(ABS(P889-AVERAGE(FILTER(O889:P4957,AA889:AA4957=""Neighbor""))) / STDEV(FILTER(P889:P4957, AA889:AA4957 =""Neighbor"")), """")"),1.4918093560729033)</f>
        <v>1.491809356</v>
      </c>
      <c r="AE889" s="2">
        <f>IFERROR(__xludf.DUMMYFUNCTION("IFERROR(ABS(Q889-AVERAGE(FILTER(Q889:Q4957,AA889:AA4957=""Neighbor""))) / STDEV(FILTER(Q889:Q4957, AA889:AA4957 =""Neighbor"")), """")"),0.6002898069060287)</f>
        <v>0.6002898069</v>
      </c>
      <c r="AF889" s="2">
        <f>IFERROR(__xludf.DUMMYFUNCTION("IFERROR(ABS(R889-AVERAGE(FILTER(R889:R4957,AA889:AA4957=""Neighbor""))) / STDEV(FILTER(R889:R4957, AA889:AA4957 =""Neighbor"")), """")"),0.08743360932249339)</f>
        <v>0.08743360932</v>
      </c>
    </row>
    <row r="890">
      <c r="A890" s="2" t="s">
        <v>28</v>
      </c>
      <c r="B890" s="2" t="s">
        <v>3320</v>
      </c>
      <c r="C890" s="2" t="s">
        <v>3618</v>
      </c>
      <c r="D890" s="2" t="s">
        <v>3643</v>
      </c>
      <c r="E890" s="2" t="s">
        <v>3644</v>
      </c>
      <c r="F890" s="2">
        <v>70.0</v>
      </c>
      <c r="G890" s="2">
        <v>300.0</v>
      </c>
      <c r="H890" s="2" t="b">
        <v>1</v>
      </c>
      <c r="I890" s="2">
        <v>-1.0</v>
      </c>
      <c r="J890" s="2" t="b">
        <v>0</v>
      </c>
      <c r="K890" s="2" t="b">
        <v>0</v>
      </c>
      <c r="L890" s="2" t="b">
        <v>0</v>
      </c>
      <c r="M890" s="2" t="b">
        <v>0</v>
      </c>
      <c r="N890" s="2" t="s">
        <v>33</v>
      </c>
      <c r="O890" s="2">
        <v>24.0</v>
      </c>
      <c r="P890" s="2">
        <v>5.0</v>
      </c>
      <c r="Q890" s="2">
        <v>28.0</v>
      </c>
      <c r="R890" s="2">
        <v>0.0</v>
      </c>
      <c r="S890" s="3" t="s">
        <v>3645</v>
      </c>
      <c r="T890" s="2" t="s">
        <v>3646</v>
      </c>
      <c r="Y890" s="4" t="str">
        <f>IFERROR(__xludf.DUMMYFUNCTION("""COMPUTED_VALUE"""),"6.6252165")</f>
        <v>6.6252165</v>
      </c>
      <c r="Z890" s="4" t="str">
        <f>IFERROR(__xludf.DUMMYFUNCTION("""COMPUTED_VALUE"""),"2.9194681")</f>
        <v>2.9194681</v>
      </c>
      <c r="AA890" s="4" t="str">
        <f t="shared" si="1"/>
        <v>Neighbor</v>
      </c>
      <c r="AC890" s="4">
        <f>IFERROR(__xludf.DUMMYFUNCTION("IFERROR(ABS(O890-AVERAGE(FILTER(O890:O4958,AA890:AA4958=""Neighbor""))) / STDEV(FILTER(O890:O4958, AA890:AA4958 =""Neighbor"")), """")"),0.9381482060198524)</f>
        <v>0.938148206</v>
      </c>
      <c r="AD890" s="4">
        <f>IFERROR(__xludf.DUMMYFUNCTION("IFERROR(ABS(P890-AVERAGE(FILTER(O890:P4958,AA890:AA4958=""Neighbor""))) / STDEV(FILTER(P890:P4958, AA890:AA4958 =""Neighbor"")), """")"),1.4118317989278837)</f>
        <v>1.411831799</v>
      </c>
      <c r="AE890" s="2">
        <f>IFERROR(__xludf.DUMMYFUNCTION("IFERROR(ABS(Q890-AVERAGE(FILTER(Q890:Q4958,AA890:AA4958=""Neighbor""))) / STDEV(FILTER(Q890:Q4958, AA890:AA4958 =""Neighbor"")), """")"),0.13467381832510644)</f>
        <v>0.1346738183</v>
      </c>
      <c r="AF890" s="2">
        <f>IFERROR(__xludf.DUMMYFUNCTION("IFERROR(ABS(R890-AVERAGE(FILTER(R890:R4958,AA890:AA4958=""Neighbor""))) / STDEV(FILTER(R890:R4958, AA890:AA4958 =""Neighbor"")), """")"),0.08743360932249339)</f>
        <v>0.08743360932</v>
      </c>
    </row>
    <row r="891">
      <c r="A891" s="2" t="s">
        <v>28</v>
      </c>
      <c r="B891" s="2" t="s">
        <v>3320</v>
      </c>
      <c r="C891" s="2" t="s">
        <v>3618</v>
      </c>
      <c r="D891" s="2" t="s">
        <v>3647</v>
      </c>
      <c r="E891" s="2" t="s">
        <v>3648</v>
      </c>
      <c r="F891" s="2">
        <v>83.0</v>
      </c>
      <c r="G891" s="2">
        <v>463.0</v>
      </c>
      <c r="H891" s="2" t="b">
        <v>1</v>
      </c>
      <c r="I891" s="2">
        <v>-1.0</v>
      </c>
      <c r="J891" s="2" t="b">
        <v>0</v>
      </c>
      <c r="K891" s="2" t="b">
        <v>0</v>
      </c>
      <c r="L891" s="2" t="b">
        <v>0</v>
      </c>
      <c r="M891" s="2" t="b">
        <v>0</v>
      </c>
      <c r="N891" s="2" t="s">
        <v>33</v>
      </c>
      <c r="O891" s="2">
        <v>28.0</v>
      </c>
      <c r="P891" s="2">
        <v>3.0</v>
      </c>
      <c r="Q891" s="2">
        <v>30.0</v>
      </c>
      <c r="R891" s="2">
        <v>1.0</v>
      </c>
      <c r="S891" s="3" t="s">
        <v>3649</v>
      </c>
      <c r="T891" s="2" t="s">
        <v>3650</v>
      </c>
      <c r="Y891" s="4" t="str">
        <f>IFERROR(__xludf.DUMMYFUNCTION("""COMPUTED_VALUE"""),"6.6252165")</f>
        <v>6.6252165</v>
      </c>
      <c r="Z891" s="4" t="str">
        <f>IFERROR(__xludf.DUMMYFUNCTION("""COMPUTED_VALUE"""),"2.9194681")</f>
        <v>2.9194681</v>
      </c>
      <c r="AA891" s="4" t="str">
        <f t="shared" si="1"/>
        <v>Not Neighbor</v>
      </c>
      <c r="AC891" s="4">
        <f>IFERROR(__xludf.DUMMYFUNCTION("IFERROR(ABS(O891-AVERAGE(FILTER(O891:O4959,AA891:AA4959=""Neighbor""))) / STDEV(FILTER(O891:O4959, AA891:AA4959 =""Neighbor"")), """")"),0.8457947126251493)</f>
        <v>0.8457947126</v>
      </c>
      <c r="AD891" s="4">
        <f>IFERROR(__xludf.DUMMYFUNCTION("IFERROR(ABS(P891-AVERAGE(FILTER(O891:P4959,AA891:AA4959=""Neighbor""))) / STDEV(FILTER(P891:P4959, AA891:AA4959 =""Neighbor"")), """")"),1.4921330948659555)</f>
        <v>1.492133095</v>
      </c>
      <c r="AE891" s="2">
        <f>IFERROR(__xludf.DUMMYFUNCTION("IFERROR(ABS(Q891-AVERAGE(FILTER(Q891:Q4959,AA891:AA4959=""Neighbor""))) / STDEV(FILTER(Q891:Q4959, AA891:AA4959 =""Neighbor"")), """")"),0.21635747977408612)</f>
        <v>0.2163574798</v>
      </c>
      <c r="AF891" s="2">
        <f>IFERROR(__xludf.DUMMYFUNCTION("IFERROR(ABS(R891-AVERAGE(FILTER(R891:R4959,AA891:AA4959=""Neighbor""))) / STDEV(FILTER(R891:R4959, AA891:AA4959 =""Neighbor"")), """")"),0.09117128392871732)</f>
        <v>0.09117128393</v>
      </c>
    </row>
    <row r="892">
      <c r="A892" s="2" t="s">
        <v>28</v>
      </c>
      <c r="B892" s="2" t="s">
        <v>3320</v>
      </c>
      <c r="C892" s="2" t="s">
        <v>3618</v>
      </c>
      <c r="D892" s="2" t="s">
        <v>3651</v>
      </c>
      <c r="E892" s="2" t="s">
        <v>3652</v>
      </c>
      <c r="F892" s="2">
        <v>125.0</v>
      </c>
      <c r="G892" s="2">
        <v>621.0</v>
      </c>
      <c r="H892" s="2" t="b">
        <v>1</v>
      </c>
      <c r="I892" s="2">
        <v>-1.0</v>
      </c>
      <c r="J892" s="2" t="b">
        <v>0</v>
      </c>
      <c r="K892" s="2" t="b">
        <v>0</v>
      </c>
      <c r="L892" s="2" t="b">
        <v>0</v>
      </c>
      <c r="M892" s="2" t="b">
        <v>0</v>
      </c>
      <c r="N892" s="2" t="s">
        <v>33</v>
      </c>
      <c r="O892" s="2">
        <v>68.0</v>
      </c>
      <c r="P892" s="2">
        <v>7.0</v>
      </c>
      <c r="Q892" s="2">
        <v>9.0</v>
      </c>
      <c r="R892" s="2">
        <v>2.0</v>
      </c>
      <c r="S892" s="3" t="s">
        <v>3653</v>
      </c>
      <c r="T892" s="2" t="s">
        <v>3654</v>
      </c>
      <c r="Y892" s="4" t="str">
        <f>IFERROR(__xludf.DUMMYFUNCTION("""COMPUTED_VALUE"""),"6.7060944")</f>
        <v>6.7060944</v>
      </c>
      <c r="Z892" s="4" t="str">
        <f>IFERROR(__xludf.DUMMYFUNCTION("""COMPUTED_VALUE"""),"2.9001212")</f>
        <v>2.9001212</v>
      </c>
      <c r="AA892" s="4" t="str">
        <f t="shared" si="1"/>
        <v>Neighbor</v>
      </c>
      <c r="AC892" s="4">
        <f>IFERROR(__xludf.DUMMYFUNCTION("IFERROR(ABS(O892-AVERAGE(FILTER(O892:O4960,AA892:AA4960=""Neighbor""))) / STDEV(FILTER(O892:O4960, AA892:AA4960 =""Neighbor"")), """")"),0.0842746152050596)</f>
        <v>0.08427461521</v>
      </c>
      <c r="AD892" s="4">
        <f>IFERROR(__xludf.DUMMYFUNCTION("IFERROR(ABS(P892-AVERAGE(FILTER(O892:P4960,AA892:AA4960=""Neighbor""))) / STDEV(FILTER(P892:P4960, AA892:AA4960 =""Neighbor"")), """")"),1.3322252049252714)</f>
        <v>1.332225205</v>
      </c>
      <c r="AE892" s="2">
        <f>IFERROR(__xludf.DUMMYFUNCTION("IFERROR(ABS(Q892-AVERAGE(FILTER(Q892:Q4960,AA892:AA4960=""Neighbor""))) / STDEV(FILTER(Q892:Q4960, AA892:AA4960 =""Neighbor"")), """")"),0.6407882093812162)</f>
        <v>0.6407882094</v>
      </c>
      <c r="AF892" s="2">
        <f>IFERROR(__xludf.DUMMYFUNCTION("IFERROR(ABS(R892-AVERAGE(FILTER(R892:R4960,AA892:AA4960=""Neighbor""))) / STDEV(FILTER(R892:R4960, AA892:AA4960 =""Neighbor"")), """")"),0.26980877783839563)</f>
        <v>0.2698087778</v>
      </c>
    </row>
    <row r="893">
      <c r="A893" s="2" t="s">
        <v>28</v>
      </c>
      <c r="B893" s="2" t="s">
        <v>3320</v>
      </c>
      <c r="C893" s="2" t="s">
        <v>3618</v>
      </c>
      <c r="D893" s="2" t="s">
        <v>3655</v>
      </c>
      <c r="E893" s="2" t="s">
        <v>3656</v>
      </c>
      <c r="F893" s="2">
        <v>110.0</v>
      </c>
      <c r="G893" s="2">
        <v>362.0</v>
      </c>
      <c r="H893" s="2" t="b">
        <v>1</v>
      </c>
      <c r="I893" s="2">
        <v>-1.0</v>
      </c>
      <c r="J893" s="2" t="b">
        <v>0</v>
      </c>
      <c r="K893" s="2" t="b">
        <v>0</v>
      </c>
      <c r="L893" s="2" t="b">
        <v>0</v>
      </c>
      <c r="M893" s="2" t="b">
        <v>0</v>
      </c>
      <c r="N893" s="2" t="s">
        <v>33</v>
      </c>
      <c r="O893" s="2">
        <v>75.0</v>
      </c>
      <c r="P893" s="2">
        <v>5.0</v>
      </c>
      <c r="Q893" s="2">
        <v>9.0</v>
      </c>
      <c r="R893" s="2">
        <v>2.0</v>
      </c>
      <c r="S893" s="3" t="s">
        <v>3657</v>
      </c>
      <c r="T893" s="2" t="s">
        <v>3658</v>
      </c>
      <c r="Y893" s="4" t="str">
        <f>IFERROR(__xludf.DUMMYFUNCTION("""COMPUTED_VALUE"""),"6.7060944")</f>
        <v>6.7060944</v>
      </c>
      <c r="Z893" s="4" t="str">
        <f>IFERROR(__xludf.DUMMYFUNCTION("""COMPUTED_VALUE"""),"2.9001212")</f>
        <v>2.9001212</v>
      </c>
      <c r="AA893" s="4" t="str">
        <f t="shared" si="1"/>
        <v>Neighbor</v>
      </c>
      <c r="AC893" s="4">
        <f>IFERROR(__xludf.DUMMYFUNCTION("IFERROR(ABS(O893-AVERAGE(FILTER(O893:O4961,AA893:AA4961=""Neighbor""))) / STDEV(FILTER(O893:O4961, AA893:AA4961 =""Neighbor"")), """")"),0.24700826714852492)</f>
        <v>0.2470082671</v>
      </c>
      <c r="AD893" s="4">
        <f>IFERROR(__xludf.DUMMYFUNCTION("IFERROR(ABS(P893-AVERAGE(FILTER(O893:P4961,AA893:AA4961=""Neighbor""))) / STDEV(FILTER(P893:P4961, AA893:AA4961 =""Neighbor"")), """")"),1.4118112996005587)</f>
        <v>1.4118113</v>
      </c>
      <c r="AE893" s="2">
        <f>IFERROR(__xludf.DUMMYFUNCTION("IFERROR(ABS(Q893-AVERAGE(FILTER(Q893:Q4961,AA893:AA4961=""Neighbor""))) / STDEV(FILTER(Q893:Q4961, AA893:AA4961 =""Neighbor"")), """")"),0.6411231466676945)</f>
        <v>0.6411231467</v>
      </c>
      <c r="AF893" s="2">
        <f>IFERROR(__xludf.DUMMYFUNCTION("IFERROR(ABS(R893-AVERAGE(FILTER(R893:R4961,AA893:AA4961=""Neighbor""))) / STDEV(FILTER(R893:R4961, AA893:AA4961 =""Neighbor"")), """")"),0.26991597671098216)</f>
        <v>0.2699159767</v>
      </c>
    </row>
    <row r="894">
      <c r="A894" s="2" t="s">
        <v>28</v>
      </c>
      <c r="B894" s="2" t="s">
        <v>3320</v>
      </c>
      <c r="C894" s="2" t="s">
        <v>3618</v>
      </c>
      <c r="D894" s="2" t="s">
        <v>3659</v>
      </c>
      <c r="E894" s="2" t="s">
        <v>3660</v>
      </c>
      <c r="F894" s="2">
        <v>140.0</v>
      </c>
      <c r="G894" s="2">
        <v>460.0</v>
      </c>
      <c r="H894" s="2" t="b">
        <v>1</v>
      </c>
      <c r="I894" s="2">
        <v>-1.0</v>
      </c>
      <c r="J894" s="2" t="b">
        <v>0</v>
      </c>
      <c r="K894" s="2" t="b">
        <v>0</v>
      </c>
      <c r="L894" s="2" t="b">
        <v>0</v>
      </c>
      <c r="M894" s="2" t="b">
        <v>0</v>
      </c>
      <c r="N894" s="2" t="s">
        <v>33</v>
      </c>
      <c r="O894" s="2">
        <v>74.0</v>
      </c>
      <c r="P894" s="2">
        <v>2.0</v>
      </c>
      <c r="Q894" s="2">
        <v>14.0</v>
      </c>
      <c r="R894" s="2">
        <v>2.0</v>
      </c>
      <c r="S894" s="3" t="s">
        <v>3661</v>
      </c>
      <c r="T894" s="2" t="s">
        <v>3662</v>
      </c>
      <c r="Y894" s="4" t="str">
        <f>IFERROR(__xludf.DUMMYFUNCTION("""COMPUTED_VALUE"""),"6.7060944")</f>
        <v>6.7060944</v>
      </c>
      <c r="Z894" s="4" t="str">
        <f>IFERROR(__xludf.DUMMYFUNCTION("""COMPUTED_VALUE"""),"2.9001212")</f>
        <v>2.9001212</v>
      </c>
      <c r="AA894" s="4" t="str">
        <f t="shared" si="1"/>
        <v>Not Neighbor</v>
      </c>
      <c r="AC894" s="4">
        <f>IFERROR(__xludf.DUMMYFUNCTION("IFERROR(ABS(O894-AVERAGE(FILTER(O894:O4962,AA894:AA4962=""Neighbor""))) / STDEV(FILTER(O894:O4962, AA894:AA4962 =""Neighbor"")), """")"),0.22387032092794332)</f>
        <v>0.2238703209</v>
      </c>
      <c r="AD894" s="4">
        <f>IFERROR(__xludf.DUMMYFUNCTION("IFERROR(ABS(P894-AVERAGE(FILTER(O894:P4962,AA894:AA4962=""Neighbor""))) / STDEV(FILTER(P894:P4962, AA894:AA4962 =""Neighbor"")), """")"),1.531260845002487)</f>
        <v>1.531260845</v>
      </c>
      <c r="AE894" s="2">
        <f>IFERROR(__xludf.DUMMYFUNCTION("IFERROR(ABS(Q894-AVERAGE(FILTER(Q894:Q4962,AA894:AA4962=""Neighbor""))) / STDEV(FILTER(Q894:Q4962, AA894:AA4962 =""Neighbor"")), """")"),0.4374654499561314)</f>
        <v>0.43746545</v>
      </c>
      <c r="AF894" s="2">
        <f>IFERROR(__xludf.DUMMYFUNCTION("IFERROR(ABS(R894-AVERAGE(FILTER(R894:R4962,AA894:AA4962=""Neighbor""))) / STDEV(FILTER(R894:R4962, AA894:AA4962 =""Neighbor"")), """")"),0.2700233034680555)</f>
        <v>0.2700233035</v>
      </c>
    </row>
    <row r="895">
      <c r="A895" s="2" t="s">
        <v>28</v>
      </c>
      <c r="B895" s="2" t="s">
        <v>3320</v>
      </c>
      <c r="C895" s="2" t="s">
        <v>3618</v>
      </c>
      <c r="D895" s="2" t="s">
        <v>3663</v>
      </c>
      <c r="E895" s="2" t="s">
        <v>3664</v>
      </c>
      <c r="F895" s="2">
        <v>123.0</v>
      </c>
      <c r="G895" s="2">
        <v>390.0</v>
      </c>
      <c r="H895" s="2" t="b">
        <v>1</v>
      </c>
      <c r="I895" s="2">
        <v>-1.0</v>
      </c>
      <c r="J895" s="2" t="b">
        <v>0</v>
      </c>
      <c r="K895" s="2" t="b">
        <v>0</v>
      </c>
      <c r="L895" s="2" t="b">
        <v>0</v>
      </c>
      <c r="M895" s="2" t="b">
        <v>0</v>
      </c>
      <c r="N895" s="2" t="s">
        <v>33</v>
      </c>
      <c r="O895" s="2">
        <v>64.0</v>
      </c>
      <c r="P895" s="2">
        <v>1.0</v>
      </c>
      <c r="Q895" s="2">
        <v>11.0</v>
      </c>
      <c r="R895" s="2">
        <v>1.0</v>
      </c>
      <c r="S895" s="3" t="s">
        <v>3665</v>
      </c>
      <c r="T895" s="2" t="s">
        <v>3666</v>
      </c>
      <c r="Y895" s="4" t="str">
        <f>IFERROR(__xludf.DUMMYFUNCTION("""COMPUTED_VALUE"""),"6.6036335")</f>
        <v>6.6036335</v>
      </c>
      <c r="Z895" s="4" t="str">
        <f>IFERROR(__xludf.DUMMYFUNCTION("""COMPUTED_VALUE"""),"2.9035532")</f>
        <v>2.9035532</v>
      </c>
      <c r="AA895" s="4" t="str">
        <f t="shared" si="1"/>
        <v>Neighbor</v>
      </c>
      <c r="AC895" s="4">
        <f>IFERROR(__xludf.DUMMYFUNCTION("IFERROR(ABS(O895-AVERAGE(FILTER(O895:O4963,AA895:AA4963=""Neighbor""))) / STDEV(FILTER(O895:O4963, AA895:AA4963 =""Neighbor"")), """")"),0.008480458723171299)</f>
        <v>0.008480458723</v>
      </c>
      <c r="AD895" s="4">
        <f>IFERROR(__xludf.DUMMYFUNCTION("IFERROR(ABS(P895-AVERAGE(FILTER(O895:P4963,AA895:AA4963=""Neighbor""))) / STDEV(FILTER(P895:P4963, AA895:AA4963 =""Neighbor"")), """")"),1.5712132231901064)</f>
        <v>1.571213223</v>
      </c>
      <c r="AE895" s="2">
        <f>IFERROR(__xludf.DUMMYFUNCTION("IFERROR(ABS(Q895-AVERAGE(FILTER(Q895:Q4963,AA895:AA4963=""Neighbor""))) / STDEV(FILTER(Q895:Q4963, AA895:AA4963 =""Neighbor"")), """")"),0.5598613458757796)</f>
        <v>0.5598613459</v>
      </c>
      <c r="AF895" s="2">
        <f>IFERROR(__xludf.DUMMYFUNCTION("IFERROR(ABS(R895-AVERAGE(FILTER(R895:R4963,AA895:AA4963=""Neighbor""))) / STDEV(FILTER(R895:R4963, AA895:AA4963 =""Neighbor"")), """")"),0.09150863300462302)</f>
        <v>0.091508633</v>
      </c>
    </row>
    <row r="896">
      <c r="A896" s="2" t="s">
        <v>28</v>
      </c>
      <c r="B896" s="2" t="s">
        <v>3320</v>
      </c>
      <c r="C896" s="2" t="s">
        <v>3618</v>
      </c>
      <c r="D896" s="2" t="s">
        <v>3667</v>
      </c>
      <c r="E896" s="2" t="s">
        <v>3668</v>
      </c>
      <c r="F896" s="2">
        <v>100.0</v>
      </c>
      <c r="G896" s="2">
        <v>223.0</v>
      </c>
      <c r="H896" s="2" t="b">
        <v>1</v>
      </c>
      <c r="I896" s="2">
        <v>-1.0</v>
      </c>
      <c r="J896" s="2" t="b">
        <v>0</v>
      </c>
      <c r="K896" s="2" t="b">
        <v>0</v>
      </c>
      <c r="L896" s="2" t="b">
        <v>0</v>
      </c>
      <c r="M896" s="2" t="b">
        <v>0</v>
      </c>
      <c r="N896" s="2" t="s">
        <v>33</v>
      </c>
      <c r="O896" s="2">
        <v>71.0</v>
      </c>
      <c r="P896" s="2">
        <v>4.0</v>
      </c>
      <c r="Q896" s="2">
        <v>8.0</v>
      </c>
      <c r="R896" s="2">
        <v>0.0</v>
      </c>
      <c r="S896" s="3" t="s">
        <v>3669</v>
      </c>
      <c r="T896" s="2" t="s">
        <v>3670</v>
      </c>
      <c r="Y896" s="4" t="str">
        <f>IFERROR(__xludf.DUMMYFUNCTION("""COMPUTED_VALUE"""),"6.6036335")</f>
        <v>6.6036335</v>
      </c>
      <c r="Z896" s="4" t="str">
        <f>IFERROR(__xludf.DUMMYFUNCTION("""COMPUTED_VALUE"""),"2.9035532")</f>
        <v>2.9035532</v>
      </c>
      <c r="AA896" s="4" t="str">
        <f t="shared" si="1"/>
        <v>Not Neighbor</v>
      </c>
      <c r="AC896" s="4">
        <f>IFERROR(__xludf.DUMMYFUNCTION("IFERROR(ABS(O896-AVERAGE(FILTER(O896:O4964,AA896:AA4964=""Neighbor""))) / STDEV(FILTER(O896:O4964, AA896:AA4964 =""Neighbor"")), """")"),0.1541015617022952)</f>
        <v>0.1541015617</v>
      </c>
      <c r="AD896" s="4">
        <f>IFERROR(__xludf.DUMMYFUNCTION("IFERROR(ABS(P896-AVERAGE(FILTER(O896:P4964,AA896:AA4964=""Neighbor""))) / STDEV(FILTER(P896:P4964, AA896:AA4964 =""Neighbor"")), """")"),1.4512504892047968)</f>
        <v>1.451250489</v>
      </c>
      <c r="AE896" s="2">
        <f>IFERROR(__xludf.DUMMYFUNCTION("IFERROR(ABS(Q896-AVERAGE(FILTER(Q896:Q4964,AA896:AA4964=""Neighbor""))) / STDEV(FILTER(Q896:Q4964, AA896:AA4964 =""Neighbor"")), """")"),0.6824988973360181)</f>
        <v>0.6824988973</v>
      </c>
      <c r="AF896" s="2">
        <f>IFERROR(__xludf.DUMMYFUNCTION("IFERROR(ABS(R896-AVERAGE(FILTER(R896:R4964,AA896:AA4964=""Neighbor""))) / STDEV(FILTER(R896:R4964, AA896:AA4964 =""Neighbor"")), """")"),0.08690609565050779)</f>
        <v>0.08690609565</v>
      </c>
    </row>
    <row r="897">
      <c r="A897" s="2" t="s">
        <v>28</v>
      </c>
      <c r="B897" s="2" t="s">
        <v>3320</v>
      </c>
      <c r="C897" s="2" t="s">
        <v>3618</v>
      </c>
      <c r="D897" s="2" t="s">
        <v>3671</v>
      </c>
      <c r="E897" s="2" t="s">
        <v>3672</v>
      </c>
      <c r="F897" s="2">
        <v>100.0</v>
      </c>
      <c r="G897" s="2">
        <v>423.0</v>
      </c>
      <c r="H897" s="2" t="b">
        <v>1</v>
      </c>
      <c r="I897" s="2">
        <v>-1.0</v>
      </c>
      <c r="J897" s="2" t="b">
        <v>0</v>
      </c>
      <c r="K897" s="2" t="b">
        <v>0</v>
      </c>
      <c r="L897" s="2" t="b">
        <v>0</v>
      </c>
      <c r="M897" s="2" t="b">
        <v>0</v>
      </c>
      <c r="N897" s="2" t="s">
        <v>33</v>
      </c>
      <c r="O897" s="2">
        <v>54.0</v>
      </c>
      <c r="P897" s="2">
        <v>0.0</v>
      </c>
      <c r="Q897" s="2">
        <v>25.0</v>
      </c>
      <c r="R897" s="2">
        <v>2.0</v>
      </c>
      <c r="S897" s="3" t="s">
        <v>3673</v>
      </c>
      <c r="T897" s="2" t="s">
        <v>3674</v>
      </c>
      <c r="Y897" s="4" t="str">
        <f>IFERROR(__xludf.DUMMYFUNCTION("""COMPUTED_VALUE"""),"6.7429921")</f>
        <v>6.7429921</v>
      </c>
      <c r="Z897" s="4" t="str">
        <f>IFERROR(__xludf.DUMMYFUNCTION("""COMPUTED_VALUE"""),"3.2666287")</f>
        <v>3.2666287</v>
      </c>
      <c r="AA897" s="4" t="str">
        <f t="shared" si="1"/>
        <v>Not Neighbor</v>
      </c>
      <c r="AC897" s="4">
        <f>IFERROR(__xludf.DUMMYFUNCTION("IFERROR(ABS(O897-AVERAGE(FILTER(O897:O4965,AA897:AA4965=""Neighbor""))) / STDEV(FILTER(O897:O4965, AA897:AA4965 =""Neighbor"")), """")"),0.2407481262713933)</f>
        <v>0.2407481263</v>
      </c>
      <c r="AD897" s="4">
        <f>IFERROR(__xludf.DUMMYFUNCTION("IFERROR(ABS(P897-AVERAGE(FILTER(O897:P4965,AA897:AA4965=""Neighbor""))) / STDEV(FILTER(P897:P4965, AA897:AA4965 =""Neighbor"")), """")"),1.6110228175593384)</f>
        <v>1.611022818</v>
      </c>
      <c r="AE897" s="2">
        <f>IFERROR(__xludf.DUMMYFUNCTION("IFERROR(ABS(Q897-AVERAGE(FILTER(Q897:Q4965,AA897:AA4965=""Neighbor""))) / STDEV(FILTER(Q897:Q4965, AA897:AA4965 =""Neighbor"")), """")"),0.010901087139667483)</f>
        <v>0.01090108714</v>
      </c>
      <c r="AF897" s="2">
        <f>IFERROR(__xludf.DUMMYFUNCTION("IFERROR(ABS(R897-AVERAGE(FILTER(R897:R4965,AA897:AA4965=""Neighbor""))) / STDEV(FILTER(R897:R4965, AA897:AA4965 =""Neighbor"")), """")"),0.26999180325569333)</f>
        <v>0.2699918033</v>
      </c>
    </row>
    <row r="898">
      <c r="A898" s="2" t="s">
        <v>28</v>
      </c>
      <c r="B898" s="2" t="s">
        <v>3320</v>
      </c>
      <c r="C898" s="2" t="s">
        <v>3618</v>
      </c>
      <c r="D898" s="2" t="s">
        <v>3675</v>
      </c>
      <c r="E898" s="2" t="s">
        <v>3676</v>
      </c>
      <c r="F898" s="2">
        <v>25.0</v>
      </c>
      <c r="G898" s="2">
        <v>57.0</v>
      </c>
      <c r="H898" s="2" t="b">
        <v>1</v>
      </c>
      <c r="I898" s="2">
        <v>-1.0</v>
      </c>
      <c r="J898" s="2" t="b">
        <v>0</v>
      </c>
      <c r="K898" s="2" t="b">
        <v>0</v>
      </c>
      <c r="L898" s="2" t="b">
        <v>0</v>
      </c>
      <c r="M898" s="2" t="b">
        <v>0</v>
      </c>
      <c r="N898" s="2" t="s">
        <v>33</v>
      </c>
      <c r="O898" s="2">
        <v>14.0</v>
      </c>
      <c r="P898" s="2">
        <v>2.0</v>
      </c>
      <c r="Q898" s="2">
        <v>6.0</v>
      </c>
      <c r="R898" s="2">
        <v>0.0</v>
      </c>
      <c r="S898" s="3" t="s">
        <v>3677</v>
      </c>
      <c r="T898" s="2" t="s">
        <v>3678</v>
      </c>
      <c r="Y898" s="4" t="str">
        <f>IFERROR(__xludf.DUMMYFUNCTION("""COMPUTED_VALUE"""),"6.7060944")</f>
        <v>6.7060944</v>
      </c>
      <c r="Z898" s="4" t="str">
        <f>IFERROR(__xludf.DUMMYFUNCTION("""COMPUTED_VALUE"""),"2.9001212")</f>
        <v>2.9001212</v>
      </c>
      <c r="AA898" s="4" t="str">
        <f t="shared" si="1"/>
        <v>Neighbor</v>
      </c>
      <c r="AC898" s="4">
        <f>IFERROR(__xludf.DUMMYFUNCTION("IFERROR(ABS(O898-AVERAGE(FILTER(O898:O4966,AA898:AA4966=""Neighbor""))) / STDEV(FILTER(O898:O4966, AA898:AA4966 =""Neighbor"")), """")"),1.1698062156212485)</f>
        <v>1.169806216</v>
      </c>
      <c r="AD898" s="4">
        <f>IFERROR(__xludf.DUMMYFUNCTION("IFERROR(ABS(P898-AVERAGE(FILTER(O898:P4966,AA898:AA4966=""Neighbor""))) / STDEV(FILTER(P898:P4966, AA898:AA4966 =""Neighbor"")), """")"),1.5311366533820676)</f>
        <v>1.531136653</v>
      </c>
      <c r="AE898" s="2">
        <f>IFERROR(__xludf.DUMMYFUNCTION("IFERROR(ABS(Q898-AVERAGE(FILTER(Q898:Q4966,AA898:AA4966=""Neighbor""))) / STDEV(FILTER(Q898:Q4966, AA898:AA4966 =""Neighbor"")), """")"),0.7640753660978634)</f>
        <v>0.7640753661</v>
      </c>
      <c r="AF898" s="2">
        <f>IFERROR(__xludf.DUMMYFUNCTION("IFERROR(ABS(R898-AVERAGE(FILTER(R898:R4966,AA898:AA4966=""Neighbor""))) / STDEV(FILTER(R898:R4966, AA898:AA4966 =""Neighbor"")), """")"),0.08690609565050779)</f>
        <v>0.08690609565</v>
      </c>
    </row>
    <row r="899">
      <c r="A899" s="2" t="s">
        <v>28</v>
      </c>
      <c r="B899" s="2" t="s">
        <v>3320</v>
      </c>
      <c r="C899" s="2" t="s">
        <v>3618</v>
      </c>
      <c r="D899" s="2" t="s">
        <v>3679</v>
      </c>
      <c r="E899" s="2" t="s">
        <v>3680</v>
      </c>
      <c r="F899" s="2">
        <v>75.0</v>
      </c>
      <c r="G899" s="2">
        <v>244.0</v>
      </c>
      <c r="H899" s="2" t="b">
        <v>1</v>
      </c>
      <c r="I899" s="2">
        <v>-1.0</v>
      </c>
      <c r="J899" s="2" t="b">
        <v>0</v>
      </c>
      <c r="K899" s="2" t="b">
        <v>0</v>
      </c>
      <c r="L899" s="2" t="b">
        <v>0</v>
      </c>
      <c r="M899" s="2" t="b">
        <v>0</v>
      </c>
      <c r="N899" s="2" t="s">
        <v>33</v>
      </c>
      <c r="O899" s="2">
        <v>44.0</v>
      </c>
      <c r="P899" s="2">
        <v>1.0</v>
      </c>
      <c r="Q899" s="2">
        <v>21.0</v>
      </c>
      <c r="R899" s="2">
        <v>0.0</v>
      </c>
      <c r="S899" s="3" t="s">
        <v>3681</v>
      </c>
      <c r="T899" s="2" t="s">
        <v>3682</v>
      </c>
      <c r="Y899" s="4" t="str">
        <f>IFERROR(__xludf.DUMMYFUNCTION("""COMPUTED_VALUE"""),"6.7060944")</f>
        <v>6.7060944</v>
      </c>
      <c r="Z899" s="4" t="str">
        <f>IFERROR(__xludf.DUMMYFUNCTION("""COMPUTED_VALUE"""),"2.9001212")</f>
        <v>2.9001212</v>
      </c>
      <c r="AA899" s="4" t="str">
        <f t="shared" si="1"/>
        <v>Not Neighbor</v>
      </c>
      <c r="AC899" s="4">
        <f>IFERROR(__xludf.DUMMYFUNCTION("IFERROR(ABS(O899-AVERAGE(FILTER(O899:O4967,AA899:AA4967=""Neighbor""))) / STDEV(FILTER(O899:O4967, AA899:AA4967 =""Neighbor"")), """")"),0.47394684645564944)</f>
        <v>0.4739468465</v>
      </c>
      <c r="AD899" s="4">
        <f>IFERROR(__xludf.DUMMYFUNCTION("IFERROR(ABS(P899-AVERAGE(FILTER(O899:P4967,AA899:AA4967=""Neighbor""))) / STDEV(FILTER(P899:P4967, AA899:AA4967 =""Neighbor"")), """")"),1.5716457978847718)</f>
        <v>1.571645798</v>
      </c>
      <c r="AE899" s="2">
        <f>IFERROR(__xludf.DUMMYFUNCTION("IFERROR(ABS(Q899-AVERAGE(FILTER(Q899:Q4967,AA899:AA4967=""Neighbor""))) / STDEV(FILTER(Q899:Q4967, AA899:AA4967 =""Neighbor"")), """")"),0.15279590043558944)</f>
        <v>0.1527959004</v>
      </c>
      <c r="AF899" s="2">
        <f>IFERROR(__xludf.DUMMYFUNCTION("IFERROR(ABS(R899-AVERAGE(FILTER(R899:R4967,AA899:AA4967=""Neighbor""))) / STDEV(FILTER(R899:R4967, AA899:AA4967 =""Neighbor"")), """")"),0.0869385928559762)</f>
        <v>0.08693859286</v>
      </c>
    </row>
    <row r="900">
      <c r="A900" s="2" t="s">
        <v>28</v>
      </c>
      <c r="B900" s="2" t="s">
        <v>3320</v>
      </c>
      <c r="C900" s="2" t="s">
        <v>3618</v>
      </c>
      <c r="D900" s="2" t="s">
        <v>3683</v>
      </c>
      <c r="E900" s="2" t="s">
        <v>3684</v>
      </c>
      <c r="F900" s="2">
        <v>127.0</v>
      </c>
      <c r="G900" s="2">
        <v>378.0</v>
      </c>
      <c r="H900" s="2" t="b">
        <v>1</v>
      </c>
      <c r="I900" s="2">
        <v>-1.0</v>
      </c>
      <c r="J900" s="2" t="b">
        <v>0</v>
      </c>
      <c r="K900" s="2" t="b">
        <v>0</v>
      </c>
      <c r="L900" s="2" t="b">
        <v>0</v>
      </c>
      <c r="M900" s="2" t="b">
        <v>0</v>
      </c>
      <c r="N900" s="2" t="s">
        <v>33</v>
      </c>
      <c r="O900" s="2">
        <v>63.0</v>
      </c>
      <c r="P900" s="2">
        <v>3.0</v>
      </c>
      <c r="Q900" s="2">
        <v>32.0</v>
      </c>
      <c r="R900" s="2">
        <v>1.0</v>
      </c>
      <c r="S900" s="3" t="s">
        <v>3685</v>
      </c>
      <c r="T900" s="2" t="s">
        <v>3686</v>
      </c>
      <c r="Y900" s="4" t="str">
        <f>IFERROR(__xludf.DUMMYFUNCTION("""COMPUTED_VALUE"""),"6.6286521")</f>
        <v>6.6286521</v>
      </c>
      <c r="Z900" s="4" t="str">
        <f>IFERROR(__xludf.DUMMYFUNCTION("""COMPUTED_VALUE"""),"2.8443091")</f>
        <v>2.8443091</v>
      </c>
      <c r="AA900" s="4" t="str">
        <f t="shared" si="1"/>
        <v>Not Neighbor</v>
      </c>
      <c r="AC900" s="4">
        <f>IFERROR(__xludf.DUMMYFUNCTION("IFERROR(ABS(O900-AVERAGE(FILTER(O900:O4968,AA900:AA4968=""Neighbor""))) / STDEV(FILTER(O900:O4968, AA900:AA4968 =""Neighbor"")), """")"),0.032583629965343495)</f>
        <v>0.03258362997</v>
      </c>
      <c r="AD900" s="4">
        <f>IFERROR(__xludf.DUMMYFUNCTION("IFERROR(ABS(P900-AVERAGE(FILTER(O900:P4968,AA900:AA4968=""Neighbor""))) / STDEV(FILTER(P900:P4968, AA900:AA4968 =""Neighbor"")), """")"),1.4917796266532206)</f>
        <v>1.491779627</v>
      </c>
      <c r="AE900" s="2">
        <f>IFERROR(__xludf.DUMMYFUNCTION("IFERROR(ABS(Q900-AVERAGE(FILTER(Q900:Q4968,AA900:AA4968=""Neighbor""))) / STDEV(FILTER(Q900:Q4968, AA900:AA4968 =""Neighbor"")), """")"),0.2958053491875194)</f>
        <v>0.2958053492</v>
      </c>
      <c r="AF900" s="2">
        <f>IFERROR(__xludf.DUMMYFUNCTION("IFERROR(ABS(R900-AVERAGE(FILTER(R900:R4968,AA900:AA4968=""Neighbor""))) / STDEV(FILTER(R900:R4968, AA900:AA4968 =""Neighbor"")), """")"),0.0914445565100969)</f>
        <v>0.09144455651</v>
      </c>
    </row>
    <row r="901">
      <c r="A901" s="2" t="s">
        <v>28</v>
      </c>
      <c r="B901" s="2" t="s">
        <v>3320</v>
      </c>
      <c r="C901" s="2" t="s">
        <v>3618</v>
      </c>
      <c r="D901" s="2" t="s">
        <v>3687</v>
      </c>
      <c r="E901" s="2" t="s">
        <v>3688</v>
      </c>
      <c r="F901" s="2">
        <v>105.0</v>
      </c>
      <c r="G901" s="2">
        <v>440.0</v>
      </c>
      <c r="H901" s="2" t="b">
        <v>1</v>
      </c>
      <c r="I901" s="2">
        <v>-1.0</v>
      </c>
      <c r="J901" s="2" t="b">
        <v>0</v>
      </c>
      <c r="K901" s="2" t="b">
        <v>0</v>
      </c>
      <c r="L901" s="2" t="b">
        <v>0</v>
      </c>
      <c r="M901" s="2" t="b">
        <v>0</v>
      </c>
      <c r="N901" s="2" t="s">
        <v>33</v>
      </c>
      <c r="O901" s="2">
        <v>67.0</v>
      </c>
      <c r="P901" s="2">
        <v>3.0</v>
      </c>
      <c r="Q901" s="2">
        <v>8.0</v>
      </c>
      <c r="R901" s="2">
        <v>1.0</v>
      </c>
      <c r="S901" s="3" t="s">
        <v>3689</v>
      </c>
      <c r="T901" s="2" t="s">
        <v>3690</v>
      </c>
      <c r="Y901" s="4" t="str">
        <f>IFERROR(__xludf.DUMMYFUNCTION("""COMPUTED_VALUE"""),"6.7060944")</f>
        <v>6.7060944</v>
      </c>
      <c r="Z901" s="4" t="str">
        <f>IFERROR(__xludf.DUMMYFUNCTION("""COMPUTED_VALUE"""),"2.9001212")</f>
        <v>2.9001212</v>
      </c>
      <c r="AA901" s="4" t="str">
        <f t="shared" si="1"/>
        <v>Neighbor</v>
      </c>
      <c r="AC901" s="4">
        <f>IFERROR(__xludf.DUMMYFUNCTION("IFERROR(ABS(O901-AVERAGE(FILTER(O901:O4969,AA901:AA4969=""Neighbor""))) / STDEV(FILTER(O901:O4969, AA901:AA4969 =""Neighbor"")), """")"),0.06033494192735248)</f>
        <v>0.06033494193</v>
      </c>
      <c r="AD901" s="4">
        <f>IFERROR(__xludf.DUMMYFUNCTION("IFERROR(ABS(P901-AVERAGE(FILTER(O901:P4969,AA901:AA4969=""Neighbor""))) / STDEV(FILTER(P901:P4969, AA901:AA4969 =""Neighbor"")), """")"),1.4917796266532206)</f>
        <v>1.491779627</v>
      </c>
      <c r="AE901" s="2">
        <f>IFERROR(__xludf.DUMMYFUNCTION("IFERROR(ABS(Q901-AVERAGE(FILTER(Q901:Q4969,AA901:AA4969=""Neighbor""))) / STDEV(FILTER(Q901:Q4969, AA901:AA4969 =""Neighbor"")), """")"),0.6829610136265363)</f>
        <v>0.6829610136</v>
      </c>
      <c r="AF901" s="2">
        <f>IFERROR(__xludf.DUMMYFUNCTION("IFERROR(ABS(R901-AVERAGE(FILTER(R901:R4969,AA901:AA4969=""Neighbor""))) / STDEV(FILTER(R901:R4969, AA901:AA4969 =""Neighbor"")), """")"),0.0914445565100969)</f>
        <v>0.09144455651</v>
      </c>
    </row>
    <row r="902">
      <c r="A902" s="2" t="s">
        <v>28</v>
      </c>
      <c r="B902" s="2" t="s">
        <v>3320</v>
      </c>
      <c r="C902" s="2" t="s">
        <v>3618</v>
      </c>
      <c r="D902" s="2" t="s">
        <v>3691</v>
      </c>
      <c r="E902" s="2" t="s">
        <v>3692</v>
      </c>
      <c r="F902" s="2">
        <v>58.0</v>
      </c>
      <c r="G902" s="2">
        <v>192.0</v>
      </c>
      <c r="H902" s="2" t="b">
        <v>1</v>
      </c>
      <c r="I902" s="2">
        <v>-1.0</v>
      </c>
      <c r="J902" s="2" t="b">
        <v>0</v>
      </c>
      <c r="K902" s="2" t="b">
        <v>0</v>
      </c>
      <c r="L902" s="2" t="b">
        <v>0</v>
      </c>
      <c r="M902" s="2" t="b">
        <v>0</v>
      </c>
      <c r="N902" s="2" t="s">
        <v>33</v>
      </c>
      <c r="O902" s="2">
        <v>18.0</v>
      </c>
      <c r="P902" s="2">
        <v>0.0</v>
      </c>
      <c r="Q902" s="2">
        <v>30.0</v>
      </c>
      <c r="R902" s="2">
        <v>0.0</v>
      </c>
      <c r="S902" s="3" t="s">
        <v>3693</v>
      </c>
      <c r="T902" s="2" t="s">
        <v>3694</v>
      </c>
      <c r="Y902" s="4" t="str">
        <f>IFERROR(__xludf.DUMMYFUNCTION("""COMPUTED_VALUE"""),"6.7060944")</f>
        <v>6.7060944</v>
      </c>
      <c r="Z902" s="4" t="str">
        <f>IFERROR(__xludf.DUMMYFUNCTION("""COMPUTED_VALUE"""),"2.9001212")</f>
        <v>2.9001212</v>
      </c>
      <c r="AA902" s="4" t="str">
        <f t="shared" si="1"/>
        <v>Not Neighbor</v>
      </c>
      <c r="AC902" s="4">
        <f>IFERROR(__xludf.DUMMYFUNCTION("IFERROR(ABS(O902-AVERAGE(FILTER(O902:O4970,AA902:AA4970=""Neighbor""))) / STDEV(FILTER(O902:O4970, AA902:AA4970 =""Neighbor"")), """")"),1.0774733935869438)</f>
        <v>1.077473394</v>
      </c>
      <c r="AD902" s="4">
        <f>IFERROR(__xludf.DUMMYFUNCTION("IFERROR(ABS(P902-AVERAGE(FILTER(O902:P4970,AA902:AA4970=""Neighbor""))) / STDEV(FILTER(P902:P4970, AA902:AA4970 =""Neighbor"")), """")"),1.6113080482266158)</f>
        <v>1.611308048</v>
      </c>
      <c r="AE902" s="2">
        <f>IFERROR(__xludf.DUMMYFUNCTION("IFERROR(ABS(Q902-AVERAGE(FILTER(Q902:Q4970,AA902:AA4970=""Neighbor""))) / STDEV(FILTER(Q902:Q4970, AA902:AA4970 =""Neighbor"")), """")"),0.21369132225771206)</f>
        <v>0.2136913223</v>
      </c>
      <c r="AF902" s="2">
        <f>IFERROR(__xludf.DUMMYFUNCTION("IFERROR(ABS(R902-AVERAGE(FILTER(R902:R4970,AA902:AA4970=""Neighbor""))) / STDEV(FILTER(R902:R4970, AA902:AA4970 =""Neighbor"")), """")"),0.08683857457499117)</f>
        <v>0.08683857457</v>
      </c>
    </row>
    <row r="903">
      <c r="A903" s="2" t="s">
        <v>28</v>
      </c>
      <c r="B903" s="2" t="s">
        <v>3320</v>
      </c>
      <c r="C903" s="2" t="s">
        <v>3695</v>
      </c>
      <c r="D903" s="2" t="s">
        <v>3696</v>
      </c>
      <c r="E903" s="2" t="s">
        <v>3697</v>
      </c>
      <c r="F903" s="2">
        <v>179.0</v>
      </c>
      <c r="G903" s="2">
        <v>884.0</v>
      </c>
      <c r="H903" s="2" t="b">
        <v>1</v>
      </c>
      <c r="I903" s="2">
        <v>-1.0</v>
      </c>
      <c r="J903" s="2" t="b">
        <v>0</v>
      </c>
      <c r="K903" s="2" t="b">
        <v>1</v>
      </c>
      <c r="L903" s="2" t="b">
        <v>0</v>
      </c>
      <c r="M903" s="2" t="b">
        <v>0</v>
      </c>
      <c r="N903" s="2" t="s">
        <v>33</v>
      </c>
      <c r="O903" s="2">
        <v>115.0</v>
      </c>
      <c r="P903" s="2">
        <v>15.0</v>
      </c>
      <c r="Q903" s="2">
        <v>18.0</v>
      </c>
      <c r="R903" s="2">
        <v>1.0</v>
      </c>
      <c r="S903" s="3" t="s">
        <v>3698</v>
      </c>
      <c r="T903" s="2" t="s">
        <v>3699</v>
      </c>
      <c r="Y903" s="4" t="str">
        <f>IFERROR(__xludf.DUMMYFUNCTION("""COMPUTED_VALUE"""),"6.697832")</f>
        <v>6.697832</v>
      </c>
      <c r="Z903" s="4" t="str">
        <f>IFERROR(__xludf.DUMMYFUNCTION("""COMPUTED_VALUE"""),"2.9821164")</f>
        <v>2.9821164</v>
      </c>
      <c r="AA903" s="4" t="str">
        <f t="shared" si="1"/>
        <v>Neighbor</v>
      </c>
      <c r="AC903" s="4">
        <f>IFERROR(__xludf.DUMMYFUNCTION("IFERROR(ABS(O903-AVERAGE(FILTER(O903:O4971,AA903:AA4971=""Neighbor""))) / STDEV(FILTER(O903:O4971, AA903:AA4971 =""Neighbor"")), """")"),1.1749672206565247)</f>
        <v>1.174967221</v>
      </c>
      <c r="AD903" s="4">
        <f>IFERROR(__xludf.DUMMYFUNCTION("IFERROR(ABS(P903-AVERAGE(FILTER(O903:P4971,AA903:AA4971=""Neighbor""))) / STDEV(FILTER(P903:P4971, AA903:AA4971 =""Neighbor"")), """")"),1.0124715288435029)</f>
        <v>1.012471529</v>
      </c>
      <c r="AE903" s="2">
        <f>IFERROR(__xludf.DUMMYFUNCTION("IFERROR(ABS(Q903-AVERAGE(FILTER(Q903:Q4971,AA903:AA4971=""Neighbor""))) / STDEV(FILTER(Q903:Q4971, AA903:AA4971 =""Neighbor"")), """")"),0.2755948092842758)</f>
        <v>0.2755948093</v>
      </c>
      <c r="AF903" s="2">
        <f>IFERROR(__xludf.DUMMYFUNCTION("IFERROR(ABS(R903-AVERAGE(FILTER(R903:R4971,AA903:AA4971=""Neighbor""))) / STDEV(FILTER(R903:R4971, AA903:AA4971 =""Neighbor"")), """")"),0.09147880375075405)</f>
        <v>0.09147880375</v>
      </c>
    </row>
    <row r="904">
      <c r="A904" s="2" t="s">
        <v>28</v>
      </c>
      <c r="B904" s="2" t="s">
        <v>3320</v>
      </c>
      <c r="C904" s="2" t="s">
        <v>3695</v>
      </c>
      <c r="D904" s="2" t="s">
        <v>3700</v>
      </c>
      <c r="E904" s="2" t="s">
        <v>3701</v>
      </c>
      <c r="F904" s="2">
        <v>142.0</v>
      </c>
      <c r="G904" s="2">
        <v>750.0</v>
      </c>
      <c r="H904" s="2" t="b">
        <v>1</v>
      </c>
      <c r="I904" s="2">
        <v>-1.0</v>
      </c>
      <c r="J904" s="2" t="b">
        <v>0</v>
      </c>
      <c r="K904" s="2" t="b">
        <v>0</v>
      </c>
      <c r="L904" s="2" t="b">
        <v>0</v>
      </c>
      <c r="M904" s="2" t="b">
        <v>0</v>
      </c>
      <c r="N904" s="2" t="s">
        <v>33</v>
      </c>
      <c r="O904" s="2">
        <v>107.0</v>
      </c>
      <c r="P904" s="2">
        <v>9.0</v>
      </c>
      <c r="Q904" s="2">
        <v>10.0</v>
      </c>
      <c r="R904" s="2">
        <v>0.0</v>
      </c>
      <c r="S904" s="3" t="s">
        <v>3702</v>
      </c>
      <c r="T904" s="2" t="s">
        <v>3703</v>
      </c>
      <c r="Y904" s="4" t="str">
        <f>IFERROR(__xludf.DUMMYFUNCTION("""COMPUTED_VALUE"""),"6.697832")</f>
        <v>6.697832</v>
      </c>
      <c r="Z904" s="4" t="str">
        <f>IFERROR(__xludf.DUMMYFUNCTION("""COMPUTED_VALUE"""),"2.9821164")</f>
        <v>2.9821164</v>
      </c>
      <c r="AA904" s="4" t="str">
        <f t="shared" si="1"/>
        <v>Not Neighbor</v>
      </c>
      <c r="AC904" s="4">
        <f>IFERROR(__xludf.DUMMYFUNCTION("IFERROR(ABS(O904-AVERAGE(FILTER(O904:O4972,AA904:AA4972=""Neighbor""))) / STDEV(FILTER(O904:O4972, AA904:AA4972 =""Neighbor"")), """")"),0.9902138346466639)</f>
        <v>0.9902138346</v>
      </c>
      <c r="AD904" s="4">
        <f>IFERROR(__xludf.DUMMYFUNCTION("IFERROR(ABS(P904-AVERAGE(FILTER(O904:P4972,AA904:AA4972=""Neighbor""))) / STDEV(FILTER(P904:P4972, AA904:AA4972 =""Neighbor"")), """")"),1.2508099591058701)</f>
        <v>1.250809959</v>
      </c>
      <c r="AE904" s="2">
        <f>IFERROR(__xludf.DUMMYFUNCTION("IFERROR(ABS(Q904-AVERAGE(FILTER(Q904:Q4972,AA904:AA4972=""Neighbor""))) / STDEV(FILTER(Q904:Q4972, AA904:AA4972 =""Neighbor"")), """")"),0.6017836397640156)</f>
        <v>0.6017836398</v>
      </c>
      <c r="AF904" s="2">
        <f>IFERROR(__xludf.DUMMYFUNCTION("IFERROR(ABS(R904-AVERAGE(FILTER(R904:R4972,AA904:AA4972=""Neighbor""))) / STDEV(FILTER(R904:R4972, AA904:AA4972 =""Neighbor"")), """")"),0.08673849352487961)</f>
        <v>0.08673849352</v>
      </c>
    </row>
    <row r="905">
      <c r="A905" s="2" t="s">
        <v>28</v>
      </c>
      <c r="B905" s="2" t="s">
        <v>3320</v>
      </c>
      <c r="C905" s="2" t="s">
        <v>3695</v>
      </c>
      <c r="D905" s="2" t="s">
        <v>3704</v>
      </c>
      <c r="E905" s="2" t="s">
        <v>3705</v>
      </c>
      <c r="F905" s="2">
        <v>142.0</v>
      </c>
      <c r="G905" s="2">
        <v>844.0</v>
      </c>
      <c r="H905" s="2" t="b">
        <v>1</v>
      </c>
      <c r="I905" s="2">
        <v>-1.0</v>
      </c>
      <c r="J905" s="2" t="b">
        <v>0</v>
      </c>
      <c r="K905" s="2" t="b">
        <v>0</v>
      </c>
      <c r="L905" s="2" t="b">
        <v>0</v>
      </c>
      <c r="M905" s="2" t="b">
        <v>0</v>
      </c>
      <c r="N905" s="2" t="s">
        <v>33</v>
      </c>
      <c r="O905" s="2">
        <v>85.0</v>
      </c>
      <c r="P905" s="2">
        <v>25.0</v>
      </c>
      <c r="Q905" s="2">
        <v>13.0</v>
      </c>
      <c r="R905" s="2">
        <v>1.0</v>
      </c>
      <c r="S905" s="3" t="s">
        <v>3706</v>
      </c>
      <c r="T905" s="2" t="s">
        <v>3707</v>
      </c>
      <c r="Y905" s="4" t="str">
        <f>IFERROR(__xludf.DUMMYFUNCTION("""COMPUTED_VALUE"""),"6.7083651")</f>
        <v>6.7083651</v>
      </c>
      <c r="Z905" s="4" t="str">
        <f>IFERROR(__xludf.DUMMYFUNCTION("""COMPUTED_VALUE"""),"2.9675572")</f>
        <v>2.9675572</v>
      </c>
      <c r="AA905" s="4" t="str">
        <f t="shared" si="1"/>
        <v>Neighbor</v>
      </c>
      <c r="AC905" s="4">
        <f>IFERROR(__xludf.DUMMYFUNCTION("IFERROR(ABS(O905-AVERAGE(FILTER(O905:O4973,AA905:AA4973=""Neighbor""))) / STDEV(FILTER(O905:O4973, AA905:AA4973 =""Neighbor"")), """")"),0.4792784258997604)</f>
        <v>0.4792784259</v>
      </c>
      <c r="AD905" s="4">
        <f>IFERROR(__xludf.DUMMYFUNCTION("IFERROR(ABS(P905-AVERAGE(FILTER(O905:P4973,AA905:AA4973=""Neighbor""))) / STDEV(FILTER(P905:P4973, AA905:AA4973 =""Neighbor"")), """")"),0.6122880215015631)</f>
        <v>0.6122880215</v>
      </c>
      <c r="AE905" s="2">
        <f>IFERROR(__xludf.DUMMYFUNCTION("IFERROR(ABS(Q905-AVERAGE(FILTER(Q905:Q4973,AA905:AA4973=""Neighbor""))) / STDEV(FILTER(Q905:Q4973, AA905:AA4973 =""Neighbor"")), """")"),0.4795041641036562)</f>
        <v>0.4795041641</v>
      </c>
      <c r="AF905" s="2">
        <f>IFERROR(__xludf.DUMMYFUNCTION("IFERROR(ABS(R905-AVERAGE(FILTER(R905:R4973,AA905:AA4973=""Neighbor""))) / STDEV(FILTER(R905:R4973, AA905:AA4973 =""Neighbor"")), """")"),0.0915130894987262)</f>
        <v>0.0915130895</v>
      </c>
    </row>
    <row r="906">
      <c r="A906" s="2" t="s">
        <v>28</v>
      </c>
      <c r="B906" s="2" t="s">
        <v>3320</v>
      </c>
      <c r="C906" s="2" t="s">
        <v>3695</v>
      </c>
      <c r="D906" s="2" t="s">
        <v>3708</v>
      </c>
      <c r="E906" s="2" t="s">
        <v>3709</v>
      </c>
      <c r="F906" s="2">
        <v>184.0</v>
      </c>
      <c r="G906" s="2">
        <v>938.0</v>
      </c>
      <c r="H906" s="2" t="b">
        <v>1</v>
      </c>
      <c r="I906" s="2">
        <v>-1.0</v>
      </c>
      <c r="J906" s="2" t="b">
        <v>0</v>
      </c>
      <c r="K906" s="2" t="b">
        <v>0</v>
      </c>
      <c r="L906" s="2" t="b">
        <v>0</v>
      </c>
      <c r="M906" s="2" t="b">
        <v>0</v>
      </c>
      <c r="N906" s="2" t="s">
        <v>33</v>
      </c>
      <c r="O906" s="2">
        <v>107.0</v>
      </c>
      <c r="P906" s="2">
        <v>38.0</v>
      </c>
      <c r="Q906" s="2">
        <v>11.0</v>
      </c>
      <c r="R906" s="2">
        <v>3.0</v>
      </c>
      <c r="S906" s="3" t="s">
        <v>3710</v>
      </c>
      <c r="T906" s="2" t="s">
        <v>3711</v>
      </c>
      <c r="Y906" s="4" t="str">
        <f>IFERROR(__xludf.DUMMYFUNCTION("""COMPUTED_VALUE"""),"6.7083651")</f>
        <v>6.7083651</v>
      </c>
      <c r="Z906" s="4" t="str">
        <f>IFERROR(__xludf.DUMMYFUNCTION("""COMPUTED_VALUE"""),"2.9675572")</f>
        <v>2.9675572</v>
      </c>
      <c r="AA906" s="4" t="str">
        <f t="shared" si="1"/>
        <v>Neighbor</v>
      </c>
      <c r="AC906" s="4">
        <f>IFERROR(__xludf.DUMMYFUNCTION("IFERROR(ABS(O906-AVERAGE(FILTER(O906:O4974,AA906:AA4974=""Neighbor""))) / STDEV(FILTER(O906:O4974, AA906:AA4974 =""Neighbor"")), """")"),0.9902866035856217)</f>
        <v>0.9902866036</v>
      </c>
      <c r="AD906" s="4">
        <f>IFERROR(__xludf.DUMMYFUNCTION("IFERROR(ABS(P906-AVERAGE(FILTER(O906:P4974,AA906:AA4974=""Neighbor""))) / STDEV(FILTER(P906:P4974, AA906:AA4974 =""Neighbor"")), """")"),0.09302290587018226)</f>
        <v>0.09302290587</v>
      </c>
      <c r="AE906" s="2">
        <f>IFERROR(__xludf.DUMMYFUNCTION("IFERROR(ABS(Q906-AVERAGE(FILTER(Q906:Q4974,AA906:AA4974=""Neighbor""))) / STDEV(FILTER(Q906:Q4974, AA906:AA4974 =""Neighbor"")), """")"),0.5612198914636063)</f>
        <v>0.5612198915</v>
      </c>
      <c r="AF906" s="2">
        <f>IFERROR(__xludf.DUMMYFUNCTION("IFERROR(ABS(R906-AVERAGE(FILTER(R906:R4974,AA906:AA4974=""Neighbor""))) / STDEV(FILTER(R906:R4974, AA906:AA4974 =""Neighbor"")), """")"),0.44791894069181837)</f>
        <v>0.4479189407</v>
      </c>
    </row>
    <row r="907">
      <c r="A907" s="2" t="s">
        <v>28</v>
      </c>
      <c r="B907" s="2" t="s">
        <v>3320</v>
      </c>
      <c r="C907" s="2" t="s">
        <v>3695</v>
      </c>
      <c r="D907" s="2" t="s">
        <v>3712</v>
      </c>
      <c r="E907" s="2" t="s">
        <v>3713</v>
      </c>
      <c r="F907" s="2">
        <v>69.0</v>
      </c>
      <c r="G907" s="2">
        <v>393.0</v>
      </c>
      <c r="H907" s="2" t="b">
        <v>1</v>
      </c>
      <c r="I907" s="2">
        <v>-1.0</v>
      </c>
      <c r="J907" s="2" t="b">
        <v>0</v>
      </c>
      <c r="K907" s="2" t="b">
        <v>0</v>
      </c>
      <c r="L907" s="2" t="b">
        <v>0</v>
      </c>
      <c r="M907" s="2" t="b">
        <v>0</v>
      </c>
      <c r="N907" s="2" t="s">
        <v>33</v>
      </c>
      <c r="O907" s="2">
        <v>26.0</v>
      </c>
      <c r="P907" s="2">
        <v>19.0</v>
      </c>
      <c r="Q907" s="2">
        <v>4.0</v>
      </c>
      <c r="R907" s="2">
        <v>0.0</v>
      </c>
      <c r="S907" s="3" t="s">
        <v>3714</v>
      </c>
      <c r="T907" s="2" t="s">
        <v>3715</v>
      </c>
      <c r="Y907" s="4" t="str">
        <f>IFERROR(__xludf.DUMMYFUNCTION("""COMPUTED_VALUE"""),"6.7083651")</f>
        <v>6.7083651</v>
      </c>
      <c r="Z907" s="4" t="str">
        <f>IFERROR(__xludf.DUMMYFUNCTION("""COMPUTED_VALUE"""),"2.9675572")</f>
        <v>2.9675572</v>
      </c>
      <c r="AA907" s="4" t="str">
        <f t="shared" si="1"/>
        <v>Neighbor</v>
      </c>
      <c r="AC907" s="4">
        <f>IFERROR(__xludf.DUMMYFUNCTION("IFERROR(ABS(O907-AVERAGE(FILTER(O907:O4975,AA907:AA4975=""Neighbor""))) / STDEV(FILTER(O907:O4975, AA907:AA4975 =""Neighbor"")), """")"),0.8896010525634469)</f>
        <v>0.8896010526</v>
      </c>
      <c r="AD907" s="4">
        <f>IFERROR(__xludf.DUMMYFUNCTION("IFERROR(ABS(P907-AVERAGE(FILTER(O907:P4975,AA907:AA4975=""Neighbor""))) / STDEV(FILTER(P907:P4975, AA907:AA4975 =""Neighbor"")), """")"),0.8499833758201603)</f>
        <v>0.8499833758</v>
      </c>
      <c r="AE907" s="2">
        <f>IFERROR(__xludf.DUMMYFUNCTION("IFERROR(ABS(Q907-AVERAGE(FILTER(Q907:Q4975,AA907:AA4975=""Neighbor""))) / STDEV(FILTER(Q907:Q4975, AA907:AA4975 =""Neighbor"")), """")"),0.8466589056344223)</f>
        <v>0.8466589056</v>
      </c>
      <c r="AF907" s="2">
        <f>IFERROR(__xludf.DUMMYFUNCTION("IFERROR(ABS(R907-AVERAGE(FILTER(R907:R4975,AA907:AA4975=""Neighbor""))) / STDEV(FILTER(R907:R4975, AA907:AA4975 =""Neighbor"")), """")"),0.08627887317255384)</f>
        <v>0.08627887317</v>
      </c>
    </row>
    <row r="908">
      <c r="A908" s="2" t="s">
        <v>28</v>
      </c>
      <c r="B908" s="2" t="s">
        <v>3320</v>
      </c>
      <c r="C908" s="2" t="s">
        <v>3695</v>
      </c>
      <c r="D908" s="2" t="s">
        <v>3716</v>
      </c>
      <c r="E908" s="2" t="s">
        <v>3717</v>
      </c>
      <c r="F908" s="2">
        <v>196.0</v>
      </c>
      <c r="G908" s="2">
        <v>862.0</v>
      </c>
      <c r="H908" s="2" t="b">
        <v>1</v>
      </c>
      <c r="I908" s="2">
        <v>-1.0</v>
      </c>
      <c r="J908" s="2" t="b">
        <v>0</v>
      </c>
      <c r="K908" s="2" t="b">
        <v>0</v>
      </c>
      <c r="L908" s="2" t="b">
        <v>0</v>
      </c>
      <c r="M908" s="2" t="b">
        <v>0</v>
      </c>
      <c r="N908" s="2" t="s">
        <v>33</v>
      </c>
      <c r="O908" s="2">
        <v>152.0</v>
      </c>
      <c r="P908" s="2">
        <v>10.0</v>
      </c>
      <c r="Q908" s="2">
        <v>14.0</v>
      </c>
      <c r="R908" s="2">
        <v>2.0</v>
      </c>
      <c r="S908" s="3" t="s">
        <v>3718</v>
      </c>
      <c r="T908" s="2" t="s">
        <v>3719</v>
      </c>
      <c r="Y908" s="4" t="str">
        <f>IFERROR(__xludf.DUMMYFUNCTION("""COMPUTED_VALUE"""),"6.7083651")</f>
        <v>6.7083651</v>
      </c>
      <c r="Z908" s="4" t="str">
        <f>IFERROR(__xludf.DUMMYFUNCTION("""COMPUTED_VALUE"""),"2.9675572")</f>
        <v>2.9675572</v>
      </c>
      <c r="AA908" s="4" t="str">
        <f t="shared" si="1"/>
        <v>Not Neighbor</v>
      </c>
      <c r="AC908" s="4">
        <f>IFERROR(__xludf.DUMMYFUNCTION("IFERROR(ABS(O908-AVERAGE(FILTER(O908:O4976,AA908:AA4976=""Neighbor""))) / STDEV(FILTER(O908:O4976, AA908:AA4976 =""Neighbor"")), """")"),2.0349844816404774)</f>
        <v>2.034984482</v>
      </c>
      <c r="AD908" s="4">
        <f>IFERROR(__xludf.DUMMYFUNCTION("IFERROR(ABS(P908-AVERAGE(FILTER(O908:P4976,AA908:AA4976=""Neighbor""))) / STDEV(FILTER(P908:P4976, AA908:AA4976 =""Neighbor"")), """")"),1.2090845576560567)</f>
        <v>1.209084558</v>
      </c>
      <c r="AE908" s="2">
        <f>IFERROR(__xludf.DUMMYFUNCTION("IFERROR(ABS(Q908-AVERAGE(FILTER(Q908:Q4976,AA908:AA4976=""Neighbor""))) / STDEV(FILTER(Q908:Q4976, AA908:AA4976 =""Neighbor"")), """")"),0.4398665030867462)</f>
        <v>0.4398665031</v>
      </c>
      <c r="AF908" s="2">
        <f>IFERROR(__xludf.DUMMYFUNCTION("IFERROR(ABS(R908-AVERAGE(FILTER(R908:R4976,AA908:AA4976=""Neighbor""))) / STDEV(FILTER(R908:R4976, AA908:AA4976 =""Neighbor"")), """")"),0.26982225403885396)</f>
        <v>0.269822254</v>
      </c>
    </row>
    <row r="909">
      <c r="A909" s="2" t="s">
        <v>28</v>
      </c>
      <c r="B909" s="2" t="s">
        <v>3320</v>
      </c>
      <c r="C909" s="2" t="s">
        <v>3695</v>
      </c>
      <c r="D909" s="2" t="s">
        <v>3720</v>
      </c>
      <c r="E909" s="2" t="s">
        <v>3721</v>
      </c>
      <c r="F909" s="2">
        <v>75.0</v>
      </c>
      <c r="G909" s="2">
        <v>418.0</v>
      </c>
      <c r="H909" s="2" t="b">
        <v>1</v>
      </c>
      <c r="I909" s="2">
        <v>-1.0</v>
      </c>
      <c r="J909" s="2" t="b">
        <v>0</v>
      </c>
      <c r="K909" s="2" t="b">
        <v>0</v>
      </c>
      <c r="L909" s="2" t="b">
        <v>0</v>
      </c>
      <c r="M909" s="2" t="b">
        <v>0</v>
      </c>
      <c r="N909" s="2" t="s">
        <v>33</v>
      </c>
      <c r="O909" s="2">
        <v>51.0</v>
      </c>
      <c r="P909" s="2">
        <v>4.0</v>
      </c>
      <c r="Q909" s="2">
        <v>4.0</v>
      </c>
      <c r="R909" s="2">
        <v>0.0</v>
      </c>
      <c r="S909" s="3" t="s">
        <v>3722</v>
      </c>
      <c r="T909" s="2" t="s">
        <v>3723</v>
      </c>
      <c r="Y909" s="4" t="str">
        <f>IFERROR(__xludf.DUMMYFUNCTION("""COMPUTED_VALUE"""),"6.6895314")</f>
        <v>6.6895314</v>
      </c>
      <c r="Z909" s="4" t="str">
        <f>IFERROR(__xludf.DUMMYFUNCTION("""COMPUTED_VALUE"""),"2.990057")</f>
        <v>2.990057</v>
      </c>
      <c r="AA909" s="4" t="str">
        <f t="shared" si="1"/>
        <v>Not Neighbor</v>
      </c>
      <c r="AC909" s="4">
        <f>IFERROR(__xludf.DUMMYFUNCTION("IFERROR(ABS(O909-AVERAGE(FILTER(O909:O4977,AA909:AA4977=""Neighbor""))) / STDEV(FILTER(O909:O4977, AA909:AA4977 =""Neighbor"")), """")"),0.3098025224078773)</f>
        <v>0.3098025224</v>
      </c>
      <c r="AD909" s="4">
        <f>IFERROR(__xludf.DUMMYFUNCTION("IFERROR(ABS(P909-AVERAGE(FILTER(O909:P4977,AA909:AA4977=""Neighbor""))) / STDEV(FILTER(P909:P4977, AA909:AA4977 =""Neighbor"")), """")"),1.4483411912660868)</f>
        <v>1.448341191</v>
      </c>
      <c r="AE909" s="2">
        <f>IFERROR(__xludf.DUMMYFUNCTION("IFERROR(ABS(Q909-AVERAGE(FILTER(Q909:Q4977,AA909:AA4977=""Neighbor""))) / STDEV(FILTER(Q909:Q4977, AA909:AA4977 =""Neighbor"")), """")"),0.8472009279464429)</f>
        <v>0.8472009279</v>
      </c>
      <c r="AF909" s="2">
        <f>IFERROR(__xludf.DUMMYFUNCTION("IFERROR(ABS(R909-AVERAGE(FILTER(R909:R4977,AA909:AA4977=""Neighbor""))) / STDEV(FILTER(R909:R4977, AA909:AA4977 =""Neighbor"")), """")"),0.08631125252227119)</f>
        <v>0.08631125252</v>
      </c>
    </row>
    <row r="910">
      <c r="A910" s="2" t="s">
        <v>28</v>
      </c>
      <c r="B910" s="2" t="s">
        <v>3320</v>
      </c>
      <c r="C910" s="2" t="s">
        <v>3695</v>
      </c>
      <c r="D910" s="2" t="s">
        <v>3724</v>
      </c>
      <c r="E910" s="2" t="s">
        <v>3725</v>
      </c>
      <c r="F910" s="2">
        <v>168.0</v>
      </c>
      <c r="G910" s="2">
        <v>932.0</v>
      </c>
      <c r="H910" s="2" t="b">
        <v>1</v>
      </c>
      <c r="I910" s="2">
        <v>-1.0</v>
      </c>
      <c r="J910" s="2" t="b">
        <v>1</v>
      </c>
      <c r="K910" s="2" t="b">
        <v>0</v>
      </c>
      <c r="L910" s="2" t="b">
        <v>0</v>
      </c>
      <c r="M910" s="2" t="b">
        <v>0</v>
      </c>
      <c r="N910" s="2" t="s">
        <v>33</v>
      </c>
      <c r="O910" s="2">
        <v>120.0</v>
      </c>
      <c r="P910" s="2">
        <v>14.0</v>
      </c>
      <c r="Q910" s="2">
        <v>9.0</v>
      </c>
      <c r="R910" s="2">
        <v>0.0</v>
      </c>
      <c r="S910" s="3" t="s">
        <v>3726</v>
      </c>
      <c r="T910" s="2" t="s">
        <v>3727</v>
      </c>
      <c r="Y910" s="4" t="str">
        <f>IFERROR(__xludf.DUMMYFUNCTION("""COMPUTED_VALUE"""),"6.7112665")</f>
        <v>6.7112665</v>
      </c>
      <c r="Z910" s="4" t="str">
        <f>IFERROR(__xludf.DUMMYFUNCTION("""COMPUTED_VALUE"""),"2.9899911")</f>
        <v>2.9899911</v>
      </c>
      <c r="AA910" s="4" t="str">
        <f t="shared" si="1"/>
        <v>Not Neighbor</v>
      </c>
      <c r="AC910" s="4">
        <f>IFERROR(__xludf.DUMMYFUNCTION("IFERROR(ABS(O910-AVERAGE(FILTER(O910:O4978,AA910:AA4978=""Neighbor""))) / STDEV(FILTER(O910:O4978, AA910:AA4978 =""Neighbor"")), """")"),1.2920816684766423)</f>
        <v>1.292081668</v>
      </c>
      <c r="AD910" s="4">
        <f>IFERROR(__xludf.DUMMYFUNCTION("IFERROR(ABS(P910-AVERAGE(FILTER(O910:P4978,AA910:AA4978=""Neighbor""))) / STDEV(FILTER(P910:P4978, AA910:AA4978 =""Neighbor"")), """")"),1.0495801352493699)</f>
        <v>1.049580135</v>
      </c>
      <c r="AE910" s="2">
        <f>IFERROR(__xludf.DUMMYFUNCTION("IFERROR(ABS(Q910-AVERAGE(FILTER(Q910:Q4978,AA910:AA4978=""Neighbor""))) / STDEV(FILTER(Q910:Q4978, AA910:AA4978 =""Neighbor"")), """")"),0.6435337155165946)</f>
        <v>0.6435337155</v>
      </c>
      <c r="AF910" s="2">
        <f>IFERROR(__xludf.DUMMYFUNCTION("IFERROR(ABS(R910-AVERAGE(FILTER(R910:R4978,AA910:AA4978=""Neighbor""))) / STDEV(FILTER(R910:R4978, AA910:AA4978 =""Neighbor"")), """")"),0.08631125252227119)</f>
        <v>0.08631125252</v>
      </c>
    </row>
    <row r="911">
      <c r="A911" s="2" t="s">
        <v>28</v>
      </c>
      <c r="B911" s="2" t="s">
        <v>3320</v>
      </c>
      <c r="C911" s="2" t="s">
        <v>3695</v>
      </c>
      <c r="D911" s="2" t="s">
        <v>3728</v>
      </c>
      <c r="E911" s="2" t="s">
        <v>3729</v>
      </c>
      <c r="F911" s="2">
        <v>112.0</v>
      </c>
      <c r="G911" s="2">
        <v>899.0</v>
      </c>
      <c r="H911" s="2" t="b">
        <v>1</v>
      </c>
      <c r="I911" s="2">
        <v>-1.0</v>
      </c>
      <c r="J911" s="2" t="b">
        <v>0</v>
      </c>
      <c r="K911" s="2" t="b">
        <v>1</v>
      </c>
      <c r="L911" s="2" t="b">
        <v>0</v>
      </c>
      <c r="M911" s="2" t="b">
        <v>0</v>
      </c>
      <c r="N911" s="2" t="s">
        <v>33</v>
      </c>
      <c r="O911" s="2">
        <v>51.0</v>
      </c>
      <c r="P911" s="2">
        <v>13.0</v>
      </c>
      <c r="Q911" s="2">
        <v>8.0</v>
      </c>
      <c r="R911" s="2">
        <v>0.0</v>
      </c>
      <c r="S911" s="3" t="s">
        <v>3730</v>
      </c>
      <c r="T911" s="2" t="s">
        <v>3731</v>
      </c>
      <c r="Y911" s="4" t="str">
        <f>IFERROR(__xludf.DUMMYFUNCTION("""COMPUTED_VALUE"""),"6.7083651")</f>
        <v>6.7083651</v>
      </c>
      <c r="Z911" s="4" t="str">
        <f>IFERROR(__xludf.DUMMYFUNCTION("""COMPUTED_VALUE"""),"2.9675572")</f>
        <v>2.9675572</v>
      </c>
      <c r="AA911" s="4" t="str">
        <f t="shared" si="1"/>
        <v>Not Neighbor</v>
      </c>
      <c r="AC911" s="4">
        <f>IFERROR(__xludf.DUMMYFUNCTION("IFERROR(ABS(O911-AVERAGE(FILTER(O911:O4979,AA911:AA4979=""Neighbor""))) / STDEV(FILTER(O911:O4979, AA911:AA4979 =""Neighbor"")), """")"),0.3098025224078773)</f>
        <v>0.3098025224</v>
      </c>
      <c r="AD911" s="4">
        <f>IFERROR(__xludf.DUMMYFUNCTION("IFERROR(ABS(P911-AVERAGE(FILTER(O911:P4979,AA911:AA4979=""Neighbor""))) / STDEV(FILTER(P911:P4979, AA911:AA4979 =""Neighbor"")), """")"),1.0894562408510415)</f>
        <v>1.089456241</v>
      </c>
      <c r="AE911" s="2">
        <f>IFERROR(__xludf.DUMMYFUNCTION("IFERROR(ABS(Q911-AVERAGE(FILTER(Q911:Q4979,AA911:AA4979=""Neighbor""))) / STDEV(FILTER(Q911:Q4979, AA911:AA4979 =""Neighbor"")), """")"),0.6842671580025642)</f>
        <v>0.684267158</v>
      </c>
      <c r="AF911" s="2">
        <f>IFERROR(__xludf.DUMMYFUNCTION("IFERROR(ABS(R911-AVERAGE(FILTER(R911:R4979,AA911:AA4979=""Neighbor""))) / STDEV(FILTER(R911:R4979, AA911:AA4979 =""Neighbor"")), """")"),0.08631125252227119)</f>
        <v>0.08631125252</v>
      </c>
    </row>
    <row r="912">
      <c r="A912" s="2" t="s">
        <v>28</v>
      </c>
      <c r="B912" s="2" t="s">
        <v>3320</v>
      </c>
      <c r="C912" s="2" t="s">
        <v>3695</v>
      </c>
      <c r="D912" s="2" t="s">
        <v>3732</v>
      </c>
      <c r="E912" s="2" t="s">
        <v>3733</v>
      </c>
      <c r="F912" s="2">
        <v>125.0</v>
      </c>
      <c r="G912" s="2">
        <v>979.0</v>
      </c>
      <c r="H912" s="2" t="b">
        <v>1</v>
      </c>
      <c r="I912" s="2">
        <v>-1.0</v>
      </c>
      <c r="J912" s="2" t="b">
        <v>0</v>
      </c>
      <c r="K912" s="2" t="b">
        <v>0</v>
      </c>
      <c r="L912" s="2" t="b">
        <v>0</v>
      </c>
      <c r="M912" s="2" t="b">
        <v>0</v>
      </c>
      <c r="N912" s="2" t="s">
        <v>33</v>
      </c>
      <c r="O912" s="2">
        <v>58.0</v>
      </c>
      <c r="P912" s="2">
        <v>36.0</v>
      </c>
      <c r="Q912" s="2">
        <v>21.0</v>
      </c>
      <c r="R912" s="2">
        <v>0.0</v>
      </c>
      <c r="S912" s="3" t="s">
        <v>3734</v>
      </c>
      <c r="T912" s="2" t="s">
        <v>3735</v>
      </c>
      <c r="Y912" s="4" t="str">
        <f>IFERROR(__xludf.DUMMYFUNCTION("""COMPUTED_VALUE"""),"6.6895314")</f>
        <v>6.6895314</v>
      </c>
      <c r="Z912" s="4" t="str">
        <f>IFERROR(__xludf.DUMMYFUNCTION("""COMPUTED_VALUE"""),"2.990057")</f>
        <v>2.990057</v>
      </c>
      <c r="AA912" s="4" t="str">
        <f t="shared" si="1"/>
        <v>Not Neighbor</v>
      </c>
      <c r="AC912" s="4">
        <f>IFERROR(__xludf.DUMMYFUNCTION("IFERROR(ABS(O912-AVERAGE(FILTER(O912:O4980,AA912:AA4980=""Neighbor""))) / STDEV(FILTER(O912:O4980, AA912:AA4980 =""Neighbor"")), """")"),0.14729253202828835)</f>
        <v>0.147292532</v>
      </c>
      <c r="AD912" s="4">
        <f>IFERROR(__xludf.DUMMYFUNCTION("IFERROR(ABS(P912-AVERAGE(FILTER(O912:P4980,AA912:AA4980=""Neighbor""))) / STDEV(FILTER(P912:P4980, AA912:AA4980 =""Neighbor"")), """")"),0.17230581201259249)</f>
        <v>0.172305812</v>
      </c>
      <c r="AE912" s="2">
        <f>IFERROR(__xludf.DUMMYFUNCTION("IFERROR(ABS(Q912-AVERAGE(FILTER(Q912:Q4980,AA912:AA4980=""Neighbor""))) / STDEV(FILTER(Q912:Q4980, AA912:AA4980 =""Neighbor"")), """")"),0.15473240568495855)</f>
        <v>0.1547324057</v>
      </c>
      <c r="AF912" s="2">
        <f>IFERROR(__xludf.DUMMYFUNCTION("IFERROR(ABS(R912-AVERAGE(FILTER(R912:R4980,AA912:AA4980=""Neighbor""))) / STDEV(FILTER(R912:R4980, AA912:AA4980 =""Neighbor"")), """")"),0.08631125252227119)</f>
        <v>0.08631125252</v>
      </c>
    </row>
    <row r="913">
      <c r="A913" s="2" t="s">
        <v>28</v>
      </c>
      <c r="B913" s="2" t="s">
        <v>3320</v>
      </c>
      <c r="C913" s="2" t="s">
        <v>3695</v>
      </c>
      <c r="D913" s="2" t="s">
        <v>3736</v>
      </c>
      <c r="E913" s="2" t="s">
        <v>3737</v>
      </c>
      <c r="F913" s="2">
        <v>117.0</v>
      </c>
      <c r="G913" s="2">
        <v>559.0</v>
      </c>
      <c r="H913" s="2" t="b">
        <v>1</v>
      </c>
      <c r="I913" s="2">
        <v>-1.0</v>
      </c>
      <c r="J913" s="2" t="b">
        <v>0</v>
      </c>
      <c r="K913" s="2" t="b">
        <v>0</v>
      </c>
      <c r="L913" s="2" t="b">
        <v>0</v>
      </c>
      <c r="M913" s="2" t="b">
        <v>0</v>
      </c>
      <c r="N913" s="2" t="s">
        <v>33</v>
      </c>
      <c r="O913" s="2">
        <v>70.0</v>
      </c>
      <c r="P913" s="2">
        <v>9.0</v>
      </c>
      <c r="Q913" s="2">
        <v>17.0</v>
      </c>
      <c r="R913" s="2">
        <v>0.0</v>
      </c>
      <c r="S913" s="3" t="s">
        <v>3738</v>
      </c>
      <c r="T913" s="2" t="s">
        <v>3739</v>
      </c>
      <c r="Y913" s="4" t="str">
        <f>IFERROR(__xludf.DUMMYFUNCTION("""COMPUTED_VALUE"""),"6.7083651")</f>
        <v>6.7083651</v>
      </c>
      <c r="Z913" s="4" t="str">
        <f>IFERROR(__xludf.DUMMYFUNCTION("""COMPUTED_VALUE"""),"2.9675572")</f>
        <v>2.9675572</v>
      </c>
      <c r="AA913" s="4" t="str">
        <f t="shared" si="1"/>
        <v>Not Neighbor</v>
      </c>
      <c r="AC913" s="4">
        <f>IFERROR(__xludf.DUMMYFUNCTION("IFERROR(ABS(O913-AVERAGE(FILTER(O913:O4981,AA913:AA4981=""Neighbor""))) / STDEV(FILTER(O913:O4981, AA913:AA4981 =""Neighbor"")), """")"),0.13129602290814985)</f>
        <v>0.1312960229</v>
      </c>
      <c r="AD913" s="4">
        <f>IFERROR(__xludf.DUMMYFUNCTION("IFERROR(ABS(P913-AVERAGE(FILTER(O913:P4981,AA913:AA4981=""Neighbor""))) / STDEV(FILTER(P913:P4981, AA913:AA4981 =""Neighbor"")), """")"),1.2489606632577284)</f>
        <v>1.248960663</v>
      </c>
      <c r="AE913" s="2">
        <f>IFERROR(__xludf.DUMMYFUNCTION("IFERROR(ABS(Q913-AVERAGE(FILTER(Q913:Q4981,AA913:AA4981=""Neighbor""))) / STDEV(FILTER(Q913:Q4981, AA913:AA4981 =""Neighbor"")), """")"),0.3176661756288372)</f>
        <v>0.3176661756</v>
      </c>
      <c r="AF913" s="2">
        <f>IFERROR(__xludf.DUMMYFUNCTION("IFERROR(ABS(R913-AVERAGE(FILTER(R913:R4981,AA913:AA4981=""Neighbor""))) / STDEV(FILTER(R913:R4981, AA913:AA4981 =""Neighbor"")), """")"),0.08631125252227119)</f>
        <v>0.08631125252</v>
      </c>
    </row>
    <row r="914">
      <c r="A914" s="2" t="s">
        <v>28</v>
      </c>
      <c r="B914" s="2" t="s">
        <v>3320</v>
      </c>
      <c r="C914" s="2" t="s">
        <v>3695</v>
      </c>
      <c r="D914" s="2" t="s">
        <v>3740</v>
      </c>
      <c r="E914" s="2" t="s">
        <v>3741</v>
      </c>
      <c r="F914" s="2">
        <v>201.0</v>
      </c>
      <c r="G914" s="2">
        <v>935.0</v>
      </c>
      <c r="H914" s="2" t="b">
        <v>1</v>
      </c>
      <c r="I914" s="2">
        <v>-1.0</v>
      </c>
      <c r="J914" s="2" t="b">
        <v>0</v>
      </c>
      <c r="K914" s="2" t="b">
        <v>0</v>
      </c>
      <c r="L914" s="2" t="b">
        <v>0</v>
      </c>
      <c r="M914" s="2" t="b">
        <v>0</v>
      </c>
      <c r="N914" s="2" t="s">
        <v>33</v>
      </c>
      <c r="O914" s="2">
        <v>137.0</v>
      </c>
      <c r="P914" s="2">
        <v>24.0</v>
      </c>
      <c r="Q914" s="2">
        <v>20.0</v>
      </c>
      <c r="R914" s="2">
        <v>1.0</v>
      </c>
      <c r="S914" s="3" t="s">
        <v>3742</v>
      </c>
      <c r="T914" s="2" t="s">
        <v>3743</v>
      </c>
      <c r="Y914" s="4" t="str">
        <f>IFERROR(__xludf.DUMMYFUNCTION("""COMPUTED_VALUE"""),"6.6814971")</f>
        <v>6.6814971</v>
      </c>
      <c r="Z914" s="4" t="str">
        <f>IFERROR(__xludf.DUMMYFUNCTION("""COMPUTED_VALUE"""),"3.053161")</f>
        <v>3.053161</v>
      </c>
      <c r="AA914" s="4" t="str">
        <f t="shared" si="1"/>
        <v>Not Neighbor</v>
      </c>
      <c r="AC914" s="4">
        <f>IFERROR(__xludf.DUMMYFUNCTION("IFERROR(ABS(O914-AVERAGE(FILTER(O914:O4982,AA914:AA4982=""Neighbor""))) / STDEV(FILTER(O914:O4982, AA914:AA4982 =""Neighbor"")), """")"),1.6867487879699297)</f>
        <v>1.686748788</v>
      </c>
      <c r="AD914" s="4">
        <f>IFERROR(__xludf.DUMMYFUNCTION("IFERROR(ABS(P914-AVERAGE(FILTER(O914:P4982,AA914:AA4982=""Neighbor""))) / STDEV(FILTER(P914:P4982, AA914:AA4982 =""Neighbor"")), """")"),0.6508190792326529)</f>
        <v>0.6508190792</v>
      </c>
      <c r="AE914" s="2">
        <f>IFERROR(__xludf.DUMMYFUNCTION("IFERROR(ABS(Q914-AVERAGE(FILTER(Q914:Q4982,AA914:AA4982=""Neighbor""))) / STDEV(FILTER(Q914:Q4982, AA914:AA4982 =""Neighbor"")), """")"),0.1954658481709282)</f>
        <v>0.1954658482</v>
      </c>
      <c r="AF914" s="2">
        <f>IFERROR(__xludf.DUMMYFUNCTION("IFERROR(ABS(R914-AVERAGE(FILTER(R914:R4982,AA914:AA4982=""Neighbor""))) / STDEV(FILTER(R914:R4982, AA914:AA4982 =""Neighbor"")), """")"),0.09175550075829139)</f>
        <v>0.09175550076</v>
      </c>
    </row>
    <row r="915">
      <c r="A915" s="2" t="s">
        <v>28</v>
      </c>
      <c r="B915" s="2" t="s">
        <v>3320</v>
      </c>
      <c r="C915" s="2" t="s">
        <v>3695</v>
      </c>
      <c r="D915" s="2" t="s">
        <v>3744</v>
      </c>
      <c r="E915" s="2" t="s">
        <v>3745</v>
      </c>
      <c r="F915" s="2">
        <v>66.0</v>
      </c>
      <c r="G915" s="2">
        <v>750.0</v>
      </c>
      <c r="H915" s="2" t="b">
        <v>1</v>
      </c>
      <c r="I915" s="2">
        <v>-1.0</v>
      </c>
      <c r="J915" s="2" t="b">
        <v>0</v>
      </c>
      <c r="K915" s="2" t="b">
        <v>0</v>
      </c>
      <c r="L915" s="2" t="b">
        <v>0</v>
      </c>
      <c r="M915" s="2" t="b">
        <v>0</v>
      </c>
      <c r="N915" s="2" t="s">
        <v>33</v>
      </c>
      <c r="O915" s="2">
        <v>26.0</v>
      </c>
      <c r="P915" s="2">
        <v>23.0</v>
      </c>
      <c r="Q915" s="2">
        <v>0.0</v>
      </c>
      <c r="R915" s="2">
        <v>1.0</v>
      </c>
      <c r="S915" s="3" t="s">
        <v>3746</v>
      </c>
      <c r="T915" s="2" t="s">
        <v>3747</v>
      </c>
      <c r="Y915" s="4" t="str">
        <f>IFERROR(__xludf.DUMMYFUNCTION("""COMPUTED_VALUE"""),"6.7083651")</f>
        <v>6.7083651</v>
      </c>
      <c r="Z915" s="4" t="str">
        <f>IFERROR(__xludf.DUMMYFUNCTION("""COMPUTED_VALUE"""),"2.9675572")</f>
        <v>2.9675572</v>
      </c>
      <c r="AA915" s="4" t="str">
        <f t="shared" si="1"/>
        <v>Not Neighbor</v>
      </c>
      <c r="AC915" s="4">
        <f>IFERROR(__xludf.DUMMYFUNCTION("IFERROR(ABS(O915-AVERAGE(FILTER(O915:O4983,AA915:AA4983=""Neighbor""))) / STDEV(FILTER(O915:O4983, AA915:AA4983 =""Neighbor"")), """")"),0.8901953451921235)</f>
        <v>0.8901953452</v>
      </c>
      <c r="AD915" s="4">
        <f>IFERROR(__xludf.DUMMYFUNCTION("IFERROR(ABS(P915-AVERAGE(FILTER(O915:P4983,AA915:AA4983=""Neighbor""))) / STDEV(FILTER(P915:P4983, AA915:AA4983 =""Neighbor"")), """")"),0.6906951848343246)</f>
        <v>0.6906951848</v>
      </c>
      <c r="AE915" s="2">
        <f>IFERROR(__xludf.DUMMYFUNCTION("IFERROR(ABS(Q915-AVERAGE(FILTER(Q915:Q4983,AA915:AA4983=""Neighbor""))) / STDEV(FILTER(Q915:Q4983, AA915:AA4983 =""Neighbor"")), """")"),1.0101346978903214)</f>
        <v>1.010134698</v>
      </c>
      <c r="AF915" s="2">
        <f>IFERROR(__xludf.DUMMYFUNCTION("IFERROR(ABS(R915-AVERAGE(FILTER(R915:R4983,AA915:AA4983=""Neighbor""))) / STDEV(FILTER(R915:R4983, AA915:AA4983 =""Neighbor"")), """")"),0.09175550075829139)</f>
        <v>0.09175550076</v>
      </c>
    </row>
    <row r="916">
      <c r="A916" s="2" t="s">
        <v>28</v>
      </c>
      <c r="B916" s="2" t="s">
        <v>3320</v>
      </c>
      <c r="C916" s="2" t="s">
        <v>3695</v>
      </c>
      <c r="D916" s="2" t="s">
        <v>3748</v>
      </c>
      <c r="E916" s="2" t="s">
        <v>3749</v>
      </c>
      <c r="F916" s="2">
        <v>165.0</v>
      </c>
      <c r="G916" s="2">
        <v>789.0</v>
      </c>
      <c r="H916" s="2" t="b">
        <v>1</v>
      </c>
      <c r="I916" s="2">
        <v>-1.0</v>
      </c>
      <c r="J916" s="2" t="b">
        <v>0</v>
      </c>
      <c r="K916" s="2" t="b">
        <v>0</v>
      </c>
      <c r="L916" s="2" t="b">
        <v>0</v>
      </c>
      <c r="M916" s="2" t="b">
        <v>0</v>
      </c>
      <c r="N916" s="2" t="s">
        <v>33</v>
      </c>
      <c r="O916" s="2">
        <v>108.0</v>
      </c>
      <c r="P916" s="2">
        <v>8.0</v>
      </c>
      <c r="Q916" s="2">
        <v>25.0</v>
      </c>
      <c r="R916" s="2">
        <v>0.0</v>
      </c>
      <c r="S916" s="3" t="s">
        <v>3750</v>
      </c>
      <c r="T916" s="2" t="s">
        <v>3751</v>
      </c>
      <c r="Y916" s="4" t="str">
        <f>IFERROR(__xludf.DUMMYFUNCTION("""COMPUTED_VALUE"""),"6.7005282")</f>
        <v>6.7005282</v>
      </c>
      <c r="Z916" s="4" t="str">
        <f>IFERROR(__xludf.DUMMYFUNCTION("""COMPUTED_VALUE"""),"2.9837051")</f>
        <v>2.9837051</v>
      </c>
      <c r="AA916" s="4" t="str">
        <f t="shared" si="1"/>
        <v>Not Neighbor</v>
      </c>
      <c r="AC916" s="4">
        <f>IFERROR(__xludf.DUMMYFUNCTION("IFERROR(ABS(O916-AVERAGE(FILTER(O916:O4984,AA916:AA4984=""Neighbor""))) / STDEV(FILTER(O916:O4984, AA916:AA4984 =""Neighbor"")), """")"),1.013493113540204)</f>
        <v>1.013493114</v>
      </c>
      <c r="AD916" s="4">
        <f>IFERROR(__xludf.DUMMYFUNCTION("IFERROR(ABS(P916-AVERAGE(FILTER(O916:P4984,AA916:AA4984=""Neighbor""))) / STDEV(FILTER(P916:P4984, AA916:AA4984 =""Neighbor"")), """")"),1.2888367688594)</f>
        <v>1.288836769</v>
      </c>
      <c r="AE916" s="2">
        <f>IFERROR(__xludf.DUMMYFUNCTION("IFERROR(ABS(Q916-AVERAGE(FILTER(Q916:Q4984,AA916:AA4984=""Neighbor""))) / STDEV(FILTER(Q916:Q4984, AA916:AA4984 =""Neighbor"")), """")"),0.008201364258920119)</f>
        <v>0.008201364259</v>
      </c>
      <c r="AF916" s="2">
        <f>IFERROR(__xludf.DUMMYFUNCTION("IFERROR(ABS(R916-AVERAGE(FILTER(R916:R4984,AA916:AA4984=""Neighbor""))) / STDEV(FILTER(R916:R4984, AA916:AA4984 =""Neighbor"")), """")"),0.08631125252227119)</f>
        <v>0.08631125252</v>
      </c>
    </row>
    <row r="917">
      <c r="A917" s="2" t="s">
        <v>28</v>
      </c>
      <c r="B917" s="2" t="s">
        <v>3320</v>
      </c>
      <c r="C917" s="2" t="s">
        <v>3695</v>
      </c>
      <c r="D917" s="2" t="s">
        <v>3752</v>
      </c>
      <c r="E917" s="2" t="s">
        <v>3753</v>
      </c>
      <c r="F917" s="2">
        <v>145.0</v>
      </c>
      <c r="G917" s="2">
        <v>609.0</v>
      </c>
      <c r="H917" s="2" t="b">
        <v>1</v>
      </c>
      <c r="I917" s="2">
        <v>-1.0</v>
      </c>
      <c r="J917" s="2" t="b">
        <v>0</v>
      </c>
      <c r="K917" s="2" t="b">
        <v>1</v>
      </c>
      <c r="L917" s="2" t="b">
        <v>0</v>
      </c>
      <c r="M917" s="2" t="b">
        <v>0</v>
      </c>
      <c r="N917" s="2" t="s">
        <v>33</v>
      </c>
      <c r="O917" s="2">
        <v>92.0</v>
      </c>
      <c r="P917" s="2">
        <v>2.0</v>
      </c>
      <c r="Q917" s="2">
        <v>25.0</v>
      </c>
      <c r="R917" s="2">
        <v>0.0</v>
      </c>
      <c r="S917" s="3" t="s">
        <v>3754</v>
      </c>
      <c r="T917" s="2" t="s">
        <v>3755</v>
      </c>
      <c r="Y917" s="4" t="str">
        <f>IFERROR(__xludf.DUMMYFUNCTION("""COMPUTED_VALUE"""),"6.7083651")</f>
        <v>6.7083651</v>
      </c>
      <c r="Z917" s="4" t="str">
        <f>IFERROR(__xludf.DUMMYFUNCTION("""COMPUTED_VALUE"""),"2.9675572")</f>
        <v>2.9675572</v>
      </c>
      <c r="AA917" s="4" t="str">
        <f t="shared" si="1"/>
        <v>Not Neighbor</v>
      </c>
      <c r="AC917" s="4">
        <f>IFERROR(__xludf.DUMMYFUNCTION("IFERROR(ABS(O917-AVERAGE(FILTER(O917:O4985,AA917:AA4985=""Neighbor""))) / STDEV(FILTER(O917:O4985, AA917:AA4985 =""Neighbor"")), """")"),0.6420417069582866)</f>
        <v>0.642041707</v>
      </c>
      <c r="AD917" s="4">
        <f>IFERROR(__xludf.DUMMYFUNCTION("IFERROR(ABS(P917-AVERAGE(FILTER(O917:P4985,AA917:AA4985=""Neighbor""))) / STDEV(FILTER(P917:P4985, AA917:AA4985 =""Neighbor"")), """")"),1.5280934024694302)</f>
        <v>1.528093402</v>
      </c>
      <c r="AE917" s="2">
        <f>IFERROR(__xludf.DUMMYFUNCTION("IFERROR(ABS(Q917-AVERAGE(FILTER(Q917:Q4985,AA917:AA4985=""Neighbor""))) / STDEV(FILTER(Q917:Q4985, AA917:AA4985 =""Neighbor"")), """")"),0.008201364258920119)</f>
        <v>0.008201364259</v>
      </c>
      <c r="AF917" s="2">
        <f>IFERROR(__xludf.DUMMYFUNCTION("IFERROR(ABS(R917-AVERAGE(FILTER(R917:R4985,AA917:AA4985=""Neighbor""))) / STDEV(FILTER(R917:R4985, AA917:AA4985 =""Neighbor"")), """")"),0.08631125252227119)</f>
        <v>0.08631125252</v>
      </c>
    </row>
    <row r="918">
      <c r="A918" s="2" t="s">
        <v>28</v>
      </c>
      <c r="B918" s="2" t="s">
        <v>3320</v>
      </c>
      <c r="C918" s="2" t="s">
        <v>3756</v>
      </c>
      <c r="D918" s="2" t="s">
        <v>3757</v>
      </c>
      <c r="E918" s="2" t="s">
        <v>3758</v>
      </c>
      <c r="F918" s="2">
        <v>201.0</v>
      </c>
      <c r="G918" s="2">
        <v>982.0</v>
      </c>
      <c r="H918" s="2" t="b">
        <v>1</v>
      </c>
      <c r="I918" s="2">
        <v>-1.0</v>
      </c>
      <c r="J918" s="2" t="b">
        <v>0</v>
      </c>
      <c r="K918" s="2" t="b">
        <v>0</v>
      </c>
      <c r="L918" s="2" t="b">
        <v>0</v>
      </c>
      <c r="M918" s="2" t="b">
        <v>0</v>
      </c>
      <c r="N918" s="2" t="s">
        <v>33</v>
      </c>
      <c r="O918" s="2">
        <v>134.0</v>
      </c>
      <c r="P918" s="2">
        <v>18.0</v>
      </c>
      <c r="Q918" s="2">
        <v>23.0</v>
      </c>
      <c r="R918" s="2">
        <v>0.0</v>
      </c>
      <c r="S918" s="3" t="s">
        <v>3759</v>
      </c>
      <c r="T918" s="2" t="s">
        <v>3760</v>
      </c>
      <c r="Y918" s="4" t="str">
        <f>IFERROR(__xludf.DUMMYFUNCTION("""COMPUTED_VALUE"""),"6.6895314")</f>
        <v>6.6895314</v>
      </c>
      <c r="Z918" s="4" t="str">
        <f>IFERROR(__xludf.DUMMYFUNCTION("""COMPUTED_VALUE"""),"2.990057")</f>
        <v>2.990057</v>
      </c>
      <c r="AA918" s="4" t="str">
        <f t="shared" si="1"/>
        <v>Neighbor</v>
      </c>
      <c r="AC918" s="4">
        <f>IFERROR(__xludf.DUMMYFUNCTION("IFERROR(ABS(O918-AVERAGE(FILTER(O918:O4986,AA918:AA4986=""Neighbor""))) / STDEV(FILTER(O918:O4986, AA918:AA4986 =""Neighbor"")), """")"),1.6171016492358201)</f>
        <v>1.617101649</v>
      </c>
      <c r="AD918" s="4">
        <f>IFERROR(__xludf.DUMMYFUNCTION("IFERROR(ABS(P918-AVERAGE(FILTER(O918:P4986,AA918:AA4986=""Neighbor""))) / STDEV(FILTER(P918:P4986, AA918:AA4986 =""Neighbor"")), """")"),0.890075712842683)</f>
        <v>0.8900757128</v>
      </c>
      <c r="AE918" s="2">
        <f>IFERROR(__xludf.DUMMYFUNCTION("IFERROR(ABS(Q918-AVERAGE(FILTER(Q918:Q4986,AA918:AA4986=""Neighbor""))) / STDEV(FILTER(Q918:Q4986, AA918:AA4986 =""Neighbor"")), """")"),0.07326552071301921)</f>
        <v>0.07326552071</v>
      </c>
      <c r="AF918" s="2">
        <f>IFERROR(__xludf.DUMMYFUNCTION("IFERROR(ABS(R918-AVERAGE(FILTER(R918:R4986,AA918:AA4986=""Neighbor""))) / STDEV(FILTER(R918:R4986, AA918:AA4986 =""Neighbor"")), """")"),0.08631125252227119)</f>
        <v>0.08631125252</v>
      </c>
    </row>
    <row r="919">
      <c r="A919" s="2" t="s">
        <v>28</v>
      </c>
      <c r="B919" s="2" t="s">
        <v>3320</v>
      </c>
      <c r="C919" s="2" t="s">
        <v>3756</v>
      </c>
      <c r="D919" s="2" t="s">
        <v>3761</v>
      </c>
      <c r="E919" s="2" t="s">
        <v>3762</v>
      </c>
      <c r="F919" s="2">
        <v>186.0</v>
      </c>
      <c r="G919" s="2">
        <v>870.0</v>
      </c>
      <c r="H919" s="2" t="b">
        <v>1</v>
      </c>
      <c r="I919" s="2">
        <v>-1.0</v>
      </c>
      <c r="J919" s="2" t="b">
        <v>1</v>
      </c>
      <c r="K919" s="2" t="b">
        <v>1</v>
      </c>
      <c r="L919" s="2" t="b">
        <v>0</v>
      </c>
      <c r="M919" s="2" t="b">
        <v>0</v>
      </c>
      <c r="N919" s="2" t="s">
        <v>33</v>
      </c>
      <c r="O919" s="2">
        <v>150.0</v>
      </c>
      <c r="P919" s="2">
        <v>8.0</v>
      </c>
      <c r="Q919" s="2">
        <v>16.0</v>
      </c>
      <c r="R919" s="2">
        <v>0.0</v>
      </c>
      <c r="S919" s="3" t="s">
        <v>3763</v>
      </c>
      <c r="T919" s="2" t="s">
        <v>3764</v>
      </c>
      <c r="Y919" s="4" t="str">
        <f>IFERROR(__xludf.DUMMYFUNCTION("""COMPUTED_VALUE"""),"6.6895314")</f>
        <v>6.6895314</v>
      </c>
      <c r="Z919" s="4" t="str">
        <f>IFERROR(__xludf.DUMMYFUNCTION("""COMPUTED_VALUE"""),"2.990057")</f>
        <v>2.990057</v>
      </c>
      <c r="AA919" s="4" t="str">
        <f t="shared" si="1"/>
        <v>Neighbor</v>
      </c>
      <c r="AC919" s="4">
        <f>IFERROR(__xludf.DUMMYFUNCTION("IFERROR(ABS(O919-AVERAGE(FILTER(O919:O4987,AA919:AA4987=""Neighbor""))) / STDEV(FILTER(O919:O4987, AA919:AA4987 =""Neighbor"")), """")"),1.9909623489868142)</f>
        <v>1.990962349</v>
      </c>
      <c r="AD919" s="4">
        <f>IFERROR(__xludf.DUMMYFUNCTION("IFERROR(ABS(P919-AVERAGE(FILTER(O919:P4987,AA919:AA4987=""Neighbor""))) / STDEV(FILTER(P919:P4987, AA919:AA4987 =""Neighbor"")), """")"),1.2872966364042733)</f>
        <v>1.287296636</v>
      </c>
      <c r="AE919" s="2">
        <f>IFERROR(__xludf.DUMMYFUNCTION("IFERROR(ABS(Q919-AVERAGE(FILTER(Q919:Q4987,AA919:AA4987=""Neighbor""))) / STDEV(FILTER(Q919:Q4987, AA919:AA4987 =""Neighbor"")), """")"),0.35832123553790723)</f>
        <v>0.3583212355</v>
      </c>
      <c r="AF919" s="2">
        <f>IFERROR(__xludf.DUMMYFUNCTION("IFERROR(ABS(R919-AVERAGE(FILTER(R919:R4987,AA919:AA4987=""Neighbor""))) / STDEV(FILTER(R919:R4987, AA919:AA4987 =""Neighbor"")), """")"),0.08634366835427112)</f>
        <v>0.08634366835</v>
      </c>
    </row>
    <row r="920">
      <c r="A920" s="2" t="s">
        <v>28</v>
      </c>
      <c r="B920" s="2" t="s">
        <v>3320</v>
      </c>
      <c r="C920" s="2" t="s">
        <v>3756</v>
      </c>
      <c r="D920" s="2" t="s">
        <v>3765</v>
      </c>
      <c r="E920" s="2" t="s">
        <v>3766</v>
      </c>
      <c r="F920" s="2">
        <v>161.0</v>
      </c>
      <c r="G920" s="2">
        <v>884.0</v>
      </c>
      <c r="H920" s="2" t="b">
        <v>1</v>
      </c>
      <c r="I920" s="2">
        <v>-1.0</v>
      </c>
      <c r="J920" s="2" t="b">
        <v>0</v>
      </c>
      <c r="K920" s="2" t="b">
        <v>0</v>
      </c>
      <c r="L920" s="2" t="b">
        <v>0</v>
      </c>
      <c r="M920" s="2" t="b">
        <v>0</v>
      </c>
      <c r="N920" s="2" t="s">
        <v>33</v>
      </c>
      <c r="O920" s="2">
        <v>106.0</v>
      </c>
      <c r="P920" s="2">
        <v>15.0</v>
      </c>
      <c r="Q920" s="2">
        <v>23.0</v>
      </c>
      <c r="R920" s="2">
        <v>1.0</v>
      </c>
      <c r="S920" s="3" t="s">
        <v>3767</v>
      </c>
      <c r="T920" s="2" t="s">
        <v>3768</v>
      </c>
      <c r="Y920" s="4" t="str">
        <f>IFERROR(__xludf.DUMMYFUNCTION("""COMPUTED_VALUE"""),"6.6895314")</f>
        <v>6.6895314</v>
      </c>
      <c r="Z920" s="4" t="str">
        <f>IFERROR(__xludf.DUMMYFUNCTION("""COMPUTED_VALUE"""),"2.990057")</f>
        <v>2.990057</v>
      </c>
      <c r="AA920" s="4" t="str">
        <f t="shared" si="1"/>
        <v>Neighbor</v>
      </c>
      <c r="AC920" s="4">
        <f>IFERROR(__xludf.DUMMYFUNCTION("IFERROR(ABS(O920-AVERAGE(FILTER(O920:O4988,AA920:AA4988=""Neighbor""))) / STDEV(FILTER(O920:O4988, AA920:AA4988 =""Neighbor"")), """")"),0.971418163123594)</f>
        <v>0.9714181631</v>
      </c>
      <c r="AD920" s="4">
        <f>IFERROR(__xludf.DUMMYFUNCTION("IFERROR(ABS(P920-AVERAGE(FILTER(O920:P4988,AA920:AA4988=""Neighbor""))) / STDEV(FILTER(P920:P4988, AA920:AA4988 =""Neighbor"")), """")"),1.0067803517558598)</f>
        <v>1.006780352</v>
      </c>
      <c r="AE920" s="2">
        <f>IFERROR(__xludf.DUMMYFUNCTION("IFERROR(ABS(Q920-AVERAGE(FILTER(Q920:Q4988,AA920:AA4988=""Neighbor""))) / STDEV(FILTER(Q920:Q4988, AA920:AA4988 =""Neighbor"")), """")"),0.07353663835977468)</f>
        <v>0.07353663836</v>
      </c>
      <c r="AF920" s="2">
        <f>IFERROR(__xludf.DUMMYFUNCTION("IFERROR(ABS(R920-AVERAGE(FILTER(R920:R4988,AA920:AA4988=""Neighbor""))) / STDEV(FILTER(R920:R4988, AA920:AA4988 =""Neighbor"")), """")"),0.0915586879813408)</f>
        <v>0.09155868798</v>
      </c>
    </row>
    <row r="921">
      <c r="A921" s="2" t="s">
        <v>28</v>
      </c>
      <c r="B921" s="2" t="s">
        <v>3320</v>
      </c>
      <c r="C921" s="2" t="s">
        <v>3756</v>
      </c>
      <c r="D921" s="2" t="s">
        <v>3769</v>
      </c>
      <c r="E921" s="2" t="s">
        <v>3770</v>
      </c>
      <c r="F921" s="2">
        <v>141.0</v>
      </c>
      <c r="G921" s="2">
        <v>720.0</v>
      </c>
      <c r="H921" s="2" t="b">
        <v>1</v>
      </c>
      <c r="I921" s="2">
        <v>-1.0</v>
      </c>
      <c r="J921" s="2" t="b">
        <v>0</v>
      </c>
      <c r="K921" s="2" t="b">
        <v>0</v>
      </c>
      <c r="L921" s="2" t="b">
        <v>0</v>
      </c>
      <c r="M921" s="2" t="b">
        <v>0</v>
      </c>
      <c r="N921" s="2" t="s">
        <v>33</v>
      </c>
      <c r="O921" s="2">
        <v>88.0</v>
      </c>
      <c r="P921" s="2">
        <v>5.0</v>
      </c>
      <c r="Q921" s="2">
        <v>28.0</v>
      </c>
      <c r="R921" s="2">
        <v>0.0</v>
      </c>
      <c r="S921" s="3" t="s">
        <v>3771</v>
      </c>
      <c r="T921" s="2" t="s">
        <v>3772</v>
      </c>
      <c r="Y921" s="4" t="str">
        <f>IFERROR(__xludf.DUMMYFUNCTION("""COMPUTED_VALUE"""),"6.6895314")</f>
        <v>6.6895314</v>
      </c>
      <c r="Z921" s="4" t="str">
        <f>IFERROR(__xludf.DUMMYFUNCTION("""COMPUTED_VALUE"""),"2.990057")</f>
        <v>2.990057</v>
      </c>
      <c r="AA921" s="4" t="str">
        <f t="shared" si="1"/>
        <v>Neighbor</v>
      </c>
      <c r="AC921" s="4">
        <f>IFERROR(__xludf.DUMMYFUNCTION("IFERROR(ABS(O921-AVERAGE(FILTER(O921:O4989,AA921:AA4989=""Neighbor""))) / STDEV(FILTER(O921:O4989, AA921:AA4989 =""Neighbor"")), """")"),0.5535329293001151)</f>
        <v>0.5535329293</v>
      </c>
      <c r="AD921" s="4">
        <f>IFERROR(__xludf.DUMMYFUNCTION("IFERROR(ABS(P921-AVERAGE(FILTER(O921:P4989,AA921:AA4989=""Neighbor""))) / STDEV(FILTER(P921:P4989, AA921:AA4989 =""Neighbor"")), """")"),1.4041344719458262)</f>
        <v>1.404134472</v>
      </c>
      <c r="AE921" s="2">
        <f>IFERROR(__xludf.DUMMYFUNCTION("IFERROR(ABS(Q921-AVERAGE(FILTER(Q921:Q4989,AA921:AA4989=""Neighbor""))) / STDEV(FILTER(Q921:Q4989, AA921:AA4989 =""Neighbor"")), """")"),0.12988543839934083)</f>
        <v>0.1298854384</v>
      </c>
      <c r="AF921" s="2">
        <f>IFERROR(__xludf.DUMMYFUNCTION("IFERROR(ABS(R921-AVERAGE(FILTER(R921:R4989,AA921:AA4989=""Neighbor""))) / STDEV(FILTER(R921:R4989, AA921:AA4989 =""Neighbor"")), """")"),0.08627570317016992)</f>
        <v>0.08627570317</v>
      </c>
    </row>
    <row r="922">
      <c r="A922" s="2" t="s">
        <v>28</v>
      </c>
      <c r="B922" s="2" t="s">
        <v>3320</v>
      </c>
      <c r="C922" s="2" t="s">
        <v>3756</v>
      </c>
      <c r="D922" s="2" t="s">
        <v>3773</v>
      </c>
      <c r="E922" s="2" t="s">
        <v>3774</v>
      </c>
      <c r="F922" s="2">
        <v>91.0</v>
      </c>
      <c r="G922" s="2">
        <v>644.0</v>
      </c>
      <c r="H922" s="2" t="b">
        <v>1</v>
      </c>
      <c r="I922" s="2">
        <v>-1.0</v>
      </c>
      <c r="J922" s="2" t="b">
        <v>0</v>
      </c>
      <c r="K922" s="2" t="b">
        <v>0</v>
      </c>
      <c r="L922" s="2" t="b">
        <v>0</v>
      </c>
      <c r="M922" s="2" t="b">
        <v>0</v>
      </c>
      <c r="N922" s="2" t="s">
        <v>33</v>
      </c>
      <c r="O922" s="2">
        <v>500.0</v>
      </c>
      <c r="P922" s="2">
        <v>500.0</v>
      </c>
      <c r="Q922" s="2">
        <v>250.0</v>
      </c>
      <c r="R922" s="2">
        <v>200.0</v>
      </c>
      <c r="S922" s="3" t="s">
        <v>3775</v>
      </c>
      <c r="T922" s="2" t="s">
        <v>3776</v>
      </c>
      <c r="Y922" s="4" t="str">
        <f>IFERROR(__xludf.DUMMYFUNCTION("""COMPUTED_VALUE"""),"6.6895314")</f>
        <v>6.6895314</v>
      </c>
      <c r="Z922" s="4" t="str">
        <f>IFERROR(__xludf.DUMMYFUNCTION("""COMPUTED_VALUE"""),"2.990057")</f>
        <v>2.990057</v>
      </c>
      <c r="AA922" s="4" t="str">
        <f t="shared" si="1"/>
        <v>Neighbor</v>
      </c>
      <c r="AC922" s="4">
        <f>IFERROR(__xludf.DUMMYFUNCTION("IFERROR(ABS(O922-AVERAGE(FILTER(O922:O4990,AA922:AA4990=""Neighbor""))) / STDEV(FILTER(O922:O4990, AA922:AA4990 =""Neighbor"")), """")"),10.132401504976409)</f>
        <v>10.1324015</v>
      </c>
      <c r="AD922" s="4">
        <f>IFERROR(__xludf.DUMMYFUNCTION("IFERROR(ABS(P922-AVERAGE(FILTER(O922:P4990,AA922:AA4990=""Neighbor""))) / STDEV(FILTER(P922:P4990, AA922:AA4990 =""Neighbor"")), """")"),18.308014799929982)</f>
        <v>18.3080148</v>
      </c>
      <c r="AE922" s="2">
        <f>IFERROR(__xludf.DUMMYFUNCTION("IFERROR(ABS(Q922-AVERAGE(FILTER(Q922:Q4990,AA922:AA4990=""Neighbor""))) / STDEV(FILTER(Q922:Q4990, AA922:AA4990 =""Neighbor"")), """")"),9.159778807550289)</f>
        <v>9.159778808</v>
      </c>
      <c r="AF922" s="2">
        <f>IFERROR(__xludf.DUMMYFUNCTION("IFERROR(ABS(R922-AVERAGE(FILTER(R922:R4990,AA922:AA4990=""Neighbor""))) / STDEV(FILTER(R922:R4990, AA922:AA4990 =""Neighbor"")), """")"),35.47425703246435)</f>
        <v>35.47425703</v>
      </c>
    </row>
    <row r="923">
      <c r="A923" s="2" t="s">
        <v>28</v>
      </c>
      <c r="B923" s="2" t="s">
        <v>3320</v>
      </c>
      <c r="C923" s="2" t="s">
        <v>3756</v>
      </c>
      <c r="D923" s="2" t="s">
        <v>3777</v>
      </c>
      <c r="E923" s="2" t="s">
        <v>3778</v>
      </c>
      <c r="F923" s="2">
        <v>267.0</v>
      </c>
      <c r="G923" s="2">
        <v>1115.0</v>
      </c>
      <c r="H923" s="2" t="b">
        <v>1</v>
      </c>
      <c r="I923" s="2">
        <v>-1.0</v>
      </c>
      <c r="J923" s="2" t="b">
        <v>0</v>
      </c>
      <c r="K923" s="2" t="b">
        <v>0</v>
      </c>
      <c r="L923" s="2" t="b">
        <v>0</v>
      </c>
      <c r="M923" s="2" t="b">
        <v>0</v>
      </c>
      <c r="N923" s="2" t="s">
        <v>33</v>
      </c>
      <c r="O923" s="2">
        <v>0.0</v>
      </c>
      <c r="P923" s="2">
        <v>0.0</v>
      </c>
      <c r="Q923" s="2">
        <v>0.0</v>
      </c>
      <c r="R923" s="2">
        <v>0.0</v>
      </c>
      <c r="S923" s="3" t="s">
        <v>3779</v>
      </c>
      <c r="T923" s="2" t="s">
        <v>3780</v>
      </c>
      <c r="Y923" s="4" t="str">
        <f>IFERROR(__xludf.DUMMYFUNCTION("""COMPUTED_VALUE"""),"6.6959335")</f>
        <v>6.6959335</v>
      </c>
      <c r="Z923" s="4" t="str">
        <f>IFERROR(__xludf.DUMMYFUNCTION("""COMPUTED_VALUE"""),"2.9865029")</f>
        <v>2.9865029</v>
      </c>
      <c r="AA923" s="4" t="str">
        <f t="shared" si="1"/>
        <v>Neighbor</v>
      </c>
      <c r="AC923" s="4">
        <f>IFERROR(__xludf.DUMMYFUNCTION("IFERROR(ABS(O923-AVERAGE(FILTER(O923:O4991,AA923:AA4991=""Neighbor""))) / STDEV(FILTER(O923:O4991, AA923:AA4991 =""Neighbor"")), """")"),1.544549311540855)</f>
        <v>1.544549312</v>
      </c>
      <c r="AD923" s="4">
        <f>IFERROR(__xludf.DUMMYFUNCTION("IFERROR(ABS(P923-AVERAGE(FILTER(O923:P4991,AA923:AA4991=""Neighbor""))) / STDEV(FILTER(P923:P4991, AA923:AA4991 =""Neighbor"")), """")"),1.8691432536566446)</f>
        <v>1.869143254</v>
      </c>
      <c r="AE923" s="2">
        <f>IFERROR(__xludf.DUMMYFUNCTION("IFERROR(ABS(Q923-AVERAGE(FILTER(Q923:Q4991,AA923:AA4991=""Neighbor""))) / STDEV(FILTER(Q923:Q4991, AA923:AA4991 =""Neighbor"")), """")"),1.0347774605918938)</f>
        <v>1.034777461</v>
      </c>
      <c r="AF923" s="2">
        <f>IFERROR(__xludf.DUMMYFUNCTION("IFERROR(ABS(R923-AVERAGE(FILTER(R923:R4991,AA923:AA4991=""Neighbor""))) / STDEV(FILTER(R923:R4991, AA923:AA4991 =""Neighbor"")), """")"),0.24940500012714334)</f>
        <v>0.2494050001</v>
      </c>
    </row>
    <row r="924">
      <c r="A924" s="2" t="s">
        <v>28</v>
      </c>
      <c r="B924" s="2" t="s">
        <v>3320</v>
      </c>
      <c r="C924" s="2" t="s">
        <v>3756</v>
      </c>
      <c r="D924" s="2" t="s">
        <v>3781</v>
      </c>
      <c r="E924" s="2" t="s">
        <v>3782</v>
      </c>
      <c r="F924" s="2">
        <v>152.0</v>
      </c>
      <c r="G924" s="2">
        <v>705.0</v>
      </c>
      <c r="H924" s="2" t="b">
        <v>1</v>
      </c>
      <c r="I924" s="2">
        <v>-1.0</v>
      </c>
      <c r="J924" s="2" t="b">
        <v>0</v>
      </c>
      <c r="K924" s="2" t="b">
        <v>0</v>
      </c>
      <c r="L924" s="2" t="b">
        <v>0</v>
      </c>
      <c r="M924" s="2" t="b">
        <v>0</v>
      </c>
      <c r="N924" s="2" t="s">
        <v>33</v>
      </c>
      <c r="O924" s="2">
        <v>90.0</v>
      </c>
      <c r="P924" s="2">
        <v>17.0</v>
      </c>
      <c r="Q924" s="2">
        <v>16.0</v>
      </c>
      <c r="R924" s="2">
        <v>0.0</v>
      </c>
      <c r="S924" s="3" t="s">
        <v>3783</v>
      </c>
      <c r="T924" s="2" t="s">
        <v>3784</v>
      </c>
      <c r="Y924" s="4" t="str">
        <f>IFERROR(__xludf.DUMMYFUNCTION("""COMPUTED_VALUE"""),"6.6895314")</f>
        <v>6.6895314</v>
      </c>
      <c r="Z924" s="4" t="str">
        <f>IFERROR(__xludf.DUMMYFUNCTION("""COMPUTED_VALUE"""),"2.990057")</f>
        <v>2.990057</v>
      </c>
      <c r="AA924" s="4" t="str">
        <f t="shared" si="1"/>
        <v>Neighbor</v>
      </c>
      <c r="AC924" s="4">
        <f>IFERROR(__xludf.DUMMYFUNCTION("IFERROR(ABS(O924-AVERAGE(FILTER(O924:O4992,AA924:AA4992=""Neighbor""))) / STDEV(FILTER(O924:O4992, AA924:AA4992 =""Neighbor"")), """")"),0.6316350874515576)</f>
        <v>0.6316350875</v>
      </c>
      <c r="AD924" s="4">
        <f>IFERROR(__xludf.DUMMYFUNCTION("IFERROR(ABS(P924-AVERAGE(FILTER(O924:P4992,AA924:AA4992=""Neighbor""))) / STDEV(FILTER(P924:P4992, AA924:AA4992 =""Neighbor"")), """")"),1.0740202564596075)</f>
        <v>1.074020256</v>
      </c>
      <c r="AE924" s="2">
        <f>IFERROR(__xludf.DUMMYFUNCTION("IFERROR(ABS(Q924-AVERAGE(FILTER(Q924:Q4992,AA924:AA4992=""Neighbor""))) / STDEV(FILTER(Q924:Q4992, AA924:AA4992 =""Neighbor"")), """")"),0.3635464373597467)</f>
        <v>0.3635464374</v>
      </c>
      <c r="AF924" s="2">
        <f>IFERROR(__xludf.DUMMYFUNCTION("IFERROR(ABS(R924-AVERAGE(FILTER(R924:R4992,AA924:AA4992=""Neighbor""))) / STDEV(FILTER(R924:R4992, AA924:AA4992 =""Neighbor"")), """")"),0.24950413986436465)</f>
        <v>0.2495041399</v>
      </c>
    </row>
    <row r="925">
      <c r="A925" s="2" t="s">
        <v>28</v>
      </c>
      <c r="B925" s="2" t="s">
        <v>3320</v>
      </c>
      <c r="C925" s="2" t="s">
        <v>3756</v>
      </c>
      <c r="D925" s="2" t="s">
        <v>3785</v>
      </c>
      <c r="E925" s="2" t="s">
        <v>3786</v>
      </c>
      <c r="F925" s="2">
        <v>144.0</v>
      </c>
      <c r="G925" s="2">
        <v>524.0</v>
      </c>
      <c r="H925" s="2" t="b">
        <v>1</v>
      </c>
      <c r="I925" s="2">
        <v>-1.0</v>
      </c>
      <c r="J925" s="2" t="b">
        <v>0</v>
      </c>
      <c r="K925" s="2" t="b">
        <v>0</v>
      </c>
      <c r="L925" s="2" t="b">
        <v>0</v>
      </c>
      <c r="M925" s="2" t="b">
        <v>0</v>
      </c>
      <c r="N925" s="2" t="s">
        <v>33</v>
      </c>
      <c r="O925" s="2">
        <v>97.0</v>
      </c>
      <c r="P925" s="2">
        <v>5.0</v>
      </c>
      <c r="Q925" s="2">
        <v>16.0</v>
      </c>
      <c r="R925" s="2">
        <v>0.0</v>
      </c>
      <c r="S925" s="3" t="s">
        <v>3787</v>
      </c>
      <c r="T925" s="2" t="s">
        <v>3788</v>
      </c>
      <c r="Y925" s="4" t="str">
        <f>IFERROR(__xludf.DUMMYFUNCTION("""COMPUTED_VALUE"""),"6.6895314")</f>
        <v>6.6895314</v>
      </c>
      <c r="Z925" s="4" t="str">
        <f>IFERROR(__xludf.DUMMYFUNCTION("""COMPUTED_VALUE"""),"2.990057")</f>
        <v>2.990057</v>
      </c>
      <c r="AA925" s="4" t="str">
        <f t="shared" si="1"/>
        <v>Not Neighbor</v>
      </c>
      <c r="AC925" s="4">
        <f>IFERROR(__xludf.DUMMYFUNCTION("IFERROR(ABS(O925-AVERAGE(FILTER(O925:O4993,AA925:AA4993=""Neighbor""))) / STDEV(FILTER(O925:O4993, AA925:AA4993 =""Neighbor"")), """")"),0.8013393686174649)</f>
        <v>0.8013393686</v>
      </c>
      <c r="AD925" s="4">
        <f>IFERROR(__xludf.DUMMYFUNCTION("IFERROR(ABS(P925-AVERAGE(FILTER(O925:P4993,AA925:AA4993=""Neighbor""))) / STDEV(FILTER(P925:P4993, AA925:AA4993 =""Neighbor"")), """")"),1.6349654089610297)</f>
        <v>1.634965409</v>
      </c>
      <c r="AE925" s="2">
        <f>IFERROR(__xludf.DUMMYFUNCTION("IFERROR(ABS(Q925-AVERAGE(FILTER(Q925:Q4993,AA925:AA4993=""Neighbor""))) / STDEV(FILTER(Q925:Q4993, AA925:AA4993 =""Neighbor"")), """")"),0.36370060219877814)</f>
        <v>0.3637006022</v>
      </c>
      <c r="AF925" s="2">
        <f>IFERROR(__xludf.DUMMYFUNCTION("IFERROR(ABS(R925-AVERAGE(FILTER(R925:R4993,AA925:AA4993=""Neighbor""))) / STDEV(FILTER(R925:R4993, AA925:AA4993 =""Neighbor"")), """")"),0.2496033979277489)</f>
        <v>0.2496033979</v>
      </c>
    </row>
    <row r="926">
      <c r="A926" s="2" t="s">
        <v>28</v>
      </c>
      <c r="B926" s="2" t="s">
        <v>3320</v>
      </c>
      <c r="C926" s="2" t="s">
        <v>3756</v>
      </c>
      <c r="D926" s="2" t="s">
        <v>3789</v>
      </c>
      <c r="E926" s="2" t="s">
        <v>3790</v>
      </c>
      <c r="F926" s="2">
        <v>197.0</v>
      </c>
      <c r="G926" s="2">
        <v>772.0</v>
      </c>
      <c r="H926" s="2" t="b">
        <v>1</v>
      </c>
      <c r="I926" s="2">
        <v>-1.0</v>
      </c>
      <c r="J926" s="2" t="b">
        <v>0</v>
      </c>
      <c r="K926" s="2" t="b">
        <v>0</v>
      </c>
      <c r="L926" s="2" t="b">
        <v>0</v>
      </c>
      <c r="M926" s="2" t="b">
        <v>0</v>
      </c>
      <c r="N926" s="2" t="s">
        <v>33</v>
      </c>
      <c r="O926" s="2">
        <v>133.0</v>
      </c>
      <c r="P926" s="2">
        <v>7.0</v>
      </c>
      <c r="Q926" s="2">
        <v>23.0</v>
      </c>
      <c r="R926" s="2">
        <v>2.0</v>
      </c>
      <c r="S926" s="3" t="s">
        <v>3791</v>
      </c>
      <c r="T926" s="2" t="s">
        <v>3792</v>
      </c>
      <c r="Y926" s="4" t="str">
        <f>IFERROR(__xludf.DUMMYFUNCTION("""COMPUTED_VALUE"""),"6.7563094")</f>
        <v>6.7563094</v>
      </c>
      <c r="Z926" s="4" t="str">
        <f>IFERROR(__xludf.DUMMYFUNCTION("""COMPUTED_VALUE"""),"2.9167955")</f>
        <v>2.9167955</v>
      </c>
      <c r="AA926" s="4" t="str">
        <f t="shared" si="1"/>
        <v>Neighbor</v>
      </c>
      <c r="AC926" s="4">
        <f>IFERROR(__xludf.DUMMYFUNCTION("IFERROR(ABS(O926-AVERAGE(FILTER(O926:O4994,AA926:AA4994=""Neighbor""))) / STDEV(FILTER(O926:O4994, AA926:AA4994 =""Neighbor"")), """")"),1.672401429244109)</f>
        <v>1.672401429</v>
      </c>
      <c r="AD926" s="4">
        <f>IFERROR(__xludf.DUMMYFUNCTION("IFERROR(ABS(P926-AVERAGE(FILTER(O926:P4994,AA926:AA4994=""Neighbor""))) / STDEV(FILTER(P926:P4994, AA926:AA4994 =""Neighbor"")), """")"),1.5413282358128484)</f>
        <v>1.541328236</v>
      </c>
      <c r="AE926" s="2">
        <f>IFERROR(__xludf.DUMMYFUNCTION("IFERROR(ABS(Q926-AVERAGE(FILTER(Q926:Q4994,AA926:AA4994=""Neighbor""))) / STDEV(FILTER(Q926:Q4994, AA926:AA4994 =""Neighbor"")), """")"),0.06978141368019826)</f>
        <v>0.06978141368</v>
      </c>
      <c r="AF926" s="2">
        <f>IFERROR(__xludf.DUMMYFUNCTION("IFERROR(ABS(R926-AVERAGE(FILTER(R926:R4994,AA926:AA4994=""Neighbor""))) / STDEV(FILTER(R926:R4994, AA926:AA4994 =""Neighbor"")), """")"),1.2335633407609685)</f>
        <v>1.233563341</v>
      </c>
    </row>
    <row r="927">
      <c r="A927" s="2" t="s">
        <v>28</v>
      </c>
      <c r="B927" s="2" t="s">
        <v>3320</v>
      </c>
      <c r="C927" s="2" t="s">
        <v>3756</v>
      </c>
      <c r="D927" s="2" t="s">
        <v>3793</v>
      </c>
      <c r="E927" s="2" t="s">
        <v>3794</v>
      </c>
      <c r="F927" s="2">
        <v>174.0</v>
      </c>
      <c r="G927" s="2">
        <v>736.0</v>
      </c>
      <c r="H927" s="2" t="b">
        <v>1</v>
      </c>
      <c r="I927" s="2">
        <v>-1.0</v>
      </c>
      <c r="J927" s="2" t="b">
        <v>0</v>
      </c>
      <c r="K927" s="2" t="b">
        <v>0</v>
      </c>
      <c r="L927" s="2" t="b">
        <v>0</v>
      </c>
      <c r="M927" s="2" t="b">
        <v>0</v>
      </c>
      <c r="N927" s="2" t="s">
        <v>33</v>
      </c>
      <c r="O927" s="2">
        <v>104.0</v>
      </c>
      <c r="P927" s="2">
        <v>13.0</v>
      </c>
      <c r="Q927" s="2">
        <v>19.0</v>
      </c>
      <c r="R927" s="2">
        <v>0.0</v>
      </c>
      <c r="S927" s="3" t="s">
        <v>3795</v>
      </c>
      <c r="T927" s="2" t="s">
        <v>3796</v>
      </c>
      <c r="Y927" s="4" t="str">
        <f>IFERROR(__xludf.DUMMYFUNCTION("""COMPUTED_VALUE"""),"6.7563094")</f>
        <v>6.7563094</v>
      </c>
      <c r="Z927" s="4" t="str">
        <f>IFERROR(__xludf.DUMMYFUNCTION("""COMPUTED_VALUE"""),"2.9167955")</f>
        <v>2.9167955</v>
      </c>
      <c r="AA927" s="4" t="str">
        <f t="shared" si="1"/>
        <v>Not Neighbor</v>
      </c>
      <c r="AC927" s="4">
        <f>IFERROR(__xludf.DUMMYFUNCTION("IFERROR(ABS(O927-AVERAGE(FILTER(O927:O4995,AA927:AA4995=""Neighbor""))) / STDEV(FILTER(O927:O4995, AA927:AA4995 =""Neighbor"")), """")"),0.9726242061857817)</f>
        <v>0.9726242062</v>
      </c>
      <c r="AD927" s="4">
        <f>IFERROR(__xludf.DUMMYFUNCTION("IFERROR(ABS(P927-AVERAGE(FILTER(O927:P4995,AA927:AA4995=""Neighbor""))) / STDEV(FILTER(P927:P4995, AA927:AA4995 =""Neighbor"")), """")"),1.2589709887837695)</f>
        <v>1.258970989</v>
      </c>
      <c r="AE927" s="2">
        <f>IFERROR(__xludf.DUMMYFUNCTION("IFERROR(ABS(Q927-AVERAGE(FILTER(Q927:Q4995,AA927:AA4995=""Neighbor""))) / STDEV(FILTER(Q927:Q4995, AA927:AA4995 =""Neighbor"")), """")"),0.2376988099444854)</f>
        <v>0.2376988099</v>
      </c>
      <c r="AF927" s="2">
        <f>IFERROR(__xludf.DUMMYFUNCTION("IFERROR(ABS(R927-AVERAGE(FILTER(R927:R4995,AA927:AA4995=""Neighbor""))) / STDEV(FILTER(R927:R4995, AA927:AA4995 =""Neighbor"")), """")"),0.24872681243827588)</f>
        <v>0.2487268124</v>
      </c>
    </row>
    <row r="928">
      <c r="A928" s="2" t="s">
        <v>28</v>
      </c>
      <c r="B928" s="2" t="s">
        <v>3320</v>
      </c>
      <c r="C928" s="2" t="s">
        <v>3756</v>
      </c>
      <c r="D928" s="2" t="s">
        <v>3797</v>
      </c>
      <c r="E928" s="2" t="s">
        <v>3798</v>
      </c>
      <c r="F928" s="2">
        <v>203.0</v>
      </c>
      <c r="G928" s="2">
        <v>947.0</v>
      </c>
      <c r="H928" s="2" t="b">
        <v>1</v>
      </c>
      <c r="I928" s="2">
        <v>-1.0</v>
      </c>
      <c r="J928" s="2" t="b">
        <v>1</v>
      </c>
      <c r="K928" s="2" t="b">
        <v>0</v>
      </c>
      <c r="L928" s="2" t="b">
        <v>0</v>
      </c>
      <c r="M928" s="2" t="b">
        <v>0</v>
      </c>
      <c r="N928" s="2" t="s">
        <v>33</v>
      </c>
      <c r="O928" s="2">
        <v>116.0</v>
      </c>
      <c r="P928" s="2">
        <v>27.0</v>
      </c>
      <c r="Q928" s="2">
        <v>23.0</v>
      </c>
      <c r="R928" s="2">
        <v>1.0</v>
      </c>
      <c r="S928" s="3" t="s">
        <v>3799</v>
      </c>
      <c r="T928" s="2" t="s">
        <v>3800</v>
      </c>
      <c r="Y928" s="4" t="str">
        <f>IFERROR(__xludf.DUMMYFUNCTION("""COMPUTED_VALUE"""),"6.6922426")</f>
        <v>6.6922426</v>
      </c>
      <c r="Z928" s="4" t="str">
        <f>IFERROR(__xludf.DUMMYFUNCTION("""COMPUTED_VALUE"""),"2.9958463")</f>
        <v>2.9958463</v>
      </c>
      <c r="AA928" s="4" t="str">
        <f t="shared" si="1"/>
        <v>Neighbor</v>
      </c>
      <c r="AC928" s="4">
        <f>IFERROR(__xludf.DUMMYFUNCTION("IFERROR(ABS(O928-AVERAGE(FILTER(O928:O4996,AA928:AA4996=""Neighbor""))) / STDEV(FILTER(O928:O4996, AA928:AA4996 =""Neighbor"")), """")"),1.2631745040950533)</f>
        <v>1.263174504</v>
      </c>
      <c r="AD928" s="4">
        <f>IFERROR(__xludf.DUMMYFUNCTION("IFERROR(ABS(P928-AVERAGE(FILTER(O928:P4996,AA928:AA4996=""Neighbor""))) / STDEV(FILTER(P928:P4996, AA928:AA4996 =""Neighbor"")), """")"),0.6037133863550908)</f>
        <v>0.6037133864</v>
      </c>
      <c r="AE928" s="2">
        <f>IFERROR(__xludf.DUMMYFUNCTION("IFERROR(ABS(Q928-AVERAGE(FILTER(Q928:Q4996,AA928:AA4996=""Neighbor""))) / STDEV(FILTER(Q928:Q4996, AA928:AA4996 =""Neighbor"")), """")"),0.06980769130307649)</f>
        <v>0.0698076913</v>
      </c>
      <c r="AF928" s="2">
        <f>IFERROR(__xludf.DUMMYFUNCTION("IFERROR(ABS(R928-AVERAGE(FILTER(R928:R4996,AA928:AA4996=""Neighbor""))) / STDEV(FILTER(R928:R4996, AA928:AA4996 =""Neighbor"")), """")"),0.4930021383004752)</f>
        <v>0.4930021383</v>
      </c>
    </row>
    <row r="929">
      <c r="A929" s="2" t="s">
        <v>28</v>
      </c>
      <c r="B929" s="2" t="s">
        <v>3320</v>
      </c>
      <c r="C929" s="2" t="s">
        <v>3756</v>
      </c>
      <c r="D929" s="2" t="s">
        <v>3801</v>
      </c>
      <c r="E929" s="2" t="s">
        <v>3802</v>
      </c>
      <c r="F929" s="2">
        <v>133.0</v>
      </c>
      <c r="G929" s="2">
        <v>536.0</v>
      </c>
      <c r="H929" s="2" t="b">
        <v>1</v>
      </c>
      <c r="I929" s="2">
        <v>-1.0</v>
      </c>
      <c r="J929" s="2" t="b">
        <v>0</v>
      </c>
      <c r="K929" s="2" t="b">
        <v>1</v>
      </c>
      <c r="L929" s="2" t="b">
        <v>0</v>
      </c>
      <c r="M929" s="2" t="b">
        <v>0</v>
      </c>
      <c r="N929" s="2" t="s">
        <v>33</v>
      </c>
      <c r="O929" s="2">
        <v>0.0</v>
      </c>
      <c r="P929" s="2">
        <v>0.0</v>
      </c>
      <c r="Q929" s="2">
        <v>0.0</v>
      </c>
      <c r="R929" s="2">
        <v>0.0</v>
      </c>
      <c r="S929" s="3" t="s">
        <v>3803</v>
      </c>
      <c r="T929" s="2" t="s">
        <v>3804</v>
      </c>
      <c r="Y929" s="4" t="str">
        <f>IFERROR(__xludf.DUMMYFUNCTION("""COMPUTED_VALUE"""),"6.6922426")</f>
        <v>6.6922426</v>
      </c>
      <c r="Z929" s="4" t="str">
        <f>IFERROR(__xludf.DUMMYFUNCTION("""COMPUTED_VALUE"""),"2.9958463")</f>
        <v>2.9958463</v>
      </c>
      <c r="AA929" s="4" t="str">
        <f t="shared" si="1"/>
        <v>Neighbor</v>
      </c>
      <c r="AC929" s="4">
        <f>IFERROR(__xludf.DUMMYFUNCTION("IFERROR(ABS(O929-AVERAGE(FILTER(O929:O4997,AA929:AA4997=""Neighbor""))) / STDEV(FILTER(O929:O4997, AA929:AA4997 =""Neighbor"")), """")"),1.544876439267959)</f>
        <v>1.544876439</v>
      </c>
      <c r="AD929" s="4">
        <f>IFERROR(__xludf.DUMMYFUNCTION("IFERROR(ABS(P929-AVERAGE(FILTER(O929:P4997,AA929:AA4997=""Neighbor""))) / STDEV(FILTER(P929:P4997, AA929:AA4997 =""Neighbor"")), """")"),1.865800249630911)</f>
        <v>1.86580025</v>
      </c>
      <c r="AE929" s="2">
        <f>IFERROR(__xludf.DUMMYFUNCTION("IFERROR(ABS(Q929-AVERAGE(FILTER(Q929:Q4997,AA929:AA4997=""Neighbor""))) / STDEV(FILTER(Q929:Q4997, AA929:AA4997 =""Neighbor"")), """")"),1.0348472517555447)</f>
        <v>1.034847252</v>
      </c>
      <c r="AF929" s="2">
        <f>IFERROR(__xludf.DUMMYFUNCTION("IFERROR(ABS(R929-AVERAGE(FILTER(R929:R4997,AA929:AA4997=""Neighbor""))) / STDEV(FILTER(R929:R4997, AA929:AA4997 =""Neighbor"")), """")"),0.24828611674749704)</f>
        <v>0.2482861167</v>
      </c>
    </row>
    <row r="930">
      <c r="A930" s="2" t="s">
        <v>28</v>
      </c>
      <c r="B930" s="2" t="s">
        <v>3320</v>
      </c>
      <c r="C930" s="2" t="s">
        <v>3756</v>
      </c>
      <c r="D930" s="2" t="s">
        <v>3805</v>
      </c>
      <c r="E930" s="2" t="s">
        <v>3806</v>
      </c>
      <c r="F930" s="2">
        <v>163.0</v>
      </c>
      <c r="G930" s="2">
        <v>831.0</v>
      </c>
      <c r="H930" s="2" t="b">
        <v>1</v>
      </c>
      <c r="I930" s="2">
        <v>-1.0</v>
      </c>
      <c r="J930" s="2" t="b">
        <v>0</v>
      </c>
      <c r="K930" s="2" t="b">
        <v>0</v>
      </c>
      <c r="L930" s="2" t="b">
        <v>0</v>
      </c>
      <c r="M930" s="2" t="b">
        <v>0</v>
      </c>
      <c r="N930" s="2" t="s">
        <v>33</v>
      </c>
      <c r="O930" s="2">
        <v>77.0</v>
      </c>
      <c r="P930" s="2">
        <v>17.0</v>
      </c>
      <c r="Q930" s="2">
        <v>39.0</v>
      </c>
      <c r="R930" s="2">
        <v>7.0</v>
      </c>
      <c r="S930" s="3" t="s">
        <v>3807</v>
      </c>
      <c r="T930" s="2" t="s">
        <v>3808</v>
      </c>
      <c r="Y930" s="4" t="str">
        <f>IFERROR(__xludf.DUMMYFUNCTION("""COMPUTED_VALUE"""),"6.6895314")</f>
        <v>6.6895314</v>
      </c>
      <c r="Z930" s="4" t="str">
        <f>IFERROR(__xludf.DUMMYFUNCTION("""COMPUTED_VALUE"""),"2.990057")</f>
        <v>2.990057</v>
      </c>
      <c r="AA930" s="4" t="str">
        <f t="shared" si="1"/>
        <v>Neighbor</v>
      </c>
      <c r="AC930" s="4">
        <f>IFERROR(__xludf.DUMMYFUNCTION("IFERROR(ABS(O930-AVERAGE(FILTER(O930:O4998,AA930:AA4998=""Neighbor""))) / STDEV(FILTER(O930:O4998, AA930:AA4998 =""Neighbor"")), """")"),0.31891191148203313)</f>
        <v>0.3189119115</v>
      </c>
      <c r="AD930" s="4">
        <f>IFERROR(__xludf.DUMMYFUNCTION("IFERROR(ABS(P930-AVERAGE(FILTER(O930:P4998,AA930:AA4998=""Neighbor""))) / STDEV(FILTER(P930:P4998, AA930:AA4998 =""Neighbor"")), """")"),1.071573148862737)</f>
        <v>1.071573149</v>
      </c>
      <c r="AE930" s="2">
        <f>IFERROR(__xludf.DUMMYFUNCTION("IFERROR(ABS(Q930-AVERAGE(FILTER(Q930:Q4998,AA930:AA4998=""Neighbor""))) / STDEV(FILTER(Q930:Q4998, AA930:AA4998 =""Neighbor"")), """")"),0.6007182682401029)</f>
        <v>0.6007182682</v>
      </c>
      <c r="AF930" s="2">
        <f>IFERROR(__xludf.DUMMYFUNCTION("IFERROR(ABS(R930-AVERAGE(FILTER(R930:R4998,AA930:AA4998=""Neighbor""))) / STDEV(FILTER(R930:R4998, AA930:AA4998 =""Neighbor"")), """")"),4.94041218053982)</f>
        <v>4.940412181</v>
      </c>
    </row>
    <row r="931">
      <c r="A931" s="2" t="s">
        <v>28</v>
      </c>
      <c r="B931" s="2" t="s">
        <v>3320</v>
      </c>
      <c r="C931" s="2" t="s">
        <v>3756</v>
      </c>
      <c r="D931" s="2" t="s">
        <v>3809</v>
      </c>
      <c r="E931" s="2" t="s">
        <v>3810</v>
      </c>
      <c r="F931" s="2">
        <v>115.0</v>
      </c>
      <c r="G931" s="2">
        <v>487.0</v>
      </c>
      <c r="H931" s="2" t="b">
        <v>1</v>
      </c>
      <c r="I931" s="2">
        <v>-1.0</v>
      </c>
      <c r="J931" s="2" t="b">
        <v>1</v>
      </c>
      <c r="K931" s="2" t="b">
        <v>0</v>
      </c>
      <c r="L931" s="2" t="b">
        <v>0</v>
      </c>
      <c r="M931" s="2" t="b">
        <v>0</v>
      </c>
      <c r="N931" s="2" t="s">
        <v>33</v>
      </c>
      <c r="O931" s="2">
        <v>72.0</v>
      </c>
      <c r="P931" s="2">
        <v>11.0</v>
      </c>
      <c r="Q931" s="2">
        <v>14.0</v>
      </c>
      <c r="R931" s="2">
        <v>0.0</v>
      </c>
      <c r="S931" s="3" t="s">
        <v>3811</v>
      </c>
      <c r="T931" s="2" t="s">
        <v>3812</v>
      </c>
      <c r="Y931" s="4" t="str">
        <f>IFERROR(__xludf.DUMMYFUNCTION("""COMPUTED_VALUE"""),"6.6895314")</f>
        <v>6.6895314</v>
      </c>
      <c r="Z931" s="4" t="str">
        <f>IFERROR(__xludf.DUMMYFUNCTION("""COMPUTED_VALUE"""),"2.990057")</f>
        <v>2.990057</v>
      </c>
      <c r="AA931" s="4" t="str">
        <f t="shared" si="1"/>
        <v>Not Neighbor</v>
      </c>
      <c r="AC931" s="4">
        <f>IFERROR(__xludf.DUMMYFUNCTION("IFERROR(ABS(O931-AVERAGE(FILTER(O931:O4999,AA931:AA4999=""Neighbor""))) / STDEV(FILTER(O931:O4999, AA931:AA4999 =""Neighbor"")), """")"),0.19793178951643928)</f>
        <v>0.1979317895</v>
      </c>
      <c r="AD931" s="4">
        <f>IFERROR(__xludf.DUMMYFUNCTION("IFERROR(ABS(P931-AVERAGE(FILTER(O931:P4999,AA931:AA4999=""Neighbor""))) / STDEV(FILTER(P931:P4999, AA931:AA4999 =""Neighbor"")), """")"),1.351517120819833)</f>
        <v>1.351517121</v>
      </c>
      <c r="AE931" s="2">
        <f>IFERROR(__xludf.DUMMYFUNCTION("IFERROR(ABS(Q931-AVERAGE(FILTER(Q931:Q4999,AA931:AA4999=""Neighbor""))) / STDEV(FILTER(Q931:Q4999, AA931:AA4999 =""Neighbor"")), """")"),0.44767820387965873)</f>
        <v>0.4476782039</v>
      </c>
      <c r="AF931" s="2">
        <f>IFERROR(__xludf.DUMMYFUNCTION("IFERROR(ABS(R931-AVERAGE(FILTER(R931:R4999,AA931:AA4999=""Neighbor""))) / STDEV(FILTER(R931:R4999, AA931:AA4999 =""Neighbor"")), """")"),0.2468557726036252)</f>
        <v>0.2468557726</v>
      </c>
    </row>
    <row r="932">
      <c r="A932" s="2" t="s">
        <v>28</v>
      </c>
      <c r="B932" s="2" t="s">
        <v>3320</v>
      </c>
      <c r="C932" s="2" t="s">
        <v>3756</v>
      </c>
      <c r="D932" s="2" t="s">
        <v>3813</v>
      </c>
      <c r="E932" s="2" t="s">
        <v>3814</v>
      </c>
      <c r="F932" s="2">
        <v>218.0</v>
      </c>
      <c r="G932" s="2">
        <v>721.0</v>
      </c>
      <c r="H932" s="2" t="b">
        <v>1</v>
      </c>
      <c r="I932" s="2">
        <v>-1.0</v>
      </c>
      <c r="J932" s="2" t="b">
        <v>0</v>
      </c>
      <c r="K932" s="2" t="b">
        <v>0</v>
      </c>
      <c r="L932" s="2" t="b">
        <v>0</v>
      </c>
      <c r="M932" s="2" t="b">
        <v>0</v>
      </c>
      <c r="N932" s="2" t="s">
        <v>33</v>
      </c>
      <c r="O932" s="2">
        <v>164.0</v>
      </c>
      <c r="P932" s="2">
        <v>3.0</v>
      </c>
      <c r="Q932" s="2">
        <v>24.0</v>
      </c>
      <c r="R932" s="2">
        <v>2.0</v>
      </c>
      <c r="S932" s="3" t="s">
        <v>3815</v>
      </c>
      <c r="T932" s="2" t="s">
        <v>3816</v>
      </c>
      <c r="Y932" s="4" t="str">
        <f>IFERROR(__xludf.DUMMYFUNCTION("""COMPUTED_VALUE"""),"6.5937233")</f>
        <v>6.5937233</v>
      </c>
      <c r="Z932" s="4" t="str">
        <f>IFERROR(__xludf.DUMMYFUNCTION("""COMPUTED_VALUE"""),"2.945068")</f>
        <v>2.945068</v>
      </c>
      <c r="AA932" s="4" t="str">
        <f t="shared" si="1"/>
        <v>Not Neighbor</v>
      </c>
      <c r="AC932" s="4">
        <f>IFERROR(__xludf.DUMMYFUNCTION("IFERROR(ABS(O932-AVERAGE(FILTER(O932:O5000,AA932:AA5000=""Neighbor""))) / STDEV(FILTER(O932:O5000, AA932:AA5000 =""Neighbor"")), """")"),2.426394594561665)</f>
        <v>2.426394595</v>
      </c>
      <c r="AD932" s="4">
        <f>IFERROR(__xludf.DUMMYFUNCTION("IFERROR(ABS(P932-AVERAGE(FILTER(O932:P5000,AA932:AA5000=""Neighbor""))) / STDEV(FILTER(P932:P5000, AA932:AA5000 =""Neighbor"")), """")"),1.7256443739652296)</f>
        <v>1.725644374</v>
      </c>
      <c r="AE932" s="2">
        <f>IFERROR(__xludf.DUMMYFUNCTION("IFERROR(ABS(Q932-AVERAGE(FILTER(Q932:Q5000,AA932:AA5000=""Neighbor""))) / STDEV(FILTER(Q932:Q5000, AA932:AA5000 =""Neighbor"")), """")"),0.028196724973116417)</f>
        <v>0.02819672497</v>
      </c>
      <c r="AF932" s="2">
        <f>IFERROR(__xludf.DUMMYFUNCTION("IFERROR(ABS(R932-AVERAGE(FILTER(R932:R5000,AA932:AA5000=""Neighbor""))) / STDEV(FILTER(R932:R5000, AA932:AA5000 =""Neighbor"")), """")"),1.2488990226711882)</f>
        <v>1.248899023</v>
      </c>
    </row>
    <row r="933">
      <c r="A933" s="2" t="s">
        <v>28</v>
      </c>
      <c r="B933" s="2" t="s">
        <v>3320</v>
      </c>
      <c r="C933" s="2" t="s">
        <v>3817</v>
      </c>
      <c r="D933" s="2" t="s">
        <v>3818</v>
      </c>
      <c r="E933" s="2" t="s">
        <v>3819</v>
      </c>
      <c r="F933" s="2">
        <v>175.0</v>
      </c>
      <c r="G933" s="2">
        <v>1229.0</v>
      </c>
      <c r="H933" s="2" t="b">
        <v>1</v>
      </c>
      <c r="I933" s="2">
        <v>-1.0</v>
      </c>
      <c r="J933" s="2" t="b">
        <v>0</v>
      </c>
      <c r="K933" s="2" t="b">
        <v>0</v>
      </c>
      <c r="L933" s="2" t="b">
        <v>0</v>
      </c>
      <c r="M933" s="2" t="b">
        <v>0</v>
      </c>
      <c r="N933" s="2" t="s">
        <v>33</v>
      </c>
      <c r="O933" s="2">
        <v>102.0</v>
      </c>
      <c r="P933" s="2">
        <v>18.0</v>
      </c>
      <c r="Q933" s="2">
        <v>29.0</v>
      </c>
      <c r="R933" s="2">
        <v>0.0</v>
      </c>
      <c r="S933" s="3" t="s">
        <v>3820</v>
      </c>
      <c r="T933" s="2" t="s">
        <v>3821</v>
      </c>
      <c r="Y933" s="4" t="str">
        <f>IFERROR(__xludf.DUMMYFUNCTION("""COMPUTED_VALUE"""),"6.7415783")</f>
        <v>6.7415783</v>
      </c>
      <c r="Z933" s="4" t="str">
        <f>IFERROR(__xludf.DUMMYFUNCTION("""COMPUTED_VALUE"""),"2.9988098")</f>
        <v>2.9988098</v>
      </c>
      <c r="AA933" s="4" t="str">
        <f t="shared" si="1"/>
        <v>Not Neighbor</v>
      </c>
      <c r="AC933" s="4">
        <f>IFERROR(__xludf.DUMMYFUNCTION("IFERROR(ABS(O933-AVERAGE(FILTER(O933:O5001,AA933:AA5001=""Neighbor""))) / STDEV(FILTER(O933:O5001, AA933:AA5001 =""Neighbor"")), """")"),0.9246044433355346)</f>
        <v>0.9246044433</v>
      </c>
      <c r="AD933" s="4">
        <f>IFERROR(__xludf.DUMMYFUNCTION("IFERROR(ABS(P933-AVERAGE(FILTER(O933:P5001,AA933:AA5001=""Neighbor""))) / STDEV(FILTER(P933:P5001, AA933:AA5001 =""Neighbor"")), """")"),1.0241557743176115)</f>
        <v>1.024155774</v>
      </c>
      <c r="AE933" s="2">
        <f>IFERROR(__xludf.DUMMYFUNCTION("IFERROR(ABS(Q933-AVERAGE(FILTER(Q933:Q5001,AA933:AA5001=""Neighbor""))) / STDEV(FILTER(Q933:Q5001, AA933:AA5001 =""Neighbor"")), """")"),0.18154401448015473)</f>
        <v>0.1815440145</v>
      </c>
      <c r="AF933" s="2">
        <f>IFERROR(__xludf.DUMMYFUNCTION("IFERROR(ABS(R933-AVERAGE(FILTER(R933:R5001,AA933:AA5001=""Neighbor""))) / STDEV(FILTER(R933:R5001, AA933:AA5001 =""Neighbor"")), """")"),0.2468557726036252)</f>
        <v>0.2468557726</v>
      </c>
    </row>
    <row r="934">
      <c r="A934" s="2" t="s">
        <v>28</v>
      </c>
      <c r="B934" s="2" t="s">
        <v>3320</v>
      </c>
      <c r="C934" s="2" t="s">
        <v>3817</v>
      </c>
      <c r="D934" s="2" t="s">
        <v>3822</v>
      </c>
      <c r="E934" s="2" t="s">
        <v>3823</v>
      </c>
      <c r="F934" s="2">
        <v>170.0</v>
      </c>
      <c r="G934" s="2">
        <v>1034.0</v>
      </c>
      <c r="H934" s="2" t="b">
        <v>1</v>
      </c>
      <c r="I934" s="2">
        <v>-1.0</v>
      </c>
      <c r="J934" s="2" t="b">
        <v>0</v>
      </c>
      <c r="K934" s="2" t="b">
        <v>0</v>
      </c>
      <c r="L934" s="2" t="b">
        <v>0</v>
      </c>
      <c r="M934" s="2" t="b">
        <v>0</v>
      </c>
      <c r="N934" s="2" t="s">
        <v>33</v>
      </c>
      <c r="O934" s="2">
        <v>52.0</v>
      </c>
      <c r="P934" s="2">
        <v>0.0</v>
      </c>
      <c r="Q934" s="2">
        <v>19.0</v>
      </c>
      <c r="R934" s="2">
        <v>2.0</v>
      </c>
      <c r="S934" s="3" t="s">
        <v>3824</v>
      </c>
      <c r="T934" s="2" t="s">
        <v>3825</v>
      </c>
      <c r="Y934" s="4" t="str">
        <f>IFERROR(__xludf.DUMMYFUNCTION("""COMPUTED_VALUE"""),"6.7417878")</f>
        <v>6.7417878</v>
      </c>
      <c r="Z934" s="4" t="str">
        <f>IFERROR(__xludf.DUMMYFUNCTION("""COMPUTED_VALUE"""),"3.019135")</f>
        <v>3.019135</v>
      </c>
      <c r="AA934" s="4" t="str">
        <f t="shared" si="1"/>
        <v>Not Neighbor</v>
      </c>
      <c r="AC934" s="4">
        <f>IFERROR(__xludf.DUMMYFUNCTION("IFERROR(ABS(O934-AVERAGE(FILTER(O934:O5002,AA934:AA5002=""Neighbor""))) / STDEV(FILTER(O934:O5002, AA934:AA5002 =""Neighbor"")), """")"),0.2865166463629576)</f>
        <v>0.2865166464</v>
      </c>
      <c r="AD934" s="4">
        <f>IFERROR(__xludf.DUMMYFUNCTION("IFERROR(ABS(P934-AVERAGE(FILTER(O934:P5002,AA934:AA5002=""Neighbor""))) / STDEV(FILTER(P934:P5002, AA934:AA5002 =""Neighbor"")), """")"),1.8659420938947533)</f>
        <v>1.865942094</v>
      </c>
      <c r="AE934" s="2">
        <f>IFERROR(__xludf.DUMMYFUNCTION("IFERROR(ABS(Q934-AVERAGE(FILTER(Q934:Q5002,AA934:AA5002=""Neighbor""))) / STDEV(FILTER(Q934:Q5002, AA934:AA5002 =""Neighbor"")), """")"),0.23793746442638758)</f>
        <v>0.2379374644</v>
      </c>
      <c r="AF934" s="2">
        <f>IFERROR(__xludf.DUMMYFUNCTION("IFERROR(ABS(R934-AVERAGE(FILTER(R934:R5002,AA934:AA5002=""Neighbor""))) / STDEV(FILTER(R934:R5002, AA934:AA5002 =""Neighbor"")), """")"),1.2488990226711882)</f>
        <v>1.248899023</v>
      </c>
    </row>
    <row r="935">
      <c r="A935" s="2" t="s">
        <v>28</v>
      </c>
      <c r="B935" s="2" t="s">
        <v>3320</v>
      </c>
      <c r="C935" s="2" t="s">
        <v>3817</v>
      </c>
      <c r="D935" s="2" t="s">
        <v>3826</v>
      </c>
      <c r="E935" s="2" t="s">
        <v>3827</v>
      </c>
      <c r="F935" s="2">
        <v>144.0</v>
      </c>
      <c r="G935" s="2">
        <v>1066.0</v>
      </c>
      <c r="H935" s="2" t="b">
        <v>1</v>
      </c>
      <c r="I935" s="2">
        <v>-1.0</v>
      </c>
      <c r="J935" s="2" t="b">
        <v>0</v>
      </c>
      <c r="K935" s="2" t="b">
        <v>0</v>
      </c>
      <c r="L935" s="2" t="b">
        <v>0</v>
      </c>
      <c r="M935" s="2" t="b">
        <v>0</v>
      </c>
      <c r="N935" s="2" t="s">
        <v>33</v>
      </c>
      <c r="O935" s="2">
        <v>87.0</v>
      </c>
      <c r="P935" s="2">
        <v>6.0</v>
      </c>
      <c r="Q935" s="2">
        <v>18.0</v>
      </c>
      <c r="R935" s="2">
        <v>1.0</v>
      </c>
      <c r="S935" s="3" t="s">
        <v>3828</v>
      </c>
      <c r="T935" s="2" t="s">
        <v>3829</v>
      </c>
      <c r="Y935" s="4" t="str">
        <f>IFERROR(__xludf.DUMMYFUNCTION("""COMPUTED_VALUE"""),"6.630678")</f>
        <v>6.630678</v>
      </c>
      <c r="Z935" s="4" t="str">
        <f>IFERROR(__xludf.DUMMYFUNCTION("""COMPUTED_VALUE"""),"3.0320459")</f>
        <v>3.0320459</v>
      </c>
      <c r="AA935" s="4" t="str">
        <f t="shared" si="1"/>
        <v>Not Neighbor</v>
      </c>
      <c r="AC935" s="4">
        <f>IFERROR(__xludf.DUMMYFUNCTION("IFERROR(ABS(O935-AVERAGE(FILTER(O935:O5003,AA935:AA5003=""Neighbor""))) / STDEV(FILTER(O935:O5003, AA935:AA5003 =""Neighbor"")), """")"),0.561268116425987)</f>
        <v>0.5612681164</v>
      </c>
      <c r="AD935" s="4">
        <f>IFERROR(__xludf.DUMMYFUNCTION("IFERROR(ABS(P935-AVERAGE(FILTER(O935:P5003,AA935:AA5003=""Neighbor""))) / STDEV(FILTER(P935:P5003, AA935:AA5003 =""Neighbor"")), """")"),1.585346654035706)</f>
        <v>1.585346654</v>
      </c>
      <c r="AE935" s="2">
        <f>IFERROR(__xludf.DUMMYFUNCTION("IFERROR(ABS(Q935-AVERAGE(FILTER(Q935:Q5003,AA935:AA5003=""Neighbor""))) / STDEV(FILTER(Q935:Q5003, AA935:AA5003 =""Neighbor"")), """")"),0.2798856123170418)</f>
        <v>0.2798856123</v>
      </c>
      <c r="AF935" s="2">
        <f>IFERROR(__xludf.DUMMYFUNCTION("IFERROR(ABS(R935-AVERAGE(FILTER(R935:R5003,AA935:AA5003=""Neighbor""))) / STDEV(FILTER(R935:R5003, AA935:AA5003 =""Neighbor"")), """")"),0.5010216250337814)</f>
        <v>0.501021625</v>
      </c>
    </row>
    <row r="936">
      <c r="A936" s="2" t="s">
        <v>28</v>
      </c>
      <c r="B936" s="2" t="s">
        <v>3320</v>
      </c>
      <c r="C936" s="2" t="s">
        <v>3817</v>
      </c>
      <c r="D936" s="2" t="s">
        <v>3830</v>
      </c>
      <c r="E936" s="2" t="s">
        <v>3831</v>
      </c>
      <c r="F936" s="2">
        <v>257.0</v>
      </c>
      <c r="G936" s="2">
        <v>1323.0</v>
      </c>
      <c r="H936" s="2" t="b">
        <v>1</v>
      </c>
      <c r="I936" s="2">
        <v>-1.0</v>
      </c>
      <c r="J936" s="2" t="b">
        <v>0</v>
      </c>
      <c r="K936" s="2" t="b">
        <v>0</v>
      </c>
      <c r="L936" s="2" t="b">
        <v>0</v>
      </c>
      <c r="M936" s="2" t="b">
        <v>0</v>
      </c>
      <c r="N936" s="2" t="s">
        <v>33</v>
      </c>
      <c r="O936" s="2">
        <v>163.0</v>
      </c>
      <c r="P936" s="2">
        <v>15.0</v>
      </c>
      <c r="Q936" s="2">
        <v>37.0</v>
      </c>
      <c r="R936" s="2">
        <v>0.0</v>
      </c>
      <c r="S936" s="3" t="s">
        <v>3832</v>
      </c>
      <c r="T936" s="2" t="s">
        <v>3833</v>
      </c>
      <c r="Y936" s="4" t="str">
        <f>IFERROR(__xludf.DUMMYFUNCTION("""COMPUTED_VALUE"""),"6.6959335")</f>
        <v>6.6959335</v>
      </c>
      <c r="Z936" s="4" t="str">
        <f>IFERROR(__xludf.DUMMYFUNCTION("""COMPUTED_VALUE"""),"2.9865029")</f>
        <v>2.9865029</v>
      </c>
      <c r="AA936" s="4" t="str">
        <f t="shared" si="1"/>
        <v>Neighbor</v>
      </c>
      <c r="AC936" s="4">
        <f>IFERROR(__xludf.DUMMYFUNCTION("IFERROR(ABS(O936-AVERAGE(FILTER(O936:O5004,AA936:AA5004=""Neighbor""))) / STDEV(FILTER(O936:O5004, AA936:AA5004 =""Neighbor"")), """")"),2.402172172767695)</f>
        <v>2.402172173</v>
      </c>
      <c r="AD936" s="4">
        <f>IFERROR(__xludf.DUMMYFUNCTION("IFERROR(ABS(P936-AVERAGE(FILTER(O936:P5004,AA936:AA5004=""Neighbor""))) / STDEV(FILTER(P936:P5004, AA936:AA5004 =""Neighbor"")), """")"),1.164453494247135)</f>
        <v>1.164453494</v>
      </c>
      <c r="AE936" s="2">
        <f>IFERROR(__xludf.DUMMYFUNCTION("IFERROR(ABS(Q936-AVERAGE(FILTER(Q936:Q5004,AA936:AA5004=""Neighbor""))) / STDEV(FILTER(Q936:Q5004, AA936:AA5004 =""Neighbor"")), """")"),0.5171291976053886)</f>
        <v>0.5171291976</v>
      </c>
      <c r="AF936" s="2">
        <f>IFERROR(__xludf.DUMMYFUNCTION("IFERROR(ABS(R936-AVERAGE(FILTER(R936:R5004,AA936:AA5004=""Neighbor""))) / STDEV(FILTER(R936:R5004, AA936:AA5004 =""Neighbor"")), """")"),0.2468557726036252)</f>
        <v>0.2468557726</v>
      </c>
    </row>
    <row r="937">
      <c r="A937" s="2" t="s">
        <v>28</v>
      </c>
      <c r="B937" s="2" t="s">
        <v>3320</v>
      </c>
      <c r="C937" s="2" t="s">
        <v>3817</v>
      </c>
      <c r="D937" s="2" t="s">
        <v>3834</v>
      </c>
      <c r="E937" s="2" t="s">
        <v>3835</v>
      </c>
      <c r="F937" s="2">
        <v>220.0</v>
      </c>
      <c r="G937" s="2">
        <v>1300.0</v>
      </c>
      <c r="H937" s="2" t="b">
        <v>1</v>
      </c>
      <c r="I937" s="2">
        <v>-1.0</v>
      </c>
      <c r="J937" s="2" t="b">
        <v>0</v>
      </c>
      <c r="K937" s="2" t="b">
        <v>1</v>
      </c>
      <c r="L937" s="2" t="b">
        <v>0</v>
      </c>
      <c r="M937" s="2" t="b">
        <v>0</v>
      </c>
      <c r="N937" s="2" t="s">
        <v>33</v>
      </c>
      <c r="O937" s="2">
        <v>153.0</v>
      </c>
      <c r="P937" s="2">
        <v>22.0</v>
      </c>
      <c r="Q937" s="2">
        <v>20.0</v>
      </c>
      <c r="R937" s="2">
        <v>0.0</v>
      </c>
      <c r="S937" s="3" t="s">
        <v>3836</v>
      </c>
      <c r="T937" s="2" t="s">
        <v>3837</v>
      </c>
      <c r="Y937" s="4" t="str">
        <f>IFERROR(__xludf.DUMMYFUNCTION("""COMPUTED_VALUE"""),"6.6959335")</f>
        <v>6.6959335</v>
      </c>
      <c r="Z937" s="4" t="str">
        <f>IFERROR(__xludf.DUMMYFUNCTION("""COMPUTED_VALUE"""),"2.9865029")</f>
        <v>2.9865029</v>
      </c>
      <c r="AA937" s="4" t="str">
        <f t="shared" si="1"/>
        <v>Neighbor</v>
      </c>
      <c r="AC937" s="4">
        <f>IFERROR(__xludf.DUMMYFUNCTION("IFERROR(ABS(O937-AVERAGE(FILTER(O937:O5005,AA937:AA5005=""Neighbor""))) / STDEV(FILTER(O937:O5005, AA937:AA5005 =""Neighbor"")), """")"),2.1656522239341394)</f>
        <v>2.165652224</v>
      </c>
      <c r="AD937" s="4">
        <f>IFERROR(__xludf.DUMMYFUNCTION("IFERROR(ABS(P937-AVERAGE(FILTER(O937:P5005,AA937:AA5005=""Neighbor""))) / STDEV(FILTER(P937:P5005, AA937:AA5005 =""Neighbor"")), """")"),0.8350506704300501)</f>
        <v>0.8350506704</v>
      </c>
      <c r="AE937" s="2">
        <f>IFERROR(__xludf.DUMMYFUNCTION("IFERROR(ABS(Q937-AVERAGE(FILTER(Q937:Q5005,AA937:AA5005=""Neighbor""))) / STDEV(FILTER(Q937:Q5005, AA937:AA5005 =""Neighbor"")), """")"),0.19554629173260607)</f>
        <v>0.1955462917</v>
      </c>
      <c r="AF937" s="2">
        <f>IFERROR(__xludf.DUMMYFUNCTION("IFERROR(ABS(R937-AVERAGE(FILTER(R937:R5005,AA937:AA5005=""Neighbor""))) / STDEV(FILTER(R937:R5005, AA937:AA5005 =""Neighbor"")), """")"),0.24695422402379377)</f>
        <v>0.246954224</v>
      </c>
    </row>
    <row r="938">
      <c r="A938" s="2" t="s">
        <v>28</v>
      </c>
      <c r="B938" s="2" t="s">
        <v>3320</v>
      </c>
      <c r="C938" s="2" t="s">
        <v>3817</v>
      </c>
      <c r="D938" s="2" t="s">
        <v>3838</v>
      </c>
      <c r="E938" s="2" t="s">
        <v>3839</v>
      </c>
      <c r="F938" s="2">
        <v>230.0</v>
      </c>
      <c r="G938" s="2">
        <v>1439.0</v>
      </c>
      <c r="H938" s="2" t="b">
        <v>1</v>
      </c>
      <c r="I938" s="2">
        <v>-1.0</v>
      </c>
      <c r="J938" s="2" t="b">
        <v>0</v>
      </c>
      <c r="K938" s="2" t="b">
        <v>0</v>
      </c>
      <c r="L938" s="2" t="b">
        <v>0</v>
      </c>
      <c r="M938" s="2" t="b">
        <v>0</v>
      </c>
      <c r="N938" s="2" t="s">
        <v>33</v>
      </c>
      <c r="O938" s="2">
        <v>140.0</v>
      </c>
      <c r="P938" s="2">
        <v>24.0</v>
      </c>
      <c r="Q938" s="2">
        <v>29.0</v>
      </c>
      <c r="R938" s="2">
        <v>1.0</v>
      </c>
      <c r="S938" s="3" t="s">
        <v>3840</v>
      </c>
      <c r="T938" s="2" t="s">
        <v>3841</v>
      </c>
      <c r="Y938" s="4" t="str">
        <f>IFERROR(__xludf.DUMMYFUNCTION("""COMPUTED_VALUE"""),"6.6959335")</f>
        <v>6.6959335</v>
      </c>
      <c r="Z938" s="4" t="str">
        <f>IFERROR(__xludf.DUMMYFUNCTION("""COMPUTED_VALUE"""),"2.9865029")</f>
        <v>2.9865029</v>
      </c>
      <c r="AA938" s="4" t="str">
        <f t="shared" si="1"/>
        <v>Not Neighbor</v>
      </c>
      <c r="AC938" s="4">
        <f>IFERROR(__xludf.DUMMYFUNCTION("IFERROR(ABS(O938-AVERAGE(FILTER(O938:O5006,AA938:AA5006=""Neighbor""))) / STDEV(FILTER(O938:O5006, AA938:AA5006 =""Neighbor"")), """")"),1.8544064640011177)</f>
        <v>1.854406464</v>
      </c>
      <c r="AD938" s="4">
        <f>IFERROR(__xludf.DUMMYFUNCTION("IFERROR(ABS(P938-AVERAGE(FILTER(O938:P5006,AA938:AA5006=""Neighbor""))) / STDEV(FILTER(P938:P5006, AA938:AA5006 =""Neighbor"")), """")"),0.7396205621672688)</f>
        <v>0.7396205622</v>
      </c>
      <c r="AE938" s="2">
        <f>IFERROR(__xludf.DUMMYFUNCTION("IFERROR(ABS(Q938-AVERAGE(FILTER(Q938:Q5006,AA938:AA5006=""Neighbor""))) / STDEV(FILTER(Q938:Q5006, AA938:AA5006 =""Neighbor"")), """")"),0.1816699110432425)</f>
        <v>0.181669911</v>
      </c>
      <c r="AF938" s="2">
        <f>IFERROR(__xludf.DUMMYFUNCTION("IFERROR(ABS(R938-AVERAGE(FILTER(R938:R5006,AA938:AA5006=""Neighbor""))) / STDEV(FILTER(R938:R5006, AA938:AA5006 =""Neighbor"")), """")"),0.5002959755751656)</f>
        <v>0.5002959756</v>
      </c>
    </row>
    <row r="939">
      <c r="A939" s="2" t="s">
        <v>28</v>
      </c>
      <c r="B939" s="2" t="s">
        <v>3320</v>
      </c>
      <c r="C939" s="2" t="s">
        <v>3817</v>
      </c>
      <c r="D939" s="2" t="s">
        <v>3842</v>
      </c>
      <c r="E939" s="2" t="s">
        <v>3843</v>
      </c>
      <c r="F939" s="2">
        <v>84.0</v>
      </c>
      <c r="G939" s="2">
        <v>596.0</v>
      </c>
      <c r="H939" s="2" t="b">
        <v>1</v>
      </c>
      <c r="I939" s="2">
        <v>-1.0</v>
      </c>
      <c r="J939" s="2" t="b">
        <v>0</v>
      </c>
      <c r="K939" s="2" t="b">
        <v>0</v>
      </c>
      <c r="L939" s="2" t="b">
        <v>0</v>
      </c>
      <c r="M939" s="2" t="b">
        <v>0</v>
      </c>
      <c r="N939" s="2" t="s">
        <v>33</v>
      </c>
      <c r="O939" s="2">
        <v>52.0</v>
      </c>
      <c r="P939" s="2">
        <v>5.0</v>
      </c>
      <c r="Q939" s="2">
        <v>14.0</v>
      </c>
      <c r="R939" s="2">
        <v>0.0</v>
      </c>
      <c r="S939" s="3" t="s">
        <v>3844</v>
      </c>
      <c r="T939" s="2" t="s">
        <v>3845</v>
      </c>
      <c r="Y939" s="4" t="str">
        <f>IFERROR(__xludf.DUMMYFUNCTION("""COMPUTED_VALUE"""),"6.7348123")</f>
        <v>6.7348123</v>
      </c>
      <c r="Z939" s="4" t="str">
        <f>IFERROR(__xludf.DUMMYFUNCTION("""COMPUTED_VALUE"""),"3.0125674")</f>
        <v>3.0125674</v>
      </c>
      <c r="AA939" s="4" t="str">
        <f t="shared" si="1"/>
        <v>Neighbor</v>
      </c>
      <c r="AC939" s="4">
        <f>IFERROR(__xludf.DUMMYFUNCTION("IFERROR(ABS(O939-AVERAGE(FILTER(O939:O5007,AA939:AA5007=""Neighbor""))) / STDEV(FILTER(O939:O5007, AA939:AA5007 =""Neighbor"")), """")"),0.2839870966342097)</f>
        <v>0.2839870966</v>
      </c>
      <c r="AD939" s="4">
        <f>IFERROR(__xludf.DUMMYFUNCTION("IFERROR(ABS(P939-AVERAGE(FILTER(O939:P5007,AA939:AA5007=""Neighbor""))) / STDEV(FILTER(P939:P5007, AA939:AA5007 =""Neighbor"")), """")"),1.6275312113538958)</f>
        <v>1.627531211</v>
      </c>
      <c r="AE939" s="2">
        <f>IFERROR(__xludf.DUMMYFUNCTION("IFERROR(ABS(Q939-AVERAGE(FILTER(Q939:Q5007,AA939:AA5007=""Neighbor""))) / STDEV(FILTER(Q939:Q5007, AA939:AA5007 =""Neighbor"")), """")"),0.4471510495095623)</f>
        <v>0.4471510495</v>
      </c>
      <c r="AF939" s="2">
        <f>IFERROR(__xludf.DUMMYFUNCTION("IFERROR(ABS(R939-AVERAGE(FILTER(R939:R5007,AA939:AA5007=""Neighbor""))) / STDEV(FILTER(R939:R5007, AA939:AA5007 =""Neighbor"")), """")"),0.24705279333801763)</f>
        <v>0.2470527933</v>
      </c>
    </row>
    <row r="940">
      <c r="A940" s="2" t="s">
        <v>28</v>
      </c>
      <c r="B940" s="2" t="s">
        <v>3320</v>
      </c>
      <c r="C940" s="2" t="s">
        <v>3817</v>
      </c>
      <c r="D940" s="2" t="s">
        <v>3846</v>
      </c>
      <c r="E940" s="2" t="s">
        <v>3847</v>
      </c>
      <c r="F940" s="2">
        <v>118.0</v>
      </c>
      <c r="G940" s="2">
        <v>849.0</v>
      </c>
      <c r="H940" s="2" t="b">
        <v>1</v>
      </c>
      <c r="I940" s="2">
        <v>-1.0</v>
      </c>
      <c r="J940" s="2" t="b">
        <v>0</v>
      </c>
      <c r="K940" s="2" t="b">
        <v>0</v>
      </c>
      <c r="L940" s="2" t="b">
        <v>0</v>
      </c>
      <c r="M940" s="2" t="b">
        <v>0</v>
      </c>
      <c r="N940" s="2" t="s">
        <v>33</v>
      </c>
      <c r="O940" s="2">
        <v>0.0</v>
      </c>
      <c r="P940" s="2">
        <v>0.0</v>
      </c>
      <c r="Q940" s="2">
        <v>0.0</v>
      </c>
      <c r="R940" s="2">
        <v>0.0</v>
      </c>
      <c r="S940" s="3" t="s">
        <v>3848</v>
      </c>
      <c r="T940" s="2" t="s">
        <v>3849</v>
      </c>
      <c r="Y940" s="4" t="str">
        <f>IFERROR(__xludf.DUMMYFUNCTION("""COMPUTED_VALUE"""),"6.7417878")</f>
        <v>6.7417878</v>
      </c>
      <c r="Z940" s="4" t="str">
        <f>IFERROR(__xludf.DUMMYFUNCTION("""COMPUTED_VALUE"""),"3.019135")</f>
        <v>3.019135</v>
      </c>
      <c r="AA940" s="4" t="str">
        <f t="shared" si="1"/>
        <v>Not Neighbor</v>
      </c>
      <c r="AC940" s="4">
        <f>IFERROR(__xludf.DUMMYFUNCTION("IFERROR(ABS(O940-AVERAGE(FILTER(O940:O5008,AA940:AA5008=""Neighbor""))) / STDEV(FILTER(O940:O5008, AA940:AA5008 =""Neighbor"")), """")"),1.547261048024228)</f>
        <v>1.547261048</v>
      </c>
      <c r="AD940" s="4">
        <f>IFERROR(__xludf.DUMMYFUNCTION("IFERROR(ABS(P940-AVERAGE(FILTER(O940:P5008,AA940:AA5008=""Neighbor""))) / STDEV(FILTER(P940:P5008, AA940:AA5008 =""Neighbor"")), """")"),1.8610735721533995)</f>
        <v>1.861073572</v>
      </c>
      <c r="AE940" s="2">
        <f>IFERROR(__xludf.DUMMYFUNCTION("IFERROR(ABS(Q940-AVERAGE(FILTER(Q940:Q5008,AA940:AA5008=""Neighbor""))) / STDEV(FILTER(Q940:Q5008, AA940:AA5008 =""Neighbor"")), """")"),1.0340757221434416)</f>
        <v>1.034075722</v>
      </c>
      <c r="AF940" s="2">
        <f>IFERROR(__xludf.DUMMYFUNCTION("IFERROR(ABS(R940-AVERAGE(FILTER(R940:R5008,AA940:AA5008=""Neighbor""))) / STDEV(FILTER(R940:R5008, AA940:AA5008 =""Neighbor"")), """")"),0.2471514807817908)</f>
        <v>0.2471514808</v>
      </c>
    </row>
    <row r="941">
      <c r="A941" s="2" t="s">
        <v>28</v>
      </c>
      <c r="B941" s="2" t="s">
        <v>3320</v>
      </c>
      <c r="C941" s="2" t="s">
        <v>3850</v>
      </c>
      <c r="D941" s="2" t="s">
        <v>3851</v>
      </c>
      <c r="E941" s="2" t="s">
        <v>3852</v>
      </c>
      <c r="F941" s="2">
        <v>147.0</v>
      </c>
      <c r="G941" s="2">
        <v>820.0</v>
      </c>
      <c r="H941" s="2" t="b">
        <v>1</v>
      </c>
      <c r="I941" s="2">
        <v>-1.0</v>
      </c>
      <c r="J941" s="2" t="b">
        <v>0</v>
      </c>
      <c r="K941" s="2" t="b">
        <v>0</v>
      </c>
      <c r="L941" s="2" t="b">
        <v>0</v>
      </c>
      <c r="M941" s="2" t="b">
        <v>0</v>
      </c>
      <c r="N941" s="2" t="s">
        <v>33</v>
      </c>
      <c r="O941" s="2">
        <v>93.0</v>
      </c>
      <c r="P941" s="2">
        <v>16.0</v>
      </c>
      <c r="Q941" s="2">
        <v>23.0</v>
      </c>
      <c r="R941" s="2">
        <v>0.0</v>
      </c>
      <c r="S941" s="3" t="s">
        <v>3853</v>
      </c>
      <c r="T941" s="2" t="s">
        <v>3854</v>
      </c>
      <c r="Y941" s="4" t="str">
        <f>IFERROR(__xludf.DUMMYFUNCTION("""COMPUTED_VALUE"""),"6.7034082")</f>
        <v>6.7034082</v>
      </c>
      <c r="Z941" s="4" t="str">
        <f>IFERROR(__xludf.DUMMYFUNCTION("""COMPUTED_VALUE"""),"2.9026172")</f>
        <v>2.9026172</v>
      </c>
      <c r="AA941" s="4" t="str">
        <f t="shared" si="1"/>
        <v>Not Neighbor</v>
      </c>
      <c r="AC941" s="4">
        <f>IFERROR(__xludf.DUMMYFUNCTION("IFERROR(ABS(O941-AVERAGE(FILTER(O941:O5009,AA941:AA5009=""Neighbor""))) / STDEV(FILTER(O941:O5009, AA941:AA5009 =""Neighbor"")), """")"),0.7118491833623367)</f>
        <v>0.7118491834</v>
      </c>
      <c r="AD941" s="4">
        <f>IFERROR(__xludf.DUMMYFUNCTION("IFERROR(ABS(P941-AVERAGE(FILTER(O941:P5009,AA941:AA5009=""Neighbor""))) / STDEV(FILTER(P941:P5009, AA941:AA5009 =""Neighbor"")), """")"),1.1135670866401057)</f>
        <v>1.113567087</v>
      </c>
      <c r="AE941" s="2">
        <f>IFERROR(__xludf.DUMMYFUNCTION("IFERROR(ABS(Q941-AVERAGE(FILTER(Q941:Q5009,AA941:AA5009=""Neighbor""))) / STDEV(FILTER(Q941:Q5009, AA941:AA5009 =""Neighbor"")), """")"),0.07017427403117393)</f>
        <v>0.07017427403</v>
      </c>
      <c r="AF941" s="2">
        <f>IFERROR(__xludf.DUMMYFUNCTION("IFERROR(ABS(R941-AVERAGE(FILTER(R941:R5009,AA941:AA5009=""Neighbor""))) / STDEV(FILTER(R941:R5009, AA941:AA5009 =""Neighbor"")), """")"),0.2471514807817908)</f>
        <v>0.2471514808</v>
      </c>
    </row>
    <row r="942">
      <c r="A942" s="2" t="s">
        <v>28</v>
      </c>
      <c r="B942" s="2" t="s">
        <v>3320</v>
      </c>
      <c r="C942" s="2" t="s">
        <v>3850</v>
      </c>
      <c r="D942" s="2" t="s">
        <v>3855</v>
      </c>
      <c r="E942" s="2" t="s">
        <v>3856</v>
      </c>
      <c r="F942" s="2">
        <v>157.0</v>
      </c>
      <c r="G942" s="2">
        <v>760.0</v>
      </c>
      <c r="H942" s="2" t="b">
        <v>1</v>
      </c>
      <c r="I942" s="2">
        <v>-1.0</v>
      </c>
      <c r="J942" s="2" t="b">
        <v>0</v>
      </c>
      <c r="K942" s="2" t="b">
        <v>0</v>
      </c>
      <c r="L942" s="2" t="b">
        <v>0</v>
      </c>
      <c r="M942" s="2" t="b">
        <v>0</v>
      </c>
      <c r="N942" s="2" t="s">
        <v>33</v>
      </c>
      <c r="O942" s="2">
        <v>89.0</v>
      </c>
      <c r="P942" s="2">
        <v>16.0</v>
      </c>
      <c r="Q942" s="2">
        <v>35.0</v>
      </c>
      <c r="R942" s="2">
        <v>0.0</v>
      </c>
      <c r="S942" s="3" t="s">
        <v>3857</v>
      </c>
      <c r="T942" s="2" t="s">
        <v>3858</v>
      </c>
      <c r="Y942" s="4" t="str">
        <f>IFERROR(__xludf.DUMMYFUNCTION("""COMPUTED_VALUE"""),"6.6329172")</f>
        <v>6.6329172</v>
      </c>
      <c r="Z942" s="4" t="str">
        <f>IFERROR(__xludf.DUMMYFUNCTION("""COMPUTED_VALUE"""),"2.8198069")</f>
        <v>2.8198069</v>
      </c>
      <c r="AA942" s="4" t="str">
        <f t="shared" si="1"/>
        <v>Neighbor</v>
      </c>
      <c r="AC942" s="4">
        <f>IFERROR(__xludf.DUMMYFUNCTION("IFERROR(ABS(O942-AVERAGE(FILTER(O942:O5010,AA942:AA5010=""Neighbor""))) / STDEV(FILTER(O942:O5010, AA942:AA5010 =""Neighbor"")), """")"),0.61468315190485)</f>
        <v>0.6146831519</v>
      </c>
      <c r="AD942" s="4">
        <f>IFERROR(__xludf.DUMMYFUNCTION("IFERROR(ABS(P942-AVERAGE(FILTER(O942:P5010,AA942:AA5010=""Neighbor""))) / STDEV(FILTER(P942:P5010, AA942:AA5010 =""Neighbor"")), """")"),1.1135670866401057)</f>
        <v>1.113567087</v>
      </c>
      <c r="AE942" s="2">
        <f>IFERROR(__xludf.DUMMYFUNCTION("IFERROR(ABS(Q942-AVERAGE(FILTER(Q942:Q5010,AA942:AA5010=""Neighbor""))) / STDEV(FILTER(Q942:Q5010, AA942:AA5010 =""Neighbor"")), """")"),0.4327308293317483)</f>
        <v>0.4327308293</v>
      </c>
      <c r="AF942" s="2">
        <f>IFERROR(__xludf.DUMMYFUNCTION("IFERROR(ABS(R942-AVERAGE(FILTER(R942:R5010,AA942:AA5010=""Neighbor""))) / STDEV(FILTER(R942:R5010, AA942:AA5010 =""Neighbor"")), """")"),0.2471514807817908)</f>
        <v>0.2471514808</v>
      </c>
    </row>
    <row r="943">
      <c r="A943" s="2" t="s">
        <v>28</v>
      </c>
      <c r="B943" s="2" t="s">
        <v>3320</v>
      </c>
      <c r="C943" s="2" t="s">
        <v>3850</v>
      </c>
      <c r="D943" s="2" t="s">
        <v>3859</v>
      </c>
      <c r="E943" s="2" t="s">
        <v>3860</v>
      </c>
      <c r="F943" s="2">
        <v>114.0</v>
      </c>
      <c r="G943" s="2">
        <v>782.0</v>
      </c>
      <c r="H943" s="2" t="b">
        <v>1</v>
      </c>
      <c r="I943" s="2">
        <v>-1.0</v>
      </c>
      <c r="J943" s="2" t="b">
        <v>0</v>
      </c>
      <c r="K943" s="2" t="b">
        <v>1</v>
      </c>
      <c r="L943" s="2" t="b">
        <v>0</v>
      </c>
      <c r="M943" s="2" t="b">
        <v>0</v>
      </c>
      <c r="N943" s="2" t="s">
        <v>33</v>
      </c>
      <c r="O943" s="2">
        <v>76.0</v>
      </c>
      <c r="P943" s="2">
        <v>5.0</v>
      </c>
      <c r="Q943" s="2">
        <v>18.0</v>
      </c>
      <c r="R943" s="2">
        <v>0.0</v>
      </c>
      <c r="S943" s="3" t="s">
        <v>3861</v>
      </c>
      <c r="T943" s="2" t="s">
        <v>3862</v>
      </c>
      <c r="Y943" s="4" t="str">
        <f>IFERROR(__xludf.DUMMYFUNCTION("""COMPUTED_VALUE"""),"6.6329172")</f>
        <v>6.6329172</v>
      </c>
      <c r="Z943" s="4" t="str">
        <f>IFERROR(__xludf.DUMMYFUNCTION("""COMPUTED_VALUE"""),"2.8198069")</f>
        <v>2.8198069</v>
      </c>
      <c r="AA943" s="4" t="str">
        <f t="shared" si="1"/>
        <v>Not Neighbor</v>
      </c>
      <c r="AC943" s="4">
        <f>IFERROR(__xludf.DUMMYFUNCTION("IFERROR(ABS(O943-AVERAGE(FILTER(O943:O5011,AA943:AA5011=""Neighbor""))) / STDEV(FILTER(O943:O5011, AA943:AA5011 =""Neighbor"")), """")"),0.29928688573629114)</f>
        <v>0.2992868857</v>
      </c>
      <c r="AD943" s="4">
        <f>IFERROR(__xludf.DUMMYFUNCTION("IFERROR(ABS(P943-AVERAGE(FILTER(O943:P5011,AA943:AA5011=""Neighbor""))) / STDEV(FILTER(P943:P5011, AA943:AA5011 =""Neighbor"")), """")"),1.6264179536428531)</f>
        <v>1.626417954</v>
      </c>
      <c r="AE943" s="2">
        <f>IFERROR(__xludf.DUMMYFUNCTION("IFERROR(ABS(Q943-AVERAGE(FILTER(Q943:Q5011,AA943:AA5011=""Neighbor""))) / STDEV(FILTER(Q943:Q5011, AA943:AA5011 =""Neighbor"")), """")"),0.2793060900807195)</f>
        <v>0.2793060901</v>
      </c>
      <c r="AF943" s="2">
        <f>IFERROR(__xludf.DUMMYFUNCTION("IFERROR(ABS(R943-AVERAGE(FILTER(R943:R5011,AA943:AA5011=""Neighbor""))) / STDEV(FILTER(R943:R5011, AA943:AA5011 =""Neighbor"")), """")"),0.2472502865912659)</f>
        <v>0.2472502866</v>
      </c>
    </row>
    <row r="944">
      <c r="A944" s="2" t="s">
        <v>28</v>
      </c>
      <c r="B944" s="2" t="s">
        <v>3320</v>
      </c>
      <c r="C944" s="2" t="s">
        <v>3850</v>
      </c>
      <c r="D944" s="2" t="s">
        <v>3863</v>
      </c>
      <c r="E944" s="2" t="s">
        <v>3864</v>
      </c>
      <c r="F944" s="2">
        <v>226.0</v>
      </c>
      <c r="G944" s="2">
        <v>883.0</v>
      </c>
      <c r="H944" s="2" t="b">
        <v>1</v>
      </c>
      <c r="I944" s="2">
        <v>-1.0</v>
      </c>
      <c r="J944" s="2" t="b">
        <v>0</v>
      </c>
      <c r="K944" s="2" t="b">
        <v>0</v>
      </c>
      <c r="L944" s="2" t="b">
        <v>0</v>
      </c>
      <c r="M944" s="2" t="b">
        <v>0</v>
      </c>
      <c r="N944" s="2" t="s">
        <v>33</v>
      </c>
      <c r="O944" s="2">
        <v>159.0</v>
      </c>
      <c r="P944" s="2">
        <v>14.0</v>
      </c>
      <c r="Q944" s="2">
        <v>22.0</v>
      </c>
      <c r="R944" s="2">
        <v>2.0</v>
      </c>
      <c r="S944" s="3" t="s">
        <v>3865</v>
      </c>
      <c r="T944" s="2" t="s">
        <v>3866</v>
      </c>
      <c r="Y944" s="4" t="str">
        <f>IFERROR(__xludf.DUMMYFUNCTION("""COMPUTED_VALUE"""),"6.7034082")</f>
        <v>6.7034082</v>
      </c>
      <c r="Z944" s="4" t="str">
        <f>IFERROR(__xludf.DUMMYFUNCTION("""COMPUTED_VALUE"""),"2.9026172")</f>
        <v>2.9026172</v>
      </c>
      <c r="AA944" s="4" t="str">
        <f t="shared" si="1"/>
        <v>Neighbor</v>
      </c>
      <c r="AC944" s="4">
        <f>IFERROR(__xludf.DUMMYFUNCTION("IFERROR(ABS(O944-AVERAGE(FILTER(O944:O5012,AA944:AA5012=""Neighbor""))) / STDEV(FILTER(O944:O5012, AA944:AA5012 =""Neighbor"")), """")"),2.315009061268066)</f>
        <v>2.315009061</v>
      </c>
      <c r="AD944" s="4">
        <f>IFERROR(__xludf.DUMMYFUNCTION("IFERROR(ABS(P944-AVERAGE(FILTER(O944:P5012,AA944:AA5012=""Neighbor""))) / STDEV(FILTER(P944:P5012, AA944:AA5012 =""Neighbor"")), """")"),1.2061041344009074)</f>
        <v>1.206104134</v>
      </c>
      <c r="AE944" s="2">
        <f>IFERROR(__xludf.DUMMYFUNCTION("IFERROR(ABS(Q944-AVERAGE(FILTER(Q944:Q5012,AA944:AA5012=""Neighbor""))) / STDEV(FILTER(Q944:Q5012, AA944:AA5012 =""Neighbor"")), """")"),0.11172243603228783)</f>
        <v>0.111722436</v>
      </c>
      <c r="AF944" s="2">
        <f>IFERROR(__xludf.DUMMYFUNCTION("IFERROR(ABS(R944-AVERAGE(FILTER(R944:R5012,AA944:AA5012=""Neighbor""))) / STDEV(FILTER(R944:R5012, AA944:AA5012 =""Neighbor"")), """")"),1.2463892579190694)</f>
        <v>1.246389258</v>
      </c>
    </row>
    <row r="945">
      <c r="A945" s="2" t="s">
        <v>28</v>
      </c>
      <c r="B945" s="2" t="s">
        <v>3320</v>
      </c>
      <c r="C945" s="2" t="s">
        <v>3850</v>
      </c>
      <c r="D945" s="2" t="s">
        <v>3867</v>
      </c>
      <c r="E945" s="2" t="s">
        <v>3868</v>
      </c>
      <c r="F945" s="2">
        <v>108.0</v>
      </c>
      <c r="G945" s="2">
        <v>659.0</v>
      </c>
      <c r="H945" s="2" t="b">
        <v>1</v>
      </c>
      <c r="I945" s="2">
        <v>-1.0</v>
      </c>
      <c r="J945" s="2" t="b">
        <v>0</v>
      </c>
      <c r="K945" s="2" t="b">
        <v>0</v>
      </c>
      <c r="L945" s="2" t="b">
        <v>0</v>
      </c>
      <c r="M945" s="2" t="b">
        <v>0</v>
      </c>
      <c r="N945" s="2" t="s">
        <v>33</v>
      </c>
      <c r="O945" s="2">
        <v>33.0</v>
      </c>
      <c r="P945" s="2">
        <v>2.0</v>
      </c>
      <c r="Q945" s="2">
        <v>47.0</v>
      </c>
      <c r="R945" s="2">
        <v>0.0</v>
      </c>
      <c r="S945" s="3" t="s">
        <v>3869</v>
      </c>
      <c r="T945" s="2" t="s">
        <v>3870</v>
      </c>
      <c r="Y945" s="4" t="str">
        <f>IFERROR(__xludf.DUMMYFUNCTION("""COMPUTED_VALUE"""),"6.7034082")</f>
        <v>6.7034082</v>
      </c>
      <c r="Z945" s="4" t="str">
        <f>IFERROR(__xludf.DUMMYFUNCTION("""COMPUTED_VALUE"""),"2.9026172")</f>
        <v>2.9026172</v>
      </c>
      <c r="AA945" s="4" t="str">
        <f t="shared" si="1"/>
        <v>Neighbor</v>
      </c>
      <c r="AC945" s="4">
        <f>IFERROR(__xludf.DUMMYFUNCTION("IFERROR(ABS(O945-AVERAGE(FILTER(O945:O5013,AA945:AA5013=""Neighbor""))) / STDEV(FILTER(O945:O5013, AA945:AA5013 =""Neighbor"")), """")"),0.7444834940312568)</f>
        <v>0.744483494</v>
      </c>
      <c r="AD945" s="4">
        <f>IFERROR(__xludf.DUMMYFUNCTION("IFERROR(ABS(P945-AVERAGE(FILTER(O945:P5013,AA945:AA5013=""Neighbor""))) / STDEV(FILTER(P945:P5013, AA945:AA5013 =""Neighbor"")), """")"),1.7642170117565534)</f>
        <v>1.764217012</v>
      </c>
      <c r="AE945" s="2">
        <f>IFERROR(__xludf.DUMMYFUNCTION("IFERROR(ABS(Q945-AVERAGE(FILTER(Q945:Q5013,AA945:AA5013=""Neighbor""))) / STDEV(FILTER(Q945:Q5013, AA945:AA5013 =""Neighbor"")), """")"),0.9352423715416621)</f>
        <v>0.9352423715</v>
      </c>
      <c r="AF945" s="2">
        <f>IFERROR(__xludf.DUMMYFUNCTION("IFERROR(ABS(R945-AVERAGE(FILTER(R945:R5013,AA945:AA5013=""Neighbor""))) / STDEV(FILTER(R945:R5013, AA945:AA5013 =""Neighbor"")), """")"),0.246361224475922)</f>
        <v>0.2463612245</v>
      </c>
    </row>
    <row r="946">
      <c r="A946" s="2" t="s">
        <v>28</v>
      </c>
      <c r="B946" s="2" t="s">
        <v>3320</v>
      </c>
      <c r="C946" s="2" t="s">
        <v>3850</v>
      </c>
      <c r="D946" s="2" t="s">
        <v>3871</v>
      </c>
      <c r="E946" s="2" t="s">
        <v>3872</v>
      </c>
      <c r="F946" s="2">
        <v>116.0</v>
      </c>
      <c r="G946" s="2">
        <v>519.0</v>
      </c>
      <c r="H946" s="2" t="b">
        <v>1</v>
      </c>
      <c r="I946" s="2">
        <v>-1.0</v>
      </c>
      <c r="J946" s="2" t="b">
        <v>0</v>
      </c>
      <c r="K946" s="2" t="b">
        <v>0</v>
      </c>
      <c r="L946" s="2" t="b">
        <v>0</v>
      </c>
      <c r="M946" s="2" t="b">
        <v>0</v>
      </c>
      <c r="N946" s="2" t="s">
        <v>33</v>
      </c>
      <c r="O946" s="2">
        <v>49.0</v>
      </c>
      <c r="P946" s="2">
        <v>12.0</v>
      </c>
      <c r="Q946" s="2">
        <v>34.0</v>
      </c>
      <c r="R946" s="2">
        <v>0.0</v>
      </c>
      <c r="S946" s="3" t="s">
        <v>3873</v>
      </c>
      <c r="T946" s="2" t="s">
        <v>3874</v>
      </c>
      <c r="Y946" s="4" t="str">
        <f>IFERROR(__xludf.DUMMYFUNCTION("""COMPUTED_VALUE"""),"6.7034082")</f>
        <v>6.7034082</v>
      </c>
      <c r="Z946" s="4" t="str">
        <f>IFERROR(__xludf.DUMMYFUNCTION("""COMPUTED_VALUE"""),"2.9026172")</f>
        <v>2.9026172</v>
      </c>
      <c r="AA946" s="4" t="str">
        <f t="shared" si="1"/>
        <v>Not Neighbor</v>
      </c>
      <c r="AC946" s="4">
        <f>IFERROR(__xludf.DUMMYFUNCTION("IFERROR(ABS(O946-AVERAGE(FILTER(O946:O5014,AA946:AA5014=""Neighbor""))) / STDEV(FILTER(O946:O5014, AA946:AA5014 =""Neighbor"")), """")"),0.3557711032564199)</f>
        <v>0.3557711033</v>
      </c>
      <c r="AD946" s="4">
        <f>IFERROR(__xludf.DUMMYFUNCTION("IFERROR(ABS(P946-AVERAGE(FILTER(O946:P5014,AA946:AA5014=""Neighbor""))) / STDEV(FILTER(P946:P5014, AA946:AA5014 =""Neighbor"")), """")"),1.2978808927513448)</f>
        <v>1.297880893</v>
      </c>
      <c r="AE946" s="2">
        <f>IFERROR(__xludf.DUMMYFUNCTION("IFERROR(ABS(Q946-AVERAGE(FILTER(Q946:Q5014,AA946:AA5014=""Neighbor""))) / STDEV(FILTER(Q946:Q5014, AA946:AA5014 =""Neighbor"")), """")"),0.3914864281824171)</f>
        <v>0.3914864282</v>
      </c>
      <c r="AF946" s="2">
        <f>IFERROR(__xludf.DUMMYFUNCTION("IFERROR(ABS(R946-AVERAGE(FILTER(R946:R5014,AA946:AA5014=""Neighbor""))) / STDEV(FILTER(R946:R5014, AA946:AA5014 =""Neighbor"")), """")"),0.24645982668368702)</f>
        <v>0.2464598267</v>
      </c>
    </row>
    <row r="947">
      <c r="A947" s="2" t="s">
        <v>28</v>
      </c>
      <c r="B947" s="2" t="s">
        <v>3320</v>
      </c>
      <c r="C947" s="2" t="s">
        <v>3850</v>
      </c>
      <c r="D947" s="2" t="s">
        <v>3875</v>
      </c>
      <c r="E947" s="2" t="s">
        <v>3876</v>
      </c>
      <c r="F947" s="2">
        <v>94.0</v>
      </c>
      <c r="G947" s="2">
        <v>452.0</v>
      </c>
      <c r="H947" s="2" t="b">
        <v>1</v>
      </c>
      <c r="I947" s="2">
        <v>-1.0</v>
      </c>
      <c r="J947" s="2" t="b">
        <v>0</v>
      </c>
      <c r="K947" s="2" t="b">
        <v>0</v>
      </c>
      <c r="L947" s="2" t="b">
        <v>0</v>
      </c>
      <c r="M947" s="2" t="b">
        <v>0</v>
      </c>
      <c r="N947" s="2" t="s">
        <v>33</v>
      </c>
      <c r="O947" s="2">
        <v>60.0</v>
      </c>
      <c r="P947" s="2">
        <v>0.0</v>
      </c>
      <c r="Q947" s="2">
        <v>23.0</v>
      </c>
      <c r="R947" s="2">
        <v>0.0</v>
      </c>
      <c r="S947" s="3" t="s">
        <v>3877</v>
      </c>
      <c r="T947" s="2" t="s">
        <v>3878</v>
      </c>
      <c r="Y947" s="4" t="str">
        <f>IFERROR(__xludf.DUMMYFUNCTION("""COMPUTED_VALUE"""),"6.7831512")</f>
        <v>6.7831512</v>
      </c>
      <c r="Z947" s="4" t="str">
        <f>IFERROR(__xludf.DUMMYFUNCTION("""COMPUTED_VALUE"""),"2.9775558")</f>
        <v>2.9775558</v>
      </c>
      <c r="AA947" s="4" t="str">
        <f t="shared" si="1"/>
        <v>Not Neighbor</v>
      </c>
      <c r="AC947" s="4">
        <f>IFERROR(__xludf.DUMMYFUNCTION("IFERROR(ABS(O947-AVERAGE(FILTER(O947:O5015,AA947:AA5015=""Neighbor""))) / STDEV(FILTER(O947:O5015, AA947:AA5015 =""Neighbor"")), """")"),0.08823093968815943)</f>
        <v>0.08823093969</v>
      </c>
      <c r="AD947" s="4">
        <f>IFERROR(__xludf.DUMMYFUNCTION("IFERROR(ABS(P947-AVERAGE(FILTER(O947:P5015,AA947:AA5015=""Neighbor""))) / STDEV(FILTER(P947:P5015, AA947:AA5015 =""Neighbor"")), """")"),1.8579681248461206)</f>
        <v>1.857968125</v>
      </c>
      <c r="AE947" s="2">
        <f>IFERROR(__xludf.DUMMYFUNCTION("IFERROR(ABS(Q947-AVERAGE(FILTER(Q947:Q5015,AA947:AA5015=""Neighbor""))) / STDEV(FILTER(Q947:Q5015, AA947:AA5015 =""Neighbor"")), """")"),0.06917514894036896)</f>
        <v>0.06917514894</v>
      </c>
      <c r="AF947" s="2">
        <f>IFERROR(__xludf.DUMMYFUNCTION("IFERROR(ABS(R947-AVERAGE(FILTER(R947:R5015,AA947:AA5015=""Neighbor""))) / STDEV(FILTER(R947:R5015, AA947:AA5015 =""Neighbor"")), """")"),0.24645982668368702)</f>
        <v>0.2464598267</v>
      </c>
    </row>
    <row r="948">
      <c r="A948" s="2" t="s">
        <v>28</v>
      </c>
      <c r="B948" s="2" t="s">
        <v>3320</v>
      </c>
      <c r="C948" s="2" t="s">
        <v>3850</v>
      </c>
      <c r="D948" s="2" t="s">
        <v>3879</v>
      </c>
      <c r="E948" s="2" t="s">
        <v>3880</v>
      </c>
      <c r="F948" s="2">
        <v>103.0</v>
      </c>
      <c r="G948" s="2">
        <v>487.0</v>
      </c>
      <c r="H948" s="2" t="b">
        <v>1</v>
      </c>
      <c r="I948" s="2">
        <v>-1.0</v>
      </c>
      <c r="J948" s="2" t="b">
        <v>0</v>
      </c>
      <c r="K948" s="2" t="b">
        <v>1</v>
      </c>
      <c r="L948" s="2" t="b">
        <v>0</v>
      </c>
      <c r="M948" s="2" t="b">
        <v>0</v>
      </c>
      <c r="N948" s="2" t="s">
        <v>33</v>
      </c>
      <c r="O948" s="2">
        <v>84.0</v>
      </c>
      <c r="P948" s="2">
        <v>3.0</v>
      </c>
      <c r="Q948" s="2">
        <v>6.0</v>
      </c>
      <c r="R948" s="2">
        <v>0.0</v>
      </c>
      <c r="S948" s="3" t="s">
        <v>3881</v>
      </c>
      <c r="T948" s="2" t="s">
        <v>3882</v>
      </c>
      <c r="Y948" s="4" t="str">
        <f>IFERROR(__xludf.DUMMYFUNCTION("""COMPUTED_VALUE"""),"6.7943276")</f>
        <v>6.7943276</v>
      </c>
      <c r="Z948" s="4" t="str">
        <f>IFERROR(__xludf.DUMMYFUNCTION("""COMPUTED_VALUE"""),"2.9541249")</f>
        <v>2.9541249</v>
      </c>
      <c r="AA948" s="4" t="str">
        <f t="shared" si="1"/>
        <v>Not Neighbor</v>
      </c>
      <c r="AC948" s="4">
        <f>IFERROR(__xludf.DUMMYFUNCTION("IFERROR(ABS(O948-AVERAGE(FILTER(O948:O5016,AA948:AA5016=""Neighbor""))) / STDEV(FILTER(O948:O5016, AA948:AA5016 =""Neighbor"")), """")"),0.49549305355168166)</f>
        <v>0.4954930536</v>
      </c>
      <c r="AD948" s="4">
        <f>IFERROR(__xludf.DUMMYFUNCTION("IFERROR(ABS(P948-AVERAGE(FILTER(O948:P5016,AA948:AA5016=""Neighbor""))) / STDEV(FILTER(P948:P5016, AA948:AA5016 =""Neighbor"")), """")"),1.7179463168224267)</f>
        <v>1.717946317</v>
      </c>
      <c r="AE948" s="2">
        <f>IFERROR(__xludf.DUMMYFUNCTION("IFERROR(ABS(Q948-AVERAGE(FILTER(Q948:Q5016,AA948:AA5016=""Neighbor""))) / STDEV(FILTER(Q948:Q5016, AA948:AA5016 =""Neighbor"")), """")"),0.7811066772210383)</f>
        <v>0.7811066772</v>
      </c>
      <c r="AF948" s="2">
        <f>IFERROR(__xludf.DUMMYFUNCTION("IFERROR(ABS(R948-AVERAGE(FILTER(R948:R5016,AA948:AA5016=""Neighbor""))) / STDEV(FILTER(R948:R5016, AA948:AA5016 =""Neighbor"")), """")"),0.24645982668368702)</f>
        <v>0.2464598267</v>
      </c>
    </row>
    <row r="949">
      <c r="A949" s="2" t="s">
        <v>28</v>
      </c>
      <c r="B949" s="2" t="s">
        <v>3320</v>
      </c>
      <c r="C949" s="2" t="s">
        <v>3850</v>
      </c>
      <c r="D949" s="2" t="s">
        <v>3883</v>
      </c>
      <c r="E949" s="2" t="s">
        <v>3884</v>
      </c>
      <c r="F949" s="2">
        <v>113.0</v>
      </c>
      <c r="G949" s="2">
        <v>436.0</v>
      </c>
      <c r="H949" s="2" t="b">
        <v>1</v>
      </c>
      <c r="I949" s="2">
        <v>-1.0</v>
      </c>
      <c r="J949" s="2" t="b">
        <v>0</v>
      </c>
      <c r="K949" s="2" t="b">
        <v>0</v>
      </c>
      <c r="L949" s="2" t="b">
        <v>0</v>
      </c>
      <c r="M949" s="2" t="b">
        <v>0</v>
      </c>
      <c r="N949" s="2" t="s">
        <v>33</v>
      </c>
      <c r="O949" s="2">
        <v>40.0</v>
      </c>
      <c r="P949" s="2">
        <v>4.0</v>
      </c>
      <c r="Q949" s="2">
        <v>50.0</v>
      </c>
      <c r="R949" s="2">
        <v>0.0</v>
      </c>
      <c r="S949" s="3" t="s">
        <v>3885</v>
      </c>
      <c r="T949" s="2" t="s">
        <v>3886</v>
      </c>
      <c r="Y949" s="4" t="str">
        <f>IFERROR(__xludf.DUMMYFUNCTION("""COMPUTED_VALUE"""),"6.7563094")</f>
        <v>6.7563094</v>
      </c>
      <c r="Z949" s="4" t="str">
        <f>IFERROR(__xludf.DUMMYFUNCTION("""COMPUTED_VALUE"""),"2.9167955")</f>
        <v>2.9167955</v>
      </c>
      <c r="AA949" s="4" t="str">
        <f t="shared" si="1"/>
        <v>Not Neighbor</v>
      </c>
      <c r="AC949" s="4">
        <f>IFERROR(__xludf.DUMMYFUNCTION("IFERROR(ABS(O949-AVERAGE(FILTER(O949:O5017,AA949:AA5017=""Neighbor""))) / STDEV(FILTER(O949:O5017, AA949:AA5017 =""Neighbor"")), """")"),0.5746676007213604)</f>
        <v>0.5746676007</v>
      </c>
      <c r="AD949" s="4">
        <f>IFERROR(__xludf.DUMMYFUNCTION("IFERROR(ABS(P949-AVERAGE(FILTER(O949:P5017,AA949:AA5017=""Neighbor""))) / STDEV(FILTER(P949:P5017, AA949:AA5017 =""Neighbor"")), """")"),1.6712723808145287)</f>
        <v>1.671272381</v>
      </c>
      <c r="AE949" s="2">
        <f>IFERROR(__xludf.DUMMYFUNCTION("IFERROR(ABS(Q949-AVERAGE(FILTER(Q949:Q5017,AA949:AA5017=""Neighbor""))) / STDEV(FILTER(Q949:Q5017, AA949:AA5017 =""Neighbor"")), """")"),1.0615396312701058)</f>
        <v>1.061539631</v>
      </c>
      <c r="AF949" s="2">
        <f>IFERROR(__xludf.DUMMYFUNCTION("IFERROR(ABS(R949-AVERAGE(FILTER(R949:R5017,AA949:AA5017=""Neighbor""))) / STDEV(FILTER(R949:R5017, AA949:AA5017 =""Neighbor"")), """")"),0.24645982668368702)</f>
        <v>0.2464598267</v>
      </c>
    </row>
    <row r="950">
      <c r="A950" s="2" t="s">
        <v>28</v>
      </c>
      <c r="B950" s="2" t="s">
        <v>3320</v>
      </c>
      <c r="C950" s="2" t="s">
        <v>3850</v>
      </c>
      <c r="D950" s="2" t="s">
        <v>3887</v>
      </c>
      <c r="E950" s="2" t="s">
        <v>3888</v>
      </c>
      <c r="F950" s="2">
        <v>87.0</v>
      </c>
      <c r="G950" s="2">
        <v>652.0</v>
      </c>
      <c r="H950" s="2" t="b">
        <v>1</v>
      </c>
      <c r="I950" s="2">
        <v>-1.0</v>
      </c>
      <c r="J950" s="2" t="b">
        <v>0</v>
      </c>
      <c r="K950" s="2" t="b">
        <v>0</v>
      </c>
      <c r="L950" s="2" t="b">
        <v>0</v>
      </c>
      <c r="M950" s="2" t="b">
        <v>0</v>
      </c>
      <c r="N950" s="2" t="s">
        <v>33</v>
      </c>
      <c r="O950" s="2">
        <v>36.0</v>
      </c>
      <c r="P950" s="2">
        <v>5.0</v>
      </c>
      <c r="Q950" s="2">
        <v>34.0</v>
      </c>
      <c r="R950" s="2">
        <v>0.0</v>
      </c>
      <c r="S950" s="3" t="s">
        <v>3889</v>
      </c>
      <c r="T950" s="2" t="s">
        <v>3890</v>
      </c>
      <c r="Y950" s="4" t="str">
        <f>IFERROR(__xludf.DUMMYFUNCTION("""COMPUTED_VALUE"""),"6.7709712")</f>
        <v>6.7709712</v>
      </c>
      <c r="Z950" s="4" t="str">
        <f>IFERROR(__xludf.DUMMYFUNCTION("""COMPUTED_VALUE"""),"3.0013109")</f>
        <v>3.0013109</v>
      </c>
      <c r="AA950" s="4" t="str">
        <f t="shared" si="1"/>
        <v>Not Neighbor</v>
      </c>
      <c r="AC950" s="4">
        <f>IFERROR(__xludf.DUMMYFUNCTION("IFERROR(ABS(O950-AVERAGE(FILTER(O950:O5018,AA950:AA5018=""Neighbor""))) / STDEV(FILTER(O950:O5018, AA950:AA5018 =""Neighbor"")), """")"),0.6719549329280006)</f>
        <v>0.6719549329</v>
      </c>
      <c r="AD950" s="4">
        <f>IFERROR(__xludf.DUMMYFUNCTION("IFERROR(ABS(P950-AVERAGE(FILTER(O950:P5018,AA950:AA5018=""Neighbor""))) / STDEV(FILTER(P950:P5018, AA950:AA5018 =""Neighbor"")), """")"),1.6245984448066306)</f>
        <v>1.624598445</v>
      </c>
      <c r="AE950" s="2">
        <f>IFERROR(__xludf.DUMMYFUNCTION("IFERROR(ABS(Q950-AVERAGE(FILTER(Q950:Q5018,AA950:AA5018=""Neighbor""))) / STDEV(FILTER(Q950:Q5018, AA950:AA5018 =""Neighbor"")), """")"),0.3914864281824171)</f>
        <v>0.3914864282</v>
      </c>
      <c r="AF950" s="2">
        <f>IFERROR(__xludf.DUMMYFUNCTION("IFERROR(ABS(R950-AVERAGE(FILTER(R950:R5018,AA950:AA5018=""Neighbor""))) / STDEV(FILTER(R950:R5018, AA950:AA5018 =""Neighbor"")), """")"),0.24645982668368702)</f>
        <v>0.2464598267</v>
      </c>
    </row>
    <row r="951">
      <c r="A951" s="2" t="s">
        <v>28</v>
      </c>
      <c r="B951" s="2" t="s">
        <v>3320</v>
      </c>
      <c r="C951" s="2" t="s">
        <v>3850</v>
      </c>
      <c r="D951" s="2" t="s">
        <v>3891</v>
      </c>
      <c r="E951" s="2" t="s">
        <v>3892</v>
      </c>
      <c r="F951" s="2">
        <v>166.0</v>
      </c>
      <c r="G951" s="2">
        <v>690.0</v>
      </c>
      <c r="H951" s="2" t="b">
        <v>1</v>
      </c>
      <c r="I951" s="2">
        <v>-1.0</v>
      </c>
      <c r="J951" s="2" t="b">
        <v>0</v>
      </c>
      <c r="K951" s="2" t="b">
        <v>0</v>
      </c>
      <c r="L951" s="2" t="b">
        <v>0</v>
      </c>
      <c r="M951" s="2" t="b">
        <v>0</v>
      </c>
      <c r="N951" s="2" t="s">
        <v>33</v>
      </c>
      <c r="O951" s="2">
        <v>109.0</v>
      </c>
      <c r="P951" s="2">
        <v>9.0</v>
      </c>
      <c r="Q951" s="2">
        <v>15.0</v>
      </c>
      <c r="R951" s="2">
        <v>0.0</v>
      </c>
      <c r="S951" s="3" t="s">
        <v>3893</v>
      </c>
      <c r="T951" s="2" t="s">
        <v>3894</v>
      </c>
      <c r="Y951" s="4" t="str">
        <f>IFERROR(__xludf.DUMMYFUNCTION("""COMPUTED_VALUE"""),"6.7034082")</f>
        <v>6.7034082</v>
      </c>
      <c r="Z951" s="4" t="str">
        <f>IFERROR(__xludf.DUMMYFUNCTION("""COMPUTED_VALUE"""),"2.9026172")</f>
        <v>2.9026172</v>
      </c>
      <c r="AA951" s="4" t="str">
        <f t="shared" si="1"/>
        <v>Neighbor</v>
      </c>
      <c r="AC951" s="4">
        <f>IFERROR(__xludf.DUMMYFUNCTION("IFERROR(ABS(O951-AVERAGE(FILTER(O951:O5019,AA951:AA5019=""Neighbor""))) / STDEV(FILTER(O951:O5019, AA951:AA5019 =""Neighbor"")), """")"),1.1035388798431829)</f>
        <v>1.10353888</v>
      </c>
      <c r="AD951" s="4">
        <f>IFERROR(__xludf.DUMMYFUNCTION("IFERROR(ABS(P951-AVERAGE(FILTER(O951:P5019,AA951:AA5019=""Neighbor""))) / STDEV(FILTER(P951:P5019, AA951:AA5019 =""Neighbor"")), """")"),1.4379027007750387)</f>
        <v>1.437902701</v>
      </c>
      <c r="AE951" s="2">
        <f>IFERROR(__xludf.DUMMYFUNCTION("IFERROR(ABS(Q951-AVERAGE(FILTER(Q951:Q5019,AA951:AA5019=""Neighbor""))) / STDEV(FILTER(Q951:Q5019, AA951:AA5019 =""Neighbor"")), """")"),0.40420175048421336)</f>
        <v>0.4042017505</v>
      </c>
      <c r="AF951" s="2">
        <f>IFERROR(__xludf.DUMMYFUNCTION("IFERROR(ABS(R951-AVERAGE(FILTER(R951:R5019,AA951:AA5019=""Neighbor""))) / STDEV(FILTER(R951:R5019, AA951:AA5019 =""Neighbor"")), """")"),0.24645982668368702)</f>
        <v>0.2464598267</v>
      </c>
    </row>
    <row r="952">
      <c r="A952" s="2" t="s">
        <v>28</v>
      </c>
      <c r="B952" s="2" t="s">
        <v>3320</v>
      </c>
      <c r="C952" s="2" t="s">
        <v>3850</v>
      </c>
      <c r="D952" s="2" t="s">
        <v>3895</v>
      </c>
      <c r="E952" s="2" t="s">
        <v>3896</v>
      </c>
      <c r="F952" s="2">
        <v>141.0</v>
      </c>
      <c r="G952" s="2">
        <v>622.0</v>
      </c>
      <c r="H952" s="2" t="b">
        <v>1</v>
      </c>
      <c r="I952" s="2">
        <v>-1.0</v>
      </c>
      <c r="J952" s="2" t="b">
        <v>0</v>
      </c>
      <c r="K952" s="2" t="b">
        <v>0</v>
      </c>
      <c r="L952" s="2" t="b">
        <v>0</v>
      </c>
      <c r="M952" s="2" t="b">
        <v>0</v>
      </c>
      <c r="N952" s="2" t="s">
        <v>33</v>
      </c>
      <c r="O952" s="2">
        <v>91.0</v>
      </c>
      <c r="P952" s="2">
        <v>5.0</v>
      </c>
      <c r="Q952" s="2">
        <v>22.0</v>
      </c>
      <c r="R952" s="2">
        <v>0.0</v>
      </c>
      <c r="S952" s="3" t="s">
        <v>3897</v>
      </c>
      <c r="T952" s="2" t="s">
        <v>3898</v>
      </c>
      <c r="Y952" s="4" t="str">
        <f>IFERROR(__xludf.DUMMYFUNCTION("""COMPUTED_VALUE"""),"6.7034082")</f>
        <v>6.7034082</v>
      </c>
      <c r="Z952" s="4" t="str">
        <f>IFERROR(__xludf.DUMMYFUNCTION("""COMPUTED_VALUE"""),"2.9026172")</f>
        <v>2.9026172</v>
      </c>
      <c r="AA952" s="4" t="str">
        <f t="shared" si="1"/>
        <v>Not Neighbor</v>
      </c>
      <c r="AC952" s="4">
        <f>IFERROR(__xludf.DUMMYFUNCTION("IFERROR(ABS(O952-AVERAGE(FILTER(O952:O5020,AA952:AA5020=""Neighbor""))) / STDEV(FILTER(O952:O5020, AA952:AA5020 =""Neighbor"")), """")"),0.666635151563025)</f>
        <v>0.6666351516</v>
      </c>
      <c r="AD952" s="4">
        <f>IFERROR(__xludf.DUMMYFUNCTION("IFERROR(ABS(P952-AVERAGE(FILTER(O952:P5020,AA952:AA5020=""Neighbor""))) / STDEV(FILTER(P952:P5020, AA952:AA5020 =""Neighbor"")), """")"),1.6233728092099209)</f>
        <v>1.623372809</v>
      </c>
      <c r="AE952" s="2">
        <f>IFERROR(__xludf.DUMMYFUNCTION("IFERROR(ABS(Q952-AVERAGE(FILTER(Q952:Q5020,AA952:AA5020=""Neighbor""))) / STDEV(FILTER(Q952:Q5020, AA952:AA5020 =""Neighbor"")), """")"),0.11132377864604245)</f>
        <v>0.1113237786</v>
      </c>
      <c r="AF952" s="2">
        <f>IFERROR(__xludf.DUMMYFUNCTION("IFERROR(ABS(R952-AVERAGE(FILTER(R952:R5020,AA952:AA5020=""Neighbor""))) / STDEV(FILTER(R952:R5020, AA952:AA5020 =""Neighbor"")), """")"),0.24655854738463878)</f>
        <v>0.2465585474</v>
      </c>
    </row>
    <row r="953">
      <c r="A953" s="2" t="s">
        <v>28</v>
      </c>
      <c r="B953" s="2" t="s">
        <v>3320</v>
      </c>
      <c r="C953" s="2" t="s">
        <v>3850</v>
      </c>
      <c r="D953" s="2" t="s">
        <v>3899</v>
      </c>
      <c r="E953" s="2" t="s">
        <v>3900</v>
      </c>
      <c r="F953" s="2">
        <v>111.0</v>
      </c>
      <c r="G953" s="2">
        <v>572.0</v>
      </c>
      <c r="H953" s="2" t="b">
        <v>1</v>
      </c>
      <c r="I953" s="2">
        <v>-1.0</v>
      </c>
      <c r="J953" s="2" t="b">
        <v>0</v>
      </c>
      <c r="K953" s="2" t="b">
        <v>0</v>
      </c>
      <c r="L953" s="2" t="b">
        <v>0</v>
      </c>
      <c r="M953" s="2" t="b">
        <v>0</v>
      </c>
      <c r="N953" s="2" t="s">
        <v>33</v>
      </c>
      <c r="O953" s="2">
        <v>52.0</v>
      </c>
      <c r="P953" s="2">
        <v>8.0</v>
      </c>
      <c r="Q953" s="2">
        <v>33.0</v>
      </c>
      <c r="R953" s="2">
        <v>1.0</v>
      </c>
      <c r="S953" s="3" t="s">
        <v>3901</v>
      </c>
      <c r="T953" s="2" t="s">
        <v>3902</v>
      </c>
      <c r="Y953" s="4" t="str">
        <f>IFERROR(__xludf.DUMMYFUNCTION("""COMPUTED_VALUE"""),"6.8953645")</f>
        <v>6.8953645</v>
      </c>
      <c r="Z953" s="4" t="str">
        <f>IFERROR(__xludf.DUMMYFUNCTION("""COMPUTED_VALUE"""),"3.0125674")</f>
        <v>3.0125674</v>
      </c>
      <c r="AA953" s="4" t="str">
        <f t="shared" si="1"/>
        <v>Not Neighbor</v>
      </c>
      <c r="AC953" s="4">
        <f>IFERROR(__xludf.DUMMYFUNCTION("IFERROR(ABS(O953-AVERAGE(FILTER(O953:O5021,AA953:AA5021=""Neighbor""))) / STDEV(FILTER(O953:O5021, AA953:AA5021 =""Neighbor"")), """")"),0.2819948138303228)</f>
        <v>0.2819948138</v>
      </c>
      <c r="AD953" s="4">
        <f>IFERROR(__xludf.DUMMYFUNCTION("IFERROR(ABS(P953-AVERAGE(FILTER(O953:P5021,AA953:AA5021=""Neighbor""))) / STDEV(FILTER(P953:P5021, AA953:AA5021 =""Neighbor"")), """")"),1.4833982989938888)</f>
        <v>1.483398299</v>
      </c>
      <c r="AE953" s="2">
        <f>IFERROR(__xludf.DUMMYFUNCTION("IFERROR(ABS(Q953-AVERAGE(FILTER(Q953:Q5021,AA953:AA5021=""Neighbor""))) / STDEV(FILTER(Q953:Q5021, AA953:AA5021 =""Neighbor"")), """")"),0.3491921254573844)</f>
        <v>0.3491921255</v>
      </c>
      <c r="AF953" s="2">
        <f>IFERROR(__xludf.DUMMYFUNCTION("IFERROR(ABS(R953-AVERAGE(FILTER(R953:R5021,AA953:AA5021=""Neighbor""))) / STDEV(FILTER(R953:R5021, AA953:AA5021 =""Neighbor"")), """")"),0.4998875811963156)</f>
        <v>0.4998875812</v>
      </c>
    </row>
    <row r="954">
      <c r="A954" s="2" t="s">
        <v>28</v>
      </c>
      <c r="B954" s="2" t="s">
        <v>3320</v>
      </c>
      <c r="C954" s="2" t="s">
        <v>3850</v>
      </c>
      <c r="D954" s="2" t="s">
        <v>3903</v>
      </c>
      <c r="E954" s="2" t="s">
        <v>3904</v>
      </c>
      <c r="F954" s="2">
        <v>94.0</v>
      </c>
      <c r="G954" s="2">
        <v>553.0</v>
      </c>
      <c r="H954" s="2" t="b">
        <v>1</v>
      </c>
      <c r="I954" s="2">
        <v>-1.0</v>
      </c>
      <c r="J954" s="2" t="b">
        <v>0</v>
      </c>
      <c r="K954" s="2" t="b">
        <v>0</v>
      </c>
      <c r="L954" s="2" t="b">
        <v>0</v>
      </c>
      <c r="M954" s="2" t="b">
        <v>0</v>
      </c>
      <c r="N954" s="2" t="s">
        <v>33</v>
      </c>
      <c r="O954" s="2">
        <v>55.0</v>
      </c>
      <c r="P954" s="2">
        <v>8.0</v>
      </c>
      <c r="Q954" s="2">
        <v>14.0</v>
      </c>
      <c r="R954" s="2">
        <v>3.0</v>
      </c>
      <c r="S954" s="3" t="s">
        <v>3905</v>
      </c>
      <c r="T954" s="2" t="s">
        <v>3906</v>
      </c>
      <c r="Y954" s="4" t="str">
        <f>IFERROR(__xludf.DUMMYFUNCTION("""COMPUTED_VALUE"""),"6.7034082")</f>
        <v>6.7034082</v>
      </c>
      <c r="Z954" s="4" t="str">
        <f>IFERROR(__xludf.DUMMYFUNCTION("""COMPUTED_VALUE"""),"2.9026172")</f>
        <v>2.9026172</v>
      </c>
      <c r="AA954" s="4" t="str">
        <f t="shared" si="1"/>
        <v>Not Neighbor</v>
      </c>
      <c r="AC954" s="4">
        <f>IFERROR(__xludf.DUMMYFUNCTION("IFERROR(ABS(O954-AVERAGE(FILTER(O954:O5022,AA954:AA5022=""Neighbor""))) / STDEV(FILTER(O954:O5022, AA954:AA5022 =""Neighbor"")), """")"),0.20902327803083454)</f>
        <v>0.209023278</v>
      </c>
      <c r="AD954" s="4">
        <f>IFERROR(__xludf.DUMMYFUNCTION("IFERROR(ABS(P954-AVERAGE(FILTER(O954:P5022,AA954:AA5022=""Neighbor""))) / STDEV(FILTER(P954:P5022, AA954:AA5022 =""Neighbor"")), """")"),1.4833982989938888)</f>
        <v>1.483398299</v>
      </c>
      <c r="AE954" s="2">
        <f>IFERROR(__xludf.DUMMYFUNCTION("IFERROR(ABS(Q954-AVERAGE(FILTER(Q954:Q5022,AA954:AA5022=""Neighbor""))) / STDEV(FILTER(Q954:Q5022, AA954:AA5022 =""Neighbor"")), """")"),0.44624443617580745)</f>
        <v>0.4462444362</v>
      </c>
      <c r="AF954" s="2">
        <f>IFERROR(__xludf.DUMMYFUNCTION("IFERROR(ABS(R954-AVERAGE(FILTER(R954:R5022,AA954:AA5022=""Neighbor""))) / STDEV(FILTER(R954:R5022, AA954:AA5022 =""Neighbor"")), """")"),1.9927798383582245)</f>
        <v>1.992779838</v>
      </c>
    </row>
    <row r="955">
      <c r="A955" s="2" t="s">
        <v>28</v>
      </c>
      <c r="B955" s="2" t="s">
        <v>3907</v>
      </c>
      <c r="C955" s="2" t="s">
        <v>3908</v>
      </c>
      <c r="D955" s="2" t="s">
        <v>3909</v>
      </c>
      <c r="E955" s="2" t="s">
        <v>3910</v>
      </c>
      <c r="F955" s="2">
        <v>147.0</v>
      </c>
      <c r="G955" s="2">
        <v>894.0</v>
      </c>
      <c r="H955" s="2" t="b">
        <v>1</v>
      </c>
      <c r="I955" s="2">
        <v>-1.0</v>
      </c>
      <c r="J955" s="2" t="b">
        <v>0</v>
      </c>
      <c r="K955" s="2" t="b">
        <v>1</v>
      </c>
      <c r="L955" s="2" t="b">
        <v>0</v>
      </c>
      <c r="M955" s="2" t="b">
        <v>0</v>
      </c>
      <c r="N955" s="2" t="s">
        <v>33</v>
      </c>
      <c r="O955" s="2">
        <v>54.0</v>
      </c>
      <c r="P955" s="2">
        <v>13.0</v>
      </c>
      <c r="Q955" s="2">
        <v>47.0</v>
      </c>
      <c r="R955" s="2">
        <v>1.0</v>
      </c>
      <c r="S955" s="3" t="s">
        <v>3911</v>
      </c>
      <c r="T955" s="2" t="s">
        <v>3912</v>
      </c>
      <c r="Y955" s="4" t="str">
        <f>IFERROR(__xludf.DUMMYFUNCTION("""COMPUTED_VALUE"""),"6.8798713")</f>
        <v>6.8798713</v>
      </c>
      <c r="Z955" s="4" t="str">
        <f>IFERROR(__xludf.DUMMYFUNCTION("""COMPUTED_VALUE"""),"3.1315471")</f>
        <v>3.1315471</v>
      </c>
      <c r="AA955" s="4" t="str">
        <f t="shared" si="1"/>
        <v>Neighbor</v>
      </c>
      <c r="AC955" s="4">
        <f>IFERROR(__xludf.DUMMYFUNCTION("IFERROR(ABS(O955-AVERAGE(FILTER(O955:O5023,AA955:AA5023=""Neighbor""))) / STDEV(FILTER(O955:O5023, AA955:AA5023 =""Neighbor"")), """")"),0.23334712329733062)</f>
        <v>0.2333471233</v>
      </c>
      <c r="AD955" s="4">
        <f>IFERROR(__xludf.DUMMYFUNCTION("IFERROR(ABS(P955-AVERAGE(FILTER(O955:P5023,AA955:AA5023=""Neighbor""))) / STDEV(FILTER(P955:P5023, AA955:AA5023 =""Neighbor"")), """")"),1.2501074486338353)</f>
        <v>1.250107449</v>
      </c>
      <c r="AE955" s="2">
        <f>IFERROR(__xludf.DUMMYFUNCTION("IFERROR(ABS(Q955-AVERAGE(FILTER(Q955:Q5023,AA955:AA5023=""Neighbor""))) / STDEV(FILTER(Q955:Q5023, AA955:AA5023 =""Neighbor"")), """")"),0.9353032761344731)</f>
        <v>0.9353032761</v>
      </c>
      <c r="AF955" s="2">
        <f>IFERROR(__xludf.DUMMYFUNCTION("IFERROR(ABS(R955-AVERAGE(FILTER(R955:R5023,AA955:AA5023=""Neighbor""))) / STDEV(FILTER(R955:R5023, AA955:AA5023 =""Neighbor"")), """")"),0.4998875811963156)</f>
        <v>0.4998875812</v>
      </c>
    </row>
    <row r="956">
      <c r="A956" s="2" t="s">
        <v>28</v>
      </c>
      <c r="B956" s="2" t="s">
        <v>3907</v>
      </c>
      <c r="C956" s="2" t="s">
        <v>3908</v>
      </c>
      <c r="D956" s="2" t="s">
        <v>3913</v>
      </c>
      <c r="E956" s="2" t="s">
        <v>3914</v>
      </c>
      <c r="F956" s="2">
        <v>129.0</v>
      </c>
      <c r="G956" s="2">
        <v>820.0</v>
      </c>
      <c r="H956" s="2" t="b">
        <v>1</v>
      </c>
      <c r="I956" s="2">
        <v>-1.0</v>
      </c>
      <c r="J956" s="2" t="b">
        <v>0</v>
      </c>
      <c r="K956" s="2" t="b">
        <v>1</v>
      </c>
      <c r="L956" s="2" t="b">
        <v>0</v>
      </c>
      <c r="M956" s="2" t="b">
        <v>0</v>
      </c>
      <c r="N956" s="2" t="s">
        <v>33</v>
      </c>
      <c r="O956" s="2">
        <v>45.0</v>
      </c>
      <c r="P956" s="2">
        <v>13.0</v>
      </c>
      <c r="Q956" s="2">
        <v>43.0</v>
      </c>
      <c r="R956" s="2">
        <v>0.0</v>
      </c>
      <c r="S956" s="3" t="s">
        <v>3915</v>
      </c>
      <c r="T956" s="2" t="s">
        <v>3916</v>
      </c>
      <c r="Y956" s="4" t="str">
        <f>IFERROR(__xludf.DUMMYFUNCTION("""COMPUTED_VALUE"""),"6.8798713")</f>
        <v>6.8798713</v>
      </c>
      <c r="Z956" s="4" t="str">
        <f>IFERROR(__xludf.DUMMYFUNCTION("""COMPUTED_VALUE"""),"3.1315471")</f>
        <v>3.1315471</v>
      </c>
      <c r="AA956" s="4" t="str">
        <f t="shared" si="1"/>
        <v>Not Neighbor</v>
      </c>
      <c r="AC956" s="4">
        <f>IFERROR(__xludf.DUMMYFUNCTION("IFERROR(ABS(O956-AVERAGE(FILTER(O956:O5024,AA956:AA5024=""Neighbor""))) / STDEV(FILTER(O956:O5024, AA956:AA5024 =""Neighbor"")), """")"),0.4522764115371178)</f>
        <v>0.4522764115</v>
      </c>
      <c r="AD956" s="4">
        <f>IFERROR(__xludf.DUMMYFUNCTION("IFERROR(ABS(P956-AVERAGE(FILTER(O956:P5024,AA956:AA5024=""Neighbor""))) / STDEV(FILTER(P956:P5024, AA956:AA5024 =""Neighbor"")), """")"),1.2498657873508283)</f>
        <v>1.249865787</v>
      </c>
      <c r="AE956" s="2">
        <f>IFERROR(__xludf.DUMMYFUNCTION("IFERROR(ABS(Q956-AVERAGE(FILTER(Q956:Q5024,AA956:AA5024=""Neighbor""))) / STDEV(FILTER(Q956:Q5024, AA956:AA5024 =""Neighbor"")), """")"),0.7685142109603208)</f>
        <v>0.768514211</v>
      </c>
      <c r="AF956" s="2">
        <f>IFERROR(__xludf.DUMMYFUNCTION("IFERROR(ABS(R956-AVERAGE(FILTER(R956:R5024,AA956:AA5024=""Neighbor""))) / STDEV(FILTER(R956:R5024, AA956:AA5024 =""Neighbor"")), """")"),0.24611056979661158)</f>
        <v>0.2461105698</v>
      </c>
    </row>
    <row r="957">
      <c r="A957" s="2" t="s">
        <v>28</v>
      </c>
      <c r="B957" s="2" t="s">
        <v>3907</v>
      </c>
      <c r="C957" s="2" t="s">
        <v>3908</v>
      </c>
      <c r="D957" s="2" t="s">
        <v>3917</v>
      </c>
      <c r="E957" s="2" t="s">
        <v>3918</v>
      </c>
      <c r="F957" s="2">
        <v>53.0</v>
      </c>
      <c r="G957" s="2">
        <v>326.0</v>
      </c>
      <c r="H957" s="2" t="b">
        <v>1</v>
      </c>
      <c r="I957" s="2">
        <v>-1.0</v>
      </c>
      <c r="J957" s="2" t="b">
        <v>0</v>
      </c>
      <c r="K957" s="2" t="b">
        <v>0</v>
      </c>
      <c r="L957" s="2" t="b">
        <v>0</v>
      </c>
      <c r="M957" s="2" t="b">
        <v>0</v>
      </c>
      <c r="N957" s="2" t="s">
        <v>33</v>
      </c>
      <c r="O957" s="2">
        <v>42.0</v>
      </c>
      <c r="P957" s="2">
        <v>5.0</v>
      </c>
      <c r="Q957" s="2">
        <v>4.0</v>
      </c>
      <c r="R957" s="2">
        <v>0.0</v>
      </c>
      <c r="S957" s="3" t="s">
        <v>3919</v>
      </c>
      <c r="T957" s="2" t="s">
        <v>3920</v>
      </c>
      <c r="Y957" s="4" t="str">
        <f>IFERROR(__xludf.DUMMYFUNCTION("""COMPUTED_VALUE"""),"6.8536287")</f>
        <v>6.8536287</v>
      </c>
      <c r="Z957" s="4" t="str">
        <f>IFERROR(__xludf.DUMMYFUNCTION("""COMPUTED_VALUE"""),"3.1522419")</f>
        <v>3.1522419</v>
      </c>
      <c r="AA957" s="4" t="str">
        <f t="shared" si="1"/>
        <v>Neighbor</v>
      </c>
      <c r="AC957" s="4">
        <f>IFERROR(__xludf.DUMMYFUNCTION("IFERROR(ABS(O957-AVERAGE(FILTER(O957:O5025,AA957:AA5025=""Neighbor""))) / STDEV(FILTER(O957:O5025, AA957:AA5025 =""Neighbor"")), """")"),0.5252218465983707)</f>
        <v>0.5252218466</v>
      </c>
      <c r="AD957" s="4">
        <f>IFERROR(__xludf.DUMMYFUNCTION("IFERROR(ABS(P957-AVERAGE(FILTER(O957:P5025,AA957:AA5025=""Neighbor""))) / STDEV(FILTER(P957:P5025, AA957:AA5025 =""Neighbor"")), """")"),1.6229926998886843)</f>
        <v>1.6229927</v>
      </c>
      <c r="AE957" s="2">
        <f>IFERROR(__xludf.DUMMYFUNCTION("IFERROR(ABS(Q957-AVERAGE(FILTER(Q957:Q5025,AA957:AA5025=""Neighbor""))) / STDEV(FILTER(Q957:Q5025, AA957:AA5025 =""Neighbor"")), """")"),0.8641470313113929)</f>
        <v>0.8641470313</v>
      </c>
      <c r="AF957" s="2">
        <f>IFERROR(__xludf.DUMMYFUNCTION("IFERROR(ABS(R957-AVERAGE(FILTER(R957:R5025,AA957:AA5025=""Neighbor""))) / STDEV(FILTER(R957:R5025, AA957:AA5025 =""Neighbor"")), """")"),0.24611056979661158)</f>
        <v>0.2461105698</v>
      </c>
    </row>
    <row r="958">
      <c r="A958" s="2" t="s">
        <v>28</v>
      </c>
      <c r="B958" s="2" t="s">
        <v>3907</v>
      </c>
      <c r="C958" s="2" t="s">
        <v>3908</v>
      </c>
      <c r="D958" s="2" t="s">
        <v>3921</v>
      </c>
      <c r="E958" s="2" t="s">
        <v>3922</v>
      </c>
      <c r="F958" s="2">
        <v>70.0</v>
      </c>
      <c r="G958" s="2">
        <v>328.0</v>
      </c>
      <c r="H958" s="2" t="b">
        <v>1</v>
      </c>
      <c r="I958" s="2">
        <v>-1.0</v>
      </c>
      <c r="J958" s="2" t="b">
        <v>0</v>
      </c>
      <c r="K958" s="2" t="b">
        <v>0</v>
      </c>
      <c r="L958" s="2" t="b">
        <v>0</v>
      </c>
      <c r="M958" s="2" t="b">
        <v>0</v>
      </c>
      <c r="N958" s="2" t="s">
        <v>33</v>
      </c>
      <c r="O958" s="2">
        <v>49.0</v>
      </c>
      <c r="P958" s="2">
        <v>3.0</v>
      </c>
      <c r="Q958" s="2">
        <v>10.0</v>
      </c>
      <c r="R958" s="2">
        <v>0.0</v>
      </c>
      <c r="S958" s="3" t="s">
        <v>3923</v>
      </c>
      <c r="T958" s="2" t="s">
        <v>3924</v>
      </c>
      <c r="Y958" s="4" t="str">
        <f>IFERROR(__xludf.DUMMYFUNCTION("""COMPUTED_VALUE"""),"6.8536287")</f>
        <v>6.8536287</v>
      </c>
      <c r="Z958" s="4" t="str">
        <f>IFERROR(__xludf.DUMMYFUNCTION("""COMPUTED_VALUE"""),"3.1522419")</f>
        <v>3.1522419</v>
      </c>
      <c r="AA958" s="4" t="str">
        <f t="shared" si="1"/>
        <v>Neighbor</v>
      </c>
      <c r="AC958" s="4">
        <f>IFERROR(__xludf.DUMMYFUNCTION("IFERROR(ABS(O958-AVERAGE(FILTER(O958:O5026,AA958:AA5026=""Neighbor""))) / STDEV(FILTER(O958:O5026, AA958:AA5026 =""Neighbor"")), """")"),0.35531600521115697)</f>
        <v>0.3553160052</v>
      </c>
      <c r="AD958" s="4">
        <f>IFERROR(__xludf.DUMMYFUNCTION("IFERROR(ABS(P958-AVERAGE(FILTER(O958:P5026,AA958:AA5026=""Neighbor""))) / STDEV(FILTER(P958:P5026, AA958:AA5026 =""Neighbor"")), """")"),1.716370874146095)</f>
        <v>1.716370874</v>
      </c>
      <c r="AE958" s="2">
        <f>IFERROR(__xludf.DUMMYFUNCTION("IFERROR(ABS(Q958-AVERAGE(FILTER(Q958:Q5026,AA958:AA5026=""Neighbor""))) / STDEV(FILTER(Q958:Q5026, AA958:AA5026 =""Neighbor"")), """")"),0.6135638161622703)</f>
        <v>0.6135638162</v>
      </c>
      <c r="AF958" s="2">
        <f>IFERROR(__xludf.DUMMYFUNCTION("IFERROR(ABS(R958-AVERAGE(FILTER(R958:R5026,AA958:AA5026=""Neighbor""))) / STDEV(FILTER(R958:R5026, AA958:AA5026 =""Neighbor"")), """")"),0.24620928368470227)</f>
        <v>0.2462092837</v>
      </c>
    </row>
    <row r="959">
      <c r="A959" s="2" t="s">
        <v>28</v>
      </c>
      <c r="B959" s="2" t="s">
        <v>3907</v>
      </c>
      <c r="C959" s="2" t="s">
        <v>3908</v>
      </c>
      <c r="D959" s="2" t="s">
        <v>3925</v>
      </c>
      <c r="E959" s="2" t="s">
        <v>3926</v>
      </c>
      <c r="F959" s="2">
        <v>89.0</v>
      </c>
      <c r="G959" s="2">
        <v>365.0</v>
      </c>
      <c r="H959" s="2" t="b">
        <v>1</v>
      </c>
      <c r="I959" s="2">
        <v>-1.0</v>
      </c>
      <c r="J959" s="2" t="b">
        <v>0</v>
      </c>
      <c r="K959" s="2" t="b">
        <v>1</v>
      </c>
      <c r="L959" s="2" t="b">
        <v>0</v>
      </c>
      <c r="M959" s="2" t="b">
        <v>0</v>
      </c>
      <c r="N959" s="2" t="s">
        <v>33</v>
      </c>
      <c r="O959" s="2">
        <v>67.0</v>
      </c>
      <c r="P959" s="2">
        <v>4.0</v>
      </c>
      <c r="Q959" s="2">
        <v>12.0</v>
      </c>
      <c r="R959" s="2">
        <v>0.0</v>
      </c>
      <c r="S959" s="3" t="s">
        <v>3927</v>
      </c>
      <c r="T959" s="2" t="s">
        <v>3928</v>
      </c>
      <c r="Y959" s="4" t="str">
        <f>IFERROR(__xludf.DUMMYFUNCTION("""COMPUTED_VALUE"""),"6.8536287")</f>
        <v>6.8536287</v>
      </c>
      <c r="Z959" s="4" t="str">
        <f>IFERROR(__xludf.DUMMYFUNCTION("""COMPUTED_VALUE"""),"3.1522419")</f>
        <v>3.1522419</v>
      </c>
      <c r="AA959" s="4" t="str">
        <f t="shared" si="1"/>
        <v>Neighbor</v>
      </c>
      <c r="AC959" s="4">
        <f>IFERROR(__xludf.DUMMYFUNCTION("IFERROR(ABS(O959-AVERAGE(FILTER(O959:O5027,AA959:AA5027=""Neighbor""))) / STDEV(FILTER(O959:O5027, AA959:AA5027 =""Neighbor"")), """")"),0.08194032581841748)</f>
        <v>0.08194032582</v>
      </c>
      <c r="AD959" s="4">
        <f>IFERROR(__xludf.DUMMYFUNCTION("IFERROR(ABS(P959-AVERAGE(FILTER(O959:P5027,AA959:AA5027=""Neighbor""))) / STDEV(FILTER(P959:P5027, AA959:AA5027 =""Neighbor"")), """")"),1.669830771137851)</f>
        <v>1.669830771</v>
      </c>
      <c r="AE959" s="2">
        <f>IFERROR(__xludf.DUMMYFUNCTION("IFERROR(ABS(Q959-AVERAGE(FILTER(Q959:Q5027,AA959:AA5027=""Neighbor""))) / STDEV(FILTER(Q959:Q5027, AA959:AA5027 =""Neighbor"")), """")"),0.5301851854608407)</f>
        <v>0.5301851855</v>
      </c>
      <c r="AF959" s="2">
        <f>IFERROR(__xludf.DUMMYFUNCTION("IFERROR(ABS(R959-AVERAGE(FILTER(R959:R5027,AA959:AA5027=""Neighbor""))) / STDEV(FILTER(R959:R5027, AA959:AA5027 =""Neighbor"")), """")"),0.24630811645571313)</f>
        <v>0.2463081165</v>
      </c>
    </row>
    <row r="960">
      <c r="A960" s="2" t="s">
        <v>28</v>
      </c>
      <c r="B960" s="2" t="s">
        <v>3907</v>
      </c>
      <c r="C960" s="2" t="s">
        <v>3908</v>
      </c>
      <c r="D960" s="2" t="s">
        <v>3929</v>
      </c>
      <c r="E960" s="2" t="s">
        <v>3930</v>
      </c>
      <c r="F960" s="2">
        <v>46.0</v>
      </c>
      <c r="G960" s="2">
        <v>275.0</v>
      </c>
      <c r="H960" s="2" t="b">
        <v>1</v>
      </c>
      <c r="I960" s="2">
        <v>-1.0</v>
      </c>
      <c r="J960" s="2" t="b">
        <v>0</v>
      </c>
      <c r="K960" s="2" t="b">
        <v>0</v>
      </c>
      <c r="L960" s="2" t="b">
        <v>0</v>
      </c>
      <c r="M960" s="2" t="b">
        <v>0</v>
      </c>
      <c r="N960" s="2" t="s">
        <v>33</v>
      </c>
      <c r="O960" s="2">
        <v>31.0</v>
      </c>
      <c r="P960" s="2">
        <v>0.0</v>
      </c>
      <c r="Q960" s="2">
        <v>11.0</v>
      </c>
      <c r="R960" s="2">
        <v>0.0</v>
      </c>
      <c r="S960" s="3" t="s">
        <v>3931</v>
      </c>
      <c r="T960" s="2" t="s">
        <v>3932</v>
      </c>
      <c r="Y960" s="4" t="str">
        <f>IFERROR(__xludf.DUMMYFUNCTION("""COMPUTED_VALUE"""),"6.8536287")</f>
        <v>6.8536287</v>
      </c>
      <c r="Z960" s="4" t="str">
        <f>IFERROR(__xludf.DUMMYFUNCTION("""COMPUTED_VALUE"""),"3.1522419")</f>
        <v>3.1522419</v>
      </c>
      <c r="AA960" s="4" t="str">
        <f t="shared" si="1"/>
        <v>Not Neighbor</v>
      </c>
      <c r="AC960" s="4">
        <f>IFERROR(__xludf.DUMMYFUNCTION("IFERROR(ABS(O960-AVERAGE(FILTER(O960:O5028,AA960:AA5028=""Neighbor""))) / STDEV(FILTER(O960:O5028, AA960:AA5028 =""Neighbor"")), """")"),0.7925145876941055)</f>
        <v>0.7925145877</v>
      </c>
      <c r="AD960" s="4">
        <f>IFERROR(__xludf.DUMMYFUNCTION("IFERROR(ABS(P960-AVERAGE(FILTER(O960:P5028,AA960:AA5028=""Neighbor""))) / STDEV(FILTER(P960:P5028, AA960:AA5028 =""Neighbor"")), """")"),1.8559671451867255)</f>
        <v>1.855967145</v>
      </c>
      <c r="AE960" s="2">
        <f>IFERROR(__xludf.DUMMYFUNCTION("IFERROR(ABS(Q960-AVERAGE(FILTER(Q960:Q5028,AA960:AA5028=""Neighbor""))) / STDEV(FILTER(Q960:Q5028, AA960:AA5028 =""Neighbor"")), """")"),0.5722803540053495)</f>
        <v>0.572280354</v>
      </c>
      <c r="AF960" s="2">
        <f>IFERROR(__xludf.DUMMYFUNCTION("IFERROR(ABS(R960-AVERAGE(FILTER(R960:R5028,AA960:AA5028=""Neighbor""))) / STDEV(FILTER(R960:R5028, AA960:AA5028 =""Neighbor"")), """")"),0.24640706834846945)</f>
        <v>0.2464070683</v>
      </c>
    </row>
    <row r="961">
      <c r="A961" s="2" t="s">
        <v>28</v>
      </c>
      <c r="B961" s="2" t="s">
        <v>3907</v>
      </c>
      <c r="C961" s="2" t="s">
        <v>3908</v>
      </c>
      <c r="D961" s="2" t="s">
        <v>3933</v>
      </c>
      <c r="E961" s="2" t="s">
        <v>3934</v>
      </c>
      <c r="F961" s="2">
        <v>100.0</v>
      </c>
      <c r="G961" s="2">
        <v>380.0</v>
      </c>
      <c r="H961" s="2" t="b">
        <v>1</v>
      </c>
      <c r="I961" s="2">
        <v>-1.0</v>
      </c>
      <c r="J961" s="2" t="b">
        <v>1</v>
      </c>
      <c r="K961" s="2" t="b">
        <v>0</v>
      </c>
      <c r="L961" s="2" t="b">
        <v>0</v>
      </c>
      <c r="M961" s="2" t="b">
        <v>0</v>
      </c>
      <c r="N961" s="2" t="s">
        <v>33</v>
      </c>
      <c r="O961" s="2">
        <v>52.0</v>
      </c>
      <c r="P961" s="2">
        <v>2.0</v>
      </c>
      <c r="Q961" s="2">
        <v>18.0</v>
      </c>
      <c r="R961" s="2">
        <v>0.0</v>
      </c>
      <c r="S961" s="3" t="s">
        <v>3935</v>
      </c>
      <c r="T961" s="2" t="s">
        <v>3936</v>
      </c>
      <c r="Y961" s="4" t="str">
        <f>IFERROR(__xludf.DUMMYFUNCTION("""COMPUTED_VALUE"""),"6.8394456")</f>
        <v>6.8394456</v>
      </c>
      <c r="Z961" s="4" t="str">
        <f>IFERROR(__xludf.DUMMYFUNCTION("""COMPUTED_VALUE"""),"3.0682635")</f>
        <v>3.0682635</v>
      </c>
      <c r="AA961" s="4" t="str">
        <f t="shared" si="1"/>
        <v>Neighbor</v>
      </c>
      <c r="AC961" s="4">
        <f>IFERROR(__xludf.DUMMYFUNCTION("IFERROR(ABS(O961-AVERAGE(FILTER(O961:O5029,AA961:AA5029=""Neighbor""))) / STDEV(FILTER(O961:O5029, AA961:AA5029 =""Neighbor"")), """")"),0.28239766429720015)</f>
        <v>0.2823976643</v>
      </c>
      <c r="AD961" s="4">
        <f>IFERROR(__xludf.DUMMYFUNCTION("IFERROR(ABS(P961-AVERAGE(FILTER(O961:P5029,AA961:AA5029=""Neighbor""))) / STDEV(FILTER(P961:P5029, AA961:AA5029 =""Neighbor"")), """")"),1.76275803892805)</f>
        <v>1.762758039</v>
      </c>
      <c r="AE961" s="2">
        <f>IFERROR(__xludf.DUMMYFUNCTION("IFERROR(ABS(Q961-AVERAGE(FILTER(Q961:Q5029,AA961:AA5029=""Neighbor""))) / STDEV(FILTER(Q961:Q5029, AA961:AA5029 =""Neighbor"")), """")"),0.2794156766673941)</f>
        <v>0.2794156767</v>
      </c>
      <c r="AF961" s="2">
        <f>IFERROR(__xludf.DUMMYFUNCTION("IFERROR(ABS(R961-AVERAGE(FILTER(R961:R5029,AA961:AA5029=""Neighbor""))) / STDEV(FILTER(R961:R5029, AA961:AA5029 =""Neighbor"")), """")"),0.24640706834846945)</f>
        <v>0.2464070683</v>
      </c>
    </row>
    <row r="962">
      <c r="A962" s="2" t="s">
        <v>28</v>
      </c>
      <c r="B962" s="2" t="s">
        <v>3907</v>
      </c>
      <c r="C962" s="2" t="s">
        <v>3908</v>
      </c>
      <c r="D962" s="2" t="s">
        <v>3937</v>
      </c>
      <c r="E962" s="2" t="s">
        <v>3938</v>
      </c>
      <c r="F962" s="2">
        <v>91.0</v>
      </c>
      <c r="G962" s="2">
        <v>614.0</v>
      </c>
      <c r="H962" s="2" t="b">
        <v>1</v>
      </c>
      <c r="I962" s="2">
        <v>-1.0</v>
      </c>
      <c r="J962" s="2" t="b">
        <v>0</v>
      </c>
      <c r="K962" s="2" t="b">
        <v>0</v>
      </c>
      <c r="L962" s="2" t="b">
        <v>0</v>
      </c>
      <c r="M962" s="2" t="b">
        <v>0</v>
      </c>
      <c r="N962" s="2" t="s">
        <v>33</v>
      </c>
      <c r="O962" s="2">
        <v>72.0</v>
      </c>
      <c r="P962" s="2">
        <v>2.0</v>
      </c>
      <c r="Q962" s="2">
        <v>13.0</v>
      </c>
      <c r="R962" s="2">
        <v>0.0</v>
      </c>
      <c r="S962" s="3" t="s">
        <v>3939</v>
      </c>
      <c r="T962" s="2" t="s">
        <v>3940</v>
      </c>
      <c r="Y962" s="4" t="str">
        <f>IFERROR(__xludf.DUMMYFUNCTION("""COMPUTED_VALUE"""),"6.8394456")</f>
        <v>6.8394456</v>
      </c>
      <c r="Z962" s="4" t="str">
        <f>IFERROR(__xludf.DUMMYFUNCTION("""COMPUTED_VALUE"""),"3.0682635")</f>
        <v>3.0682635</v>
      </c>
      <c r="AA962" s="4" t="str">
        <f t="shared" si="1"/>
        <v>Neighbor</v>
      </c>
      <c r="AC962" s="4">
        <f>IFERROR(__xludf.DUMMYFUNCTION("IFERROR(ABS(O962-AVERAGE(FILTER(O962:O5030,AA962:AA5030=""Neighbor""))) / STDEV(FILTER(O962:O5030, AA962:AA5030 =""Neighbor"")), """")"),0.20314275899505194)</f>
        <v>0.203142759</v>
      </c>
      <c r="AD962" s="4">
        <f>IFERROR(__xludf.DUMMYFUNCTION("IFERROR(ABS(P962-AVERAGE(FILTER(O962:P5030,AA962:AA5030=""Neighbor""))) / STDEV(FILTER(P962:P5030, AA962:AA5030 =""Neighbor"")), """")"),1.7628282913281847)</f>
        <v>1.762828291</v>
      </c>
      <c r="AE962" s="2">
        <f>IFERROR(__xludf.DUMMYFUNCTION("IFERROR(ABS(Q962-AVERAGE(FILTER(Q962:Q5030,AA962:AA5030=""Neighbor""))) / STDEV(FILTER(Q962:Q5030, AA962:AA5030 =""Neighbor"")), """")"),0.4886457415734926)</f>
        <v>0.4886457416</v>
      </c>
      <c r="AF962" s="2">
        <f>IFERROR(__xludf.DUMMYFUNCTION("IFERROR(ABS(R962-AVERAGE(FILTER(R962:R5030,AA962:AA5030=""Neighbor""))) / STDEV(FILTER(R962:R5030, AA962:AA5030 =""Neighbor"")), """")"),0.2465061396024686)</f>
        <v>0.2465061396</v>
      </c>
    </row>
    <row r="963">
      <c r="A963" s="2" t="s">
        <v>28</v>
      </c>
      <c r="B963" s="2" t="s">
        <v>3907</v>
      </c>
      <c r="C963" s="2" t="s">
        <v>3908</v>
      </c>
      <c r="D963" s="2" t="s">
        <v>3941</v>
      </c>
      <c r="E963" s="2" t="s">
        <v>3942</v>
      </c>
      <c r="F963" s="2">
        <v>93.0</v>
      </c>
      <c r="G963" s="2">
        <v>416.0</v>
      </c>
      <c r="H963" s="2" t="b">
        <v>1</v>
      </c>
      <c r="I963" s="2">
        <v>-1.0</v>
      </c>
      <c r="J963" s="2" t="b">
        <v>0</v>
      </c>
      <c r="K963" s="2" t="b">
        <v>0</v>
      </c>
      <c r="L963" s="2" t="b">
        <v>0</v>
      </c>
      <c r="M963" s="2" t="b">
        <v>0</v>
      </c>
      <c r="N963" s="2" t="s">
        <v>33</v>
      </c>
      <c r="O963" s="2">
        <v>0.0</v>
      </c>
      <c r="P963" s="2">
        <v>0.0</v>
      </c>
      <c r="Q963" s="2">
        <v>0.0</v>
      </c>
      <c r="R963" s="2">
        <v>0.0</v>
      </c>
      <c r="S963" s="3" t="s">
        <v>3943</v>
      </c>
      <c r="T963" s="2" t="s">
        <v>3944</v>
      </c>
      <c r="Y963" s="4" t="str">
        <f>IFERROR(__xludf.DUMMYFUNCTION("""COMPUTED_VALUE"""),"6.8394456")</f>
        <v>6.8394456</v>
      </c>
      <c r="Z963" s="4" t="str">
        <f>IFERROR(__xludf.DUMMYFUNCTION("""COMPUTED_VALUE"""),"3.0682635")</f>
        <v>3.0682635</v>
      </c>
      <c r="AA963" s="4" t="str">
        <f t="shared" si="1"/>
        <v>Not Neighbor</v>
      </c>
      <c r="AC963" s="4">
        <f>IFERROR(__xludf.DUMMYFUNCTION("IFERROR(ABS(O963-AVERAGE(FILTER(O963:O5031,AA963:AA5031=""Neighbor""))) / STDEV(FILTER(O963:O5031, AA963:AA5031 =""Neighbor"")), """")"),1.5445021376831034)</f>
        <v>1.544502138</v>
      </c>
      <c r="AD963" s="4">
        <f>IFERROR(__xludf.DUMMYFUNCTION("IFERROR(ABS(P963-AVERAGE(FILTER(O963:P5031,AA963:AA5031=""Neighbor""))) / STDEV(FILTER(P963:P5031, AA963:AA5031 =""Neighbor"")), """")"),1.8557140196031447)</f>
        <v>1.85571402</v>
      </c>
      <c r="AE963" s="2">
        <f>IFERROR(__xludf.DUMMYFUNCTION("IFERROR(ABS(Q963-AVERAGE(FILTER(Q963:Q5031,AA963:AA5031=""Neighbor""))) / STDEV(FILTER(Q963:Q5031, AA963:AA5031 =""Neighbor"")), """")"),1.032419577673993)</f>
        <v>1.032419578</v>
      </c>
      <c r="AF963" s="2">
        <f>IFERROR(__xludf.DUMMYFUNCTION("IFERROR(ABS(R963-AVERAGE(FILTER(R963:R5031,AA963:AA5031=""Neighbor""))) / STDEV(FILTER(R963:R5031, AA963:AA5031 =""Neighbor"")), """")"),0.24660533045788294)</f>
        <v>0.2466053305</v>
      </c>
    </row>
    <row r="964">
      <c r="A964" s="2" t="s">
        <v>28</v>
      </c>
      <c r="B964" s="2" t="s">
        <v>3907</v>
      </c>
      <c r="C964" s="2" t="s">
        <v>3908</v>
      </c>
      <c r="D964" s="2" t="s">
        <v>3945</v>
      </c>
      <c r="E964" s="2" t="s">
        <v>3946</v>
      </c>
      <c r="F964" s="2">
        <v>78.0</v>
      </c>
      <c r="G964" s="2">
        <v>249.0</v>
      </c>
      <c r="H964" s="2" t="b">
        <v>1</v>
      </c>
      <c r="I964" s="2">
        <v>-1.0</v>
      </c>
      <c r="J964" s="2" t="b">
        <v>0</v>
      </c>
      <c r="K964" s="2" t="b">
        <v>0</v>
      </c>
      <c r="L964" s="2" t="b">
        <v>0</v>
      </c>
      <c r="M964" s="2" t="b">
        <v>0</v>
      </c>
      <c r="N964" s="2" t="s">
        <v>33</v>
      </c>
      <c r="O964" s="2">
        <v>24.0</v>
      </c>
      <c r="P964" s="2">
        <v>3.0</v>
      </c>
      <c r="Q964" s="2">
        <v>45.0</v>
      </c>
      <c r="R964" s="2">
        <v>0.0</v>
      </c>
      <c r="S964" s="3" t="s">
        <v>3947</v>
      </c>
      <c r="T964" s="2" t="s">
        <v>3948</v>
      </c>
      <c r="Y964" s="4" t="str">
        <f>IFERROR(__xludf.DUMMYFUNCTION("""COMPUTED_VALUE"""),"6.8798713")</f>
        <v>6.8798713</v>
      </c>
      <c r="Z964" s="4" t="str">
        <f>IFERROR(__xludf.DUMMYFUNCTION("""COMPUTED_VALUE"""),"3.1315471")</f>
        <v>3.1315471</v>
      </c>
      <c r="AA964" s="4" t="str">
        <f t="shared" si="1"/>
        <v>Neighbor</v>
      </c>
      <c r="AC964" s="4">
        <f>IFERROR(__xludf.DUMMYFUNCTION("IFERROR(ABS(O964-AVERAGE(FILTER(O964:O5032,AA964:AA5032=""Neighbor""))) / STDEV(FILTER(O964:O5032, AA964:AA5032 =""Neighbor"")), """")"),0.9619270933158448)</f>
        <v>0.9619270933</v>
      </c>
      <c r="AD964" s="4">
        <f>IFERROR(__xludf.DUMMYFUNCTION("IFERROR(ABS(P964-AVERAGE(FILTER(O964:P5032,AA964:AA5032=""Neighbor""))) / STDEV(FILTER(P964:P5032, AA964:AA5032 =""Neighbor"")), """")"),1.7159611229902227)</f>
        <v>1.715961123</v>
      </c>
      <c r="AE964" s="2">
        <f>IFERROR(__xludf.DUMMYFUNCTION("IFERROR(ABS(Q964-AVERAGE(FILTER(Q964:Q5032,AA964:AA5032=""Neighbor""))) / STDEV(FILTER(Q964:Q5032, AA964:AA5032 =""Neighbor"")), """")"),0.8490793851442479)</f>
        <v>0.8490793851</v>
      </c>
      <c r="AF964" s="2">
        <f>IFERROR(__xludf.DUMMYFUNCTION("IFERROR(ABS(R964-AVERAGE(FILTER(R964:R5032,AA964:AA5032=""Neighbor""))) / STDEV(FILTER(R964:R5032, AA964:AA5032 =""Neighbor"")), """")"),0.24660533045788294)</f>
        <v>0.2466053305</v>
      </c>
    </row>
    <row r="965">
      <c r="A965" s="2" t="s">
        <v>28</v>
      </c>
      <c r="B965" s="2" t="s">
        <v>3907</v>
      </c>
      <c r="C965" s="2" t="s">
        <v>3908</v>
      </c>
      <c r="D965" s="2" t="s">
        <v>3949</v>
      </c>
      <c r="E965" s="2" t="s">
        <v>3950</v>
      </c>
      <c r="F965" s="2">
        <v>51.0</v>
      </c>
      <c r="G965" s="2">
        <v>210.0</v>
      </c>
      <c r="H965" s="2" t="b">
        <v>1</v>
      </c>
      <c r="I965" s="2">
        <v>-1.0</v>
      </c>
      <c r="J965" s="2" t="b">
        <v>0</v>
      </c>
      <c r="K965" s="2" t="b">
        <v>0</v>
      </c>
      <c r="L965" s="2" t="b">
        <v>0</v>
      </c>
      <c r="M965" s="2" t="b">
        <v>0</v>
      </c>
      <c r="N965" s="2" t="s">
        <v>33</v>
      </c>
      <c r="O965" s="2">
        <v>24.0</v>
      </c>
      <c r="P965" s="2">
        <v>0.0</v>
      </c>
      <c r="Q965" s="2">
        <v>22.0</v>
      </c>
      <c r="R965" s="2">
        <v>0.0</v>
      </c>
      <c r="S965" s="3" t="s">
        <v>3951</v>
      </c>
      <c r="T965" s="2" t="s">
        <v>3952</v>
      </c>
      <c r="Y965" s="4" t="str">
        <f>IFERROR(__xludf.DUMMYFUNCTION("""COMPUTED_VALUE"""),"6.8798713")</f>
        <v>6.8798713</v>
      </c>
      <c r="Z965" s="4" t="str">
        <f>IFERROR(__xludf.DUMMYFUNCTION("""COMPUTED_VALUE"""),"3.1315471")</f>
        <v>3.1315471</v>
      </c>
      <c r="AA965" s="4" t="str">
        <f t="shared" si="1"/>
        <v>Not Neighbor</v>
      </c>
      <c r="AC965" s="4">
        <f>IFERROR(__xludf.DUMMYFUNCTION("IFERROR(ABS(O965-AVERAGE(FILTER(O965:O5033,AA965:AA5033=""Neighbor""))) / STDEV(FILTER(O965:O5033, AA965:AA5033 =""Neighbor"")), """")"),0.962630958409969)</f>
        <v>0.9626309584</v>
      </c>
      <c r="AD965" s="4">
        <f>IFERROR(__xludf.DUMMYFUNCTION("IFERROR(ABS(P965-AVERAGE(FILTER(O965:P5033,AA965:AA5033=""Neighbor""))) / STDEV(FILTER(P965:P5033, AA965:AA5033 =""Neighbor"")), """")"),1.856201298175149)</f>
        <v>1.856201298</v>
      </c>
      <c r="AE965" s="2">
        <f>IFERROR(__xludf.DUMMYFUNCTION("IFERROR(ABS(Q965-AVERAGE(FILTER(Q965:Q5033,AA965:AA5033=""Neighbor""))) / STDEV(FILTER(Q965:Q5033, AA965:AA5033 =""Neighbor"")), """")"),0.11191859167029088)</f>
        <v>0.1119185917</v>
      </c>
      <c r="AF965" s="2">
        <f>IFERROR(__xludf.DUMMYFUNCTION("IFERROR(ABS(R965-AVERAGE(FILTER(R965:R5033,AA965:AA5033=""Neighbor""))) / STDEV(FILTER(R965:R5033, AA965:AA5033 =""Neighbor"")), """")"),0.2467046411555616)</f>
        <v>0.2467046412</v>
      </c>
    </row>
    <row r="966">
      <c r="A966" s="2" t="s">
        <v>28</v>
      </c>
      <c r="B966" s="2" t="s">
        <v>3907</v>
      </c>
      <c r="C966" s="2" t="s">
        <v>3908</v>
      </c>
      <c r="D966" s="2" t="s">
        <v>3953</v>
      </c>
      <c r="E966" s="2" t="s">
        <v>3954</v>
      </c>
      <c r="F966" s="2">
        <v>160.0</v>
      </c>
      <c r="G966" s="2">
        <v>631.0</v>
      </c>
      <c r="H966" s="2" t="b">
        <v>1</v>
      </c>
      <c r="I966" s="2">
        <v>-1.0</v>
      </c>
      <c r="J966" s="2" t="b">
        <v>1</v>
      </c>
      <c r="K966" s="2" t="b">
        <v>1</v>
      </c>
      <c r="L966" s="2" t="b">
        <v>0</v>
      </c>
      <c r="M966" s="2" t="b">
        <v>0</v>
      </c>
      <c r="N966" s="2" t="s">
        <v>33</v>
      </c>
      <c r="O966" s="2">
        <v>111.0</v>
      </c>
      <c r="P966" s="2">
        <v>9.0</v>
      </c>
      <c r="Q966" s="2">
        <v>23.0</v>
      </c>
      <c r="R966" s="2">
        <v>0.0</v>
      </c>
      <c r="S966" s="3" t="s">
        <v>3955</v>
      </c>
      <c r="T966" s="2" t="s">
        <v>3956</v>
      </c>
      <c r="Y966" s="4" t="str">
        <f>IFERROR(__xludf.DUMMYFUNCTION("""COMPUTED_VALUE"""),"6.8477608")</f>
        <v>6.8477608</v>
      </c>
      <c r="Z966" s="4" t="str">
        <f>IFERROR(__xludf.DUMMYFUNCTION("""COMPUTED_VALUE"""),"3.1306281")</f>
        <v>3.1306281</v>
      </c>
      <c r="AA966" s="4" t="str">
        <f t="shared" si="1"/>
        <v>Not Neighbor</v>
      </c>
      <c r="AC966" s="4">
        <f>IFERROR(__xludf.DUMMYFUNCTION("IFERROR(ABS(O966-AVERAGE(FILTER(O966:O5034,AA966:AA5034=""Neighbor""))) / STDEV(FILTER(O966:O5034, AA966:AA5034 =""Neighbor"")), """")"),1.149144164990571)</f>
        <v>1.149144165</v>
      </c>
      <c r="AD966" s="4">
        <f>IFERROR(__xludf.DUMMYFUNCTION("IFERROR(ABS(P966-AVERAGE(FILTER(O966:P5034,AA966:AA5034=""Neighbor""))) / STDEV(FILTER(P966:P5034, AA966:AA5034 =""Neighbor"")), """")"),1.4370430870104882)</f>
        <v>1.437043087</v>
      </c>
      <c r="AE966" s="2">
        <f>IFERROR(__xludf.DUMMYFUNCTION("IFERROR(ABS(Q966-AVERAGE(FILTER(Q966:Q5034,AA966:AA5034=""Neighbor""))) / STDEV(FILTER(Q966:Q5034, AA966:AA5034 =""Neighbor"")), """")"),0.07011193068871191)</f>
        <v>0.07011193069</v>
      </c>
      <c r="AF966" s="2">
        <f>IFERROR(__xludf.DUMMYFUNCTION("IFERROR(ABS(R966-AVERAGE(FILTER(R966:R5034,AA966:AA5034=""Neighbor""))) / STDEV(FILTER(R966:R5034, AA966:AA5034 =""Neighbor"")), """")"),0.2467046411555616)</f>
        <v>0.2467046412</v>
      </c>
    </row>
    <row r="967">
      <c r="A967" s="2" t="s">
        <v>28</v>
      </c>
      <c r="B967" s="2" t="s">
        <v>3907</v>
      </c>
      <c r="C967" s="2" t="s">
        <v>3908</v>
      </c>
      <c r="D967" s="2" t="s">
        <v>3957</v>
      </c>
      <c r="E967" s="2" t="s">
        <v>3958</v>
      </c>
      <c r="F967" s="2">
        <v>99.0</v>
      </c>
      <c r="G967" s="2">
        <v>538.0</v>
      </c>
      <c r="H967" s="2" t="b">
        <v>1</v>
      </c>
      <c r="I967" s="2">
        <v>-1.0</v>
      </c>
      <c r="J967" s="2" t="b">
        <v>0</v>
      </c>
      <c r="K967" s="2" t="b">
        <v>0</v>
      </c>
      <c r="L967" s="2" t="b">
        <v>0</v>
      </c>
      <c r="M967" s="2" t="b">
        <v>0</v>
      </c>
      <c r="N967" s="2" t="s">
        <v>33</v>
      </c>
      <c r="O967" s="2">
        <v>44.0</v>
      </c>
      <c r="P967" s="2">
        <v>11.0</v>
      </c>
      <c r="Q967" s="2">
        <v>28.0</v>
      </c>
      <c r="R967" s="2">
        <v>0.0</v>
      </c>
      <c r="S967" s="3" t="s">
        <v>3959</v>
      </c>
      <c r="T967" s="2" t="s">
        <v>3960</v>
      </c>
      <c r="Y967" s="4" t="str">
        <f>IFERROR(__xludf.DUMMYFUNCTION("""COMPUTED_VALUE"""),"6.8798713")</f>
        <v>6.8798713</v>
      </c>
      <c r="Z967" s="4" t="str">
        <f>IFERROR(__xludf.DUMMYFUNCTION("""COMPUTED_VALUE"""),"3.1315471")</f>
        <v>3.1315471</v>
      </c>
      <c r="AA967" s="4" t="str">
        <f t="shared" si="1"/>
        <v>Neighbor</v>
      </c>
      <c r="AC967" s="4">
        <f>IFERROR(__xludf.DUMMYFUNCTION("IFERROR(ABS(O967-AVERAGE(FILTER(O967:O5035,AA967:AA5035=""Neighbor""))) / STDEV(FILTER(O967:O5035, AA967:AA5035 =""Neighbor"")), """")"),0.47716541280064956)</f>
        <v>0.4771654128</v>
      </c>
      <c r="AD967" s="4">
        <f>IFERROR(__xludf.DUMMYFUNCTION("IFERROR(ABS(P967-AVERAGE(FILTER(O967:P5035,AA967:AA5035=""Neighbor""))) / STDEV(FILTER(P967:P5035, AA967:AA5035 =""Neighbor"")), """")"),1.3438968178627857)</f>
        <v>1.343896818</v>
      </c>
      <c r="AE967" s="2">
        <f>IFERROR(__xludf.DUMMYFUNCTION("IFERROR(ABS(Q967-AVERAGE(FILTER(Q967:Q5035,AA967:AA5035=""Neighbor""))) / STDEV(FILTER(Q967:Q5035, AA967:AA5035 =""Neighbor"")), """")"),0.13892137421918294)</f>
        <v>0.1389213742</v>
      </c>
      <c r="AF967" s="2">
        <f>IFERROR(__xludf.DUMMYFUNCTION("IFERROR(ABS(R967-AVERAGE(FILTER(R967:R5035,AA967:AA5035=""Neighbor""))) / STDEV(FILTER(R967:R5035, AA967:AA5035 =""Neighbor"")), """")"),0.2467046411555616)</f>
        <v>0.2467046412</v>
      </c>
    </row>
    <row r="968">
      <c r="A968" s="2" t="s">
        <v>28</v>
      </c>
      <c r="B968" s="2" t="s">
        <v>3907</v>
      </c>
      <c r="C968" s="2" t="s">
        <v>3908</v>
      </c>
      <c r="D968" s="2" t="s">
        <v>3961</v>
      </c>
      <c r="E968" s="2" t="s">
        <v>3962</v>
      </c>
      <c r="F968" s="2">
        <v>86.0</v>
      </c>
      <c r="G968" s="2">
        <v>576.0</v>
      </c>
      <c r="H968" s="2" t="b">
        <v>1</v>
      </c>
      <c r="I968" s="2">
        <v>-1.0</v>
      </c>
      <c r="J968" s="2" t="b">
        <v>0</v>
      </c>
      <c r="K968" s="2" t="b">
        <v>0</v>
      </c>
      <c r="L968" s="2" t="b">
        <v>0</v>
      </c>
      <c r="M968" s="2" t="b">
        <v>0</v>
      </c>
      <c r="N968" s="2" t="s">
        <v>33</v>
      </c>
      <c r="O968" s="2">
        <v>33.0</v>
      </c>
      <c r="P968" s="2">
        <v>10.0</v>
      </c>
      <c r="Q968" s="2">
        <v>27.0</v>
      </c>
      <c r="R968" s="2">
        <v>0.0</v>
      </c>
      <c r="S968" s="3" t="s">
        <v>3963</v>
      </c>
      <c r="T968" s="2" t="s">
        <v>3964</v>
      </c>
      <c r="Y968" s="4" t="str">
        <f>IFERROR(__xludf.DUMMYFUNCTION("""COMPUTED_VALUE"""),"6.8798713")</f>
        <v>6.8798713</v>
      </c>
      <c r="Z968" s="4" t="str">
        <f>IFERROR(__xludf.DUMMYFUNCTION("""COMPUTED_VALUE"""),"3.1315471")</f>
        <v>3.1315471</v>
      </c>
      <c r="AA968" s="4" t="str">
        <f t="shared" si="1"/>
        <v>Neighbor</v>
      </c>
      <c r="AC968" s="4">
        <f>IFERROR(__xludf.DUMMYFUNCTION("IFERROR(ABS(O968-AVERAGE(FILTER(O968:O5036,AA968:AA5036=""Neighbor""))) / STDEV(FILTER(O968:O5036, AA968:AA5036 =""Neighbor"")), """")"),0.7443156689686017)</f>
        <v>0.744315669</v>
      </c>
      <c r="AD968" s="4">
        <f>IFERROR(__xludf.DUMMYFUNCTION("IFERROR(ABS(P968-AVERAGE(FILTER(O968:P5036,AA968:AA5036=""Neighbor""))) / STDEV(FILTER(P968:P5036, AA968:AA5036 =""Neighbor"")), """")"),1.3904078904798853)</f>
        <v>1.39040789</v>
      </c>
      <c r="AE968" s="2">
        <f>IFERROR(__xludf.DUMMYFUNCTION("IFERROR(ABS(Q968-AVERAGE(FILTER(Q968:Q5036,AA968:AA5036=""Neighbor""))) / STDEV(FILTER(Q968:Q5036, AA968:AA5036 =""Neighbor"")), """")"),0.09718409761215412)</f>
        <v>0.09718409761</v>
      </c>
      <c r="AF968" s="2">
        <f>IFERROR(__xludf.DUMMYFUNCTION("IFERROR(ABS(R968-AVERAGE(FILTER(R968:R5036,AA968:AA5036=""Neighbor""))) / STDEV(FILTER(R968:R5036, AA968:AA5036 =""Neighbor"")), """")"),0.24680407193703346)</f>
        <v>0.2468040719</v>
      </c>
    </row>
    <row r="969">
      <c r="A969" s="2" t="s">
        <v>28</v>
      </c>
      <c r="B969" s="2" t="s">
        <v>3907</v>
      </c>
      <c r="C969" s="2" t="s">
        <v>3908</v>
      </c>
      <c r="D969" s="2" t="s">
        <v>3965</v>
      </c>
      <c r="E969" s="2" t="s">
        <v>3966</v>
      </c>
      <c r="F969" s="2">
        <v>28.0</v>
      </c>
      <c r="G969" s="2">
        <v>159.0</v>
      </c>
      <c r="H969" s="2" t="b">
        <v>1</v>
      </c>
      <c r="I969" s="2">
        <v>-1.0</v>
      </c>
      <c r="J969" s="2" t="b">
        <v>0</v>
      </c>
      <c r="K969" s="2" t="b">
        <v>0</v>
      </c>
      <c r="L969" s="2" t="b">
        <v>0</v>
      </c>
      <c r="M969" s="2" t="b">
        <v>0</v>
      </c>
      <c r="N969" s="2" t="s">
        <v>33</v>
      </c>
      <c r="O969" s="2">
        <v>21.0</v>
      </c>
      <c r="P969" s="2">
        <v>0.0</v>
      </c>
      <c r="Q969" s="2">
        <v>5.0</v>
      </c>
      <c r="R969" s="2">
        <v>0.0</v>
      </c>
      <c r="S969" s="3" t="s">
        <v>3967</v>
      </c>
      <c r="T969" s="2" t="s">
        <v>3968</v>
      </c>
      <c r="Y969" s="4" t="str">
        <f>IFERROR(__xludf.DUMMYFUNCTION("""COMPUTED_VALUE"""),"6.8798713")</f>
        <v>6.8798713</v>
      </c>
      <c r="Z969" s="4" t="str">
        <f>IFERROR(__xludf.DUMMYFUNCTION("""COMPUTED_VALUE"""),"3.1315471")</f>
        <v>3.1315471</v>
      </c>
      <c r="AA969" s="4" t="str">
        <f t="shared" si="1"/>
        <v>Not Neighbor</v>
      </c>
      <c r="AC969" s="4">
        <f>IFERROR(__xludf.DUMMYFUNCTION("IFERROR(ABS(O969-AVERAGE(FILTER(O969:O5037,AA969:AA5037=""Neighbor""))) / STDEV(FILTER(O969:O5037, AA969:AA5037 =""Neighbor"")), """")"),1.0359001488990074)</f>
        <v>1.035900149</v>
      </c>
      <c r="AD969" s="4">
        <f>IFERROR(__xludf.DUMMYFUNCTION("IFERROR(ABS(P969-AVERAGE(FILTER(O969:P5037,AA969:AA5037=""Neighbor""))) / STDEV(FILTER(P969:P5037, AA969:AA5037 =""Neighbor"")), """")"),1.8559722138702373)</f>
        <v>1.855972214</v>
      </c>
      <c r="AE969" s="2">
        <f>IFERROR(__xludf.DUMMYFUNCTION("IFERROR(ABS(Q969-AVERAGE(FILTER(Q969:Q5037,AA969:AA5037=""Neighbor""))) / STDEV(FILTER(Q969:Q5037, AA969:AA5037 =""Neighbor"")), """")"),0.8218355108301704)</f>
        <v>0.8218355108</v>
      </c>
      <c r="AF969" s="2">
        <f>IFERROR(__xludf.DUMMYFUNCTION("IFERROR(ABS(R969-AVERAGE(FILTER(R969:R5037,AA969:AA5037=""Neighbor""))) / STDEV(FILTER(R969:R5037, AA969:AA5037 =""Neighbor"")), """")"),0.24690362304450977)</f>
        <v>0.246903623</v>
      </c>
    </row>
    <row r="970">
      <c r="A970" s="2" t="s">
        <v>28</v>
      </c>
      <c r="B970" s="2" t="s">
        <v>3907</v>
      </c>
      <c r="C970" s="2" t="s">
        <v>3908</v>
      </c>
      <c r="D970" s="2" t="s">
        <v>3969</v>
      </c>
      <c r="E970" s="2" t="s">
        <v>3970</v>
      </c>
      <c r="F970" s="2">
        <v>76.0</v>
      </c>
      <c r="G970" s="2">
        <v>585.0</v>
      </c>
      <c r="H970" s="2" t="b">
        <v>1</v>
      </c>
      <c r="I970" s="2">
        <v>-1.0</v>
      </c>
      <c r="J970" s="2" t="b">
        <v>0</v>
      </c>
      <c r="K970" s="2" t="b">
        <v>0</v>
      </c>
      <c r="L970" s="2" t="b">
        <v>0</v>
      </c>
      <c r="M970" s="2" t="b">
        <v>0</v>
      </c>
      <c r="N970" s="2" t="s">
        <v>33</v>
      </c>
      <c r="O970" s="2">
        <v>38.0</v>
      </c>
      <c r="P970" s="2">
        <v>4.0</v>
      </c>
      <c r="Q970" s="2">
        <v>21.0</v>
      </c>
      <c r="R970" s="2">
        <v>0.0</v>
      </c>
      <c r="S970" s="3" t="s">
        <v>3971</v>
      </c>
      <c r="T970" s="2" t="s">
        <v>3972</v>
      </c>
      <c r="Y970" s="4" t="str">
        <f>IFERROR(__xludf.DUMMYFUNCTION("""COMPUTED_VALUE"""),"6.8791323")</f>
        <v>6.8791323</v>
      </c>
      <c r="Z970" s="4" t="str">
        <f>IFERROR(__xludf.DUMMYFUNCTION("""COMPUTED_VALUE"""),"3.0904973")</f>
        <v>3.0904973</v>
      </c>
      <c r="AA970" s="4" t="str">
        <f t="shared" si="1"/>
        <v>Not Neighbor</v>
      </c>
      <c r="AC970" s="4">
        <f>IFERROR(__xludf.DUMMYFUNCTION("IFERROR(ABS(O970-AVERAGE(FILTER(O970:O5038,AA970:AA5038=""Neighbor""))) / STDEV(FILTER(O970:O5038, AA970:AA5038 =""Neighbor"")), """")"),0.6234456005485444)</f>
        <v>0.6234456005</v>
      </c>
      <c r="AD970" s="4">
        <f>IFERROR(__xludf.DUMMYFUNCTION("IFERROR(ABS(P970-AVERAGE(FILTER(O970:P5038,AA970:AA5038=""Neighbor""))) / STDEV(FILTER(P970:P5038, AA970:AA5038 =""Neighbor"")), """")"),1.6698118360892413)</f>
        <v>1.669811836</v>
      </c>
      <c r="AE970" s="2">
        <f>IFERROR(__xludf.DUMMYFUNCTION("IFERROR(ABS(Q970-AVERAGE(FILTER(Q970:Q5038,AA970:AA5038=""Neighbor""))) / STDEV(FILTER(Q970:Q5038, AA970:AA5038 =""Neighbor"")), """")"),0.15343049033912587)</f>
        <v>0.1534304903</v>
      </c>
      <c r="AF970" s="2">
        <f>IFERROR(__xludf.DUMMYFUNCTION("IFERROR(ABS(R970-AVERAGE(FILTER(R970:R5038,AA970:AA5038=""Neighbor""))) / STDEV(FILTER(R970:R5038, AA970:AA5038 =""Neighbor"")), """")"),0.24690362304450977)</f>
        <v>0.246903623</v>
      </c>
    </row>
    <row r="971">
      <c r="A971" s="2" t="s">
        <v>28</v>
      </c>
      <c r="B971" s="2" t="s">
        <v>3907</v>
      </c>
      <c r="C971" s="2" t="s">
        <v>3973</v>
      </c>
      <c r="D971" s="2" t="s">
        <v>3974</v>
      </c>
      <c r="E971" s="2" t="s">
        <v>3975</v>
      </c>
      <c r="F971" s="2">
        <v>127.0</v>
      </c>
      <c r="G971" s="2">
        <v>518.0</v>
      </c>
      <c r="H971" s="2" t="b">
        <v>1</v>
      </c>
      <c r="I971" s="2">
        <v>-1.0</v>
      </c>
      <c r="J971" s="2" t="b">
        <v>0</v>
      </c>
      <c r="K971" s="2" t="b">
        <v>0</v>
      </c>
      <c r="L971" s="2" t="b">
        <v>0</v>
      </c>
      <c r="M971" s="2" t="b">
        <v>0</v>
      </c>
      <c r="N971" s="2" t="s">
        <v>33</v>
      </c>
      <c r="O971" s="2">
        <v>72.0</v>
      </c>
      <c r="P971" s="2">
        <v>0.0</v>
      </c>
      <c r="Q971" s="2">
        <v>46.0</v>
      </c>
      <c r="R971" s="2">
        <v>0.0</v>
      </c>
      <c r="S971" s="3" t="s">
        <v>3976</v>
      </c>
      <c r="T971" s="2" t="s">
        <v>3977</v>
      </c>
      <c r="Y971" s="4" t="str">
        <f>IFERROR(__xludf.DUMMYFUNCTION("""COMPUTED_VALUE"""),"6.9215531")</f>
        <v>6.9215531</v>
      </c>
      <c r="Z971" s="4" t="str">
        <f>IFERROR(__xludf.DUMMYFUNCTION("""COMPUTED_VALUE"""),"3.1077277")</f>
        <v>3.1077277</v>
      </c>
      <c r="AA971" s="4" t="str">
        <f t="shared" si="1"/>
        <v>Not Neighbor</v>
      </c>
      <c r="AC971" s="4">
        <f>IFERROR(__xludf.DUMMYFUNCTION("IFERROR(ABS(O971-AVERAGE(FILTER(O971:O5039,AA971:AA5039=""Neighbor""))) / STDEV(FILTER(O971:O5039, AA971:AA5039 =""Neighbor"")), """")"),0.2014634961523817)</f>
        <v>0.2014634962</v>
      </c>
      <c r="AD971" s="4">
        <f>IFERROR(__xludf.DUMMYFUNCTION("IFERROR(ABS(P971-AVERAGE(FILTER(O971:P5039,AA971:AA5039=""Neighbor""))) / STDEV(FILTER(P971:P5039, AA971:AA5039 =""Neighbor"")), """")"),1.8559722138702373)</f>
        <v>1.855972214</v>
      </c>
      <c r="AE971" s="2">
        <f>IFERROR(__xludf.DUMMYFUNCTION("IFERROR(ABS(Q971-AVERAGE(FILTER(Q971:Q5039,AA971:AA5039=""Neighbor""))) / STDEV(FILTER(Q971:Q5039, AA971:AA5039 =""Neighbor"")), """")"),0.8909523541781312)</f>
        <v>0.8909523542</v>
      </c>
      <c r="AF971" s="2">
        <f>IFERROR(__xludf.DUMMYFUNCTION("IFERROR(ABS(R971-AVERAGE(FILTER(R971:R5039,AA971:AA5039=""Neighbor""))) / STDEV(FILTER(R971:R5039, AA971:AA5039 =""Neighbor"")), """")"),0.24690362304450977)</f>
        <v>0.246903623</v>
      </c>
    </row>
    <row r="972">
      <c r="A972" s="2" t="s">
        <v>28</v>
      </c>
      <c r="B972" s="2" t="s">
        <v>3907</v>
      </c>
      <c r="C972" s="2" t="s">
        <v>3973</v>
      </c>
      <c r="D972" s="2" t="s">
        <v>3978</v>
      </c>
      <c r="E972" s="2" t="s">
        <v>3979</v>
      </c>
      <c r="F972" s="2">
        <v>48.0</v>
      </c>
      <c r="G972" s="2">
        <v>399.0</v>
      </c>
      <c r="H972" s="2" t="b">
        <v>1</v>
      </c>
      <c r="I972" s="2">
        <v>-1.0</v>
      </c>
      <c r="J972" s="2" t="b">
        <v>0</v>
      </c>
      <c r="K972" s="2" t="b">
        <v>0</v>
      </c>
      <c r="L972" s="2" t="b">
        <v>0</v>
      </c>
      <c r="M972" s="2" t="b">
        <v>0</v>
      </c>
      <c r="N972" s="2" t="s">
        <v>33</v>
      </c>
      <c r="O972" s="2">
        <v>30.0</v>
      </c>
      <c r="P972" s="2">
        <v>1.0</v>
      </c>
      <c r="Q972" s="2">
        <v>14.0</v>
      </c>
      <c r="R972" s="2">
        <v>0.0</v>
      </c>
      <c r="S972" s="3" t="s">
        <v>3980</v>
      </c>
      <c r="T972" s="2" t="s">
        <v>3981</v>
      </c>
      <c r="Y972" s="4" t="str">
        <f>IFERROR(__xludf.DUMMYFUNCTION("""COMPUTED_VALUE"""),"6.9214024")</f>
        <v>6.9214024</v>
      </c>
      <c r="Z972" s="4" t="str">
        <f>IFERROR(__xludf.DUMMYFUNCTION("""COMPUTED_VALUE"""),"3.0792225")</f>
        <v>3.0792225</v>
      </c>
      <c r="AA972" s="4" t="str">
        <f t="shared" si="1"/>
        <v>Not Neighbor</v>
      </c>
      <c r="AC972" s="4">
        <f>IFERROR(__xludf.DUMMYFUNCTION("IFERROR(ABS(O972-AVERAGE(FILTER(O972:O5040,AA972:AA5040=""Neighbor""))) / STDEV(FILTER(O972:O5040, AA972:AA5040 =""Neighbor"")), """")"),0.8175418585958211)</f>
        <v>0.8175418586</v>
      </c>
      <c r="AD972" s="4">
        <f>IFERROR(__xludf.DUMMYFUNCTION("IFERROR(ABS(P972-AVERAGE(FILTER(O972:P5040,AA972:AA5040=""Neighbor""))) / STDEV(FILTER(P972:P5040, AA972:AA5040 =""Neighbor"")), """")"),1.8094321194249883)</f>
        <v>1.809432119</v>
      </c>
      <c r="AE972" s="2">
        <f>IFERROR(__xludf.DUMMYFUNCTION("IFERROR(ABS(Q972-AVERAGE(FILTER(Q972:Q5040,AA972:AA5040=""Neighbor""))) / STDEV(FILTER(Q972:Q5040, AA972:AA5040 =""Neighbor"")), """")"),0.4458576868039578)</f>
        <v>0.4458576868</v>
      </c>
      <c r="AF972" s="2">
        <f>IFERROR(__xludf.DUMMYFUNCTION("IFERROR(ABS(R972-AVERAGE(FILTER(R972:R5040,AA972:AA5040=""Neighbor""))) / STDEV(FILTER(R972:R5040, AA972:AA5040 =""Neighbor"")), """")"),0.24690362304450977)</f>
        <v>0.246903623</v>
      </c>
    </row>
    <row r="973">
      <c r="A973" s="2" t="s">
        <v>28</v>
      </c>
      <c r="B973" s="2" t="s">
        <v>3907</v>
      </c>
      <c r="C973" s="2" t="s">
        <v>3973</v>
      </c>
      <c r="D973" s="2" t="s">
        <v>3982</v>
      </c>
      <c r="E973" s="2" t="s">
        <v>3983</v>
      </c>
      <c r="F973" s="2">
        <v>52.0</v>
      </c>
      <c r="G973" s="2">
        <v>327.0</v>
      </c>
      <c r="H973" s="2" t="b">
        <v>1</v>
      </c>
      <c r="I973" s="2">
        <v>-1.0</v>
      </c>
      <c r="J973" s="2" t="b">
        <v>0</v>
      </c>
      <c r="K973" s="2" t="b">
        <v>0</v>
      </c>
      <c r="L973" s="2" t="b">
        <v>0</v>
      </c>
      <c r="M973" s="2" t="b">
        <v>0</v>
      </c>
      <c r="N973" s="2" t="s">
        <v>33</v>
      </c>
      <c r="O973" s="2">
        <v>18.0</v>
      </c>
      <c r="P973" s="2">
        <v>0.0</v>
      </c>
      <c r="Q973" s="2">
        <v>29.0</v>
      </c>
      <c r="R973" s="2">
        <v>0.0</v>
      </c>
      <c r="S973" s="3" t="s">
        <v>3984</v>
      </c>
      <c r="T973" s="2" t="s">
        <v>3985</v>
      </c>
      <c r="Y973" s="4" t="str">
        <f>IFERROR(__xludf.DUMMYFUNCTION("""COMPUTED_VALUE"""),"6.8941411")</f>
        <v>6.8941411</v>
      </c>
      <c r="Z973" s="4" t="str">
        <f>IFERROR(__xludf.DUMMYFUNCTION("""COMPUTED_VALUE"""),"3.0995816")</f>
        <v>3.0995816</v>
      </c>
      <c r="AA973" s="4" t="str">
        <f t="shared" si="1"/>
        <v>Neighbor</v>
      </c>
      <c r="AC973" s="4">
        <f>IFERROR(__xludf.DUMMYFUNCTION("IFERROR(ABS(O973-AVERAGE(FILTER(O973:O5041,AA973:AA5041=""Neighbor""))) / STDEV(FILTER(O973:O5041, AA973:AA5041 =""Neighbor"")), """")"),1.1086862456667361)</f>
        <v>1.108686246</v>
      </c>
      <c r="AD973" s="4">
        <f>IFERROR(__xludf.DUMMYFUNCTION("IFERROR(ABS(P973-AVERAGE(FILTER(O973:P5041,AA973:AA5041=""Neighbor""))) / STDEV(FILTER(P973:P5041, AA973:AA5041 =""Neighbor"")), """")"),1.8559722138702373)</f>
        <v>1.855972214</v>
      </c>
      <c r="AE973" s="2">
        <f>IFERROR(__xludf.DUMMYFUNCTION("IFERROR(ABS(Q973-AVERAGE(FILTER(Q973:Q5041,AA973:AA5041=""Neighbor""))) / STDEV(FILTER(Q973:Q5041, AA973:AA5041 =""Neighbor"")), """")"),0.1807720199063964)</f>
        <v>0.1807720199</v>
      </c>
      <c r="AF973" s="2">
        <f>IFERROR(__xludf.DUMMYFUNCTION("IFERROR(ABS(R973-AVERAGE(FILTER(R973:R5041,AA973:AA5041=""Neighbor""))) / STDEV(FILTER(R973:R5041, AA973:AA5041 =""Neighbor"")), """")"),0.24690362304450977)</f>
        <v>0.246903623</v>
      </c>
    </row>
    <row r="974">
      <c r="A974" s="2" t="s">
        <v>28</v>
      </c>
      <c r="B974" s="2" t="s">
        <v>3907</v>
      </c>
      <c r="C974" s="2" t="s">
        <v>3973</v>
      </c>
      <c r="D974" s="2" t="s">
        <v>3986</v>
      </c>
      <c r="E974" s="2" t="s">
        <v>3987</v>
      </c>
      <c r="F974" s="2">
        <v>33.0</v>
      </c>
      <c r="G974" s="2">
        <v>150.0</v>
      </c>
      <c r="H974" s="2" t="b">
        <v>1</v>
      </c>
      <c r="I974" s="2">
        <v>-1.0</v>
      </c>
      <c r="J974" s="2" t="b">
        <v>0</v>
      </c>
      <c r="K974" s="2" t="b">
        <v>0</v>
      </c>
      <c r="L974" s="2" t="b">
        <v>0</v>
      </c>
      <c r="M974" s="2" t="b">
        <v>0</v>
      </c>
      <c r="N974" s="2" t="s">
        <v>33</v>
      </c>
      <c r="O974" s="2">
        <v>13.0</v>
      </c>
      <c r="P974" s="2">
        <v>0.0</v>
      </c>
      <c r="Q974" s="2">
        <v>17.0</v>
      </c>
      <c r="R974" s="2">
        <v>0.0</v>
      </c>
      <c r="S974" s="3" t="s">
        <v>3988</v>
      </c>
      <c r="T974" s="2" t="s">
        <v>3989</v>
      </c>
      <c r="Y974" s="4" t="str">
        <f>IFERROR(__xludf.DUMMYFUNCTION("""COMPUTED_VALUE"""),"6.8941411")</f>
        <v>6.8941411</v>
      </c>
      <c r="Z974" s="4" t="str">
        <f>IFERROR(__xludf.DUMMYFUNCTION("""COMPUTED_VALUE"""),"3.0995816")</f>
        <v>3.0995816</v>
      </c>
      <c r="AA974" s="4" t="str">
        <f t="shared" si="1"/>
        <v>Not Neighbor</v>
      </c>
      <c r="AC974" s="4">
        <f>IFERROR(__xludf.DUMMYFUNCTION("IFERROR(ABS(O974-AVERAGE(FILTER(O974:O5042,AA974:AA5042=""Neighbor""))) / STDEV(FILTER(O974:O5042, AA974:AA5042 =""Neighbor"")), """")"),1.2309487559279948)</f>
        <v>1.230948756</v>
      </c>
      <c r="AD974" s="4">
        <f>IFERROR(__xludf.DUMMYFUNCTION("IFERROR(ABS(P974-AVERAGE(FILTER(O974:P5042,AA974:AA5042=""Neighbor""))) / STDEV(FILTER(P974:P5042, AA974:AA5042 =""Neighbor"")), """")"),1.8567548510819185)</f>
        <v>1.856754851</v>
      </c>
      <c r="AE974" s="2">
        <f>IFERROR(__xludf.DUMMYFUNCTION("IFERROR(ABS(Q974-AVERAGE(FILTER(Q974:Q5042,AA974:AA5042=""Neighbor""))) / STDEV(FILTER(Q974:Q5042, AA974:AA5042 =""Neighbor"")), """")"),0.3202760238509801)</f>
        <v>0.3202760239</v>
      </c>
      <c r="AF974" s="2">
        <f>IFERROR(__xludf.DUMMYFUNCTION("IFERROR(ABS(R974-AVERAGE(FILTER(R974:R5042,AA974:AA5042=""Neighbor""))) / STDEV(FILTER(R974:R5042, AA974:AA5042 =""Neighbor"")), """")"),0.24700329472088534)</f>
        <v>0.2470032947</v>
      </c>
    </row>
    <row r="975">
      <c r="A975" s="2" t="s">
        <v>28</v>
      </c>
      <c r="B975" s="2" t="s">
        <v>3907</v>
      </c>
      <c r="C975" s="2" t="s">
        <v>3990</v>
      </c>
      <c r="D975" s="2" t="s">
        <v>3991</v>
      </c>
      <c r="E975" s="2" t="s">
        <v>3992</v>
      </c>
      <c r="F975" s="2">
        <v>318.0</v>
      </c>
      <c r="G975" s="2">
        <v>2035.0</v>
      </c>
      <c r="H975" s="2" t="b">
        <v>1</v>
      </c>
      <c r="I975" s="2">
        <v>-1.0</v>
      </c>
      <c r="J975" s="2" t="b">
        <v>1</v>
      </c>
      <c r="K975" s="2" t="b">
        <v>0</v>
      </c>
      <c r="L975" s="2" t="b">
        <v>0</v>
      </c>
      <c r="M975" s="2" t="b">
        <v>0</v>
      </c>
      <c r="N975" s="2" t="s">
        <v>33</v>
      </c>
      <c r="O975" s="2">
        <v>174.0</v>
      </c>
      <c r="P975" s="2">
        <v>53.0</v>
      </c>
      <c r="Q975" s="2">
        <v>43.0</v>
      </c>
      <c r="R975" s="2">
        <v>4.0</v>
      </c>
      <c r="S975" s="3" t="s">
        <v>3993</v>
      </c>
      <c r="T975" s="2" t="s">
        <v>3994</v>
      </c>
      <c r="Y975" s="4" t="str">
        <f>IFERROR(__xludf.DUMMYFUNCTION("""COMPUTED_VALUE"""),"6.8553105")</f>
        <v>6.8553105</v>
      </c>
      <c r="Z975" s="4" t="str">
        <f>IFERROR(__xludf.DUMMYFUNCTION("""COMPUTED_VALUE"""),"3.2018198")</f>
        <v>3.2018198</v>
      </c>
      <c r="AA975" s="4" t="str">
        <f t="shared" si="1"/>
        <v>Neighbor</v>
      </c>
      <c r="AC975" s="4">
        <f>IFERROR(__xludf.DUMMYFUNCTION("IFERROR(ABS(O975-AVERAGE(FILTER(O975:O5043,AA975:AA5043=""Neighbor""))) / STDEV(FILTER(O975:O5043, AA975:AA5043 =""Neighbor"")), """")"),2.675581049835203)</f>
        <v>2.67558105</v>
      </c>
      <c r="AD975" s="4">
        <f>IFERROR(__xludf.DUMMYFUNCTION("IFERROR(ABS(P975-AVERAGE(FILTER(O975:P5043,AA975:AA5043=""Neighbor""))) / STDEV(FILTER(P975:P5043, AA975:AA5043 =""Neighbor"")), """")"),0.6094558935344282)</f>
        <v>0.6094558935</v>
      </c>
      <c r="AE975" s="2">
        <f>IFERROR(__xludf.DUMMYFUNCTION("IFERROR(ABS(Q975-AVERAGE(FILTER(Q975:Q5043,AA975:AA5043=""Neighbor""))) / STDEV(FILTER(Q975:Q5043, AA975:AA5043 =""Neighbor"")), """")"),0.7654819604811706)</f>
        <v>0.7654819605</v>
      </c>
      <c r="AF975" s="2">
        <f>IFERROR(__xludf.DUMMYFUNCTION("IFERROR(ABS(R975-AVERAGE(FILTER(R975:R5043,AA975:AA5043=""Neighbor""))) / STDEV(FILTER(R975:R5043, AA975:AA5043 =""Neighbor"")), """")"),2.728366668293082)</f>
        <v>2.728366668</v>
      </c>
    </row>
    <row r="976">
      <c r="A976" s="2" t="s">
        <v>28</v>
      </c>
      <c r="B976" s="2" t="s">
        <v>3907</v>
      </c>
      <c r="C976" s="2" t="s">
        <v>3990</v>
      </c>
      <c r="D976" s="2" t="s">
        <v>3995</v>
      </c>
      <c r="E976" s="2" t="s">
        <v>3996</v>
      </c>
      <c r="F976" s="2">
        <v>236.0</v>
      </c>
      <c r="G976" s="2">
        <v>1553.0</v>
      </c>
      <c r="H976" s="2" t="b">
        <v>1</v>
      </c>
      <c r="I976" s="2">
        <v>-1.0</v>
      </c>
      <c r="J976" s="2" t="b">
        <v>0</v>
      </c>
      <c r="K976" s="2" t="b">
        <v>0</v>
      </c>
      <c r="L976" s="2" t="b">
        <v>0</v>
      </c>
      <c r="M976" s="2" t="b">
        <v>0</v>
      </c>
      <c r="N976" s="2" t="s">
        <v>33</v>
      </c>
      <c r="O976" s="2">
        <v>123.0</v>
      </c>
      <c r="P976" s="2">
        <v>28.0</v>
      </c>
      <c r="Q976" s="2">
        <v>44.0</v>
      </c>
      <c r="R976" s="2">
        <v>2.0</v>
      </c>
      <c r="S976" s="3" t="s">
        <v>3997</v>
      </c>
      <c r="T976" s="2" t="s">
        <v>3998</v>
      </c>
      <c r="Y976" s="4" t="str">
        <f>IFERROR(__xludf.DUMMYFUNCTION("""COMPUTED_VALUE"""),"6.8553105")</f>
        <v>6.8553105</v>
      </c>
      <c r="Z976" s="4" t="str">
        <f>IFERROR(__xludf.DUMMYFUNCTION("""COMPUTED_VALUE"""),"3.2018198")</f>
        <v>3.2018198</v>
      </c>
      <c r="AA976" s="4" t="str">
        <f t="shared" si="1"/>
        <v>Neighbor</v>
      </c>
      <c r="AC976" s="4">
        <f>IFERROR(__xludf.DUMMYFUNCTION("IFERROR(ABS(O976-AVERAGE(FILTER(O976:O5044,AA976:AA5044=""Neighbor""))) / STDEV(FILTER(O976:O5044, AA976:AA5044 =""Neighbor"")), """")"),1.4435458926726805)</f>
        <v>1.443545893</v>
      </c>
      <c r="AD976" s="4">
        <f>IFERROR(__xludf.DUMMYFUNCTION("IFERROR(ABS(P976-AVERAGE(FILTER(O976:P5044,AA976:AA5044=""Neighbor""))) / STDEV(FILTER(P976:P5044, AA976:AA5044 =""Neighbor"")), """")"),0.5516522039970738)</f>
        <v>0.551652204</v>
      </c>
      <c r="AE976" s="2">
        <f>IFERROR(__xludf.DUMMYFUNCTION("IFERROR(ABS(Q976-AVERAGE(FILTER(Q976:Q5044,AA976:AA5044=""Neighbor""))) / STDEV(FILTER(Q976:Q5044, AA976:AA5044 =""Neighbor"")), """")"),0.8076979344336088)</f>
        <v>0.8076979344</v>
      </c>
      <c r="AF976" s="2">
        <f>IFERROR(__xludf.DUMMYFUNCTION("IFERROR(ABS(R976-AVERAGE(FILTER(R976:R5044,AA976:AA5044=""Neighbor""))) / STDEV(FILTER(R976:R5044, AA976:AA5044 =""Neighbor"")), """")"),1.2458295342921506)</f>
        <v>1.245829534</v>
      </c>
    </row>
    <row r="977">
      <c r="A977" s="2" t="s">
        <v>28</v>
      </c>
      <c r="B977" s="2" t="s">
        <v>3907</v>
      </c>
      <c r="C977" s="2" t="s">
        <v>3990</v>
      </c>
      <c r="D977" s="2" t="s">
        <v>3999</v>
      </c>
      <c r="E977" s="2" t="s">
        <v>4000</v>
      </c>
      <c r="F977" s="2">
        <v>191.0</v>
      </c>
      <c r="G977" s="2">
        <v>786.0</v>
      </c>
      <c r="H977" s="2" t="b">
        <v>1</v>
      </c>
      <c r="I977" s="2">
        <v>-1.0</v>
      </c>
      <c r="J977" s="2" t="b">
        <v>0</v>
      </c>
      <c r="K977" s="2" t="b">
        <v>0</v>
      </c>
      <c r="L977" s="2" t="b">
        <v>0</v>
      </c>
      <c r="M977" s="2" t="b">
        <v>0</v>
      </c>
      <c r="N977" s="2" t="s">
        <v>33</v>
      </c>
      <c r="O977" s="2">
        <v>145.0</v>
      </c>
      <c r="P977" s="2">
        <v>13.0</v>
      </c>
      <c r="Q977" s="2">
        <v>19.0</v>
      </c>
      <c r="R977" s="2">
        <v>0.0</v>
      </c>
      <c r="S977" s="3" t="s">
        <v>4001</v>
      </c>
      <c r="T977" s="2" t="s">
        <v>4002</v>
      </c>
      <c r="Y977" s="4" t="str">
        <f>IFERROR(__xludf.DUMMYFUNCTION("""COMPUTED_VALUE"""),"6.8553105")</f>
        <v>6.8553105</v>
      </c>
      <c r="Z977" s="4" t="str">
        <f>IFERROR(__xludf.DUMMYFUNCTION("""COMPUTED_VALUE"""),"3.2018198")</f>
        <v>3.2018198</v>
      </c>
      <c r="AA977" s="4" t="str">
        <f t="shared" si="1"/>
        <v>Neighbor</v>
      </c>
      <c r="AC977" s="4">
        <f>IFERROR(__xludf.DUMMYFUNCTION("IFERROR(ABS(O977-AVERAGE(FILTER(O977:O5045,AA977:AA5045=""Neighbor""))) / STDEV(FILTER(O977:O5045, AA977:AA5045 =""Neighbor"")), """")"),1.9805385968938936)</f>
        <v>1.980538597</v>
      </c>
      <c r="AD977" s="4">
        <f>IFERROR(__xludf.DUMMYFUNCTION("IFERROR(ABS(P977-AVERAGE(FILTER(O977:P5045,AA977:AA5045=""Neighbor""))) / STDEV(FILTER(P977:P5045, AA977:AA5045 =""Neighbor"")), """")"),1.2485621538465992)</f>
        <v>1.248562154</v>
      </c>
      <c r="AE977" s="2">
        <f>IFERROR(__xludf.DUMMYFUNCTION("IFERROR(ABS(Q977-AVERAGE(FILTER(Q977:Q5045,AA977:AA5045=""Neighbor""))) / STDEV(FILTER(Q977:Q5045, AA977:AA5045 =""Neighbor"")), """")"),0.23548819651980316)</f>
        <v>0.2354881965</v>
      </c>
      <c r="AF977" s="2">
        <f>IFERROR(__xludf.DUMMYFUNCTION("IFERROR(ABS(R977-AVERAGE(FILTER(R977:R5045,AA977:AA5045=""Neighbor""))) / STDEV(FILTER(R977:R5045, AA977:AA5045 =""Neighbor"")), """")"),0.24462982370811553)</f>
        <v>0.2446298237</v>
      </c>
    </row>
    <row r="978">
      <c r="A978" s="2" t="s">
        <v>28</v>
      </c>
      <c r="B978" s="2" t="s">
        <v>3907</v>
      </c>
      <c r="C978" s="2" t="s">
        <v>3990</v>
      </c>
      <c r="D978" s="2" t="s">
        <v>4003</v>
      </c>
      <c r="E978" s="2" t="s">
        <v>4004</v>
      </c>
      <c r="F978" s="2">
        <v>164.0</v>
      </c>
      <c r="G978" s="2">
        <v>961.0</v>
      </c>
      <c r="H978" s="2" t="b">
        <v>1</v>
      </c>
      <c r="I978" s="2">
        <v>-1.0</v>
      </c>
      <c r="J978" s="2" t="b">
        <v>0</v>
      </c>
      <c r="K978" s="2" t="b">
        <v>1</v>
      </c>
      <c r="L978" s="2" t="b">
        <v>0</v>
      </c>
      <c r="M978" s="2" t="b">
        <v>0</v>
      </c>
      <c r="N978" s="2" t="s">
        <v>33</v>
      </c>
      <c r="O978" s="2">
        <v>96.0</v>
      </c>
      <c r="P978" s="2">
        <v>22.0</v>
      </c>
      <c r="Q978" s="2">
        <v>13.0</v>
      </c>
      <c r="R978" s="2">
        <v>0.0</v>
      </c>
      <c r="S978" s="3" t="s">
        <v>4005</v>
      </c>
      <c r="T978" s="2" t="s">
        <v>4006</v>
      </c>
      <c r="Y978" s="4" t="str">
        <f>IFERROR(__xludf.DUMMYFUNCTION("""COMPUTED_VALUE"""),"6.8490976")</f>
        <v>6.8490976</v>
      </c>
      <c r="Z978" s="4" t="str">
        <f>IFERROR(__xludf.DUMMYFUNCTION("""COMPUTED_VALUE"""),"3.2033837")</f>
        <v>3.2033837</v>
      </c>
      <c r="AA978" s="4" t="str">
        <f t="shared" si="1"/>
        <v>Not Neighbor</v>
      </c>
      <c r="AC978" s="4">
        <f>IFERROR(__xludf.DUMMYFUNCTION("IFERROR(ABS(O978-AVERAGE(FILTER(O978:O5046,AA978:AA5046=""Neighbor""))) / STDEV(FILTER(O978:O5046, AA978:AA5046 =""Neighbor"")), """")"),0.7906916021592271)</f>
        <v>0.7906916022</v>
      </c>
      <c r="AD978" s="4">
        <f>IFERROR(__xludf.DUMMYFUNCTION("IFERROR(ABS(P978-AVERAGE(FILTER(O978:P5046,AA978:AA5046=""Neighbor""))) / STDEV(FILTER(P978:P5046, AA978:AA5046 =""Neighbor"")), """")"),0.8278671663122333)</f>
        <v>0.8278671663</v>
      </c>
      <c r="AE978" s="2">
        <f>IFERROR(__xludf.DUMMYFUNCTION("IFERROR(ABS(Q978-AVERAGE(FILTER(Q978:Q5046,AA978:AA5046=""Neighbor""))) / STDEV(FILTER(Q978:Q5046, AA978:AA5046 =""Neighbor"")), """")"),0.4859794981895087)</f>
        <v>0.4859794982</v>
      </c>
      <c r="AF978" s="2">
        <f>IFERROR(__xludf.DUMMYFUNCTION("IFERROR(ABS(R978-AVERAGE(FILTER(R978:R5046,AA978:AA5046=""Neighbor""))) / STDEV(FILTER(R978:R5046, AA978:AA5046 =""Neighbor"")), """")"),0.2447286989658788)</f>
        <v>0.244728699</v>
      </c>
    </row>
    <row r="979">
      <c r="A979" s="2" t="s">
        <v>28</v>
      </c>
      <c r="B979" s="2" t="s">
        <v>3907</v>
      </c>
      <c r="C979" s="2" t="s">
        <v>3990</v>
      </c>
      <c r="D979" s="2" t="s">
        <v>4007</v>
      </c>
      <c r="E979" s="2" t="s">
        <v>4008</v>
      </c>
      <c r="F979" s="2">
        <v>83.0</v>
      </c>
      <c r="G979" s="2">
        <v>442.0</v>
      </c>
      <c r="H979" s="2" t="b">
        <v>1</v>
      </c>
      <c r="I979" s="2">
        <v>-1.0</v>
      </c>
      <c r="J979" s="2" t="b">
        <v>0</v>
      </c>
      <c r="K979" s="2" t="b">
        <v>0</v>
      </c>
      <c r="L979" s="2" t="b">
        <v>0</v>
      </c>
      <c r="M979" s="2" t="b">
        <v>0</v>
      </c>
      <c r="N979" s="2" t="s">
        <v>33</v>
      </c>
      <c r="O979" s="2">
        <v>34.0</v>
      </c>
      <c r="P979" s="2">
        <v>0.0</v>
      </c>
      <c r="Q979" s="2">
        <v>14.0</v>
      </c>
      <c r="R979" s="2">
        <v>0.0</v>
      </c>
      <c r="S979" s="3" t="s">
        <v>4009</v>
      </c>
      <c r="T979" s="2" t="s">
        <v>4010</v>
      </c>
      <c r="Y979" s="4" t="str">
        <f>IFERROR(__xludf.DUMMYFUNCTION("""COMPUTED_VALUE"""),"6.8675069")</f>
        <v>6.8675069</v>
      </c>
      <c r="Z979" s="4" t="str">
        <f>IFERROR(__xludf.DUMMYFUNCTION("""COMPUTED_VALUE"""),"3.2297689")</f>
        <v>3.2297689</v>
      </c>
      <c r="AA979" s="4" t="str">
        <f t="shared" si="1"/>
        <v>Not Neighbor</v>
      </c>
      <c r="AC979" s="4">
        <f>IFERROR(__xludf.DUMMYFUNCTION("IFERROR(ABS(O979-AVERAGE(FILTER(O979:O5047,AA979:AA5047=""Neighbor""))) / STDEV(FILTER(O979:O5047, AA979:AA5047 =""Neighbor"")), """")"),0.7195492540214851)</f>
        <v>0.719549254</v>
      </c>
      <c r="AD979" s="4">
        <f>IFERROR(__xludf.DUMMYFUNCTION("IFERROR(ABS(P979-AVERAGE(FILTER(O979:P5047,AA979:AA5047=""Neighbor""))) / STDEV(FILTER(P979:P5047, AA979:AA5047 =""Neighbor"")), """")"),1.851688473088691)</f>
        <v>1.851688473</v>
      </c>
      <c r="AE979" s="2">
        <f>IFERROR(__xludf.DUMMYFUNCTION("IFERROR(ABS(Q979-AVERAGE(FILTER(Q979:Q5047,AA979:AA5047=""Neighbor""))) / STDEV(FILTER(Q979:Q5047, AA979:AA5047 =""Neighbor"")), """")"),0.4442467454770697)</f>
        <v>0.4442467455</v>
      </c>
      <c r="AF979" s="2">
        <f>IFERROR(__xludf.DUMMYFUNCTION("IFERROR(ABS(R979-AVERAGE(FILTER(R979:R5047,AA979:AA5047=""Neighbor""))) / STDEV(FILTER(R979:R5047, AA979:AA5047 =""Neighbor"")), """")"),0.2447286989658788)</f>
        <v>0.244728699</v>
      </c>
    </row>
    <row r="980">
      <c r="A980" s="2" t="s">
        <v>28</v>
      </c>
      <c r="B980" s="2" t="s">
        <v>3907</v>
      </c>
      <c r="C980" s="2" t="s">
        <v>3990</v>
      </c>
      <c r="D980" s="2" t="s">
        <v>4011</v>
      </c>
      <c r="E980" s="2" t="s">
        <v>4012</v>
      </c>
      <c r="F980" s="2">
        <v>180.0</v>
      </c>
      <c r="G980" s="2">
        <v>1087.0</v>
      </c>
      <c r="H980" s="2" t="b">
        <v>1</v>
      </c>
      <c r="I980" s="2">
        <v>-1.0</v>
      </c>
      <c r="J980" s="2" t="b">
        <v>0</v>
      </c>
      <c r="K980" s="2" t="b">
        <v>1</v>
      </c>
      <c r="L980" s="2" t="b">
        <v>0</v>
      </c>
      <c r="M980" s="2" t="b">
        <v>0</v>
      </c>
      <c r="N980" s="2" t="s">
        <v>33</v>
      </c>
      <c r="O980" s="2">
        <v>107.0</v>
      </c>
      <c r="P980" s="2">
        <v>19.0</v>
      </c>
      <c r="Q980" s="2">
        <v>28.0</v>
      </c>
      <c r="R980" s="2">
        <v>1.0</v>
      </c>
      <c r="S980" s="3" t="s">
        <v>4013</v>
      </c>
      <c r="T980" s="2" t="s">
        <v>4014</v>
      </c>
      <c r="Y980" s="4" t="str">
        <f>IFERROR(__xludf.DUMMYFUNCTION("""COMPUTED_VALUE"""),"6.8605982")</f>
        <v>6.8605982</v>
      </c>
      <c r="Z980" s="4" t="str">
        <f>IFERROR(__xludf.DUMMYFUNCTION("""COMPUTED_VALUE"""),"3.2118671")</f>
        <v>3.2118671</v>
      </c>
      <c r="AA980" s="4" t="str">
        <f t="shared" si="1"/>
        <v>Not Neighbor</v>
      </c>
      <c r="AC980" s="4">
        <f>IFERROR(__xludf.DUMMYFUNCTION("IFERROR(ABS(O980-AVERAGE(FILTER(O980:O5048,AA980:AA5048=""Neighbor""))) / STDEV(FILTER(O980:O5048, AA980:AA5048 =""Neighbor"")), """")"),1.0586375605138696)</f>
        <v>1.058637561</v>
      </c>
      <c r="AD980" s="4">
        <f>IFERROR(__xludf.DUMMYFUNCTION("IFERROR(ABS(P980-AVERAGE(FILTER(O980:P5048,AA980:AA5048=""Neighbor""))) / STDEV(FILTER(P980:P5048, AA980:AA5048 =""Neighbor"")), """")"),0.9674791626908412)</f>
        <v>0.9674791627</v>
      </c>
      <c r="AE980" s="2">
        <f>IFERROR(__xludf.DUMMYFUNCTION("IFERROR(ABS(Q980-AVERAGE(FILTER(Q980:Q5048,AA980:AA5048=""Neighbor""))) / STDEV(FILTER(Q980:Q5048, AA980:AA5048 =""Neighbor"")), """")"),0.14001179249707574)</f>
        <v>0.1400117925</v>
      </c>
      <c r="AF980" s="2">
        <f>IFERROR(__xludf.DUMMYFUNCTION("IFERROR(ABS(R980-AVERAGE(FILTER(R980:R5048,AA980:AA5048=""Neighbor""))) / STDEV(FILTER(R980:R5048, AA980:AA5048 =""Neighbor"")), """")"),0.5008401281162171)</f>
        <v>0.5008401281</v>
      </c>
    </row>
    <row r="981">
      <c r="A981" s="2" t="s">
        <v>28</v>
      </c>
      <c r="B981" s="2" t="s">
        <v>3907</v>
      </c>
      <c r="C981" s="2" t="s">
        <v>3990</v>
      </c>
      <c r="D981" s="2" t="s">
        <v>4015</v>
      </c>
      <c r="E981" s="2" t="s">
        <v>4016</v>
      </c>
      <c r="F981" s="2">
        <v>178.0</v>
      </c>
      <c r="G981" s="2">
        <v>896.0</v>
      </c>
      <c r="H981" s="2" t="b">
        <v>1</v>
      </c>
      <c r="I981" s="2">
        <v>-1.0</v>
      </c>
      <c r="J981" s="2" t="b">
        <v>0</v>
      </c>
      <c r="K981" s="2" t="b">
        <v>0</v>
      </c>
      <c r="L981" s="2" t="b">
        <v>0</v>
      </c>
      <c r="M981" s="2" t="b">
        <v>0</v>
      </c>
      <c r="N981" s="2" t="s">
        <v>33</v>
      </c>
      <c r="O981" s="2">
        <v>126.0</v>
      </c>
      <c r="P981" s="2">
        <v>8.0</v>
      </c>
      <c r="Q981" s="2">
        <v>9.0</v>
      </c>
      <c r="R981" s="2">
        <v>2.0</v>
      </c>
      <c r="S981" s="3" t="s">
        <v>4017</v>
      </c>
      <c r="T981" s="2" t="s">
        <v>4018</v>
      </c>
      <c r="Y981" s="4" t="str">
        <f>IFERROR(__xludf.DUMMYFUNCTION("""COMPUTED_VALUE"""),"6.8553105")</f>
        <v>6.8553105</v>
      </c>
      <c r="Z981" s="4" t="str">
        <f>IFERROR(__xludf.DUMMYFUNCTION("""COMPUTED_VALUE"""),"3.2018198")</f>
        <v>3.2018198</v>
      </c>
      <c r="AA981" s="4" t="str">
        <f t="shared" si="1"/>
        <v>Neighbor</v>
      </c>
      <c r="AC981" s="4">
        <f>IFERROR(__xludf.DUMMYFUNCTION("IFERROR(ABS(O981-AVERAGE(FILTER(O981:O5049,AA981:AA5049=""Neighbor""))) / STDEV(FILTER(O981:O5049, AA981:AA5049 =""Neighbor"")), """")"),1.5214533067627976)</f>
        <v>1.521453307</v>
      </c>
      <c r="AD981" s="4">
        <f>IFERROR(__xludf.DUMMYFUNCTION("IFERROR(ABS(P981-AVERAGE(FILTER(O981:P5049,AA981:AA5049=""Neighbor""))) / STDEV(FILTER(P981:P5049, AA981:AA5049 =""Neighbor"")), """")"),1.47938981607907)</f>
        <v>1.479389816</v>
      </c>
      <c r="AE981" s="2">
        <f>IFERROR(__xludf.DUMMYFUNCTION("IFERROR(ABS(Q981-AVERAGE(FILTER(Q981:Q5049,AA981:AA5049=""Neighbor""))) / STDEV(FILTER(Q981:Q5049, AA981:AA5049 =""Neighbor"")), """")"),0.6529105090392645)</f>
        <v>0.652910509</v>
      </c>
      <c r="AF981" s="2">
        <f>IFERROR(__xludf.DUMMYFUNCTION("IFERROR(ABS(R981-AVERAGE(FILTER(R981:R5049,AA981:AA5049=""Neighbor""))) / STDEV(FILTER(R981:R5049, AA981:AA5049 =""Neighbor"")), """")"),1.246408955198313)</f>
        <v>1.246408955</v>
      </c>
    </row>
    <row r="982">
      <c r="A982" s="2" t="s">
        <v>28</v>
      </c>
      <c r="B982" s="2" t="s">
        <v>3907</v>
      </c>
      <c r="C982" s="2" t="s">
        <v>3990</v>
      </c>
      <c r="D982" s="2" t="s">
        <v>4019</v>
      </c>
      <c r="E982" s="2" t="s">
        <v>4020</v>
      </c>
      <c r="F982" s="2">
        <v>76.0</v>
      </c>
      <c r="G982" s="2">
        <v>691.0</v>
      </c>
      <c r="H982" s="2" t="b">
        <v>1</v>
      </c>
      <c r="I982" s="2">
        <v>-1.0</v>
      </c>
      <c r="J982" s="2" t="b">
        <v>0</v>
      </c>
      <c r="K982" s="2" t="b">
        <v>0</v>
      </c>
      <c r="L982" s="2" t="b">
        <v>0</v>
      </c>
      <c r="M982" s="2" t="b">
        <v>0</v>
      </c>
      <c r="N982" s="2" t="s">
        <v>33</v>
      </c>
      <c r="O982" s="2">
        <v>31.0</v>
      </c>
      <c r="P982" s="2">
        <v>15.0</v>
      </c>
      <c r="Q982" s="2">
        <v>17.0</v>
      </c>
      <c r="R982" s="2">
        <v>1.0</v>
      </c>
      <c r="S982" s="3" t="s">
        <v>4021</v>
      </c>
      <c r="T982" s="2" t="s">
        <v>4022</v>
      </c>
      <c r="Y982" s="4" t="str">
        <f>IFERROR(__xludf.DUMMYFUNCTION("""COMPUTED_VALUE"""),"6.8553105")</f>
        <v>6.8553105</v>
      </c>
      <c r="Z982" s="4" t="str">
        <f>IFERROR(__xludf.DUMMYFUNCTION("""COMPUTED_VALUE"""),"3.2018198")</f>
        <v>3.2018198</v>
      </c>
      <c r="AA982" s="4" t="str">
        <f t="shared" si="1"/>
        <v>Not Neighbor</v>
      </c>
      <c r="AC982" s="4">
        <f>IFERROR(__xludf.DUMMYFUNCTION("IFERROR(ABS(O982-AVERAGE(FILTER(O982:O5050,AA982:AA5050=""Neighbor""))) / STDEV(FILTER(O982:O5050, AA982:AA5050 =""Neighbor"")), """")"),0.7918617534547248)</f>
        <v>0.7918617535</v>
      </c>
      <c r="AD982" s="4">
        <f>IFERROR(__xludf.DUMMYFUNCTION("IFERROR(ABS(P982-AVERAGE(FILTER(O982:P5050,AA982:AA5050=""Neighbor""))) / STDEV(FILTER(P982:P5050, AA982:AA5050 =""Neighbor"")), """")"),1.1522823844220704)</f>
        <v>1.152282384</v>
      </c>
      <c r="AE982" s="2">
        <f>IFERROR(__xludf.DUMMYFUNCTION("IFERROR(ABS(Q982-AVERAGE(FILTER(Q982:Q5050,AA982:AA5050=""Neighbor""))) / STDEV(FILTER(Q982:Q5050, AA982:AA5050 =""Neighbor"")), """")"),0.3194772568136038)</f>
        <v>0.3194772568</v>
      </c>
      <c r="AF982" s="2">
        <f>IFERROR(__xludf.DUMMYFUNCTION("IFERROR(ABS(R982-AVERAGE(FILTER(R982:R5050,AA982:AA5050=""Neighbor""))) / STDEV(FILTER(R982:R5050, AA982:AA5050 =""Neighbor"")), """")"),0.501898750973114)</f>
        <v>0.501898751</v>
      </c>
    </row>
    <row r="983">
      <c r="A983" s="2" t="s">
        <v>28</v>
      </c>
      <c r="B983" s="2" t="s">
        <v>3907</v>
      </c>
      <c r="C983" s="2" t="s">
        <v>4023</v>
      </c>
      <c r="D983" s="2" t="s">
        <v>4024</v>
      </c>
      <c r="E983" s="2" t="s">
        <v>4025</v>
      </c>
      <c r="F983" s="2">
        <v>145.0</v>
      </c>
      <c r="G983" s="2">
        <v>1548.0</v>
      </c>
      <c r="H983" s="2" t="b">
        <v>1</v>
      </c>
      <c r="I983" s="2">
        <v>-1.0</v>
      </c>
      <c r="J983" s="2" t="b">
        <v>0</v>
      </c>
      <c r="K983" s="2" t="b">
        <v>0</v>
      </c>
      <c r="L983" s="2" t="b">
        <v>0</v>
      </c>
      <c r="M983" s="2" t="b">
        <v>0</v>
      </c>
      <c r="N983" s="2" t="s">
        <v>33</v>
      </c>
      <c r="O983" s="2">
        <v>68.0</v>
      </c>
      <c r="P983" s="2">
        <v>24.0</v>
      </c>
      <c r="Q983" s="2">
        <v>23.0</v>
      </c>
      <c r="R983" s="2">
        <v>0.0</v>
      </c>
      <c r="S983" s="3" t="s">
        <v>4026</v>
      </c>
      <c r="T983" s="2" t="s">
        <v>4027</v>
      </c>
      <c r="Y983" s="4" t="str">
        <f>IFERROR(__xludf.DUMMYFUNCTION("""COMPUTED_VALUE"""),"6.9293564")</f>
        <v>6.9293564</v>
      </c>
      <c r="Z983" s="4" t="str">
        <f>IFERROR(__xludf.DUMMYFUNCTION("""COMPUTED_VALUE"""),"3.2208345")</f>
        <v>3.2208345</v>
      </c>
      <c r="AA983" s="4" t="str">
        <f t="shared" si="1"/>
        <v>Neighbor</v>
      </c>
      <c r="AC983" s="4">
        <f>IFERROR(__xludf.DUMMYFUNCTION("IFERROR(ABS(O983-AVERAGE(FILTER(O983:O5051,AA983:AA5051=""Neighbor""))) / STDEV(FILTER(O983:O5051, AA983:AA5051 =""Neighbor"")), """")"),0.10986495361460384)</f>
        <v>0.1098649536</v>
      </c>
      <c r="AD983" s="4">
        <f>IFERROR(__xludf.DUMMYFUNCTION("IFERROR(ABS(P983-AVERAGE(FILTER(O983:P5051,AA983:AA5051=""Neighbor""))) / STDEV(FILTER(P983:P5051, AA983:AA5051 =""Neighbor"")), """")"),0.7335840076755277)</f>
        <v>0.7335840077</v>
      </c>
      <c r="AE983" s="2">
        <f>IFERROR(__xludf.DUMMYFUNCTION("IFERROR(ABS(Q983-AVERAGE(FILTER(Q983:Q5051,AA983:AA5051=""Neighbor""))) / STDEV(FILTER(Q983:Q5051, AA983:AA5051 =""Neighbor"")), """")"),0.06913560511111504)</f>
        <v>0.06913560511</v>
      </c>
      <c r="AF983" s="2">
        <f>IFERROR(__xludf.DUMMYFUNCTION("IFERROR(ABS(R983-AVERAGE(FILTER(R983:R5051,AA983:AA5051=""Neighbor""))) / STDEV(FILTER(R983:R5051, AA983:AA5051 =""Neighbor"")), """")"),0.24382822408228472)</f>
        <v>0.2438282241</v>
      </c>
    </row>
    <row r="984">
      <c r="A984" s="2" t="s">
        <v>28</v>
      </c>
      <c r="B984" s="2" t="s">
        <v>3907</v>
      </c>
      <c r="C984" s="2" t="s">
        <v>4023</v>
      </c>
      <c r="D984" s="2" t="s">
        <v>4028</v>
      </c>
      <c r="E984" s="2" t="s">
        <v>4029</v>
      </c>
      <c r="F984" s="2">
        <v>192.0</v>
      </c>
      <c r="G984" s="2">
        <v>1881.0</v>
      </c>
      <c r="H984" s="2" t="b">
        <v>1</v>
      </c>
      <c r="I984" s="2">
        <v>-1.0</v>
      </c>
      <c r="J984" s="2" t="b">
        <v>0</v>
      </c>
      <c r="K984" s="2" t="b">
        <v>0</v>
      </c>
      <c r="L984" s="2" t="b">
        <v>0</v>
      </c>
      <c r="M984" s="2" t="b">
        <v>0</v>
      </c>
      <c r="N984" s="2" t="s">
        <v>33</v>
      </c>
      <c r="O984" s="2">
        <v>83.0</v>
      </c>
      <c r="P984" s="2">
        <v>57.0</v>
      </c>
      <c r="Q984" s="2">
        <v>35.0</v>
      </c>
      <c r="R984" s="2">
        <v>0.0</v>
      </c>
      <c r="S984" s="3" t="s">
        <v>4030</v>
      </c>
      <c r="T984" s="2" t="s">
        <v>4031</v>
      </c>
      <c r="Y984" s="4" t="str">
        <f>IFERROR(__xludf.DUMMYFUNCTION("""COMPUTED_VALUE"""),"6.9293564")</f>
        <v>6.9293564</v>
      </c>
      <c r="Z984" s="4" t="str">
        <f>IFERROR(__xludf.DUMMYFUNCTION("""COMPUTED_VALUE"""),"3.2208345")</f>
        <v>3.2208345</v>
      </c>
      <c r="AA984" s="4" t="str">
        <f t="shared" si="1"/>
        <v>Neighbor</v>
      </c>
      <c r="AC984" s="4">
        <f>IFERROR(__xludf.DUMMYFUNCTION("IFERROR(ABS(O984-AVERAGE(FILTER(O984:O5052,AA984:AA5052=""Neighbor""))) / STDEV(FILTER(O984:O5052, AA984:AA5052 =""Neighbor"")), """")"),0.47533421826390804)</f>
        <v>0.4753342183</v>
      </c>
      <c r="AD984" s="4">
        <f>IFERROR(__xludf.DUMMYFUNCTION("IFERROR(ABS(P984-AVERAGE(FILTER(O984:P5052,AA984:AA5052=""Neighbor""))) / STDEV(FILTER(P984:P5052, AA984:AA5052 =""Neighbor"")), """")"),0.8016004289848817)</f>
        <v>0.801600429</v>
      </c>
      <c r="AE984" s="2">
        <f>IFERROR(__xludf.DUMMYFUNCTION("IFERROR(ABS(Q984-AVERAGE(FILTER(Q984:Q5052,AA984:AA5052=""Neighbor""))) / STDEV(FILTER(Q984:Q5052, AA984:AA5052 =""Neighbor"")), """")"),0.431330654970701)</f>
        <v>0.431330655</v>
      </c>
      <c r="AF984" s="2">
        <f>IFERROR(__xludf.DUMMYFUNCTION("IFERROR(ABS(R984-AVERAGE(FILTER(R984:R5052,AA984:AA5052=""Neighbor""))) / STDEV(FILTER(R984:R5052, AA984:AA5052 =""Neighbor"")), """")"),0.24392688937182988)</f>
        <v>0.2439268894</v>
      </c>
    </row>
    <row r="985">
      <c r="A985" s="2" t="s">
        <v>28</v>
      </c>
      <c r="B985" s="2" t="s">
        <v>3907</v>
      </c>
      <c r="C985" s="2" t="s">
        <v>4023</v>
      </c>
      <c r="D985" s="2" t="s">
        <v>4032</v>
      </c>
      <c r="E985" s="2" t="s">
        <v>4033</v>
      </c>
      <c r="F985" s="2">
        <v>88.0</v>
      </c>
      <c r="G985" s="2">
        <v>809.0</v>
      </c>
      <c r="H985" s="2" t="b">
        <v>1</v>
      </c>
      <c r="I985" s="2">
        <v>-1.0</v>
      </c>
      <c r="J985" s="2" t="b">
        <v>0</v>
      </c>
      <c r="K985" s="2" t="b">
        <v>0</v>
      </c>
      <c r="L985" s="2" t="b">
        <v>0</v>
      </c>
      <c r="M985" s="2" t="b">
        <v>0</v>
      </c>
      <c r="N985" s="2" t="s">
        <v>33</v>
      </c>
      <c r="O985" s="2">
        <v>54.0</v>
      </c>
      <c r="P985" s="2">
        <v>11.0</v>
      </c>
      <c r="Q985" s="2">
        <v>14.0</v>
      </c>
      <c r="R985" s="2">
        <v>0.0</v>
      </c>
      <c r="S985" s="3" t="s">
        <v>4034</v>
      </c>
      <c r="T985" s="2" t="s">
        <v>4035</v>
      </c>
      <c r="Y985" s="4" t="str">
        <f>IFERROR(__xludf.DUMMYFUNCTION("""COMPUTED_VALUE"""),"6.9272559")</f>
        <v>6.9272559</v>
      </c>
      <c r="Z985" s="4" t="str">
        <f>IFERROR(__xludf.DUMMYFUNCTION("""COMPUTED_VALUE"""),"3.2163853")</f>
        <v>3.2163853</v>
      </c>
      <c r="AA985" s="4" t="str">
        <f t="shared" si="1"/>
        <v>Neighbor</v>
      </c>
      <c r="AC985" s="4">
        <f>IFERROR(__xludf.DUMMYFUNCTION("IFERROR(ABS(O985-AVERAGE(FILTER(O985:O5053,AA985:AA5053=""Neighbor""))) / STDEV(FILTER(O985:O5053, AA985:AA5053 =""Neighbor"")), """")"),0.2307255622759843)</f>
        <v>0.2307255623</v>
      </c>
      <c r="AD985" s="4">
        <f>IFERROR(__xludf.DUMMYFUNCTION("IFERROR(ABS(P985-AVERAGE(FILTER(O985:P5053,AA985:AA5053=""Neighbor""))) / STDEV(FILTER(P985:P5053, AA985:AA5053 =""Neighbor"")), """")"),1.3379802202877304)</f>
        <v>1.33798022</v>
      </c>
      <c r="AE985" s="2">
        <f>IFERROR(__xludf.DUMMYFUNCTION("IFERROR(ABS(Q985-AVERAGE(FILTER(Q985:Q5053,AA985:AA5053=""Neighbor""))) / STDEV(FILTER(Q985:Q5053, AA985:AA5053 =""Neighbor"")), """")"),0.44406337674878144)</f>
        <v>0.4440633767</v>
      </c>
      <c r="AF985" s="2">
        <f>IFERROR(__xludf.DUMMYFUNCTION("IFERROR(ABS(R985-AVERAGE(FILTER(R985:R5053,AA985:AA5053=""Neighbor""))) / STDEV(FILTER(R985:R5053, AA985:AA5053 =""Neighbor"")), """")"),0.24402567453978036)</f>
        <v>0.2440256745</v>
      </c>
    </row>
    <row r="986">
      <c r="A986" s="2" t="s">
        <v>28</v>
      </c>
      <c r="B986" s="2" t="s">
        <v>3907</v>
      </c>
      <c r="C986" s="2" t="s">
        <v>4023</v>
      </c>
      <c r="D986" s="2" t="s">
        <v>4036</v>
      </c>
      <c r="E986" s="2" t="s">
        <v>4037</v>
      </c>
      <c r="F986" s="2">
        <v>72.0</v>
      </c>
      <c r="G986" s="2">
        <v>329.0</v>
      </c>
      <c r="H986" s="2" t="b">
        <v>1</v>
      </c>
      <c r="I986" s="2">
        <v>-1.0</v>
      </c>
      <c r="J986" s="2" t="b">
        <v>0</v>
      </c>
      <c r="K986" s="2" t="b">
        <v>0</v>
      </c>
      <c r="L986" s="2" t="b">
        <v>0</v>
      </c>
      <c r="M986" s="2" t="b">
        <v>0</v>
      </c>
      <c r="N986" s="2" t="s">
        <v>33</v>
      </c>
      <c r="O986" s="2">
        <v>45.0</v>
      </c>
      <c r="P986" s="2">
        <v>4.0</v>
      </c>
      <c r="Q986" s="2">
        <v>17.0</v>
      </c>
      <c r="R986" s="2">
        <v>0.0</v>
      </c>
      <c r="S986" s="3" t="s">
        <v>4038</v>
      </c>
      <c r="T986" s="2" t="s">
        <v>4039</v>
      </c>
      <c r="Y986" s="4" t="str">
        <f>IFERROR(__xludf.DUMMYFUNCTION("""COMPUTED_VALUE"""),"6.9272559")</f>
        <v>6.9272559</v>
      </c>
      <c r="Z986" s="4" t="str">
        <f>IFERROR(__xludf.DUMMYFUNCTION("""COMPUTED_VALUE"""),"3.2163853")</f>
        <v>3.2163853</v>
      </c>
      <c r="AA986" s="4" t="str">
        <f t="shared" si="1"/>
        <v>Neighbor</v>
      </c>
      <c r="AC986" s="4">
        <f>IFERROR(__xludf.DUMMYFUNCTION("IFERROR(ABS(O986-AVERAGE(FILTER(O986:O5054,AA986:AA5054=""Neighbor""))) / STDEV(FILTER(O986:O5054, AA986:AA5054 =""Neighbor"")), """")"),0.4499302021202472)</f>
        <v>0.4499302021</v>
      </c>
      <c r="AD986" s="4">
        <f>IFERROR(__xludf.DUMMYFUNCTION("IFERROR(ABS(P986-AVERAGE(FILTER(O986:P5054,AA986:AA5054=""Neighbor""))) / STDEV(FILTER(P986:P5054, AA986:AA5054 =""Neighbor"")), """")"),1.6635110667752793)</f>
        <v>1.663511067</v>
      </c>
      <c r="AE986" s="2">
        <f>IFERROR(__xludf.DUMMYFUNCTION("IFERROR(ABS(Q986-AVERAGE(FILTER(Q986:Q5054,AA986:AA5054=""Neighbor""))) / STDEV(FILTER(Q986:Q5054, AA986:AA5054 =""Neighbor"")), """")"),0.31922100794454983)</f>
        <v>0.3192210079</v>
      </c>
      <c r="AF986" s="2">
        <f>IFERROR(__xludf.DUMMYFUNCTION("IFERROR(ABS(R986-AVERAGE(FILTER(R986:R5054,AA986:AA5054=""Neighbor""))) / STDEV(FILTER(R986:R5054, AA986:AA5054 =""Neighbor"")), """")"),0.24412457982909902)</f>
        <v>0.2441245798</v>
      </c>
    </row>
    <row r="987">
      <c r="A987" s="2" t="s">
        <v>28</v>
      </c>
      <c r="B987" s="2" t="s">
        <v>3907</v>
      </c>
      <c r="C987" s="2" t="s">
        <v>4023</v>
      </c>
      <c r="D987" s="2" t="s">
        <v>4040</v>
      </c>
      <c r="E987" s="2" t="s">
        <v>4041</v>
      </c>
      <c r="F987" s="2">
        <v>86.0</v>
      </c>
      <c r="G987" s="2">
        <v>1079.0</v>
      </c>
      <c r="H987" s="2" t="b">
        <v>1</v>
      </c>
      <c r="I987" s="2">
        <v>-1.0</v>
      </c>
      <c r="J987" s="2" t="b">
        <v>0</v>
      </c>
      <c r="K987" s="2" t="b">
        <v>0</v>
      </c>
      <c r="L987" s="2" t="b">
        <v>0</v>
      </c>
      <c r="M987" s="2" t="b">
        <v>0</v>
      </c>
      <c r="N987" s="2" t="s">
        <v>33</v>
      </c>
      <c r="O987" s="2">
        <v>50.0</v>
      </c>
      <c r="P987" s="2">
        <v>7.0</v>
      </c>
      <c r="Q987" s="2">
        <v>21.0</v>
      </c>
      <c r="R987" s="2">
        <v>0.0</v>
      </c>
      <c r="S987" s="3" t="s">
        <v>4042</v>
      </c>
      <c r="T987" s="2" t="s">
        <v>4043</v>
      </c>
      <c r="Y987" s="4" t="str">
        <f>IFERROR(__xludf.DUMMYFUNCTION("""COMPUTED_VALUE"""),"6.9272559")</f>
        <v>6.9272559</v>
      </c>
      <c r="Z987" s="4" t="str">
        <f>IFERROR(__xludf.DUMMYFUNCTION("""COMPUTED_VALUE"""),"3.2163853")</f>
        <v>3.2163853</v>
      </c>
      <c r="AA987" s="4" t="str">
        <f t="shared" si="1"/>
        <v>Neighbor</v>
      </c>
      <c r="AC987" s="4">
        <f>IFERROR(__xludf.DUMMYFUNCTION("IFERROR(ABS(O987-AVERAGE(FILTER(O987:O5055,AA987:AA5055=""Neighbor""))) / STDEV(FILTER(O987:O5055, AA987:AA5055 =""Neighbor"")), """")"),0.3284458546579587)</f>
        <v>0.3284458547</v>
      </c>
      <c r="AD987" s="4">
        <f>IFERROR(__xludf.DUMMYFUNCTION("IFERROR(ABS(P987-AVERAGE(FILTER(O987:P5055,AA987:AA5055=""Neighbor""))) / STDEV(FILTER(P987:P5055, AA987:AA5055 =""Neighbor"")), """")"),1.524042875312439)</f>
        <v>1.524042875</v>
      </c>
      <c r="AE987" s="2">
        <f>IFERROR(__xludf.DUMMYFUNCTION("IFERROR(ABS(Q987-AVERAGE(FILTER(Q987:Q5055,AA987:AA5055=""Neighbor""))) / STDEV(FILTER(Q987:Q5055, AA987:AA5055 =""Neighbor"")), """")"),0.15268534721533616)</f>
        <v>0.1526853472</v>
      </c>
      <c r="AF987" s="2">
        <f>IFERROR(__xludf.DUMMYFUNCTION("IFERROR(ABS(R987-AVERAGE(FILTER(R987:R5055,AA987:AA5055=""Neighbor""))) / STDEV(FILTER(R987:R5055, AA987:AA5055 =""Neighbor"")), """")"),0.2442236054834385)</f>
        <v>0.2442236055</v>
      </c>
    </row>
    <row r="988">
      <c r="A988" s="2" t="s">
        <v>28</v>
      </c>
      <c r="B988" s="2" t="s">
        <v>3907</v>
      </c>
      <c r="C988" s="2" t="s">
        <v>4023</v>
      </c>
      <c r="D988" s="2" t="s">
        <v>4044</v>
      </c>
      <c r="E988" s="2" t="s">
        <v>4045</v>
      </c>
      <c r="F988" s="2">
        <v>49.0</v>
      </c>
      <c r="G988" s="2">
        <v>750.0</v>
      </c>
      <c r="H988" s="2" t="b">
        <v>1</v>
      </c>
      <c r="I988" s="2">
        <v>-1.0</v>
      </c>
      <c r="J988" s="2" t="b">
        <v>0</v>
      </c>
      <c r="K988" s="2" t="b">
        <v>0</v>
      </c>
      <c r="L988" s="2" t="b">
        <v>0</v>
      </c>
      <c r="M988" s="2" t="b">
        <v>0</v>
      </c>
      <c r="N988" s="2" t="s">
        <v>33</v>
      </c>
      <c r="O988" s="2">
        <v>32.0</v>
      </c>
      <c r="P988" s="2">
        <v>3.0</v>
      </c>
      <c r="Q988" s="2">
        <v>10.0</v>
      </c>
      <c r="R988" s="2">
        <v>0.0</v>
      </c>
      <c r="S988" s="3" t="s">
        <v>4046</v>
      </c>
      <c r="T988" s="2" t="s">
        <v>4047</v>
      </c>
      <c r="Y988" s="4" t="str">
        <f>IFERROR(__xludf.DUMMYFUNCTION("""COMPUTED_VALUE"""),"6.9272559")</f>
        <v>6.9272559</v>
      </c>
      <c r="Z988" s="4" t="str">
        <f>IFERROR(__xludf.DUMMYFUNCTION("""COMPUTED_VALUE"""),"3.2163853")</f>
        <v>3.2163853</v>
      </c>
      <c r="AA988" s="4" t="str">
        <f t="shared" si="1"/>
        <v>Not Neighbor</v>
      </c>
      <c r="AC988" s="4">
        <f>IFERROR(__xludf.DUMMYFUNCTION("IFERROR(ABS(O988-AVERAGE(FILTER(O988:O5056,AA988:AA5056=""Neighbor""))) / STDEV(FILTER(O988:O5056, AA988:AA5056 =""Neighbor"")), """")"),0.7665248316480268)</f>
        <v>0.7665248316</v>
      </c>
      <c r="AD988" s="4">
        <f>IFERROR(__xludf.DUMMYFUNCTION("IFERROR(ABS(P988-AVERAGE(FILTER(O988:P5056,AA988:AA5056=""Neighbor""))) / STDEV(FILTER(P988:P5056, AA988:AA5056 =""Neighbor"")), """")"),1.7100021164469583)</f>
        <v>1.710002116</v>
      </c>
      <c r="AE988" s="2">
        <f>IFERROR(__xludf.DUMMYFUNCTION("IFERROR(ABS(Q988-AVERAGE(FILTER(Q988:Q5056,AA988:AA5056=""Neighbor""))) / STDEV(FILTER(Q988:Q5056, AA988:AA5056 =""Neighbor"")), """")"),0.6109169266581449)</f>
        <v>0.6109169267</v>
      </c>
      <c r="AF988" s="2">
        <f>IFERROR(__xludf.DUMMYFUNCTION("IFERROR(ABS(R988-AVERAGE(FILTER(R988:R5056,AA988:AA5056=""Neighbor""))) / STDEV(FILTER(R988:R5056, AA988:AA5056 =""Neighbor"")), """")"),0.24432275174714446)</f>
        <v>0.2443227517</v>
      </c>
    </row>
    <row r="989">
      <c r="A989" s="2" t="s">
        <v>28</v>
      </c>
      <c r="B989" s="2" t="s">
        <v>3907</v>
      </c>
      <c r="C989" s="2" t="s">
        <v>4023</v>
      </c>
      <c r="D989" s="2" t="s">
        <v>4048</v>
      </c>
      <c r="E989" s="2" t="s">
        <v>4049</v>
      </c>
      <c r="F989" s="2">
        <v>172.0</v>
      </c>
      <c r="G989" s="2">
        <v>1269.0</v>
      </c>
      <c r="H989" s="2" t="b">
        <v>1</v>
      </c>
      <c r="I989" s="2">
        <v>-1.0</v>
      </c>
      <c r="J989" s="2" t="b">
        <v>0</v>
      </c>
      <c r="K989" s="2" t="b">
        <v>0</v>
      </c>
      <c r="L989" s="2" t="b">
        <v>0</v>
      </c>
      <c r="M989" s="2" t="b">
        <v>0</v>
      </c>
      <c r="N989" s="2" t="s">
        <v>33</v>
      </c>
      <c r="O989" s="2">
        <v>102.0</v>
      </c>
      <c r="P989" s="2">
        <v>38.0</v>
      </c>
      <c r="Q989" s="2">
        <v>9.0</v>
      </c>
      <c r="R989" s="2">
        <v>3.0</v>
      </c>
      <c r="S989" s="3" t="s">
        <v>4050</v>
      </c>
      <c r="T989" s="2" t="s">
        <v>4051</v>
      </c>
      <c r="Y989" s="4" t="str">
        <f>IFERROR(__xludf.DUMMYFUNCTION("""COMPUTED_VALUE"""),"6.9239202")</f>
        <v>6.9239202</v>
      </c>
      <c r="Z989" s="4" t="str">
        <f>IFERROR(__xludf.DUMMYFUNCTION("""COMPUTED_VALUE"""),"3.2059013")</f>
        <v>3.2059013</v>
      </c>
      <c r="AA989" s="4" t="str">
        <f t="shared" si="1"/>
        <v>Not Neighbor</v>
      </c>
      <c r="AC989" s="4">
        <f>IFERROR(__xludf.DUMMYFUNCTION("IFERROR(ABS(O989-AVERAGE(FILTER(O989:O5057,AA989:AA5057=""Neighbor""))) / STDEV(FILTER(O989:O5057, AA989:AA5057 =""Neighbor"")), """")"),0.9365734482446755)</f>
        <v>0.9365734482</v>
      </c>
      <c r="AD989" s="4">
        <f>IFERROR(__xludf.DUMMYFUNCTION("IFERROR(ABS(P989-AVERAGE(FILTER(O989:P5057,AA989:AA5057=""Neighbor""))) / STDEV(FILTER(P989:P5057, AA989:AA5057 =""Neighbor"")), """")"),0.08215899705352277)</f>
        <v>0.08215899705</v>
      </c>
      <c r="AE989" s="2">
        <f>IFERROR(__xludf.DUMMYFUNCTION("IFERROR(ABS(Q989-AVERAGE(FILTER(Q989:Q5057,AA989:AA5057=""Neighbor""))) / STDEV(FILTER(Q989:Q5057, AA989:AA5057 =""Neighbor"")), """")"),0.6525689015803565)</f>
        <v>0.6525689016</v>
      </c>
      <c r="AF989" s="2">
        <f>IFERROR(__xludf.DUMMYFUNCTION("IFERROR(ABS(R989-AVERAGE(FILTER(R989:R5057,AA989:AA5057=""Neighbor""))) / STDEV(FILTER(R989:R5057, AA989:AA5057 =""Neighbor"")), """")"),1.9888328670258208)</f>
        <v>1.988832867</v>
      </c>
    </row>
    <row r="990">
      <c r="A990" s="2" t="s">
        <v>28</v>
      </c>
      <c r="B990" s="2" t="s">
        <v>3907</v>
      </c>
      <c r="C990" s="2" t="s">
        <v>4023</v>
      </c>
      <c r="D990" s="2" t="s">
        <v>4052</v>
      </c>
      <c r="E990" s="2" t="s">
        <v>4053</v>
      </c>
      <c r="F990" s="2">
        <v>61.0</v>
      </c>
      <c r="G990" s="2">
        <v>426.0</v>
      </c>
      <c r="H990" s="2" t="b">
        <v>1</v>
      </c>
      <c r="I990" s="2">
        <v>-1.0</v>
      </c>
      <c r="J990" s="2" t="b">
        <v>0</v>
      </c>
      <c r="K990" s="2" t="b">
        <v>0</v>
      </c>
      <c r="L990" s="2" t="b">
        <v>0</v>
      </c>
      <c r="M990" s="2" t="b">
        <v>0</v>
      </c>
      <c r="N990" s="2" t="s">
        <v>33</v>
      </c>
      <c r="O990" s="2">
        <v>50.0</v>
      </c>
      <c r="P990" s="2">
        <v>3.0</v>
      </c>
      <c r="Q990" s="2">
        <v>3.0</v>
      </c>
      <c r="R990" s="2">
        <v>0.0</v>
      </c>
      <c r="S990" s="3" t="s">
        <v>4054</v>
      </c>
      <c r="T990" s="2" t="s">
        <v>4055</v>
      </c>
      <c r="Y990" s="4" t="str">
        <f>IFERROR(__xludf.DUMMYFUNCTION("""COMPUTED_VALUE"""),"6.9319994")</f>
        <v>6.9319994</v>
      </c>
      <c r="Z990" s="4" t="str">
        <f>IFERROR(__xludf.DUMMYFUNCTION("""COMPUTED_VALUE"""),"3.174985")</f>
        <v>3.174985</v>
      </c>
      <c r="AA990" s="4" t="str">
        <f t="shared" si="1"/>
        <v>Not Neighbor</v>
      </c>
      <c r="AC990" s="4">
        <f>IFERROR(__xludf.DUMMYFUNCTION("IFERROR(ABS(O990-AVERAGE(FILTER(O990:O5058,AA990:AA5058=""Neighbor""))) / STDEV(FILTER(O990:O5058, AA990:AA5058 =""Neighbor"")), """")"),0.3285852739613319)</f>
        <v>0.328585274</v>
      </c>
      <c r="AD990" s="4">
        <f>IFERROR(__xludf.DUMMYFUNCTION("IFERROR(ABS(P990-AVERAGE(FILTER(O990:P5058,AA990:AA5058=""Neighbor""))) / STDEV(FILTER(P990:P5058, AA990:AA5058 =""Neighbor"")), """")"),1.7100021164469583)</f>
        <v>1.710002116</v>
      </c>
      <c r="AE990" s="2">
        <f>IFERROR(__xludf.DUMMYFUNCTION("IFERROR(ABS(Q990-AVERAGE(FILTER(Q990:Q5058,AA990:AA5058=""Neighbor""))) / STDEV(FILTER(Q990:Q5058, AA990:AA5058 =""Neighbor"")), """")"),0.9024807511136268)</f>
        <v>0.9024807511</v>
      </c>
      <c r="AF990" s="2">
        <f>IFERROR(__xludf.DUMMYFUNCTION("IFERROR(ABS(R990-AVERAGE(FILTER(R990:R5058,AA990:AA5058=""Neighbor""))) / STDEV(FILTER(R990:R5058, AA990:AA5058 =""Neighbor"")), """")"),0.24432275174714446)</f>
        <v>0.2443227517</v>
      </c>
    </row>
    <row r="991">
      <c r="A991" s="2" t="s">
        <v>28</v>
      </c>
      <c r="B991" s="2" t="s">
        <v>3907</v>
      </c>
      <c r="C991" s="2" t="s">
        <v>4023</v>
      </c>
      <c r="D991" s="2" t="s">
        <v>4056</v>
      </c>
      <c r="E991" s="2" t="s">
        <v>4057</v>
      </c>
      <c r="F991" s="2">
        <v>97.0</v>
      </c>
      <c r="G991" s="2">
        <v>1006.0</v>
      </c>
      <c r="H991" s="2" t="b">
        <v>1</v>
      </c>
      <c r="I991" s="2">
        <v>-1.0</v>
      </c>
      <c r="J991" s="2" t="b">
        <v>0</v>
      </c>
      <c r="K991" s="2" t="b">
        <v>0</v>
      </c>
      <c r="L991" s="2" t="b">
        <v>0</v>
      </c>
      <c r="M991" s="2" t="b">
        <v>0</v>
      </c>
      <c r="N991" s="2" t="s">
        <v>33</v>
      </c>
      <c r="O991" s="2">
        <v>42.0</v>
      </c>
      <c r="P991" s="2">
        <v>11.0</v>
      </c>
      <c r="Q991" s="2">
        <v>37.0</v>
      </c>
      <c r="R991" s="2">
        <v>0.0</v>
      </c>
      <c r="S991" s="3" t="s">
        <v>4058</v>
      </c>
      <c r="T991" s="2" t="s">
        <v>4059</v>
      </c>
      <c r="Y991" s="4" t="str">
        <f>IFERROR(__xludf.DUMMYFUNCTION("""COMPUTED_VALUE"""),"6.9538485")</f>
        <v>6.9538485</v>
      </c>
      <c r="Z991" s="4" t="str">
        <f>IFERROR(__xludf.DUMMYFUNCTION("""COMPUTED_VALUE"""),"3.1898914")</f>
        <v>3.1898914</v>
      </c>
      <c r="AA991" s="4" t="str">
        <f t="shared" si="1"/>
        <v>Not Neighbor</v>
      </c>
      <c r="AC991" s="4">
        <f>IFERROR(__xludf.DUMMYFUNCTION("IFERROR(ABS(O991-AVERAGE(FILTER(O991:O5059,AA991:AA5059=""Neighbor""))) / STDEV(FILTER(O991:O5059, AA991:AA5059 =""Neighbor"")), """")"),0.5232250773776407)</f>
        <v>0.5232250774</v>
      </c>
      <c r="AD991" s="4">
        <f>IFERROR(__xludf.DUMMYFUNCTION("IFERROR(ABS(P991-AVERAGE(FILTER(O991:P5059,AA991:AA5059=""Neighbor""))) / STDEV(FILTER(P991:P5059, AA991:AA5059 =""Neighbor"")), """")"),1.3379236891570303)</f>
        <v>1.337923689</v>
      </c>
      <c r="AE991" s="2">
        <f>IFERROR(__xludf.DUMMYFUNCTION("IFERROR(ABS(Q991-AVERAGE(FILTER(Q991:Q5059,AA991:AA5059=""Neighbor""))) / STDEV(FILTER(Q991:Q5059, AA991:AA5059 =""Neighbor"")), """")"),0.513686396241571)</f>
        <v>0.5136863962</v>
      </c>
      <c r="AF991" s="2">
        <f>IFERROR(__xludf.DUMMYFUNCTION("IFERROR(ABS(R991-AVERAGE(FILTER(R991:R5059,AA991:AA5059=""Neighbor""))) / STDEV(FILTER(R991:R5059, AA991:AA5059 =""Neighbor"")), """")"),0.24432275174714446)</f>
        <v>0.2443227517</v>
      </c>
    </row>
    <row r="992">
      <c r="A992" s="2" t="s">
        <v>28</v>
      </c>
      <c r="B992" s="2" t="s">
        <v>3907</v>
      </c>
      <c r="C992" s="2" t="s">
        <v>4023</v>
      </c>
      <c r="D992" s="2" t="s">
        <v>4060</v>
      </c>
      <c r="E992" s="2" t="s">
        <v>4061</v>
      </c>
      <c r="F992" s="2">
        <v>90.0</v>
      </c>
      <c r="G992" s="2">
        <v>885.0</v>
      </c>
      <c r="H992" s="2" t="b">
        <v>1</v>
      </c>
      <c r="I992" s="2">
        <v>-1.0</v>
      </c>
      <c r="J992" s="2" t="b">
        <v>0</v>
      </c>
      <c r="K992" s="2" t="b">
        <v>0</v>
      </c>
      <c r="L992" s="2" t="b">
        <v>0</v>
      </c>
      <c r="M992" s="2" t="b">
        <v>0</v>
      </c>
      <c r="N992" s="2" t="s">
        <v>33</v>
      </c>
      <c r="O992" s="2">
        <v>47.0</v>
      </c>
      <c r="P992" s="2">
        <v>8.0</v>
      </c>
      <c r="Q992" s="2">
        <v>28.0</v>
      </c>
      <c r="R992" s="2">
        <v>0.0</v>
      </c>
      <c r="S992" s="3" t="s">
        <v>4062</v>
      </c>
      <c r="T992" s="2" t="s">
        <v>4063</v>
      </c>
      <c r="Y992" s="4" t="str">
        <f>IFERROR(__xludf.DUMMYFUNCTION("""COMPUTED_VALUE"""),"6.9317274")</f>
        <v>6.9317274</v>
      </c>
      <c r="Z992" s="4" t="str">
        <f>IFERROR(__xludf.DUMMYFUNCTION("""COMPUTED_VALUE"""),"3.2404503")</f>
        <v>3.2404503</v>
      </c>
      <c r="AA992" s="4" t="str">
        <f t="shared" si="1"/>
        <v>Not Neighbor</v>
      </c>
      <c r="AC992" s="4">
        <f>IFERROR(__xludf.DUMMYFUNCTION("IFERROR(ABS(O992-AVERAGE(FILTER(O992:O5060,AA992:AA5060=""Neighbor""))) / STDEV(FILTER(O992:O5060, AA992:AA5060 =""Neighbor"")), """")"),0.4015752002424477)</f>
        <v>0.4015752002</v>
      </c>
      <c r="AD992" s="4">
        <f>IFERROR(__xludf.DUMMYFUNCTION("IFERROR(ABS(P992-AVERAGE(FILTER(O992:P5060,AA992:AA5060=""Neighbor""))) / STDEV(FILTER(P992:P5060, AA992:AA5060 =""Neighbor"")), """")"),1.4774530993907533)</f>
        <v>1.477453099</v>
      </c>
      <c r="AE992" s="2">
        <f>IFERROR(__xludf.DUMMYFUNCTION("IFERROR(ABS(Q992-AVERAGE(FILTER(Q992:Q5060,AA992:AA5060=""Neighbor""))) / STDEV(FILTER(Q992:Q5060, AA992:AA5060 =""Neighbor"")), """")"),0.1388186219416657)</f>
        <v>0.1388186219</v>
      </c>
      <c r="AF992" s="2">
        <f>IFERROR(__xludf.DUMMYFUNCTION("IFERROR(ABS(R992-AVERAGE(FILTER(R992:R5060,AA992:AA5060=""Neighbor""))) / STDEV(FILTER(R992:R5060, AA992:AA5060 =""Neighbor"")), """")"),0.24432275174714446)</f>
        <v>0.2443227517</v>
      </c>
    </row>
    <row r="993">
      <c r="A993" s="2" t="s">
        <v>28</v>
      </c>
      <c r="B993" s="2" t="s">
        <v>3907</v>
      </c>
      <c r="C993" s="2" t="s">
        <v>4023</v>
      </c>
      <c r="D993" s="2" t="s">
        <v>4064</v>
      </c>
      <c r="E993" s="2" t="s">
        <v>4065</v>
      </c>
      <c r="F993" s="2">
        <v>43.0</v>
      </c>
      <c r="G993" s="2">
        <v>356.0</v>
      </c>
      <c r="H993" s="2" t="b">
        <v>1</v>
      </c>
      <c r="I993" s="2">
        <v>-1.0</v>
      </c>
      <c r="J993" s="2" t="b">
        <v>0</v>
      </c>
      <c r="K993" s="2" t="b">
        <v>0</v>
      </c>
      <c r="L993" s="2" t="b">
        <v>0</v>
      </c>
      <c r="M993" s="2" t="b">
        <v>0</v>
      </c>
      <c r="N993" s="2" t="s">
        <v>33</v>
      </c>
      <c r="O993" s="2">
        <v>32.0</v>
      </c>
      <c r="P993" s="2">
        <v>4.0</v>
      </c>
      <c r="Q993" s="2">
        <v>6.0</v>
      </c>
      <c r="R993" s="2">
        <v>0.0</v>
      </c>
      <c r="S993" s="3" t="s">
        <v>4066</v>
      </c>
      <c r="T993" s="2" t="s">
        <v>4067</v>
      </c>
      <c r="Y993" s="4" t="str">
        <f>IFERROR(__xludf.DUMMYFUNCTION("""COMPUTED_VALUE"""),"6.8815603")</f>
        <v>6.8815603</v>
      </c>
      <c r="Z993" s="4" t="str">
        <f>IFERROR(__xludf.DUMMYFUNCTION("""COMPUTED_VALUE"""),"3.2553768")</f>
        <v>3.2553768</v>
      </c>
      <c r="AA993" s="4" t="str">
        <f t="shared" si="1"/>
        <v>Not Neighbor</v>
      </c>
      <c r="AC993" s="4">
        <f>IFERROR(__xludf.DUMMYFUNCTION("IFERROR(ABS(O993-AVERAGE(FILTER(O993:O5061,AA993:AA5061=""Neighbor""))) / STDEV(FILTER(O993:O5061, AA993:AA5061 =""Neighbor"")), """")"),0.7665248316480268)</f>
        <v>0.7665248316</v>
      </c>
      <c r="AD993" s="4">
        <f>IFERROR(__xludf.DUMMYFUNCTION("IFERROR(ABS(P993-AVERAGE(FILTER(O993:P5061,AA993:AA5061=""Neighbor""))) / STDEV(FILTER(P993:P5061, AA993:AA5061 =""Neighbor"")), """")"),1.6634923130357173)</f>
        <v>1.663492313</v>
      </c>
      <c r="AE993" s="2">
        <f>IFERROR(__xludf.DUMMYFUNCTION("IFERROR(ABS(Q993-AVERAGE(FILTER(Q993:Q5061,AA993:AA5061=""Neighbor""))) / STDEV(FILTER(Q993:Q5061, AA993:AA5061 =""Neighbor"")), """")"),0.7775248263469917)</f>
        <v>0.7775248263</v>
      </c>
      <c r="AF993" s="2">
        <f>IFERROR(__xludf.DUMMYFUNCTION("IFERROR(ABS(R993-AVERAGE(FILTER(R993:R5061,AA993:AA5061=""Neighbor""))) / STDEV(FILTER(R993:R5061, AA993:AA5061 =""Neighbor"")), """")"),0.24432275174714446)</f>
        <v>0.2443227517</v>
      </c>
    </row>
    <row r="994">
      <c r="A994" s="2" t="s">
        <v>28</v>
      </c>
      <c r="B994" s="2" t="s">
        <v>3907</v>
      </c>
      <c r="C994" s="2" t="s">
        <v>4023</v>
      </c>
      <c r="D994" s="2" t="s">
        <v>4068</v>
      </c>
      <c r="E994" s="2" t="s">
        <v>4069</v>
      </c>
      <c r="F994" s="2">
        <v>42.0</v>
      </c>
      <c r="G994" s="2">
        <v>213.0</v>
      </c>
      <c r="H994" s="2" t="b">
        <v>1</v>
      </c>
      <c r="I994" s="2">
        <v>-1.0</v>
      </c>
      <c r="J994" s="2" t="b">
        <v>0</v>
      </c>
      <c r="K994" s="2" t="b">
        <v>0</v>
      </c>
      <c r="L994" s="2" t="b">
        <v>0</v>
      </c>
      <c r="M994" s="2" t="b">
        <v>0</v>
      </c>
      <c r="N994" s="2" t="s">
        <v>33</v>
      </c>
      <c r="O994" s="2">
        <v>22.0</v>
      </c>
      <c r="P994" s="2">
        <v>0.0</v>
      </c>
      <c r="Q994" s="2">
        <v>6.0</v>
      </c>
      <c r="R994" s="2">
        <v>1.0</v>
      </c>
      <c r="S994" s="3" t="s">
        <v>4070</v>
      </c>
      <c r="T994" s="2" t="s">
        <v>4071</v>
      </c>
      <c r="Y994" s="4" t="str">
        <f>IFERROR(__xludf.DUMMYFUNCTION("""COMPUTED_VALUE"""),"6.9272559")</f>
        <v>6.9272559</v>
      </c>
      <c r="Z994" s="4" t="str">
        <f>IFERROR(__xludf.DUMMYFUNCTION("""COMPUTED_VALUE"""),"3.2163853")</f>
        <v>3.2163853</v>
      </c>
      <c r="AA994" s="4" t="str">
        <f t="shared" si="1"/>
        <v>Not Neighbor</v>
      </c>
      <c r="AC994" s="4">
        <f>IFERROR(__xludf.DUMMYFUNCTION("IFERROR(ABS(O994-AVERAGE(FILTER(O994:O5062,AA994:AA5062=""Neighbor""))) / STDEV(FILTER(O994:O5062, AA994:AA5062 =""Neighbor"")), """")"),1.0098245859184127)</f>
        <v>1.009824586</v>
      </c>
      <c r="AD994" s="4">
        <f>IFERROR(__xludf.DUMMYFUNCTION("IFERROR(ABS(P994-AVERAGE(FILTER(O994:P5062,AA994:AA5062=""Neighbor""))) / STDEV(FILTER(P994:P5062, AA994:AA5062 =""Neighbor"")), """")"),1.8495315266806813)</f>
        <v>1.849531527</v>
      </c>
      <c r="AE994" s="2">
        <f>IFERROR(__xludf.DUMMYFUNCTION("IFERROR(ABS(Q994-AVERAGE(FILTER(Q994:Q5062,AA994:AA5062=""Neighbor""))) / STDEV(FILTER(Q994:Q5062, AA994:AA5062 =""Neighbor"")), """")"),0.7775248263469917)</f>
        <v>0.7775248263</v>
      </c>
      <c r="AF994" s="2">
        <f>IFERROR(__xludf.DUMMYFUNCTION("IFERROR(ABS(R994-AVERAGE(FILTER(R994:R5062,AA994:AA5062=""Neighbor""))) / STDEV(FILTER(R994:R5062, AA994:AA5062 =""Neighbor"")), """")"),0.5000624545105107)</f>
        <v>0.5000624545</v>
      </c>
    </row>
    <row r="995">
      <c r="A995" s="2" t="s">
        <v>28</v>
      </c>
      <c r="B995" s="2" t="s">
        <v>3907</v>
      </c>
      <c r="C995" s="2" t="s">
        <v>4023</v>
      </c>
      <c r="D995" s="2" t="s">
        <v>4072</v>
      </c>
      <c r="E995" s="2" t="s">
        <v>4073</v>
      </c>
      <c r="F995" s="2">
        <v>52.0</v>
      </c>
      <c r="G995" s="2">
        <v>438.0</v>
      </c>
      <c r="H995" s="2" t="b">
        <v>1</v>
      </c>
      <c r="I995" s="2">
        <v>-1.0</v>
      </c>
      <c r="J995" s="2" t="b">
        <v>0</v>
      </c>
      <c r="K995" s="2" t="b">
        <v>0</v>
      </c>
      <c r="L995" s="2" t="b">
        <v>0</v>
      </c>
      <c r="M995" s="2" t="b">
        <v>0</v>
      </c>
      <c r="N995" s="2" t="s">
        <v>33</v>
      </c>
      <c r="O995" s="2">
        <v>33.0</v>
      </c>
      <c r="P995" s="2">
        <v>2.0</v>
      </c>
      <c r="Q995" s="2">
        <v>0.0</v>
      </c>
      <c r="R995" s="2">
        <v>0.0</v>
      </c>
      <c r="S995" s="3" t="s">
        <v>4074</v>
      </c>
      <c r="T995" s="2" t="s">
        <v>4075</v>
      </c>
      <c r="Y995" s="4" t="str">
        <f>IFERROR(__xludf.DUMMYFUNCTION("""COMPUTED_VALUE"""),"6.9493014")</f>
        <v>6.9493014</v>
      </c>
      <c r="Z995" s="4" t="str">
        <f>IFERROR(__xludf.DUMMYFUNCTION("""COMPUTED_VALUE"""),"3.2490449")</f>
        <v>3.2490449</v>
      </c>
      <c r="AA995" s="4" t="str">
        <f t="shared" si="1"/>
        <v>Neighbor</v>
      </c>
      <c r="AC995" s="4">
        <f>IFERROR(__xludf.DUMMYFUNCTION("IFERROR(ABS(O995-AVERAGE(FILTER(O995:O5063,AA995:AA5063=""Neighbor""))) / STDEV(FILTER(O995:O5063, AA995:AA5063 =""Neighbor"")), """")"),0.7421948562209881)</f>
        <v>0.7421948562</v>
      </c>
      <c r="AD995" s="4">
        <f>IFERROR(__xludf.DUMMYFUNCTION("IFERROR(ABS(P995-AVERAGE(FILTER(O995:P5063,AA995:AA5063=""Neighbor""))) / STDEV(FILTER(P995:P5063, AA995:AA5063 =""Neighbor"")), """")"),1.7565119198581993)</f>
        <v>1.75651192</v>
      </c>
      <c r="AE995" s="2">
        <f>IFERROR(__xludf.DUMMYFUNCTION("IFERROR(ABS(Q995-AVERAGE(FILTER(Q995:Q5063,AA995:AA5063=""Neighbor""))) / STDEV(FILTER(Q995:Q5063, AA995:AA5063 =""Neighbor"")), """")"),1.0274366758802618)</f>
        <v>1.027436676</v>
      </c>
      <c r="AF995" s="2">
        <f>IFERROR(__xludf.DUMMYFUNCTION("IFERROR(ABS(R995-AVERAGE(FILTER(R995:R5063,AA995:AA5063=""Neighbor""))) / STDEV(FILTER(R995:R5063, AA995:AA5063 =""Neighbor"")), """")"),0.24432275174714446)</f>
        <v>0.2443227517</v>
      </c>
    </row>
    <row r="996">
      <c r="A996" s="2" t="s">
        <v>28</v>
      </c>
      <c r="B996" s="2" t="s">
        <v>3907</v>
      </c>
      <c r="C996" s="2" t="s">
        <v>4023</v>
      </c>
      <c r="D996" s="2" t="s">
        <v>4076</v>
      </c>
      <c r="E996" s="2" t="s">
        <v>4077</v>
      </c>
      <c r="F996" s="2">
        <v>53.0</v>
      </c>
      <c r="G996" s="2">
        <v>530.0</v>
      </c>
      <c r="H996" s="2" t="b">
        <v>1</v>
      </c>
      <c r="I996" s="2">
        <v>-1.0</v>
      </c>
      <c r="J996" s="2" t="b">
        <v>0</v>
      </c>
      <c r="K996" s="2" t="b">
        <v>1</v>
      </c>
      <c r="L996" s="2" t="b">
        <v>0</v>
      </c>
      <c r="M996" s="2" t="b">
        <v>0</v>
      </c>
      <c r="N996" s="2" t="s">
        <v>33</v>
      </c>
      <c r="O996" s="2">
        <v>0.0</v>
      </c>
      <c r="P996" s="2">
        <v>0.0</v>
      </c>
      <c r="Q996" s="2">
        <v>0.0</v>
      </c>
      <c r="R996" s="2">
        <v>0.0</v>
      </c>
      <c r="S996" s="3" t="s">
        <v>4078</v>
      </c>
      <c r="T996" s="2" t="s">
        <v>4079</v>
      </c>
      <c r="Y996" s="4" t="str">
        <f>IFERROR(__xludf.DUMMYFUNCTION("""COMPUTED_VALUE"""),"6.9493014")</f>
        <v>6.9493014</v>
      </c>
      <c r="Z996" s="4" t="str">
        <f>IFERROR(__xludf.DUMMYFUNCTION("""COMPUTED_VALUE"""),"3.2490449")</f>
        <v>3.2490449</v>
      </c>
      <c r="AA996" s="4" t="str">
        <f t="shared" si="1"/>
        <v>Not Neighbor</v>
      </c>
      <c r="AC996" s="4">
        <f>IFERROR(__xludf.DUMMYFUNCTION("IFERROR(ABS(O996-AVERAGE(FILTER(O996:O5064,AA996:AA5064=""Neighbor""))) / STDEV(FILTER(O996:O5064, AA996:AA5064 =""Neighbor"")), """")"),1.5453873701137462)</f>
        <v>1.54538737</v>
      </c>
      <c r="AD996" s="4">
        <f>IFERROR(__xludf.DUMMYFUNCTION("IFERROR(ABS(P996-AVERAGE(FILTER(O996:P5064,AA996:AA5064=""Neighbor""))) / STDEV(FILTER(P996:P5064, AA996:AA5064 =""Neighbor"")), """")"),1.8499185687062352)</f>
        <v>1.849918569</v>
      </c>
      <c r="AE996" s="2">
        <f>IFERROR(__xludf.DUMMYFUNCTION("IFERROR(ABS(Q996-AVERAGE(FILTER(Q996:Q5064,AA996:AA5064=""Neighbor""))) / STDEV(FILTER(Q996:Q5064, AA996:AA5064 =""Neighbor"")), """")"),1.0282474774946788)</f>
        <v>1.028247477</v>
      </c>
      <c r="AF996" s="2">
        <f>IFERROR(__xludf.DUMMYFUNCTION("IFERROR(ABS(R996-AVERAGE(FILTER(R996:R5064,AA996:AA5064=""Neighbor""))) / STDEV(FILTER(R996:R5064, AA996:AA5064 =""Neighbor"")), """")"),0.24442201886525733)</f>
        <v>0.2444220189</v>
      </c>
    </row>
    <row r="997">
      <c r="A997" s="2" t="s">
        <v>28</v>
      </c>
      <c r="B997" s="2" t="s">
        <v>3907</v>
      </c>
      <c r="C997" s="2" t="s">
        <v>4023</v>
      </c>
      <c r="D997" s="2" t="s">
        <v>4080</v>
      </c>
      <c r="E997" s="2" t="s">
        <v>4081</v>
      </c>
      <c r="F997" s="2">
        <v>129.0</v>
      </c>
      <c r="G997" s="2">
        <v>804.0</v>
      </c>
      <c r="H997" s="2" t="b">
        <v>1</v>
      </c>
      <c r="I997" s="2">
        <v>-1.0</v>
      </c>
      <c r="J997" s="2" t="b">
        <v>1</v>
      </c>
      <c r="K997" s="2" t="b">
        <v>0</v>
      </c>
      <c r="L997" s="2" t="b">
        <v>0</v>
      </c>
      <c r="M997" s="2" t="b">
        <v>0</v>
      </c>
      <c r="N997" s="2" t="s">
        <v>33</v>
      </c>
      <c r="O997" s="2">
        <v>112.0</v>
      </c>
      <c r="P997" s="2">
        <v>12.0</v>
      </c>
      <c r="Q997" s="2">
        <v>2.0</v>
      </c>
      <c r="R997" s="2">
        <v>0.0</v>
      </c>
      <c r="S997" s="3" t="s">
        <v>4082</v>
      </c>
      <c r="T997" s="2" t="s">
        <v>4083</v>
      </c>
      <c r="Y997" s="4" t="str">
        <f>IFERROR(__xludf.DUMMYFUNCTION("""COMPUTED_VALUE"""),"8.1360503")</f>
        <v>8.1360503</v>
      </c>
      <c r="Z997" s="4" t="str">
        <f>IFERROR(__xludf.DUMMYFUNCTION("""COMPUTED_VALUE"""),"5.4201377")</f>
        <v>5.4201377</v>
      </c>
      <c r="AA997" s="4" t="str">
        <f t="shared" si="1"/>
        <v>Not Neighbor</v>
      </c>
      <c r="AC997" s="4">
        <f>IFERROR(__xludf.DUMMYFUNCTION("IFERROR(ABS(O997-AVERAGE(FILTER(O997:O5065,AA997:AA5065=""Neighbor""))) / STDEV(FILTER(O997:O5065, AA997:AA5065 =""Neighbor"")), """")"),1.17910043153548)</f>
        <v>1.179100432</v>
      </c>
      <c r="AD997" s="4">
        <f>IFERROR(__xludf.DUMMYFUNCTION("IFERROR(ABS(P997-AVERAGE(FILTER(O997:P5065,AA997:AA5065=""Neighbor""))) / STDEV(FILTER(P997:P5065, AA997:AA5065 =""Neighbor"")), """")"),1.2919239172866068)</f>
        <v>1.291923917</v>
      </c>
      <c r="AE997" s="2">
        <f>IFERROR(__xludf.DUMMYFUNCTION("IFERROR(ABS(Q997-AVERAGE(FILTER(Q997:Q5065,AA997:AA5065=""Neighbor""))) / STDEV(FILTER(Q997:Q5065, AA997:AA5065 =""Neighbor"")), """")"),0.9449417221520457)</f>
        <v>0.9449417222</v>
      </c>
      <c r="AF997" s="2">
        <f>IFERROR(__xludf.DUMMYFUNCTION("IFERROR(ABS(R997-AVERAGE(FILTER(R997:R5065,AA997:AA5065=""Neighbor""))) / STDEV(FILTER(R997:R5065, AA997:AA5065 =""Neighbor"")), """")"),0.24442201886525733)</f>
        <v>0.2444220189</v>
      </c>
    </row>
    <row r="998">
      <c r="A998" s="2" t="s">
        <v>28</v>
      </c>
      <c r="B998" s="2" t="s">
        <v>3907</v>
      </c>
      <c r="C998" s="2" t="s">
        <v>4023</v>
      </c>
      <c r="D998" s="2" t="s">
        <v>4084</v>
      </c>
      <c r="E998" s="2" t="s">
        <v>4085</v>
      </c>
      <c r="F998" s="2">
        <v>25.0</v>
      </c>
      <c r="G998" s="2">
        <v>130.0</v>
      </c>
      <c r="H998" s="2" t="b">
        <v>1</v>
      </c>
      <c r="I998" s="2">
        <v>-1.0</v>
      </c>
      <c r="J998" s="2" t="b">
        <v>0</v>
      </c>
      <c r="K998" s="2" t="b">
        <v>0</v>
      </c>
      <c r="L998" s="2" t="b">
        <v>0</v>
      </c>
      <c r="M998" s="2" t="b">
        <v>0</v>
      </c>
      <c r="N998" s="2" t="s">
        <v>33</v>
      </c>
      <c r="O998" s="2">
        <v>0.0</v>
      </c>
      <c r="P998" s="2">
        <v>0.0</v>
      </c>
      <c r="Q998" s="2">
        <v>0.0</v>
      </c>
      <c r="R998" s="2">
        <v>0.0</v>
      </c>
      <c r="S998" s="3" t="s">
        <v>4086</v>
      </c>
      <c r="T998" s="2" t="s">
        <v>4087</v>
      </c>
      <c r="Y998" s="4" t="str">
        <f>IFERROR(__xludf.DUMMYFUNCTION("""COMPUTED_VALUE"""),"7.1729589")</f>
        <v>7.1729589</v>
      </c>
      <c r="Z998" s="4" t="str">
        <f>IFERROR(__xludf.DUMMYFUNCTION("""COMPUTED_VALUE"""),"3.3470778")</f>
        <v>3.3470778</v>
      </c>
      <c r="AA998" s="4" t="str">
        <f t="shared" si="1"/>
        <v>Not Neighbor</v>
      </c>
      <c r="AC998" s="4">
        <f>IFERROR(__xludf.DUMMYFUNCTION("IFERROR(ABS(O998-AVERAGE(FILTER(O998:O5066,AA998:AA5066=""Neighbor""))) / STDEV(FILTER(O998:O5066, AA998:AA5066 =""Neighbor"")), """")"),1.5453873701137462)</f>
        <v>1.54538737</v>
      </c>
      <c r="AD998" s="4">
        <f>IFERROR(__xludf.DUMMYFUNCTION("IFERROR(ABS(P998-AVERAGE(FILTER(O998:P5066,AA998:AA5066=""Neighbor""))) / STDEV(FILTER(P998:P5066, AA998:AA5066 =""Neighbor"")), """")"),1.8499185687062352)</f>
        <v>1.849918569</v>
      </c>
      <c r="AE998" s="2">
        <f>IFERROR(__xludf.DUMMYFUNCTION("IFERROR(ABS(Q998-AVERAGE(FILTER(Q998:Q5066,AA998:AA5066=""Neighbor""))) / STDEV(FILTER(Q998:Q5066, AA998:AA5066 =""Neighbor"")), """")"),1.0282474774946788)</f>
        <v>1.028247477</v>
      </c>
      <c r="AF998" s="2">
        <f>IFERROR(__xludf.DUMMYFUNCTION("IFERROR(ABS(R998-AVERAGE(FILTER(R998:R5066,AA998:AA5066=""Neighbor""))) / STDEV(FILTER(R998:R5066, AA998:AA5066 =""Neighbor"")), """")"),0.24442201886525733)</f>
        <v>0.2444220189</v>
      </c>
    </row>
    <row r="999">
      <c r="A999" s="2" t="s">
        <v>28</v>
      </c>
      <c r="B999" s="2" t="s">
        <v>3907</v>
      </c>
      <c r="C999" s="2" t="s">
        <v>4023</v>
      </c>
      <c r="D999" s="2" t="s">
        <v>4088</v>
      </c>
      <c r="E999" s="2" t="s">
        <v>4089</v>
      </c>
      <c r="F999" s="2">
        <v>48.0</v>
      </c>
      <c r="G999" s="2">
        <v>201.0</v>
      </c>
      <c r="H999" s="2" t="b">
        <v>1</v>
      </c>
      <c r="I999" s="2">
        <v>-1.0</v>
      </c>
      <c r="J999" s="2" t="b">
        <v>0</v>
      </c>
      <c r="K999" s="2" t="b">
        <v>0</v>
      </c>
      <c r="L999" s="2" t="b">
        <v>0</v>
      </c>
      <c r="M999" s="2" t="b">
        <v>0</v>
      </c>
      <c r="N999" s="2" t="s">
        <v>33</v>
      </c>
      <c r="O999" s="2">
        <v>41.0</v>
      </c>
      <c r="P999" s="2">
        <v>0.0</v>
      </c>
      <c r="Q999" s="2">
        <v>4.0</v>
      </c>
      <c r="R999" s="2">
        <v>0.0</v>
      </c>
      <c r="S999" s="3" t="s">
        <v>4090</v>
      </c>
      <c r="T999" s="2" t="s">
        <v>4091</v>
      </c>
      <c r="Y999" s="4" t="str">
        <f>IFERROR(__xludf.DUMMYFUNCTION("""COMPUTED_VALUE"""),"6.9272559")</f>
        <v>6.9272559</v>
      </c>
      <c r="Z999" s="4" t="str">
        <f>IFERROR(__xludf.DUMMYFUNCTION("""COMPUTED_VALUE"""),"3.2163853")</f>
        <v>3.2163853</v>
      </c>
      <c r="AA999" s="4" t="str">
        <f t="shared" si="1"/>
        <v>Not Neighbor</v>
      </c>
      <c r="AC999" s="4">
        <f>IFERROR(__xludf.DUMMYFUNCTION("IFERROR(ABS(O999-AVERAGE(FILTER(O999:O5067,AA999:AA5067=""Neighbor""))) / STDEV(FILTER(O999:O5067, AA999:AA5067 =""Neighbor"")), """")"),0.548030228438583)</f>
        <v>0.5480302284</v>
      </c>
      <c r="AD999" s="4">
        <f>IFERROR(__xludf.DUMMYFUNCTION("IFERROR(ABS(P999-AVERAGE(FILTER(O999:P5067,AA999:AA5067=""Neighbor""))) / STDEV(FILTER(P999:P5067, AA999:AA5067 =""Neighbor"")), """")"),1.8499185687062352)</f>
        <v>1.849918569</v>
      </c>
      <c r="AE999" s="2">
        <f>IFERROR(__xludf.DUMMYFUNCTION("IFERROR(ABS(Q999-AVERAGE(FILTER(Q999:Q5067,AA999:AA5067=""Neighbor""))) / STDEV(FILTER(Q999:Q5067, AA999:AA5067 =""Neighbor"")), """")"),0.8616359668094128)</f>
        <v>0.8616359668</v>
      </c>
      <c r="AF999" s="2">
        <f>IFERROR(__xludf.DUMMYFUNCTION("IFERROR(ABS(R999-AVERAGE(FILTER(R999:R5067,AA999:AA5067=""Neighbor""))) / STDEV(FILTER(R999:R5067, AA999:AA5067 =""Neighbor"")), """")"),0.24442201886525733)</f>
        <v>0.2444220189</v>
      </c>
    </row>
    <row r="1000">
      <c r="A1000" s="2" t="s">
        <v>28</v>
      </c>
      <c r="B1000" s="2" t="s">
        <v>3907</v>
      </c>
      <c r="C1000" s="2" t="s">
        <v>4023</v>
      </c>
      <c r="D1000" s="2" t="s">
        <v>4092</v>
      </c>
      <c r="E1000" s="2" t="s">
        <v>4093</v>
      </c>
      <c r="F1000" s="2">
        <v>11.0</v>
      </c>
      <c r="G1000" s="2">
        <v>100.0</v>
      </c>
      <c r="H1000" s="2" t="b">
        <v>1</v>
      </c>
      <c r="I1000" s="2">
        <v>-1.0</v>
      </c>
      <c r="J1000" s="2" t="b">
        <v>0</v>
      </c>
      <c r="K1000" s="2" t="b">
        <v>0</v>
      </c>
      <c r="L1000" s="2" t="b">
        <v>0</v>
      </c>
      <c r="M1000" s="2" t="b">
        <v>0</v>
      </c>
      <c r="N1000" s="2" t="s">
        <v>33</v>
      </c>
      <c r="O1000" s="2">
        <v>3.0</v>
      </c>
      <c r="P1000" s="2">
        <v>4.0</v>
      </c>
      <c r="Q1000" s="2">
        <v>1.0</v>
      </c>
      <c r="R1000" s="2">
        <v>0.0</v>
      </c>
      <c r="S1000" s="3" t="s">
        <v>4094</v>
      </c>
      <c r="T1000" s="2" t="s">
        <v>4095</v>
      </c>
      <c r="Y1000" s="4" t="str">
        <f>IFERROR(__xludf.DUMMYFUNCTION("""COMPUTED_VALUE"""),"6.9310189")</f>
        <v>6.9310189</v>
      </c>
      <c r="Z1000" s="4" t="str">
        <f>IFERROR(__xludf.DUMMYFUNCTION("""COMPUTED_VALUE"""),"3.2461061")</f>
        <v>3.2461061</v>
      </c>
      <c r="AA1000" s="4" t="str">
        <f t="shared" si="1"/>
        <v>Not Neighbor</v>
      </c>
      <c r="AC1000" s="4">
        <f>IFERROR(__xludf.DUMMYFUNCTION("IFERROR(ABS(O1000-AVERAGE(FILTER(O1000:O5068,AA1000:AA5068=""Neighbor""))) / STDEV(FILTER(O1000:O5068, AA1000:AA5068 =""Neighbor"")), """")"),1.4724100182838562)</f>
        <v>1.472410018</v>
      </c>
      <c r="AD1000" s="4">
        <f>IFERROR(__xludf.DUMMYFUNCTION("IFERROR(ABS(P1000-AVERAGE(FILTER(O1000:P5068,AA1000:AA5068=""Neighbor""))) / STDEV(FILTER(P1000:P5068, AA1000:AA5068 =""Neighbor"")), """")"),1.6639203515663592)</f>
        <v>1.663920352</v>
      </c>
      <c r="AE1000" s="2">
        <f>IFERROR(__xludf.DUMMYFUNCTION("IFERROR(ABS(Q1000-AVERAGE(FILTER(Q1000:Q5068,AA1000:AA5068=""Neighbor""))) / STDEV(FILTER(Q1000:Q5068, AA1000:AA5068 =""Neighbor"")), """")"),0.9865945998233623)</f>
        <v>0.9865945998</v>
      </c>
      <c r="AF1000" s="2">
        <f>IFERROR(__xludf.DUMMYFUNCTION("IFERROR(ABS(R1000-AVERAGE(FILTER(R1000:R5068,AA1000:AA5068=""Neighbor""))) / STDEV(FILTER(R1000:R5068, AA1000:AA5068 =""Neighbor"")), """")"),0.24442201886525733)</f>
        <v>0.2444220189</v>
      </c>
    </row>
    <row r="1001">
      <c r="A1001" s="2" t="s">
        <v>28</v>
      </c>
      <c r="B1001" s="2" t="s">
        <v>3907</v>
      </c>
      <c r="C1001" s="2" t="s">
        <v>4023</v>
      </c>
      <c r="D1001" s="2" t="s">
        <v>4096</v>
      </c>
      <c r="E1001" s="2" t="s">
        <v>4097</v>
      </c>
      <c r="F1001" s="2">
        <v>28.0</v>
      </c>
      <c r="G1001" s="2">
        <v>343.0</v>
      </c>
      <c r="H1001" s="2" t="b">
        <v>1</v>
      </c>
      <c r="I1001" s="2">
        <v>-1.0</v>
      </c>
      <c r="J1001" s="2" t="b">
        <v>0</v>
      </c>
      <c r="K1001" s="2" t="b">
        <v>0</v>
      </c>
      <c r="L1001" s="2" t="b">
        <v>0</v>
      </c>
      <c r="M1001" s="2" t="b">
        <v>0</v>
      </c>
      <c r="N1001" s="2" t="s">
        <v>33</v>
      </c>
      <c r="O1001" s="2">
        <v>19.0</v>
      </c>
      <c r="P1001" s="2">
        <v>1.0</v>
      </c>
      <c r="Q1001" s="2">
        <v>4.0</v>
      </c>
      <c r="R1001" s="2">
        <v>0.0</v>
      </c>
      <c r="S1001" s="3" t="s">
        <v>4098</v>
      </c>
      <c r="T1001" s="2" t="s">
        <v>4099</v>
      </c>
      <c r="Y1001" s="4" t="str">
        <f>IFERROR(__xludf.DUMMYFUNCTION("""COMPUTED_VALUE"""),"6.9272559")</f>
        <v>6.9272559</v>
      </c>
      <c r="Z1001" s="4" t="str">
        <f>IFERROR(__xludf.DUMMYFUNCTION("""COMPUTED_VALUE"""),"3.2163853")</f>
        <v>3.2163853</v>
      </c>
      <c r="AA1001" s="4" t="str">
        <f t="shared" si="1"/>
        <v>Neighbor</v>
      </c>
      <c r="AC1001" s="4">
        <f>IFERROR(__xludf.DUMMYFUNCTION("IFERROR(ABS(O1001-AVERAGE(FILTER(O1001:O5069,AA1001:AA5069=""Neighbor""))) / STDEV(FILTER(O1001:O5069, AA1001:AA5069 =""Neighbor"")), """")"),1.0831974751911095)</f>
        <v>1.083197475</v>
      </c>
      <c r="AD1001" s="4">
        <f>IFERROR(__xludf.DUMMYFUNCTION("IFERROR(ABS(P1001-AVERAGE(FILTER(O1001:P5069,AA1001:AA5069=""Neighbor""))) / STDEV(FILTER(P1001:P5069, AA1001:AA5069 =""Neighbor"")), """")"),1.803419014421266)</f>
        <v>1.803419014</v>
      </c>
      <c r="AE1001" s="2">
        <f>IFERROR(__xludf.DUMMYFUNCTION("IFERROR(ABS(Q1001-AVERAGE(FILTER(Q1001:Q5069,AA1001:AA5069=""Neighbor""))) / STDEV(FILTER(Q1001:Q5069, AA1001:AA5069 =""Neighbor"")), """")"),0.8616359668094128)</f>
        <v>0.8616359668</v>
      </c>
      <c r="AF1001" s="2">
        <f>IFERROR(__xludf.DUMMYFUNCTION("IFERROR(ABS(R1001-AVERAGE(FILTER(R1001:R5069,AA1001:AA5069=""Neighbor""))) / STDEV(FILTER(R1001:R5069, AA1001:AA5069 =""Neighbor"")), """")"),0.24442201886525733)</f>
        <v>0.2444220189</v>
      </c>
    </row>
    <row r="1002">
      <c r="A1002" s="2" t="s">
        <v>28</v>
      </c>
      <c r="B1002" s="2" t="s">
        <v>3907</v>
      </c>
      <c r="C1002" s="2" t="s">
        <v>4023</v>
      </c>
      <c r="D1002" s="2" t="s">
        <v>4100</v>
      </c>
      <c r="E1002" s="2" t="s">
        <v>4101</v>
      </c>
      <c r="F1002" s="2">
        <v>141.0</v>
      </c>
      <c r="G1002" s="2">
        <v>821.0</v>
      </c>
      <c r="H1002" s="2" t="b">
        <v>1</v>
      </c>
      <c r="I1002" s="2">
        <v>-1.0</v>
      </c>
      <c r="J1002" s="2" t="b">
        <v>0</v>
      </c>
      <c r="K1002" s="2" t="b">
        <v>0</v>
      </c>
      <c r="L1002" s="2" t="b">
        <v>0</v>
      </c>
      <c r="M1002" s="2" t="b">
        <v>0</v>
      </c>
      <c r="N1002" s="2" t="s">
        <v>33</v>
      </c>
      <c r="O1002" s="2">
        <v>85.0</v>
      </c>
      <c r="P1002" s="2">
        <v>24.0</v>
      </c>
      <c r="Q1002" s="2">
        <v>22.0</v>
      </c>
      <c r="R1002" s="2">
        <v>1.0</v>
      </c>
      <c r="S1002" s="3" t="s">
        <v>4102</v>
      </c>
      <c r="T1002" s="2" t="s">
        <v>4103</v>
      </c>
      <c r="Y1002" s="4" t="str">
        <f>IFERROR(__xludf.DUMMYFUNCTION("""COMPUTED_VALUE"""),"6.9272559")</f>
        <v>6.9272559</v>
      </c>
      <c r="Z1002" s="4" t="str">
        <f>IFERROR(__xludf.DUMMYFUNCTION("""COMPUTED_VALUE"""),"3.2163853")</f>
        <v>3.2163853</v>
      </c>
      <c r="AA1002" s="4" t="str">
        <f t="shared" si="1"/>
        <v>Neighbor</v>
      </c>
      <c r="AC1002" s="4">
        <f>IFERROR(__xludf.DUMMYFUNCTION("IFERROR(ABS(O1002-AVERAGE(FILTER(O1002:O5070,AA1002:AA5070=""Neighbor""))) / STDEV(FILTER(O1002:O5070, AA1002:AA5070 =""Neighbor"")), """")"),0.5215072350522394)</f>
        <v>0.5215072351</v>
      </c>
      <c r="AD1002" s="4">
        <f>IFERROR(__xludf.DUMMYFUNCTION("IFERROR(ABS(P1002-AVERAGE(FILTER(O1002:P5070,AA1002:AA5070=""Neighbor""))) / STDEV(FILTER(P1002:P5070, AA1002:AA5070 =""Neighbor"")), """")"),0.7348487569641577)</f>
        <v>0.734848757</v>
      </c>
      <c r="AE1002" s="2">
        <f>IFERROR(__xludf.DUMMYFUNCTION("IFERROR(ABS(Q1002-AVERAGE(FILTER(Q1002:Q5070,AA1002:AA5070=""Neighbor""))) / STDEV(FILTER(Q1002:Q5070, AA1002:AA5070 =""Neighbor"")), """")"),0.11253483239271808)</f>
        <v>0.1125348324</v>
      </c>
      <c r="AF1002" s="2">
        <f>IFERROR(__xludf.DUMMYFUNCTION("IFERROR(ABS(R1002-AVERAGE(FILTER(R1002:R5070,AA1002:AA5070=""Neighbor""))) / STDEV(FILTER(R1002:R5070, AA1002:AA5070 =""Neighbor"")), """")"),0.499326424745309)</f>
        <v>0.4993264247</v>
      </c>
    </row>
    <row r="1003">
      <c r="A1003" s="2" t="s">
        <v>28</v>
      </c>
      <c r="B1003" s="2" t="s">
        <v>3907</v>
      </c>
      <c r="C1003" s="2" t="s">
        <v>4023</v>
      </c>
      <c r="D1003" s="2" t="s">
        <v>4104</v>
      </c>
      <c r="E1003" s="2" t="s">
        <v>4105</v>
      </c>
      <c r="F1003" s="2">
        <v>41.0</v>
      </c>
      <c r="G1003" s="2">
        <v>232.0</v>
      </c>
      <c r="H1003" s="2" t="b">
        <v>1</v>
      </c>
      <c r="I1003" s="2">
        <v>-1.0</v>
      </c>
      <c r="J1003" s="2" t="b">
        <v>0</v>
      </c>
      <c r="K1003" s="2" t="b">
        <v>1</v>
      </c>
      <c r="L1003" s="2" t="b">
        <v>0</v>
      </c>
      <c r="M1003" s="2" t="b">
        <v>0</v>
      </c>
      <c r="N1003" s="2" t="s">
        <v>33</v>
      </c>
      <c r="O1003" s="2">
        <v>34.0</v>
      </c>
      <c r="P1003" s="2">
        <v>2.0</v>
      </c>
      <c r="Q1003" s="2">
        <v>0.0</v>
      </c>
      <c r="R1003" s="2">
        <v>0.0</v>
      </c>
      <c r="S1003" s="3" t="s">
        <v>4106</v>
      </c>
      <c r="T1003" s="2" t="s">
        <v>4107</v>
      </c>
      <c r="Y1003" s="4" t="str">
        <f>IFERROR(__xludf.DUMMYFUNCTION("""COMPUTED_VALUE"""),"6.9272559")</f>
        <v>6.9272559</v>
      </c>
      <c r="Z1003" s="4" t="str">
        <f>IFERROR(__xludf.DUMMYFUNCTION("""COMPUTED_VALUE"""),"3.2163853")</f>
        <v>3.2163853</v>
      </c>
      <c r="AA1003" s="4" t="str">
        <f t="shared" si="1"/>
        <v>Neighbor</v>
      </c>
      <c r="AC1003" s="4">
        <f>IFERROR(__xludf.DUMMYFUNCTION("IFERROR(ABS(O1003-AVERAGE(FILTER(O1003:O5071,AA1003:AA5071=""Neighbor""))) / STDEV(FILTER(O1003:O5071, AA1003:AA5071 =""Neighbor"")), """")"),0.7185888418995571)</f>
        <v>0.7185888419</v>
      </c>
      <c r="AD1003" s="4">
        <f>IFERROR(__xludf.DUMMYFUNCTION("IFERROR(ABS(P1003-AVERAGE(FILTER(O1003:P5071,AA1003:AA5071=""Neighbor""))) / STDEV(FILTER(P1003:P5071, AA1003:AA5071 =""Neighbor"")), """")"),1.756530055168205)</f>
        <v>1.756530055</v>
      </c>
      <c r="AE1003" s="2">
        <f>IFERROR(__xludf.DUMMYFUNCTION("IFERROR(ABS(Q1003-AVERAGE(FILTER(Q1003:Q5071,AA1003:AA5071=""Neighbor""))) / STDEV(FILTER(Q1003:Q5071, AA1003:AA5071 =""Neighbor"")), """")"),1.0285036485484935)</f>
        <v>1.028503649</v>
      </c>
      <c r="AF1003" s="2">
        <f>IFERROR(__xludf.DUMMYFUNCTION("IFERROR(ABS(R1003-AVERAGE(FILTER(R1003:R5071,AA1003:AA5071=""Neighbor""))) / STDEV(FILTER(R1003:R5071, AA1003:AA5071 =""Neighbor"")), """")"),0.24406716604296097)</f>
        <v>0.244067166</v>
      </c>
    </row>
    <row r="1004">
      <c r="A1004" s="2" t="s">
        <v>28</v>
      </c>
      <c r="B1004" s="2" t="s">
        <v>3907</v>
      </c>
      <c r="C1004" s="2" t="s">
        <v>4023</v>
      </c>
      <c r="D1004" s="2" t="s">
        <v>4108</v>
      </c>
      <c r="E1004" s="2" t="s">
        <v>4109</v>
      </c>
      <c r="F1004" s="2">
        <v>51.0</v>
      </c>
      <c r="G1004" s="2">
        <v>403.0</v>
      </c>
      <c r="H1004" s="2" t="b">
        <v>1</v>
      </c>
      <c r="I1004" s="2">
        <v>-1.0</v>
      </c>
      <c r="J1004" s="2" t="b">
        <v>0</v>
      </c>
      <c r="K1004" s="2" t="b">
        <v>0</v>
      </c>
      <c r="L1004" s="2" t="b">
        <v>0</v>
      </c>
      <c r="M1004" s="2" t="b">
        <v>0</v>
      </c>
      <c r="N1004" s="2" t="s">
        <v>33</v>
      </c>
      <c r="O1004" s="2">
        <v>34.0</v>
      </c>
      <c r="P1004" s="2">
        <v>0.0</v>
      </c>
      <c r="Q1004" s="2">
        <v>7.0</v>
      </c>
      <c r="R1004" s="2">
        <v>0.0</v>
      </c>
      <c r="S1004" s="3" t="s">
        <v>4110</v>
      </c>
      <c r="T1004" s="2" t="s">
        <v>4111</v>
      </c>
      <c r="Y1004" s="4" t="str">
        <f>IFERROR(__xludf.DUMMYFUNCTION("""COMPUTED_VALUE"""),"6.9272559")</f>
        <v>6.9272559</v>
      </c>
      <c r="Z1004" s="4" t="str">
        <f>IFERROR(__xludf.DUMMYFUNCTION("""COMPUTED_VALUE"""),"3.2163853")</f>
        <v>3.2163853</v>
      </c>
      <c r="AA1004" s="4" t="str">
        <f t="shared" si="1"/>
        <v>Not Neighbor</v>
      </c>
      <c r="AC1004" s="4">
        <f>IFERROR(__xludf.DUMMYFUNCTION("IFERROR(ABS(O1004-AVERAGE(FILTER(O1004:O5072,AA1004:AA5072=""Neighbor""))) / STDEV(FILTER(O1004:O5072, AA1004:AA5072 =""Neighbor"")), """")"),0.7190078781697442)</f>
        <v>0.7190078782</v>
      </c>
      <c r="AD1004" s="4">
        <f>IFERROR(__xludf.DUMMYFUNCTION("IFERROR(ABS(P1004-AVERAGE(FILTER(O1004:P5072,AA1004:AA5072=""Neighbor""))) / STDEV(FILTER(P1004:P5072, AA1004:AA5072 =""Neighbor"")), """")"),1.849850811155066)</f>
        <v>1.849850811</v>
      </c>
      <c r="AE1004" s="2">
        <f>IFERROR(__xludf.DUMMYFUNCTION("IFERROR(ABS(Q1004-AVERAGE(FILTER(Q1004:Q5072,AA1004:AA5072=""Neighbor""))) / STDEV(FILTER(Q1004:Q5072, AA1004:AA5072 =""Neighbor"")), """")"),0.7378807574803069)</f>
        <v>0.7378807575</v>
      </c>
      <c r="AF1004" s="2">
        <f>IFERROR(__xludf.DUMMYFUNCTION("IFERROR(ABS(R1004-AVERAGE(FILTER(R1004:R5072,AA1004:AA5072=""Neighbor""))) / STDEV(FILTER(R1004:R5072, AA1004:AA5072 =""Neighbor"")), """")"),0.24416654623167613)</f>
        <v>0.2441665462</v>
      </c>
    </row>
    <row r="1005">
      <c r="A1005" s="2" t="s">
        <v>28</v>
      </c>
      <c r="B1005" s="2" t="s">
        <v>3907</v>
      </c>
      <c r="C1005" s="2" t="s">
        <v>4023</v>
      </c>
      <c r="D1005" s="2" t="s">
        <v>4112</v>
      </c>
      <c r="E1005" s="2" t="s">
        <v>4113</v>
      </c>
      <c r="F1005" s="2">
        <v>233.0</v>
      </c>
      <c r="G1005" s="2">
        <v>2410.0</v>
      </c>
      <c r="H1005" s="2" t="b">
        <v>1</v>
      </c>
      <c r="I1005" s="2">
        <v>-1.0</v>
      </c>
      <c r="J1005" s="2" t="b">
        <v>1</v>
      </c>
      <c r="K1005" s="2" t="b">
        <v>0</v>
      </c>
      <c r="L1005" s="2" t="b">
        <v>0</v>
      </c>
      <c r="M1005" s="2" t="b">
        <v>0</v>
      </c>
      <c r="N1005" s="2" t="s">
        <v>33</v>
      </c>
      <c r="O1005" s="2">
        <v>113.0</v>
      </c>
      <c r="P1005" s="2">
        <v>46.0</v>
      </c>
      <c r="Q1005" s="2">
        <v>43.0</v>
      </c>
      <c r="R1005" s="2">
        <v>0.0</v>
      </c>
      <c r="S1005" s="3" t="s">
        <v>4114</v>
      </c>
      <c r="T1005" s="2" t="s">
        <v>4115</v>
      </c>
      <c r="Y1005" s="4" t="str">
        <f>IFERROR(__xludf.DUMMYFUNCTION("""COMPUTED_VALUE"""),"6.9141326")</f>
        <v>6.9141326</v>
      </c>
      <c r="Z1005" s="4" t="str">
        <f>IFERROR(__xludf.DUMMYFUNCTION("""COMPUTED_VALUE"""),"3.2168915")</f>
        <v>3.2168915</v>
      </c>
      <c r="AA1005" s="4" t="str">
        <f t="shared" si="1"/>
        <v>Not Neighbor</v>
      </c>
      <c r="AC1005" s="4">
        <f>IFERROR(__xludf.DUMMYFUNCTION("IFERROR(ABS(O1005-AVERAGE(FILTER(O1005:O5073,AA1005:AA5073=""Neighbor""))) / STDEV(FILTER(O1005:O5073, AA1005:AA5073 =""Neighbor"")), """")"),1.2019627016438021)</f>
        <v>1.201962702</v>
      </c>
      <c r="AD1005" s="4">
        <f>IFERROR(__xludf.DUMMYFUNCTION("IFERROR(ABS(P1005-AVERAGE(FILTER(O1005:P5073,AA1005:AA5073=""Neighbor""))) / STDEV(FILTER(P1005:P5073, AA1005:AA5073 =""Neighbor"")), """")"),0.2875274096537937)</f>
        <v>0.2875274097</v>
      </c>
      <c r="AE1005" s="2">
        <f>IFERROR(__xludf.DUMMYFUNCTION("IFERROR(ABS(Q1005-AVERAGE(FILTER(Q1005:Q5073,AA1005:AA5073=""Neighbor""))) / STDEV(FILTER(Q1005:Q5073, AA1005:AA5073 =""Neighbor"")), """")"),0.7609395311515663)</f>
        <v>0.7609395312</v>
      </c>
      <c r="AF1005" s="2">
        <f>IFERROR(__xludf.DUMMYFUNCTION("IFERROR(ABS(R1005-AVERAGE(FILTER(R1005:R5073,AA1005:AA5073=""Neighbor""))) / STDEV(FILTER(R1005:R5073, AA1005:AA5073 =""Neighbor"")), """")"),0.24416654623167613)</f>
        <v>0.2441665462</v>
      </c>
    </row>
    <row r="1006">
      <c r="A1006" s="2" t="s">
        <v>28</v>
      </c>
      <c r="B1006" s="2" t="s">
        <v>3907</v>
      </c>
      <c r="C1006" s="2" t="s">
        <v>4023</v>
      </c>
      <c r="D1006" s="2" t="s">
        <v>4116</v>
      </c>
      <c r="E1006" s="2" t="s">
        <v>4117</v>
      </c>
      <c r="F1006" s="2">
        <v>63.0</v>
      </c>
      <c r="G1006" s="2">
        <v>603.0</v>
      </c>
      <c r="H1006" s="2" t="b">
        <v>1</v>
      </c>
      <c r="I1006" s="2">
        <v>-1.0</v>
      </c>
      <c r="J1006" s="2" t="b">
        <v>0</v>
      </c>
      <c r="K1006" s="2" t="b">
        <v>1</v>
      </c>
      <c r="L1006" s="2" t="b">
        <v>0</v>
      </c>
      <c r="M1006" s="2" t="b">
        <v>0</v>
      </c>
      <c r="N1006" s="2" t="s">
        <v>33</v>
      </c>
      <c r="O1006" s="2">
        <v>49.0</v>
      </c>
      <c r="P1006" s="2">
        <v>4.0</v>
      </c>
      <c r="Q1006" s="2">
        <v>8.0</v>
      </c>
      <c r="R1006" s="2">
        <v>0.0</v>
      </c>
      <c r="S1006" s="3" t="s">
        <v>4118</v>
      </c>
      <c r="T1006" s="2" t="s">
        <v>4119</v>
      </c>
      <c r="Y1006" s="4" t="str">
        <f>IFERROR(__xludf.DUMMYFUNCTION("""COMPUTED_VALUE"""),"6.9310189")</f>
        <v>6.9310189</v>
      </c>
      <c r="Z1006" s="4" t="str">
        <f>IFERROR(__xludf.DUMMYFUNCTION("""COMPUTED_VALUE"""),"3.2461061")</f>
        <v>3.2461061</v>
      </c>
      <c r="AA1006" s="4" t="str">
        <f t="shared" si="1"/>
        <v>Not Neighbor</v>
      </c>
      <c r="AC1006" s="4">
        <f>IFERROR(__xludf.DUMMYFUNCTION("IFERROR(ABS(O1006-AVERAGE(FILTER(O1006:O5074,AA1006:AA5074=""Neighbor""))) / STDEV(FILTER(O1006:O5074, AA1006:AA5074 =""Neighbor"")), """")"),0.35426662883805815)</f>
        <v>0.3542666288</v>
      </c>
      <c r="AD1006" s="4">
        <f>IFERROR(__xludf.DUMMYFUNCTION("IFERROR(ABS(P1006-AVERAGE(FILTER(O1006:P5074,AA1006:AA5074=""Neighbor""))) / STDEV(FILTER(P1006:P5074, AA1006:AA5074 =""Neighbor"")), """")"),1.6639918354325565)</f>
        <v>1.663991835</v>
      </c>
      <c r="AE1006" s="2">
        <f>IFERROR(__xludf.DUMMYFUNCTION("IFERROR(ABS(Q1006-AVERAGE(FILTER(Q1006:Q5074,AA1006:AA5074=""Neighbor""))) / STDEV(FILTER(Q1006:Q5074, AA1006:AA5074 =""Neighbor"")), """")"),0.696246860573866)</f>
        <v>0.6962468606</v>
      </c>
      <c r="AF1006" s="2">
        <f>IFERROR(__xludf.DUMMYFUNCTION("IFERROR(ABS(R1006-AVERAGE(FILTER(R1006:R5074,AA1006:AA5074=""Neighbor""))) / STDEV(FILTER(R1006:R5074, AA1006:AA5074 =""Neighbor"")), """")"),0.24416654623167613)</f>
        <v>0.2441665462</v>
      </c>
    </row>
    <row r="1007">
      <c r="A1007" s="2" t="s">
        <v>28</v>
      </c>
      <c r="B1007" s="2" t="s">
        <v>3907</v>
      </c>
      <c r="C1007" s="2" t="s">
        <v>4120</v>
      </c>
      <c r="D1007" s="2" t="s">
        <v>4121</v>
      </c>
      <c r="E1007" s="2" t="s">
        <v>4122</v>
      </c>
      <c r="F1007" s="2">
        <v>149.0</v>
      </c>
      <c r="G1007" s="2">
        <v>661.0</v>
      </c>
      <c r="H1007" s="2" t="b">
        <v>1</v>
      </c>
      <c r="I1007" s="2">
        <v>-1.0</v>
      </c>
      <c r="J1007" s="2" t="b">
        <v>0</v>
      </c>
      <c r="K1007" s="2" t="b">
        <v>0</v>
      </c>
      <c r="L1007" s="2" t="b">
        <v>0</v>
      </c>
      <c r="M1007" s="2" t="b">
        <v>0</v>
      </c>
      <c r="N1007" s="2" t="s">
        <v>33</v>
      </c>
      <c r="O1007" s="2">
        <v>68.0</v>
      </c>
      <c r="P1007" s="2">
        <v>15.0</v>
      </c>
      <c r="Q1007" s="2">
        <v>39.0</v>
      </c>
      <c r="R1007" s="2">
        <v>0.0</v>
      </c>
      <c r="S1007" s="3" t="s">
        <v>4123</v>
      </c>
      <c r="T1007" s="2" t="s">
        <v>4124</v>
      </c>
      <c r="Y1007" s="4" t="str">
        <f>IFERROR(__xludf.DUMMYFUNCTION("""COMPUTED_VALUE"""),"6.9609479")</f>
        <v>6.9609479</v>
      </c>
      <c r="Z1007" s="4" t="str">
        <f>IFERROR(__xludf.DUMMYFUNCTION("""COMPUTED_VALUE"""),"3.1807901")</f>
        <v>3.1807901</v>
      </c>
      <c r="AA1007" s="4" t="str">
        <f t="shared" si="1"/>
        <v>Not Neighbor</v>
      </c>
      <c r="AC1007" s="4">
        <f>IFERROR(__xludf.DUMMYFUNCTION("IFERROR(ABS(O1007-AVERAGE(FILTER(O1007:O5075,AA1007:AA5075=""Neighbor""))) / STDEV(FILTER(O1007:O5075, AA1007:AA5075 =""Neighbor"")), """")"),0.10773895364874414)</f>
        <v>0.1077389536</v>
      </c>
      <c r="AD1007" s="4">
        <f>IFERROR(__xludf.DUMMYFUNCTION("IFERROR(ABS(P1007-AVERAGE(FILTER(O1007:P5075,AA1007:AA5075=""Neighbor""))) / STDEV(FILTER(P1007:P5075, AA1007:AA5075 =""Neighbor"")), """")"),1.1528796521956552)</f>
        <v>1.152879652</v>
      </c>
      <c r="AE1007" s="2">
        <f>IFERROR(__xludf.DUMMYFUNCTION("IFERROR(ABS(Q1007-AVERAGE(FILTER(Q1007:Q5075,AA1007:AA5075=""Neighbor""))) / STDEV(FILTER(Q1007:Q5075, AA1007:AA5075 =""Neighbor"")), """")"),0.5944039435258026)</f>
        <v>0.5944039435</v>
      </c>
      <c r="AF1007" s="2">
        <f>IFERROR(__xludf.DUMMYFUNCTION("IFERROR(ABS(R1007-AVERAGE(FILTER(R1007:R5075,AA1007:AA5075=""Neighbor""))) / STDEV(FILTER(R1007:R5075, AA1007:AA5075 =""Neighbor"")), """")"),0.24416654623167613)</f>
        <v>0.2441665462</v>
      </c>
    </row>
    <row r="1008">
      <c r="A1008" s="2" t="s">
        <v>28</v>
      </c>
      <c r="B1008" s="2" t="s">
        <v>3907</v>
      </c>
      <c r="C1008" s="2" t="s">
        <v>4120</v>
      </c>
      <c r="D1008" s="2" t="s">
        <v>4125</v>
      </c>
      <c r="E1008" s="2" t="s">
        <v>4126</v>
      </c>
      <c r="F1008" s="2">
        <v>85.0</v>
      </c>
      <c r="G1008" s="2">
        <v>529.0</v>
      </c>
      <c r="H1008" s="2" t="b">
        <v>1</v>
      </c>
      <c r="I1008" s="2">
        <v>-1.0</v>
      </c>
      <c r="J1008" s="2" t="b">
        <v>0</v>
      </c>
      <c r="K1008" s="2" t="b">
        <v>1</v>
      </c>
      <c r="L1008" s="2" t="b">
        <v>0</v>
      </c>
      <c r="M1008" s="2" t="b">
        <v>0</v>
      </c>
      <c r="N1008" s="2" t="s">
        <v>33</v>
      </c>
      <c r="O1008" s="2">
        <v>28.0</v>
      </c>
      <c r="P1008" s="2">
        <v>18.0</v>
      </c>
      <c r="Q1008" s="2">
        <v>25.0</v>
      </c>
      <c r="R1008" s="2">
        <v>0.0</v>
      </c>
      <c r="S1008" s="3" t="s">
        <v>4127</v>
      </c>
      <c r="T1008" s="2" t="s">
        <v>4128</v>
      </c>
      <c r="Y1008" s="4" t="str">
        <f>IFERROR(__xludf.DUMMYFUNCTION("""COMPUTED_VALUE"""),"6.9714881")</f>
        <v>6.9714881</v>
      </c>
      <c r="Z1008" s="4" t="str">
        <f>IFERROR(__xludf.DUMMYFUNCTION("""COMPUTED_VALUE"""),"3.1585148")</f>
        <v>3.1585148</v>
      </c>
      <c r="AA1008" s="4" t="str">
        <f t="shared" si="1"/>
        <v>Neighbor</v>
      </c>
      <c r="AC1008" s="4">
        <f>IFERROR(__xludf.DUMMYFUNCTION("IFERROR(ABS(O1008-AVERAGE(FILTER(O1008:O5076,AA1008:AA5076=""Neighbor""))) / STDEV(FILTER(O1008:O5076, AA1008:AA5076 =""Neighbor"")), """")"),0.8649043779024186)</f>
        <v>0.8649043779</v>
      </c>
      <c r="AD1008" s="4">
        <f>IFERROR(__xludf.DUMMYFUNCTION("IFERROR(ABS(P1008-AVERAGE(FILTER(O1008:P5076,AA1008:AA5076=""Neighbor""))) / STDEV(FILTER(P1008:P5076, AA1008:AA5076 =""Neighbor"")), """")"),1.013485420403773)</f>
        <v>1.01348542</v>
      </c>
      <c r="AE1008" s="2">
        <f>IFERROR(__xludf.DUMMYFUNCTION("IFERROR(ABS(Q1008-AVERAGE(FILTER(Q1008:Q5076,AA1008:AA5076=""Neighbor""))) / STDEV(FILTER(Q1008:Q5076, AA1008:AA5076 =""Neighbor"")), """")"),0.011529386835629754)</f>
        <v>0.01152938684</v>
      </c>
      <c r="AF1008" s="2">
        <f>IFERROR(__xludf.DUMMYFUNCTION("IFERROR(ABS(R1008-AVERAGE(FILTER(R1008:R5076,AA1008:AA5076=""Neighbor""))) / STDEV(FILTER(R1008:R5076, AA1008:AA5076 =""Neighbor"")), """")"),0.24416654623167613)</f>
        <v>0.2441665462</v>
      </c>
    </row>
    <row r="1009">
      <c r="A1009" s="2" t="s">
        <v>28</v>
      </c>
      <c r="B1009" s="2" t="s">
        <v>3907</v>
      </c>
      <c r="C1009" s="2" t="s">
        <v>4120</v>
      </c>
      <c r="D1009" s="2" t="s">
        <v>4129</v>
      </c>
      <c r="E1009" s="2" t="s">
        <v>4130</v>
      </c>
      <c r="F1009" s="2">
        <v>60.0</v>
      </c>
      <c r="G1009" s="2">
        <v>317.0</v>
      </c>
      <c r="H1009" s="2" t="b">
        <v>1</v>
      </c>
      <c r="I1009" s="2">
        <v>-1.0</v>
      </c>
      <c r="J1009" s="2" t="b">
        <v>0</v>
      </c>
      <c r="K1009" s="2" t="b">
        <v>0</v>
      </c>
      <c r="L1009" s="2" t="b">
        <v>0</v>
      </c>
      <c r="M1009" s="2" t="b">
        <v>0</v>
      </c>
      <c r="N1009" s="2" t="s">
        <v>33</v>
      </c>
      <c r="O1009" s="2">
        <v>17.0</v>
      </c>
      <c r="P1009" s="2">
        <v>13.0</v>
      </c>
      <c r="Q1009" s="2">
        <v>18.0</v>
      </c>
      <c r="R1009" s="2">
        <v>0.0</v>
      </c>
      <c r="S1009" s="3" t="s">
        <v>4131</v>
      </c>
      <c r="T1009" s="2" t="s">
        <v>4132</v>
      </c>
      <c r="Y1009" s="4" t="str">
        <f>IFERROR(__xludf.DUMMYFUNCTION("""COMPUTED_VALUE"""),"6.9714881")</f>
        <v>6.9714881</v>
      </c>
      <c r="Z1009" s="4" t="str">
        <f>IFERROR(__xludf.DUMMYFUNCTION("""COMPUTED_VALUE"""),"3.1585148")</f>
        <v>3.1585148</v>
      </c>
      <c r="AA1009" s="4" t="str">
        <f t="shared" si="1"/>
        <v>Neighbor</v>
      </c>
      <c r="AC1009" s="4">
        <f>IFERROR(__xludf.DUMMYFUNCTION("IFERROR(ABS(O1009-AVERAGE(FILTER(O1009:O5077,AA1009:AA5077=""Neighbor""))) / STDEV(FILTER(O1009:O5077, AA1009:AA5077 =""Neighbor"")), """")"),1.1329374229684308)</f>
        <v>1.132937423</v>
      </c>
      <c r="AD1009" s="4">
        <f>IFERROR(__xludf.DUMMYFUNCTION("IFERROR(ABS(P1009-AVERAGE(FILTER(O1009:P5077,AA1009:AA5077=""Neighbor""))) / STDEV(FILTER(P1009:P5077, AA1009:AA5077 =""Neighbor"")), """")"),1.245934567661238)</f>
        <v>1.245934568</v>
      </c>
      <c r="AE1009" s="2">
        <f>IFERROR(__xludf.DUMMYFUNCTION("IFERROR(ABS(Q1009-AVERAGE(FILTER(Q1009:Q5077,AA1009:AA5077=""Neighbor""))) / STDEV(FILTER(Q1009:Q5077, AA1009:AA5077 =""Neighbor"")), """")"),0.2797912731652954)</f>
        <v>0.2797912732</v>
      </c>
      <c r="AF1009" s="2">
        <f>IFERROR(__xludf.DUMMYFUNCTION("IFERROR(ABS(R1009-AVERAGE(FILTER(R1009:R5077,AA1009:AA5077=""Neighbor""))) / STDEV(FILTER(R1009:R5077, AA1009:AA5077 =""Neighbor"")), """")"),0.2442660479238957)</f>
        <v>0.2442660479</v>
      </c>
    </row>
    <row r="1010">
      <c r="A1010" s="2" t="s">
        <v>28</v>
      </c>
      <c r="B1010" s="2" t="s">
        <v>3907</v>
      </c>
      <c r="C1010" s="2" t="s">
        <v>4120</v>
      </c>
      <c r="D1010" s="2" t="s">
        <v>4133</v>
      </c>
      <c r="E1010" s="2" t="s">
        <v>4134</v>
      </c>
      <c r="F1010" s="2">
        <v>117.0</v>
      </c>
      <c r="G1010" s="2">
        <v>688.0</v>
      </c>
      <c r="H1010" s="2" t="b">
        <v>1</v>
      </c>
      <c r="I1010" s="2">
        <v>-1.0</v>
      </c>
      <c r="J1010" s="2" t="b">
        <v>0</v>
      </c>
      <c r="K1010" s="2" t="b">
        <v>1</v>
      </c>
      <c r="L1010" s="2" t="b">
        <v>0</v>
      </c>
      <c r="M1010" s="2" t="b">
        <v>0</v>
      </c>
      <c r="N1010" s="2" t="s">
        <v>33</v>
      </c>
      <c r="O1010" s="2">
        <v>55.0</v>
      </c>
      <c r="P1010" s="2">
        <v>4.0</v>
      </c>
      <c r="Q1010" s="2">
        <v>53.0</v>
      </c>
      <c r="R1010" s="2">
        <v>0.0</v>
      </c>
      <c r="S1010" s="3" t="s">
        <v>4135</v>
      </c>
      <c r="T1010" s="2" t="s">
        <v>4136</v>
      </c>
      <c r="Y1010" s="4" t="str">
        <f>IFERROR(__xludf.DUMMYFUNCTION("""COMPUTED_VALUE"""),"6.9652156")</f>
        <v>6.9652156</v>
      </c>
      <c r="Z1010" s="4" t="str">
        <f>IFERROR(__xludf.DUMMYFUNCTION("""COMPUTED_VALUE"""),"3.1565544")</f>
        <v>3.1565544</v>
      </c>
      <c r="AA1010" s="4" t="str">
        <f t="shared" si="1"/>
        <v>Not Neighbor</v>
      </c>
      <c r="AC1010" s="4">
        <f>IFERROR(__xludf.DUMMYFUNCTION("IFERROR(ABS(O1010-AVERAGE(FILTER(O1010:O5078,AA1010:AA5078=""Neighbor""))) / STDEV(FILTER(O1010:O5078, AA1010:AA5078 =""Neighbor"")), """")"),0.209911574445264)</f>
        <v>0.2099115744</v>
      </c>
      <c r="AD1010" s="4">
        <f>IFERROR(__xludf.DUMMYFUNCTION("IFERROR(ABS(P1010-AVERAGE(FILTER(O1010:P5078,AA1010:AA5078=""Neighbor""))) / STDEV(FILTER(P1010:P5078, AA1010:AA5078 =""Neighbor"")), """")"),1.6642173714128672)</f>
        <v>1.664217371</v>
      </c>
      <c r="AE1010" s="2">
        <f>IFERROR(__xludf.DUMMYFUNCTION("IFERROR(ABS(Q1010-AVERAGE(FILTER(Q1010:Q5078,AA1010:AA5078=""Neighbor""))) / STDEV(FILTER(Q1010:Q5078, AA1010:AA5078 =""Neighbor"")), """")"),1.176200808011315)</f>
        <v>1.176200808</v>
      </c>
      <c r="AF1010" s="2">
        <f>IFERROR(__xludf.DUMMYFUNCTION("IFERROR(ABS(R1010-AVERAGE(FILTER(R1010:R5078,AA1010:AA5078=""Neighbor""))) / STDEV(FILTER(R1010:R5078, AA1010:AA5078 =""Neighbor"")), """")"),0.24436567136742054)</f>
        <v>0.2443656714</v>
      </c>
    </row>
    <row r="1011">
      <c r="A1011" s="2" t="s">
        <v>28</v>
      </c>
      <c r="B1011" s="2" t="s">
        <v>3907</v>
      </c>
      <c r="C1011" s="2" t="s">
        <v>4120</v>
      </c>
      <c r="D1011" s="2" t="s">
        <v>4137</v>
      </c>
      <c r="E1011" s="2" t="s">
        <v>4138</v>
      </c>
      <c r="F1011" s="2">
        <v>171.0</v>
      </c>
      <c r="G1011" s="2">
        <v>840.0</v>
      </c>
      <c r="H1011" s="2" t="b">
        <v>1</v>
      </c>
      <c r="I1011" s="2">
        <v>-1.0</v>
      </c>
      <c r="J1011" s="2" t="b">
        <v>0</v>
      </c>
      <c r="K1011" s="2" t="b">
        <v>0</v>
      </c>
      <c r="L1011" s="2" t="b">
        <v>0</v>
      </c>
      <c r="M1011" s="2" t="b">
        <v>0</v>
      </c>
      <c r="N1011" s="2" t="s">
        <v>33</v>
      </c>
      <c r="O1011" s="2">
        <v>77.0</v>
      </c>
      <c r="P1011" s="2">
        <v>23.0</v>
      </c>
      <c r="Q1011" s="2">
        <v>32.0</v>
      </c>
      <c r="R1011" s="2">
        <v>1.0</v>
      </c>
      <c r="S1011" s="3" t="s">
        <v>4139</v>
      </c>
      <c r="T1011" s="2" t="s">
        <v>4140</v>
      </c>
      <c r="Y1011" s="4" t="str">
        <f>IFERROR(__xludf.DUMMYFUNCTION("""COMPUTED_VALUE"""),"6.9690053")</f>
        <v>6.9690053</v>
      </c>
      <c r="Z1011" s="4" t="str">
        <f>IFERROR(__xludf.DUMMYFUNCTION("""COMPUTED_VALUE"""),"3.1284123")</f>
        <v>3.1284123</v>
      </c>
      <c r="AA1011" s="4" t="str">
        <f t="shared" si="1"/>
        <v>Neighbor</v>
      </c>
      <c r="AC1011" s="4">
        <f>IFERROR(__xludf.DUMMYFUNCTION("IFERROR(ABS(O1011-AVERAGE(FILTER(O1011:O5079,AA1011:AA5079=""Neighbor""))) / STDEV(FILTER(O1011:O5079, AA1011:AA5079 =""Neighbor"")), """")"),0.32504915021863257)</f>
        <v>0.3250491502</v>
      </c>
      <c r="AD1011" s="4">
        <f>IFERROR(__xludf.DUMMYFUNCTION("IFERROR(ABS(P1011-AVERAGE(FILTER(O1011:P5079,AA1011:AA5079=""Neighbor""))) / STDEV(FILTER(P1011:P5079, AA1011:AA5079 =""Neighbor"")), """")"),0.782057506096339)</f>
        <v>0.7820575061</v>
      </c>
      <c r="AE1011" s="2">
        <f>IFERROR(__xludf.DUMMYFUNCTION("IFERROR(ABS(Q1011-AVERAGE(FILTER(Q1011:Q5079,AA1011:AA5079=""Neighbor""))) / STDEV(FILTER(Q1011:Q5079, AA1011:AA5079 =""Neighbor"")), """")"),0.30253588649804625)</f>
        <v>0.3025358865</v>
      </c>
      <c r="AF1011" s="2">
        <f>IFERROR(__xludf.DUMMYFUNCTION("IFERROR(ABS(R1011-AVERAGE(FILTER(R1011:R5079,AA1011:AA5079=""Neighbor""))) / STDEV(FILTER(R1011:R5079, AA1011:AA5079 =""Neighbor"")), """")"),0.49846018679396553)</f>
        <v>0.4984601868</v>
      </c>
    </row>
    <row r="1012">
      <c r="A1012" s="2" t="s">
        <v>28</v>
      </c>
      <c r="B1012" s="2" t="s">
        <v>3907</v>
      </c>
      <c r="C1012" s="2" t="s">
        <v>4120</v>
      </c>
      <c r="D1012" s="2" t="s">
        <v>4141</v>
      </c>
      <c r="E1012" s="2" t="s">
        <v>4142</v>
      </c>
      <c r="F1012" s="2">
        <v>139.0</v>
      </c>
      <c r="G1012" s="2">
        <v>833.0</v>
      </c>
      <c r="H1012" s="2" t="b">
        <v>1</v>
      </c>
      <c r="I1012" s="2">
        <v>-1.0</v>
      </c>
      <c r="J1012" s="2" t="b">
        <v>0</v>
      </c>
      <c r="K1012" s="2" t="b">
        <v>0</v>
      </c>
      <c r="L1012" s="2" t="b">
        <v>0</v>
      </c>
      <c r="M1012" s="2" t="b">
        <v>0</v>
      </c>
      <c r="N1012" s="2" t="s">
        <v>33</v>
      </c>
      <c r="O1012" s="2">
        <v>79.0</v>
      </c>
      <c r="P1012" s="2">
        <v>16.0</v>
      </c>
      <c r="Q1012" s="2">
        <v>30.0</v>
      </c>
      <c r="R1012" s="2">
        <v>0.0</v>
      </c>
      <c r="S1012" s="3" t="s">
        <v>4143</v>
      </c>
      <c r="T1012" s="2" t="s">
        <v>4144</v>
      </c>
      <c r="Y1012" s="4" t="str">
        <f>IFERROR(__xludf.DUMMYFUNCTION("""COMPUTED_VALUE"""),"6.9690053")</f>
        <v>6.9690053</v>
      </c>
      <c r="Z1012" s="4" t="str">
        <f>IFERROR(__xludf.DUMMYFUNCTION("""COMPUTED_VALUE"""),"3.1284123")</f>
        <v>3.1284123</v>
      </c>
      <c r="AA1012" s="4" t="str">
        <f t="shared" si="1"/>
        <v>Not Neighbor</v>
      </c>
      <c r="AC1012" s="4">
        <f>IFERROR(__xludf.DUMMYFUNCTION("IFERROR(ABS(O1012-AVERAGE(FILTER(O1012:O5080,AA1012:AA5080=""Neighbor""))) / STDEV(FILTER(O1012:O5080, AA1012:AA5080 =""Neighbor"")), """")"),0.37380361640124654)</f>
        <v>0.3738036164</v>
      </c>
      <c r="AD1012" s="4">
        <f>IFERROR(__xludf.DUMMYFUNCTION("IFERROR(ABS(P1012-AVERAGE(FILTER(O1012:P5080,AA1012:AA5080=""Neighbor""))) / STDEV(FILTER(P1012:P5080, AA1012:AA5080 =""Neighbor"")), """")"),1.106317864711775)</f>
        <v>1.106317865</v>
      </c>
      <c r="AE1012" s="2">
        <f>IFERROR(__xludf.DUMMYFUNCTION("IFERROR(ABS(Q1012-AVERAGE(FILTER(Q1012:Q5080,AA1012:AA5080=""Neighbor""))) / STDEV(FILTER(Q1012:Q5080, AA1012:AA5080 =""Neighbor"")), """")"),0.21948605331514398)</f>
        <v>0.2194860533</v>
      </c>
      <c r="AF1012" s="2">
        <f>IFERROR(__xludf.DUMMYFUNCTION("IFERROR(ABS(R1012-AVERAGE(FILTER(R1012:R5080,AA1012:AA5080=""Neighbor""))) / STDEV(FILTER(R1012:R5080, AA1012:AA5080 =""Neighbor"")), """")"),0.24391066116149526)</f>
        <v>0.2439106612</v>
      </c>
    </row>
    <row r="1013">
      <c r="A1013" s="2" t="s">
        <v>28</v>
      </c>
      <c r="B1013" s="2" t="s">
        <v>3907</v>
      </c>
      <c r="C1013" s="2" t="s">
        <v>4120</v>
      </c>
      <c r="D1013" s="2" t="s">
        <v>4145</v>
      </c>
      <c r="E1013" s="2" t="s">
        <v>4146</v>
      </c>
      <c r="F1013" s="2">
        <v>160.0</v>
      </c>
      <c r="G1013" s="2">
        <v>662.0</v>
      </c>
      <c r="H1013" s="2" t="b">
        <v>1</v>
      </c>
      <c r="I1013" s="2">
        <v>-1.0</v>
      </c>
      <c r="J1013" s="2" t="b">
        <v>0</v>
      </c>
      <c r="K1013" s="2" t="b">
        <v>0</v>
      </c>
      <c r="L1013" s="2" t="b">
        <v>0</v>
      </c>
      <c r="M1013" s="2" t="b">
        <v>0</v>
      </c>
      <c r="N1013" s="2" t="s">
        <v>33</v>
      </c>
      <c r="O1013" s="2">
        <v>90.0</v>
      </c>
      <c r="P1013" s="2">
        <v>2.0</v>
      </c>
      <c r="Q1013" s="2">
        <v>54.0</v>
      </c>
      <c r="R1013" s="2">
        <v>0.0</v>
      </c>
      <c r="S1013" s="3" t="s">
        <v>4147</v>
      </c>
      <c r="T1013" s="2" t="s">
        <v>4148</v>
      </c>
      <c r="Y1013" s="4" t="str">
        <f>IFERROR(__xludf.DUMMYFUNCTION("""COMPUTED_VALUE"""),"6.9882221")</f>
        <v>6.9882221</v>
      </c>
      <c r="Z1013" s="4" t="str">
        <f>IFERROR(__xludf.DUMMYFUNCTION("""COMPUTED_VALUE"""),"3.112428")</f>
        <v>3.112428</v>
      </c>
      <c r="AA1013" s="4" t="str">
        <f t="shared" si="1"/>
        <v>Not Neighbor</v>
      </c>
      <c r="AC1013" s="4">
        <f>IFERROR(__xludf.DUMMYFUNCTION("IFERROR(ABS(O1013-AVERAGE(FILTER(O1013:O5081,AA1013:AA5081=""Neighbor""))) / STDEV(FILTER(O1013:O5081, AA1013:AA5081 =""Neighbor"")), """")"),0.6411917435106265)</f>
        <v>0.6411917435</v>
      </c>
      <c r="AD1013" s="4">
        <f>IFERROR(__xludf.DUMMYFUNCTION("IFERROR(ABS(P1013-AVERAGE(FILTER(O1013:P5081,AA1013:AA5081=""Neighbor""))) / STDEV(FILTER(P1013:P5081, AA1013:AA5081 =""Neighbor"")), """")"),1.7561058282716855)</f>
        <v>1.756105828</v>
      </c>
      <c r="AE1013" s="2">
        <f>IFERROR(__xludf.DUMMYFUNCTION("IFERROR(ABS(Q1013-AVERAGE(FILTER(Q1013:Q5081,AA1013:AA5081=""Neighbor""))) / STDEV(FILTER(Q1013:Q5081, AA1013:AA5081 =""Neighbor"")), """")"),1.217610504388015)</f>
        <v>1.217610504</v>
      </c>
      <c r="AF1013" s="2">
        <f>IFERROR(__xludf.DUMMYFUNCTION("IFERROR(ABS(R1013-AVERAGE(FILTER(R1013:R5081,AA1013:AA5081=""Neighbor""))) / STDEV(FILTER(R1013:R5081, AA1013:AA5081 =""Neighbor"")), """")"),0.24391066116149526)</f>
        <v>0.2439106612</v>
      </c>
    </row>
    <row r="1014">
      <c r="A1014" s="2" t="s">
        <v>28</v>
      </c>
      <c r="B1014" s="2" t="s">
        <v>3907</v>
      </c>
      <c r="C1014" s="2" t="s">
        <v>4120</v>
      </c>
      <c r="D1014" s="2" t="s">
        <v>4149</v>
      </c>
      <c r="E1014" s="2" t="s">
        <v>4150</v>
      </c>
      <c r="F1014" s="2">
        <v>155.0</v>
      </c>
      <c r="G1014" s="2">
        <v>599.0</v>
      </c>
      <c r="H1014" s="2" t="b">
        <v>1</v>
      </c>
      <c r="I1014" s="2">
        <v>-1.0</v>
      </c>
      <c r="J1014" s="2" t="b">
        <v>0</v>
      </c>
      <c r="K1014" s="2" t="b">
        <v>0</v>
      </c>
      <c r="L1014" s="2" t="b">
        <v>0</v>
      </c>
      <c r="M1014" s="2" t="b">
        <v>0</v>
      </c>
      <c r="N1014" s="2" t="s">
        <v>33</v>
      </c>
      <c r="O1014" s="2">
        <v>49.0</v>
      </c>
      <c r="P1014" s="2">
        <v>4.0</v>
      </c>
      <c r="Q1014" s="2">
        <v>94.0</v>
      </c>
      <c r="R1014" s="2">
        <v>0.0</v>
      </c>
      <c r="S1014" s="3" t="s">
        <v>4151</v>
      </c>
      <c r="T1014" s="2" t="s">
        <v>4152</v>
      </c>
      <c r="Y1014" s="4" t="str">
        <f>IFERROR(__xludf.DUMMYFUNCTION("""COMPUTED_VALUE"""),"7.0111117")</f>
        <v>7.0111117</v>
      </c>
      <c r="Z1014" s="4" t="str">
        <f>IFERROR(__xludf.DUMMYFUNCTION("""COMPUTED_VALUE"""),"3.0998949")</f>
        <v>3.0998949</v>
      </c>
      <c r="AA1014" s="4" t="str">
        <f t="shared" si="1"/>
        <v>Not Neighbor</v>
      </c>
      <c r="AC1014" s="4">
        <f>IFERROR(__xludf.DUMMYFUNCTION("IFERROR(ABS(O1014-AVERAGE(FILTER(O1014:O5082,AA1014:AA5082=""Neighbor""))) / STDEV(FILTER(O1014:O5082, AA1014:AA5082 =""Neighbor"")), """")"),0.3554367302606988)</f>
        <v>0.3554367303</v>
      </c>
      <c r="AD1014" s="4">
        <f>IFERROR(__xludf.DUMMYFUNCTION("IFERROR(ABS(P1014-AVERAGE(FILTER(O1014:P5082,AA1014:AA5082=""Neighbor""))) / STDEV(FILTER(P1014:P5082, AA1014:AA5082 =""Neighbor"")), """")"),1.6632789763345555)</f>
        <v>1.663278976</v>
      </c>
      <c r="AE1014" s="2">
        <f>IFERROR(__xludf.DUMMYFUNCTION("IFERROR(ABS(Q1014-AVERAGE(FILTER(Q1014:Q5082,AA1014:AA5082=""Neighbor""))) / STDEV(FILTER(Q1014:Q5082, AA1014:AA5082 =""Neighbor"")), """")"),2.8811512561761337)</f>
        <v>2.881151256</v>
      </c>
      <c r="AF1014" s="2">
        <f>IFERROR(__xludf.DUMMYFUNCTION("IFERROR(ABS(R1014-AVERAGE(FILTER(R1014:R5082,AA1014:AA5082=""Neighbor""))) / STDEV(FILTER(R1014:R5082, AA1014:AA5082 =""Neighbor"")), """")"),0.24391066116149526)</f>
        <v>0.2439106612</v>
      </c>
    </row>
    <row r="1015">
      <c r="A1015" s="2" t="s">
        <v>28</v>
      </c>
      <c r="B1015" s="2" t="s">
        <v>3907</v>
      </c>
      <c r="C1015" s="2" t="s">
        <v>4120</v>
      </c>
      <c r="D1015" s="2" t="s">
        <v>4153</v>
      </c>
      <c r="E1015" s="2" t="s">
        <v>4154</v>
      </c>
      <c r="F1015" s="2">
        <v>56.0</v>
      </c>
      <c r="G1015" s="2">
        <v>135.0</v>
      </c>
      <c r="H1015" s="2" t="b">
        <v>1</v>
      </c>
      <c r="I1015" s="2">
        <v>-1.0</v>
      </c>
      <c r="J1015" s="2" t="b">
        <v>1</v>
      </c>
      <c r="K1015" s="2" t="b">
        <v>0</v>
      </c>
      <c r="L1015" s="2" t="b">
        <v>0</v>
      </c>
      <c r="M1015" s="2" t="b">
        <v>0</v>
      </c>
      <c r="N1015" s="2" t="s">
        <v>33</v>
      </c>
      <c r="O1015" s="2">
        <v>40.0</v>
      </c>
      <c r="P1015" s="2">
        <v>0.0</v>
      </c>
      <c r="Q1015" s="2">
        <v>11.0</v>
      </c>
      <c r="R1015" s="2">
        <v>0.0</v>
      </c>
      <c r="S1015" s="3" t="s">
        <v>4155</v>
      </c>
      <c r="T1015" s="2" t="s">
        <v>4156</v>
      </c>
      <c r="Y1015" s="4" t="str">
        <f>IFERROR(__xludf.DUMMYFUNCTION("""COMPUTED_VALUE"""),"6.9638143")</f>
        <v>6.9638143</v>
      </c>
      <c r="Z1015" s="4" t="str">
        <f>IFERROR(__xludf.DUMMYFUNCTION("""COMPUTED_VALUE"""),"3.0762477")</f>
        <v>3.0762477</v>
      </c>
      <c r="AA1015" s="4" t="str">
        <f t="shared" si="1"/>
        <v>Not Neighbor</v>
      </c>
      <c r="AC1015" s="4">
        <f>IFERROR(__xludf.DUMMYFUNCTION("IFERROR(ABS(O1015-AVERAGE(FILTER(O1015:O5083,AA1015:AA5083=""Neighbor""))) / STDEV(FILTER(O1015:O5083, AA1015:AA5083 =""Neighbor"")), """")"),0.5742088342592824)</f>
        <v>0.5742088343</v>
      </c>
      <c r="AD1015" s="4">
        <f>IFERROR(__xludf.DUMMYFUNCTION("IFERROR(ABS(P1015-AVERAGE(FILTER(O1015:P5083,AA1015:AA5083=""Neighbor""))) / STDEV(FILTER(P1015:P5083, AA1015:AA5083 =""Neighbor"")), """")"),1.8489326802088155)</f>
        <v>1.84893268</v>
      </c>
      <c r="AE1015" s="2">
        <f>IFERROR(__xludf.DUMMYFUNCTION("IFERROR(ABS(Q1015-AVERAGE(FILTER(Q1015:Q5083,AA1015:AA5083=""Neighbor""))) / STDEV(FILTER(Q1015:Q5083, AA1015:AA5083 =""Neighbor"")), """")"),0.5706958037842123)</f>
        <v>0.5706958038</v>
      </c>
      <c r="AF1015" s="2">
        <f>IFERROR(__xludf.DUMMYFUNCTION("IFERROR(ABS(R1015-AVERAGE(FILTER(R1015:R5083,AA1015:AA5083=""Neighbor""))) / STDEV(FILTER(R1015:R5083, AA1015:AA5083 =""Neighbor"")), """")"),0.24391066116149526)</f>
        <v>0.2439106612</v>
      </c>
    </row>
    <row r="1016">
      <c r="A1016" s="2" t="s">
        <v>28</v>
      </c>
      <c r="B1016" s="2" t="s">
        <v>3907</v>
      </c>
      <c r="C1016" s="2" t="s">
        <v>4120</v>
      </c>
      <c r="D1016" s="2" t="s">
        <v>4157</v>
      </c>
      <c r="E1016" s="2" t="s">
        <v>4158</v>
      </c>
      <c r="F1016" s="2">
        <v>73.0</v>
      </c>
      <c r="G1016" s="2">
        <v>371.0</v>
      </c>
      <c r="H1016" s="2" t="b">
        <v>1</v>
      </c>
      <c r="I1016" s="2">
        <v>-1.0</v>
      </c>
      <c r="J1016" s="2" t="b">
        <v>0</v>
      </c>
      <c r="K1016" s="2" t="b">
        <v>0</v>
      </c>
      <c r="L1016" s="2" t="b">
        <v>0</v>
      </c>
      <c r="M1016" s="2" t="b">
        <v>0</v>
      </c>
      <c r="N1016" s="2" t="s">
        <v>33</v>
      </c>
      <c r="O1016" s="2">
        <v>47.0</v>
      </c>
      <c r="P1016" s="2">
        <v>5.0</v>
      </c>
      <c r="Q1016" s="2">
        <v>18.0</v>
      </c>
      <c r="R1016" s="2">
        <v>0.0</v>
      </c>
      <c r="S1016" s="3" t="s">
        <v>4159</v>
      </c>
      <c r="T1016" s="2" t="s">
        <v>4160</v>
      </c>
      <c r="Y1016" s="4" t="str">
        <f>IFERROR(__xludf.DUMMYFUNCTION("""COMPUTED_VALUE"""),"6.9714881")</f>
        <v>6.9714881</v>
      </c>
      <c r="Z1016" s="4" t="str">
        <f>IFERROR(__xludf.DUMMYFUNCTION("""COMPUTED_VALUE"""),"3.1585148")</f>
        <v>3.1585148</v>
      </c>
      <c r="AA1016" s="4" t="str">
        <f t="shared" si="1"/>
        <v>Neighbor</v>
      </c>
      <c r="AC1016" s="4">
        <f>IFERROR(__xludf.DUMMYFUNCTION("IFERROR(ABS(O1016-AVERAGE(FILTER(O1016:O5084,AA1016:AA5084=""Neighbor""))) / STDEV(FILTER(O1016:O5084, AA1016:AA5084 =""Neighbor"")), """")"),0.4040527533714951)</f>
        <v>0.4040527534</v>
      </c>
      <c r="AD1016" s="4">
        <f>IFERROR(__xludf.DUMMYFUNCTION("IFERROR(ABS(P1016-AVERAGE(FILTER(O1016:P5084,AA1016:AA5084=""Neighbor""))) / STDEV(FILTER(P1016:P5084, AA1016:AA5084 =""Neighbor"")), """")"),1.6168655503659903)</f>
        <v>1.61686555</v>
      </c>
      <c r="AE1016" s="2">
        <f>IFERROR(__xludf.DUMMYFUNCTION("IFERROR(ABS(Q1016-AVERAGE(FILTER(Q1016:Q5084,AA1016:AA5084=""Neighbor""))) / STDEV(FILTER(Q1016:Q5084, AA1016:AA5084 =""Neighbor"")), """")"),0.27957617222129155)</f>
        <v>0.2795761722</v>
      </c>
      <c r="AF1016" s="2">
        <f>IFERROR(__xludf.DUMMYFUNCTION("IFERROR(ABS(R1016-AVERAGE(FILTER(R1016:R5084,AA1016:AA5084=""Neighbor""))) / STDEV(FILTER(R1016:R5084, AA1016:AA5084 =""Neighbor"")), """")"),0.24391066116149526)</f>
        <v>0.2439106612</v>
      </c>
    </row>
    <row r="1017">
      <c r="A1017" s="2" t="s">
        <v>28</v>
      </c>
      <c r="B1017" s="2" t="s">
        <v>3907</v>
      </c>
      <c r="C1017" s="2" t="s">
        <v>4120</v>
      </c>
      <c r="D1017" s="2" t="s">
        <v>4161</v>
      </c>
      <c r="E1017" s="2" t="s">
        <v>4162</v>
      </c>
      <c r="F1017" s="2">
        <v>88.0</v>
      </c>
      <c r="G1017" s="2">
        <v>308.0</v>
      </c>
      <c r="H1017" s="2" t="b">
        <v>1</v>
      </c>
      <c r="I1017" s="2">
        <v>-1.0</v>
      </c>
      <c r="J1017" s="2" t="b">
        <v>0</v>
      </c>
      <c r="K1017" s="2" t="b">
        <v>0</v>
      </c>
      <c r="L1017" s="2" t="b">
        <v>0</v>
      </c>
      <c r="M1017" s="2" t="b">
        <v>0</v>
      </c>
      <c r="N1017" s="2" t="s">
        <v>33</v>
      </c>
      <c r="O1017" s="2">
        <v>32.0</v>
      </c>
      <c r="P1017" s="2">
        <v>9.0</v>
      </c>
      <c r="Q1017" s="2">
        <v>36.0</v>
      </c>
      <c r="R1017" s="2">
        <v>1.0</v>
      </c>
      <c r="S1017" s="3" t="s">
        <v>4163</v>
      </c>
      <c r="T1017" s="2" t="s">
        <v>4164</v>
      </c>
      <c r="Y1017" s="4" t="str">
        <f>IFERROR(__xludf.DUMMYFUNCTION("""COMPUTED_VALUE"""),"6.9714881")</f>
        <v>6.9714881</v>
      </c>
      <c r="Z1017" s="4" t="str">
        <f>IFERROR(__xludf.DUMMYFUNCTION("""COMPUTED_VALUE"""),"3.1585148")</f>
        <v>3.1585148</v>
      </c>
      <c r="AA1017" s="4" t="str">
        <f t="shared" si="1"/>
        <v>Not Neighbor</v>
      </c>
      <c r="AC1017" s="4">
        <f>IFERROR(__xludf.DUMMYFUNCTION("IFERROR(ABS(O1017-AVERAGE(FILTER(O1017:O5085,AA1017:AA5085=""Neighbor""))) / STDEV(FILTER(O1017:O5085, AA1017:AA5085 =""Neighbor"")), """")"),0.7687364205550636)</f>
        <v>0.7687364206</v>
      </c>
      <c r="AD1017" s="4">
        <f>IFERROR(__xludf.DUMMYFUNCTION("IFERROR(ABS(P1017-AVERAGE(FILTER(O1017:P5085,AA1017:AA5085=""Neighbor""))) / STDEV(FILTER(P1017:P5085, AA1017:AA5085 =""Neighbor"")), """")"),1.4313002653370959)</f>
        <v>1.431300265</v>
      </c>
      <c r="AE1017" s="2">
        <f>IFERROR(__xludf.DUMMYFUNCTION("IFERROR(ABS(Q1017-AVERAGE(FILTER(Q1017:Q5085,AA1017:AA5085=""Neighbor""))) / STDEV(FILTER(Q1017:Q5085, AA1017:AA5085 =""Neighbor"")), """")"),0.46863468706240524)</f>
        <v>0.4686346871</v>
      </c>
      <c r="AF1017" s="2">
        <f>IFERROR(__xludf.DUMMYFUNCTION("IFERROR(ABS(R1017-AVERAGE(FILTER(R1017:R5085,AA1017:AA5085=""Neighbor""))) / STDEV(FILTER(R1017:R5085, AA1017:AA5085 =""Neighbor"")), """")"),0.49833084678577044)</f>
        <v>0.4983308468</v>
      </c>
    </row>
    <row r="1018">
      <c r="A1018" s="2" t="s">
        <v>28</v>
      </c>
      <c r="B1018" s="2" t="s">
        <v>3907</v>
      </c>
      <c r="C1018" s="2" t="s">
        <v>4120</v>
      </c>
      <c r="D1018" s="2" t="s">
        <v>4165</v>
      </c>
      <c r="E1018" s="2" t="s">
        <v>4166</v>
      </c>
      <c r="F1018" s="2">
        <v>130.0</v>
      </c>
      <c r="G1018" s="2">
        <v>789.0</v>
      </c>
      <c r="H1018" s="2" t="b">
        <v>1</v>
      </c>
      <c r="I1018" s="2">
        <v>-1.0</v>
      </c>
      <c r="J1018" s="2" t="b">
        <v>0</v>
      </c>
      <c r="K1018" s="2" t="b">
        <v>0</v>
      </c>
      <c r="L1018" s="2" t="b">
        <v>0</v>
      </c>
      <c r="M1018" s="2" t="b">
        <v>0</v>
      </c>
      <c r="N1018" s="2" t="s">
        <v>33</v>
      </c>
      <c r="O1018" s="2">
        <v>58.0</v>
      </c>
      <c r="P1018" s="2">
        <v>7.0</v>
      </c>
      <c r="Q1018" s="2">
        <v>32.0</v>
      </c>
      <c r="R1018" s="2">
        <v>0.0</v>
      </c>
      <c r="S1018" s="3" t="s">
        <v>4167</v>
      </c>
      <c r="T1018" s="2" t="s">
        <v>4168</v>
      </c>
      <c r="Y1018" s="4" t="str">
        <f>IFERROR(__xludf.DUMMYFUNCTION("""COMPUTED_VALUE"""),"6.9643162")</f>
        <v>6.9643162</v>
      </c>
      <c r="Z1018" s="4" t="str">
        <f>IFERROR(__xludf.DUMMYFUNCTION("""COMPUTED_VALUE"""),"3.1277854")</f>
        <v>3.1277854</v>
      </c>
      <c r="AA1018" s="4" t="str">
        <f t="shared" si="1"/>
        <v>Not Neighbor</v>
      </c>
      <c r="AC1018" s="4">
        <f>IFERROR(__xludf.DUMMYFUNCTION("IFERROR(ABS(O1018-AVERAGE(FILTER(O1018:O5086,AA1018:AA5086=""Neighbor""))) / STDEV(FILTER(O1018:O5086, AA1018:AA5086 =""Neighbor"")), """")"),0.13693217101182054)</f>
        <v>0.136932171</v>
      </c>
      <c r="AD1018" s="4">
        <f>IFERROR(__xludf.DUMMYFUNCTION("IFERROR(ABS(P1018-AVERAGE(FILTER(O1018:P5086,AA1018:AA5086=""Neighbor""))) / STDEV(FILTER(P1018:P5086, AA1018:AA5086 =""Neighbor"")), """")"),1.524100722788256)</f>
        <v>1.524100723</v>
      </c>
      <c r="AE1018" s="2">
        <f>IFERROR(__xludf.DUMMYFUNCTION("IFERROR(ABS(Q1018-AVERAGE(FILTER(Q1018:Q5086,AA1018:AA5086=""Neighbor""))) / STDEV(FILTER(Q1018:Q5086, AA1018:AA5086 =""Neighbor"")), """")"),0.3023397854448059)</f>
        <v>0.3023397854</v>
      </c>
      <c r="AF1018" s="2">
        <f>IFERROR(__xludf.DUMMYFUNCTION("IFERROR(ABS(R1018-AVERAGE(FILTER(R1018:R5086,AA1018:AA5086=""Neighbor""))) / STDEV(FILTER(R1018:R5086, AA1018:AA5086 =""Neighbor"")), """")"),0.24401027670199799)</f>
        <v>0.2440102767</v>
      </c>
    </row>
    <row r="1019">
      <c r="A1019" s="2" t="s">
        <v>28</v>
      </c>
      <c r="B1019" s="2" t="s">
        <v>3907</v>
      </c>
      <c r="C1019" s="2" t="s">
        <v>4169</v>
      </c>
      <c r="D1019" s="2" t="s">
        <v>4170</v>
      </c>
      <c r="E1019" s="2" t="s">
        <v>4171</v>
      </c>
      <c r="F1019" s="2">
        <v>277.0</v>
      </c>
      <c r="G1019" s="2">
        <v>1682.0</v>
      </c>
      <c r="H1019" s="2" t="b">
        <v>1</v>
      </c>
      <c r="I1019" s="2">
        <v>-1.0</v>
      </c>
      <c r="J1019" s="2" t="b">
        <v>0</v>
      </c>
      <c r="K1019" s="2" t="b">
        <v>1</v>
      </c>
      <c r="L1019" s="2" t="b">
        <v>0</v>
      </c>
      <c r="M1019" s="2" t="b">
        <v>0</v>
      </c>
      <c r="N1019" s="2" t="s">
        <v>33</v>
      </c>
      <c r="O1019" s="2">
        <v>115.0</v>
      </c>
      <c r="P1019" s="2">
        <v>60.0</v>
      </c>
      <c r="Q1019" s="2">
        <v>56.0</v>
      </c>
      <c r="R1019" s="2">
        <v>2.0</v>
      </c>
      <c r="S1019" s="3" t="s">
        <v>4172</v>
      </c>
      <c r="T1019" s="2" t="s">
        <v>4173</v>
      </c>
      <c r="Y1019" s="4" t="str">
        <f>IFERROR(__xludf.DUMMYFUNCTION("""COMPUTED_VALUE"""),"6.8816777")</f>
        <v>6.8816777</v>
      </c>
      <c r="Z1019" s="4" t="str">
        <f>IFERROR(__xludf.DUMMYFUNCTION("""COMPUTED_VALUE"""),"3.1878513")</f>
        <v>3.1878513</v>
      </c>
      <c r="AA1019" s="4" t="str">
        <f t="shared" si="1"/>
        <v>Neighbor</v>
      </c>
      <c r="AC1019" s="4">
        <f>IFERROR(__xludf.DUMMYFUNCTION("IFERROR(ABS(O1019-AVERAGE(FILTER(O1019:O5087,AA1019:AA5087=""Neighbor""))) / STDEV(FILTER(O1019:O5087, AA1019:AA5087 =""Neighbor"")), """")"),1.24817714529452)</f>
        <v>1.248177145</v>
      </c>
      <c r="AD1019" s="4">
        <f>IFERROR(__xludf.DUMMYFUNCTION("IFERROR(ABS(P1019-AVERAGE(FILTER(O1019:P5087,AA1019:AA5087=""Neighbor""))) / STDEV(FILTER(P1019:P5087, AA1019:AA5087 =""Neighbor"")), """")"),0.9351113996674862)</f>
        <v>0.9351113997</v>
      </c>
      <c r="AE1019" s="2">
        <f>IFERROR(__xludf.DUMMYFUNCTION("IFERROR(ABS(Q1019-AVERAGE(FILTER(Q1019:Q5087,AA1019:AA5087=""Neighbor""))) / STDEV(FILTER(Q1019:Q5087, AA1019:AA5087 =""Neighbor"")), """")"),1.300109195150402)</f>
        <v>1.300109195</v>
      </c>
      <c r="AF1019" s="2">
        <f>IFERROR(__xludf.DUMMYFUNCTION("IFERROR(ABS(R1019-AVERAGE(FILTER(R1019:R5087,AA1019:AA5087=""Neighbor""))) / STDEV(FILTER(R1019:R5087, AA1019:AA5087 =""Neighbor"")), """")"),1.240671970273539)</f>
        <v>1.24067197</v>
      </c>
    </row>
    <row r="1020">
      <c r="A1020" s="2" t="s">
        <v>28</v>
      </c>
      <c r="B1020" s="2" t="s">
        <v>3907</v>
      </c>
      <c r="C1020" s="2" t="s">
        <v>4169</v>
      </c>
      <c r="D1020" s="2" t="s">
        <v>4174</v>
      </c>
      <c r="E1020" s="2" t="s">
        <v>4175</v>
      </c>
      <c r="F1020" s="2">
        <v>199.0</v>
      </c>
      <c r="G1020" s="2">
        <v>1126.0</v>
      </c>
      <c r="H1020" s="2" t="b">
        <v>1</v>
      </c>
      <c r="I1020" s="2">
        <v>-1.0</v>
      </c>
      <c r="J1020" s="2" t="b">
        <v>0</v>
      </c>
      <c r="K1020" s="2" t="b">
        <v>0</v>
      </c>
      <c r="L1020" s="2" t="b">
        <v>0</v>
      </c>
      <c r="M1020" s="2" t="b">
        <v>0</v>
      </c>
      <c r="N1020" s="2" t="s">
        <v>33</v>
      </c>
      <c r="O1020" s="2">
        <v>93.0</v>
      </c>
      <c r="P1020" s="2">
        <v>33.0</v>
      </c>
      <c r="Q1020" s="2">
        <v>39.0</v>
      </c>
      <c r="R1020" s="2">
        <v>3.0</v>
      </c>
      <c r="S1020" s="3" t="s">
        <v>4176</v>
      </c>
      <c r="T1020" s="2" t="s">
        <v>4177</v>
      </c>
      <c r="Y1020" s="4" t="str">
        <f>IFERROR(__xludf.DUMMYFUNCTION("""COMPUTED_VALUE"""),"6.8816777")</f>
        <v>6.8816777</v>
      </c>
      <c r="Z1020" s="4" t="str">
        <f>IFERROR(__xludf.DUMMYFUNCTION("""COMPUTED_VALUE"""),"3.1878513")</f>
        <v>3.1878513</v>
      </c>
      <c r="AA1020" s="4" t="str">
        <f t="shared" si="1"/>
        <v>Not Neighbor</v>
      </c>
      <c r="AC1020" s="4">
        <f>IFERROR(__xludf.DUMMYFUNCTION("IFERROR(ABS(O1020-AVERAGE(FILTER(O1020:O5088,AA1020:AA5088=""Neighbor""))) / STDEV(FILTER(O1020:O5088, AA1020:AA5088 =""Neighbor"")), """")"),0.7146918220029385)</f>
        <v>0.714691822</v>
      </c>
      <c r="AD1020" s="4">
        <f>IFERROR(__xludf.DUMMYFUNCTION("IFERROR(ABS(P1020-AVERAGE(FILTER(O1020:P5088,AA1020:AA5088=""Neighbor""))) / STDEV(FILTER(P1020:P5088, AA1020:AA5088 =""Neighbor"")), """")"),0.3163739182866886)</f>
        <v>0.3163739183</v>
      </c>
      <c r="AE1020" s="2">
        <f>IFERROR(__xludf.DUMMYFUNCTION("IFERROR(ABS(Q1020-AVERAGE(FILTER(Q1020:Q5088,AA1020:AA5088=""Neighbor""))) / STDEV(FILTER(Q1020:Q5088, AA1020:AA5088 =""Neighbor"")), """")"),0.59451870258802)</f>
        <v>0.5945187026</v>
      </c>
      <c r="AF1020" s="2">
        <f>IFERROR(__xludf.DUMMYFUNCTION("IFERROR(ABS(R1020-AVERAGE(FILTER(R1020:R5088,AA1020:AA5088=""Neighbor""))) / STDEV(FILTER(R1020:R5088, AA1020:AA5088 =""Neighbor"")), """")"),1.9843855868357287)</f>
        <v>1.984385587</v>
      </c>
    </row>
    <row r="1021">
      <c r="A1021" s="2" t="s">
        <v>28</v>
      </c>
      <c r="B1021" s="2" t="s">
        <v>3907</v>
      </c>
      <c r="C1021" s="2" t="s">
        <v>4169</v>
      </c>
      <c r="D1021" s="2" t="s">
        <v>4178</v>
      </c>
      <c r="E1021" s="2" t="s">
        <v>4179</v>
      </c>
      <c r="F1021" s="2">
        <v>169.0</v>
      </c>
      <c r="G1021" s="2">
        <v>1162.0</v>
      </c>
      <c r="H1021" s="2" t="b">
        <v>1</v>
      </c>
      <c r="I1021" s="2">
        <v>-1.0</v>
      </c>
      <c r="J1021" s="2" t="b">
        <v>0</v>
      </c>
      <c r="K1021" s="2" t="b">
        <v>0</v>
      </c>
      <c r="L1021" s="2" t="b">
        <v>0</v>
      </c>
      <c r="M1021" s="2" t="b">
        <v>0</v>
      </c>
      <c r="N1021" s="2" t="s">
        <v>33</v>
      </c>
      <c r="O1021" s="2">
        <v>63.0</v>
      </c>
      <c r="P1021" s="2">
        <v>43.0</v>
      </c>
      <c r="Q1021" s="2">
        <v>33.0</v>
      </c>
      <c r="R1021" s="2">
        <v>0.0</v>
      </c>
      <c r="S1021" s="3" t="s">
        <v>4180</v>
      </c>
      <c r="T1021" s="2" t="s">
        <v>4181</v>
      </c>
      <c r="Y1021" s="4" t="str">
        <f>IFERROR(__xludf.DUMMYFUNCTION("""COMPUTED_VALUE"""),"6.9054879")</f>
        <v>6.9054879</v>
      </c>
      <c r="Z1021" s="4" t="str">
        <f>IFERROR(__xludf.DUMMYFUNCTION("""COMPUTED_VALUE"""),"3.2074712")</f>
        <v>3.2074712</v>
      </c>
      <c r="AA1021" s="4" t="str">
        <f t="shared" si="1"/>
        <v>Not Neighbor</v>
      </c>
      <c r="AC1021" s="4">
        <f>IFERROR(__xludf.DUMMYFUNCTION("IFERROR(ABS(O1021-AVERAGE(FILTER(O1021:O5089,AA1021:AA5089=""Neighbor""))) / STDEV(FILTER(O1021:O5089, AA1021:AA5089 =""Neighbor"")), """")"),0.014470637221677655)</f>
        <v>0.01447063722</v>
      </c>
      <c r="AD1021" s="4">
        <f>IFERROR(__xludf.DUMMYFUNCTION("IFERROR(ABS(P1021-AVERAGE(FILTER(O1021:P5089,AA1021:AA5089=""Neighbor""))) / STDEV(FILTER(P1021:P5089, AA1021:AA5089 =""Neighbor"")), """")"),0.14819601501783766)</f>
        <v>0.148196015</v>
      </c>
      <c r="AE1021" s="2">
        <f>IFERROR(__xludf.DUMMYFUNCTION("IFERROR(ABS(Q1021-AVERAGE(FILTER(Q1021:Q5089,AA1021:AA5089=""Neighbor""))) / STDEV(FILTER(Q1021:Q5089, AA1021:AA5089 =""Neighbor"")), """")"),0.34500966515100395)</f>
        <v>0.3450096652</v>
      </c>
      <c r="AF1021" s="2">
        <f>IFERROR(__xludf.DUMMYFUNCTION("IFERROR(ABS(R1021-AVERAGE(FILTER(R1021:R5089,AA1021:AA5089=""Neighbor""))) / STDEV(FILTER(R1021:R5089, AA1021:AA5089 =""Neighbor"")), """")"),0.2431030016811179)</f>
        <v>0.2431030017</v>
      </c>
    </row>
    <row r="1022">
      <c r="A1022" s="2" t="s">
        <v>28</v>
      </c>
      <c r="B1022" s="2" t="s">
        <v>3907</v>
      </c>
      <c r="C1022" s="2" t="s">
        <v>4169</v>
      </c>
      <c r="D1022" s="2" t="s">
        <v>4182</v>
      </c>
      <c r="E1022" s="2" t="s">
        <v>4183</v>
      </c>
      <c r="F1022" s="2">
        <v>112.0</v>
      </c>
      <c r="G1022" s="2">
        <v>750.0</v>
      </c>
      <c r="H1022" s="2" t="b">
        <v>1</v>
      </c>
      <c r="I1022" s="2">
        <v>-1.0</v>
      </c>
      <c r="J1022" s="2" t="b">
        <v>0</v>
      </c>
      <c r="K1022" s="2" t="b">
        <v>0</v>
      </c>
      <c r="L1022" s="2" t="b">
        <v>0</v>
      </c>
      <c r="M1022" s="2" t="b">
        <v>0</v>
      </c>
      <c r="N1022" s="2" t="s">
        <v>33</v>
      </c>
      <c r="O1022" s="2">
        <v>15.0</v>
      </c>
      <c r="P1022" s="2">
        <v>7.0</v>
      </c>
      <c r="Q1022" s="2">
        <v>13.0</v>
      </c>
      <c r="R1022" s="2">
        <v>1.0</v>
      </c>
      <c r="S1022" s="3" t="s">
        <v>4184</v>
      </c>
      <c r="T1022" s="2" t="s">
        <v>4185</v>
      </c>
      <c r="Y1022" s="4" t="str">
        <f>IFERROR(__xludf.DUMMYFUNCTION("""COMPUTED_VALUE"""),"6.8997227")</f>
        <v>6.8997227</v>
      </c>
      <c r="Z1022" s="4" t="str">
        <f>IFERROR(__xludf.DUMMYFUNCTION("""COMPUTED_VALUE"""),"3.1679257")</f>
        <v>3.1679257</v>
      </c>
      <c r="AA1022" s="4" t="str">
        <f t="shared" si="1"/>
        <v>Not Neighbor</v>
      </c>
      <c r="AC1022" s="4">
        <f>IFERROR(__xludf.DUMMYFUNCTION("IFERROR(ABS(O1022-AVERAGE(FILTER(O1022:O5090,AA1022:AA5090=""Neighbor""))) / STDEV(FILTER(O1022:O5090, AA1022:AA5090 =""Neighbor"")), """")"),1.1811305719810634)</f>
        <v>1.181130572</v>
      </c>
      <c r="AD1022" s="4">
        <f>IFERROR(__xludf.DUMMYFUNCTION("IFERROR(ABS(P1022-AVERAGE(FILTER(O1022:P5090,AA1022:AA5090=""Neighbor""))) / STDEV(FILTER(P1022:P5090, AA1022:AA5090 =""Neighbor"")), """")"),1.5242557448784568)</f>
        <v>1.524255745</v>
      </c>
      <c r="AE1022" s="2">
        <f>IFERROR(__xludf.DUMMYFUNCTION("IFERROR(ABS(Q1022-AVERAGE(FILTER(Q1022:Q5090,AA1022:AA5090=""Neighbor""))) / STDEV(FILTER(Q1022:Q5090, AA1022:AA5090 =""Neighbor"")), """")"),0.48668712630571614)</f>
        <v>0.4866871263</v>
      </c>
      <c r="AF1022" s="2">
        <f>IFERROR(__xludf.DUMMYFUNCTION("IFERROR(ABS(R1022-AVERAGE(FILTER(R1022:R5090,AA1022:AA5090=""Neighbor""))) / STDEV(FILTER(R1022:R5090, AA1022:AA5090 =""Neighbor"")), """")"),0.4993931944911644)</f>
        <v>0.4993931945</v>
      </c>
    </row>
    <row r="1023">
      <c r="A1023" s="2" t="s">
        <v>28</v>
      </c>
      <c r="B1023" s="2" t="s">
        <v>3907</v>
      </c>
      <c r="C1023" s="2" t="s">
        <v>4169</v>
      </c>
      <c r="D1023" s="2" t="s">
        <v>4186</v>
      </c>
      <c r="E1023" s="2" t="s">
        <v>4187</v>
      </c>
      <c r="F1023" s="2">
        <v>42.0</v>
      </c>
      <c r="G1023" s="2">
        <v>370.0</v>
      </c>
      <c r="H1023" s="2" t="b">
        <v>1</v>
      </c>
      <c r="I1023" s="2">
        <v>-1.0</v>
      </c>
      <c r="J1023" s="2" t="b">
        <v>0</v>
      </c>
      <c r="K1023" s="2" t="b">
        <v>0</v>
      </c>
      <c r="L1023" s="2" t="b">
        <v>0</v>
      </c>
      <c r="M1023" s="2" t="b">
        <v>0</v>
      </c>
      <c r="N1023" s="2" t="s">
        <v>33</v>
      </c>
      <c r="O1023" s="2">
        <v>24.0</v>
      </c>
      <c r="P1023" s="2">
        <v>0.0</v>
      </c>
      <c r="Q1023" s="2">
        <v>14.0</v>
      </c>
      <c r="R1023" s="2">
        <v>3.0</v>
      </c>
      <c r="S1023" s="3" t="s">
        <v>4188</v>
      </c>
      <c r="T1023" s="2" t="s">
        <v>4189</v>
      </c>
      <c r="Y1023" s="4" t="str">
        <f>IFERROR(__xludf.DUMMYFUNCTION("""COMPUTED_VALUE"""),"6.8965102")</f>
        <v>6.8965102</v>
      </c>
      <c r="Z1023" s="4" t="str">
        <f>IFERROR(__xludf.DUMMYFUNCTION("""COMPUTED_VALUE"""),"3.1472242")</f>
        <v>3.1472242</v>
      </c>
      <c r="AA1023" s="4" t="str">
        <f t="shared" si="1"/>
        <v>Not Neighbor</v>
      </c>
      <c r="AC1023" s="4">
        <f>IFERROR(__xludf.DUMMYFUNCTION("IFERROR(ABS(O1023-AVERAGE(FILTER(O1023:O5091,AA1023:AA5091=""Neighbor""))) / STDEV(FILTER(O1023:O5091, AA1023:AA5091 =""Neighbor"")), """")"),0.9623818342136785)</f>
        <v>0.9623818342</v>
      </c>
      <c r="AD1023" s="4">
        <f>IFERROR(__xludf.DUMMYFUNCTION("IFERROR(ABS(P1023-AVERAGE(FILTER(O1023:P5091,AA1023:AA5091=""Neighbor""))) / STDEV(FILTER(P1023:P5091, AA1023:AA5091 =""Neighbor"")), """")"),1.8494546981916253)</f>
        <v>1.849454698</v>
      </c>
      <c r="AE1023" s="2">
        <f>IFERROR(__xludf.DUMMYFUNCTION("IFERROR(ABS(Q1023-AVERAGE(FILTER(Q1023:Q5091,AA1023:AA5091=""Neighbor""))) / STDEV(FILTER(Q1023:Q5091, AA1023:AA5091 =""Neighbor"")), """")"),0.4451022867328801)</f>
        <v>0.4451022867</v>
      </c>
      <c r="AF1023" s="2">
        <f>IFERROR(__xludf.DUMMYFUNCTION("IFERROR(ABS(R1023-AVERAGE(FILTER(R1023:R5091,AA1023:AA5091=""Neighbor""))) / STDEV(FILTER(R1023:R5091, AA1023:AA5091 =""Neighbor"")), """")"),1.9843855868357287)</f>
        <v>1.984385587</v>
      </c>
    </row>
    <row r="1024">
      <c r="A1024" s="2" t="s">
        <v>28</v>
      </c>
      <c r="B1024" s="2" t="s">
        <v>3907</v>
      </c>
      <c r="C1024" s="2" t="s">
        <v>4169</v>
      </c>
      <c r="D1024" s="2" t="s">
        <v>4190</v>
      </c>
      <c r="E1024" s="2" t="s">
        <v>4191</v>
      </c>
      <c r="F1024" s="2">
        <v>67.0</v>
      </c>
      <c r="G1024" s="2">
        <v>508.0</v>
      </c>
      <c r="H1024" s="2" t="b">
        <v>1</v>
      </c>
      <c r="I1024" s="2">
        <v>-1.0</v>
      </c>
      <c r="J1024" s="2" t="b">
        <v>0</v>
      </c>
      <c r="K1024" s="2" t="b">
        <v>0</v>
      </c>
      <c r="L1024" s="2" t="b">
        <v>0</v>
      </c>
      <c r="M1024" s="2" t="b">
        <v>0</v>
      </c>
      <c r="N1024" s="2" t="s">
        <v>33</v>
      </c>
      <c r="O1024" s="2">
        <v>27.0</v>
      </c>
      <c r="P1024" s="2">
        <v>7.0</v>
      </c>
      <c r="Q1024" s="2">
        <v>18.0</v>
      </c>
      <c r="R1024" s="2">
        <v>0.0</v>
      </c>
      <c r="S1024" s="3" t="s">
        <v>4192</v>
      </c>
      <c r="T1024" s="2" t="s">
        <v>4193</v>
      </c>
      <c r="Y1024" s="4" t="str">
        <f>IFERROR(__xludf.DUMMYFUNCTION("""COMPUTED_VALUE"""),"6.8932657")</f>
        <v>6.8932657</v>
      </c>
      <c r="Z1024" s="4" t="str">
        <f>IFERROR(__xludf.DUMMYFUNCTION("""COMPUTED_VALUE"""),"3.2053229")</f>
        <v>3.2053229</v>
      </c>
      <c r="AA1024" s="4" t="str">
        <f t="shared" si="1"/>
        <v>Not Neighbor</v>
      </c>
      <c r="AC1024" s="4">
        <f>IFERROR(__xludf.DUMMYFUNCTION("IFERROR(ABS(O1024-AVERAGE(FILTER(O1024:O5092,AA1024:AA5092=""Neighbor""))) / STDEV(FILTER(O1024:O5092, AA1024:AA5092 =""Neighbor"")), """")"),0.8894655882912169)</f>
        <v>0.8894655883</v>
      </c>
      <c r="AD1024" s="4">
        <f>IFERROR(__xludf.DUMMYFUNCTION("IFERROR(ABS(P1024-AVERAGE(FILTER(O1024:P5092,AA1024:AA5092=""Neighbor""))) / STDEV(FILTER(P1024:P5092, AA1024:AA5092 =""Neighbor"")), """")"),1.5242557448784568)</f>
        <v>1.524255745</v>
      </c>
      <c r="AE1024" s="2">
        <f>IFERROR(__xludf.DUMMYFUNCTION("IFERROR(ABS(Q1024-AVERAGE(FILTER(Q1024:Q5092,AA1024:AA5092=""Neighbor""))) / STDEV(FILTER(Q1024:Q5092, AA1024:AA5092 =""Neighbor"")), """")"),0.2787629284415361)</f>
        <v>0.2787629284</v>
      </c>
      <c r="AF1024" s="2">
        <f>IFERROR(__xludf.DUMMYFUNCTION("IFERROR(ABS(R1024-AVERAGE(FILTER(R1024:R5092,AA1024:AA5092=""Neighbor""))) / STDEV(FILTER(R1024:R5092, AA1024:AA5092 =""Neighbor"")), """")"),0.2431030016811179)</f>
        <v>0.2431030017</v>
      </c>
    </row>
    <row r="1025">
      <c r="A1025" s="2" t="s">
        <v>28</v>
      </c>
      <c r="B1025" s="2" t="s">
        <v>3907</v>
      </c>
      <c r="C1025" s="2" t="s">
        <v>4169</v>
      </c>
      <c r="D1025" s="2" t="s">
        <v>4194</v>
      </c>
      <c r="E1025" s="2" t="s">
        <v>4195</v>
      </c>
      <c r="F1025" s="2">
        <v>65.0</v>
      </c>
      <c r="G1025" s="2">
        <v>750.0</v>
      </c>
      <c r="H1025" s="2" t="b">
        <v>1</v>
      </c>
      <c r="I1025" s="2">
        <v>-1.0</v>
      </c>
      <c r="J1025" s="2" t="b">
        <v>0</v>
      </c>
      <c r="K1025" s="2" t="b">
        <v>0</v>
      </c>
      <c r="L1025" s="2" t="b">
        <v>0</v>
      </c>
      <c r="M1025" s="2" t="b">
        <v>0</v>
      </c>
      <c r="N1025" s="2" t="s">
        <v>33</v>
      </c>
      <c r="O1025" s="2">
        <v>51.0</v>
      </c>
      <c r="P1025" s="2">
        <v>2.0</v>
      </c>
      <c r="Q1025" s="2">
        <v>2.0</v>
      </c>
      <c r="R1025" s="2">
        <v>0.0</v>
      </c>
      <c r="S1025" s="3" t="s">
        <v>4196</v>
      </c>
      <c r="T1025" s="2" t="s">
        <v>4197</v>
      </c>
      <c r="Y1025" s="4" t="str">
        <f>IFERROR(__xludf.DUMMYFUNCTION("""COMPUTED_VALUE"""),"6.9054879")</f>
        <v>6.9054879</v>
      </c>
      <c r="Z1025" s="4" t="str">
        <f>IFERROR(__xludf.DUMMYFUNCTION("""COMPUTED_VALUE"""),"3.2074712")</f>
        <v>3.2074712</v>
      </c>
      <c r="AA1025" s="4" t="str">
        <f t="shared" si="1"/>
        <v>Not Neighbor</v>
      </c>
      <c r="AC1025" s="4">
        <f>IFERROR(__xludf.DUMMYFUNCTION("IFERROR(ABS(O1025-AVERAGE(FILTER(O1025:O5093,AA1025:AA5093=""Neighbor""))) / STDEV(FILTER(O1025:O5093, AA1025:AA5093 =""Neighbor"")), """")"),0.3061356209115241)</f>
        <v>0.3061356209</v>
      </c>
      <c r="AD1025" s="4">
        <f>IFERROR(__xludf.DUMMYFUNCTION("IFERROR(ABS(P1025-AVERAGE(FILTER(O1025:P5093,AA1025:AA5093=""Neighbor""))) / STDEV(FILTER(P1025:P5093, AA1025:AA5093 =""Neighbor"")), """")"),1.7565407115307201)</f>
        <v>1.756540712</v>
      </c>
      <c r="AE1025" s="2">
        <f>IFERROR(__xludf.DUMMYFUNCTION("IFERROR(ABS(Q1025-AVERAGE(FILTER(Q1025:Q5093,AA1025:AA5093=""Neighbor""))) / STDEV(FILTER(Q1025:Q5093, AA1025:AA5093 =""Neighbor"")), """")"),0.9441203616069122)</f>
        <v>0.9441203616</v>
      </c>
      <c r="AF1025" s="2">
        <f>IFERROR(__xludf.DUMMYFUNCTION("IFERROR(ABS(R1025-AVERAGE(FILTER(R1025:R5093,AA1025:AA5093=""Neighbor""))) / STDEV(FILTER(R1025:R5093, AA1025:AA5093 =""Neighbor"")), """")"),0.2431030016811179)</f>
        <v>0.2431030017</v>
      </c>
    </row>
    <row r="1026">
      <c r="A1026" s="2" t="s">
        <v>28</v>
      </c>
      <c r="B1026" s="2" t="s">
        <v>3907</v>
      </c>
      <c r="C1026" s="2" t="s">
        <v>4169</v>
      </c>
      <c r="D1026" s="2" t="s">
        <v>4198</v>
      </c>
      <c r="E1026" s="2" t="s">
        <v>4199</v>
      </c>
      <c r="F1026" s="2">
        <v>67.0</v>
      </c>
      <c r="G1026" s="2">
        <v>770.0</v>
      </c>
      <c r="H1026" s="2" t="b">
        <v>1</v>
      </c>
      <c r="I1026" s="2">
        <v>-1.0</v>
      </c>
      <c r="J1026" s="2" t="b">
        <v>0</v>
      </c>
      <c r="K1026" s="2" t="b">
        <v>0</v>
      </c>
      <c r="L1026" s="2" t="b">
        <v>0</v>
      </c>
      <c r="M1026" s="2" t="b">
        <v>0</v>
      </c>
      <c r="N1026" s="2" t="s">
        <v>33</v>
      </c>
      <c r="O1026" s="2">
        <v>26.0</v>
      </c>
      <c r="P1026" s="2">
        <v>22.0</v>
      </c>
      <c r="Q1026" s="2">
        <v>8.0</v>
      </c>
      <c r="R1026" s="2">
        <v>0.0</v>
      </c>
      <c r="S1026" s="3" t="s">
        <v>4200</v>
      </c>
      <c r="T1026" s="2" t="s">
        <v>4201</v>
      </c>
      <c r="Y1026" s="4" t="str">
        <f>IFERROR(__xludf.DUMMYFUNCTION("""COMPUTED_VALUE"""),"6.8997227")</f>
        <v>6.8997227</v>
      </c>
      <c r="Z1026" s="4" t="str">
        <f>IFERROR(__xludf.DUMMYFUNCTION("""COMPUTED_VALUE"""),"3.1679257")</f>
        <v>3.1679257</v>
      </c>
      <c r="AA1026" s="4" t="str">
        <f t="shared" si="1"/>
        <v>Not Neighbor</v>
      </c>
      <c r="AC1026" s="4">
        <f>IFERROR(__xludf.DUMMYFUNCTION("IFERROR(ABS(O1026-AVERAGE(FILTER(O1026:O5094,AA1026:AA5094=""Neighbor""))) / STDEV(FILTER(O1026:O5094, AA1026:AA5094 =""Neighbor"")), """")"),0.9137710035987041)</f>
        <v>0.9137710036</v>
      </c>
      <c r="AD1026" s="4">
        <f>IFERROR(__xludf.DUMMYFUNCTION("IFERROR(ABS(P1026-AVERAGE(FILTER(O1026:P5094,AA1026:AA5094=""Neighbor""))) / STDEV(FILTER(P1026:P5094, AA1026:AA5094 =""Neighbor"")), """")"),0.8274008449216674)</f>
        <v>0.8274008449</v>
      </c>
      <c r="AE1026" s="2">
        <f>IFERROR(__xludf.DUMMYFUNCTION("IFERROR(ABS(Q1026-AVERAGE(FILTER(Q1026:Q5094,AA1026:AA5094=""Neighbor""))) / STDEV(FILTER(Q1026:Q5094, AA1026:AA5094 =""Neighbor"")), """")"),0.6946113241698961)</f>
        <v>0.6946113242</v>
      </c>
      <c r="AF1026" s="2">
        <f>IFERROR(__xludf.DUMMYFUNCTION("IFERROR(ABS(R1026-AVERAGE(FILTER(R1026:R5094,AA1026:AA5094=""Neighbor""))) / STDEV(FILTER(R1026:R5094, AA1026:AA5094 =""Neighbor"")), """")"),0.2431030016811179)</f>
        <v>0.2431030017</v>
      </c>
    </row>
    <row r="1027">
      <c r="A1027" s="2" t="s">
        <v>28</v>
      </c>
      <c r="B1027" s="2" t="s">
        <v>3907</v>
      </c>
      <c r="C1027" s="2" t="s">
        <v>4169</v>
      </c>
      <c r="D1027" s="2" t="s">
        <v>4202</v>
      </c>
      <c r="E1027" s="2" t="s">
        <v>4203</v>
      </c>
      <c r="F1027" s="2">
        <v>107.0</v>
      </c>
      <c r="G1027" s="2">
        <v>560.0</v>
      </c>
      <c r="H1027" s="2" t="b">
        <v>1</v>
      </c>
      <c r="I1027" s="2">
        <v>-1.0</v>
      </c>
      <c r="J1027" s="2" t="b">
        <v>0</v>
      </c>
      <c r="K1027" s="2" t="b">
        <v>0</v>
      </c>
      <c r="L1027" s="2" t="b">
        <v>0</v>
      </c>
      <c r="M1027" s="2" t="b">
        <v>0</v>
      </c>
      <c r="N1027" s="2" t="s">
        <v>33</v>
      </c>
      <c r="O1027" s="2">
        <v>81.0</v>
      </c>
      <c r="P1027" s="2">
        <v>7.0</v>
      </c>
      <c r="Q1027" s="2">
        <v>15.0</v>
      </c>
      <c r="R1027" s="2">
        <v>1.0</v>
      </c>
      <c r="S1027" s="3" t="s">
        <v>4204</v>
      </c>
      <c r="T1027" s="2" t="s">
        <v>4205</v>
      </c>
      <c r="Y1027" s="4" t="str">
        <f>IFERROR(__xludf.DUMMYFUNCTION("""COMPUTED_VALUE"""),"6.8789678")</f>
        <v>6.8789678</v>
      </c>
      <c r="Z1027" s="4" t="str">
        <f>IFERROR(__xludf.DUMMYFUNCTION("""COMPUTED_VALUE"""),"3.1672982")</f>
        <v>3.1672982</v>
      </c>
      <c r="AA1027" s="4" t="str">
        <f t="shared" si="1"/>
        <v>Not Neighbor</v>
      </c>
      <c r="AC1027" s="4">
        <f>IFERROR(__xludf.DUMMYFUNCTION("IFERROR(ABS(O1027-AVERAGE(FILTER(O1027:O5095,AA1027:AA5095=""Neighbor""))) / STDEV(FILTER(O1027:O5095, AA1027:AA5095 =""Neighbor"")), """")"),0.423026838313092)</f>
        <v>0.4230268383</v>
      </c>
      <c r="AD1027" s="4">
        <f>IFERROR(__xludf.DUMMYFUNCTION("IFERROR(ABS(P1027-AVERAGE(FILTER(O1027:P5095,AA1027:AA5095=""Neighbor""))) / STDEV(FILTER(P1027:P5095, AA1027:AA5095 =""Neighbor"")), """")"),1.5242557448784568)</f>
        <v>1.524255745</v>
      </c>
      <c r="AE1027" s="2">
        <f>IFERROR(__xludf.DUMMYFUNCTION("IFERROR(ABS(Q1027-AVERAGE(FILTER(Q1027:Q5095,AA1027:AA5095=""Neighbor""))) / STDEV(FILTER(Q1027:Q5095, AA1027:AA5095 =""Neighbor"")), """")"),0.4035174471600441)</f>
        <v>0.4035174472</v>
      </c>
      <c r="AF1027" s="2">
        <f>IFERROR(__xludf.DUMMYFUNCTION("IFERROR(ABS(R1027-AVERAGE(FILTER(R1027:R5095,AA1027:AA5095=""Neighbor""))) / STDEV(FILTER(R1027:R5095, AA1027:AA5095 =""Neighbor"")), """")"),0.4993931944911644)</f>
        <v>0.4993931945</v>
      </c>
    </row>
    <row r="1028">
      <c r="A1028" s="2" t="s">
        <v>28</v>
      </c>
      <c r="B1028" s="2" t="s">
        <v>3907</v>
      </c>
      <c r="C1028" s="2" t="s">
        <v>4169</v>
      </c>
      <c r="D1028" s="2" t="s">
        <v>4206</v>
      </c>
      <c r="E1028" s="2" t="s">
        <v>4207</v>
      </c>
      <c r="F1028" s="2">
        <v>203.0</v>
      </c>
      <c r="G1028" s="2">
        <v>1420.0</v>
      </c>
      <c r="H1028" s="2" t="b">
        <v>1</v>
      </c>
      <c r="I1028" s="2">
        <v>-1.0</v>
      </c>
      <c r="J1028" s="2" t="b">
        <v>0</v>
      </c>
      <c r="K1028" s="2" t="b">
        <v>0</v>
      </c>
      <c r="L1028" s="2" t="b">
        <v>0</v>
      </c>
      <c r="M1028" s="2" t="b">
        <v>0</v>
      </c>
      <c r="N1028" s="2" t="s">
        <v>33</v>
      </c>
      <c r="O1028" s="2">
        <v>123.0</v>
      </c>
      <c r="P1028" s="2">
        <v>24.0</v>
      </c>
      <c r="Q1028" s="2">
        <v>28.0</v>
      </c>
      <c r="R1028" s="2">
        <v>1.0</v>
      </c>
      <c r="S1028" s="3" t="s">
        <v>4208</v>
      </c>
      <c r="T1028" s="2" t="s">
        <v>4209</v>
      </c>
      <c r="Y1028" s="4" t="str">
        <f>IFERROR(__xludf.DUMMYFUNCTION("""COMPUTED_VALUE"""),"6.8861463")</f>
        <v>6.8861463</v>
      </c>
      <c r="Z1028" s="4" t="str">
        <f>IFERROR(__xludf.DUMMYFUNCTION("""COMPUTED_VALUE"""),"3.1955414")</f>
        <v>3.1955414</v>
      </c>
      <c r="AA1028" s="4" t="str">
        <f t="shared" si="1"/>
        <v>Not Neighbor</v>
      </c>
      <c r="AC1028" s="4">
        <f>IFERROR(__xludf.DUMMYFUNCTION("IFERROR(ABS(O1028-AVERAGE(FILTER(O1028:O5096,AA1028:AA5096=""Neighbor""))) / STDEV(FILTER(O1028:O5096, AA1028:AA5096 =""Neighbor"")), """")"),1.4438542812275545)</f>
        <v>1.443854281</v>
      </c>
      <c r="AD1028" s="4">
        <f>IFERROR(__xludf.DUMMYFUNCTION("IFERROR(ABS(P1028-AVERAGE(FILTER(O1028:P5096,AA1028:AA5096=""Neighbor""))) / STDEV(FILTER(P1028:P5096, AA1028:AA5096 =""Neighbor"")), """")"),0.7344868582607622)</f>
        <v>0.7344868583</v>
      </c>
      <c r="AE1028" s="2">
        <f>IFERROR(__xludf.DUMMYFUNCTION("IFERROR(ABS(Q1028-AVERAGE(FILTER(Q1028:Q5096,AA1028:AA5096=""Neighbor""))) / STDEV(FILTER(Q1028:Q5096, AA1028:AA5096 =""Neighbor"")), """")"),0.13708546728682391)</f>
        <v>0.1370854673</v>
      </c>
      <c r="AF1028" s="2">
        <f>IFERROR(__xludf.DUMMYFUNCTION("IFERROR(ABS(R1028-AVERAGE(FILTER(R1028:R5096,AA1028:AA5096=""Neighbor""))) / STDEV(FILTER(R1028:R5096, AA1028:AA5096 =""Neighbor"")), """")"),0.4993931944911644)</f>
        <v>0.4993931945</v>
      </c>
    </row>
    <row r="1029">
      <c r="A1029" s="2" t="s">
        <v>28</v>
      </c>
      <c r="B1029" s="2" t="s">
        <v>3907</v>
      </c>
      <c r="C1029" s="2" t="s">
        <v>4169</v>
      </c>
      <c r="D1029" s="2" t="s">
        <v>4210</v>
      </c>
      <c r="E1029" s="2" t="s">
        <v>4211</v>
      </c>
      <c r="F1029" s="2">
        <v>189.0</v>
      </c>
      <c r="G1029" s="2">
        <v>1277.0</v>
      </c>
      <c r="H1029" s="2" t="b">
        <v>1</v>
      </c>
      <c r="I1029" s="2">
        <v>-1.0</v>
      </c>
      <c r="J1029" s="2" t="b">
        <v>0</v>
      </c>
      <c r="K1029" s="2" t="b">
        <v>0</v>
      </c>
      <c r="L1029" s="2" t="b">
        <v>0</v>
      </c>
      <c r="M1029" s="2" t="b">
        <v>0</v>
      </c>
      <c r="N1029" s="2" t="s">
        <v>33</v>
      </c>
      <c r="O1029" s="2">
        <v>109.0</v>
      </c>
      <c r="P1029" s="2">
        <v>21.0</v>
      </c>
      <c r="Q1029" s="2">
        <v>41.0</v>
      </c>
      <c r="R1029" s="2">
        <v>0.0</v>
      </c>
      <c r="S1029" s="3" t="s">
        <v>4212</v>
      </c>
      <c r="T1029" s="2" t="s">
        <v>4213</v>
      </c>
      <c r="Y1029" s="4" t="str">
        <f>IFERROR(__xludf.DUMMYFUNCTION("""COMPUTED_VALUE"""),"6.8997227")</f>
        <v>6.8997227</v>
      </c>
      <c r="Z1029" s="4" t="str">
        <f>IFERROR(__xludf.DUMMYFUNCTION("""COMPUTED_VALUE"""),"3.1679257")</f>
        <v>3.1679257</v>
      </c>
      <c r="AA1029" s="4" t="str">
        <f t="shared" si="1"/>
        <v>Not Neighbor</v>
      </c>
      <c r="AC1029" s="4">
        <f>IFERROR(__xludf.DUMMYFUNCTION("IFERROR(ABS(O1029-AVERAGE(FILTER(O1029:O5097,AA1029:AA5097=""Neighbor""))) / STDEV(FILTER(O1029:O5097, AA1029:AA5097 =""Neighbor"")), """")"),1.1035784669227338)</f>
        <v>1.103578467</v>
      </c>
      <c r="AD1029" s="4">
        <f>IFERROR(__xludf.DUMMYFUNCTION("IFERROR(ABS(P1029-AVERAGE(FILTER(O1029:P5097,AA1029:AA5097=""Neighbor""))) / STDEV(FILTER(P1029:P5097, AA1029:AA5097 =""Neighbor"")), """")"),0.8738578382521202)</f>
        <v>0.8738578383</v>
      </c>
      <c r="AE1029" s="2">
        <f>IFERROR(__xludf.DUMMYFUNCTION("IFERROR(ABS(Q1029-AVERAGE(FILTER(Q1029:Q5097,AA1029:AA5097=""Neighbor""))) / STDEV(FILTER(Q1029:Q5097, AA1029:AA5097 =""Neighbor"")), """")"),0.677688381733692)</f>
        <v>0.6776883817</v>
      </c>
      <c r="AF1029" s="2">
        <f>IFERROR(__xludf.DUMMYFUNCTION("IFERROR(ABS(R1029-AVERAGE(FILTER(R1029:R5097,AA1029:AA5097=""Neighbor""))) / STDEV(FILTER(R1029:R5097, AA1029:AA5097 =""Neighbor"")), """")"),0.2431030016811179)</f>
        <v>0.2431030017</v>
      </c>
    </row>
    <row r="1030">
      <c r="A1030" s="2" t="s">
        <v>28</v>
      </c>
      <c r="B1030" s="2" t="s">
        <v>3907</v>
      </c>
      <c r="C1030" s="2" t="s">
        <v>4169</v>
      </c>
      <c r="D1030" s="2" t="s">
        <v>4214</v>
      </c>
      <c r="E1030" s="2" t="s">
        <v>4215</v>
      </c>
      <c r="F1030" s="2">
        <v>76.0</v>
      </c>
      <c r="G1030" s="2">
        <v>424.0</v>
      </c>
      <c r="H1030" s="2" t="b">
        <v>1</v>
      </c>
      <c r="I1030" s="2">
        <v>-1.0</v>
      </c>
      <c r="J1030" s="2" t="b">
        <v>0</v>
      </c>
      <c r="K1030" s="2" t="b">
        <v>1</v>
      </c>
      <c r="L1030" s="2" t="b">
        <v>0</v>
      </c>
      <c r="M1030" s="2" t="b">
        <v>0</v>
      </c>
      <c r="N1030" s="2" t="s">
        <v>33</v>
      </c>
      <c r="O1030" s="2">
        <v>32.0</v>
      </c>
      <c r="P1030" s="2">
        <v>7.0</v>
      </c>
      <c r="Q1030" s="2">
        <v>26.0</v>
      </c>
      <c r="R1030" s="2">
        <v>0.0</v>
      </c>
      <c r="S1030" s="3" t="s">
        <v>4216</v>
      </c>
      <c r="T1030" s="2" t="s">
        <v>4217</v>
      </c>
      <c r="Y1030" s="4" t="str">
        <f>IFERROR(__xludf.DUMMYFUNCTION("""COMPUTED_VALUE"""),"6.9054879")</f>
        <v>6.9054879</v>
      </c>
      <c r="Z1030" s="4" t="str">
        <f>IFERROR(__xludf.DUMMYFUNCTION("""COMPUTED_VALUE"""),"3.2074712")</f>
        <v>3.2074712</v>
      </c>
      <c r="AA1030" s="4" t="str">
        <f t="shared" si="1"/>
        <v>Not Neighbor</v>
      </c>
      <c r="AC1030" s="4">
        <f>IFERROR(__xludf.DUMMYFUNCTION("IFERROR(ABS(O1030-AVERAGE(FILTER(O1030:O5098,AA1030:AA5098=""Neighbor""))) / STDEV(FILTER(O1030:O5098, AA1030:AA5098 =""Neighbor"")), """")"),0.7679385117537809)</f>
        <v>0.7679385118</v>
      </c>
      <c r="AD1030" s="4">
        <f>IFERROR(__xludf.DUMMYFUNCTION("IFERROR(ABS(P1030-AVERAGE(FILTER(O1030:P5098,AA1030:AA5098=""Neighbor""))) / STDEV(FILTER(P1030:P5098, AA1030:AA5098 =""Neighbor"")), """")"),1.5242557448784568)</f>
        <v>1.524255745</v>
      </c>
      <c r="AE1030" s="2">
        <f>IFERROR(__xludf.DUMMYFUNCTION("IFERROR(ABS(Q1030-AVERAGE(FILTER(Q1030:Q5098,AA1030:AA5098=""Neighbor""))) / STDEV(FILTER(Q1030:Q5098, AA1030:AA5098 =""Neighbor"")), """")"),0.053915788141151916)</f>
        <v>0.05391578814</v>
      </c>
      <c r="AF1030" s="2">
        <f>IFERROR(__xludf.DUMMYFUNCTION("IFERROR(ABS(R1030-AVERAGE(FILTER(R1030:R5098,AA1030:AA5098=""Neighbor""))) / STDEV(FILTER(R1030:R5098, AA1030:AA5098 =""Neighbor"")), """")"),0.2431030016811179)</f>
        <v>0.2431030017</v>
      </c>
    </row>
    <row r="1031">
      <c r="A1031" s="2" t="s">
        <v>28</v>
      </c>
      <c r="B1031" s="2" t="s">
        <v>3907</v>
      </c>
      <c r="C1031" s="2" t="s">
        <v>4218</v>
      </c>
      <c r="D1031" s="2" t="s">
        <v>4219</v>
      </c>
      <c r="E1031" s="2" t="s">
        <v>4220</v>
      </c>
      <c r="F1031" s="2">
        <v>121.0</v>
      </c>
      <c r="G1031" s="2">
        <v>750.0</v>
      </c>
      <c r="H1031" s="2" t="b">
        <v>1</v>
      </c>
      <c r="I1031" s="2">
        <v>-1.0</v>
      </c>
      <c r="J1031" s="2" t="b">
        <v>1</v>
      </c>
      <c r="K1031" s="2" t="b">
        <v>0</v>
      </c>
      <c r="L1031" s="2" t="b">
        <v>0</v>
      </c>
      <c r="M1031" s="2" t="b">
        <v>0</v>
      </c>
      <c r="N1031" s="2" t="s">
        <v>33</v>
      </c>
      <c r="O1031" s="2">
        <v>62.0</v>
      </c>
      <c r="P1031" s="2">
        <v>19.0</v>
      </c>
      <c r="Q1031" s="2">
        <v>25.0</v>
      </c>
      <c r="R1031" s="2">
        <v>0.0</v>
      </c>
      <c r="S1031" s="3" t="s">
        <v>4221</v>
      </c>
      <c r="T1031" s="2" t="s">
        <v>4222</v>
      </c>
      <c r="Y1031" s="4" t="str">
        <f>IFERROR(__xludf.DUMMYFUNCTION("""COMPUTED_VALUE"""),"6.9944981")</f>
        <v>6.9944981</v>
      </c>
      <c r="Z1031" s="4" t="str">
        <f>IFERROR(__xludf.DUMMYFUNCTION("""COMPUTED_VALUE"""),"3.2269419")</f>
        <v>3.2269419</v>
      </c>
      <c r="AA1031" s="4" t="str">
        <f t="shared" si="1"/>
        <v>Neighbor</v>
      </c>
      <c r="AC1031" s="4">
        <f>IFERROR(__xludf.DUMMYFUNCTION("IFERROR(ABS(O1031-AVERAGE(FILTER(O1031:O5099,AA1031:AA5099=""Neighbor""))) / STDEV(FILTER(O1031:O5099, AA1031:AA5099 =""Neighbor"")), """")"),0.038776052529164856)</f>
        <v>0.03877605253</v>
      </c>
      <c r="AD1031" s="4">
        <f>IFERROR(__xludf.DUMMYFUNCTION("IFERROR(ABS(P1031-AVERAGE(FILTER(O1031:P5099,AA1031:AA5099=""Neighbor""))) / STDEV(FILTER(P1031:P5099, AA1031:AA5099 =""Neighbor"")), """")"),0.9667718249130254)</f>
        <v>0.9667718249</v>
      </c>
      <c r="AE1031" s="2">
        <f>IFERROR(__xludf.DUMMYFUNCTION("IFERROR(ABS(Q1031-AVERAGE(FILTER(Q1031:Q5099,AA1031:AA5099=""Neighbor""))) / STDEV(FILTER(Q1031:Q5099, AA1031:AA5099 =""Neighbor"")), """")"),0.012330948568315913)</f>
        <v>0.01233094857</v>
      </c>
      <c r="AF1031" s="2">
        <f>IFERROR(__xludf.DUMMYFUNCTION("IFERROR(ABS(R1031-AVERAGE(FILTER(R1031:R5099,AA1031:AA5099=""Neighbor""))) / STDEV(FILTER(R1031:R5099, AA1031:AA5099 =""Neighbor"")), """")"),0.2431030016811179)</f>
        <v>0.2431030017</v>
      </c>
    </row>
    <row r="1032">
      <c r="A1032" s="2" t="s">
        <v>28</v>
      </c>
      <c r="B1032" s="2" t="s">
        <v>3907</v>
      </c>
      <c r="C1032" s="2" t="s">
        <v>4218</v>
      </c>
      <c r="D1032" s="2" t="s">
        <v>4223</v>
      </c>
      <c r="E1032" s="2" t="s">
        <v>4224</v>
      </c>
      <c r="F1032" s="2">
        <v>145.0</v>
      </c>
      <c r="G1032" s="2">
        <v>750.0</v>
      </c>
      <c r="H1032" s="2" t="b">
        <v>1</v>
      </c>
      <c r="I1032" s="2">
        <v>-1.0</v>
      </c>
      <c r="J1032" s="2" t="b">
        <v>0</v>
      </c>
      <c r="K1032" s="2" t="b">
        <v>0</v>
      </c>
      <c r="L1032" s="2" t="b">
        <v>0</v>
      </c>
      <c r="M1032" s="2" t="b">
        <v>0</v>
      </c>
      <c r="N1032" s="2" t="s">
        <v>33</v>
      </c>
      <c r="O1032" s="2">
        <v>77.0</v>
      </c>
      <c r="P1032" s="2">
        <v>12.0</v>
      </c>
      <c r="Q1032" s="2">
        <v>17.0</v>
      </c>
      <c r="R1032" s="2">
        <v>0.0</v>
      </c>
      <c r="S1032" s="3" t="s">
        <v>4225</v>
      </c>
      <c r="T1032" s="2" t="s">
        <v>4226</v>
      </c>
      <c r="Y1032" s="4" t="str">
        <f>IFERROR(__xludf.DUMMYFUNCTION("""COMPUTED_VALUE"""),"6.9944981")</f>
        <v>6.9944981</v>
      </c>
      <c r="Z1032" s="4" t="str">
        <f>IFERROR(__xludf.DUMMYFUNCTION("""COMPUTED_VALUE"""),"3.2269419")</f>
        <v>3.2269419</v>
      </c>
      <c r="AA1032" s="4" t="str">
        <f t="shared" si="1"/>
        <v>Neighbor</v>
      </c>
      <c r="AC1032" s="4">
        <f>IFERROR(__xludf.DUMMYFUNCTION("IFERROR(ABS(O1032-AVERAGE(FILTER(O1032:O5100,AA1032:AA5100=""Neighbor""))) / STDEV(FILTER(O1032:O5100, AA1032:AA5100 =""Neighbor"")), """")"),0.3256494969205985)</f>
        <v>0.3256494969</v>
      </c>
      <c r="AD1032" s="4">
        <f>IFERROR(__xludf.DUMMYFUNCTION("IFERROR(ABS(P1032-AVERAGE(FILTER(O1032:P5100,AA1032:AA5100=""Neighbor""))) / STDEV(FILTER(P1032:P5100, AA1032:AA5100 =""Neighbor"")), """")"),1.291456245936871)</f>
        <v>1.291456246</v>
      </c>
      <c r="AE1032" s="2">
        <f>IFERROR(__xludf.DUMMYFUNCTION("IFERROR(ABS(Q1032-AVERAGE(FILTER(Q1032:Q5100,AA1032:AA5100=""Neighbor""))) / STDEV(FILTER(Q1032:Q5100, AA1032:AA5100 =""Neighbor"")), """")"),0.3202144552933799)</f>
        <v>0.3202144553</v>
      </c>
      <c r="AF1032" s="2">
        <f>IFERROR(__xludf.DUMMYFUNCTION("IFERROR(ABS(R1032-AVERAGE(FILTER(R1032:R5100,AA1032:AA5100=""Neighbor""))) / STDEV(FILTER(R1032:R5100, AA1032:AA5100 =""Neighbor"")), """")"),0.24320240369735457)</f>
        <v>0.2432024037</v>
      </c>
    </row>
    <row r="1033">
      <c r="A1033" s="2" t="s">
        <v>28</v>
      </c>
      <c r="B1033" s="2" t="s">
        <v>3907</v>
      </c>
      <c r="C1033" s="2" t="s">
        <v>4218</v>
      </c>
      <c r="D1033" s="2" t="s">
        <v>4227</v>
      </c>
      <c r="E1033" s="2" t="s">
        <v>4228</v>
      </c>
      <c r="F1033" s="2">
        <v>163.0</v>
      </c>
      <c r="G1033" s="2">
        <v>748.0</v>
      </c>
      <c r="H1033" s="2" t="b">
        <v>1</v>
      </c>
      <c r="I1033" s="2">
        <v>-1.0</v>
      </c>
      <c r="J1033" s="2" t="b">
        <v>0</v>
      </c>
      <c r="K1033" s="2" t="b">
        <v>0</v>
      </c>
      <c r="L1033" s="2" t="b">
        <v>0</v>
      </c>
      <c r="M1033" s="2" t="b">
        <v>0</v>
      </c>
      <c r="N1033" s="2" t="s">
        <v>33</v>
      </c>
      <c r="O1033" s="2">
        <v>78.0</v>
      </c>
      <c r="P1033" s="2">
        <v>21.0</v>
      </c>
      <c r="Q1033" s="2">
        <v>0.0</v>
      </c>
      <c r="R1033" s="2">
        <v>38.0</v>
      </c>
      <c r="S1033" s="3" t="s">
        <v>4229</v>
      </c>
      <c r="T1033" s="2" t="s">
        <v>4230</v>
      </c>
      <c r="Y1033" s="4" t="str">
        <f>IFERROR(__xludf.DUMMYFUNCTION("""COMPUTED_VALUE"""),"6.9944981")</f>
        <v>6.9944981</v>
      </c>
      <c r="Z1033" s="4" t="str">
        <f>IFERROR(__xludf.DUMMYFUNCTION("""COMPUTED_VALUE"""),"3.2269419")</f>
        <v>3.2269419</v>
      </c>
      <c r="AA1033" s="4" t="str">
        <f t="shared" si="1"/>
        <v>Neighbor</v>
      </c>
      <c r="AC1033" s="4">
        <f>IFERROR(__xludf.DUMMYFUNCTION("IFERROR(ABS(O1033-AVERAGE(FILTER(O1033:O5101,AA1033:AA5101=""Neighbor""))) / STDEV(FILTER(O1033:O5101, AA1033:AA5101 =""Neighbor"")), """")"),0.35007630948206825)</f>
        <v>0.3500763095</v>
      </c>
      <c r="AD1033" s="4">
        <f>IFERROR(__xludf.DUMMYFUNCTION("IFERROR(ABS(P1033-AVERAGE(FILTER(O1033:P5101,AA1033:AA5101=""Neighbor""))) / STDEV(FILTER(P1033:P5101, AA1033:AA5101 =""Neighbor"")), """")"),0.8730073515170738)</f>
        <v>0.8730073515</v>
      </c>
      <c r="AE1033" s="2">
        <f>IFERROR(__xludf.DUMMYFUNCTION("IFERROR(ABS(Q1033-AVERAGE(FILTER(Q1033:Q5101,AA1033:AA5101=""Neighbor""))) / STDEV(FILTER(Q1033:Q5101, AA1033:AA5101 =""Neighbor"")), """")"),1.0267746863540348)</f>
        <v>1.026774686</v>
      </c>
      <c r="AF1033" s="2">
        <f>IFERROR(__xludf.DUMMYFUNCTION("IFERROR(ABS(R1033-AVERAGE(FILTER(R1033:R5101,AA1033:AA5101=""Neighbor""))) / STDEV(FILTER(R1033:R5101, AA1033:AA5101 =""Neighbor"")), """")"),27.95103042652727)</f>
        <v>27.95103043</v>
      </c>
    </row>
    <row r="1034">
      <c r="A1034" s="2" t="s">
        <v>28</v>
      </c>
      <c r="B1034" s="2" t="s">
        <v>3907</v>
      </c>
      <c r="C1034" s="2" t="s">
        <v>4218</v>
      </c>
      <c r="D1034" s="2" t="s">
        <v>4231</v>
      </c>
      <c r="E1034" s="2" t="s">
        <v>4232</v>
      </c>
      <c r="F1034" s="2">
        <v>90.0</v>
      </c>
      <c r="G1034" s="2">
        <v>375.0</v>
      </c>
      <c r="H1034" s="2" t="b">
        <v>1</v>
      </c>
      <c r="I1034" s="2">
        <v>-1.0</v>
      </c>
      <c r="J1034" s="2" t="b">
        <v>0</v>
      </c>
      <c r="K1034" s="2" t="b">
        <v>0</v>
      </c>
      <c r="L1034" s="2" t="b">
        <v>0</v>
      </c>
      <c r="M1034" s="2" t="b">
        <v>0</v>
      </c>
      <c r="N1034" s="2" t="s">
        <v>33</v>
      </c>
      <c r="O1034" s="2">
        <v>21.0</v>
      </c>
      <c r="P1034" s="2">
        <v>6.0</v>
      </c>
      <c r="Q1034" s="2">
        <v>50.0</v>
      </c>
      <c r="R1034" s="2">
        <v>1.0</v>
      </c>
      <c r="S1034" s="3" t="s">
        <v>4233</v>
      </c>
      <c r="T1034" s="2" t="s">
        <v>4234</v>
      </c>
      <c r="Y1034" s="4" t="str">
        <f>IFERROR(__xludf.DUMMYFUNCTION("""COMPUTED_VALUE"""),"6.9944981")</f>
        <v>6.9944981</v>
      </c>
      <c r="Z1034" s="4" t="str">
        <f>IFERROR(__xludf.DUMMYFUNCTION("""COMPUTED_VALUE"""),"3.2269419")</f>
        <v>3.2269419</v>
      </c>
      <c r="AA1034" s="4" t="str">
        <f t="shared" si="1"/>
        <v>Not Neighbor</v>
      </c>
      <c r="AC1034" s="4">
        <f>IFERROR(__xludf.DUMMYFUNCTION("IFERROR(ABS(O1034-AVERAGE(FILTER(O1034:O5102,AA1034:AA5102=""Neighbor""))) / STDEV(FILTER(O1034:O5102, AA1034:AA5102 =""Neighbor"")), """")"),1.0336967877173158)</f>
        <v>1.033696788</v>
      </c>
      <c r="AD1034" s="4">
        <f>IFERROR(__xludf.DUMMYFUNCTION("IFERROR(ABS(P1034-AVERAGE(FILTER(O1034:P5102,AA1034:AA5102=""Neighbor""))) / STDEV(FILTER(P1034:P5102, AA1034:AA5102 =""Neighbor"")), """")"),1.5684148310141248)</f>
        <v>1.568414831</v>
      </c>
      <c r="AE1034" s="2">
        <f>IFERROR(__xludf.DUMMYFUNCTION("IFERROR(ABS(Q1034-AVERAGE(FILTER(Q1034:Q5102,AA1034:AA5102=""Neighbor""))) / STDEV(FILTER(Q1034:Q5102, AA1034:AA5102 =""Neighbor"")), """")"),1.0501700952405408)</f>
        <v>1.050170095</v>
      </c>
      <c r="AF1034" s="2">
        <f>IFERROR(__xludf.DUMMYFUNCTION("IFERROR(ABS(R1034-AVERAGE(FILTER(R1034:R5102,AA1034:AA5102=""Neighbor""))) / STDEV(FILTER(R1034:R5102, AA1034:AA5102 =""Neighbor"")), """")"),0.8276836465584155)</f>
        <v>0.8276836466</v>
      </c>
    </row>
    <row r="1035">
      <c r="A1035" s="2" t="s">
        <v>28</v>
      </c>
      <c r="B1035" s="2" t="s">
        <v>3907</v>
      </c>
      <c r="C1035" s="2" t="s">
        <v>4218</v>
      </c>
      <c r="D1035" s="2" t="s">
        <v>4235</v>
      </c>
      <c r="E1035" s="2" t="s">
        <v>4236</v>
      </c>
      <c r="F1035" s="2">
        <v>35.0</v>
      </c>
      <c r="G1035" s="2">
        <v>246.0</v>
      </c>
      <c r="H1035" s="2" t="b">
        <v>1</v>
      </c>
      <c r="I1035" s="2">
        <v>-1.0</v>
      </c>
      <c r="J1035" s="2" t="b">
        <v>0</v>
      </c>
      <c r="K1035" s="2" t="b">
        <v>1</v>
      </c>
      <c r="L1035" s="2" t="b">
        <v>0</v>
      </c>
      <c r="M1035" s="2" t="b">
        <v>0</v>
      </c>
      <c r="N1035" s="2" t="s">
        <v>33</v>
      </c>
      <c r="O1035" s="2">
        <v>9.0</v>
      </c>
      <c r="P1035" s="2">
        <v>0.0</v>
      </c>
      <c r="Q1035" s="2">
        <v>25.0</v>
      </c>
      <c r="R1035" s="2">
        <v>0.0</v>
      </c>
      <c r="S1035" s="3" t="s">
        <v>4237</v>
      </c>
      <c r="T1035" s="2" t="s">
        <v>4238</v>
      </c>
      <c r="Y1035" s="4" t="str">
        <f>IFERROR(__xludf.DUMMYFUNCTION("""COMPUTED_VALUE"""),"6.9747382")</f>
        <v>6.9747382</v>
      </c>
      <c r="Z1035" s="4" t="str">
        <f>IFERROR(__xludf.DUMMYFUNCTION("""COMPUTED_VALUE"""),"3.2968805")</f>
        <v>3.2968805</v>
      </c>
      <c r="AA1035" s="4" t="str">
        <f t="shared" si="1"/>
        <v>Not Neighbor</v>
      </c>
      <c r="AC1035" s="4">
        <f>IFERROR(__xludf.DUMMYFUNCTION("IFERROR(ABS(O1035-AVERAGE(FILTER(O1035:O5103,AA1035:AA5103=""Neighbor""))) / STDEV(FILTER(O1035:O5103, AA1035:AA5103 =""Neighbor"")), """")"),1.3250494336854521)</f>
        <v>1.325049434</v>
      </c>
      <c r="AD1035" s="4">
        <f>IFERROR(__xludf.DUMMYFUNCTION("IFERROR(ABS(P1035-AVERAGE(FILTER(O1035:P5103,AA1035:AA5103=""Neighbor""))) / STDEV(FILTER(P1035:P5103, AA1035:AA5103 =""Neighbor"")), """")"),1.846845054178297)</f>
        <v>1.846845054</v>
      </c>
      <c r="AE1035" s="2">
        <f>IFERROR(__xludf.DUMMYFUNCTION("IFERROR(ABS(Q1035-AVERAGE(FILTER(Q1035:Q5103,AA1035:AA5103=""Neighbor""))) / STDEV(FILTER(Q1035:Q5103, AA1035:AA5103 =""Neighbor"")), """")"),0.01128938480994239)</f>
        <v>0.01128938481</v>
      </c>
      <c r="AF1035" s="2">
        <f>IFERROR(__xludf.DUMMYFUNCTION("IFERROR(ABS(R1035-AVERAGE(FILTER(R1035:R5103,AA1035:AA5103=""Neighbor""))) / STDEV(FILTER(R1035:R5103, AA1035:AA5103 =""Neighbor"")), """")"),0.35263342999067154)</f>
        <v>0.35263343</v>
      </c>
    </row>
    <row r="1036">
      <c r="A1036" s="2" t="s">
        <v>28</v>
      </c>
      <c r="B1036" s="2" t="s">
        <v>3907</v>
      </c>
      <c r="C1036" s="2" t="s">
        <v>4218</v>
      </c>
      <c r="D1036" s="2" t="s">
        <v>4239</v>
      </c>
      <c r="E1036" s="2" t="s">
        <v>4240</v>
      </c>
      <c r="F1036" s="2">
        <v>82.0</v>
      </c>
      <c r="G1036" s="2">
        <v>493.0</v>
      </c>
      <c r="H1036" s="2" t="b">
        <v>1</v>
      </c>
      <c r="I1036" s="2">
        <v>-1.0</v>
      </c>
      <c r="J1036" s="2" t="b">
        <v>0</v>
      </c>
      <c r="K1036" s="2" t="b">
        <v>0</v>
      </c>
      <c r="L1036" s="2" t="b">
        <v>0</v>
      </c>
      <c r="M1036" s="2" t="b">
        <v>0</v>
      </c>
      <c r="N1036" s="2" t="s">
        <v>33</v>
      </c>
      <c r="O1036" s="2">
        <v>52.0</v>
      </c>
      <c r="P1036" s="2">
        <v>2.0</v>
      </c>
      <c r="Q1036" s="2">
        <v>18.0</v>
      </c>
      <c r="R1036" s="2">
        <v>0.0</v>
      </c>
      <c r="S1036" s="3" t="s">
        <v>4241</v>
      </c>
      <c r="T1036" s="2" t="s">
        <v>4242</v>
      </c>
      <c r="Y1036" s="4" t="str">
        <f>IFERROR(__xludf.DUMMYFUNCTION("""COMPUTED_VALUE"""),"6.9863718")</f>
        <v>6.9863718</v>
      </c>
      <c r="Z1036" s="4" t="str">
        <f>IFERROR(__xludf.DUMMYFUNCTION("""COMPUTED_VALUE"""),"3.2629203")</f>
        <v>3.2629203</v>
      </c>
      <c r="AA1036" s="4" t="str">
        <f t="shared" si="1"/>
        <v>Not Neighbor</v>
      </c>
      <c r="AC1036" s="4">
        <f>IFERROR(__xludf.DUMMYFUNCTION("IFERROR(ABS(O1036-AVERAGE(FILTER(O1036:O5104,AA1036:AA5104=""Neighbor""))) / STDEV(FILTER(O1036:O5104, AA1036:AA5104 =""Neighbor"")), """")"),0.2810357856329641)</f>
        <v>0.2810357856</v>
      </c>
      <c r="AD1036" s="4">
        <f>IFERROR(__xludf.DUMMYFUNCTION("IFERROR(ABS(P1036-AVERAGE(FILTER(O1036:P5104,AA1036:AA5104=""Neighbor""))) / STDEV(FILTER(P1036:P5104, AA1036:AA5104 =""Neighbor"")), """")"),1.7540349797902397)</f>
        <v>1.75403498</v>
      </c>
      <c r="AE1036" s="2">
        <f>IFERROR(__xludf.DUMMYFUNCTION("IFERROR(ABS(Q1036-AVERAGE(FILTER(Q1036:Q5104,AA1036:AA5104=""Neighbor""))) / STDEV(FILTER(Q1036:Q5104, AA1036:AA5104 =""Neighbor"")), """")"),0.27959721411062516)</f>
        <v>0.2795972141</v>
      </c>
      <c r="AF1036" s="2">
        <f>IFERROR(__xludf.DUMMYFUNCTION("IFERROR(ABS(R1036-AVERAGE(FILTER(R1036:R5104,AA1036:AA5104=""Neighbor""))) / STDEV(FILTER(R1036:R5104, AA1036:AA5104 =""Neighbor"")), """")"),0.35263342999067154)</f>
        <v>0.35263343</v>
      </c>
    </row>
    <row r="1037">
      <c r="A1037" s="2" t="s">
        <v>28</v>
      </c>
      <c r="B1037" s="2" t="s">
        <v>3907</v>
      </c>
      <c r="C1037" s="2" t="s">
        <v>4218</v>
      </c>
      <c r="D1037" s="2" t="s">
        <v>4243</v>
      </c>
      <c r="E1037" s="2" t="s">
        <v>4244</v>
      </c>
      <c r="F1037" s="2">
        <v>82.0</v>
      </c>
      <c r="G1037" s="2">
        <v>565.0</v>
      </c>
      <c r="H1037" s="2" t="b">
        <v>1</v>
      </c>
      <c r="I1037" s="2">
        <v>-1.0</v>
      </c>
      <c r="J1037" s="2" t="b">
        <v>0</v>
      </c>
      <c r="K1037" s="2" t="b">
        <v>0</v>
      </c>
      <c r="L1037" s="2" t="b">
        <v>0</v>
      </c>
      <c r="M1037" s="2" t="b">
        <v>0</v>
      </c>
      <c r="N1037" s="2" t="s">
        <v>33</v>
      </c>
      <c r="O1037" s="2">
        <v>62.0</v>
      </c>
      <c r="P1037" s="2">
        <v>0.0</v>
      </c>
      <c r="Q1037" s="2">
        <v>14.0</v>
      </c>
      <c r="R1037" s="2">
        <v>0.0</v>
      </c>
      <c r="S1037" s="3" t="s">
        <v>4245</v>
      </c>
      <c r="T1037" s="2" t="s">
        <v>4246</v>
      </c>
      <c r="Y1037" s="4" t="str">
        <f>IFERROR(__xludf.DUMMYFUNCTION("""COMPUTED_VALUE"""),"6.9944981")</f>
        <v>6.9944981</v>
      </c>
      <c r="Z1037" s="4" t="str">
        <f>IFERROR(__xludf.DUMMYFUNCTION("""COMPUTED_VALUE"""),"3.2269419")</f>
        <v>3.2269419</v>
      </c>
      <c r="AA1037" s="4" t="str">
        <f t="shared" si="1"/>
        <v>Not Neighbor</v>
      </c>
      <c r="AC1037" s="4">
        <f>IFERROR(__xludf.DUMMYFUNCTION("IFERROR(ABS(O1037-AVERAGE(FILTER(O1037:O5105,AA1037:AA5105=""Neighbor""))) / STDEV(FILTER(O1037:O5105, AA1037:AA5105 =""Neighbor"")), """")"),0.03824191399285063)</f>
        <v>0.03824191399</v>
      </c>
      <c r="AD1037" s="4">
        <f>IFERROR(__xludf.DUMMYFUNCTION("IFERROR(ABS(P1037-AVERAGE(FILTER(O1037:P5105,AA1037:AA5105=""Neighbor""))) / STDEV(FILTER(P1037:P5105, AA1037:AA5105 =""Neighbor"")), """")"),1.846845054178297)</f>
        <v>1.846845054</v>
      </c>
      <c r="AE1037" s="2">
        <f>IFERROR(__xludf.DUMMYFUNCTION("IFERROR(ABS(Q1037-AVERAGE(FILTER(Q1037:Q5105,AA1037:AA5105=""Neighbor""))) / STDEV(FILTER(Q1037:Q5105, AA1037:AA5105 =""Neighbor"")), """")"),0.44581812777952096)</f>
        <v>0.4458181278</v>
      </c>
      <c r="AF1037" s="2">
        <f>IFERROR(__xludf.DUMMYFUNCTION("IFERROR(ABS(R1037-AVERAGE(FILTER(R1037:R5105,AA1037:AA5105=""Neighbor""))) / STDEV(FILTER(R1037:R5105, AA1037:AA5105 =""Neighbor"")), """")"),0.35263342999067154)</f>
        <v>0.35263343</v>
      </c>
    </row>
    <row r="1038">
      <c r="A1038" s="2" t="s">
        <v>28</v>
      </c>
      <c r="B1038" s="2" t="s">
        <v>3907</v>
      </c>
      <c r="C1038" s="2" t="s">
        <v>4247</v>
      </c>
      <c r="D1038" s="2" t="s">
        <v>4248</v>
      </c>
      <c r="E1038" s="2" t="s">
        <v>4249</v>
      </c>
      <c r="F1038" s="2">
        <v>49.0</v>
      </c>
      <c r="G1038" s="2">
        <v>269.0</v>
      </c>
      <c r="H1038" s="2" t="b">
        <v>1</v>
      </c>
      <c r="I1038" s="2">
        <v>-1.0</v>
      </c>
      <c r="J1038" s="2" t="b">
        <v>0</v>
      </c>
      <c r="K1038" s="2" t="b">
        <v>0</v>
      </c>
      <c r="L1038" s="2" t="b">
        <v>0</v>
      </c>
      <c r="M1038" s="2" t="b">
        <v>0</v>
      </c>
      <c r="N1038" s="2" t="s">
        <v>33</v>
      </c>
      <c r="O1038" s="2">
        <v>21.0</v>
      </c>
      <c r="P1038" s="2">
        <v>1.0</v>
      </c>
      <c r="Q1038" s="2">
        <v>8.0</v>
      </c>
      <c r="R1038" s="2">
        <v>0.0</v>
      </c>
      <c r="S1038" s="3" t="s">
        <v>4250</v>
      </c>
      <c r="T1038" s="2" t="s">
        <v>4251</v>
      </c>
      <c r="Y1038" s="4" t="str">
        <f>IFERROR(__xludf.DUMMYFUNCTION("""COMPUTED_VALUE"""),"6.9547854")</f>
        <v>6.9547854</v>
      </c>
      <c r="Z1038" s="4" t="str">
        <f>IFERROR(__xludf.DUMMYFUNCTION("""COMPUTED_VALUE"""),"3.2116295")</f>
        <v>3.2116295</v>
      </c>
      <c r="AA1038" s="4" t="str">
        <f t="shared" si="1"/>
        <v>Not Neighbor</v>
      </c>
      <c r="AC1038" s="4">
        <f>IFERROR(__xludf.DUMMYFUNCTION("IFERROR(ABS(O1038-AVERAGE(FILTER(O1038:O5106,AA1038:AA5106=""Neighbor""))) / STDEV(FILTER(O1038:O5106, AA1038:AA5106 =""Neighbor"")), """")"),1.0336967877173158)</f>
        <v>1.033696788</v>
      </c>
      <c r="AD1038" s="4">
        <f>IFERROR(__xludf.DUMMYFUNCTION("IFERROR(ABS(P1038-AVERAGE(FILTER(O1038:P5106,AA1038:AA5106=""Neighbor""))) / STDEV(FILTER(P1038:P5106, AA1038:AA5106 =""Neighbor"")), """")"),1.8004400169842685)</f>
        <v>1.800440017</v>
      </c>
      <c r="AE1038" s="2">
        <f>IFERROR(__xludf.DUMMYFUNCTION("IFERROR(ABS(Q1038-AVERAGE(FILTER(Q1038:Q5106,AA1038:AA5106=""Neighbor""))) / STDEV(FILTER(Q1038:Q5106, AA1038:AA5106 =""Neighbor"")), """")"),0.6951494982828645)</f>
        <v>0.6951494983</v>
      </c>
      <c r="AF1038" s="2">
        <f>IFERROR(__xludf.DUMMYFUNCTION("IFERROR(ABS(R1038-AVERAGE(FILTER(R1038:R5106,AA1038:AA5106=""Neighbor""))) / STDEV(FILTER(R1038:R5106, AA1038:AA5106 =""Neighbor"")), """")"),0.35263342999067154)</f>
        <v>0.35263343</v>
      </c>
    </row>
    <row r="1039">
      <c r="A1039" s="2" t="s">
        <v>28</v>
      </c>
      <c r="B1039" s="2" t="s">
        <v>3907</v>
      </c>
      <c r="C1039" s="2" t="s">
        <v>4247</v>
      </c>
      <c r="D1039" s="2" t="s">
        <v>4252</v>
      </c>
      <c r="E1039" s="2" t="s">
        <v>4253</v>
      </c>
      <c r="F1039" s="2">
        <v>58.0</v>
      </c>
      <c r="G1039" s="2">
        <v>315.0</v>
      </c>
      <c r="H1039" s="2" t="b">
        <v>1</v>
      </c>
      <c r="I1039" s="2">
        <v>-1.0</v>
      </c>
      <c r="J1039" s="2" t="b">
        <v>0</v>
      </c>
      <c r="K1039" s="2" t="b">
        <v>1</v>
      </c>
      <c r="L1039" s="2" t="b">
        <v>0</v>
      </c>
      <c r="M1039" s="2" t="b">
        <v>0</v>
      </c>
      <c r="N1039" s="2" t="s">
        <v>33</v>
      </c>
      <c r="O1039" s="2">
        <v>0.0</v>
      </c>
      <c r="P1039" s="2">
        <v>0.0</v>
      </c>
      <c r="Q1039" s="2">
        <v>0.0</v>
      </c>
      <c r="R1039" s="2">
        <v>0.0</v>
      </c>
      <c r="S1039" s="3" t="s">
        <v>4254</v>
      </c>
      <c r="T1039" s="2" t="s">
        <v>4255</v>
      </c>
      <c r="Y1039" s="4" t="str">
        <f>IFERROR(__xludf.DUMMYFUNCTION("""COMPUTED_VALUE"""),"6.9944981")</f>
        <v>6.9944981</v>
      </c>
      <c r="Z1039" s="4" t="str">
        <f>IFERROR(__xludf.DUMMYFUNCTION("""COMPUTED_VALUE"""),"3.2269419")</f>
        <v>3.2269419</v>
      </c>
      <c r="AA1039" s="4" t="str">
        <f t="shared" si="1"/>
        <v>Not Neighbor</v>
      </c>
      <c r="AC1039" s="4">
        <f>IFERROR(__xludf.DUMMYFUNCTION("IFERROR(ABS(O1039-AVERAGE(FILTER(O1039:O5107,AA1039:AA5107=""Neighbor""))) / STDEV(FILTER(O1039:O5107, AA1039:AA5107 =""Neighbor"")), """")"),1.5435639181615541)</f>
        <v>1.543563918</v>
      </c>
      <c r="AD1039" s="4">
        <f>IFERROR(__xludf.DUMMYFUNCTION("IFERROR(ABS(P1039-AVERAGE(FILTER(O1039:P5107,AA1039:AA5107=""Neighbor""))) / STDEV(FILTER(P1039:P5107, AA1039:AA5107 =""Neighbor"")), """")"),1.846845054178297)</f>
        <v>1.846845054</v>
      </c>
      <c r="AE1039" s="2">
        <f>IFERROR(__xludf.DUMMYFUNCTION("IFERROR(ABS(Q1039-AVERAGE(FILTER(Q1039:Q5107,AA1039:AA5107=""Neighbor""))) / STDEV(FILTER(Q1039:Q5107, AA1039:AA5107 =""Neighbor"")), """")"),1.0275913256206561)</f>
        <v>1.027591326</v>
      </c>
      <c r="AF1039" s="2">
        <f>IFERROR(__xludf.DUMMYFUNCTION("IFERROR(ABS(R1039-AVERAGE(FILTER(R1039:R5107,AA1039:AA5107=""Neighbor""))) / STDEV(FILTER(R1039:R5107, AA1039:AA5107 =""Neighbor"")), """")"),0.35263342999067154)</f>
        <v>0.35263343</v>
      </c>
    </row>
    <row r="1040">
      <c r="A1040" s="2" t="s">
        <v>28</v>
      </c>
      <c r="B1040" s="2" t="s">
        <v>3907</v>
      </c>
      <c r="C1040" s="2" t="s">
        <v>4247</v>
      </c>
      <c r="D1040" s="2" t="s">
        <v>4256</v>
      </c>
      <c r="E1040" s="2" t="s">
        <v>4257</v>
      </c>
      <c r="F1040" s="2">
        <v>104.0</v>
      </c>
      <c r="G1040" s="2">
        <v>522.0</v>
      </c>
      <c r="H1040" s="2" t="b">
        <v>1</v>
      </c>
      <c r="I1040" s="2">
        <v>-1.0</v>
      </c>
      <c r="J1040" s="2" t="b">
        <v>0</v>
      </c>
      <c r="K1040" s="2" t="b">
        <v>0</v>
      </c>
      <c r="L1040" s="2" t="b">
        <v>0</v>
      </c>
      <c r="M1040" s="2" t="b">
        <v>0</v>
      </c>
      <c r="N1040" s="2" t="s">
        <v>33</v>
      </c>
      <c r="O1040" s="2">
        <v>41.0</v>
      </c>
      <c r="P1040" s="2">
        <v>2.0</v>
      </c>
      <c r="Q1040" s="2">
        <v>44.0</v>
      </c>
      <c r="R1040" s="2">
        <v>0.0</v>
      </c>
      <c r="S1040" s="3" t="s">
        <v>4258</v>
      </c>
      <c r="T1040" s="2" t="s">
        <v>4259</v>
      </c>
      <c r="Y1040" s="4" t="str">
        <f>IFERROR(__xludf.DUMMYFUNCTION("""COMPUTED_VALUE"""),"6.9529882")</f>
        <v>6.9529882</v>
      </c>
      <c r="Z1040" s="4" t="str">
        <f>IFERROR(__xludf.DUMMYFUNCTION("""COMPUTED_VALUE"""),"3.2181477")</f>
        <v>3.2181477</v>
      </c>
      <c r="AA1040" s="4" t="str">
        <f t="shared" si="1"/>
        <v>Not Neighbor</v>
      </c>
      <c r="AC1040" s="4">
        <f>IFERROR(__xludf.DUMMYFUNCTION("IFERROR(ABS(O1040-AVERAGE(FILTER(O1040:O5108,AA1040:AA5108=""Neighbor""))) / STDEV(FILTER(O1040:O5108, AA1040:AA5108 =""Neighbor"")), """")"),0.548109044437089)</f>
        <v>0.5481090444</v>
      </c>
      <c r="AD1040" s="4">
        <f>IFERROR(__xludf.DUMMYFUNCTION("IFERROR(ABS(P1040-AVERAGE(FILTER(O1040:P5108,AA1040:AA5108=""Neighbor""))) / STDEV(FILTER(P1040:P5108, AA1040:AA5108 =""Neighbor"")), """")"),1.7540349797902397)</f>
        <v>1.75403498</v>
      </c>
      <c r="AE1040" s="2">
        <f>IFERROR(__xludf.DUMMYFUNCTION("IFERROR(ABS(Q1040-AVERAGE(FILTER(Q1040:Q5108,AA1040:AA5108=""Neighbor""))) / STDEV(FILTER(Q1040:Q5108, AA1040:AA5108 =""Neighbor"")), """")"),0.8008387247371972)</f>
        <v>0.8008387247</v>
      </c>
      <c r="AF1040" s="2">
        <f>IFERROR(__xludf.DUMMYFUNCTION("IFERROR(ABS(R1040-AVERAGE(FILTER(R1040:R5108,AA1040:AA5108=""Neighbor""))) / STDEV(FILTER(R1040:R5108, AA1040:AA5108 =""Neighbor"")), """")"),0.35263342999067154)</f>
        <v>0.35263343</v>
      </c>
    </row>
    <row r="1041">
      <c r="A1041" s="2" t="s">
        <v>28</v>
      </c>
      <c r="B1041" s="2" t="s">
        <v>3907</v>
      </c>
      <c r="C1041" s="2" t="s">
        <v>4247</v>
      </c>
      <c r="D1041" s="2" t="s">
        <v>4260</v>
      </c>
      <c r="E1041" s="2" t="s">
        <v>4261</v>
      </c>
      <c r="F1041" s="2">
        <v>87.0</v>
      </c>
      <c r="G1041" s="2">
        <v>392.0</v>
      </c>
      <c r="H1041" s="2" t="b">
        <v>1</v>
      </c>
      <c r="I1041" s="2">
        <v>-1.0</v>
      </c>
      <c r="J1041" s="2" t="b">
        <v>0</v>
      </c>
      <c r="K1041" s="2" t="b">
        <v>0</v>
      </c>
      <c r="L1041" s="2" t="b">
        <v>0</v>
      </c>
      <c r="M1041" s="2" t="b">
        <v>0</v>
      </c>
      <c r="N1041" s="2" t="s">
        <v>33</v>
      </c>
      <c r="O1041" s="2">
        <v>27.0</v>
      </c>
      <c r="P1041" s="2">
        <v>1.0</v>
      </c>
      <c r="Q1041" s="2">
        <v>24.0</v>
      </c>
      <c r="R1041" s="2">
        <v>0.0</v>
      </c>
      <c r="S1041" s="3" t="s">
        <v>4262</v>
      </c>
      <c r="T1041" s="2" t="s">
        <v>4263</v>
      </c>
      <c r="Y1041" s="4" t="str">
        <f>IFERROR(__xludf.DUMMYFUNCTION("""COMPUTED_VALUE"""),"7.0253466")</f>
        <v>7.0253466</v>
      </c>
      <c r="Z1041" s="4" t="str">
        <f>IFERROR(__xludf.DUMMYFUNCTION("""COMPUTED_VALUE"""),"3.2038605")</f>
        <v>3.2038605</v>
      </c>
      <c r="AA1041" s="4" t="str">
        <f t="shared" si="1"/>
        <v>Not Neighbor</v>
      </c>
      <c r="AC1041" s="4">
        <f>IFERROR(__xludf.DUMMYFUNCTION("IFERROR(ABS(O1041-AVERAGE(FILTER(O1041:O5109,AA1041:AA5109=""Neighbor""))) / STDEV(FILTER(O1041:O5109, AA1041:AA5109 =""Neighbor"")), """")"),0.8880204647332478)</f>
        <v>0.8880204647</v>
      </c>
      <c r="AD1041" s="4">
        <f>IFERROR(__xludf.DUMMYFUNCTION("IFERROR(ABS(P1041-AVERAGE(FILTER(O1041:P5109,AA1041:AA5109=""Neighbor""))) / STDEV(FILTER(P1041:P5109, AA1041:AA5109 =""Neighbor"")), """")"),1.8004400169842685)</f>
        <v>1.800440017</v>
      </c>
      <c r="AE1041" s="2">
        <f>IFERROR(__xludf.DUMMYFUNCTION("IFERROR(ABS(Q1041-AVERAGE(FILTER(Q1041:Q5109,AA1041:AA5109=""Neighbor""))) / STDEV(FILTER(Q1041:Q5109, AA1041:AA5109 =""Neighbor"")), """")"),0.03026584360728155)</f>
        <v>0.03026584361</v>
      </c>
      <c r="AF1041" s="2">
        <f>IFERROR(__xludf.DUMMYFUNCTION("IFERROR(ABS(R1041-AVERAGE(FILTER(R1041:R5109,AA1041:AA5109=""Neighbor""))) / STDEV(FILTER(R1041:R5109, AA1041:AA5109 =""Neighbor"")), """")"),0.35263342999067154)</f>
        <v>0.35263343</v>
      </c>
    </row>
    <row r="1042">
      <c r="A1042" s="2" t="s">
        <v>28</v>
      </c>
      <c r="B1042" s="2" t="s">
        <v>3907</v>
      </c>
      <c r="C1042" s="2" t="s">
        <v>4247</v>
      </c>
      <c r="D1042" s="2" t="s">
        <v>4264</v>
      </c>
      <c r="E1042" s="2" t="s">
        <v>4265</v>
      </c>
      <c r="F1042" s="2">
        <v>103.0</v>
      </c>
      <c r="G1042" s="2">
        <v>446.0</v>
      </c>
      <c r="H1042" s="2" t="b">
        <v>1</v>
      </c>
      <c r="I1042" s="2">
        <v>-1.0</v>
      </c>
      <c r="J1042" s="2" t="b">
        <v>0</v>
      </c>
      <c r="K1042" s="2" t="b">
        <v>1</v>
      </c>
      <c r="L1042" s="2" t="b">
        <v>0</v>
      </c>
      <c r="M1042" s="2" t="b">
        <v>0</v>
      </c>
      <c r="N1042" s="2" t="s">
        <v>33</v>
      </c>
      <c r="O1042" s="2">
        <v>49.0</v>
      </c>
      <c r="P1042" s="2">
        <v>0.0</v>
      </c>
      <c r="Q1042" s="2">
        <v>17.0</v>
      </c>
      <c r="R1042" s="2">
        <v>0.0</v>
      </c>
      <c r="S1042" s="3" t="s">
        <v>4266</v>
      </c>
      <c r="T1042" s="2" t="s">
        <v>4267</v>
      </c>
      <c r="Y1042" s="4" t="str">
        <f>IFERROR(__xludf.DUMMYFUNCTION("""COMPUTED_VALUE"""),"6.9529882")</f>
        <v>6.9529882</v>
      </c>
      <c r="Z1042" s="4" t="str">
        <f>IFERROR(__xludf.DUMMYFUNCTION("""COMPUTED_VALUE"""),"3.2181477")</f>
        <v>3.2181477</v>
      </c>
      <c r="AA1042" s="4" t="str">
        <f t="shared" si="1"/>
        <v>Not Neighbor</v>
      </c>
      <c r="AC1042" s="4">
        <f>IFERROR(__xludf.DUMMYFUNCTION("IFERROR(ABS(O1042-AVERAGE(FILTER(O1042:O5110,AA1042:AA5110=""Neighbor""))) / STDEV(FILTER(O1042:O5110, AA1042:AA5110 =""Neighbor"")), """")"),0.35387394712499814)</f>
        <v>0.3538739471</v>
      </c>
      <c r="AD1042" s="4">
        <f>IFERROR(__xludf.DUMMYFUNCTION("IFERROR(ABS(P1042-AVERAGE(FILTER(O1042:P5110,AA1042:AA5110=""Neighbor""))) / STDEV(FILTER(P1042:P5110, AA1042:AA5110 =""Neighbor"")), """")"),1.846845054178297)</f>
        <v>1.846845054</v>
      </c>
      <c r="AE1042" s="2">
        <f>IFERROR(__xludf.DUMMYFUNCTION("IFERROR(ABS(Q1042-AVERAGE(FILTER(Q1042:Q5110,AA1042:AA5110=""Neighbor""))) / STDEV(FILTER(Q1042:Q5110, AA1042:AA5110 =""Neighbor"")), """")"),0.32115244252784914)</f>
        <v>0.3211524425</v>
      </c>
      <c r="AF1042" s="2">
        <f>IFERROR(__xludf.DUMMYFUNCTION("IFERROR(ABS(R1042-AVERAGE(FILTER(R1042:R5110,AA1042:AA5110=""Neighbor""))) / STDEV(FILTER(R1042:R5110, AA1042:AA5110 =""Neighbor"")), """")"),0.35263342999067154)</f>
        <v>0.35263343</v>
      </c>
    </row>
    <row r="1043">
      <c r="A1043" s="2" t="s">
        <v>28</v>
      </c>
      <c r="B1043" s="2" t="s">
        <v>3907</v>
      </c>
      <c r="C1043" s="2" t="s">
        <v>4247</v>
      </c>
      <c r="D1043" s="2" t="s">
        <v>4268</v>
      </c>
      <c r="E1043" s="2" t="s">
        <v>4269</v>
      </c>
      <c r="F1043" s="2">
        <v>75.0</v>
      </c>
      <c r="G1043" s="2">
        <v>387.0</v>
      </c>
      <c r="H1043" s="2" t="b">
        <v>1</v>
      </c>
      <c r="I1043" s="2">
        <v>-1.0</v>
      </c>
      <c r="J1043" s="2" t="b">
        <v>0</v>
      </c>
      <c r="K1043" s="2" t="b">
        <v>0</v>
      </c>
      <c r="L1043" s="2" t="b">
        <v>0</v>
      </c>
      <c r="M1043" s="2" t="b">
        <v>0</v>
      </c>
      <c r="N1043" s="2" t="s">
        <v>33</v>
      </c>
      <c r="O1043" s="2">
        <v>34.0</v>
      </c>
      <c r="P1043" s="2">
        <v>8.0</v>
      </c>
      <c r="Q1043" s="2">
        <v>8.0</v>
      </c>
      <c r="R1043" s="2">
        <v>0.0</v>
      </c>
      <c r="S1043" s="3" t="s">
        <v>4270</v>
      </c>
      <c r="T1043" s="2" t="s">
        <v>4271</v>
      </c>
      <c r="Y1043" s="4" t="str">
        <f>IFERROR(__xludf.DUMMYFUNCTION("""COMPUTED_VALUE"""),"6.9944981")</f>
        <v>6.9944981</v>
      </c>
      <c r="Z1043" s="4" t="str">
        <f>IFERROR(__xludf.DUMMYFUNCTION("""COMPUTED_VALUE"""),"3.2269419")</f>
        <v>3.2269419</v>
      </c>
      <c r="AA1043" s="4" t="str">
        <f t="shared" si="1"/>
        <v>Not Neighbor</v>
      </c>
      <c r="AC1043" s="4">
        <f>IFERROR(__xludf.DUMMYFUNCTION("IFERROR(ABS(O1043-AVERAGE(FILTER(O1043:O5111,AA1043:AA5111=""Neighbor""))) / STDEV(FILTER(O1043:O5111, AA1043:AA5111 =""Neighbor"")), """")"),0.7180647545851684)</f>
        <v>0.7180647546</v>
      </c>
      <c r="AD1043" s="4">
        <f>IFERROR(__xludf.DUMMYFUNCTION("IFERROR(ABS(P1043-AVERAGE(FILTER(O1043:P5111,AA1043:AA5111=""Neighbor""))) / STDEV(FILTER(P1043:P5111, AA1043:AA5111 =""Neighbor"")), """")"),1.4756047566260673)</f>
        <v>1.475604757</v>
      </c>
      <c r="AE1043" s="2">
        <f>IFERROR(__xludf.DUMMYFUNCTION("IFERROR(ABS(Q1043-AVERAGE(FILTER(Q1043:Q5111,AA1043:AA5111=""Neighbor""))) / STDEV(FILTER(Q1043:Q5111, AA1043:AA5111 =""Neighbor"")), """")"),0.6951494982828645)</f>
        <v>0.6951494983</v>
      </c>
      <c r="AF1043" s="2">
        <f>IFERROR(__xludf.DUMMYFUNCTION("IFERROR(ABS(R1043-AVERAGE(FILTER(R1043:R5111,AA1043:AA5111=""Neighbor""))) / STDEV(FILTER(R1043:R5111, AA1043:AA5111 =""Neighbor"")), """")"),0.35263342999067154)</f>
        <v>0.35263343</v>
      </c>
    </row>
    <row r="1044">
      <c r="A1044" s="2" t="s">
        <v>28</v>
      </c>
      <c r="B1044" s="2" t="s">
        <v>3907</v>
      </c>
      <c r="C1044" s="2" t="s">
        <v>4247</v>
      </c>
      <c r="D1044" s="2" t="s">
        <v>4272</v>
      </c>
      <c r="E1044" s="2" t="s">
        <v>4273</v>
      </c>
      <c r="F1044" s="2">
        <v>94.0</v>
      </c>
      <c r="G1044" s="2">
        <v>542.0</v>
      </c>
      <c r="H1044" s="2" t="b">
        <v>1</v>
      </c>
      <c r="I1044" s="2">
        <v>-1.0</v>
      </c>
      <c r="J1044" s="2" t="b">
        <v>0</v>
      </c>
      <c r="K1044" s="2" t="b">
        <v>1</v>
      </c>
      <c r="L1044" s="2" t="b">
        <v>0</v>
      </c>
      <c r="M1044" s="2" t="b">
        <v>0</v>
      </c>
      <c r="N1044" s="2" t="s">
        <v>33</v>
      </c>
      <c r="O1044" s="2">
        <v>33.0</v>
      </c>
      <c r="P1044" s="2">
        <v>4.0</v>
      </c>
      <c r="Q1044" s="2">
        <v>20.0</v>
      </c>
      <c r="R1044" s="2">
        <v>0.0</v>
      </c>
      <c r="S1044" s="3" t="s">
        <v>4274</v>
      </c>
      <c r="T1044" s="2" t="s">
        <v>4275</v>
      </c>
      <c r="Y1044" s="4" t="str">
        <f>IFERROR(__xludf.DUMMYFUNCTION("""COMPUTED_VALUE"""),"7.0177724")</f>
        <v>7.0177724</v>
      </c>
      <c r="Z1044" s="4" t="str">
        <f>IFERROR(__xludf.DUMMYFUNCTION("""COMPUTED_VALUE"""),"3.1578875")</f>
        <v>3.1578875</v>
      </c>
      <c r="AA1044" s="4" t="str">
        <f t="shared" si="1"/>
        <v>Neighbor</v>
      </c>
      <c r="AC1044" s="4">
        <f>IFERROR(__xludf.DUMMYFUNCTION("IFERROR(ABS(O1044-AVERAGE(FILTER(O1044:O5112,AA1044:AA5112=""Neighbor""))) / STDEV(FILTER(O1044:O5112, AA1044:AA5112 =""Neighbor"")), """")"),0.7423441417491797)</f>
        <v>0.7423441417</v>
      </c>
      <c r="AD1044" s="4">
        <f>IFERROR(__xludf.DUMMYFUNCTION("IFERROR(ABS(P1044-AVERAGE(FILTER(O1044:P5112,AA1044:AA5112=""Neighbor""))) / STDEV(FILTER(P1044:P5112, AA1044:AA5112 =""Neighbor"")), """")"),1.6612249054021822)</f>
        <v>1.661224905</v>
      </c>
      <c r="AE1044" s="2">
        <f>IFERROR(__xludf.DUMMYFUNCTION("IFERROR(ABS(Q1044-AVERAGE(FILTER(Q1044:Q5112,AA1044:AA5112=""Neighbor""))) / STDEV(FILTER(Q1044:Q5112, AA1044:AA5112 =""Neighbor"")), """")"),0.19648675727617732)</f>
        <v>0.1964867573</v>
      </c>
      <c r="AF1044" s="2">
        <f>IFERROR(__xludf.DUMMYFUNCTION("IFERROR(ABS(R1044-AVERAGE(FILTER(R1044:R5112,AA1044:AA5112=""Neighbor""))) / STDEV(FILTER(R1044:R5112, AA1044:AA5112 =""Neighbor"")), """")"),0.35263342999067154)</f>
        <v>0.35263343</v>
      </c>
    </row>
    <row r="1045">
      <c r="A1045" s="2" t="s">
        <v>28</v>
      </c>
      <c r="B1045" s="2" t="s">
        <v>3907</v>
      </c>
      <c r="C1045" s="2" t="s">
        <v>4247</v>
      </c>
      <c r="D1045" s="2" t="s">
        <v>4276</v>
      </c>
      <c r="E1045" s="2" t="s">
        <v>4277</v>
      </c>
      <c r="F1045" s="2">
        <v>81.0</v>
      </c>
      <c r="G1045" s="2">
        <v>460.0</v>
      </c>
      <c r="H1045" s="2" t="b">
        <v>1</v>
      </c>
      <c r="I1045" s="2">
        <v>-1.0</v>
      </c>
      <c r="J1045" s="2" t="b">
        <v>0</v>
      </c>
      <c r="K1045" s="2" t="b">
        <v>0</v>
      </c>
      <c r="L1045" s="2" t="b">
        <v>0</v>
      </c>
      <c r="M1045" s="2" t="b">
        <v>0</v>
      </c>
      <c r="N1045" s="2" t="s">
        <v>33</v>
      </c>
      <c r="O1045" s="2">
        <v>27.0</v>
      </c>
      <c r="P1045" s="2">
        <v>5.0</v>
      </c>
      <c r="Q1045" s="2">
        <v>16.0</v>
      </c>
      <c r="R1045" s="2">
        <v>0.0</v>
      </c>
      <c r="S1045" s="3" t="s">
        <v>4278</v>
      </c>
      <c r="T1045" s="2" t="s">
        <v>4279</v>
      </c>
      <c r="Y1045" s="4" t="str">
        <f>IFERROR(__xludf.DUMMYFUNCTION("""COMPUTED_VALUE"""),"7.0177724")</f>
        <v>7.0177724</v>
      </c>
      <c r="Z1045" s="4" t="str">
        <f>IFERROR(__xludf.DUMMYFUNCTION("""COMPUTED_VALUE"""),"3.1578875")</f>
        <v>3.1578875</v>
      </c>
      <c r="AA1045" s="4" t="str">
        <f t="shared" si="1"/>
        <v>Not Neighbor</v>
      </c>
      <c r="AC1045" s="4">
        <f>IFERROR(__xludf.DUMMYFUNCTION("IFERROR(ABS(O1045-AVERAGE(FILTER(O1045:O5113,AA1045:AA5113=""Neighbor""))) / STDEV(FILTER(O1045:O5113, AA1045:AA5113 =""Neighbor"")), """")"),0.8884410494490715)</f>
        <v>0.8884410494</v>
      </c>
      <c r="AD1045" s="4">
        <f>IFERROR(__xludf.DUMMYFUNCTION("IFERROR(ABS(P1045-AVERAGE(FILTER(O1045:P5113,AA1045:AA5113=""Neighbor""))) / STDEV(FILTER(P1045:P5113, AA1045:AA5113 =""Neighbor"")), """")"),1.615154447871336)</f>
        <v>1.615154448</v>
      </c>
      <c r="AE1045" s="2">
        <f>IFERROR(__xludf.DUMMYFUNCTION("IFERROR(ABS(Q1045-AVERAGE(FILTER(Q1045:Q5113,AA1045:AA5113=""Neighbor""))) / STDEV(FILTER(Q1045:Q5113, AA1045:AA5113 =""Neighbor"")), """")"),0.3627247344750202)</f>
        <v>0.3627247345</v>
      </c>
      <c r="AF1045" s="2">
        <f>IFERROR(__xludf.DUMMYFUNCTION("IFERROR(ABS(R1045-AVERAGE(FILTER(R1045:R5113,AA1045:AA5113=""Neighbor""))) / STDEV(FILTER(R1045:R5113, AA1045:AA5113 =""Neighbor"")), """")"),0.3527868754289142)</f>
        <v>0.3527868754</v>
      </c>
    </row>
    <row r="1046">
      <c r="A1046" s="2" t="s">
        <v>28</v>
      </c>
      <c r="B1046" s="2" t="s">
        <v>3907</v>
      </c>
      <c r="C1046" s="2" t="s">
        <v>4247</v>
      </c>
      <c r="D1046" s="2" t="s">
        <v>4280</v>
      </c>
      <c r="E1046" s="2" t="s">
        <v>4281</v>
      </c>
      <c r="F1046" s="2">
        <v>61.0</v>
      </c>
      <c r="G1046" s="2">
        <v>227.0</v>
      </c>
      <c r="H1046" s="2" t="b">
        <v>1</v>
      </c>
      <c r="I1046" s="2">
        <v>-1.0</v>
      </c>
      <c r="J1046" s="2" t="b">
        <v>1</v>
      </c>
      <c r="K1046" s="2" t="b">
        <v>0</v>
      </c>
      <c r="L1046" s="2" t="b">
        <v>0</v>
      </c>
      <c r="M1046" s="2" t="b">
        <v>0</v>
      </c>
      <c r="N1046" s="2" t="s">
        <v>33</v>
      </c>
      <c r="O1046" s="2">
        <v>36.0</v>
      </c>
      <c r="P1046" s="2">
        <v>1.0</v>
      </c>
      <c r="Q1046" s="2">
        <v>21.0</v>
      </c>
      <c r="R1046" s="2">
        <v>0.0</v>
      </c>
      <c r="S1046" s="3" t="s">
        <v>4282</v>
      </c>
      <c r="T1046" s="2" t="s">
        <v>4283</v>
      </c>
      <c r="Y1046" s="4" t="str">
        <f>IFERROR(__xludf.DUMMYFUNCTION("""COMPUTED_VALUE"""),"6.9529882")</f>
        <v>6.9529882</v>
      </c>
      <c r="Z1046" s="4" t="str">
        <f>IFERROR(__xludf.DUMMYFUNCTION("""COMPUTED_VALUE"""),"3.2181477")</f>
        <v>3.2181477</v>
      </c>
      <c r="AA1046" s="4" t="str">
        <f t="shared" si="1"/>
        <v>Neighbor</v>
      </c>
      <c r="AC1046" s="4">
        <f>IFERROR(__xludf.DUMMYFUNCTION("IFERROR(ABS(O1046-AVERAGE(FILTER(O1046:O5114,AA1046:AA5114=""Neighbor""))) / STDEV(FILTER(O1046:O5114, AA1046:AA5114 =""Neighbor"")), """")"),0.6699645408764295)</f>
        <v>0.6699645409</v>
      </c>
      <c r="AD1046" s="4">
        <f>IFERROR(__xludf.DUMMYFUNCTION("IFERROR(ABS(P1046-AVERAGE(FILTER(O1046:P5114,AA1046:AA5114=""Neighbor""))) / STDEV(FILTER(P1046:P5114, AA1046:AA5114 =""Neighbor"")), """")"),1.8007250786017142)</f>
        <v>1.800725079</v>
      </c>
      <c r="AE1046" s="2">
        <f>IFERROR(__xludf.DUMMYFUNCTION("IFERROR(ABS(Q1046-AVERAGE(FILTER(Q1046:Q5114,AA1046:AA5114=""Neighbor""))) / STDEV(FILTER(Q1046:Q5114, AA1046:AA5114 =""Neighbor"")), """")"),0.1550259709660824)</f>
        <v>0.155025971</v>
      </c>
      <c r="AF1046" s="2">
        <f>IFERROR(__xludf.DUMMYFUNCTION("IFERROR(ABS(R1046-AVERAGE(FILTER(R1046:R5114,AA1046:AA5114=""Neighbor""))) / STDEV(FILTER(R1046:R5114, AA1046:AA5114 =""Neighbor"")), """")"),0.3527868754289142)</f>
        <v>0.3527868754</v>
      </c>
    </row>
    <row r="1047">
      <c r="A1047" s="2" t="s">
        <v>28</v>
      </c>
      <c r="B1047" s="2" t="s">
        <v>3907</v>
      </c>
      <c r="C1047" s="2" t="s">
        <v>4247</v>
      </c>
      <c r="D1047" s="2" t="s">
        <v>4284</v>
      </c>
      <c r="E1047" s="2" t="s">
        <v>4285</v>
      </c>
      <c r="F1047" s="2">
        <v>52.0</v>
      </c>
      <c r="G1047" s="2">
        <v>283.0</v>
      </c>
      <c r="H1047" s="2" t="b">
        <v>1</v>
      </c>
      <c r="I1047" s="2">
        <v>-1.0</v>
      </c>
      <c r="J1047" s="2" t="b">
        <v>0</v>
      </c>
      <c r="K1047" s="2" t="b">
        <v>0</v>
      </c>
      <c r="L1047" s="2" t="b">
        <v>0</v>
      </c>
      <c r="M1047" s="2" t="b">
        <v>0</v>
      </c>
      <c r="N1047" s="2" t="s">
        <v>33</v>
      </c>
      <c r="O1047" s="2">
        <v>22.0</v>
      </c>
      <c r="P1047" s="2">
        <v>1.0</v>
      </c>
      <c r="Q1047" s="2">
        <v>4.0</v>
      </c>
      <c r="R1047" s="2">
        <v>0.0</v>
      </c>
      <c r="S1047" s="3" t="s">
        <v>4286</v>
      </c>
      <c r="T1047" s="2" t="s">
        <v>4287</v>
      </c>
      <c r="Y1047" s="4" t="str">
        <f>IFERROR(__xludf.DUMMYFUNCTION("""COMPUTED_VALUE"""),"6.9529882")</f>
        <v>6.9529882</v>
      </c>
      <c r="Z1047" s="4" t="str">
        <f>IFERROR(__xludf.DUMMYFUNCTION("""COMPUTED_VALUE"""),"3.2181477")</f>
        <v>3.2181477</v>
      </c>
      <c r="AA1047" s="4" t="str">
        <f t="shared" si="1"/>
        <v>Not Neighbor</v>
      </c>
      <c r="AC1047" s="4">
        <f>IFERROR(__xludf.DUMMYFUNCTION("IFERROR(ABS(O1047-AVERAGE(FILTER(O1047:O5115,AA1047:AA5115=""Neighbor""))) / STDEV(FILTER(O1047:O5115, AA1047:AA5115 =""Neighbor"")), """")"),1.010120446852978)</f>
        <v>1.010120447</v>
      </c>
      <c r="AD1047" s="4">
        <f>IFERROR(__xludf.DUMMYFUNCTION("IFERROR(ABS(P1047-AVERAGE(FILTER(O1047:P5115,AA1047:AA5115=""Neighbor""))) / STDEV(FILTER(P1047:P5115, AA1047:AA5115 =""Neighbor"")), """")"),1.801133007444635)</f>
        <v>1.801133007</v>
      </c>
      <c r="AE1047" s="2">
        <f>IFERROR(__xludf.DUMMYFUNCTION("IFERROR(ABS(Q1047-AVERAGE(FILTER(Q1047:Q5115,AA1047:AA5115=""Neighbor""))) / STDEV(FILTER(Q1047:Q5115, AA1047:AA5115 =""Neighbor"")), """")"),0.8609960581802496)</f>
        <v>0.8609960582</v>
      </c>
      <c r="AF1047" s="2">
        <f>IFERROR(__xludf.DUMMYFUNCTION("IFERROR(ABS(R1047-AVERAGE(FILTER(R1047:R5115,AA1047:AA5115=""Neighbor""))) / STDEV(FILTER(R1047:R5115, AA1047:AA5115 =""Neighbor"")), """")"),0.35294052137341236)</f>
        <v>0.3529405214</v>
      </c>
    </row>
    <row r="1048">
      <c r="A1048" s="2" t="s">
        <v>28</v>
      </c>
      <c r="B1048" s="2" t="s">
        <v>3907</v>
      </c>
      <c r="C1048" s="2" t="s">
        <v>4247</v>
      </c>
      <c r="D1048" s="2" t="s">
        <v>4288</v>
      </c>
      <c r="E1048" s="2" t="s">
        <v>4289</v>
      </c>
      <c r="F1048" s="2">
        <v>55.0</v>
      </c>
      <c r="G1048" s="2">
        <v>385.0</v>
      </c>
      <c r="H1048" s="2" t="b">
        <v>1</v>
      </c>
      <c r="I1048" s="2">
        <v>-1.0</v>
      </c>
      <c r="J1048" s="2" t="b">
        <v>0</v>
      </c>
      <c r="K1048" s="2" t="b">
        <v>1</v>
      </c>
      <c r="L1048" s="2" t="b">
        <v>0</v>
      </c>
      <c r="M1048" s="2" t="b">
        <v>0</v>
      </c>
      <c r="N1048" s="2" t="s">
        <v>33</v>
      </c>
      <c r="O1048" s="2">
        <v>32.0</v>
      </c>
      <c r="P1048" s="2">
        <v>0.0</v>
      </c>
      <c r="Q1048" s="2">
        <v>13.0</v>
      </c>
      <c r="R1048" s="2">
        <v>0.0</v>
      </c>
      <c r="S1048" s="3" t="s">
        <v>4290</v>
      </c>
      <c r="T1048" s="2" t="s">
        <v>4291</v>
      </c>
      <c r="Y1048" s="4" t="str">
        <f>IFERROR(__xludf.DUMMYFUNCTION("""COMPUTED_VALUE"""),"7.006502")</f>
        <v>7.006502</v>
      </c>
      <c r="Z1048" s="4" t="str">
        <f>IFERROR(__xludf.DUMMYFUNCTION("""COMPUTED_VALUE"""),"3.142778")</f>
        <v>3.142778</v>
      </c>
      <c r="AA1048" s="4" t="str">
        <f t="shared" si="1"/>
        <v>Not Neighbor</v>
      </c>
      <c r="AC1048" s="4">
        <f>IFERROR(__xludf.DUMMYFUNCTION("IFERROR(ABS(O1048-AVERAGE(FILTER(O1048:O5116,AA1048:AA5116=""Neighbor""))) / STDEV(FILTER(O1048:O5116, AA1048:AA5116 =""Neighbor"")), """")"),0.7674206188700499)</f>
        <v>0.7674206189</v>
      </c>
      <c r="AD1048" s="4">
        <f>IFERROR(__xludf.DUMMYFUNCTION("IFERROR(ABS(P1048-AVERAGE(FILTER(O1048:P5116,AA1048:AA5116=""Neighbor""))) / STDEV(FILTER(P1048:P5116, AA1048:AA5116 =""Neighbor"")), """")"),1.847516429705524)</f>
        <v>1.84751643</v>
      </c>
      <c r="AE1048" s="2">
        <f>IFERROR(__xludf.DUMMYFUNCTION("IFERROR(ABS(Q1048-AVERAGE(FILTER(Q1048:Q5116,AA1048:AA5116=""Neighbor""))) / STDEV(FILTER(Q1048:Q5116, AA1048:AA5116 =""Neighbor"")), """")"),0.4872797341383512)</f>
        <v>0.4872797341</v>
      </c>
      <c r="AF1048" s="2">
        <f>IFERROR(__xludf.DUMMYFUNCTION("IFERROR(ABS(R1048-AVERAGE(FILTER(R1048:R5116,AA1048:AA5116=""Neighbor""))) / STDEV(FILTER(R1048:R5116, AA1048:AA5116 =""Neighbor"")), """")"),0.35294052137341236)</f>
        <v>0.3529405214</v>
      </c>
    </row>
    <row r="1049">
      <c r="A1049" s="2" t="s">
        <v>28</v>
      </c>
      <c r="B1049" s="2" t="s">
        <v>3907</v>
      </c>
      <c r="C1049" s="2" t="s">
        <v>4292</v>
      </c>
      <c r="D1049" s="2" t="s">
        <v>4293</v>
      </c>
      <c r="E1049" s="2" t="s">
        <v>4294</v>
      </c>
      <c r="F1049" s="2">
        <v>207.0</v>
      </c>
      <c r="G1049" s="2">
        <v>761.0</v>
      </c>
      <c r="H1049" s="2" t="b">
        <v>1</v>
      </c>
      <c r="I1049" s="2">
        <v>-1.0</v>
      </c>
      <c r="J1049" s="2" t="b">
        <v>0</v>
      </c>
      <c r="K1049" s="2" t="b">
        <v>0</v>
      </c>
      <c r="L1049" s="2" t="b">
        <v>0</v>
      </c>
      <c r="M1049" s="2" t="b">
        <v>0</v>
      </c>
      <c r="N1049" s="2" t="s">
        <v>33</v>
      </c>
      <c r="O1049" s="2">
        <v>81.0</v>
      </c>
      <c r="P1049" s="2">
        <v>35.0</v>
      </c>
      <c r="Q1049" s="2">
        <v>59.0</v>
      </c>
      <c r="R1049" s="2">
        <v>0.0</v>
      </c>
      <c r="S1049" s="3" t="s">
        <v>4295</v>
      </c>
      <c r="T1049" s="2" t="s">
        <v>4296</v>
      </c>
      <c r="Y1049" s="4" t="str">
        <f>IFERROR(__xludf.DUMMYFUNCTION("""COMPUTED_VALUE"""),"7.0233052")</f>
        <v>7.0233052</v>
      </c>
      <c r="Z1049" s="4" t="str">
        <f>IFERROR(__xludf.DUMMYFUNCTION("""COMPUTED_VALUE"""),"3.2325961")</f>
        <v>3.2325961</v>
      </c>
      <c r="AA1049" s="4" t="str">
        <f t="shared" si="1"/>
        <v>Not Neighbor</v>
      </c>
      <c r="AC1049" s="4">
        <f>IFERROR(__xludf.DUMMYFUNCTION("IFERROR(ABS(O1049-AVERAGE(FILTER(O1049:O5117,AA1049:AA5117=""Neighbor""))) / STDEV(FILTER(O1049:O5117, AA1049:AA5117 =""Neighbor"")), """")"),0.42180853824629855)</f>
        <v>0.4218085382</v>
      </c>
      <c r="AD1049" s="4">
        <f>IFERROR(__xludf.DUMMYFUNCTION("IFERROR(ABS(P1049-AVERAGE(FILTER(O1049:P5117,AA1049:AA5117=""Neighbor""))) / STDEV(FILTER(P1049:P5117, AA1049:AA5117 =""Neighbor"")), """")"),0.22409665057441122)</f>
        <v>0.2240966506</v>
      </c>
      <c r="AE1049" s="2">
        <f>IFERROR(__xludf.DUMMYFUNCTION("IFERROR(ABS(Q1049-AVERAGE(FILTER(Q1049:Q5117,AA1049:AA5117=""Neighbor""))) / STDEV(FILTER(Q1049:Q5117, AA1049:AA5117 =""Neighbor"")), """")"),1.4228259220757964)</f>
        <v>1.422825922</v>
      </c>
      <c r="AF1049" s="2">
        <f>IFERROR(__xludf.DUMMYFUNCTION("IFERROR(ABS(R1049-AVERAGE(FILTER(R1049:R5117,AA1049:AA5117=""Neighbor""))) / STDEV(FILTER(R1049:R5117, AA1049:AA5117 =""Neighbor"")), """")"),0.35294052137341236)</f>
        <v>0.3529405214</v>
      </c>
    </row>
    <row r="1050">
      <c r="A1050" s="2" t="s">
        <v>28</v>
      </c>
      <c r="B1050" s="2" t="s">
        <v>3907</v>
      </c>
      <c r="C1050" s="2" t="s">
        <v>4292</v>
      </c>
      <c r="D1050" s="2" t="s">
        <v>4297</v>
      </c>
      <c r="E1050" s="2" t="s">
        <v>4298</v>
      </c>
      <c r="F1050" s="2">
        <v>220.0</v>
      </c>
      <c r="G1050" s="2">
        <v>1213.0</v>
      </c>
      <c r="H1050" s="2" t="b">
        <v>1</v>
      </c>
      <c r="I1050" s="2">
        <v>-1.0</v>
      </c>
      <c r="J1050" s="2" t="b">
        <v>0</v>
      </c>
      <c r="K1050" s="2" t="b">
        <v>0</v>
      </c>
      <c r="L1050" s="2" t="b">
        <v>0</v>
      </c>
      <c r="M1050" s="2" t="b">
        <v>0</v>
      </c>
      <c r="N1050" s="2" t="s">
        <v>33</v>
      </c>
      <c r="O1050" s="2">
        <v>95.0</v>
      </c>
      <c r="P1050" s="2">
        <v>16.0</v>
      </c>
      <c r="Q1050" s="2">
        <v>39.0</v>
      </c>
      <c r="R1050" s="2">
        <v>0.0</v>
      </c>
      <c r="S1050" s="3" t="s">
        <v>4299</v>
      </c>
      <c r="T1050" s="2" t="s">
        <v>4300</v>
      </c>
      <c r="Y1050" s="4" t="str">
        <f>IFERROR(__xludf.DUMMYFUNCTION("""COMPUTED_VALUE"""),"7.0393674")</f>
        <v>7.0393674</v>
      </c>
      <c r="Z1050" s="4" t="str">
        <f>IFERROR(__xludf.DUMMYFUNCTION("""COMPUTED_VALUE"""),"3.2388794")</f>
        <v>3.2388794</v>
      </c>
      <c r="AA1050" s="4" t="str">
        <f t="shared" si="1"/>
        <v>Not Neighbor</v>
      </c>
      <c r="AC1050" s="4">
        <f>IFERROR(__xludf.DUMMYFUNCTION("IFERROR(ABS(O1050-AVERAGE(FILTER(O1050:O5118,AA1050:AA5118=""Neighbor""))) / STDEV(FILTER(O1050:O5118, AA1050:AA5118 =""Neighbor"")), """")"),0.7615882974223981)</f>
        <v>0.7615882974</v>
      </c>
      <c r="AD1050" s="4">
        <f>IFERROR(__xludf.DUMMYFUNCTION("IFERROR(ABS(P1050-AVERAGE(FILTER(O1050:P5118,AA1050:AA5118=""Neighbor""))) / STDEV(FILTER(P1050:P5118, AA1050:AA5118 =""Neighbor"")), """")"),1.1053816735313011)</f>
        <v>1.105381674</v>
      </c>
      <c r="AE1050" s="2">
        <f>IFERROR(__xludf.DUMMYFUNCTION("IFERROR(ABS(Q1050-AVERAGE(FILTER(Q1050:Q5118,AA1050:AA5118=""Neighbor""))) / STDEV(FILTER(Q1050:Q5118, AA1050:AA5118 =""Neighbor"")), """")"),0.5923452019826886)</f>
        <v>0.592345202</v>
      </c>
      <c r="AF1050" s="2">
        <f>IFERROR(__xludf.DUMMYFUNCTION("IFERROR(ABS(R1050-AVERAGE(FILTER(R1050:R5118,AA1050:AA5118=""Neighbor""))) / STDEV(FILTER(R1050:R5118, AA1050:AA5118 =""Neighbor"")), """")"),0.35294052137341236)</f>
        <v>0.3529405214</v>
      </c>
    </row>
    <row r="1051">
      <c r="A1051" s="2" t="s">
        <v>28</v>
      </c>
      <c r="B1051" s="2" t="s">
        <v>3907</v>
      </c>
      <c r="C1051" s="2" t="s">
        <v>4292</v>
      </c>
      <c r="D1051" s="2" t="s">
        <v>4301</v>
      </c>
      <c r="E1051" s="2" t="s">
        <v>4302</v>
      </c>
      <c r="F1051" s="2">
        <v>135.0</v>
      </c>
      <c r="G1051" s="2">
        <v>600.0</v>
      </c>
      <c r="H1051" s="2" t="b">
        <v>1</v>
      </c>
      <c r="I1051" s="2">
        <v>-1.0</v>
      </c>
      <c r="J1051" s="2" t="b">
        <v>0</v>
      </c>
      <c r="K1051" s="2" t="b">
        <v>0</v>
      </c>
      <c r="L1051" s="2" t="b">
        <v>0</v>
      </c>
      <c r="M1051" s="2" t="b">
        <v>0</v>
      </c>
      <c r="N1051" s="2" t="s">
        <v>33</v>
      </c>
      <c r="O1051" s="2">
        <v>87.0</v>
      </c>
      <c r="P1051" s="2">
        <v>3.0</v>
      </c>
      <c r="Q1051" s="2">
        <v>23.0</v>
      </c>
      <c r="R1051" s="2">
        <v>0.0</v>
      </c>
      <c r="S1051" s="3" t="s">
        <v>4303</v>
      </c>
      <c r="T1051" s="2" t="s">
        <v>4304</v>
      </c>
      <c r="Y1051" s="4" t="str">
        <f>IFERROR(__xludf.DUMMYFUNCTION("""COMPUTED_VALUE"""),"7.0186933")</f>
        <v>7.0186933</v>
      </c>
      <c r="Z1051" s="4" t="str">
        <f>IFERROR(__xludf.DUMMYFUNCTION("""COMPUTED_VALUE"""),"3.2810767")</f>
        <v>3.2810767</v>
      </c>
      <c r="AA1051" s="4" t="str">
        <f t="shared" si="1"/>
        <v>Not Neighbor</v>
      </c>
      <c r="AC1051" s="4">
        <f>IFERROR(__xludf.DUMMYFUNCTION("IFERROR(ABS(O1051-AVERAGE(FILTER(O1051:O5119,AA1051:AA5119=""Neighbor""))) / STDEV(FILTER(O1051:O5119, AA1051:AA5119 =""Neighbor"")), """")"),0.5674284350360554)</f>
        <v>0.567428435</v>
      </c>
      <c r="AD1051" s="4">
        <f>IFERROR(__xludf.DUMMYFUNCTION("IFERROR(ABS(P1051-AVERAGE(FILTER(O1051:P5119,AA1051:AA5119=""Neighbor""))) / STDEV(FILTER(P1051:P5119, AA1051:AA5119 =""Neighbor"")), """")"),1.7083661629228573)</f>
        <v>1.708366163</v>
      </c>
      <c r="AE1051" s="2">
        <f>IFERROR(__xludf.DUMMYFUNCTION("IFERROR(ABS(Q1051-AVERAGE(FILTER(Q1051:Q5119,AA1051:AA5119=""Neighbor""))) / STDEV(FILTER(Q1051:Q5119, AA1051:AA5119 =""Neighbor"")), """")"),0.0720393740917974)</f>
        <v>0.07203937409</v>
      </c>
      <c r="AF1051" s="2">
        <f>IFERROR(__xludf.DUMMYFUNCTION("IFERROR(ABS(R1051-AVERAGE(FILTER(R1051:R5119,AA1051:AA5119=""Neighbor""))) / STDEV(FILTER(R1051:R5119, AA1051:AA5119 =""Neighbor"")), """")"),0.35294052137341236)</f>
        <v>0.3529405214</v>
      </c>
    </row>
    <row r="1052">
      <c r="A1052" s="2" t="s">
        <v>28</v>
      </c>
      <c r="B1052" s="2" t="s">
        <v>3907</v>
      </c>
      <c r="C1052" s="2" t="s">
        <v>4292</v>
      </c>
      <c r="D1052" s="2" t="s">
        <v>4305</v>
      </c>
      <c r="E1052" s="2" t="s">
        <v>4306</v>
      </c>
      <c r="F1052" s="2">
        <v>147.0</v>
      </c>
      <c r="G1052" s="2">
        <v>759.0</v>
      </c>
      <c r="H1052" s="2" t="b">
        <v>1</v>
      </c>
      <c r="I1052" s="2">
        <v>-1.0</v>
      </c>
      <c r="J1052" s="2" t="b">
        <v>0</v>
      </c>
      <c r="K1052" s="2" t="b">
        <v>0</v>
      </c>
      <c r="L1052" s="2" t="b">
        <v>0</v>
      </c>
      <c r="M1052" s="2" t="b">
        <v>0</v>
      </c>
      <c r="N1052" s="2" t="s">
        <v>33</v>
      </c>
      <c r="O1052" s="2">
        <v>97.0</v>
      </c>
      <c r="P1052" s="2">
        <v>5.0</v>
      </c>
      <c r="Q1052" s="2">
        <v>30.0</v>
      </c>
      <c r="R1052" s="2">
        <v>0.0</v>
      </c>
      <c r="S1052" s="3" t="s">
        <v>4307</v>
      </c>
      <c r="T1052" s="2" t="s">
        <v>4308</v>
      </c>
      <c r="Y1052" s="4" t="str">
        <f>IFERROR(__xludf.DUMMYFUNCTION("""COMPUTED_VALUE"""),"7.4133304")</f>
        <v>7.4133304</v>
      </c>
      <c r="Z1052" s="4" t="str">
        <f>IFERROR(__xludf.DUMMYFUNCTION("""COMPUTED_VALUE"""),"3.8629852")</f>
        <v>3.8629852</v>
      </c>
      <c r="AA1052" s="4" t="str">
        <f t="shared" si="1"/>
        <v>Not Neighbor</v>
      </c>
      <c r="AC1052" s="4">
        <f>IFERROR(__xludf.DUMMYFUNCTION("IFERROR(ABS(O1052-AVERAGE(FILTER(O1052:O5120,AA1052:AA5120=""Neighbor""))) / STDEV(FILTER(O1052:O5120, AA1052:AA5120 =""Neighbor"")), """")"),0.8101282630189837)</f>
        <v>0.810128263</v>
      </c>
      <c r="AD1052" s="4">
        <f>IFERROR(__xludf.DUMMYFUNCTION("IFERROR(ABS(P1052-AVERAGE(FILTER(O1052:P5120,AA1052:AA5120=""Neighbor""))) / STDEV(FILTER(P1052:P5120, AA1052:AA5120 =""Neighbor"")), """")"),1.6155993184010793)</f>
        <v>1.615599318</v>
      </c>
      <c r="AE1052" s="2">
        <f>IFERROR(__xludf.DUMMYFUNCTION("IFERROR(ABS(Q1052-AVERAGE(FILTER(Q1052:Q5120,AA1052:AA5120=""Neighbor""))) / STDEV(FILTER(Q1052:Q5120, AA1052:AA5120 =""Neighbor"")), """")"),0.21862887794079025)</f>
        <v>0.2186288779</v>
      </c>
      <c r="AF1052" s="2">
        <f>IFERROR(__xludf.DUMMYFUNCTION("IFERROR(ABS(R1052-AVERAGE(FILTER(R1052:R5120,AA1052:AA5120=""Neighbor""))) / STDEV(FILTER(R1052:R5120, AA1052:AA5120 =""Neighbor"")), """")"),0.35294052137341236)</f>
        <v>0.3529405214</v>
      </c>
    </row>
    <row r="1053">
      <c r="A1053" s="2" t="s">
        <v>28</v>
      </c>
      <c r="B1053" s="2" t="s">
        <v>3907</v>
      </c>
      <c r="C1053" s="2" t="s">
        <v>4292</v>
      </c>
      <c r="D1053" s="2" t="s">
        <v>4309</v>
      </c>
      <c r="E1053" s="2" t="s">
        <v>4310</v>
      </c>
      <c r="F1053" s="2">
        <v>51.0</v>
      </c>
      <c r="G1053" s="2">
        <v>244.0</v>
      </c>
      <c r="H1053" s="2" t="b">
        <v>1</v>
      </c>
      <c r="I1053" s="2">
        <v>-1.0</v>
      </c>
      <c r="J1053" s="2" t="b">
        <v>0</v>
      </c>
      <c r="K1053" s="2" t="b">
        <v>0</v>
      </c>
      <c r="L1053" s="2" t="b">
        <v>0</v>
      </c>
      <c r="M1053" s="2" t="b">
        <v>0</v>
      </c>
      <c r="N1053" s="2" t="s">
        <v>33</v>
      </c>
      <c r="O1053" s="2">
        <v>19.0</v>
      </c>
      <c r="P1053" s="2">
        <v>2.0</v>
      </c>
      <c r="Q1053" s="2">
        <v>21.0</v>
      </c>
      <c r="R1053" s="2">
        <v>0.0</v>
      </c>
      <c r="S1053" s="3" t="s">
        <v>4311</v>
      </c>
      <c r="T1053" s="2" t="s">
        <v>4312</v>
      </c>
      <c r="Y1053" s="4" t="str">
        <f>IFERROR(__xludf.DUMMYFUNCTION("""COMPUTED_VALUE"""),"7.0393674")</f>
        <v>7.0393674</v>
      </c>
      <c r="Z1053" s="4" t="str">
        <f>IFERROR(__xludf.DUMMYFUNCTION("""COMPUTED_VALUE"""),"3.2388794")</f>
        <v>3.2388794</v>
      </c>
      <c r="AA1053" s="4" t="str">
        <f t="shared" si="1"/>
        <v>Neighbor</v>
      </c>
      <c r="AC1053" s="4">
        <f>IFERROR(__xludf.DUMMYFUNCTION("IFERROR(ABS(O1053-AVERAGE(FILTER(O1053:O5121,AA1053:AA5121=""Neighbor""))) / STDEV(FILTER(O1053:O5121, AA1053:AA5121 =""Neighbor"")), """")"),1.0829303952478566)</f>
        <v>1.082930395</v>
      </c>
      <c r="AD1053" s="4">
        <f>IFERROR(__xludf.DUMMYFUNCTION("IFERROR(ABS(P1053-AVERAGE(FILTER(O1053:P5121,AA1053:AA5121=""Neighbor""))) / STDEV(FILTER(P1053:P5121, AA1053:AA5121 =""Neighbor"")), """")"),1.7547495851837462)</f>
        <v>1.754749585</v>
      </c>
      <c r="AE1053" s="2">
        <f>IFERROR(__xludf.DUMMYFUNCTION("IFERROR(ABS(Q1053-AVERAGE(FILTER(Q1053:Q5121,AA1053:AA5121=""Neighbor""))) / STDEV(FILTER(Q1053:Q5121, AA1053:AA5121 =""Neighbor"")), """")"),0.15508744610110817)</f>
        <v>0.1550874461</v>
      </c>
      <c r="AF1053" s="2">
        <f>IFERROR(__xludf.DUMMYFUNCTION("IFERROR(ABS(R1053-AVERAGE(FILTER(R1053:R5121,AA1053:AA5121=""Neighbor""))) / STDEV(FILTER(R1053:R5121, AA1053:AA5121 =""Neighbor"")), """")"),0.35294052137341236)</f>
        <v>0.3529405214</v>
      </c>
    </row>
    <row r="1054">
      <c r="A1054" s="2" t="s">
        <v>28</v>
      </c>
      <c r="B1054" s="2" t="s">
        <v>3907</v>
      </c>
      <c r="C1054" s="2" t="s">
        <v>4292</v>
      </c>
      <c r="D1054" s="2" t="s">
        <v>4313</v>
      </c>
      <c r="E1054" s="2" t="s">
        <v>4314</v>
      </c>
      <c r="F1054" s="2">
        <v>129.0</v>
      </c>
      <c r="G1054" s="2">
        <v>688.0</v>
      </c>
      <c r="H1054" s="2" t="b">
        <v>1</v>
      </c>
      <c r="I1054" s="2">
        <v>-1.0</v>
      </c>
      <c r="J1054" s="2" t="b">
        <v>0</v>
      </c>
      <c r="K1054" s="2" t="b">
        <v>1</v>
      </c>
      <c r="L1054" s="2" t="b">
        <v>0</v>
      </c>
      <c r="M1054" s="2" t="b">
        <v>0</v>
      </c>
      <c r="N1054" s="2" t="s">
        <v>33</v>
      </c>
      <c r="O1054" s="2">
        <v>87.0</v>
      </c>
      <c r="P1054" s="2">
        <v>7.0</v>
      </c>
      <c r="Q1054" s="2">
        <v>17.0</v>
      </c>
      <c r="R1054" s="2">
        <v>0.0</v>
      </c>
      <c r="S1054" s="3" t="s">
        <v>4315</v>
      </c>
      <c r="T1054" s="2" t="s">
        <v>4316</v>
      </c>
      <c r="Y1054" s="4" t="str">
        <f>IFERROR(__xludf.DUMMYFUNCTION("""COMPUTED_VALUE"""),"7.0393674")</f>
        <v>7.0393674</v>
      </c>
      <c r="Z1054" s="4" t="str">
        <f>IFERROR(__xludf.DUMMYFUNCTION("""COMPUTED_VALUE"""),"3.2388794")</f>
        <v>3.2388794</v>
      </c>
      <c r="AA1054" s="4" t="str">
        <f t="shared" si="1"/>
        <v>Neighbor</v>
      </c>
      <c r="AC1054" s="4">
        <f>IFERROR(__xludf.DUMMYFUNCTION("IFERROR(ABS(O1054-AVERAGE(FILTER(O1054:O5122,AA1054:AA5122=""Neighbor""))) / STDEV(FILTER(O1054:O5122, AA1054:AA5122 =""Neighbor"")), """")"),0.5666265003989684)</f>
        <v>0.5666265004</v>
      </c>
      <c r="AD1054" s="4">
        <f>IFERROR(__xludf.DUMMYFUNCTION("IFERROR(ABS(P1054-AVERAGE(FILTER(O1054:P5122,AA1054:AA5122=""Neighbor""))) / STDEV(FILTER(P1054:P5122, AA1054:AA5122 =""Neighbor"")), """")"),1.5235476479138768)</f>
        <v>1.523547648</v>
      </c>
      <c r="AE1054" s="2">
        <f>IFERROR(__xludf.DUMMYFUNCTION("IFERROR(ABS(Q1054-AVERAGE(FILTER(Q1054:Q5122,AA1054:AA5122=""Neighbor""))) / STDEV(FILTER(Q1054:Q5122, AA1054:AA5122 =""Neighbor"")), """")"),0.32118224791149086)</f>
        <v>0.3211822479</v>
      </c>
      <c r="AF1054" s="2">
        <f>IFERROR(__xludf.DUMMYFUNCTION("IFERROR(ABS(R1054-AVERAGE(FILTER(R1054:R5122,AA1054:AA5122=""Neighbor""))) / STDEV(FILTER(R1054:R5122, AA1054:AA5122 =""Neighbor"")), """")"),0.3530943682612524)</f>
        <v>0.3530943683</v>
      </c>
    </row>
    <row r="1055">
      <c r="A1055" s="2" t="s">
        <v>28</v>
      </c>
      <c r="B1055" s="2" t="s">
        <v>3907</v>
      </c>
      <c r="C1055" s="2" t="s">
        <v>4292</v>
      </c>
      <c r="D1055" s="2" t="s">
        <v>4317</v>
      </c>
      <c r="E1055" s="2" t="s">
        <v>4318</v>
      </c>
      <c r="F1055" s="2">
        <v>177.0</v>
      </c>
      <c r="G1055" s="2">
        <v>767.0</v>
      </c>
      <c r="H1055" s="2" t="b">
        <v>1</v>
      </c>
      <c r="I1055" s="2">
        <v>-1.0</v>
      </c>
      <c r="J1055" s="2" t="b">
        <v>0</v>
      </c>
      <c r="K1055" s="2" t="b">
        <v>0</v>
      </c>
      <c r="L1055" s="2" t="b">
        <v>0</v>
      </c>
      <c r="M1055" s="2" t="b">
        <v>0</v>
      </c>
      <c r="N1055" s="2" t="s">
        <v>33</v>
      </c>
      <c r="O1055" s="2">
        <v>86.0</v>
      </c>
      <c r="P1055" s="2">
        <v>11.0</v>
      </c>
      <c r="Q1055" s="2">
        <v>59.0</v>
      </c>
      <c r="R1055" s="2">
        <v>1.0</v>
      </c>
      <c r="S1055" s="3" t="s">
        <v>4319</v>
      </c>
      <c r="T1055" s="2" t="s">
        <v>4320</v>
      </c>
      <c r="Y1055" s="4" t="str">
        <f>IFERROR(__xludf.DUMMYFUNCTION("""COMPUTED_VALUE"""),"7.0393674")</f>
        <v>7.0393674</v>
      </c>
      <c r="Z1055" s="4" t="str">
        <f>IFERROR(__xludf.DUMMYFUNCTION("""COMPUTED_VALUE"""),"3.2388794")</f>
        <v>3.2388794</v>
      </c>
      <c r="AA1055" s="4" t="str">
        <f t="shared" si="1"/>
        <v>Not Neighbor</v>
      </c>
      <c r="AC1055" s="4">
        <f>IFERROR(__xludf.DUMMYFUNCTION("IFERROR(ABS(O1055-AVERAGE(FILTER(O1055:O5123,AA1055:AA5123=""Neighbor""))) / STDEV(FILTER(O1055:O5123, AA1055:AA5123 =""Neighbor"")), """")"),0.5426517469805487)</f>
        <v>0.542651747</v>
      </c>
      <c r="AD1055" s="4">
        <f>IFERROR(__xludf.DUMMYFUNCTION("IFERROR(ABS(P1055-AVERAGE(FILTER(O1055:P5123,AA1055:AA5123=""Neighbor""))) / STDEV(FILTER(P1055:P5123, AA1055:AA5123 =""Neighbor"")), """")"),1.3373702630957112)</f>
        <v>1.337370263</v>
      </c>
      <c r="AE1055" s="2">
        <f>IFERROR(__xludf.DUMMYFUNCTION("IFERROR(ABS(Q1055-AVERAGE(FILTER(Q1055:Q5123,AA1055:AA5123=""Neighbor""))) / STDEV(FILTER(Q1055:Q5123, AA1055:AA5123 =""Neighbor"")), """")"),1.421422422109007)</f>
        <v>1.421422422</v>
      </c>
      <c r="AF1055" s="2">
        <f>IFERROR(__xludf.DUMMYFUNCTION("IFERROR(ABS(R1055-AVERAGE(FILTER(R1055:R5123,AA1055:AA5123=""Neighbor""))) / STDEV(FILTER(R1055:R5123, AA1055:AA5123 =""Neighbor"")), """")"),0.825466507022882)</f>
        <v>0.825466507</v>
      </c>
    </row>
    <row r="1056">
      <c r="A1056" s="2" t="s">
        <v>28</v>
      </c>
      <c r="B1056" s="2" t="s">
        <v>3907</v>
      </c>
      <c r="C1056" s="2" t="s">
        <v>4321</v>
      </c>
      <c r="D1056" s="2" t="s">
        <v>4322</v>
      </c>
      <c r="E1056" s="2" t="s">
        <v>4323</v>
      </c>
      <c r="F1056" s="2">
        <v>108.0</v>
      </c>
      <c r="G1056" s="2">
        <v>445.0</v>
      </c>
      <c r="H1056" s="2" t="b">
        <v>1</v>
      </c>
      <c r="I1056" s="2">
        <v>-1.0</v>
      </c>
      <c r="J1056" s="2" t="b">
        <v>0</v>
      </c>
      <c r="K1056" s="2" t="b">
        <v>0</v>
      </c>
      <c r="L1056" s="2" t="b">
        <v>0</v>
      </c>
      <c r="M1056" s="2" t="b">
        <v>0</v>
      </c>
      <c r="N1056" s="2" t="s">
        <v>33</v>
      </c>
      <c r="O1056" s="2">
        <v>47.0</v>
      </c>
      <c r="P1056" s="2">
        <v>27.0</v>
      </c>
      <c r="Q1056" s="2">
        <v>16.0</v>
      </c>
      <c r="R1056" s="2">
        <v>0.0</v>
      </c>
      <c r="S1056" s="3" t="s">
        <v>4324</v>
      </c>
      <c r="T1056" s="2" t="s">
        <v>4325</v>
      </c>
      <c r="Y1056" s="4" t="str">
        <f>IFERROR(__xludf.DUMMYFUNCTION("""COMPUTED_VALUE"""),"7.0705723")</f>
        <v>7.0705723</v>
      </c>
      <c r="Z1056" s="4" t="str">
        <f>IFERROR(__xludf.DUMMYFUNCTION("""COMPUTED_VALUE"""),"3.2885455")</f>
        <v>3.2885455</v>
      </c>
      <c r="AA1056" s="4" t="str">
        <f t="shared" si="1"/>
        <v>Neighbor</v>
      </c>
      <c r="AC1056" s="4">
        <f>IFERROR(__xludf.DUMMYFUNCTION("IFERROR(ABS(O1056-AVERAGE(FILTER(O1056:O5124,AA1056:AA5124=""Neighbor""))) / STDEV(FILTER(O1056:O5124, AA1056:AA5124 =""Neighbor"")), """")"),0.40369190509301484)</f>
        <v>0.4036919051</v>
      </c>
      <c r="AD1056" s="4">
        <f>IFERROR(__xludf.DUMMYFUNCTION("IFERROR(ABS(P1056-AVERAGE(FILTER(O1056:P5124,AA1056:AA5124=""Neighbor""))) / STDEV(FILTER(P1056:P5124, AA1056:AA5124 =""Neighbor"")), """")"),0.5956385199012548)</f>
        <v>0.5956385199</v>
      </c>
      <c r="AE1056" s="2">
        <f>IFERROR(__xludf.DUMMYFUNCTION("IFERROR(ABS(Q1056-AVERAGE(FILTER(Q1056:Q5124,AA1056:AA5124=""Neighbor""))) / STDEV(FILTER(Q1056:Q5124, AA1056:AA5124 =""Neighbor"")), """")"),0.3628135469333129)</f>
        <v>0.3628135469</v>
      </c>
      <c r="AF1056" s="2">
        <f>IFERROR(__xludf.DUMMYFUNCTION("IFERROR(ABS(R1056-AVERAGE(FILTER(R1056:R5124,AA1056:AA5124=""Neighbor""))) / STDEV(FILTER(R1056:R5124, AA1056:AA5124 =""Neighbor"")), """")"),0.35324841653085637)</f>
        <v>0.3532484165</v>
      </c>
    </row>
    <row r="1057">
      <c r="A1057" s="2" t="s">
        <v>28</v>
      </c>
      <c r="B1057" s="2" t="s">
        <v>3907</v>
      </c>
      <c r="C1057" s="2" t="s">
        <v>4321</v>
      </c>
      <c r="D1057" s="2" t="s">
        <v>4326</v>
      </c>
      <c r="E1057" s="2" t="s">
        <v>4327</v>
      </c>
      <c r="F1057" s="2">
        <v>44.0</v>
      </c>
      <c r="G1057" s="2">
        <v>175.0</v>
      </c>
      <c r="H1057" s="2" t="b">
        <v>1</v>
      </c>
      <c r="I1057" s="2">
        <v>-1.0</v>
      </c>
      <c r="J1057" s="2" t="b">
        <v>0</v>
      </c>
      <c r="K1057" s="2" t="b">
        <v>1</v>
      </c>
      <c r="L1057" s="2" t="b">
        <v>0</v>
      </c>
      <c r="M1057" s="2" t="b">
        <v>0</v>
      </c>
      <c r="N1057" s="2" t="s">
        <v>33</v>
      </c>
      <c r="O1057" s="2">
        <v>21.0</v>
      </c>
      <c r="P1057" s="2">
        <v>0.0</v>
      </c>
      <c r="Q1057" s="2">
        <v>17.0</v>
      </c>
      <c r="R1057" s="2">
        <v>0.0</v>
      </c>
      <c r="S1057" s="3" t="s">
        <v>4328</v>
      </c>
      <c r="T1057" s="2" t="s">
        <v>4329</v>
      </c>
      <c r="Y1057" s="4" t="str">
        <f>IFERROR(__xludf.DUMMYFUNCTION("""COMPUTED_VALUE"""),"7.0705723")</f>
        <v>7.0705723</v>
      </c>
      <c r="Z1057" s="4" t="str">
        <f>IFERROR(__xludf.DUMMYFUNCTION("""COMPUTED_VALUE"""),"3.2885455")</f>
        <v>3.2885455</v>
      </c>
      <c r="AA1057" s="4" t="str">
        <f t="shared" si="1"/>
        <v>Neighbor</v>
      </c>
      <c r="AC1057" s="4">
        <f>IFERROR(__xludf.DUMMYFUNCTION("IFERROR(ABS(O1057-AVERAGE(FILTER(O1057:O5125,AA1057:AA5125=""Neighbor""))) / STDEV(FILTER(O1057:O5125, AA1057:AA5125 =""Neighbor"")), """")"),1.0345647585278634)</f>
        <v>1.034564759</v>
      </c>
      <c r="AD1057" s="4">
        <f>IFERROR(__xludf.DUMMYFUNCTION("IFERROR(ABS(P1057-AVERAGE(FILTER(O1057:P5125,AA1057:AA5125=""Neighbor""))) / STDEV(FILTER(P1057:P5125, AA1057:AA5125 =""Neighbor"")), """")"),1.8468802696784277)</f>
        <v>1.84688027</v>
      </c>
      <c r="AE1057" s="2">
        <f>IFERROR(__xludf.DUMMYFUNCTION("IFERROR(ABS(Q1057-AVERAGE(FILTER(Q1057:Q5125,AA1057:AA5125=""Neighbor""))) / STDEV(FILTER(Q1057:Q5125, AA1057:AA5125 =""Neighbor"")), """")"),0.3214930812382224)</f>
        <v>0.3214930812</v>
      </c>
      <c r="AF1057" s="2">
        <f>IFERROR(__xludf.DUMMYFUNCTION("IFERROR(ABS(R1057-AVERAGE(FILTER(R1057:R5125,AA1057:AA5125=""Neighbor""))) / STDEV(FILTER(R1057:R5125, AA1057:AA5125 =""Neighbor"")), """")"),0.35340266662198644)</f>
        <v>0.3534026666</v>
      </c>
    </row>
    <row r="1058">
      <c r="A1058" s="2" t="s">
        <v>28</v>
      </c>
      <c r="B1058" s="2" t="s">
        <v>3907</v>
      </c>
      <c r="C1058" s="2" t="s">
        <v>4321</v>
      </c>
      <c r="D1058" s="2" t="s">
        <v>4330</v>
      </c>
      <c r="E1058" s="2" t="s">
        <v>4331</v>
      </c>
      <c r="F1058" s="2">
        <v>67.0</v>
      </c>
      <c r="G1058" s="2">
        <v>253.0</v>
      </c>
      <c r="H1058" s="2" t="b">
        <v>1</v>
      </c>
      <c r="I1058" s="2">
        <v>-1.0</v>
      </c>
      <c r="J1058" s="2" t="b">
        <v>0</v>
      </c>
      <c r="K1058" s="2" t="b">
        <v>0</v>
      </c>
      <c r="L1058" s="2" t="b">
        <v>0</v>
      </c>
      <c r="M1058" s="2" t="b">
        <v>0</v>
      </c>
      <c r="N1058" s="2" t="s">
        <v>33</v>
      </c>
      <c r="O1058" s="2">
        <v>48.0</v>
      </c>
      <c r="P1058" s="2">
        <v>7.0</v>
      </c>
      <c r="Q1058" s="2">
        <v>10.0</v>
      </c>
      <c r="R1058" s="2">
        <v>1.0</v>
      </c>
      <c r="S1058" s="3" t="s">
        <v>4332</v>
      </c>
      <c r="T1058" s="2" t="s">
        <v>4333</v>
      </c>
      <c r="Y1058" s="4" t="str">
        <f>IFERROR(__xludf.DUMMYFUNCTION("""COMPUTED_VALUE"""),"7.0705723")</f>
        <v>7.0705723</v>
      </c>
      <c r="Z1058" s="4" t="str">
        <f>IFERROR(__xludf.DUMMYFUNCTION("""COMPUTED_VALUE"""),"3.2885455")</f>
        <v>3.2885455</v>
      </c>
      <c r="AA1058" s="4" t="str">
        <f t="shared" si="1"/>
        <v>Neighbor</v>
      </c>
      <c r="AC1058" s="4">
        <f>IFERROR(__xludf.DUMMYFUNCTION("IFERROR(ABS(O1058-AVERAGE(FILTER(O1058:O5126,AA1058:AA5126=""Neighbor""))) / STDEV(FILTER(O1058:O5126, AA1058:AA5126 =""Neighbor"")), """")"),0.3804318642762158)</f>
        <v>0.3804318643</v>
      </c>
      <c r="AD1058" s="4">
        <f>IFERROR(__xludf.DUMMYFUNCTION("IFERROR(ABS(P1058-AVERAGE(FILTER(O1058:P5126,AA1058:AA5126=""Neighbor""))) / STDEV(FILTER(P1058:P5126, AA1058:AA5126 =""Neighbor"")), """")"),1.5232596250770463)</f>
        <v>1.523259625</v>
      </c>
      <c r="AE1058" s="2">
        <f>IFERROR(__xludf.DUMMYFUNCTION("IFERROR(ABS(Q1058-AVERAGE(FILTER(Q1058:Q5126,AA1058:AA5126=""Neighbor""))) / STDEV(FILTER(Q1058:Q5126, AA1058:AA5126 =""Neighbor"")), """")"),0.6118886660159396)</f>
        <v>0.611888666</v>
      </c>
      <c r="AF1058" s="2">
        <f>IFERROR(__xludf.DUMMYFUNCTION("IFERROR(ABS(R1058-AVERAGE(FILTER(R1058:R5126,AA1058:AA5126=""Neighbor""))) / STDEV(FILTER(R1058:R5126, AA1058:AA5126 =""Neighbor"")), """")"),0.8243559768864644)</f>
        <v>0.8243559769</v>
      </c>
    </row>
    <row r="1059">
      <c r="A1059" s="2" t="s">
        <v>28</v>
      </c>
      <c r="B1059" s="2" t="s">
        <v>3907</v>
      </c>
      <c r="C1059" s="2" t="s">
        <v>4321</v>
      </c>
      <c r="D1059" s="2" t="s">
        <v>4334</v>
      </c>
      <c r="E1059" s="2" t="s">
        <v>4335</v>
      </c>
      <c r="F1059" s="2">
        <v>236.0</v>
      </c>
      <c r="G1059" s="2">
        <v>1476.0</v>
      </c>
      <c r="H1059" s="2" t="b">
        <v>1</v>
      </c>
      <c r="I1059" s="2">
        <v>-1.0</v>
      </c>
      <c r="J1059" s="2" t="b">
        <v>0</v>
      </c>
      <c r="K1059" s="2" t="b">
        <v>0</v>
      </c>
      <c r="L1059" s="2" t="b">
        <v>0</v>
      </c>
      <c r="M1059" s="2" t="b">
        <v>0</v>
      </c>
      <c r="N1059" s="2" t="s">
        <v>33</v>
      </c>
      <c r="O1059" s="2">
        <v>101.0</v>
      </c>
      <c r="P1059" s="2">
        <v>60.0</v>
      </c>
      <c r="Q1059" s="2">
        <v>36.0</v>
      </c>
      <c r="R1059" s="2">
        <v>4.0</v>
      </c>
      <c r="S1059" s="3" t="s">
        <v>4336</v>
      </c>
      <c r="T1059" s="2" t="s">
        <v>4337</v>
      </c>
      <c r="Y1059" s="4" t="str">
        <f>IFERROR(__xludf.DUMMYFUNCTION("""COMPUTED_VALUE"""),"7.0705723")</f>
        <v>7.0705723</v>
      </c>
      <c r="Z1059" s="4" t="str">
        <f>IFERROR(__xludf.DUMMYFUNCTION("""COMPUTED_VALUE"""),"3.2885455")</f>
        <v>3.2885455</v>
      </c>
      <c r="AA1059" s="4" t="str">
        <f t="shared" si="1"/>
        <v>Neighbor</v>
      </c>
      <c r="AC1059" s="4">
        <f>IFERROR(__xludf.DUMMYFUNCTION("IFERROR(ABS(O1059-AVERAGE(FILTER(O1059:O5127,AA1059:AA5127=""Neighbor""))) / STDEV(FILTER(O1059:O5127, AA1059:AA5127 =""Neighbor"")), """")"),0.9046449658229186)</f>
        <v>0.9046449658</v>
      </c>
      <c r="AD1059" s="4">
        <f>IFERROR(__xludf.DUMMYFUNCTION("IFERROR(ABS(P1059-AVERAGE(FILTER(O1059:P5127,AA1059:AA5127=""Neighbor""))) / STDEV(FILTER(P1059:P5127, AA1059:AA5127 =""Neighbor"")), """")"),0.9318464437405602)</f>
        <v>0.9318464437</v>
      </c>
      <c r="AE1059" s="2">
        <f>IFERROR(__xludf.DUMMYFUNCTION("IFERROR(ABS(Q1059-AVERAGE(FILTER(Q1059:Q5127,AA1059:AA5127=""Neighbor""))) / STDEV(FILTER(Q1059:Q5127, AA1059:AA5127 =""Neighbor"")), """")"),0.4656220944513088)</f>
        <v>0.4656220945</v>
      </c>
      <c r="AF1059" s="2">
        <f>IFERROR(__xludf.DUMMYFUNCTION("IFERROR(ABS(R1059-AVERAGE(FILTER(R1059:R5127,AA1059:AA5127=""Neighbor""))) / STDEV(FILTER(R1059:R5127, AA1059:AA5127 =""Neighbor"")), """")"),4.358193898814268)</f>
        <v>4.358193899</v>
      </c>
    </row>
    <row r="1060">
      <c r="A1060" s="2" t="s">
        <v>28</v>
      </c>
      <c r="B1060" s="2" t="s">
        <v>3907</v>
      </c>
      <c r="C1060" s="2" t="s">
        <v>4321</v>
      </c>
      <c r="D1060" s="2" t="s">
        <v>4338</v>
      </c>
      <c r="E1060" s="2" t="s">
        <v>4339</v>
      </c>
      <c r="F1060" s="2">
        <v>240.0</v>
      </c>
      <c r="G1060" s="2">
        <v>804.0</v>
      </c>
      <c r="H1060" s="2" t="b">
        <v>1</v>
      </c>
      <c r="I1060" s="2">
        <v>-1.0</v>
      </c>
      <c r="J1060" s="2" t="b">
        <v>0</v>
      </c>
      <c r="K1060" s="2" t="b">
        <v>0</v>
      </c>
      <c r="L1060" s="2" t="b">
        <v>0</v>
      </c>
      <c r="M1060" s="2" t="b">
        <v>0</v>
      </c>
      <c r="N1060" s="2" t="s">
        <v>33</v>
      </c>
      <c r="O1060" s="2">
        <v>111.0</v>
      </c>
      <c r="P1060" s="2">
        <v>67.0</v>
      </c>
      <c r="Q1060" s="2">
        <v>36.0</v>
      </c>
      <c r="R1060" s="2">
        <v>4.0</v>
      </c>
      <c r="S1060" s="3" t="s">
        <v>4340</v>
      </c>
      <c r="T1060" s="2" t="s">
        <v>4341</v>
      </c>
      <c r="Y1060" s="4" t="str">
        <f>IFERROR(__xludf.DUMMYFUNCTION("""COMPUTED_VALUE"""),"7.080017")</f>
        <v>7.080017</v>
      </c>
      <c r="Z1060" s="4" t="str">
        <f>IFERROR(__xludf.DUMMYFUNCTION("""COMPUTED_VALUE"""),"3.2822559")</f>
        <v>3.2822559</v>
      </c>
      <c r="AA1060" s="4" t="str">
        <f t="shared" si="1"/>
        <v>Neighbor</v>
      </c>
      <c r="AC1060" s="4">
        <f>IFERROR(__xludf.DUMMYFUNCTION("IFERROR(ABS(O1060-AVERAGE(FILTER(O1060:O5128,AA1060:AA5128=""Neighbor""))) / STDEV(FILTER(O1060:O5128, AA1060:AA5128 =""Neighbor"")), """")"),1.1477678450635704)</f>
        <v>1.147767845</v>
      </c>
      <c r="AD1060" s="4">
        <f>IFERROR(__xludf.DUMMYFUNCTION("IFERROR(ABS(P1060-AVERAGE(FILTER(O1060:P5128,AA1060:AA5128=""Neighbor""))) / STDEV(FILTER(P1060:P5128, AA1060:AA5128 =""Neighbor"")), """")"),1.2591090632371396)</f>
        <v>1.259109063</v>
      </c>
      <c r="AE1060" s="2">
        <f>IFERROR(__xludf.DUMMYFUNCTION("IFERROR(ABS(Q1060-AVERAGE(FILTER(Q1060:Q5128,AA1060:AA5128=""Neighbor""))) / STDEV(FILTER(Q1060:Q5128, AA1060:AA5128 =""Neighbor"")), """")"),0.46584259606028405)</f>
        <v>0.4658425961</v>
      </c>
      <c r="AF1060" s="2">
        <f>IFERROR(__xludf.DUMMYFUNCTION("IFERROR(ABS(R1060-AVERAGE(FILTER(R1060:R5128,AA1060:AA5128=""Neighbor""))) / STDEV(FILTER(R1060:R5128, AA1060:AA5128 =""Neighbor"")), """")"),4.392524596251113)</f>
        <v>4.392524596</v>
      </c>
    </row>
    <row r="1061">
      <c r="A1061" s="2" t="s">
        <v>28</v>
      </c>
      <c r="B1061" s="2" t="s">
        <v>3907</v>
      </c>
      <c r="C1061" s="2" t="s">
        <v>4321</v>
      </c>
      <c r="D1061" s="2" t="s">
        <v>4342</v>
      </c>
      <c r="E1061" s="2" t="s">
        <v>4343</v>
      </c>
      <c r="F1061" s="2">
        <v>156.0</v>
      </c>
      <c r="G1061" s="2">
        <v>970.0</v>
      </c>
      <c r="H1061" s="2" t="b">
        <v>1</v>
      </c>
      <c r="I1061" s="2">
        <v>-1.0</v>
      </c>
      <c r="J1061" s="2" t="b">
        <v>0</v>
      </c>
      <c r="K1061" s="2" t="b">
        <v>1</v>
      </c>
      <c r="L1061" s="2" t="b">
        <v>0</v>
      </c>
      <c r="M1061" s="2" t="b">
        <v>0</v>
      </c>
      <c r="N1061" s="2" t="s">
        <v>33</v>
      </c>
      <c r="O1061" s="2">
        <v>80.0</v>
      </c>
      <c r="P1061" s="2">
        <v>21.0</v>
      </c>
      <c r="Q1061" s="2">
        <v>32.0</v>
      </c>
      <c r="R1061" s="2">
        <v>0.0</v>
      </c>
      <c r="S1061" s="3" t="s">
        <v>4344</v>
      </c>
      <c r="T1061" s="2" t="s">
        <v>4345</v>
      </c>
      <c r="Y1061" s="4" t="str">
        <f>IFERROR(__xludf.DUMMYFUNCTION("""COMPUTED_VALUE"""),"7.0705723")</f>
        <v>7.0705723</v>
      </c>
      <c r="Z1061" s="4" t="str">
        <f>IFERROR(__xludf.DUMMYFUNCTION("""COMPUTED_VALUE"""),"3.2885455")</f>
        <v>3.2885455</v>
      </c>
      <c r="AA1061" s="4" t="str">
        <f t="shared" si="1"/>
        <v>Neighbor</v>
      </c>
      <c r="AC1061" s="4">
        <f>IFERROR(__xludf.DUMMYFUNCTION("IFERROR(ABS(O1061-AVERAGE(FILTER(O1061:O5129,AA1061:AA5129=""Neighbor""))) / STDEV(FILTER(O1061:O5129, AA1061:AA5129 =""Neighbor"")), """")"),0.3970170051474293)</f>
        <v>0.3970170051</v>
      </c>
      <c r="AD1061" s="4">
        <f>IFERROR(__xludf.DUMMYFUNCTION("IFERROR(ABS(P1061-AVERAGE(FILTER(O1061:P5129,AA1061:AA5129=""Neighbor""))) / STDEV(FILTER(P1061:P5129, AA1061:AA5129 =""Neighbor"")), """")"),0.8741064355955689)</f>
        <v>0.8741064356</v>
      </c>
      <c r="AE1061" s="2">
        <f>IFERROR(__xludf.DUMMYFUNCTION("IFERROR(ABS(Q1061-AVERAGE(FILTER(Q1061:Q5129,AA1061:AA5129=""Neighbor""))) / STDEV(FILTER(Q1061:Q5129, AA1061:AA5129 =""Neighbor"")), """")"),0.30034336508704124)</f>
        <v>0.3003433651</v>
      </c>
      <c r="AF1061" s="2">
        <f>IFERROR(__xludf.DUMMYFUNCTION("IFERROR(ABS(R1061-AVERAGE(FILTER(R1061:R5129,AA1061:AA5129=""Neighbor""))) / STDEV(FILTER(R1061:R5129, AA1061:AA5129 =""Neighbor"")), """")"),0.35104841626812394)</f>
        <v>0.3510484163</v>
      </c>
    </row>
    <row r="1062">
      <c r="A1062" s="2" t="s">
        <v>28</v>
      </c>
      <c r="B1062" s="2" t="s">
        <v>3907</v>
      </c>
      <c r="C1062" s="2" t="s">
        <v>4321</v>
      </c>
      <c r="D1062" s="2" t="s">
        <v>4346</v>
      </c>
      <c r="E1062" s="2" t="s">
        <v>4347</v>
      </c>
      <c r="F1062" s="2">
        <v>351.0</v>
      </c>
      <c r="G1062" s="2">
        <v>2131.0</v>
      </c>
      <c r="H1062" s="2" t="b">
        <v>1</v>
      </c>
      <c r="I1062" s="2">
        <v>-1.0</v>
      </c>
      <c r="J1062" s="2" t="b">
        <v>0</v>
      </c>
      <c r="K1062" s="2" t="b">
        <v>0</v>
      </c>
      <c r="L1062" s="2" t="b">
        <v>0</v>
      </c>
      <c r="M1062" s="2" t="b">
        <v>0</v>
      </c>
      <c r="N1062" s="2" t="s">
        <v>33</v>
      </c>
      <c r="O1062" s="2">
        <v>151.0</v>
      </c>
      <c r="P1062" s="2">
        <v>119.0</v>
      </c>
      <c r="Q1062" s="2">
        <v>50.0</v>
      </c>
      <c r="R1062" s="2">
        <v>0.0</v>
      </c>
      <c r="S1062" s="3" t="s">
        <v>4348</v>
      </c>
      <c r="T1062" s="2" t="s">
        <v>4349</v>
      </c>
      <c r="Y1062" s="4" t="str">
        <f>IFERROR(__xludf.DUMMYFUNCTION("""COMPUTED_VALUE"""),"7.0705723")</f>
        <v>7.0705723</v>
      </c>
      <c r="Z1062" s="4" t="str">
        <f>IFERROR(__xludf.DUMMYFUNCTION("""COMPUTED_VALUE"""),"3.2885455")</f>
        <v>3.2885455</v>
      </c>
      <c r="AA1062" s="4" t="str">
        <f t="shared" si="1"/>
        <v>Not Neighbor</v>
      </c>
      <c r="AC1062" s="4">
        <f>IFERROR(__xludf.DUMMYFUNCTION("IFERROR(ABS(O1062-AVERAGE(FILTER(O1062:O5130,AA1062:AA5130=""Neighbor""))) / STDEV(FILTER(O1062:O5130, AA1062:AA5130 =""Neighbor"")), """")"),2.1184676329132195)</f>
        <v>2.118467633</v>
      </c>
      <c r="AD1062" s="4">
        <f>IFERROR(__xludf.DUMMYFUNCTION("IFERROR(ABS(P1062-AVERAGE(FILTER(O1062:P5130,AA1062:AA5130=""Neighbor""))) / STDEV(FILTER(P1062:P5130, AA1062:AA5130 =""Neighbor"")), """")"),3.6782073053281374)</f>
        <v>3.678207305</v>
      </c>
      <c r="AE1062" s="2">
        <f>IFERROR(__xludf.DUMMYFUNCTION("IFERROR(ABS(Q1062-AVERAGE(FILTER(Q1062:Q5130,AA1062:AA5130=""Neighbor""))) / STDEV(FILTER(Q1062:Q5130, AA1062:AA5130 =""Neighbor"")), """")"),1.0459465178838439)</f>
        <v>1.045946518</v>
      </c>
      <c r="AF1062" s="2">
        <f>IFERROR(__xludf.DUMMYFUNCTION("IFERROR(ABS(R1062-AVERAGE(FILTER(R1062:R5130,AA1062:AA5130=""Neighbor""))) / STDEV(FILTER(R1062:R5130, AA1062:AA5130 =""Neighbor"")), """")"),0.35120209069807806)</f>
        <v>0.3512020907</v>
      </c>
    </row>
    <row r="1063">
      <c r="A1063" s="2" t="s">
        <v>28</v>
      </c>
      <c r="B1063" s="2" t="s">
        <v>3907</v>
      </c>
      <c r="C1063" s="2" t="s">
        <v>4321</v>
      </c>
      <c r="D1063" s="2" t="s">
        <v>4350</v>
      </c>
      <c r="E1063" s="2" t="s">
        <v>4351</v>
      </c>
      <c r="F1063" s="2">
        <v>156.0</v>
      </c>
      <c r="G1063" s="2">
        <v>557.0</v>
      </c>
      <c r="H1063" s="2" t="b">
        <v>1</v>
      </c>
      <c r="I1063" s="2">
        <v>-1.0</v>
      </c>
      <c r="J1063" s="2" t="b">
        <v>0</v>
      </c>
      <c r="K1063" s="2" t="b">
        <v>0</v>
      </c>
      <c r="L1063" s="2" t="b">
        <v>0</v>
      </c>
      <c r="M1063" s="2" t="b">
        <v>0</v>
      </c>
      <c r="N1063" s="2" t="s">
        <v>33</v>
      </c>
      <c r="O1063" s="2">
        <v>86.0</v>
      </c>
      <c r="P1063" s="2">
        <v>2.0</v>
      </c>
      <c r="Q1063" s="2">
        <v>58.0</v>
      </c>
      <c r="R1063" s="2">
        <v>0.0</v>
      </c>
      <c r="S1063" s="3" t="s">
        <v>4352</v>
      </c>
      <c r="T1063" s="2" t="s">
        <v>4353</v>
      </c>
      <c r="Y1063" s="4" t="str">
        <f>IFERROR(__xludf.DUMMYFUNCTION("""COMPUTED_VALUE"""),"7.047897")</f>
        <v>7.047897</v>
      </c>
      <c r="Z1063" s="4" t="str">
        <f>IFERROR(__xludf.DUMMYFUNCTION("""COMPUTED_VALUE"""),"3.267164")</f>
        <v>3.267164</v>
      </c>
      <c r="AA1063" s="4" t="str">
        <f t="shared" si="1"/>
        <v>Not Neighbor</v>
      </c>
      <c r="AC1063" s="4">
        <f>IFERROR(__xludf.DUMMYFUNCTION("IFERROR(ABS(O1063-AVERAGE(FILTER(O1063:O5131,AA1063:AA5131=""Neighbor""))) / STDEV(FILTER(O1063:O5131, AA1063:AA5131 =""Neighbor"")), """")"),0.5426556977315778)</f>
        <v>0.5426556977</v>
      </c>
      <c r="AD1063" s="4">
        <f>IFERROR(__xludf.DUMMYFUNCTION("IFERROR(ABS(P1063-AVERAGE(FILTER(O1063:P5131,AA1063:AA5131=""Neighbor""))) / STDEV(FILTER(P1063:P5131, AA1063:AA5131 =""Neighbor"")), """")"),1.75585055610308)</f>
        <v>1.755850556</v>
      </c>
      <c r="AE1063" s="2">
        <f>IFERROR(__xludf.DUMMYFUNCTION("IFERROR(ABS(Q1063-AVERAGE(FILTER(Q1063:Q5131,AA1063:AA5131=""Neighbor""))) / STDEV(FILTER(Q1063:Q5131, AA1063:AA5131 =""Neighbor"")), """")"),1.3772689840609667)</f>
        <v>1.377268984</v>
      </c>
      <c r="AF1063" s="2">
        <f>IFERROR(__xludf.DUMMYFUNCTION("IFERROR(ABS(R1063-AVERAGE(FILTER(R1063:R5131,AA1063:AA5131=""Neighbor""))) / STDEV(FILTER(R1063:R5131, AA1063:AA5131 =""Neighbor"")), """")"),0.35120209069807806)</f>
        <v>0.3512020907</v>
      </c>
    </row>
    <row r="1064">
      <c r="A1064" s="2" t="s">
        <v>28</v>
      </c>
      <c r="B1064" s="2" t="s">
        <v>3907</v>
      </c>
      <c r="C1064" s="2" t="s">
        <v>4321</v>
      </c>
      <c r="D1064" s="2" t="s">
        <v>4354</v>
      </c>
      <c r="E1064" s="2" t="s">
        <v>4355</v>
      </c>
      <c r="F1064" s="2">
        <v>155.0</v>
      </c>
      <c r="G1064" s="2">
        <v>813.0</v>
      </c>
      <c r="H1064" s="2" t="b">
        <v>1</v>
      </c>
      <c r="I1064" s="2">
        <v>-1.0</v>
      </c>
      <c r="J1064" s="2" t="b">
        <v>0</v>
      </c>
      <c r="K1064" s="2" t="b">
        <v>0</v>
      </c>
      <c r="L1064" s="2" t="b">
        <v>0</v>
      </c>
      <c r="M1064" s="2" t="b">
        <v>0</v>
      </c>
      <c r="N1064" s="2" t="s">
        <v>33</v>
      </c>
      <c r="O1064" s="2">
        <v>73.0</v>
      </c>
      <c r="P1064" s="2">
        <v>32.0</v>
      </c>
      <c r="Q1064" s="2">
        <v>18.0</v>
      </c>
      <c r="R1064" s="2">
        <v>1.0</v>
      </c>
      <c r="S1064" s="3" t="s">
        <v>4356</v>
      </c>
      <c r="T1064" s="2" t="s">
        <v>4357</v>
      </c>
      <c r="Y1064" s="4" t="str">
        <f>IFERROR(__xludf.DUMMYFUNCTION("""COMPUTED_VALUE"""),"7.1130704")</f>
        <v>7.1130704</v>
      </c>
      <c r="Z1064" s="4" t="str">
        <f>IFERROR(__xludf.DUMMYFUNCTION("""COMPUTED_VALUE"""),"3.2992855")</f>
        <v>3.2992855</v>
      </c>
      <c r="AA1064" s="4" t="str">
        <f t="shared" si="1"/>
        <v>Not Neighbor</v>
      </c>
      <c r="AC1064" s="4">
        <f>IFERROR(__xludf.DUMMYFUNCTION("IFERROR(ABS(O1064-AVERAGE(FILTER(O1064:O5132,AA1064:AA5132=""Neighbor""))) / STDEV(FILTER(O1064:O5132, AA1064:AA5132 =""Neighbor"")), """")"),0.22749331069524953)</f>
        <v>0.2274933107</v>
      </c>
      <c r="AD1064" s="4">
        <f>IFERROR(__xludf.DUMMYFUNCTION("IFERROR(ABS(P1064-AVERAGE(FILTER(O1064:P5132,AA1064:AA5132=""Neighbor""))) / STDEV(FILTER(P1064:P5132, AA1064:AA5132 =""Neighbor"")), """")"),0.36250238650533195)</f>
        <v>0.3625023865</v>
      </c>
      <c r="AE1064" s="2">
        <f>IFERROR(__xludf.DUMMYFUNCTION("IFERROR(ABS(Q1064-AVERAGE(FILTER(Q1064:Q5132,AA1064:AA5132=""Neighbor""))) / STDEV(FILTER(Q1064:Q5132, AA1064:AA5132 =""Neighbor"")), """")"),0.279343346824647)</f>
        <v>0.2793433468</v>
      </c>
      <c r="AF1064" s="2">
        <f>IFERROR(__xludf.DUMMYFUNCTION("IFERROR(ABS(R1064-AVERAGE(FILTER(R1064:R5132,AA1064:AA5132=""Neighbor""))) / STDEV(FILTER(R1064:R5132, AA1064:AA5132 =""Neighbor"")), """")"),0.8430713317818583)</f>
        <v>0.8430713318</v>
      </c>
    </row>
    <row r="1065">
      <c r="A1065" s="2" t="s">
        <v>28</v>
      </c>
      <c r="B1065" s="2" t="s">
        <v>4358</v>
      </c>
      <c r="C1065" s="2" t="s">
        <v>4359</v>
      </c>
      <c r="D1065" s="2" t="s">
        <v>4360</v>
      </c>
      <c r="E1065" s="2" t="s">
        <v>4361</v>
      </c>
      <c r="F1065" s="2">
        <v>119.0</v>
      </c>
      <c r="G1065" s="2">
        <v>2223.0</v>
      </c>
      <c r="H1065" s="2" t="b">
        <v>1</v>
      </c>
      <c r="I1065" s="2">
        <v>-1.0</v>
      </c>
      <c r="J1065" s="2" t="b">
        <v>0</v>
      </c>
      <c r="K1065" s="2" t="b">
        <v>0</v>
      </c>
      <c r="L1065" s="2" t="b">
        <v>0</v>
      </c>
      <c r="M1065" s="2" t="b">
        <v>0</v>
      </c>
      <c r="N1065" s="2" t="s">
        <v>33</v>
      </c>
      <c r="O1065" s="2">
        <v>121.0</v>
      </c>
      <c r="P1065" s="2">
        <v>56.0</v>
      </c>
      <c r="Q1065" s="2">
        <v>21.0</v>
      </c>
      <c r="R1065" s="2">
        <v>0.0</v>
      </c>
      <c r="S1065" s="3" t="s">
        <v>4362</v>
      </c>
      <c r="T1065" s="2" t="s">
        <v>4363</v>
      </c>
      <c r="Y1065" s="4" t="str">
        <f>IFERROR(__xludf.DUMMYFUNCTION("""COMPUTED_VALUE"""),"6.805844")</f>
        <v>6.805844</v>
      </c>
      <c r="Z1065" s="4" t="str">
        <f>IFERROR(__xludf.DUMMYFUNCTION("""COMPUTED_VALUE"""),"3.1955414")</f>
        <v>3.1955414</v>
      </c>
      <c r="AA1065" s="4" t="str">
        <f t="shared" si="1"/>
        <v>Neighbor</v>
      </c>
      <c r="AC1065" s="4">
        <f>IFERROR(__xludf.DUMMYFUNCTION("IFERROR(ABS(O1065-AVERAGE(FILTER(O1065:O5133,AA1065:AA5133=""Neighbor""))) / STDEV(FILTER(O1065:O5133, AA1065:AA5133 =""Neighbor"")), """")"),1.3911698166755389)</f>
        <v>1.391169817</v>
      </c>
      <c r="AD1065" s="4">
        <f>IFERROR(__xludf.DUMMYFUNCTION("IFERROR(ABS(P1065-AVERAGE(FILTER(O1065:P5133,AA1065:AA5133=""Neighbor""))) / STDEV(FILTER(P1065:P5133, AA1065:AA5133 =""Neighbor"")), """")"),0.7521761491728665)</f>
        <v>0.7521761492</v>
      </c>
      <c r="AE1065" s="2">
        <f>IFERROR(__xludf.DUMMYFUNCTION("IFERROR(ABS(Q1065-AVERAGE(FILTER(Q1065:Q5133,AA1065:AA5133=""Neighbor""))) / STDEV(FILTER(Q1065:Q5133, AA1065:AA5133 =""Neighbor"")), """")"),0.155097422008226)</f>
        <v>0.155097422</v>
      </c>
      <c r="AF1065" s="2">
        <f>IFERROR(__xludf.DUMMYFUNCTION("IFERROR(ABS(R1065-AVERAGE(FILTER(R1065:R5133,AA1065:AA5133=""Neighbor""))) / STDEV(FILTER(R1065:R5133, AA1065:AA5133 =""Neighbor"")), """")"),0.35120209069807806)</f>
        <v>0.3512020907</v>
      </c>
    </row>
    <row r="1066">
      <c r="A1066" s="2" t="s">
        <v>28</v>
      </c>
      <c r="B1066" s="2" t="s">
        <v>4358</v>
      </c>
      <c r="C1066" s="2" t="s">
        <v>4359</v>
      </c>
      <c r="D1066" s="2" t="s">
        <v>4364</v>
      </c>
      <c r="E1066" s="2" t="s">
        <v>4365</v>
      </c>
      <c r="F1066" s="2">
        <v>99.0</v>
      </c>
      <c r="G1066" s="2">
        <v>750.0</v>
      </c>
      <c r="H1066" s="2" t="b">
        <v>1</v>
      </c>
      <c r="I1066" s="2">
        <v>-1.0</v>
      </c>
      <c r="J1066" s="2" t="b">
        <v>0</v>
      </c>
      <c r="K1066" s="2" t="b">
        <v>0</v>
      </c>
      <c r="L1066" s="2" t="b">
        <v>0</v>
      </c>
      <c r="M1066" s="2" t="b">
        <v>0</v>
      </c>
      <c r="N1066" s="2" t="s">
        <v>33</v>
      </c>
      <c r="O1066" s="2">
        <v>68.0</v>
      </c>
      <c r="P1066" s="2">
        <v>7.0</v>
      </c>
      <c r="Q1066" s="2">
        <v>17.0</v>
      </c>
      <c r="R1066" s="2">
        <v>0.0</v>
      </c>
      <c r="S1066" s="3" t="s">
        <v>4366</v>
      </c>
      <c r="T1066" s="2" t="s">
        <v>4367</v>
      </c>
      <c r="Y1066" s="4" t="str">
        <f>IFERROR(__xludf.DUMMYFUNCTION("""COMPUTED_VALUE"""),"6.805844")</f>
        <v>6.805844</v>
      </c>
      <c r="Z1066" s="4" t="str">
        <f>IFERROR(__xludf.DUMMYFUNCTION("""COMPUTED_VALUE"""),"3.1955414")</f>
        <v>3.1955414</v>
      </c>
      <c r="AA1066" s="4" t="str">
        <f t="shared" si="1"/>
        <v>Neighbor</v>
      </c>
      <c r="AC1066" s="4">
        <f>IFERROR(__xludf.DUMMYFUNCTION("IFERROR(ABS(O1066-AVERAGE(FILTER(O1066:O5134,AA1066:AA5134=""Neighbor""))) / STDEV(FILTER(O1066:O5134, AA1066:AA5134 =""Neighbor"")), """")"),0.10740232339742214)</f>
        <v>0.1074023234</v>
      </c>
      <c r="AD1066" s="4">
        <f>IFERROR(__xludf.DUMMYFUNCTION("IFERROR(ABS(P1066-AVERAGE(FILTER(O1066:P5134,AA1066:AA5134=""Neighbor""))) / STDEV(FILTER(P1066:P5134, AA1066:AA5134 =""Neighbor"")), """")"),1.5233219894902226)</f>
        <v>1.523321989</v>
      </c>
      <c r="AE1066" s="2">
        <f>IFERROR(__xludf.DUMMYFUNCTION("IFERROR(ABS(Q1066-AVERAGE(FILTER(Q1066:Q5134,AA1066:AA5134=""Neighbor""))) / STDEV(FILTER(Q1066:Q5134, AA1066:AA5134 =""Neighbor"")), """")"),0.32075747415003053)</f>
        <v>0.3207574742</v>
      </c>
      <c r="AF1066" s="2">
        <f>IFERROR(__xludf.DUMMYFUNCTION("IFERROR(ABS(R1066-AVERAGE(FILTER(R1066:R5134,AA1066:AA5134=""Neighbor""))) / STDEV(FILTER(R1066:R5134, AA1066:AA5134 =""Neighbor"")), """")"),0.35135596714224177)</f>
        <v>0.3513559671</v>
      </c>
    </row>
    <row r="1067">
      <c r="A1067" s="2" t="s">
        <v>28</v>
      </c>
      <c r="B1067" s="2" t="s">
        <v>4358</v>
      </c>
      <c r="C1067" s="2" t="s">
        <v>4359</v>
      </c>
      <c r="D1067" s="2" t="s">
        <v>4368</v>
      </c>
      <c r="E1067" s="2" t="s">
        <v>4369</v>
      </c>
      <c r="F1067" s="2">
        <v>175.0</v>
      </c>
      <c r="G1067" s="2">
        <v>1065.0</v>
      </c>
      <c r="H1067" s="2" t="b">
        <v>1</v>
      </c>
      <c r="I1067" s="2">
        <v>-1.0</v>
      </c>
      <c r="J1067" s="2" t="b">
        <v>0</v>
      </c>
      <c r="K1067" s="2" t="b">
        <v>1</v>
      </c>
      <c r="L1067" s="2" t="b">
        <v>0</v>
      </c>
      <c r="M1067" s="2" t="b">
        <v>0</v>
      </c>
      <c r="N1067" s="2" t="s">
        <v>33</v>
      </c>
      <c r="O1067" s="2">
        <v>96.0</v>
      </c>
      <c r="P1067" s="2">
        <v>13.0</v>
      </c>
      <c r="Q1067" s="2">
        <v>47.0</v>
      </c>
      <c r="R1067" s="2">
        <v>1.0</v>
      </c>
      <c r="S1067" s="3" t="s">
        <v>4370</v>
      </c>
      <c r="T1067" s="2" t="s">
        <v>4371</v>
      </c>
      <c r="Y1067" s="4" t="str">
        <f>IFERROR(__xludf.DUMMYFUNCTION("""COMPUTED_VALUE"""),"6.805844")</f>
        <v>6.805844</v>
      </c>
      <c r="Z1067" s="4" t="str">
        <f>IFERROR(__xludf.DUMMYFUNCTION("""COMPUTED_VALUE"""),"3.1955414")</f>
        <v>3.1955414</v>
      </c>
      <c r="AA1067" s="4" t="str">
        <f t="shared" si="1"/>
        <v>Neighbor</v>
      </c>
      <c r="AC1067" s="4">
        <f>IFERROR(__xludf.DUMMYFUNCTION("IFERROR(ABS(O1067-AVERAGE(FILTER(O1067:O5135,AA1067:AA5135=""Neighbor""))) / STDEV(FILTER(O1067:O5135, AA1067:AA5135 =""Neighbor"")), """")"),0.7862423235774926)</f>
        <v>0.7862423236</v>
      </c>
      <c r="AD1067" s="4">
        <f>IFERROR(__xludf.DUMMYFUNCTION("IFERROR(ABS(P1067-AVERAGE(FILTER(O1067:P5135,AA1067:AA5135=""Neighbor""))) / STDEV(FILTER(P1067:P5135, AA1067:AA5135 =""Neighbor"")), """")"),1.2440652685352882)</f>
        <v>1.244065269</v>
      </c>
      <c r="AE1067" s="2">
        <f>IFERROR(__xludf.DUMMYFUNCTION("IFERROR(ABS(Q1067-AVERAGE(FILTER(Q1067:Q5135,AA1067:AA5135=""Neighbor""))) / STDEV(FILTER(Q1067:Q5135, AA1067:AA5135 =""Neighbor"")), """")"),0.9206550043906383)</f>
        <v>0.9206550044</v>
      </c>
      <c r="AF1067" s="2">
        <f>IFERROR(__xludf.DUMMYFUNCTION("IFERROR(ABS(R1067-AVERAGE(FILTER(R1067:R5135,AA1067:AA5135=""Neighbor""))) / STDEV(FILTER(R1067:R5135, AA1067:AA5135 =""Neighbor"")), """")"),0.841945813202676)</f>
        <v>0.8419458132</v>
      </c>
    </row>
    <row r="1068">
      <c r="A1068" s="2" t="s">
        <v>28</v>
      </c>
      <c r="B1068" s="2" t="s">
        <v>4358</v>
      </c>
      <c r="C1068" s="2" t="s">
        <v>4359</v>
      </c>
      <c r="D1068" s="2" t="s">
        <v>4372</v>
      </c>
      <c r="E1068" s="2" t="s">
        <v>4373</v>
      </c>
      <c r="F1068" s="2">
        <v>145.0</v>
      </c>
      <c r="G1068" s="2">
        <v>750.0</v>
      </c>
      <c r="H1068" s="2" t="b">
        <v>1</v>
      </c>
      <c r="I1068" s="2">
        <v>-1.0</v>
      </c>
      <c r="J1068" s="2" t="b">
        <v>1</v>
      </c>
      <c r="K1068" s="2" t="b">
        <v>0</v>
      </c>
      <c r="L1068" s="2" t="b">
        <v>0</v>
      </c>
      <c r="M1068" s="2" t="b">
        <v>0</v>
      </c>
      <c r="N1068" s="2" t="s">
        <v>33</v>
      </c>
      <c r="O1068" s="2">
        <v>88.0</v>
      </c>
      <c r="P1068" s="2">
        <v>19.0</v>
      </c>
      <c r="Q1068" s="2">
        <v>18.0</v>
      </c>
      <c r="R1068" s="2">
        <v>0.0</v>
      </c>
      <c r="S1068" s="3" t="s">
        <v>4374</v>
      </c>
      <c r="T1068" s="2" t="s">
        <v>4375</v>
      </c>
      <c r="Y1068" s="4" t="str">
        <f>IFERROR(__xludf.DUMMYFUNCTION("""COMPUTED_VALUE"""),"6.8124095")</f>
        <v>6.8124095</v>
      </c>
      <c r="Z1068" s="4" t="str">
        <f>IFERROR(__xludf.DUMMYFUNCTION("""COMPUTED_VALUE"""),"3.1882894")</f>
        <v>3.1882894</v>
      </c>
      <c r="AA1068" s="4" t="str">
        <f t="shared" si="1"/>
        <v>Neighbor</v>
      </c>
      <c r="AC1068" s="4">
        <f>IFERROR(__xludf.DUMMYFUNCTION("IFERROR(ABS(O1068-AVERAGE(FILTER(O1068:O5136,AA1068:AA5136=""Neighbor""))) / STDEV(FILTER(O1068:O5136, AA1068:AA5136 =""Neighbor"")), """")"),0.5928264439698067)</f>
        <v>0.592826444</v>
      </c>
      <c r="AD1068" s="4">
        <f>IFERROR(__xludf.DUMMYFUNCTION("IFERROR(ABS(P1068-AVERAGE(FILTER(O1068:P5136,AA1068:AA5136=""Neighbor""))) / STDEV(FILTER(P1068:P5136, AA1068:AA5136 =""Neighbor"")), """")"),0.9643127493524459)</f>
        <v>0.9643127494</v>
      </c>
      <c r="AE1068" s="2">
        <f>IFERROR(__xludf.DUMMYFUNCTION("IFERROR(ABS(Q1068-AVERAGE(FILTER(Q1068:Q5136,AA1068:AA5136=""Neighbor""))) / STDEV(FILTER(Q1068:Q5136, AA1068:AA5136 =""Neighbor"")), """")"),0.2787741635673465)</f>
        <v>0.2787741636</v>
      </c>
      <c r="AF1068" s="2">
        <f>IFERROR(__xludf.DUMMYFUNCTION("IFERROR(ABS(R1068-AVERAGE(FILTER(R1068:R5136,AA1068:AA5136=""Neighbor""))) / STDEV(FILTER(R1068:R5136, AA1068:AA5136 =""Neighbor"")), """")"),0.3508118826133388)</f>
        <v>0.3508118826</v>
      </c>
    </row>
    <row r="1069">
      <c r="A1069" s="2" t="s">
        <v>28</v>
      </c>
      <c r="B1069" s="2" t="s">
        <v>4358</v>
      </c>
      <c r="C1069" s="2" t="s">
        <v>4359</v>
      </c>
      <c r="D1069" s="2" t="s">
        <v>4376</v>
      </c>
      <c r="E1069" s="2" t="s">
        <v>4377</v>
      </c>
      <c r="F1069" s="2">
        <v>196.0</v>
      </c>
      <c r="G1069" s="2">
        <v>1362.0</v>
      </c>
      <c r="H1069" s="2" t="b">
        <v>1</v>
      </c>
      <c r="I1069" s="2">
        <v>-1.0</v>
      </c>
      <c r="J1069" s="2" t="b">
        <v>0</v>
      </c>
      <c r="K1069" s="2" t="b">
        <v>0</v>
      </c>
      <c r="L1069" s="2" t="b">
        <v>0</v>
      </c>
      <c r="M1069" s="2" t="b">
        <v>0</v>
      </c>
      <c r="N1069" s="2" t="s">
        <v>33</v>
      </c>
      <c r="O1069" s="2">
        <v>111.0</v>
      </c>
      <c r="P1069" s="2">
        <v>29.0</v>
      </c>
      <c r="Q1069" s="2">
        <v>33.0</v>
      </c>
      <c r="R1069" s="2">
        <v>0.0</v>
      </c>
      <c r="S1069" s="3" t="s">
        <v>4378</v>
      </c>
      <c r="T1069" s="2" t="s">
        <v>4379</v>
      </c>
      <c r="Y1069" s="4" t="str">
        <f>IFERROR(__xludf.DUMMYFUNCTION("""COMPUTED_VALUE"""),"6.8124095")</f>
        <v>6.8124095</v>
      </c>
      <c r="Z1069" s="4" t="str">
        <f>IFERROR(__xludf.DUMMYFUNCTION("""COMPUTED_VALUE"""),"3.1882894")</f>
        <v>3.1882894</v>
      </c>
      <c r="AA1069" s="4" t="str">
        <f t="shared" si="1"/>
        <v>Neighbor</v>
      </c>
      <c r="AC1069" s="4">
        <f>IFERROR(__xludf.DUMMYFUNCTION("IFERROR(ABS(O1069-AVERAGE(FILTER(O1069:O5137,AA1069:AA5137=""Neighbor""))) / STDEV(FILTER(O1069:O5137, AA1069:AA5137 =""Neighbor"")), """")"),1.1504988958504625)</f>
        <v>1.150498896</v>
      </c>
      <c r="AD1069" s="4">
        <f>IFERROR(__xludf.DUMMYFUNCTION("IFERROR(ABS(P1069-AVERAGE(FILTER(O1069:P5137,AA1069:AA5137=""Neighbor""))) / STDEV(FILTER(P1069:P5137, AA1069:AA5137 =""Neighbor"")), """")"),0.4990545747607075)</f>
        <v>0.4990545748</v>
      </c>
      <c r="AE1069" s="2">
        <f>IFERROR(__xludf.DUMMYFUNCTION("IFERROR(ABS(Q1069-AVERAGE(FILTER(Q1069:Q5137,AA1069:AA5137=""Neighbor""))) / STDEV(FILTER(Q1069:Q5137, AA1069:AA5137 =""Neighbor"")), """")"),0.3416228006905022)</f>
        <v>0.3416228007</v>
      </c>
      <c r="AF1069" s="2">
        <f>IFERROR(__xludf.DUMMYFUNCTION("IFERROR(ABS(R1069-AVERAGE(FILTER(R1069:R5137,AA1069:AA5137=""Neighbor""))) / STDEV(FILTER(R1069:R5137, AA1069:AA5137 =""Neighbor"")), """")"),0.35096591098997126)</f>
        <v>0.350965911</v>
      </c>
    </row>
    <row r="1070">
      <c r="A1070" s="2" t="s">
        <v>28</v>
      </c>
      <c r="B1070" s="2" t="s">
        <v>4358</v>
      </c>
      <c r="C1070" s="2" t="s">
        <v>4359</v>
      </c>
      <c r="D1070" s="2" t="s">
        <v>4380</v>
      </c>
      <c r="E1070" s="2" t="s">
        <v>4381</v>
      </c>
      <c r="F1070" s="2">
        <v>77.0</v>
      </c>
      <c r="G1070" s="2">
        <v>564.0</v>
      </c>
      <c r="H1070" s="2" t="b">
        <v>1</v>
      </c>
      <c r="I1070" s="2">
        <v>-1.0</v>
      </c>
      <c r="J1070" s="2" t="b">
        <v>0</v>
      </c>
      <c r="K1070" s="2" t="b">
        <v>1</v>
      </c>
      <c r="L1070" s="2" t="b">
        <v>0</v>
      </c>
      <c r="M1070" s="2" t="b">
        <v>0</v>
      </c>
      <c r="N1070" s="2" t="s">
        <v>33</v>
      </c>
      <c r="O1070" s="2">
        <v>5.0</v>
      </c>
      <c r="P1070" s="2">
        <v>7.0</v>
      </c>
      <c r="Q1070" s="2">
        <v>16.0</v>
      </c>
      <c r="R1070" s="2">
        <v>0.0</v>
      </c>
      <c r="S1070" s="3" t="s">
        <v>4382</v>
      </c>
      <c r="T1070" s="2" t="s">
        <v>4383</v>
      </c>
      <c r="Y1070" s="4" t="str">
        <f>IFERROR(__xludf.DUMMYFUNCTION("""COMPUTED_VALUE"""),"6.805844")</f>
        <v>6.805844</v>
      </c>
      <c r="Z1070" s="4" t="str">
        <f>IFERROR(__xludf.DUMMYFUNCTION("""COMPUTED_VALUE"""),"3.1955414")</f>
        <v>3.1955414</v>
      </c>
      <c r="AA1070" s="4" t="str">
        <f t="shared" si="1"/>
        <v>Neighbor</v>
      </c>
      <c r="AC1070" s="4">
        <f>IFERROR(__xludf.DUMMYFUNCTION("IFERROR(ABS(O1070-AVERAGE(FILTER(O1070:O5138,AA1070:AA5138=""Neighbor""))) / STDEV(FILTER(O1070:O5138, AA1070:AA5138 =""Neighbor"")), """")"),1.4174790672956659)</f>
        <v>1.417479067</v>
      </c>
      <c r="AD1070" s="4">
        <f>IFERROR(__xludf.DUMMYFUNCTION("IFERROR(ABS(P1070-AVERAGE(FILTER(O1070:P5138,AA1070:AA5138=""Neighbor""))) / STDEV(FILTER(P1070:P5138, AA1070:AA5138 =""Neighbor"")), """")"),1.5192329107579141)</f>
        <v>1.519232911</v>
      </c>
      <c r="AE1070" s="2">
        <f>IFERROR(__xludf.DUMMYFUNCTION("IFERROR(ABS(Q1070-AVERAGE(FILTER(Q1070:Q5138,AA1070:AA5138=""Neighbor""))) / STDEV(FILTER(Q1070:Q5138, AA1070:AA5138 =""Neighbor"")), """")"),0.36123434956682704)</f>
        <v>0.3612343496</v>
      </c>
      <c r="AF1070" s="2">
        <f>IFERROR(__xludf.DUMMYFUNCTION("IFERROR(ABS(R1070-AVERAGE(FILTER(R1070:R5138,AA1070:AA5138=""Neighbor""))) / STDEV(FILTER(R1070:R5138, AA1070:AA5138 =""Neighbor"")), """")"),0.3511201424498612)</f>
        <v>0.3511201424</v>
      </c>
    </row>
    <row r="1071">
      <c r="A1071" s="2" t="s">
        <v>28</v>
      </c>
      <c r="B1071" s="2" t="s">
        <v>4358</v>
      </c>
      <c r="C1071" s="2" t="s">
        <v>4359</v>
      </c>
      <c r="D1071" s="2" t="s">
        <v>4384</v>
      </c>
      <c r="E1071" s="2" t="s">
        <v>4385</v>
      </c>
      <c r="F1071" s="2">
        <v>96.0</v>
      </c>
      <c r="G1071" s="2">
        <v>750.0</v>
      </c>
      <c r="H1071" s="2" t="b">
        <v>1</v>
      </c>
      <c r="I1071" s="2">
        <v>-1.0</v>
      </c>
      <c r="J1071" s="2" t="b">
        <v>0</v>
      </c>
      <c r="K1071" s="2" t="b">
        <v>0</v>
      </c>
      <c r="L1071" s="2" t="b">
        <v>0</v>
      </c>
      <c r="M1071" s="2" t="b">
        <v>0</v>
      </c>
      <c r="N1071" s="2" t="s">
        <v>33</v>
      </c>
      <c r="O1071" s="2">
        <v>63.0</v>
      </c>
      <c r="P1071" s="2">
        <v>5.0</v>
      </c>
      <c r="Q1071" s="2">
        <v>16.0</v>
      </c>
      <c r="R1071" s="2">
        <v>0.0</v>
      </c>
      <c r="S1071" s="3" t="s">
        <v>4386</v>
      </c>
      <c r="T1071" s="2" t="s">
        <v>4387</v>
      </c>
      <c r="Y1071" s="4" t="str">
        <f>IFERROR(__xludf.DUMMYFUNCTION("""COMPUTED_VALUE"""),"6.805844")</f>
        <v>6.805844</v>
      </c>
      <c r="Z1071" s="4" t="str">
        <f>IFERROR(__xludf.DUMMYFUNCTION("""COMPUTED_VALUE"""),"3.1955414")</f>
        <v>3.1955414</v>
      </c>
      <c r="AA1071" s="4" t="str">
        <f t="shared" si="1"/>
        <v>Neighbor</v>
      </c>
      <c r="AC1071" s="4">
        <f>IFERROR(__xludf.DUMMYFUNCTION("IFERROR(ABS(O1071-AVERAGE(FILTER(O1071:O5139,AA1071:AA5139=""Neighbor""))) / STDEV(FILTER(O1071:O5139, AA1071:AA5139 =""Neighbor"")), """")"),0.01290190557098619)</f>
        <v>0.01290190557</v>
      </c>
      <c r="AD1071" s="4">
        <f>IFERROR(__xludf.DUMMYFUNCTION("IFERROR(ABS(P1071-AVERAGE(FILTER(O1071:P5139,AA1071:AA5139=""Neighbor""))) / STDEV(FILTER(P1071:P5139, AA1071:AA5139 =""Neighbor"")), """")"),1.6127917854148552)</f>
        <v>1.612791785</v>
      </c>
      <c r="AE1071" s="2">
        <f>IFERROR(__xludf.DUMMYFUNCTION("IFERROR(ABS(Q1071-AVERAGE(FILTER(Q1071:Q5139,AA1071:AA5139=""Neighbor""))) / STDEV(FILTER(Q1071:Q5139, AA1071:AA5139 =""Neighbor"")), """")"),0.36139425434218275)</f>
        <v>0.3613942543</v>
      </c>
      <c r="AF1071" s="2">
        <f>IFERROR(__xludf.DUMMYFUNCTION("IFERROR(ABS(R1071-AVERAGE(FILTER(R1071:R5139,AA1071:AA5139=""Neighbor""))) / STDEV(FILTER(R1071:R5139, AA1071:AA5139 =""Neighbor"")), """")"),0.35127457743970947)</f>
        <v>0.3512745774</v>
      </c>
    </row>
    <row r="1072">
      <c r="A1072" s="2" t="s">
        <v>28</v>
      </c>
      <c r="B1072" s="2" t="s">
        <v>4358</v>
      </c>
      <c r="C1072" s="2" t="s">
        <v>4359</v>
      </c>
      <c r="D1072" s="2" t="s">
        <v>4388</v>
      </c>
      <c r="E1072" s="2" t="s">
        <v>4389</v>
      </c>
      <c r="F1072" s="2">
        <v>93.0</v>
      </c>
      <c r="G1072" s="2">
        <v>550.0</v>
      </c>
      <c r="H1072" s="2" t="b">
        <v>1</v>
      </c>
      <c r="I1072" s="2">
        <v>-1.0</v>
      </c>
      <c r="J1072" s="2" t="b">
        <v>1</v>
      </c>
      <c r="K1072" s="2" t="b">
        <v>1</v>
      </c>
      <c r="L1072" s="2" t="b">
        <v>0</v>
      </c>
      <c r="M1072" s="2" t="b">
        <v>0</v>
      </c>
      <c r="N1072" s="2" t="s">
        <v>33</v>
      </c>
      <c r="O1072" s="2">
        <v>64.0</v>
      </c>
      <c r="P1072" s="2">
        <v>6.0</v>
      </c>
      <c r="Q1072" s="2">
        <v>11.0</v>
      </c>
      <c r="R1072" s="2">
        <v>0.0</v>
      </c>
      <c r="S1072" s="3" t="s">
        <v>4390</v>
      </c>
      <c r="T1072" s="2" t="s">
        <v>4391</v>
      </c>
      <c r="Y1072" s="4" t="str">
        <f>IFERROR(__xludf.DUMMYFUNCTION("""COMPUTED_VALUE"""),"6.805844")</f>
        <v>6.805844</v>
      </c>
      <c r="Z1072" s="4" t="str">
        <f>IFERROR(__xludf.DUMMYFUNCTION("""COMPUTED_VALUE"""),"3.1955414")</f>
        <v>3.1955414</v>
      </c>
      <c r="AA1072" s="4" t="str">
        <f t="shared" si="1"/>
        <v>Not Neighbor</v>
      </c>
      <c r="AC1072" s="4">
        <f>IFERROR(__xludf.DUMMYFUNCTION("IFERROR(ABS(O1072-AVERAGE(FILTER(O1072:O5140,AA1072:AA5140=""Neighbor""))) / STDEV(FILTER(O1072:O5140, AA1072:AA5140 =""Neighbor"")), """")"),0.01132923235638891)</f>
        <v>0.01132923236</v>
      </c>
      <c r="AD1072" s="4">
        <f>IFERROR(__xludf.DUMMYFUNCTION("IFERROR(ABS(P1072-AVERAGE(FILTER(O1072:P5140,AA1072:AA5140=""Neighbor""))) / STDEV(FILTER(P1072:P5140, AA1072:AA5140 =""Neighbor"")), """")"),1.5661335120343272)</f>
        <v>1.566133512</v>
      </c>
      <c r="AE1072" s="2">
        <f>IFERROR(__xludf.DUMMYFUNCTION("IFERROR(ABS(Q1072-AVERAGE(FILTER(Q1072:Q5140,AA1072:AA5140=""Neighbor""))) / STDEV(FILTER(Q1072:Q5140, AA1072:AA5140 =""Neighbor"")), """")"),0.5681800211157122)</f>
        <v>0.5681800211</v>
      </c>
      <c r="AF1072" s="2">
        <f>IFERROR(__xludf.DUMMYFUNCTION("IFERROR(ABS(R1072-AVERAGE(FILTER(R1072:R5140,AA1072:AA5140=""Neighbor""))) / STDEV(FILTER(R1072:R5140, AA1072:AA5140 =""Neighbor"")), """")"),0.3514292164075937)</f>
        <v>0.3514292164</v>
      </c>
    </row>
    <row r="1073">
      <c r="A1073" s="2" t="s">
        <v>28</v>
      </c>
      <c r="B1073" s="2" t="s">
        <v>4358</v>
      </c>
      <c r="C1073" s="2" t="s">
        <v>4392</v>
      </c>
      <c r="D1073" s="2" t="s">
        <v>4393</v>
      </c>
      <c r="E1073" s="2" t="s">
        <v>4394</v>
      </c>
      <c r="F1073" s="2">
        <v>95.0</v>
      </c>
      <c r="G1073" s="2">
        <v>750.0</v>
      </c>
      <c r="H1073" s="2" t="b">
        <v>1</v>
      </c>
      <c r="I1073" s="2">
        <v>-1.0</v>
      </c>
      <c r="J1073" s="2" t="b">
        <v>0</v>
      </c>
      <c r="K1073" s="2" t="b">
        <v>0</v>
      </c>
      <c r="L1073" s="2" t="b">
        <v>0</v>
      </c>
      <c r="M1073" s="2" t="b">
        <v>0</v>
      </c>
      <c r="N1073" s="2" t="s">
        <v>33</v>
      </c>
      <c r="O1073" s="2">
        <v>49.0</v>
      </c>
      <c r="P1073" s="2">
        <v>7.0</v>
      </c>
      <c r="Q1073" s="2">
        <v>23.0</v>
      </c>
      <c r="R1073" s="2">
        <v>0.0</v>
      </c>
      <c r="S1073" s="3" t="s">
        <v>4395</v>
      </c>
      <c r="T1073" s="2" t="s">
        <v>4396</v>
      </c>
      <c r="Y1073" s="4" t="str">
        <f>IFERROR(__xludf.DUMMYFUNCTION("""COMPUTED_VALUE"""),"6.8220284")</f>
        <v>6.8220284</v>
      </c>
      <c r="Z1073" s="4" t="str">
        <f>IFERROR(__xludf.DUMMYFUNCTION("""COMPUTED_VALUE"""),"3.1754557")</f>
        <v>3.1754557</v>
      </c>
      <c r="AA1073" s="4" t="str">
        <f t="shared" si="1"/>
        <v>Neighbor</v>
      </c>
      <c r="AC1073" s="4">
        <f>IFERROR(__xludf.DUMMYFUNCTION("IFERROR(ABS(O1073-AVERAGE(FILTER(O1073:O5141,AA1073:AA5141=""Neighbor""))) / STDEV(FILTER(O1073:O5141, AA1073:AA5141 =""Neighbor"")), """")"),0.35221366834149254)</f>
        <v>0.3522136683</v>
      </c>
      <c r="AD1073" s="4">
        <f>IFERROR(__xludf.DUMMYFUNCTION("IFERROR(ABS(P1073-AVERAGE(FILTER(O1073:P5141,AA1073:AA5141=""Neighbor""))) / STDEV(FILTER(P1073:P5141, AA1073:AA5141 =""Neighbor"")), """")"),1.5197346778526242)</f>
        <v>1.519734678</v>
      </c>
      <c r="AE1073" s="2">
        <f>IFERROR(__xludf.DUMMYFUNCTION("IFERROR(ABS(Q1073-AVERAGE(FILTER(Q1073:Q5141,AA1073:AA5141=""Neighbor""))) / STDEV(FILTER(Q1073:Q5141, AA1073:AA5141 =""Neighbor"")), """")"),0.07227846246936902)</f>
        <v>0.07227846247</v>
      </c>
      <c r="AF1073" s="2">
        <f>IFERROR(__xludf.DUMMYFUNCTION("IFERROR(ABS(R1073-AVERAGE(FILTER(R1073:R5141,AA1073:AA5141=""Neighbor""))) / STDEV(FILTER(R1073:R5141, AA1073:AA5141 =""Neighbor"")), """")"),0.3514292164075937)</f>
        <v>0.3514292164</v>
      </c>
    </row>
    <row r="1074">
      <c r="A1074" s="2" t="s">
        <v>28</v>
      </c>
      <c r="B1074" s="2" t="s">
        <v>4358</v>
      </c>
      <c r="C1074" s="2" t="s">
        <v>4392</v>
      </c>
      <c r="D1074" s="2" t="s">
        <v>4397</v>
      </c>
      <c r="E1074" s="2" t="s">
        <v>4398</v>
      </c>
      <c r="F1074" s="2">
        <v>90.0</v>
      </c>
      <c r="G1074" s="2">
        <v>767.0</v>
      </c>
      <c r="H1074" s="2" t="b">
        <v>1</v>
      </c>
      <c r="I1074" s="2">
        <v>-1.0</v>
      </c>
      <c r="J1074" s="2" t="b">
        <v>0</v>
      </c>
      <c r="K1074" s="2" t="b">
        <v>1</v>
      </c>
      <c r="L1074" s="2" t="b">
        <v>0</v>
      </c>
      <c r="M1074" s="2" t="b">
        <v>0</v>
      </c>
      <c r="N1074" s="2" t="s">
        <v>33</v>
      </c>
      <c r="O1074" s="2">
        <v>44.0</v>
      </c>
      <c r="P1074" s="2">
        <v>12.0</v>
      </c>
      <c r="Q1074" s="2">
        <v>24.0</v>
      </c>
      <c r="R1074" s="2">
        <v>0.0</v>
      </c>
      <c r="S1074" s="3" t="s">
        <v>4399</v>
      </c>
      <c r="T1074" s="2" t="s">
        <v>4400</v>
      </c>
      <c r="Y1074" s="4" t="str">
        <f>IFERROR(__xludf.DUMMYFUNCTION("""COMPUTED_VALUE"""),"6.8220284")</f>
        <v>6.8220284</v>
      </c>
      <c r="Z1074" s="4" t="str">
        <f>IFERROR(__xludf.DUMMYFUNCTION("""COMPUTED_VALUE"""),"3.1754557")</f>
        <v>3.1754557</v>
      </c>
      <c r="AA1074" s="4" t="str">
        <f t="shared" si="1"/>
        <v>Neighbor</v>
      </c>
      <c r="AC1074" s="4">
        <f>IFERROR(__xludf.DUMMYFUNCTION("IFERROR(ABS(O1074-AVERAGE(FILTER(O1074:O5142,AA1074:AA5142=""Neighbor""))) / STDEV(FILTER(O1074:O5142, AA1074:AA5142 =""Neighbor"")), """")"),0.47350823477155835)</f>
        <v>0.4735082348</v>
      </c>
      <c r="AD1074" s="4">
        <f>IFERROR(__xludf.DUMMYFUNCTION("IFERROR(ABS(P1074-AVERAGE(FILTER(O1074:P5142,AA1074:AA5142=""Neighbor""))) / STDEV(FILTER(P1074:P5142, AA1074:AA5142 =""Neighbor"")), """")"),1.2877506279404882)</f>
        <v>1.287750628</v>
      </c>
      <c r="AE1074" s="2">
        <f>IFERROR(__xludf.DUMMYFUNCTION("IFERROR(ABS(Q1074-AVERAGE(FILTER(Q1074:Q5142,AA1074:AA5142=""Neighbor""))) / STDEV(FILTER(Q1074:Q5142, AA1074:AA5142 =""Neighbor"")), """")"),0.0309979569296486)</f>
        <v>0.03099795693</v>
      </c>
      <c r="AF1074" s="2">
        <f>IFERROR(__xludf.DUMMYFUNCTION("IFERROR(ABS(R1074-AVERAGE(FILTER(R1074:R5142,AA1074:AA5142=""Neighbor""))) / STDEV(FILTER(R1074:R5142, AA1074:AA5142 =""Neighbor"")), """")"),0.35158405980297364)</f>
        <v>0.3515840598</v>
      </c>
    </row>
    <row r="1075">
      <c r="A1075" s="2" t="s">
        <v>28</v>
      </c>
      <c r="B1075" s="2" t="s">
        <v>4358</v>
      </c>
      <c r="C1075" s="2" t="s">
        <v>4392</v>
      </c>
      <c r="D1075" s="2" t="s">
        <v>4401</v>
      </c>
      <c r="E1075" s="2" t="s">
        <v>4402</v>
      </c>
      <c r="F1075" s="2">
        <v>164.0</v>
      </c>
      <c r="G1075" s="2">
        <v>1162.0</v>
      </c>
      <c r="H1075" s="2" t="b">
        <v>1</v>
      </c>
      <c r="I1075" s="2">
        <v>-1.0</v>
      </c>
      <c r="J1075" s="2" t="b">
        <v>0</v>
      </c>
      <c r="K1075" s="2" t="b">
        <v>0</v>
      </c>
      <c r="L1075" s="2" t="b">
        <v>0</v>
      </c>
      <c r="M1075" s="2" t="b">
        <v>0</v>
      </c>
      <c r="N1075" s="2" t="s">
        <v>33</v>
      </c>
      <c r="O1075" s="2">
        <v>73.0</v>
      </c>
      <c r="P1075" s="2">
        <v>9.0</v>
      </c>
      <c r="Q1075" s="2">
        <v>57.0</v>
      </c>
      <c r="R1075" s="2">
        <v>0.0</v>
      </c>
      <c r="S1075" s="3" t="s">
        <v>4403</v>
      </c>
      <c r="T1075" s="2" t="s">
        <v>4404</v>
      </c>
      <c r="Y1075" s="4" t="str">
        <f>IFERROR(__xludf.DUMMYFUNCTION("""COMPUTED_VALUE"""),"6.8220284")</f>
        <v>6.8220284</v>
      </c>
      <c r="Z1075" s="4" t="str">
        <f>IFERROR(__xludf.DUMMYFUNCTION("""COMPUTED_VALUE"""),"3.1754557")</f>
        <v>3.1754557</v>
      </c>
      <c r="AA1075" s="4" t="str">
        <f t="shared" si="1"/>
        <v>Neighbor</v>
      </c>
      <c r="AC1075" s="4">
        <f>IFERROR(__xludf.DUMMYFUNCTION("IFERROR(ABS(O1075-AVERAGE(FILTER(O1075:O5143,AA1075:AA5143=""Neighbor""))) / STDEV(FILTER(O1075:O5143, AA1075:AA5143 =""Neighbor"")), """")"),0.22865804596523684)</f>
        <v>0.228658046</v>
      </c>
      <c r="AD1075" s="4">
        <f>IFERROR(__xludf.DUMMYFUNCTION("IFERROR(ABS(P1075-AVERAGE(FILTER(O1075:P5143,AA1075:AA5143=""Neighbor""))) / STDEV(FILTER(P1075:P5143, AA1075:AA5143 =""Neighbor"")), """")"),1.426788975239426)</f>
        <v>1.426788975</v>
      </c>
      <c r="AE1075" s="2">
        <f>IFERROR(__xludf.DUMMYFUNCTION("IFERROR(ABS(Q1075-AVERAGE(FILTER(Q1075:Q5143,AA1075:AA5143=""Neighbor""))) / STDEV(FILTER(Q1075:Q5143, AA1075:AA5143 =""Neighbor"")), """")"),1.3316516135919796)</f>
        <v>1.331651614</v>
      </c>
      <c r="AF1075" s="2">
        <f>IFERROR(__xludf.DUMMYFUNCTION("IFERROR(ABS(R1075-AVERAGE(FILTER(R1075:R5143,AA1075:AA5143=""Neighbor""))) / STDEV(FILTER(R1075:R5143, AA1075:AA5143 =""Neighbor"")), """")"),0.351739108076697)</f>
        <v>0.3517391081</v>
      </c>
    </row>
    <row r="1076">
      <c r="A1076" s="2" t="s">
        <v>28</v>
      </c>
      <c r="B1076" s="2" t="s">
        <v>4358</v>
      </c>
      <c r="C1076" s="2" t="s">
        <v>4392</v>
      </c>
      <c r="D1076" s="2" t="s">
        <v>4405</v>
      </c>
      <c r="E1076" s="2" t="s">
        <v>4406</v>
      </c>
      <c r="F1076" s="2">
        <v>132.0</v>
      </c>
      <c r="G1076" s="2">
        <v>750.0</v>
      </c>
      <c r="H1076" s="2" t="b">
        <v>1</v>
      </c>
      <c r="I1076" s="2">
        <v>-1.0</v>
      </c>
      <c r="J1076" s="2" t="b">
        <v>0</v>
      </c>
      <c r="K1076" s="2" t="b">
        <v>0</v>
      </c>
      <c r="L1076" s="2" t="b">
        <v>0</v>
      </c>
      <c r="M1076" s="2" t="b">
        <v>0</v>
      </c>
      <c r="N1076" s="2" t="s">
        <v>33</v>
      </c>
      <c r="O1076" s="2">
        <v>67.0</v>
      </c>
      <c r="P1076" s="2">
        <v>15.0</v>
      </c>
      <c r="Q1076" s="2">
        <v>16.0</v>
      </c>
      <c r="R1076" s="2">
        <v>0.0</v>
      </c>
      <c r="S1076" s="3" t="s">
        <v>4407</v>
      </c>
      <c r="T1076" s="2" t="s">
        <v>4408</v>
      </c>
      <c r="Y1076" s="4" t="str">
        <f>IFERROR(__xludf.DUMMYFUNCTION("""COMPUTED_VALUE"""),"6.8199215")</f>
        <v>6.8199215</v>
      </c>
      <c r="Z1076" s="4" t="str">
        <f>IFERROR(__xludf.DUMMYFUNCTION("""COMPUTED_VALUE"""),"3.1817065")</f>
        <v>3.1817065</v>
      </c>
      <c r="AA1076" s="4" t="str">
        <f t="shared" si="1"/>
        <v>Neighbor</v>
      </c>
      <c r="AC1076" s="4">
        <f>IFERROR(__xludf.DUMMYFUNCTION("IFERROR(ABS(O1076-AVERAGE(FILTER(O1076:O5144,AA1076:AA5144=""Neighbor""))) / STDEV(FILTER(O1076:O5144, AA1076:AA5144 =""Neighbor"")), """")"),0.08348382909236461)</f>
        <v>0.08348382909</v>
      </c>
      <c r="AD1076" s="4">
        <f>IFERROR(__xludf.DUMMYFUNCTION("IFERROR(ABS(P1076-AVERAGE(FILTER(O1076:P5144,AA1076:AA5144=""Neighbor""))) / STDEV(FILTER(P1076:P5144, AA1076:AA5144 =""Neighbor"")), """")"),1.148142956454033)</f>
        <v>1.148142956</v>
      </c>
      <c r="AE1076" s="2">
        <f>IFERROR(__xludf.DUMMYFUNCTION("IFERROR(ABS(Q1076-AVERAGE(FILTER(Q1076:Q5144,AA1076:AA5144=""Neighbor""))) / STDEV(FILTER(Q1076:Q5144, AA1076:AA5144 =""Neighbor"")), """")"),0.3604153327687886)</f>
        <v>0.3604153328</v>
      </c>
      <c r="AF1076" s="2">
        <f>IFERROR(__xludf.DUMMYFUNCTION("IFERROR(ABS(R1076-AVERAGE(FILTER(R1076:R5144,AA1076:AA5144=""Neighbor""))) / STDEV(FILTER(R1076:R5144, AA1076:AA5144 =""Neighbor"")), """")"),0.3518943616810053)</f>
        <v>0.3518943617</v>
      </c>
    </row>
    <row r="1077">
      <c r="A1077" s="2" t="s">
        <v>28</v>
      </c>
      <c r="B1077" s="2" t="s">
        <v>4358</v>
      </c>
      <c r="C1077" s="2" t="s">
        <v>4392</v>
      </c>
      <c r="D1077" s="2" t="s">
        <v>4409</v>
      </c>
      <c r="E1077" s="2" t="s">
        <v>4410</v>
      </c>
      <c r="F1077" s="2">
        <v>158.0</v>
      </c>
      <c r="G1077" s="2">
        <v>1040.0</v>
      </c>
      <c r="H1077" s="2" t="b">
        <v>1</v>
      </c>
      <c r="I1077" s="2">
        <v>-1.0</v>
      </c>
      <c r="J1077" s="2" t="b">
        <v>0</v>
      </c>
      <c r="K1077" s="2" t="b">
        <v>0</v>
      </c>
      <c r="L1077" s="2" t="b">
        <v>0</v>
      </c>
      <c r="M1077" s="2" t="b">
        <v>0</v>
      </c>
      <c r="N1077" s="2" t="s">
        <v>33</v>
      </c>
      <c r="O1077" s="2">
        <v>91.0</v>
      </c>
      <c r="P1077" s="2">
        <v>19.0</v>
      </c>
      <c r="Q1077" s="2">
        <v>24.0</v>
      </c>
      <c r="R1077" s="2">
        <v>0.0</v>
      </c>
      <c r="S1077" s="3" t="s">
        <v>4411</v>
      </c>
      <c r="T1077" s="2" t="s">
        <v>4412</v>
      </c>
      <c r="Y1077" s="4" t="str">
        <f>IFERROR(__xludf.DUMMYFUNCTION("""COMPUTED_VALUE"""),"6.8199215")</f>
        <v>6.8199215</v>
      </c>
      <c r="Z1077" s="4" t="str">
        <f>IFERROR(__xludf.DUMMYFUNCTION("""COMPUTED_VALUE"""),"3.1817065")</f>
        <v>3.1817065</v>
      </c>
      <c r="AA1077" s="4" t="str">
        <f t="shared" si="1"/>
        <v>Neighbor</v>
      </c>
      <c r="AC1077" s="4">
        <f>IFERROR(__xludf.DUMMYFUNCTION("IFERROR(ABS(O1077-AVERAGE(FILTER(O1077:O5145,AA1077:AA5145=""Neighbor""))) / STDEV(FILTER(O1077:O5145, AA1077:AA5145 =""Neighbor"")), """")"),0.664364686594364)</f>
        <v>0.6643646866</v>
      </c>
      <c r="AD1077" s="4">
        <f>IFERROR(__xludf.DUMMYFUNCTION("IFERROR(ABS(P1077-AVERAGE(FILTER(O1077:P5145,AA1077:AA5145=""Neighbor""))) / STDEV(FILTER(P1077:P5145, AA1077:AA5145 =""Neighbor"")), """")"),0.962320700624679)</f>
        <v>0.9623207006</v>
      </c>
      <c r="AE1077" s="2">
        <f>IFERROR(__xludf.DUMMYFUNCTION("IFERROR(ABS(Q1077-AVERAGE(FILTER(Q1077:Q5145,AA1077:AA5145=""Neighbor""))) / STDEV(FILTER(Q1077:Q5145, AA1077:AA5145 =""Neighbor"")), """")"),0.030245581979806424)</f>
        <v>0.03024558198</v>
      </c>
      <c r="AF1077" s="2">
        <f>IFERROR(__xludf.DUMMYFUNCTION("IFERROR(ABS(R1077-AVERAGE(FILTER(R1077:R5145,AA1077:AA5145=""Neighbor""))) / STDEV(FILTER(R1077:R5145, AA1077:AA5145 =""Neighbor"")), """")"),0.35204982106953825)</f>
        <v>0.3520498211</v>
      </c>
    </row>
    <row r="1078">
      <c r="A1078" s="2" t="s">
        <v>28</v>
      </c>
      <c r="B1078" s="2" t="s">
        <v>4358</v>
      </c>
      <c r="C1078" s="2" t="s">
        <v>4392</v>
      </c>
      <c r="D1078" s="2" t="s">
        <v>4413</v>
      </c>
      <c r="E1078" s="2" t="s">
        <v>4414</v>
      </c>
      <c r="F1078" s="2">
        <v>153.0</v>
      </c>
      <c r="G1078" s="2">
        <v>787.0</v>
      </c>
      <c r="H1078" s="2" t="b">
        <v>1</v>
      </c>
      <c r="I1078" s="2">
        <v>-1.0</v>
      </c>
      <c r="J1078" s="2" t="b">
        <v>0</v>
      </c>
      <c r="K1078" s="2" t="b">
        <v>0</v>
      </c>
      <c r="L1078" s="2" t="b">
        <v>0</v>
      </c>
      <c r="M1078" s="2" t="b">
        <v>0</v>
      </c>
      <c r="N1078" s="2" t="s">
        <v>33</v>
      </c>
      <c r="O1078" s="2">
        <v>78.0</v>
      </c>
      <c r="P1078" s="2">
        <v>7.0</v>
      </c>
      <c r="Q1078" s="2">
        <v>39.0</v>
      </c>
      <c r="R1078" s="2">
        <v>1.0</v>
      </c>
      <c r="S1078" s="3" t="s">
        <v>4415</v>
      </c>
      <c r="T1078" s="2" t="s">
        <v>4416</v>
      </c>
      <c r="Y1078" s="4" t="str">
        <f>IFERROR(__xludf.DUMMYFUNCTION("""COMPUTED_VALUE"""),"6.8220284")</f>
        <v>6.8220284</v>
      </c>
      <c r="Z1078" s="4" t="str">
        <f>IFERROR(__xludf.DUMMYFUNCTION("""COMPUTED_VALUE"""),"3.1754557")</f>
        <v>3.1754557</v>
      </c>
      <c r="AA1078" s="4" t="str">
        <f t="shared" si="1"/>
        <v>Neighbor</v>
      </c>
      <c r="AC1078" s="4">
        <f>IFERROR(__xludf.DUMMYFUNCTION("IFERROR(ABS(O1078-AVERAGE(FILTER(O1078:O5146,AA1078:AA5146=""Neighbor""))) / STDEV(FILTER(O1078:O5146, AA1078:AA5146 =""Neighbor"")), """")"),0.35018488644884915)</f>
        <v>0.3501848864</v>
      </c>
      <c r="AD1078" s="4">
        <f>IFERROR(__xludf.DUMMYFUNCTION("IFERROR(ABS(P1078-AVERAGE(FILTER(O1078:P5146,AA1078:AA5146=""Neighbor""))) / STDEV(FILTER(P1078:P5146, AA1078:AA5146 =""Neighbor"")), """")"),1.517159029139323)</f>
        <v>1.517159029</v>
      </c>
      <c r="AE1078" s="2">
        <f>IFERROR(__xludf.DUMMYFUNCTION("IFERROR(ABS(Q1078-AVERAGE(FILTER(Q1078:Q5146,AA1078:AA5146=""Neighbor""))) / STDEV(FILTER(Q1078:Q5146, AA1078:AA5146 =""Neighbor"")), """")"),0.5888672834337274)</f>
        <v>0.5888672834</v>
      </c>
      <c r="AF1078" s="2">
        <f>IFERROR(__xludf.DUMMYFUNCTION("IFERROR(ABS(R1078-AVERAGE(FILTER(R1078:R5146,AA1078:AA5146=""Neighbor""))) / STDEV(FILTER(R1078:R5146, AA1078:AA5146 =""Neighbor"")), """")"),0.8374247476261234)</f>
        <v>0.8374247476</v>
      </c>
    </row>
    <row r="1079">
      <c r="A1079" s="2" t="s">
        <v>28</v>
      </c>
      <c r="B1079" s="2" t="s">
        <v>4358</v>
      </c>
      <c r="C1079" s="2" t="s">
        <v>4392</v>
      </c>
      <c r="D1079" s="2" t="s">
        <v>4417</v>
      </c>
      <c r="E1079" s="2" t="s">
        <v>4418</v>
      </c>
      <c r="F1079" s="2">
        <v>198.0</v>
      </c>
      <c r="G1079" s="2">
        <v>1030.0</v>
      </c>
      <c r="H1079" s="2" t="b">
        <v>1</v>
      </c>
      <c r="I1079" s="2">
        <v>-1.0</v>
      </c>
      <c r="J1079" s="2" t="b">
        <v>0</v>
      </c>
      <c r="K1079" s="2" t="b">
        <v>0</v>
      </c>
      <c r="L1079" s="2" t="b">
        <v>0</v>
      </c>
      <c r="M1079" s="2" t="b">
        <v>0</v>
      </c>
      <c r="N1079" s="2" t="s">
        <v>33</v>
      </c>
      <c r="O1079" s="2">
        <v>54.0</v>
      </c>
      <c r="P1079" s="2">
        <v>8.0</v>
      </c>
      <c r="Q1079" s="2">
        <v>83.0</v>
      </c>
      <c r="R1079" s="2">
        <v>4.0</v>
      </c>
      <c r="S1079" s="3" t="s">
        <v>4419</v>
      </c>
      <c r="T1079" s="2" t="s">
        <v>4420</v>
      </c>
      <c r="Y1079" s="4" t="str">
        <f>IFERROR(__xludf.DUMMYFUNCTION("""COMPUTED_VALUE"""),"6.8220284")</f>
        <v>6.8220284</v>
      </c>
      <c r="Z1079" s="4" t="str">
        <f>IFERROR(__xludf.DUMMYFUNCTION("""COMPUTED_VALUE"""),"3.1754557")</f>
        <v>3.1754557</v>
      </c>
      <c r="AA1079" s="4" t="str">
        <f t="shared" si="1"/>
        <v>Neighbor</v>
      </c>
      <c r="AC1079" s="4">
        <f>IFERROR(__xludf.DUMMYFUNCTION("IFERROR(ABS(O1079-AVERAGE(FILTER(O1079:O5147,AA1079:AA5147=""Neighbor""))) / STDEV(FILTER(O1079:O5147, AA1079:AA5147 =""Neighbor"")), """")"),0.23017964288401047)</f>
        <v>0.2301796429</v>
      </c>
      <c r="AD1079" s="4">
        <f>IFERROR(__xludf.DUMMYFUNCTION("IFERROR(ABS(P1079-AVERAGE(FILTER(O1079:P5147,AA1079:AA5147=""Neighbor""))) / STDEV(FILTER(P1079:P5147, AA1079:AA5147 =""Neighbor"")), """")"),1.4702660726236332)</f>
        <v>1.470266073</v>
      </c>
      <c r="AE1079" s="2">
        <f>IFERROR(__xludf.DUMMYFUNCTION("IFERROR(ABS(Q1079-AVERAGE(FILTER(Q1079:Q5147,AA1079:AA5147=""Neighbor""))) / STDEV(FILTER(Q1079:Q5147, AA1079:AA5147 =""Neighbor"")), """")"),2.404811551600313)</f>
        <v>2.404811552</v>
      </c>
      <c r="AF1079" s="2">
        <f>IFERROR(__xludf.DUMMYFUNCTION("IFERROR(ABS(R1079-AVERAGE(FILTER(R1079:R5147,AA1079:AA5147=""Neighbor""))) / STDEV(FILTER(R1079:R5147, AA1079:AA5147 =""Neighbor"")), """")"),4.406457306278945)</f>
        <v>4.406457306</v>
      </c>
    </row>
    <row r="1080">
      <c r="A1080" s="2" t="s">
        <v>28</v>
      </c>
      <c r="B1080" s="2" t="s">
        <v>4358</v>
      </c>
      <c r="C1080" s="2" t="s">
        <v>4392</v>
      </c>
      <c r="D1080" s="2" t="s">
        <v>4421</v>
      </c>
      <c r="E1080" s="2" t="s">
        <v>4422</v>
      </c>
      <c r="F1080" s="2">
        <v>186.0</v>
      </c>
      <c r="G1080" s="2">
        <v>764.0</v>
      </c>
      <c r="H1080" s="2" t="b">
        <v>1</v>
      </c>
      <c r="I1080" s="2">
        <v>-1.0</v>
      </c>
      <c r="J1080" s="2" t="b">
        <v>0</v>
      </c>
      <c r="K1080" s="2" t="b">
        <v>0</v>
      </c>
      <c r="L1080" s="2" t="b">
        <v>0</v>
      </c>
      <c r="M1080" s="2" t="b">
        <v>0</v>
      </c>
      <c r="N1080" s="2" t="s">
        <v>33</v>
      </c>
      <c r="O1080" s="2">
        <v>0.0</v>
      </c>
      <c r="P1080" s="2">
        <v>0.0</v>
      </c>
      <c r="Q1080" s="2">
        <v>0.0</v>
      </c>
      <c r="R1080" s="2">
        <v>0.0</v>
      </c>
      <c r="S1080" s="3" t="s">
        <v>4423</v>
      </c>
      <c r="T1080" s="2" t="s">
        <v>4424</v>
      </c>
      <c r="Y1080" s="4" t="str">
        <f>IFERROR(__xludf.DUMMYFUNCTION("""COMPUTED_VALUE"""),"6.8220284")</f>
        <v>6.8220284</v>
      </c>
      <c r="Z1080" s="4" t="str">
        <f>IFERROR(__xludf.DUMMYFUNCTION("""COMPUTED_VALUE"""),"3.1754557")</f>
        <v>3.1754557</v>
      </c>
      <c r="AA1080" s="4" t="str">
        <f t="shared" si="1"/>
        <v>Not Neighbor</v>
      </c>
      <c r="AC1080" s="4">
        <f>IFERROR(__xludf.DUMMYFUNCTION("IFERROR(ABS(O1080-AVERAGE(FILTER(O1080:O5148,AA1080:AA5148=""Neighbor""))) / STDEV(FILTER(O1080:O5148, AA1080:AA5148 =""Neighbor"")), """")"),1.535955731660583)</f>
        <v>1.535955732</v>
      </c>
      <c r="AD1080" s="4">
        <f>IFERROR(__xludf.DUMMYFUNCTION("IFERROR(ABS(P1080-AVERAGE(FILTER(O1080:P5148,AA1080:AA5148=""Neighbor""))) / STDEV(FILTER(P1080:P5148, AA1080:AA5148 =""Neighbor"")), """")"),1.8403487428288108)</f>
        <v>1.840348743</v>
      </c>
      <c r="AE1080" s="2">
        <f>IFERROR(__xludf.DUMMYFUNCTION("IFERROR(ABS(Q1080-AVERAGE(FILTER(Q1080:Q5148,AA1080:AA5148=""Neighbor""))) / STDEV(FILTER(Q1080:Q5148, AA1080:AA5148 =""Neighbor"")), """")"),1.0201632150472597)</f>
        <v>1.020163215</v>
      </c>
      <c r="AF1080" s="2">
        <f>IFERROR(__xludf.DUMMYFUNCTION("IFERROR(ABS(R1080-AVERAGE(FILTER(R1080:R5148,AA1080:AA5148=""Neighbor""))) / STDEV(FILTER(R1080:R5148, AA1080:AA5148 =""Neighbor"")), """")"),0.350588633920529)</f>
        <v>0.3505886339</v>
      </c>
    </row>
    <row r="1081">
      <c r="A1081" s="2" t="s">
        <v>28</v>
      </c>
      <c r="B1081" s="2" t="s">
        <v>4358</v>
      </c>
      <c r="C1081" s="2" t="s">
        <v>4392</v>
      </c>
      <c r="D1081" s="2" t="s">
        <v>4425</v>
      </c>
      <c r="E1081" s="2" t="s">
        <v>4426</v>
      </c>
      <c r="F1081" s="2">
        <v>114.0</v>
      </c>
      <c r="G1081" s="2">
        <v>750.0</v>
      </c>
      <c r="H1081" s="2" t="b">
        <v>1</v>
      </c>
      <c r="I1081" s="2">
        <v>-1.0</v>
      </c>
      <c r="J1081" s="2" t="b">
        <v>0</v>
      </c>
      <c r="K1081" s="2" t="b">
        <v>0</v>
      </c>
      <c r="L1081" s="2" t="b">
        <v>0</v>
      </c>
      <c r="M1081" s="2" t="b">
        <v>0</v>
      </c>
      <c r="N1081" s="2" t="s">
        <v>33</v>
      </c>
      <c r="O1081" s="2">
        <v>64.0</v>
      </c>
      <c r="P1081" s="2">
        <v>11.0</v>
      </c>
      <c r="Q1081" s="2">
        <v>28.0</v>
      </c>
      <c r="R1081" s="2">
        <v>0.0</v>
      </c>
      <c r="S1081" s="3" t="s">
        <v>4427</v>
      </c>
      <c r="T1081" s="2" t="s">
        <v>4428</v>
      </c>
      <c r="Y1081" s="4" t="str">
        <f>IFERROR(__xludf.DUMMYFUNCTION("""COMPUTED_VALUE"""),"6.814911")</f>
        <v>6.814911</v>
      </c>
      <c r="Z1081" s="4" t="str">
        <f>IFERROR(__xludf.DUMMYFUNCTION("""COMPUTED_VALUE"""),"3.1950971")</f>
        <v>3.1950971</v>
      </c>
      <c r="AA1081" s="4" t="str">
        <f t="shared" si="1"/>
        <v>Neighbor</v>
      </c>
      <c r="AC1081" s="4">
        <f>IFERROR(__xludf.DUMMYFUNCTION("IFERROR(ABS(O1081-AVERAGE(FILTER(O1081:O5149,AA1081:AA5149=""Neighbor""))) / STDEV(FILTER(O1081:O5149, AA1081:AA5149 =""Neighbor"")), """")"),0.011517570416683158)</f>
        <v>0.01151757042</v>
      </c>
      <c r="AD1081" s="4">
        <f>IFERROR(__xludf.DUMMYFUNCTION("IFERROR(ABS(P1081-AVERAGE(FILTER(O1081:P5149,AA1081:AA5149=""Neighbor""))) / STDEV(FILTER(P1081:P5149, AA1081:AA5149 =""Neighbor"")), """")"),1.3312365091696858)</f>
        <v>1.331236509</v>
      </c>
      <c r="AE1081" s="2">
        <f>IFERROR(__xludf.DUMMYFUNCTION("IFERROR(ABS(Q1081-AVERAGE(FILTER(Q1081:Q5149,AA1081:AA5149=""Neighbor""))) / STDEV(FILTER(Q1081:Q5149, AA1081:AA5149 =""Neighbor"")), """")"),0.13742810417156834)</f>
        <v>0.1374281042</v>
      </c>
      <c r="AF1081" s="2">
        <f>IFERROR(__xludf.DUMMYFUNCTION("IFERROR(ABS(R1081-AVERAGE(FILTER(R1081:R5149,AA1081:AA5149=""Neighbor""))) / STDEV(FILTER(R1081:R5149, AA1081:AA5149 =""Neighbor"")), """")"),0.350588633920529)</f>
        <v>0.3505886339</v>
      </c>
    </row>
    <row r="1082">
      <c r="A1082" s="2" t="s">
        <v>28</v>
      </c>
      <c r="B1082" s="2" t="s">
        <v>4358</v>
      </c>
      <c r="C1082" s="2" t="s">
        <v>4392</v>
      </c>
      <c r="D1082" s="2" t="s">
        <v>4429</v>
      </c>
      <c r="E1082" s="2" t="s">
        <v>4430</v>
      </c>
      <c r="F1082" s="2">
        <v>156.0</v>
      </c>
      <c r="G1082" s="2">
        <v>1186.0</v>
      </c>
      <c r="H1082" s="2" t="b">
        <v>1</v>
      </c>
      <c r="I1082" s="2">
        <v>-1.0</v>
      </c>
      <c r="J1082" s="2" t="b">
        <v>0</v>
      </c>
      <c r="K1082" s="2" t="b">
        <v>0</v>
      </c>
      <c r="L1082" s="2" t="b">
        <v>0</v>
      </c>
      <c r="M1082" s="2" t="b">
        <v>0</v>
      </c>
      <c r="N1082" s="2" t="s">
        <v>33</v>
      </c>
      <c r="O1082" s="2">
        <v>84.0</v>
      </c>
      <c r="P1082" s="2">
        <v>16.0</v>
      </c>
      <c r="Q1082" s="2">
        <v>40.0</v>
      </c>
      <c r="R1082" s="2">
        <v>1.0</v>
      </c>
      <c r="S1082" s="3" t="s">
        <v>4431</v>
      </c>
      <c r="T1082" s="2" t="s">
        <v>4432</v>
      </c>
      <c r="Y1082" s="4" t="str">
        <f>IFERROR(__xludf.DUMMYFUNCTION("""COMPUTED_VALUE"""),"6.814911")</f>
        <v>6.814911</v>
      </c>
      <c r="Z1082" s="4" t="str">
        <f>IFERROR(__xludf.DUMMYFUNCTION("""COMPUTED_VALUE"""),"3.1950971")</f>
        <v>3.1950971</v>
      </c>
      <c r="AA1082" s="4" t="str">
        <f t="shared" si="1"/>
        <v>Not Neighbor</v>
      </c>
      <c r="AC1082" s="4">
        <f>IFERROR(__xludf.DUMMYFUNCTION("IFERROR(ABS(O1082-AVERAGE(FILTER(O1082:O5150,AA1082:AA5150=""Neighbor""))) / STDEV(FILTER(O1082:O5150, AA1082:AA5150 =""Neighbor"")), """")"),0.49491666754686586)</f>
        <v>0.4949166675</v>
      </c>
      <c r="AD1082" s="4">
        <f>IFERROR(__xludf.DUMMYFUNCTION("IFERROR(ABS(P1082-AVERAGE(FILTER(O1082:P5150,AA1082:AA5150=""Neighbor""))) / STDEV(FILTER(P1082:P5150, AA1082:AA5150 =""Neighbor"")), """")"),1.0994936569728695)</f>
        <v>1.099493657</v>
      </c>
      <c r="AE1082" s="2">
        <f>IFERROR(__xludf.DUMMYFUNCTION("IFERROR(ABS(Q1082-AVERAGE(FILTER(Q1082:Q5150,AA1082:AA5150=""Neighbor""))) / STDEV(FILTER(Q1082:Q5150, AA1082:AA5150 =""Neighbor"")), """")"),0.63340175408598)</f>
        <v>0.6334017541</v>
      </c>
      <c r="AF1082" s="2">
        <f>IFERROR(__xludf.DUMMYFUNCTION("IFERROR(ABS(R1082-AVERAGE(FILTER(R1082:R5150,AA1082:AA5150=""Neighbor""))) / STDEV(FILTER(R1082:R5150, AA1082:AA5150 =""Neighbor"")), """")"),0.8470795544260781)</f>
        <v>0.8470795544</v>
      </c>
    </row>
    <row r="1083">
      <c r="A1083" s="2" t="s">
        <v>28</v>
      </c>
      <c r="B1083" s="2" t="s">
        <v>4358</v>
      </c>
      <c r="C1083" s="2" t="s">
        <v>4392</v>
      </c>
      <c r="D1083" s="2" t="s">
        <v>4433</v>
      </c>
      <c r="E1083" s="2" t="s">
        <v>4434</v>
      </c>
      <c r="F1083" s="2">
        <v>115.0</v>
      </c>
      <c r="G1083" s="2">
        <v>1040.0</v>
      </c>
      <c r="H1083" s="2" t="b">
        <v>1</v>
      </c>
      <c r="I1083" s="2">
        <v>-1.0</v>
      </c>
      <c r="J1083" s="2" t="b">
        <v>0</v>
      </c>
      <c r="K1083" s="2" t="b">
        <v>0</v>
      </c>
      <c r="L1083" s="2" t="b">
        <v>0</v>
      </c>
      <c r="M1083" s="2" t="b">
        <v>0</v>
      </c>
      <c r="N1083" s="2" t="s">
        <v>33</v>
      </c>
      <c r="O1083" s="2">
        <v>68.0</v>
      </c>
      <c r="P1083" s="2">
        <v>10.0</v>
      </c>
      <c r="Q1083" s="2">
        <v>26.0</v>
      </c>
      <c r="R1083" s="2">
        <v>0.0</v>
      </c>
      <c r="S1083" s="3" t="s">
        <v>4435</v>
      </c>
      <c r="T1083" s="2" t="s">
        <v>4436</v>
      </c>
      <c r="Y1083" s="4" t="str">
        <f>IFERROR(__xludf.DUMMYFUNCTION("""COMPUTED_VALUE"""),"6.5536484")</f>
        <v>6.5536484</v>
      </c>
      <c r="Z1083" s="4" t="str">
        <f>IFERROR(__xludf.DUMMYFUNCTION("""COMPUTED_VALUE"""),"3.3566738")</f>
        <v>3.3566738</v>
      </c>
      <c r="AA1083" s="4" t="str">
        <f t="shared" si="1"/>
        <v>Not Neighbor</v>
      </c>
      <c r="AC1083" s="4">
        <f>IFERROR(__xludf.DUMMYFUNCTION("IFERROR(ABS(O1083-AVERAGE(FILTER(O1083:O5151,AA1083:AA5151=""Neighbor""))) / STDEV(FILTER(O1083:O5151, AA1083:AA5151 =""Neighbor"")), """")"),0.10820102290802588)</f>
        <v>0.1082010229</v>
      </c>
      <c r="AD1083" s="4">
        <f>IFERROR(__xludf.DUMMYFUNCTION("IFERROR(ABS(P1083-AVERAGE(FILTER(O1083:P5151,AA1083:AA5151=""Neighbor""))) / STDEV(FILTER(P1083:P5151, AA1083:AA5151 =""Neighbor"")), """")"),1.3770875055383875)</f>
        <v>1.377087506</v>
      </c>
      <c r="AE1083" s="2">
        <f>IFERROR(__xludf.DUMMYFUNCTION("IFERROR(ABS(Q1083-AVERAGE(FILTER(Q1083:Q5151,AA1083:AA5151=""Neighbor""))) / STDEV(FILTER(Q1083:Q5151, AA1083:AA5151 =""Neighbor"")), """")"),0.05483023578034559)</f>
        <v>0.05483023578</v>
      </c>
      <c r="AF1083" s="2">
        <f>IFERROR(__xludf.DUMMYFUNCTION("IFERROR(ABS(R1083-AVERAGE(FILTER(R1083:R5151,AA1083:AA5151=""Neighbor""))) / STDEV(FILTER(R1083:R5151, AA1083:AA5151 =""Neighbor"")), """")"),0.350743878004548)</f>
        <v>0.350743878</v>
      </c>
    </row>
    <row r="1084">
      <c r="A1084" s="2" t="s">
        <v>28</v>
      </c>
      <c r="B1084" s="2" t="s">
        <v>4358</v>
      </c>
      <c r="C1084" s="2" t="s">
        <v>4437</v>
      </c>
      <c r="D1084" s="2" t="s">
        <v>4438</v>
      </c>
      <c r="E1084" s="2" t="s">
        <v>4439</v>
      </c>
      <c r="F1084" s="2">
        <v>102.0</v>
      </c>
      <c r="G1084" s="2">
        <v>666.0</v>
      </c>
      <c r="H1084" s="2" t="b">
        <v>1</v>
      </c>
      <c r="I1084" s="2">
        <v>-1.0</v>
      </c>
      <c r="J1084" s="2" t="b">
        <v>0</v>
      </c>
      <c r="K1084" s="2" t="b">
        <v>1</v>
      </c>
      <c r="L1084" s="2" t="b">
        <v>0</v>
      </c>
      <c r="M1084" s="2" t="b">
        <v>0</v>
      </c>
      <c r="N1084" s="2" t="s">
        <v>33</v>
      </c>
      <c r="O1084" s="2">
        <v>57.0</v>
      </c>
      <c r="P1084" s="2">
        <v>3.0</v>
      </c>
      <c r="Q1084" s="2">
        <v>26.0</v>
      </c>
      <c r="R1084" s="2">
        <v>1.0</v>
      </c>
      <c r="S1084" s="3" t="s">
        <v>4440</v>
      </c>
      <c r="T1084" s="2" t="s">
        <v>4441</v>
      </c>
      <c r="Y1084" s="4" t="str">
        <f>IFERROR(__xludf.DUMMYFUNCTION("""COMPUTED_VALUE"""),"6.830923")</f>
        <v>6.830923</v>
      </c>
      <c r="Z1084" s="4" t="str">
        <f>IFERROR(__xludf.DUMMYFUNCTION("""COMPUTED_VALUE"""),"3.1933491")</f>
        <v>3.1933491</v>
      </c>
      <c r="AA1084" s="4" t="str">
        <f t="shared" si="1"/>
        <v>Not Neighbor</v>
      </c>
      <c r="AC1084" s="4">
        <f>IFERROR(__xludf.DUMMYFUNCTION("IFERROR(ABS(O1084-AVERAGE(FILTER(O1084:O5152,AA1084:AA5152=""Neighbor""))) / STDEV(FILTER(O1084:O5152, AA1084:AA5152 =""Neighbor"")), """")"),0.1576659827811766)</f>
        <v>0.1576659828</v>
      </c>
      <c r="AD1084" s="4">
        <f>IFERROR(__xludf.DUMMYFUNCTION("IFERROR(ABS(P1084-AVERAGE(FILTER(O1084:P5152,AA1084:AA5152=""Neighbor""))) / STDEV(FILTER(P1084:P5152, AA1084:AA5152 =""Neighbor"")), """")"),1.700946995531492)</f>
        <v>1.700946996</v>
      </c>
      <c r="AE1084" s="2">
        <f>IFERROR(__xludf.DUMMYFUNCTION("IFERROR(ABS(Q1084-AVERAGE(FILTER(Q1084:Q5152,AA1084:AA5152=""Neighbor""))) / STDEV(FILTER(Q1084:Q5152, AA1084:AA5152 =""Neighbor"")), """")"),0.05483023578034559)</f>
        <v>0.05483023578</v>
      </c>
      <c r="AF1084" s="2">
        <f>IFERROR(__xludf.DUMMYFUNCTION("IFERROR(ABS(R1084-AVERAGE(FILTER(R1084:R5152,AA1084:AA5152=""Neighbor""))) / STDEV(FILTER(R1084:R5152, AA1084:AA5152 =""Neighbor"")), """")"),0.8470795544260781)</f>
        <v>0.8470795544</v>
      </c>
    </row>
    <row r="1085">
      <c r="A1085" s="2" t="s">
        <v>28</v>
      </c>
      <c r="B1085" s="2" t="s">
        <v>4358</v>
      </c>
      <c r="C1085" s="2" t="s">
        <v>4437</v>
      </c>
      <c r="D1085" s="2" t="s">
        <v>4442</v>
      </c>
      <c r="E1085" s="2" t="s">
        <v>4443</v>
      </c>
      <c r="F1085" s="2">
        <v>233.0</v>
      </c>
      <c r="G1085" s="2">
        <v>1976.0</v>
      </c>
      <c r="H1085" s="2" t="b">
        <v>1</v>
      </c>
      <c r="I1085" s="2">
        <v>-1.0</v>
      </c>
      <c r="J1085" s="2" t="b">
        <v>0</v>
      </c>
      <c r="K1085" s="2" t="b">
        <v>0</v>
      </c>
      <c r="L1085" s="2" t="b">
        <v>0</v>
      </c>
      <c r="M1085" s="2" t="b">
        <v>0</v>
      </c>
      <c r="N1085" s="2" t="s">
        <v>33</v>
      </c>
      <c r="O1085" s="2">
        <v>114.0</v>
      </c>
      <c r="P1085" s="2">
        <v>28.0</v>
      </c>
      <c r="Q1085" s="2">
        <v>33.0</v>
      </c>
      <c r="R1085" s="2">
        <v>4.0</v>
      </c>
      <c r="S1085" s="3" t="s">
        <v>4444</v>
      </c>
      <c r="T1085" s="2" t="s">
        <v>4445</v>
      </c>
      <c r="Y1085" s="4" t="str">
        <f>IFERROR(__xludf.DUMMYFUNCTION("""COMPUTED_VALUE"""),"6.8220284")</f>
        <v>6.8220284</v>
      </c>
      <c r="Z1085" s="4" t="str">
        <f>IFERROR(__xludf.DUMMYFUNCTION("""COMPUTED_VALUE"""),"3.1754557")</f>
        <v>3.1754557</v>
      </c>
      <c r="AA1085" s="4" t="str">
        <f t="shared" si="1"/>
        <v>Not Neighbor</v>
      </c>
      <c r="AC1085" s="4">
        <f>IFERROR(__xludf.DUMMYFUNCTION("IFERROR(ABS(O1085-AVERAGE(FILTER(O1085:O5153,AA1085:AA5153=""Neighbor""))) / STDEV(FILTER(O1085:O5153, AA1085:AA5153 =""Neighbor"")), """")"),1.2200085012446908)</f>
        <v>1.220008501</v>
      </c>
      <c r="AD1085" s="4">
        <f>IFERROR(__xludf.DUMMYFUNCTION("IFERROR(ABS(P1085-AVERAGE(FILTER(O1085:P5153,AA1085:AA5153=""Neighbor""))) / STDEV(FILTER(P1085:P5153, AA1085:AA5153 =""Neighbor"")), """")"),0.544305959841833)</f>
        <v>0.5443059598</v>
      </c>
      <c r="AE1085" s="2">
        <f>IFERROR(__xludf.DUMMYFUNCTION("IFERROR(ABS(Q1085-AVERAGE(FILTER(Q1085:Q5153,AA1085:AA5153=""Neighbor""))) / STDEV(FILTER(Q1085:Q5153, AA1085:AA5153 =""Neighbor"")), """")"),0.34411599493316275)</f>
        <v>0.3441159949</v>
      </c>
      <c r="AF1085" s="2">
        <f>IFERROR(__xludf.DUMMYFUNCTION("IFERROR(ABS(R1085-AVERAGE(FILTER(R1085:R5153,AA1085:AA5153=""Neighbor""))) / STDEV(FILTER(R1085:R5153, AA1085:AA5153 =""Neighbor"")), """")"),4.4405498517179565)</f>
        <v>4.440549852</v>
      </c>
    </row>
    <row r="1086">
      <c r="A1086" s="2" t="s">
        <v>28</v>
      </c>
      <c r="B1086" s="2" t="s">
        <v>4358</v>
      </c>
      <c r="C1086" s="2" t="s">
        <v>4437</v>
      </c>
      <c r="D1086" s="2" t="s">
        <v>4446</v>
      </c>
      <c r="E1086" s="2" t="s">
        <v>4447</v>
      </c>
      <c r="F1086" s="2">
        <v>105.0</v>
      </c>
      <c r="G1086" s="2">
        <v>952.0</v>
      </c>
      <c r="H1086" s="2" t="b">
        <v>1</v>
      </c>
      <c r="I1086" s="2">
        <v>-1.0</v>
      </c>
      <c r="J1086" s="2" t="b">
        <v>0</v>
      </c>
      <c r="K1086" s="2" t="b">
        <v>1</v>
      </c>
      <c r="L1086" s="2" t="b">
        <v>0</v>
      </c>
      <c r="M1086" s="2" t="b">
        <v>0</v>
      </c>
      <c r="N1086" s="2" t="s">
        <v>33</v>
      </c>
      <c r="O1086" s="2">
        <v>54.0</v>
      </c>
      <c r="P1086" s="2">
        <v>8.0</v>
      </c>
      <c r="Q1086" s="2">
        <v>25.0</v>
      </c>
      <c r="R1086" s="2">
        <v>0.0</v>
      </c>
      <c r="S1086" s="3" t="s">
        <v>4448</v>
      </c>
      <c r="T1086" s="2" t="s">
        <v>4449</v>
      </c>
      <c r="Y1086" s="4" t="str">
        <f>IFERROR(__xludf.DUMMYFUNCTION("""COMPUTED_VALUE"""),"6.830923")</f>
        <v>6.830923</v>
      </c>
      <c r="Z1086" s="4" t="str">
        <f>IFERROR(__xludf.DUMMYFUNCTION("""COMPUTED_VALUE"""),"3.1933491")</f>
        <v>3.1933491</v>
      </c>
      <c r="AA1086" s="4" t="str">
        <f t="shared" si="1"/>
        <v>Neighbor</v>
      </c>
      <c r="AC1086" s="4">
        <f>IFERROR(__xludf.DUMMYFUNCTION("IFERROR(ABS(O1086-AVERAGE(FILTER(O1086:O5154,AA1086:AA5154=""Neighbor""))) / STDEV(FILTER(O1086:O5154, AA1086:AA5154 =""Neighbor"")), """")"),0.2301751661509591)</f>
        <v>0.2301751662</v>
      </c>
      <c r="AD1086" s="4">
        <f>IFERROR(__xludf.DUMMYFUNCTION("IFERROR(ABS(P1086-AVERAGE(FILTER(O1086:P5154,AA1086:AA5154=""Neighbor""))) / STDEV(FILTER(P1086:P5154, AA1086:AA5154 =""Neighbor"")), """")"),1.4696187883935603)</f>
        <v>1.469618788</v>
      </c>
      <c r="AE1086" s="2">
        <f>IFERROR(__xludf.DUMMYFUNCTION("IFERROR(ABS(Q1086-AVERAGE(FILTER(Q1086:Q5154,AA1086:AA5154=""Neighbor""))) / STDEV(FILTER(Q1086:Q5154, AA1086:AA5154 =""Neighbor"")), """")"),0.013503698758514567)</f>
        <v>0.01350369876</v>
      </c>
      <c r="AF1086" s="2">
        <f>IFERROR(__xludf.DUMMYFUNCTION("IFERROR(ABS(R1086-AVERAGE(FILTER(R1086:R5154,AA1086:AA5154=""Neighbor""))) / STDEV(FILTER(R1086:R5154, AA1086:AA5154 =""Neighbor"")), """")"),0.350743878004548)</f>
        <v>0.350743878</v>
      </c>
    </row>
    <row r="1087">
      <c r="A1087" s="2" t="s">
        <v>28</v>
      </c>
      <c r="B1087" s="2" t="s">
        <v>4358</v>
      </c>
      <c r="C1087" s="2" t="s">
        <v>4437</v>
      </c>
      <c r="D1087" s="2" t="s">
        <v>4450</v>
      </c>
      <c r="E1087" s="2" t="s">
        <v>4451</v>
      </c>
      <c r="F1087" s="2">
        <v>71.0</v>
      </c>
      <c r="G1087" s="2">
        <v>533.0</v>
      </c>
      <c r="H1087" s="2" t="b">
        <v>1</v>
      </c>
      <c r="I1087" s="2">
        <v>-1.0</v>
      </c>
      <c r="J1087" s="2" t="b">
        <v>0</v>
      </c>
      <c r="K1087" s="2" t="b">
        <v>0</v>
      </c>
      <c r="L1087" s="2" t="b">
        <v>0</v>
      </c>
      <c r="M1087" s="2" t="b">
        <v>0</v>
      </c>
      <c r="N1087" s="2" t="s">
        <v>33</v>
      </c>
      <c r="O1087" s="2">
        <v>51.0</v>
      </c>
      <c r="P1087" s="2">
        <v>8.0</v>
      </c>
      <c r="Q1087" s="2">
        <v>6.0</v>
      </c>
      <c r="R1087" s="2">
        <v>1.0</v>
      </c>
      <c r="S1087" s="3" t="s">
        <v>4452</v>
      </c>
      <c r="T1087" s="2" t="s">
        <v>4453</v>
      </c>
      <c r="Y1087" s="4" t="str">
        <f>IFERROR(__xludf.DUMMYFUNCTION("""COMPUTED_VALUE"""),"6.830923")</f>
        <v>6.830923</v>
      </c>
      <c r="Z1087" s="4" t="str">
        <f>IFERROR(__xludf.DUMMYFUNCTION("""COMPUTED_VALUE"""),"3.1933491")</f>
        <v>3.1933491</v>
      </c>
      <c r="AA1087" s="4" t="str">
        <f t="shared" si="1"/>
        <v>Neighbor</v>
      </c>
      <c r="AC1087" s="4">
        <f>IFERROR(__xludf.DUMMYFUNCTION("IFERROR(ABS(O1087-AVERAGE(FILTER(O1087:O5155,AA1087:AA5155=""Neighbor""))) / STDEV(FILTER(O1087:O5155, AA1087:AA5155 =""Neighbor"")), """")"),0.3027528634255481)</f>
        <v>0.3027528634</v>
      </c>
      <c r="AD1087" s="4">
        <f>IFERROR(__xludf.DUMMYFUNCTION("IFERROR(ABS(P1087-AVERAGE(FILTER(O1087:P5155,AA1087:AA5155=""Neighbor""))) / STDEV(FILTER(P1087:P5155, AA1087:AA5155 =""Neighbor"")), """")"),1.4694381301684565)</f>
        <v>1.46943813</v>
      </c>
      <c r="AE1087" s="2">
        <f>IFERROR(__xludf.DUMMYFUNCTION("IFERROR(ABS(Q1087-AVERAGE(FILTER(Q1087:Q5155,AA1087:AA5155=""Neighbor""))) / STDEV(FILTER(Q1087:Q5155, AA1087:AA5155 =""Neighbor"")), """")"),0.7713850587991338)</f>
        <v>0.7713850588</v>
      </c>
      <c r="AF1087" s="2">
        <f>IFERROR(__xludf.DUMMYFUNCTION("IFERROR(ABS(R1087-AVERAGE(FILTER(R1087:R5155,AA1087:AA5155=""Neighbor""))) / STDEV(FILTER(R1087:R5155, AA1087:AA5155 =""Neighbor"")), """")"),0.8465091618015518)</f>
        <v>0.8465091618</v>
      </c>
    </row>
    <row r="1088">
      <c r="A1088" s="2" t="s">
        <v>28</v>
      </c>
      <c r="B1088" s="2" t="s">
        <v>4358</v>
      </c>
      <c r="C1088" s="2" t="s">
        <v>4437</v>
      </c>
      <c r="D1088" s="2" t="s">
        <v>4454</v>
      </c>
      <c r="E1088" s="2" t="s">
        <v>4455</v>
      </c>
      <c r="F1088" s="2">
        <v>93.0</v>
      </c>
      <c r="G1088" s="2">
        <v>587.0</v>
      </c>
      <c r="H1088" s="2" t="b">
        <v>1</v>
      </c>
      <c r="I1088" s="2">
        <v>-1.0</v>
      </c>
      <c r="J1088" s="2" t="b">
        <v>0</v>
      </c>
      <c r="K1088" s="2" t="b">
        <v>0</v>
      </c>
      <c r="L1088" s="2" t="b">
        <v>0</v>
      </c>
      <c r="M1088" s="2" t="b">
        <v>0</v>
      </c>
      <c r="N1088" s="2" t="s">
        <v>33</v>
      </c>
      <c r="O1088" s="2">
        <v>0.0</v>
      </c>
      <c r="P1088" s="2">
        <v>0.0</v>
      </c>
      <c r="Q1088" s="2">
        <v>0.0</v>
      </c>
      <c r="R1088" s="2">
        <v>0.0</v>
      </c>
      <c r="S1088" s="3" t="s">
        <v>4456</v>
      </c>
      <c r="T1088" s="2" t="s">
        <v>4457</v>
      </c>
      <c r="Y1088" s="4" t="str">
        <f>IFERROR(__xludf.DUMMYFUNCTION("""COMPUTED_VALUE"""),"6.830923")</f>
        <v>6.830923</v>
      </c>
      <c r="Z1088" s="4" t="str">
        <f>IFERROR(__xludf.DUMMYFUNCTION("""COMPUTED_VALUE"""),"3.1933491")</f>
        <v>3.1933491</v>
      </c>
      <c r="AA1088" s="4" t="str">
        <f t="shared" si="1"/>
        <v>Neighbor</v>
      </c>
      <c r="AC1088" s="4">
        <f>IFERROR(__xludf.DUMMYFUNCTION("IFERROR(ABS(O1088-AVERAGE(FILTER(O1088:O5156,AA1088:AA5156=""Neighbor""))) / STDEV(FILTER(O1088:O5156, AA1088:AA5156 =""Neighbor"")), """")"),1.5346359173627706)</f>
        <v>1.534635917</v>
      </c>
      <c r="AD1088" s="4">
        <f>IFERROR(__xludf.DUMMYFUNCTION("IFERROR(ABS(P1088-AVERAGE(FILTER(O1088:P5156,AA1088:AA5156=""Neighbor""))) / STDEV(FILTER(P1088:P5156, AA1088:AA5156 =""Neighbor"")), """")"),1.839185239348399)</f>
        <v>1.839185239</v>
      </c>
      <c r="AE1088" s="2">
        <f>IFERROR(__xludf.DUMMYFUNCTION("IFERROR(ABS(Q1088-AVERAGE(FILTER(Q1088:Q5156,AA1088:AA5156=""Neighbor""))) / STDEV(FILTER(Q1088:Q5156, AA1088:AA5156 =""Neighbor"")), """")"),1.0196929960654346)</f>
        <v>1.019692996</v>
      </c>
      <c r="AF1088" s="2">
        <f>IFERROR(__xludf.DUMMYFUNCTION("IFERROR(ABS(R1088-AVERAGE(FILTER(R1088:R5156,AA1088:AA5156=""Neighbor""))) / STDEV(FILTER(R1088:R5156, AA1088:AA5156 =""Neighbor"")), """")"),0.3501909709416133)</f>
        <v>0.3501909709</v>
      </c>
    </row>
    <row r="1089">
      <c r="A1089" s="2" t="s">
        <v>28</v>
      </c>
      <c r="B1089" s="2" t="s">
        <v>4358</v>
      </c>
      <c r="C1089" s="2" t="s">
        <v>4437</v>
      </c>
      <c r="D1089" s="2" t="s">
        <v>4458</v>
      </c>
      <c r="E1089" s="2" t="s">
        <v>4459</v>
      </c>
      <c r="F1089" s="2">
        <v>53.0</v>
      </c>
      <c r="G1089" s="2">
        <v>691.0</v>
      </c>
      <c r="H1089" s="2" t="b">
        <v>1</v>
      </c>
      <c r="I1089" s="2">
        <v>-1.0</v>
      </c>
      <c r="J1089" s="2" t="b">
        <v>0</v>
      </c>
      <c r="K1089" s="2" t="b">
        <v>1</v>
      </c>
      <c r="L1089" s="2" t="b">
        <v>0</v>
      </c>
      <c r="M1089" s="2" t="b">
        <v>0</v>
      </c>
      <c r="N1089" s="2" t="s">
        <v>33</v>
      </c>
      <c r="O1089" s="2">
        <v>19.0</v>
      </c>
      <c r="P1089" s="2">
        <v>7.0</v>
      </c>
      <c r="Q1089" s="2">
        <v>16.0</v>
      </c>
      <c r="R1089" s="2">
        <v>0.0</v>
      </c>
      <c r="S1089" s="3" t="s">
        <v>4460</v>
      </c>
      <c r="T1089" s="2" t="s">
        <v>4461</v>
      </c>
      <c r="Y1089" s="4" t="str">
        <f>IFERROR(__xludf.DUMMYFUNCTION("""COMPUTED_VALUE"""),"6.830923")</f>
        <v>6.830923</v>
      </c>
      <c r="Z1089" s="4" t="str">
        <f>IFERROR(__xludf.DUMMYFUNCTION("""COMPUTED_VALUE"""),"3.1933491")</f>
        <v>3.1933491</v>
      </c>
      <c r="AA1089" s="4" t="str">
        <f t="shared" si="1"/>
        <v>Neighbor</v>
      </c>
      <c r="AC1089" s="4">
        <f>IFERROR(__xludf.DUMMYFUNCTION("IFERROR(ABS(O1089-AVERAGE(FILTER(O1089:O5157,AA1089:AA5157=""Neighbor""))) / STDEV(FILTER(O1089:O5157, AA1089:AA5157 =""Neighbor"")), """")"),1.077540844424783)</f>
        <v>1.077540844</v>
      </c>
      <c r="AD1089" s="4">
        <f>IFERROR(__xludf.DUMMYFUNCTION("IFERROR(ABS(P1089-AVERAGE(FILTER(O1089:P5157,AA1089:AA5157=""Neighbor""))) / STDEV(FILTER(P1089:P5157, AA1089:AA5157 =""Neighbor"")), """")"),1.5167307778790167)</f>
        <v>1.516730778</v>
      </c>
      <c r="AE1089" s="2">
        <f>IFERROR(__xludf.DUMMYFUNCTION("IFERROR(ABS(Q1089-AVERAGE(FILTER(Q1089:Q5157,AA1089:AA5157=""Neighbor""))) / STDEV(FILTER(Q1089:Q5157, AA1089:AA5157 =""Neighbor"")), """")"),0.3596477866805254)</f>
        <v>0.3596477867</v>
      </c>
      <c r="AF1089" s="2">
        <f>IFERROR(__xludf.DUMMYFUNCTION("IFERROR(ABS(R1089-AVERAGE(FILTER(R1089:R5157,AA1089:AA5157=""Neighbor""))) / STDEV(FILTER(R1089:R5157, AA1089:AA5157 =""Neighbor"")), """")"),0.35034636804921315)</f>
        <v>0.350346368</v>
      </c>
    </row>
    <row r="1090">
      <c r="A1090" s="2" t="s">
        <v>28</v>
      </c>
      <c r="B1090" s="2" t="s">
        <v>4358</v>
      </c>
      <c r="C1090" s="2" t="s">
        <v>4437</v>
      </c>
      <c r="D1090" s="2" t="s">
        <v>4462</v>
      </c>
      <c r="E1090" s="2" t="s">
        <v>4463</v>
      </c>
      <c r="F1090" s="2">
        <v>135.0</v>
      </c>
      <c r="G1090" s="2">
        <v>1153.0</v>
      </c>
      <c r="H1090" s="2" t="b">
        <v>1</v>
      </c>
      <c r="I1090" s="2">
        <v>-1.0</v>
      </c>
      <c r="J1090" s="2" t="b">
        <v>0</v>
      </c>
      <c r="K1090" s="2" t="b">
        <v>0</v>
      </c>
      <c r="L1090" s="2" t="b">
        <v>0</v>
      </c>
      <c r="M1090" s="2" t="b">
        <v>0</v>
      </c>
      <c r="N1090" s="2" t="s">
        <v>33</v>
      </c>
      <c r="O1090" s="2">
        <v>84.0</v>
      </c>
      <c r="P1090" s="2">
        <v>15.0</v>
      </c>
      <c r="Q1090" s="2">
        <v>17.0</v>
      </c>
      <c r="R1090" s="2">
        <v>4.0</v>
      </c>
      <c r="S1090" s="3" t="s">
        <v>4464</v>
      </c>
      <c r="T1090" s="2" t="s">
        <v>4465</v>
      </c>
      <c r="Y1090" s="4" t="str">
        <f>IFERROR(__xludf.DUMMYFUNCTION("""COMPUTED_VALUE"""),"6.830923")</f>
        <v>6.830923</v>
      </c>
      <c r="Z1090" s="4" t="str">
        <f>IFERROR(__xludf.DUMMYFUNCTION("""COMPUTED_VALUE"""),"3.1933491")</f>
        <v>3.1933491</v>
      </c>
      <c r="AA1090" s="4" t="str">
        <f t="shared" si="1"/>
        <v>Neighbor</v>
      </c>
      <c r="AC1090" s="4">
        <f>IFERROR(__xludf.DUMMYFUNCTION("IFERROR(ABS(O1090-AVERAGE(FILTER(O1090:O5158,AA1090:AA5158=""Neighbor""))) / STDEV(FILTER(O1090:O5158, AA1090:AA5158 =""Neighbor"")), """")"),0.4923622924656044)</f>
        <v>0.4923622925</v>
      </c>
      <c r="AD1090" s="4">
        <f>IFERROR(__xludf.DUMMYFUNCTION("IFERROR(ABS(P1090-AVERAGE(FILTER(O1090:P5158,AA1090:AA5158=""Neighbor""))) / STDEV(FILTER(P1090:P5158, AA1090:AA5158 =""Neighbor"")), """")"),1.1475300125747725)</f>
        <v>1.147530013</v>
      </c>
      <c r="AE1090" s="2">
        <f>IFERROR(__xludf.DUMMYFUNCTION("IFERROR(ABS(Q1090-AVERAGE(FILTER(Q1090:Q5158,AA1090:AA5158=""Neighbor""))) / STDEV(FILTER(Q1090:Q5158, AA1090:AA5158 =""Neighbor"")), """")"),0.3185184317987775)</f>
        <v>0.3185184318</v>
      </c>
      <c r="AF1090" s="2">
        <f>IFERROR(__xludf.DUMMYFUNCTION("IFERROR(ABS(R1090-AVERAGE(FILTER(R1090:R5158,AA1090:AA5158=""Neighbor""))) / STDEV(FILTER(R1090:R5158, AA1090:AA5158 =""Neighbor"")), """")"),4.43527090270183)</f>
        <v>4.435270903</v>
      </c>
    </row>
    <row r="1091">
      <c r="A1091" s="2" t="s">
        <v>28</v>
      </c>
      <c r="B1091" s="2" t="s">
        <v>4358</v>
      </c>
      <c r="C1091" s="2" t="s">
        <v>4437</v>
      </c>
      <c r="D1091" s="2" t="s">
        <v>4466</v>
      </c>
      <c r="E1091" s="2" t="s">
        <v>4467</v>
      </c>
      <c r="F1091" s="2">
        <v>96.0</v>
      </c>
      <c r="G1091" s="2">
        <v>891.0</v>
      </c>
      <c r="H1091" s="2" t="b">
        <v>1</v>
      </c>
      <c r="I1091" s="2">
        <v>-1.0</v>
      </c>
      <c r="J1091" s="2" t="b">
        <v>0</v>
      </c>
      <c r="K1091" s="2" t="b">
        <v>0</v>
      </c>
      <c r="L1091" s="2" t="b">
        <v>0</v>
      </c>
      <c r="M1091" s="2" t="b">
        <v>0</v>
      </c>
      <c r="N1091" s="2" t="s">
        <v>33</v>
      </c>
      <c r="O1091" s="2">
        <v>49.0</v>
      </c>
      <c r="P1091" s="2">
        <v>5.0</v>
      </c>
      <c r="Q1091" s="2">
        <v>26.0</v>
      </c>
      <c r="R1091" s="2">
        <v>0.0</v>
      </c>
      <c r="S1091" s="3" t="s">
        <v>4468</v>
      </c>
      <c r="T1091" s="2" t="s">
        <v>4469</v>
      </c>
      <c r="Y1091" s="4" t="str">
        <f>IFERROR(__xludf.DUMMYFUNCTION("""COMPUTED_VALUE"""),"6.830923")</f>
        <v>6.830923</v>
      </c>
      <c r="Z1091" s="4" t="str">
        <f>IFERROR(__xludf.DUMMYFUNCTION("""COMPUTED_VALUE"""),"3.1933491")</f>
        <v>3.1933491</v>
      </c>
      <c r="AA1091" s="4" t="str">
        <f t="shared" si="1"/>
        <v>Neighbor</v>
      </c>
      <c r="AC1091" s="4">
        <f>IFERROR(__xludf.DUMMYFUNCTION("IFERROR(ABS(O1091-AVERAGE(FILTER(O1091:O5159,AA1091:AA5159=""Neighbor""))) / STDEV(FILTER(O1091:O5159, AA1091:AA5159 =""Neighbor"")), """")"),0.35297070625284566)</f>
        <v>0.3529707063</v>
      </c>
      <c r="AD1091" s="4">
        <f>IFERROR(__xludf.DUMMYFUNCTION("IFERROR(ABS(P1091-AVERAGE(FILTER(O1091:P5159,AA1091:AA5159=""Neighbor""))) / STDEV(FILTER(P1091:P5159, AA1091:AA5159 =""Neighbor"")), """")"),1.6086471255853696)</f>
        <v>1.608647126</v>
      </c>
      <c r="AE1091" s="2">
        <f>IFERROR(__xludf.DUMMYFUNCTION("IFERROR(ABS(Q1091-AVERAGE(FILTER(Q1091:Q5159,AA1091:AA5159=""Neighbor""))) / STDEV(FILTER(Q1091:Q5159, AA1091:AA5159 =""Neighbor"")), """")"),0.05282064811636502)</f>
        <v>0.05282064812</v>
      </c>
      <c r="AF1091" s="2">
        <f>IFERROR(__xludf.DUMMYFUNCTION("IFERROR(ABS(R1091-AVERAGE(FILTER(R1091:R5159,AA1091:AA5159=""Neighbor""))) / STDEV(FILTER(R1091:R5159, AA1091:AA5159 =""Neighbor"")), """")"),0.3495874948797362)</f>
        <v>0.3495874949</v>
      </c>
    </row>
    <row r="1092">
      <c r="A1092" s="2" t="s">
        <v>28</v>
      </c>
      <c r="B1092" s="2" t="s">
        <v>4358</v>
      </c>
      <c r="C1092" s="2" t="s">
        <v>4437</v>
      </c>
      <c r="D1092" s="2" t="s">
        <v>4470</v>
      </c>
      <c r="E1092" s="2" t="s">
        <v>4471</v>
      </c>
      <c r="F1092" s="2">
        <v>144.0</v>
      </c>
      <c r="G1092" s="2">
        <v>1024.0</v>
      </c>
      <c r="H1092" s="2" t="b">
        <v>1</v>
      </c>
      <c r="I1092" s="2">
        <v>-1.0</v>
      </c>
      <c r="J1092" s="2" t="b">
        <v>0</v>
      </c>
      <c r="K1092" s="2" t="b">
        <v>1</v>
      </c>
      <c r="L1092" s="2" t="b">
        <v>0</v>
      </c>
      <c r="M1092" s="2" t="b">
        <v>0</v>
      </c>
      <c r="N1092" s="2" t="s">
        <v>33</v>
      </c>
      <c r="O1092" s="2">
        <v>89.0</v>
      </c>
      <c r="P1092" s="2">
        <v>8.0</v>
      </c>
      <c r="Q1092" s="2">
        <v>28.0</v>
      </c>
      <c r="R1092" s="2">
        <v>5.0</v>
      </c>
      <c r="S1092" s="3" t="s">
        <v>4472</v>
      </c>
      <c r="T1092" s="2" t="s">
        <v>4473</v>
      </c>
      <c r="Y1092" s="4" t="str">
        <f>IFERROR(__xludf.DUMMYFUNCTION("""COMPUTED_VALUE"""),"6.830923")</f>
        <v>6.830923</v>
      </c>
      <c r="Z1092" s="4" t="str">
        <f>IFERROR(__xludf.DUMMYFUNCTION("""COMPUTED_VALUE"""),"3.1933491")</f>
        <v>3.1933491</v>
      </c>
      <c r="AA1092" s="4" t="str">
        <f t="shared" si="1"/>
        <v>Neighbor</v>
      </c>
      <c r="AC1092" s="4">
        <f>IFERROR(__xludf.DUMMYFUNCTION("IFERROR(ABS(O1092-AVERAGE(FILTER(O1092:O5160,AA1092:AA5160=""Neighbor""))) / STDEV(FILTER(O1092:O5160, AA1092:AA5160 =""Neighbor"")), """")"),0.6129082176333384)</f>
        <v>0.6129082176</v>
      </c>
      <c r="AD1092" s="4">
        <f>IFERROR(__xludf.DUMMYFUNCTION("IFERROR(ABS(P1092-AVERAGE(FILTER(O1092:P5160,AA1092:AA5160=""Neighbor""))) / STDEV(FILTER(P1092:P5160, AA1092:AA5160 =""Neighbor"")), """")"),1.4701080369469917)</f>
        <v>1.470108037</v>
      </c>
      <c r="AE1092" s="2">
        <f>IFERROR(__xludf.DUMMYFUNCTION("IFERROR(ABS(Q1092-AVERAGE(FILTER(Q1092:Q5160,AA1092:AA5160=""Neighbor""))) / STDEV(FILTER(Q1092:Q5160, AA1092:AA5160 =""Neighbor"")), """")"),0.13535964242022816)</f>
        <v>0.1353596424</v>
      </c>
      <c r="AF1092" s="2">
        <f>IFERROR(__xludf.DUMMYFUNCTION("IFERROR(ABS(R1092-AVERAGE(FILTER(R1092:R5160,AA1092:AA5160=""Neighbor""))) / STDEV(FILTER(R1092:R5160, AA1092:AA5160 =""Neighbor"")), """")"),5.675200238267307)</f>
        <v>5.675200238</v>
      </c>
    </row>
    <row r="1093">
      <c r="A1093" s="2" t="s">
        <v>28</v>
      </c>
      <c r="B1093" s="2" t="s">
        <v>4358</v>
      </c>
      <c r="C1093" s="2" t="s">
        <v>4437</v>
      </c>
      <c r="D1093" s="2" t="s">
        <v>4474</v>
      </c>
      <c r="E1093" s="2" t="s">
        <v>4475</v>
      </c>
      <c r="F1093" s="2">
        <v>174.0</v>
      </c>
      <c r="G1093" s="2">
        <v>1417.0</v>
      </c>
      <c r="H1093" s="2" t="b">
        <v>1</v>
      </c>
      <c r="I1093" s="2">
        <v>-1.0</v>
      </c>
      <c r="J1093" s="2" t="b">
        <v>0</v>
      </c>
      <c r="K1093" s="2" t="b">
        <v>1</v>
      </c>
      <c r="L1093" s="2" t="b">
        <v>0</v>
      </c>
      <c r="M1093" s="2" t="b">
        <v>0</v>
      </c>
      <c r="N1093" s="2" t="s">
        <v>33</v>
      </c>
      <c r="O1093" s="2">
        <v>91.0</v>
      </c>
      <c r="P1093" s="2">
        <v>29.0</v>
      </c>
      <c r="Q1093" s="2">
        <v>21.0</v>
      </c>
      <c r="R1093" s="2">
        <v>0.0</v>
      </c>
      <c r="S1093" s="3" t="s">
        <v>4476</v>
      </c>
      <c r="T1093" s="2" t="s">
        <v>4477</v>
      </c>
      <c r="Y1093" s="4" t="str">
        <f>IFERROR(__xludf.DUMMYFUNCTION("""COMPUTED_VALUE"""),"6.8212191")</f>
        <v>6.8212191</v>
      </c>
      <c r="Z1093" s="4" t="str">
        <f>IFERROR(__xludf.DUMMYFUNCTION("""COMPUTED_VALUE"""),"3.1939778")</f>
        <v>3.1939778</v>
      </c>
      <c r="AA1093" s="4" t="str">
        <f t="shared" si="1"/>
        <v>Neighbor</v>
      </c>
      <c r="AC1093" s="4">
        <f>IFERROR(__xludf.DUMMYFUNCTION("IFERROR(ABS(O1093-AVERAGE(FILTER(O1093:O5161,AA1093:AA5161=""Neighbor""))) / STDEV(FILTER(O1093:O5161, AA1093:AA5161 =""Neighbor"")), """")"),0.6615325329900745)</f>
        <v>0.661532533</v>
      </c>
      <c r="AD1093" s="4">
        <f>IFERROR(__xludf.DUMMYFUNCTION("IFERROR(ABS(P1093-AVERAGE(FILTER(O1093:P5161,AA1093:AA5161=""Neighbor""))) / STDEV(FILTER(P1093:P5161, AA1093:AA5161 =""Neighbor"")), """")"),0.49986227714378484)</f>
        <v>0.4998622771</v>
      </c>
      <c r="AE1093" s="2">
        <f>IFERROR(__xludf.DUMMYFUNCTION("IFERROR(ABS(Q1093-AVERAGE(FILTER(Q1093:Q5161,AA1093:AA5161=""Neighbor""))) / STDEV(FILTER(Q1093:Q5161, AA1093:AA5161 =""Neighbor"")), """")"),0.1532862251765252)</f>
        <v>0.1532862252</v>
      </c>
      <c r="AF1093" s="2">
        <f>IFERROR(__xludf.DUMMYFUNCTION("IFERROR(ABS(R1093-AVERAGE(FILTER(R1093:R5161,AA1093:AA5161=""Neighbor""))) / STDEV(FILTER(R1093:R5161, AA1093:AA5161 =""Neighbor"")), """")"),0.3496025370883224)</f>
        <v>0.3496025371</v>
      </c>
    </row>
    <row r="1094">
      <c r="A1094" s="2" t="s">
        <v>28</v>
      </c>
      <c r="B1094" s="2" t="s">
        <v>4358</v>
      </c>
      <c r="C1094" s="2" t="s">
        <v>4437</v>
      </c>
      <c r="D1094" s="2" t="s">
        <v>4478</v>
      </c>
      <c r="E1094" s="2" t="s">
        <v>4479</v>
      </c>
      <c r="F1094" s="2">
        <v>132.0</v>
      </c>
      <c r="G1094" s="2">
        <v>1100.0</v>
      </c>
      <c r="H1094" s="2" t="b">
        <v>1</v>
      </c>
      <c r="I1094" s="2">
        <v>-1.0</v>
      </c>
      <c r="J1094" s="2" t="b">
        <v>0</v>
      </c>
      <c r="K1094" s="2" t="b">
        <v>0</v>
      </c>
      <c r="L1094" s="2" t="b">
        <v>0</v>
      </c>
      <c r="M1094" s="2" t="b">
        <v>0</v>
      </c>
      <c r="N1094" s="2" t="s">
        <v>33</v>
      </c>
      <c r="O1094" s="2">
        <v>65.0</v>
      </c>
      <c r="P1094" s="2">
        <v>13.0</v>
      </c>
      <c r="Q1094" s="2">
        <v>22.0</v>
      </c>
      <c r="R1094" s="2">
        <v>0.0</v>
      </c>
      <c r="S1094" s="3" t="s">
        <v>4480</v>
      </c>
      <c r="T1094" s="2" t="s">
        <v>4481</v>
      </c>
      <c r="Y1094" s="4" t="str">
        <f>IFERROR(__xludf.DUMMYFUNCTION("""COMPUTED_VALUE"""),"6.8212191")</f>
        <v>6.8212191</v>
      </c>
      <c r="Z1094" s="4" t="str">
        <f>IFERROR(__xludf.DUMMYFUNCTION("""COMPUTED_VALUE"""),"3.1939778")</f>
        <v>3.1939778</v>
      </c>
      <c r="AA1094" s="4" t="str">
        <f t="shared" si="1"/>
        <v>Neighbor</v>
      </c>
      <c r="AC1094" s="4">
        <f>IFERROR(__xludf.DUMMYFUNCTION("IFERROR(ABS(O1094-AVERAGE(FILTER(O1094:O5162,AA1094:AA5162=""Neighbor""))) / STDEV(FILTER(O1094:O5162, AA1094:AA5162 =""Neighbor"")), """")"),0.03428235095567262)</f>
        <v>0.03428235096</v>
      </c>
      <c r="AD1094" s="4">
        <f>IFERROR(__xludf.DUMMYFUNCTION("IFERROR(ABS(P1094-AVERAGE(FILTER(O1094:P5162,AA1094:AA5162=""Neighbor""))) / STDEV(FILTER(P1094:P5162, AA1094:AA5162 =""Neighbor"")), """")"),1.2374164961279233)</f>
        <v>1.237416496</v>
      </c>
      <c r="AE1094" s="2">
        <f>IFERROR(__xludf.DUMMYFUNCTION("IFERROR(ABS(Q1094-AVERAGE(FILTER(Q1094:Q5162,AA1094:AA5162=""Neighbor""))) / STDEV(FILTER(Q1094:Q5162, AA1094:AA5162 =""Neighbor"")), """")"),0.11212153995313416)</f>
        <v>0.11212154</v>
      </c>
      <c r="AF1094" s="2">
        <f>IFERROR(__xludf.DUMMYFUNCTION("IFERROR(ABS(R1094-AVERAGE(FILTER(R1094:R5162,AA1094:AA5162=""Neighbor""))) / STDEV(FILTER(R1094:R5162, AA1094:AA5162 =""Neighbor"")), """")"),0.349758231477372)</f>
        <v>0.3497582315</v>
      </c>
    </row>
    <row r="1095">
      <c r="A1095" s="2" t="s">
        <v>28</v>
      </c>
      <c r="B1095" s="2" t="s">
        <v>4358</v>
      </c>
      <c r="C1095" s="2" t="s">
        <v>4437</v>
      </c>
      <c r="D1095" s="2" t="s">
        <v>4482</v>
      </c>
      <c r="E1095" s="2" t="s">
        <v>4483</v>
      </c>
      <c r="F1095" s="2">
        <v>154.0</v>
      </c>
      <c r="G1095" s="2">
        <v>957.0</v>
      </c>
      <c r="H1095" s="2" t="b">
        <v>1</v>
      </c>
      <c r="I1095" s="2">
        <v>-1.0</v>
      </c>
      <c r="J1095" s="2" t="b">
        <v>0</v>
      </c>
      <c r="K1095" s="2" t="b">
        <v>0</v>
      </c>
      <c r="L1095" s="2" t="b">
        <v>0</v>
      </c>
      <c r="M1095" s="2" t="b">
        <v>0</v>
      </c>
      <c r="N1095" s="2" t="s">
        <v>33</v>
      </c>
      <c r="O1095" s="2">
        <v>92.0</v>
      </c>
      <c r="P1095" s="2">
        <v>12.0</v>
      </c>
      <c r="Q1095" s="2">
        <v>21.0</v>
      </c>
      <c r="R1095" s="2">
        <v>0.0</v>
      </c>
      <c r="S1095" s="3" t="s">
        <v>4484</v>
      </c>
      <c r="T1095" s="2" t="s">
        <v>4485</v>
      </c>
      <c r="Y1095" s="4" t="str">
        <f>IFERROR(__xludf.DUMMYFUNCTION("""COMPUTED_VALUE"""),"6.8212191")</f>
        <v>6.8212191</v>
      </c>
      <c r="Z1095" s="4" t="str">
        <f>IFERROR(__xludf.DUMMYFUNCTION("""COMPUTED_VALUE"""),"3.1939778")</f>
        <v>3.1939778</v>
      </c>
      <c r="AA1095" s="4" t="str">
        <f t="shared" si="1"/>
        <v>Neighbor</v>
      </c>
      <c r="AC1095" s="4">
        <f>IFERROR(__xludf.DUMMYFUNCTION("IFERROR(ABS(O1095-AVERAGE(FILTER(O1095:O5163,AA1095:AA5163=""Neighbor""))) / STDEV(FILTER(O1095:O5163, AA1095:AA5163 =""Neighbor"")), """")"),0.6858044964652278)</f>
        <v>0.6858044965</v>
      </c>
      <c r="AD1095" s="4">
        <f>IFERROR(__xludf.DUMMYFUNCTION("IFERROR(ABS(P1095-AVERAGE(FILTER(O1095:P5163,AA1095:AA5163=""Neighbor""))) / STDEV(FILTER(P1095:P5163, AA1095:AA5163 =""Neighbor"")), """")"),1.2830974215914994)</f>
        <v>1.283097422</v>
      </c>
      <c r="AE1095" s="2">
        <f>IFERROR(__xludf.DUMMYFUNCTION("IFERROR(ABS(Q1095-AVERAGE(FILTER(Q1095:Q5163,AA1095:AA5163=""Neighbor""))) / STDEV(FILTER(Q1095:Q5163, AA1095:AA5163 =""Neighbor"")), """")"),0.1533773699365868)</f>
        <v>0.1533773699</v>
      </c>
      <c r="AF1095" s="2">
        <f>IFERROR(__xludf.DUMMYFUNCTION("IFERROR(ABS(R1095-AVERAGE(FILTER(R1095:R5163,AA1095:AA5163=""Neighbor""))) / STDEV(FILTER(R1095:R5163, AA1095:AA5163 =""Neighbor"")), """")"),0.34991413408725147)</f>
        <v>0.3499141341</v>
      </c>
    </row>
    <row r="1096">
      <c r="A1096" s="2" t="s">
        <v>28</v>
      </c>
      <c r="B1096" s="2" t="s">
        <v>4358</v>
      </c>
      <c r="C1096" s="2" t="s">
        <v>4437</v>
      </c>
      <c r="D1096" s="2" t="s">
        <v>4486</v>
      </c>
      <c r="E1096" s="2" t="s">
        <v>4487</v>
      </c>
      <c r="F1096" s="2">
        <v>178.0</v>
      </c>
      <c r="G1096" s="2">
        <v>1119.0</v>
      </c>
      <c r="H1096" s="2" t="b">
        <v>1</v>
      </c>
      <c r="I1096" s="2">
        <v>-1.0</v>
      </c>
      <c r="J1096" s="2" t="b">
        <v>0</v>
      </c>
      <c r="K1096" s="2" t="b">
        <v>0</v>
      </c>
      <c r="L1096" s="2" t="b">
        <v>0</v>
      </c>
      <c r="M1096" s="2" t="b">
        <v>0</v>
      </c>
      <c r="N1096" s="2" t="s">
        <v>33</v>
      </c>
      <c r="O1096" s="2">
        <v>131.0</v>
      </c>
      <c r="P1096" s="2">
        <v>6.0</v>
      </c>
      <c r="Q1096" s="2">
        <v>24.0</v>
      </c>
      <c r="R1096" s="2">
        <v>0.0</v>
      </c>
      <c r="S1096" s="3" t="s">
        <v>4488</v>
      </c>
      <c r="T1096" s="2" t="s">
        <v>4489</v>
      </c>
      <c r="Y1096" s="4" t="str">
        <f>IFERROR(__xludf.DUMMYFUNCTION("""COMPUTED_VALUE"""),"6.8166814")</f>
        <v>6.8166814</v>
      </c>
      <c r="Z1096" s="4" t="str">
        <f>IFERROR(__xludf.DUMMYFUNCTION("""COMPUTED_VALUE"""),"3.1921506")</f>
        <v>3.1921506</v>
      </c>
      <c r="AA1096" s="4" t="str">
        <f t="shared" si="1"/>
        <v>Neighbor</v>
      </c>
      <c r="AC1096" s="4">
        <f>IFERROR(__xludf.DUMMYFUNCTION("IFERROR(ABS(O1096-AVERAGE(FILTER(O1096:O5164,AA1096:AA5164=""Neighbor""))) / STDEV(FILTER(O1096:O5164, AA1096:AA5164 =""Neighbor"")), """")"),1.6270751417329363)</f>
        <v>1.627075142</v>
      </c>
      <c r="AD1096" s="4">
        <f>IFERROR(__xludf.DUMMYFUNCTION("IFERROR(ABS(P1096-AVERAGE(FILTER(O1096:P5164,AA1096:AA5164=""Neighbor""))) / STDEV(FILTER(P1096:P5164, AA1096:AA5164 =""Neighbor"")), """")"),1.5588514103272395)</f>
        <v>1.55885141</v>
      </c>
      <c r="AE1096" s="2">
        <f>IFERROR(__xludf.DUMMYFUNCTION("IFERROR(ABS(Q1096-AVERAGE(FILTER(Q1096:Q5164,AA1096:AA5164=""Neighbor""))) / STDEV(FILTER(Q1096:Q5164, AA1096:AA5164 =""Neighbor"")), """")"),0.029855535510878557)</f>
        <v>0.02985553551</v>
      </c>
      <c r="AF1096" s="2">
        <f>IFERROR(__xludf.DUMMYFUNCTION("IFERROR(ABS(R1096-AVERAGE(FILTER(R1096:R5164,AA1096:AA5164=""Neighbor""))) / STDEV(FILTER(R1096:R5164, AA1096:AA5164 =""Neighbor"")), """")"),0.35007024538253)</f>
        <v>0.3500702454</v>
      </c>
    </row>
    <row r="1097">
      <c r="A1097" s="2" t="s">
        <v>28</v>
      </c>
      <c r="B1097" s="2" t="s">
        <v>4358</v>
      </c>
      <c r="C1097" s="2" t="s">
        <v>4437</v>
      </c>
      <c r="D1097" s="2" t="s">
        <v>4490</v>
      </c>
      <c r="E1097" s="2" t="s">
        <v>4491</v>
      </c>
      <c r="F1097" s="2">
        <v>109.0</v>
      </c>
      <c r="G1097" s="2">
        <v>882.0</v>
      </c>
      <c r="H1097" s="2" t="b">
        <v>1</v>
      </c>
      <c r="I1097" s="2">
        <v>-1.0</v>
      </c>
      <c r="J1097" s="2" t="b">
        <v>0</v>
      </c>
      <c r="K1097" s="2" t="b">
        <v>0</v>
      </c>
      <c r="L1097" s="2" t="b">
        <v>0</v>
      </c>
      <c r="M1097" s="2" t="b">
        <v>0</v>
      </c>
      <c r="N1097" s="2" t="s">
        <v>33</v>
      </c>
      <c r="O1097" s="2">
        <v>76.0</v>
      </c>
      <c r="P1097" s="2">
        <v>6.0</v>
      </c>
      <c r="Q1097" s="2">
        <v>13.0</v>
      </c>
      <c r="R1097" s="2">
        <v>1.0</v>
      </c>
      <c r="S1097" s="3" t="s">
        <v>4492</v>
      </c>
      <c r="T1097" s="2" t="s">
        <v>4493</v>
      </c>
      <c r="Y1097" s="4" t="str">
        <f>IFERROR(__xludf.DUMMYFUNCTION("""COMPUTED_VALUE"""),"6.8166814")</f>
        <v>6.8166814</v>
      </c>
      <c r="Z1097" s="4" t="str">
        <f>IFERROR(__xludf.DUMMYFUNCTION("""COMPUTED_VALUE"""),"3.1921506")</f>
        <v>3.1921506</v>
      </c>
      <c r="AA1097" s="4" t="str">
        <f t="shared" si="1"/>
        <v>Neighbor</v>
      </c>
      <c r="AC1097" s="4">
        <f>IFERROR(__xludf.DUMMYFUNCTION("IFERROR(ABS(O1097-AVERAGE(FILTER(O1097:O5165,AA1097:AA5165=""Neighbor""))) / STDEV(FILTER(O1097:O5165, AA1097:AA5165 =""Neighbor"")), """")"),0.3017014884646983)</f>
        <v>0.3017014885</v>
      </c>
      <c r="AD1097" s="4">
        <f>IFERROR(__xludf.DUMMYFUNCTION("IFERROR(ABS(P1097-AVERAGE(FILTER(O1097:P5165,AA1097:AA5165=""Neighbor""))) / STDEV(FILTER(P1097:P5165, AA1097:AA5165 =""Neighbor"")), """")"),1.5573107795277377)</f>
        <v>1.55731078</v>
      </c>
      <c r="AE1097" s="2">
        <f>IFERROR(__xludf.DUMMYFUNCTION("IFERROR(ABS(Q1097-AVERAGE(FILTER(Q1097:Q5165,AA1097:AA5165=""Neighbor""))) / STDEV(FILTER(Q1097:Q5165, AA1097:AA5165 =""Neighbor"")), """")"),0.48282929337412783)</f>
        <v>0.4828292934</v>
      </c>
      <c r="AF1097" s="2">
        <f>IFERROR(__xludf.DUMMYFUNCTION("IFERROR(ABS(R1097-AVERAGE(FILTER(R1097:R5165,AA1097:AA5165=""Neighbor""))) / STDEV(FILTER(R1097:R5165, AA1097:AA5165 =""Neighbor"")), """")"),0.8682902393827148)</f>
        <v>0.8682902394</v>
      </c>
    </row>
    <row r="1098">
      <c r="A1098" s="2" t="s">
        <v>28</v>
      </c>
      <c r="B1098" s="2" t="s">
        <v>4358</v>
      </c>
      <c r="C1098" s="2" t="s">
        <v>4437</v>
      </c>
      <c r="D1098" s="2" t="s">
        <v>4494</v>
      </c>
      <c r="E1098" s="2" t="s">
        <v>4495</v>
      </c>
      <c r="F1098" s="2">
        <v>188.0</v>
      </c>
      <c r="G1098" s="2">
        <v>1437.0</v>
      </c>
      <c r="H1098" s="2" t="b">
        <v>1</v>
      </c>
      <c r="I1098" s="2">
        <v>-1.0</v>
      </c>
      <c r="J1098" s="2" t="b">
        <v>0</v>
      </c>
      <c r="K1098" s="2" t="b">
        <v>0</v>
      </c>
      <c r="L1098" s="2" t="b">
        <v>0</v>
      </c>
      <c r="M1098" s="2" t="b">
        <v>0</v>
      </c>
      <c r="N1098" s="2" t="s">
        <v>33</v>
      </c>
      <c r="O1098" s="2">
        <v>92.0</v>
      </c>
      <c r="P1098" s="2">
        <v>32.0</v>
      </c>
      <c r="Q1098" s="2">
        <v>41.0</v>
      </c>
      <c r="R1098" s="2">
        <v>0.0</v>
      </c>
      <c r="S1098" s="3" t="s">
        <v>4496</v>
      </c>
      <c r="T1098" s="2" t="s">
        <v>4497</v>
      </c>
      <c r="Y1098" s="4" t="str">
        <f>IFERROR(__xludf.DUMMYFUNCTION("""COMPUTED_VALUE"""),"6.8212191")</f>
        <v>6.8212191</v>
      </c>
      <c r="Z1098" s="4" t="str">
        <f>IFERROR(__xludf.DUMMYFUNCTION("""COMPUTED_VALUE"""),"3.1939778")</f>
        <v>3.1939778</v>
      </c>
      <c r="AA1098" s="4" t="str">
        <f t="shared" si="1"/>
        <v>Neighbor</v>
      </c>
      <c r="AC1098" s="4">
        <f>IFERROR(__xludf.DUMMYFUNCTION("IFERROR(ABS(O1098-AVERAGE(FILTER(O1098:O5166,AA1098:AA5166=""Neighbor""))) / STDEV(FILTER(O1098:O5166, AA1098:AA5166 =""Neighbor"")), """")"),0.6879443322549555)</f>
        <v>0.6879443323</v>
      </c>
      <c r="AD1098" s="4">
        <f>IFERROR(__xludf.DUMMYFUNCTION("IFERROR(ABS(P1098-AVERAGE(FILTER(O1098:P5166,AA1098:AA5166=""Neighbor""))) / STDEV(FILTER(P1098:P5166, AA1098:AA5166 =""Neighbor"")), """")"),0.3585222166349852)</f>
        <v>0.3585222166</v>
      </c>
      <c r="AE1098" s="2">
        <f>IFERROR(__xludf.DUMMYFUNCTION("IFERROR(ABS(Q1098-AVERAGE(FILTER(Q1098:Q5166,AA1098:AA5166=""Neighbor""))) / STDEV(FILTER(Q1098:Q5166, AA1098:AA5166 =""Neighbor"")), """")"),0.6695751865889707)</f>
        <v>0.6695751866</v>
      </c>
      <c r="AF1098" s="2">
        <f>IFERROR(__xludf.DUMMYFUNCTION("IFERROR(ABS(R1098-AVERAGE(FILTER(R1098:R5166,AA1098:AA5166=""Neighbor""))) / STDEV(FILTER(R1098:R5166, AA1098:AA5166 =""Neighbor"")), """")"),0.3495004952951646)</f>
        <v>0.3495004953</v>
      </c>
    </row>
    <row r="1099">
      <c r="A1099" s="2" t="s">
        <v>28</v>
      </c>
      <c r="B1099" s="2" t="s">
        <v>4358</v>
      </c>
      <c r="C1099" s="2" t="s">
        <v>4437</v>
      </c>
      <c r="D1099" s="2" t="s">
        <v>4498</v>
      </c>
      <c r="E1099" s="2" t="s">
        <v>4499</v>
      </c>
      <c r="F1099" s="2">
        <v>163.0</v>
      </c>
      <c r="G1099" s="2">
        <v>1374.0</v>
      </c>
      <c r="H1099" s="2" t="b">
        <v>1</v>
      </c>
      <c r="I1099" s="2">
        <v>-1.0</v>
      </c>
      <c r="J1099" s="2" t="b">
        <v>0</v>
      </c>
      <c r="K1099" s="2" t="b">
        <v>0</v>
      </c>
      <c r="L1099" s="2" t="b">
        <v>0</v>
      </c>
      <c r="M1099" s="2" t="b">
        <v>0</v>
      </c>
      <c r="N1099" s="2" t="s">
        <v>33</v>
      </c>
      <c r="O1099" s="2">
        <v>81.0</v>
      </c>
      <c r="P1099" s="2">
        <v>22.0</v>
      </c>
      <c r="Q1099" s="2">
        <v>39.0</v>
      </c>
      <c r="R1099" s="2">
        <v>0.0</v>
      </c>
      <c r="S1099" s="3" t="s">
        <v>4500</v>
      </c>
      <c r="T1099" s="2" t="s">
        <v>4501</v>
      </c>
      <c r="Y1099" s="4" t="str">
        <f>IFERROR(__xludf.DUMMYFUNCTION("""COMPUTED_VALUE"""),"6.8212191")</f>
        <v>6.8212191</v>
      </c>
      <c r="Z1099" s="4" t="str">
        <f>IFERROR(__xludf.DUMMYFUNCTION("""COMPUTED_VALUE"""),"3.1939778")</f>
        <v>3.1939778</v>
      </c>
      <c r="AA1099" s="4" t="str">
        <f t="shared" si="1"/>
        <v>Neighbor</v>
      </c>
      <c r="AC1099" s="4">
        <f>IFERROR(__xludf.DUMMYFUNCTION("IFERROR(ABS(O1099-AVERAGE(FILTER(O1099:O5167,AA1099:AA5167=""Neighbor""))) / STDEV(FILTER(O1099:O5167, AA1099:AA5167 =""Neighbor"")), """")"),0.4229522367846553)</f>
        <v>0.4229522368</v>
      </c>
      <c r="AD1099" s="4">
        <f>IFERROR(__xludf.DUMMYFUNCTION("IFERROR(ABS(P1099-AVERAGE(FILTER(O1099:P5167,AA1099:AA5167=""Neighbor""))) / STDEV(FILTER(P1099:P5167, AA1099:AA5167 =""Neighbor"")), """")"),0.8184231990155988)</f>
        <v>0.818423199</v>
      </c>
      <c r="AE1099" s="2">
        <f>IFERROR(__xludf.DUMMYFUNCTION("IFERROR(ABS(Q1099-AVERAGE(FILTER(Q1099:Q5167,AA1099:AA5167=""Neighbor""))) / STDEV(FILTER(Q1099:Q5167, AA1099:AA5167 =""Neighbor"")), """")"),0.58764833203599)</f>
        <v>0.587648332</v>
      </c>
      <c r="AF1099" s="2">
        <f>IFERROR(__xludf.DUMMYFUNCTION("IFERROR(ABS(R1099-AVERAGE(FILTER(R1099:R5167,AA1099:AA5167=""Neighbor""))) / STDEV(FILTER(R1099:R5167, AA1099:AA5167 =""Neighbor"")), """")"),0.3496567544294233)</f>
        <v>0.3496567544</v>
      </c>
    </row>
    <row r="1100">
      <c r="A1100" s="2" t="s">
        <v>28</v>
      </c>
      <c r="B1100" s="2" t="s">
        <v>4358</v>
      </c>
      <c r="C1100" s="2" t="s">
        <v>4437</v>
      </c>
      <c r="D1100" s="2" t="s">
        <v>4502</v>
      </c>
      <c r="E1100" s="2" t="s">
        <v>4503</v>
      </c>
      <c r="F1100" s="2">
        <v>126.0</v>
      </c>
      <c r="G1100" s="2">
        <v>951.0</v>
      </c>
      <c r="H1100" s="2" t="b">
        <v>1</v>
      </c>
      <c r="I1100" s="2">
        <v>-1.0</v>
      </c>
      <c r="J1100" s="2" t="b">
        <v>0</v>
      </c>
      <c r="K1100" s="2" t="b">
        <v>0</v>
      </c>
      <c r="L1100" s="2" t="b">
        <v>0</v>
      </c>
      <c r="M1100" s="2" t="b">
        <v>0</v>
      </c>
      <c r="N1100" s="2" t="s">
        <v>33</v>
      </c>
      <c r="O1100" s="2">
        <v>70.0</v>
      </c>
      <c r="P1100" s="2">
        <v>22.0</v>
      </c>
      <c r="Q1100" s="2">
        <v>20.0</v>
      </c>
      <c r="R1100" s="2">
        <v>1.0</v>
      </c>
      <c r="S1100" s="3" t="s">
        <v>4504</v>
      </c>
      <c r="T1100" s="2" t="s">
        <v>4505</v>
      </c>
      <c r="Y1100" s="4" t="str">
        <f>IFERROR(__xludf.DUMMYFUNCTION("""COMPUTED_VALUE"""),"6.8212191")</f>
        <v>6.8212191</v>
      </c>
      <c r="Z1100" s="4" t="str">
        <f>IFERROR(__xludf.DUMMYFUNCTION("""COMPUTED_VALUE"""),"3.1939778")</f>
        <v>3.1939778</v>
      </c>
      <c r="AA1100" s="4" t="str">
        <f t="shared" si="1"/>
        <v>Neighbor</v>
      </c>
      <c r="AC1100" s="4">
        <f>IFERROR(__xludf.DUMMYFUNCTION("IFERROR(ABS(O1100-AVERAGE(FILTER(O1100:O5168,AA1100:AA5168=""Neighbor""))) / STDEV(FILTER(O1100:O5168, AA1100:AA5168 =""Neighbor"")), """")"),0.15784191513415918)</f>
        <v>0.1578419151</v>
      </c>
      <c r="AD1100" s="4">
        <f>IFERROR(__xludf.DUMMYFUNCTION("IFERROR(ABS(P1100-AVERAGE(FILTER(O1100:P5168,AA1100:AA5168=""Neighbor""))) / STDEV(FILTER(P1100:P5168, AA1100:AA5168 =""Neighbor"")), """")"),0.8176895646987907)</f>
        <v>0.8176895647</v>
      </c>
      <c r="AE1100" s="2">
        <f>IFERROR(__xludf.DUMMYFUNCTION("IFERROR(ABS(Q1100-AVERAGE(FILTER(Q1100:Q5168,AA1100:AA5168=""Neighbor""))) / STDEV(FILTER(Q1100:Q5168, AA1100:AA5168 =""Neighbor"")), """")"),0.19380964431050673)</f>
        <v>0.1938096443</v>
      </c>
      <c r="AF1100" s="2">
        <f>IFERROR(__xludf.DUMMYFUNCTION("IFERROR(ABS(R1100-AVERAGE(FILTER(R1100:R5168,AA1100:AA5168=""Neighbor""))) / STDEV(FILTER(R1100:R5168, AA1100:AA5168 =""Neighbor"")), """")"),0.8677311346120491)</f>
        <v>0.8677311346</v>
      </c>
    </row>
    <row r="1101">
      <c r="A1101" s="2" t="s">
        <v>28</v>
      </c>
      <c r="B1101" s="2" t="s">
        <v>4358</v>
      </c>
      <c r="C1101" s="2" t="s">
        <v>4437</v>
      </c>
      <c r="D1101" s="2" t="s">
        <v>4506</v>
      </c>
      <c r="E1101" s="2" t="s">
        <v>4507</v>
      </c>
      <c r="F1101" s="2">
        <v>70.0</v>
      </c>
      <c r="G1101" s="2">
        <v>454.0</v>
      </c>
      <c r="H1101" s="2" t="b">
        <v>1</v>
      </c>
      <c r="I1101" s="2">
        <v>-1.0</v>
      </c>
      <c r="J1101" s="2" t="b">
        <v>0</v>
      </c>
      <c r="K1101" s="2" t="b">
        <v>1</v>
      </c>
      <c r="L1101" s="2" t="b">
        <v>0</v>
      </c>
      <c r="M1101" s="2" t="b">
        <v>0</v>
      </c>
      <c r="N1101" s="2" t="s">
        <v>33</v>
      </c>
      <c r="O1101" s="2">
        <v>48.0</v>
      </c>
      <c r="P1101" s="2">
        <v>3.0</v>
      </c>
      <c r="Q1101" s="2">
        <v>9.0</v>
      </c>
      <c r="R1101" s="2">
        <v>0.0</v>
      </c>
      <c r="S1101" s="3" t="s">
        <v>4508</v>
      </c>
      <c r="T1101" s="2" t="s">
        <v>4509</v>
      </c>
      <c r="Y1101" s="4" t="str">
        <f>IFERROR(__xludf.DUMMYFUNCTION("""COMPUTED_VALUE"""),"6.8166814")</f>
        <v>6.8166814</v>
      </c>
      <c r="Z1101" s="4" t="str">
        <f>IFERROR(__xludf.DUMMYFUNCTION("""COMPUTED_VALUE"""),"3.1921506")</f>
        <v>3.1921506</v>
      </c>
      <c r="AA1101" s="4" t="str">
        <f t="shared" si="1"/>
        <v>Not Neighbor</v>
      </c>
      <c r="AC1101" s="4">
        <f>IFERROR(__xludf.DUMMYFUNCTION("IFERROR(ABS(O1101-AVERAGE(FILTER(O1101:O5169,AA1101:AA5169=""Neighbor""))) / STDEV(FILTER(O1101:O5169, AA1101:AA5169 =""Neighbor"")), """")"),0.3725051916457185)</f>
        <v>0.3725051916</v>
      </c>
      <c r="AD1101" s="4">
        <f>IFERROR(__xludf.DUMMYFUNCTION("IFERROR(ABS(P1101-AVERAGE(FILTER(O1101:P5169,AA1101:AA5169=""Neighbor""))) / STDEV(FILTER(P1101:P5169, AA1101:AA5169 =""Neighbor"")), """")"),1.6919995467817428)</f>
        <v>1.691999547</v>
      </c>
      <c r="AE1101" s="2">
        <f>IFERROR(__xludf.DUMMYFUNCTION("IFERROR(ABS(Q1101-AVERAGE(FILTER(Q1101:Q5169,AA1101:AA5169=""Neighbor""))) / STDEV(FILTER(Q1101:Q5169, AA1101:AA5169 =""Neighbor"")), """")"),0.6463214940203069)</f>
        <v>0.646321494</v>
      </c>
      <c r="AF1101" s="2">
        <f>IFERROR(__xludf.DUMMYFUNCTION("IFERROR(ABS(R1101-AVERAGE(FILTER(R1101:R5169,AA1101:AA5169=""Neighbor""))) / STDEV(FILTER(R1101:R5169, AA1101:AA5169 =""Neighbor"")), """")"),0.3490857649179466)</f>
        <v>0.3490857649</v>
      </c>
    </row>
    <row r="1102">
      <c r="A1102" s="2" t="s">
        <v>28</v>
      </c>
      <c r="B1102" s="2" t="s">
        <v>4358</v>
      </c>
      <c r="C1102" s="2" t="s">
        <v>4510</v>
      </c>
      <c r="D1102" s="2" t="s">
        <v>4511</v>
      </c>
      <c r="E1102" s="2" t="s">
        <v>4512</v>
      </c>
      <c r="F1102" s="2">
        <v>161.0</v>
      </c>
      <c r="G1102" s="2">
        <v>1685.0</v>
      </c>
      <c r="H1102" s="2" t="b">
        <v>1</v>
      </c>
      <c r="I1102" s="2">
        <v>-1.0</v>
      </c>
      <c r="J1102" s="2" t="b">
        <v>0</v>
      </c>
      <c r="K1102" s="2" t="b">
        <v>0</v>
      </c>
      <c r="L1102" s="2" t="b">
        <v>0</v>
      </c>
      <c r="M1102" s="2" t="b">
        <v>0</v>
      </c>
      <c r="N1102" s="2" t="s">
        <v>33</v>
      </c>
      <c r="O1102" s="2">
        <v>104.0</v>
      </c>
      <c r="P1102" s="2">
        <v>20.0</v>
      </c>
      <c r="Q1102" s="2">
        <v>26.0</v>
      </c>
      <c r="R1102" s="2">
        <v>1.0</v>
      </c>
      <c r="S1102" s="3" t="s">
        <v>4513</v>
      </c>
      <c r="T1102" s="2" t="s">
        <v>4514</v>
      </c>
      <c r="Y1102" s="4" t="str">
        <f>IFERROR(__xludf.DUMMYFUNCTION("""COMPUTED_VALUE"""),"6.74041")</f>
        <v>6.74041</v>
      </c>
      <c r="Z1102" s="4" t="str">
        <f>IFERROR(__xludf.DUMMYFUNCTION("""COMPUTED_VALUE"""),"3.26072")</f>
        <v>3.26072</v>
      </c>
      <c r="AA1102" s="4" t="str">
        <f t="shared" si="1"/>
        <v>Neighbor</v>
      </c>
      <c r="AC1102" s="4">
        <f>IFERROR(__xludf.DUMMYFUNCTION("IFERROR(ABS(O1102-AVERAGE(FILTER(O1102:O5170,AA1102:AA5170=""Neighbor""))) / STDEV(FILTER(O1102:O5170, AA1102:AA5170 =""Neighbor"")), """")"),0.9776335592157691)</f>
        <v>0.9776335592</v>
      </c>
      <c r="AD1102" s="4">
        <f>IFERROR(__xludf.DUMMYFUNCTION("IFERROR(ABS(P1102-AVERAGE(FILTER(O1102:P5170,AA1102:AA5170=""Neighbor""))) / STDEV(FILTER(P1102:P5170, AA1102:AA5170 =""Neighbor"")), """")"),0.9092463358117354)</f>
        <v>0.9092463358</v>
      </c>
      <c r="AE1102" s="2">
        <f>IFERROR(__xludf.DUMMYFUNCTION("IFERROR(ABS(Q1102-AVERAGE(FILTER(Q1102:Q5170,AA1102:AA5170=""Neighbor""))) / STDEV(FILTER(Q1102:Q5170, AA1102:AA5170 =""Neighbor"")), """")"),0.0528910036277673)</f>
        <v>0.05289100363</v>
      </c>
      <c r="AF1102" s="2">
        <f>IFERROR(__xludf.DUMMYFUNCTION("IFERROR(ABS(R1102-AVERAGE(FILTER(R1102:R5170,AA1102:AA5170=""Neighbor""))) / STDEV(FILTER(R1102:R5170, AA1102:AA5170 =""Neighbor"")), """")"),0.8683386854365636)</f>
        <v>0.8683386854</v>
      </c>
    </row>
    <row r="1103">
      <c r="A1103" s="2" t="s">
        <v>28</v>
      </c>
      <c r="B1103" s="2" t="s">
        <v>4358</v>
      </c>
      <c r="C1103" s="2" t="s">
        <v>4510</v>
      </c>
      <c r="D1103" s="2" t="s">
        <v>4515</v>
      </c>
      <c r="E1103" s="2" t="s">
        <v>4516</v>
      </c>
      <c r="F1103" s="2">
        <v>138.0</v>
      </c>
      <c r="G1103" s="2">
        <v>1472.0</v>
      </c>
      <c r="H1103" s="2" t="b">
        <v>1</v>
      </c>
      <c r="I1103" s="2">
        <v>-1.0</v>
      </c>
      <c r="J1103" s="2" t="b">
        <v>0</v>
      </c>
      <c r="K1103" s="2" t="b">
        <v>0</v>
      </c>
      <c r="L1103" s="2" t="b">
        <v>0</v>
      </c>
      <c r="M1103" s="2" t="b">
        <v>0</v>
      </c>
      <c r="N1103" s="2" t="s">
        <v>33</v>
      </c>
      <c r="O1103" s="2">
        <v>80.0</v>
      </c>
      <c r="P1103" s="2">
        <v>18.0</v>
      </c>
      <c r="Q1103" s="2">
        <v>21.0</v>
      </c>
      <c r="R1103" s="2">
        <v>5.0</v>
      </c>
      <c r="S1103" s="3" t="s">
        <v>4517</v>
      </c>
      <c r="T1103" s="2" t="s">
        <v>4518</v>
      </c>
      <c r="Y1103" s="4" t="str">
        <f>IFERROR(__xludf.DUMMYFUNCTION("""COMPUTED_VALUE"""),"6.74041")</f>
        <v>6.74041</v>
      </c>
      <c r="Z1103" s="4" t="str">
        <f>IFERROR(__xludf.DUMMYFUNCTION("""COMPUTED_VALUE"""),"3.26072")</f>
        <v>3.26072</v>
      </c>
      <c r="AA1103" s="4" t="str">
        <f t="shared" si="1"/>
        <v>Neighbor</v>
      </c>
      <c r="AC1103" s="4">
        <f>IFERROR(__xludf.DUMMYFUNCTION("IFERROR(ABS(O1103-AVERAGE(FILTER(O1103:O5171,AA1103:AA5171=""Neighbor""))) / STDEV(FILTER(O1103:O5171, AA1103:AA5171 =""Neighbor"")), """")"),0.3997771966064811)</f>
        <v>0.3997771966</v>
      </c>
      <c r="AD1103" s="4">
        <f>IFERROR(__xludf.DUMMYFUNCTION("IFERROR(ABS(P1103-AVERAGE(FILTER(O1103:P5171,AA1103:AA5171=""Neighbor""))) / STDEV(FILTER(P1103:P5171, AA1103:AA5171 =""Neighbor"")), """")"),1.0001292199655971)</f>
        <v>1.00012922</v>
      </c>
      <c r="AE1103" s="2">
        <f>IFERROR(__xludf.DUMMYFUNCTION("IFERROR(ABS(Q1103-AVERAGE(FILTER(Q1103:Q5171,AA1103:AA5171=""Neighbor""))) / STDEV(FILTER(Q1103:Q5171, AA1103:AA5171 =""Neighbor"")), """")"),0.1526565724620044)</f>
        <v>0.1526565725</v>
      </c>
      <c r="AF1103" s="2">
        <f>IFERROR(__xludf.DUMMYFUNCTION("IFERROR(ABS(R1103-AVERAGE(FILTER(R1103:R5171,AA1103:AA5171=""Neighbor""))) / STDEV(FILTER(R1103:R5171, AA1103:AA5171 =""Neighbor"")), """")"),5.738167405606764)</f>
        <v>5.738167406</v>
      </c>
    </row>
    <row r="1104">
      <c r="A1104" s="2" t="s">
        <v>28</v>
      </c>
      <c r="B1104" s="2" t="s">
        <v>4358</v>
      </c>
      <c r="C1104" s="2" t="s">
        <v>4510</v>
      </c>
      <c r="D1104" s="2" t="s">
        <v>4519</v>
      </c>
      <c r="E1104" s="2" t="s">
        <v>4520</v>
      </c>
      <c r="F1104" s="2">
        <v>96.0</v>
      </c>
      <c r="G1104" s="2">
        <v>985.0</v>
      </c>
      <c r="H1104" s="2" t="b">
        <v>1</v>
      </c>
      <c r="I1104" s="2">
        <v>-1.0</v>
      </c>
      <c r="J1104" s="2" t="b">
        <v>0</v>
      </c>
      <c r="K1104" s="2" t="b">
        <v>0</v>
      </c>
      <c r="L1104" s="2" t="b">
        <v>0</v>
      </c>
      <c r="M1104" s="2" t="b">
        <v>0</v>
      </c>
      <c r="N1104" s="2" t="s">
        <v>33</v>
      </c>
      <c r="O1104" s="2">
        <v>59.0</v>
      </c>
      <c r="P1104" s="2">
        <v>14.0</v>
      </c>
      <c r="Q1104" s="2">
        <v>13.0</v>
      </c>
      <c r="R1104" s="2">
        <v>0.0</v>
      </c>
      <c r="S1104" s="3" t="s">
        <v>4521</v>
      </c>
      <c r="T1104" s="2" t="s">
        <v>4522</v>
      </c>
      <c r="Y1104" s="4" t="str">
        <f>IFERROR(__xludf.DUMMYFUNCTION("""COMPUTED_VALUE"""),"6.74041")</f>
        <v>6.74041</v>
      </c>
      <c r="Z1104" s="4" t="str">
        <f>IFERROR(__xludf.DUMMYFUNCTION("""COMPUTED_VALUE"""),"3.26072")</f>
        <v>3.26072</v>
      </c>
      <c r="AA1104" s="4" t="str">
        <f t="shared" si="1"/>
        <v>Not Neighbor</v>
      </c>
      <c r="AC1104" s="4">
        <f>IFERROR(__xludf.DUMMYFUNCTION("IFERROR(ABS(O1104-AVERAGE(FILTER(O1104:O5172,AA1104:AA5172=""Neighbor""))) / STDEV(FILTER(O1104:O5172, AA1104:AA5172 =""Neighbor"")), """")"),0.10616051550806811)</f>
        <v>0.1061605155</v>
      </c>
      <c r="AD1104" s="4">
        <f>IFERROR(__xludf.DUMMYFUNCTION("IFERROR(ABS(P1104-AVERAGE(FILTER(O1104:P5172,AA1104:AA5172=""Neighbor""))) / STDEV(FILTER(P1104:P5172, AA1104:AA5172 =""Neighbor"")), """")"),1.1834241088912973)</f>
        <v>1.183424109</v>
      </c>
      <c r="AE1104" s="2">
        <f>IFERROR(__xludf.DUMMYFUNCTION("IFERROR(ABS(Q1104-AVERAGE(FILTER(Q1104:Q5172,AA1104:AA5172=""Neighbor""))) / STDEV(FILTER(Q1104:Q5172, AA1104:AA5172 =""Neighbor"")), """")"),0.481500481515866)</f>
        <v>0.4815004815</v>
      </c>
      <c r="AF1104" s="2">
        <f>IFERROR(__xludf.DUMMYFUNCTION("IFERROR(ABS(R1104-AVERAGE(FILTER(R1104:R5172,AA1104:AA5172=""Neighbor""))) / STDEV(FILTER(R1104:R5172, AA1104:AA5172 =""Neighbor"")), """")"),0.34825039358734466)</f>
        <v>0.3482503936</v>
      </c>
    </row>
    <row r="1105">
      <c r="A1105" s="2" t="s">
        <v>28</v>
      </c>
      <c r="B1105" s="2" t="s">
        <v>4358</v>
      </c>
      <c r="C1105" s="2" t="s">
        <v>4510</v>
      </c>
      <c r="D1105" s="2" t="s">
        <v>4523</v>
      </c>
      <c r="E1105" s="2" t="s">
        <v>4524</v>
      </c>
      <c r="F1105" s="2">
        <v>69.0</v>
      </c>
      <c r="G1105" s="2">
        <v>750.0</v>
      </c>
      <c r="H1105" s="2" t="b">
        <v>1</v>
      </c>
      <c r="I1105" s="2">
        <v>-1.0</v>
      </c>
      <c r="J1105" s="2" t="b">
        <v>0</v>
      </c>
      <c r="K1105" s="2" t="b">
        <v>0</v>
      </c>
      <c r="L1105" s="2" t="b">
        <v>0</v>
      </c>
      <c r="M1105" s="2" t="b">
        <v>0</v>
      </c>
      <c r="N1105" s="2" t="s">
        <v>33</v>
      </c>
      <c r="O1105" s="2">
        <v>46.0</v>
      </c>
      <c r="P1105" s="2">
        <v>9.0</v>
      </c>
      <c r="Q1105" s="2">
        <v>10.0</v>
      </c>
      <c r="R1105" s="2">
        <v>0.0</v>
      </c>
      <c r="S1105" s="3" t="s">
        <v>4525</v>
      </c>
      <c r="T1105" s="2" t="s">
        <v>4526</v>
      </c>
      <c r="Y1105" s="4" t="str">
        <f>IFERROR(__xludf.DUMMYFUNCTION("""COMPUTED_VALUE"""),"6.6879349")</f>
        <v>6.6879349</v>
      </c>
      <c r="Z1105" s="4" t="str">
        <f>IFERROR(__xludf.DUMMYFUNCTION("""COMPUTED_VALUE"""),"3.3047644")</f>
        <v>3.3047644</v>
      </c>
      <c r="AA1105" s="4" t="str">
        <f t="shared" si="1"/>
        <v>Neighbor</v>
      </c>
      <c r="AC1105" s="4">
        <f>IFERROR(__xludf.DUMMYFUNCTION("IFERROR(ABS(O1105-AVERAGE(FILTER(O1105:O5173,AA1105:AA5173=""Neighbor""))) / STDEV(FILTER(O1105:O5173, AA1105:AA5173 =""Neighbor"")), """")"),0.41947478666791305)</f>
        <v>0.4194747867</v>
      </c>
      <c r="AD1105" s="4">
        <f>IFERROR(__xludf.DUMMYFUNCTION("IFERROR(ABS(P1105-AVERAGE(FILTER(O1105:P5173,AA1105:AA5173=""Neighbor""))) / STDEV(FILTER(P1105:P5173, AA1105:AA5173 =""Neighbor"")), """")"),1.4134653399175194)</f>
        <v>1.41346534</v>
      </c>
      <c r="AE1105" s="2">
        <f>IFERROR(__xludf.DUMMYFUNCTION("IFERROR(ABS(Q1105-AVERAGE(FILTER(Q1105:Q5173,AA1105:AA5173=""Neighbor""))) / STDEV(FILTER(Q1105:Q5173, AA1105:AA5173 =""Neighbor"")), """")"),0.6047935375544115)</f>
        <v>0.6047935376</v>
      </c>
      <c r="AF1105" s="2">
        <f>IFERROR(__xludf.DUMMYFUNCTION("IFERROR(ABS(R1105-AVERAGE(FILTER(R1105:R5173,AA1105:AA5173=""Neighbor""))) / STDEV(FILTER(R1105:R5173, AA1105:AA5173 =""Neighbor"")), """")"),0.34825039358734466)</f>
        <v>0.3482503936</v>
      </c>
    </row>
    <row r="1106">
      <c r="A1106" s="2" t="s">
        <v>28</v>
      </c>
      <c r="B1106" s="2" t="s">
        <v>4358</v>
      </c>
      <c r="C1106" s="2" t="s">
        <v>4510</v>
      </c>
      <c r="D1106" s="2" t="s">
        <v>4527</v>
      </c>
      <c r="E1106" s="2" t="s">
        <v>4528</v>
      </c>
      <c r="F1106" s="2">
        <v>79.0</v>
      </c>
      <c r="G1106" s="2">
        <v>809.0</v>
      </c>
      <c r="H1106" s="2" t="b">
        <v>1</v>
      </c>
      <c r="I1106" s="2">
        <v>-1.0</v>
      </c>
      <c r="J1106" s="2" t="b">
        <v>0</v>
      </c>
      <c r="K1106" s="2" t="b">
        <v>0</v>
      </c>
      <c r="L1106" s="2" t="b">
        <v>0</v>
      </c>
      <c r="M1106" s="2" t="b">
        <v>0</v>
      </c>
      <c r="N1106" s="2" t="s">
        <v>33</v>
      </c>
      <c r="O1106" s="2">
        <v>44.0</v>
      </c>
      <c r="P1106" s="2">
        <v>13.0</v>
      </c>
      <c r="Q1106" s="2">
        <v>12.0</v>
      </c>
      <c r="R1106" s="2">
        <v>1.0</v>
      </c>
      <c r="S1106" s="3" t="s">
        <v>4529</v>
      </c>
      <c r="T1106" s="2" t="s">
        <v>4530</v>
      </c>
      <c r="Y1106" s="4" t="str">
        <f>IFERROR(__xludf.DUMMYFUNCTION("""COMPUTED_VALUE"""),"6.6856857")</f>
        <v>6.6856857</v>
      </c>
      <c r="Z1106" s="4" t="str">
        <f>IFERROR(__xludf.DUMMYFUNCTION("""COMPUTED_VALUE"""),"3.3008104")</f>
        <v>3.3008104</v>
      </c>
      <c r="AA1106" s="4" t="str">
        <f t="shared" si="1"/>
        <v>Neighbor</v>
      </c>
      <c r="AC1106" s="4">
        <f>IFERROR(__xludf.DUMMYFUNCTION("IFERROR(ABS(O1106-AVERAGE(FILTER(O1106:O5174,AA1106:AA5174=""Neighbor""))) / STDEV(FILTER(O1106:O5174, AA1106:AA5174 =""Neighbor"")), """")"),0.4678584216981383)</f>
        <v>0.4678584217</v>
      </c>
      <c r="AD1106" s="4">
        <f>IFERROR(__xludf.DUMMYFUNCTION("IFERROR(ABS(P1106-AVERAGE(FILTER(O1106:P5174,AA1106:AA5174=""Neighbor""))) / STDEV(FILTER(P1106:P5174, AA1106:AA5174 =""Neighbor"")), """")"),1.229441784260155)</f>
        <v>1.229441784</v>
      </c>
      <c r="AE1106" s="2">
        <f>IFERROR(__xludf.DUMMYFUNCTION("IFERROR(ABS(Q1106-AVERAGE(FILTER(Q1106:Q5174,AA1106:AA5174=""Neighbor""))) / STDEV(FILTER(Q1106:Q5174, AA1106:AA5174 =""Neighbor"")), """")"),0.5229495876478761)</f>
        <v>0.5229495876</v>
      </c>
      <c r="AF1106" s="2">
        <f>IFERROR(__xludf.DUMMYFUNCTION("IFERROR(ABS(R1106-AVERAGE(FILTER(R1106:R5174,AA1106:AA5174=""Neighbor""))) / STDEV(FILTER(R1106:R5174, AA1106:AA5174 =""Neighbor"")), """")"),0.8843408187136279)</f>
        <v>0.8843408187</v>
      </c>
    </row>
    <row r="1107">
      <c r="A1107" s="2" t="s">
        <v>28</v>
      </c>
      <c r="B1107" s="2" t="s">
        <v>4358</v>
      </c>
      <c r="C1107" s="2" t="s">
        <v>4510</v>
      </c>
      <c r="D1107" s="2" t="s">
        <v>4531</v>
      </c>
      <c r="E1107" s="2" t="s">
        <v>4532</v>
      </c>
      <c r="F1107" s="2">
        <v>88.0</v>
      </c>
      <c r="G1107" s="2">
        <v>750.0</v>
      </c>
      <c r="H1107" s="2" t="b">
        <v>1</v>
      </c>
      <c r="I1107" s="2">
        <v>-1.0</v>
      </c>
      <c r="J1107" s="2" t="b">
        <v>0</v>
      </c>
      <c r="K1107" s="2" t="b">
        <v>0</v>
      </c>
      <c r="L1107" s="2" t="b">
        <v>0</v>
      </c>
      <c r="M1107" s="2" t="b">
        <v>0</v>
      </c>
      <c r="N1107" s="2" t="s">
        <v>33</v>
      </c>
      <c r="O1107" s="2">
        <v>54.0</v>
      </c>
      <c r="P1107" s="2">
        <v>9.0</v>
      </c>
      <c r="Q1107" s="2">
        <v>18.0</v>
      </c>
      <c r="R1107" s="2">
        <v>0.0</v>
      </c>
      <c r="S1107" s="3" t="s">
        <v>4533</v>
      </c>
      <c r="T1107" s="2" t="s">
        <v>4534</v>
      </c>
      <c r="Y1107" s="4" t="str">
        <f>IFERROR(__xludf.DUMMYFUNCTION("""COMPUTED_VALUE"""),"6.6879349")</f>
        <v>6.6879349</v>
      </c>
      <c r="Z1107" s="4" t="str">
        <f>IFERROR(__xludf.DUMMYFUNCTION("""COMPUTED_VALUE"""),"3.3047644")</f>
        <v>3.3047644</v>
      </c>
      <c r="AA1107" s="4" t="str">
        <f t="shared" si="1"/>
        <v>Not Neighbor</v>
      </c>
      <c r="AC1107" s="4">
        <f>IFERROR(__xludf.DUMMYFUNCTION("IFERROR(ABS(O1107-AVERAGE(FILTER(O1107:O5175,AA1107:AA5175=""Neighbor""))) / STDEV(FILTER(O1107:O5175, AA1107:AA5175 =""Neighbor"")), """")"),0.22723070551850502)</f>
        <v>0.2272307055</v>
      </c>
      <c r="AD1107" s="4">
        <f>IFERROR(__xludf.DUMMYFUNCTION("IFERROR(ABS(P1107-AVERAGE(FILTER(O1107:P5175,AA1107:AA5175=""Neighbor""))) / STDEV(FILTER(P1107:P5175, AA1107:AA5175 =""Neighbor"")), """")"),1.413267294597472)</f>
        <v>1.413267295</v>
      </c>
      <c r="AE1107" s="2">
        <f>IFERROR(__xludf.DUMMYFUNCTION("IFERROR(ABS(Q1107-AVERAGE(FILTER(Q1107:Q5175,AA1107:AA5175=""Neighbor""))) / STDEV(FILTER(Q1107:Q5175, AA1107:AA5175 =""Neighbor"")), """")"),0.2767645217235334)</f>
        <v>0.2767645217</v>
      </c>
      <c r="AF1107" s="2">
        <f>IFERROR(__xludf.DUMMYFUNCTION("IFERROR(ABS(R1107-AVERAGE(FILTER(R1107:R5175,AA1107:AA5175=""Neighbor""))) / STDEV(FILTER(R1107:R5175, AA1107:AA5175 =""Neighbor"")), """")"),0.34766769574570566)</f>
        <v>0.3476676957</v>
      </c>
    </row>
    <row r="1108">
      <c r="A1108" s="2" t="s">
        <v>28</v>
      </c>
      <c r="B1108" s="2" t="s">
        <v>4358</v>
      </c>
      <c r="C1108" s="2" t="s">
        <v>4510</v>
      </c>
      <c r="D1108" s="2" t="s">
        <v>4535</v>
      </c>
      <c r="E1108" s="2" t="s">
        <v>4536</v>
      </c>
      <c r="F1108" s="2">
        <v>173.0</v>
      </c>
      <c r="G1108" s="2">
        <v>1428.0</v>
      </c>
      <c r="H1108" s="2" t="b">
        <v>1</v>
      </c>
      <c r="I1108" s="2">
        <v>-1.0</v>
      </c>
      <c r="J1108" s="2" t="b">
        <v>1</v>
      </c>
      <c r="K1108" s="2" t="b">
        <v>0</v>
      </c>
      <c r="L1108" s="2" t="b">
        <v>0</v>
      </c>
      <c r="M1108" s="2" t="b">
        <v>0</v>
      </c>
      <c r="N1108" s="2" t="s">
        <v>33</v>
      </c>
      <c r="O1108" s="2">
        <v>98.0</v>
      </c>
      <c r="P1108" s="2">
        <v>36.0</v>
      </c>
      <c r="Q1108" s="2">
        <v>9.0</v>
      </c>
      <c r="R1108" s="2">
        <v>1.0</v>
      </c>
      <c r="S1108" s="3" t="s">
        <v>4537</v>
      </c>
      <c r="T1108" s="2" t="s">
        <v>4538</v>
      </c>
      <c r="Y1108" s="4" t="str">
        <f>IFERROR(__xludf.DUMMYFUNCTION("""COMPUTED_VALUE"""),"6.6913997")</f>
        <v>6.6913997</v>
      </c>
      <c r="Z1108" s="4" t="str">
        <f>IFERROR(__xludf.DUMMYFUNCTION("""COMPUTED_VALUE"""),"3.2867507")</f>
        <v>3.2867507</v>
      </c>
      <c r="AA1108" s="4" t="str">
        <f t="shared" si="1"/>
        <v>Not Neighbor</v>
      </c>
      <c r="AC1108" s="4">
        <f>IFERROR(__xludf.DUMMYFUNCTION("IFERROR(ABS(O1108-AVERAGE(FILTER(O1108:O5176,AA1108:AA5176=""Neighbor""))) / STDEV(FILTER(O1108:O5176, AA1108:AA5176 =""Neighbor"")), """")"),0.8325359414521211)</f>
        <v>0.8325359415</v>
      </c>
      <c r="AD1108" s="4">
        <f>IFERROR(__xludf.DUMMYFUNCTION("IFERROR(ABS(P1108-AVERAGE(FILTER(O1108:P5176,AA1108:AA5176=""Neighbor""))) / STDEV(FILTER(P1108:P5176, AA1108:AA5176 =""Neighbor"")), """")"),0.1719776972156107)</f>
        <v>0.1719776972</v>
      </c>
      <c r="AE1108" s="2">
        <f>IFERROR(__xludf.DUMMYFUNCTION("IFERROR(ABS(Q1108-AVERAGE(FILTER(Q1108:Q5176,AA1108:AA5176=""Neighbor""))) / STDEV(FILTER(Q1108:Q5176, AA1108:AA5176 =""Neighbor"")), """")"),0.6464421418922486)</f>
        <v>0.6464421419</v>
      </c>
      <c r="AF1108" s="2">
        <f>IFERROR(__xludf.DUMMYFUNCTION("IFERROR(ABS(R1108-AVERAGE(FILTER(R1108:R5176,AA1108:AA5176=""Neighbor""))) / STDEV(FILTER(R1108:R5176, AA1108:AA5176 =""Neighbor"")), """")"),0.8849723164436144)</f>
        <v>0.8849723164</v>
      </c>
    </row>
    <row r="1109">
      <c r="A1109" s="2" t="s">
        <v>28</v>
      </c>
      <c r="B1109" s="2" t="s">
        <v>4358</v>
      </c>
      <c r="C1109" s="2" t="s">
        <v>4510</v>
      </c>
      <c r="D1109" s="2" t="s">
        <v>4539</v>
      </c>
      <c r="E1109" s="2" t="s">
        <v>4540</v>
      </c>
      <c r="F1109" s="2">
        <v>105.0</v>
      </c>
      <c r="G1109" s="2">
        <v>750.0</v>
      </c>
      <c r="H1109" s="2" t="b">
        <v>1</v>
      </c>
      <c r="I1109" s="2">
        <v>-1.0</v>
      </c>
      <c r="J1109" s="2" t="b">
        <v>1</v>
      </c>
      <c r="K1109" s="2" t="b">
        <v>0</v>
      </c>
      <c r="L1109" s="2" t="b">
        <v>0</v>
      </c>
      <c r="M1109" s="2" t="b">
        <v>0</v>
      </c>
      <c r="N1109" s="2" t="s">
        <v>33</v>
      </c>
      <c r="O1109" s="2">
        <v>10.0</v>
      </c>
      <c r="P1109" s="2">
        <v>66.0</v>
      </c>
      <c r="Q1109" s="2">
        <v>20.0</v>
      </c>
      <c r="R1109" s="2">
        <v>0.0</v>
      </c>
      <c r="S1109" s="3" t="s">
        <v>4541</v>
      </c>
      <c r="T1109" s="2" t="s">
        <v>4542</v>
      </c>
      <c r="Y1109" s="4" t="str">
        <f>IFERROR(__xludf.DUMMYFUNCTION("""COMPUTED_VALUE"""),"6.6873177")</f>
        <v>6.6873177</v>
      </c>
      <c r="Z1109" s="4" t="str">
        <f>IFERROR(__xludf.DUMMYFUNCTION("""COMPUTED_VALUE"""),"3.30213")</f>
        <v>3.30213</v>
      </c>
      <c r="AA1109" s="4" t="str">
        <f t="shared" si="1"/>
        <v>Not Neighbor</v>
      </c>
      <c r="AC1109" s="4">
        <f>IFERROR(__xludf.DUMMYFUNCTION("IFERROR(ABS(O1109-AVERAGE(FILTER(O1109:O5177,AA1109:AA5177=""Neighbor""))) / STDEV(FILTER(O1109:O5177, AA1109:AA5177 =""Neighbor"")), """")"),1.2869973524891312)</f>
        <v>1.286997352</v>
      </c>
      <c r="AD1109" s="4">
        <f>IFERROR(__xludf.DUMMYFUNCTION("IFERROR(ABS(P1109-AVERAGE(FILTER(O1109:P5177,AA1109:AA5177=""Neighbor""))) / STDEV(FILTER(P1109:P5177, AA1109:AA5177 =""Neighbor"")), """")"),1.207232966542013)</f>
        <v>1.207232967</v>
      </c>
      <c r="AE1109" s="2">
        <f>IFERROR(__xludf.DUMMYFUNCTION("IFERROR(ABS(Q1109-AVERAGE(FILTER(Q1109:Q5177,AA1109:AA5177=""Neighbor""))) / STDEV(FILTER(Q1109:Q5177, AA1109:AA5177 =""Neighbor"")), """")"),0.19461393946381886)</f>
        <v>0.1946139395</v>
      </c>
      <c r="AF1109" s="2">
        <f>IFERROR(__xludf.DUMMYFUNCTION("IFERROR(ABS(R1109-AVERAGE(FILTER(R1109:R5177,AA1109:AA5177=""Neighbor""))) / STDEV(FILTER(R1109:R5177, AA1109:AA5177 =""Neighbor"")), """")"),0.34766769574570566)</f>
        <v>0.3476676957</v>
      </c>
    </row>
    <row r="1110">
      <c r="A1110" s="2" t="s">
        <v>28</v>
      </c>
      <c r="B1110" s="2" t="s">
        <v>4358</v>
      </c>
      <c r="C1110" s="2" t="s">
        <v>4510</v>
      </c>
      <c r="D1110" s="2" t="s">
        <v>4543</v>
      </c>
      <c r="E1110" s="2" t="s">
        <v>4544</v>
      </c>
      <c r="F1110" s="2">
        <v>106.0</v>
      </c>
      <c r="G1110" s="2">
        <v>1270.0</v>
      </c>
      <c r="H1110" s="2" t="b">
        <v>1</v>
      </c>
      <c r="I1110" s="2">
        <v>-1.0</v>
      </c>
      <c r="J1110" s="2" t="b">
        <v>0</v>
      </c>
      <c r="K1110" s="2" t="b">
        <v>0</v>
      </c>
      <c r="L1110" s="2" t="b">
        <v>0</v>
      </c>
      <c r="M1110" s="2" t="b">
        <v>0</v>
      </c>
      <c r="N1110" s="2" t="s">
        <v>33</v>
      </c>
      <c r="O1110" s="2">
        <v>0.0</v>
      </c>
      <c r="P1110" s="2">
        <v>0.0</v>
      </c>
      <c r="Q1110" s="2">
        <v>0.0</v>
      </c>
      <c r="R1110" s="2">
        <v>0.0</v>
      </c>
      <c r="S1110" s="3" t="s">
        <v>4545</v>
      </c>
      <c r="T1110" s="2" t="s">
        <v>4546</v>
      </c>
      <c r="Y1110" s="4" t="str">
        <f>IFERROR(__xludf.DUMMYFUNCTION("""COMPUTED_VALUE"""),"6.3388274")</f>
        <v>6.3388274</v>
      </c>
      <c r="Z1110" s="4" t="str">
        <f>IFERROR(__xludf.DUMMYFUNCTION("""COMPUTED_VALUE"""),"5.6311732")</f>
        <v>5.6311732</v>
      </c>
      <c r="AA1110" s="4" t="str">
        <f t="shared" si="1"/>
        <v>Neighbor</v>
      </c>
      <c r="AC1110" s="4">
        <f>IFERROR(__xludf.DUMMYFUNCTION("IFERROR(ABS(O1110-AVERAGE(FILTER(O1110:O5178,AA1110:AA5178=""Neighbor""))) / STDEV(FILTER(O1110:O5178, AA1110:AA5178 =""Neighbor"")), """")"),1.527853408618819)</f>
        <v>1.527853409</v>
      </c>
      <c r="AD1110" s="4">
        <f>IFERROR(__xludf.DUMMYFUNCTION("IFERROR(ABS(P1110-AVERAGE(FILTER(O1110:P5178,AA1110:AA5178=""Neighbor""))) / STDEV(FILTER(P1110:P5178, AA1110:AA5178 =""Neighbor"")), """")"),1.827030493724759)</f>
        <v>1.827030494</v>
      </c>
      <c r="AE1110" s="2">
        <f>IFERROR(__xludf.DUMMYFUNCTION("IFERROR(ABS(Q1110-AVERAGE(FILTER(Q1110:Q5178,AA1110:AA5178=""Neighbor""))) / STDEV(FILTER(Q1110:Q5178, AA1110:AA5178 =""Neighbor"")), """")"),1.0161197620609639)</f>
        <v>1.016119762</v>
      </c>
      <c r="AF1110" s="2">
        <f>IFERROR(__xludf.DUMMYFUNCTION("IFERROR(ABS(R1110-AVERAGE(FILTER(R1110:R5178,AA1110:AA5178=""Neighbor""))) / STDEV(FILTER(R1110:R5178, AA1110:AA5178 =""Neighbor"")), """")"),0.34766769574570566)</f>
        <v>0.3476676957</v>
      </c>
    </row>
    <row r="1111">
      <c r="A1111" s="2" t="s">
        <v>28</v>
      </c>
      <c r="B1111" s="2" t="s">
        <v>4358</v>
      </c>
      <c r="C1111" s="2" t="s">
        <v>4510</v>
      </c>
      <c r="D1111" s="2" t="s">
        <v>4547</v>
      </c>
      <c r="E1111" s="2" t="s">
        <v>4548</v>
      </c>
      <c r="F1111" s="2">
        <v>102.0</v>
      </c>
      <c r="G1111" s="2">
        <v>1299.0</v>
      </c>
      <c r="H1111" s="2" t="b">
        <v>1</v>
      </c>
      <c r="I1111" s="2">
        <v>-1.0</v>
      </c>
      <c r="J1111" s="2" t="b">
        <v>0</v>
      </c>
      <c r="K1111" s="2" t="b">
        <v>1</v>
      </c>
      <c r="L1111" s="2" t="b">
        <v>0</v>
      </c>
      <c r="M1111" s="2" t="b">
        <v>0</v>
      </c>
      <c r="N1111" s="2" t="s">
        <v>33</v>
      </c>
      <c r="O1111" s="2">
        <v>58.0</v>
      </c>
      <c r="P1111" s="2">
        <v>6.0</v>
      </c>
      <c r="Q1111" s="2">
        <v>26.0</v>
      </c>
      <c r="R1111" s="2">
        <v>0.0</v>
      </c>
      <c r="S1111" s="3" t="s">
        <v>4549</v>
      </c>
      <c r="T1111" s="2" t="s">
        <v>4550</v>
      </c>
      <c r="Y1111" s="4" t="str">
        <f>IFERROR(__xludf.DUMMYFUNCTION("""COMPUTED_VALUE"""),"6.3388274")</f>
        <v>6.3388274</v>
      </c>
      <c r="Z1111" s="4" t="str">
        <f>IFERROR(__xludf.DUMMYFUNCTION("""COMPUTED_VALUE"""),"5.6311732")</f>
        <v>5.6311732</v>
      </c>
      <c r="AA1111" s="4" t="str">
        <f t="shared" si="1"/>
        <v>Neighbor</v>
      </c>
      <c r="AC1111" s="4">
        <f>IFERROR(__xludf.DUMMYFUNCTION("IFERROR(ABS(O1111-AVERAGE(FILTER(O1111:O5179,AA1111:AA5179=""Neighbor""))) / STDEV(FILTER(O1111:O5179, AA1111:AA5179 =""Neighbor"")), """")"),0.1321844024909799)</f>
        <v>0.1321844025</v>
      </c>
      <c r="AD1111" s="4">
        <f>IFERROR(__xludf.DUMMYFUNCTION("IFERROR(ABS(P1111-AVERAGE(FILTER(O1111:P5179,AA1111:AA5179=""Neighbor""))) / STDEV(FILTER(P1111:P5179, AA1111:AA5179 =""Neighbor"")), """")"),1.5523699118423886)</f>
        <v>1.552369912</v>
      </c>
      <c r="AE1111" s="2">
        <f>IFERROR(__xludf.DUMMYFUNCTION("IFERROR(ABS(Q1111-AVERAGE(FILTER(Q1111:Q5179,AA1111:AA5179=""Neighbor""))) / STDEV(FILTER(Q1111:Q5179, AA1111:AA5179 =""Neighbor"")), """")"),0.05102363824357055)</f>
        <v>0.05102363824</v>
      </c>
      <c r="AF1111" s="2">
        <f>IFERROR(__xludf.DUMMYFUNCTION("IFERROR(ABS(R1111-AVERAGE(FILTER(R1111:R5179,AA1111:AA5179=""Neighbor""))) / STDEV(FILTER(R1111:R5179, AA1111:AA5179 =""Neighbor"")), """")"),0.3478238289824799)</f>
        <v>0.347823829</v>
      </c>
    </row>
    <row r="1112">
      <c r="A1112" s="2" t="s">
        <v>28</v>
      </c>
      <c r="B1112" s="2" t="s">
        <v>4358</v>
      </c>
      <c r="C1112" s="2" t="s">
        <v>4510</v>
      </c>
      <c r="D1112" s="2" t="s">
        <v>4551</v>
      </c>
      <c r="E1112" s="2" t="s">
        <v>4552</v>
      </c>
      <c r="F1112" s="2">
        <v>109.0</v>
      </c>
      <c r="G1112" s="2">
        <v>1226.0</v>
      </c>
      <c r="H1112" s="2" t="b">
        <v>1</v>
      </c>
      <c r="I1112" s="2">
        <v>-1.0</v>
      </c>
      <c r="J1112" s="2" t="b">
        <v>0</v>
      </c>
      <c r="K1112" s="2" t="b">
        <v>0</v>
      </c>
      <c r="L1112" s="2" t="b">
        <v>0</v>
      </c>
      <c r="M1112" s="2" t="b">
        <v>0</v>
      </c>
      <c r="N1112" s="2" t="s">
        <v>33</v>
      </c>
      <c r="O1112" s="2">
        <v>55.0</v>
      </c>
      <c r="P1112" s="2">
        <v>12.0</v>
      </c>
      <c r="Q1112" s="2">
        <v>28.0</v>
      </c>
      <c r="R1112" s="2">
        <v>4.0</v>
      </c>
      <c r="S1112" s="3" t="s">
        <v>4553</v>
      </c>
      <c r="T1112" s="2" t="s">
        <v>4554</v>
      </c>
      <c r="Y1112" s="4" t="str">
        <f>IFERROR(__xludf.DUMMYFUNCTION("""COMPUTED_VALUE"""),"6.3388274")</f>
        <v>6.3388274</v>
      </c>
      <c r="Z1112" s="4" t="str">
        <f>IFERROR(__xludf.DUMMYFUNCTION("""COMPUTED_VALUE"""),"5.6311732")</f>
        <v>5.6311732</v>
      </c>
      <c r="AA1112" s="4" t="str">
        <f t="shared" si="1"/>
        <v>Not Neighbor</v>
      </c>
      <c r="AC1112" s="4">
        <f>IFERROR(__xludf.DUMMYFUNCTION("IFERROR(ABS(O1112-AVERAGE(FILTER(O1112:O5180,AA1112:AA5180=""Neighbor""))) / STDEV(FILTER(O1112:O5180, AA1112:AA5180 =""Neighbor"")), """")"),0.20450540298353265)</f>
        <v>0.204505403</v>
      </c>
      <c r="AD1112" s="4">
        <f>IFERROR(__xludf.DUMMYFUNCTION("IFERROR(ABS(P1112-AVERAGE(FILTER(O1112:P5180,AA1112:AA5180=""Neighbor""))) / STDEV(FILTER(P1112:P5180, AA1112:AA5180 =""Neighbor"")), """")"),1.276462029633544)</f>
        <v>1.27646203</v>
      </c>
      <c r="AE1112" s="2">
        <f>IFERROR(__xludf.DUMMYFUNCTION("IFERROR(ABS(Q1112-AVERAGE(FILTER(Q1112:Q5180,AA1112:AA5180=""Neighbor""))) / STDEV(FILTER(Q1112:Q5180, AA1112:AA5180 =""Neighbor"")), """")"),0.133162940062253)</f>
        <v>0.1331629401</v>
      </c>
      <c r="AF1112" s="2">
        <f>IFERROR(__xludf.DUMMYFUNCTION("IFERROR(ABS(R1112-AVERAGE(FILTER(R1112:R5180,AA1112:AA5180=""Neighbor""))) / STDEV(FILTER(R1112:R5180, AA1112:AA5180 =""Neighbor"")), """")"),4.5791027282056564)</f>
        <v>4.579102728</v>
      </c>
    </row>
    <row r="1113">
      <c r="A1113" s="2" t="s">
        <v>28</v>
      </c>
      <c r="B1113" s="2" t="s">
        <v>4358</v>
      </c>
      <c r="C1113" s="2" t="s">
        <v>4510</v>
      </c>
      <c r="D1113" s="2" t="s">
        <v>4555</v>
      </c>
      <c r="E1113" s="2" t="s">
        <v>4556</v>
      </c>
      <c r="F1113" s="2">
        <v>111.0</v>
      </c>
      <c r="G1113" s="2">
        <v>1341.0</v>
      </c>
      <c r="H1113" s="2" t="b">
        <v>1</v>
      </c>
      <c r="I1113" s="2">
        <v>-1.0</v>
      </c>
      <c r="J1113" s="2" t="b">
        <v>0</v>
      </c>
      <c r="K1113" s="2" t="b">
        <v>1</v>
      </c>
      <c r="L1113" s="2" t="b">
        <v>0</v>
      </c>
      <c r="M1113" s="2" t="b">
        <v>0</v>
      </c>
      <c r="N1113" s="2" t="s">
        <v>33</v>
      </c>
      <c r="O1113" s="2">
        <v>0.0</v>
      </c>
      <c r="P1113" s="2">
        <v>0.0</v>
      </c>
      <c r="Q1113" s="2">
        <v>0.0</v>
      </c>
      <c r="R1113" s="2">
        <v>0.0</v>
      </c>
      <c r="S1113" s="3" t="s">
        <v>4557</v>
      </c>
      <c r="T1113" s="2" t="s">
        <v>4558</v>
      </c>
      <c r="Y1113" s="4" t="str">
        <f>IFERROR(__xludf.DUMMYFUNCTION("""COMPUTED_VALUE"""),"6.6833376")</f>
        <v>6.6833376</v>
      </c>
      <c r="Z1113" s="4" t="str">
        <f>IFERROR(__xludf.DUMMYFUNCTION("""COMPUTED_VALUE"""),"3.3037766")</f>
        <v>3.3037766</v>
      </c>
      <c r="AA1113" s="4" t="str">
        <f t="shared" si="1"/>
        <v>Neighbor</v>
      </c>
      <c r="AC1113" s="4">
        <f>IFERROR(__xludf.DUMMYFUNCTION("IFERROR(ABS(O1113-AVERAGE(FILTER(O1113:O5181,AA1113:AA5181=""Neighbor""))) / STDEV(FILTER(O1113:O5181, AA1113:AA5181 =""Neighbor"")), """")"),1.529401911440849)</f>
        <v>1.529401911</v>
      </c>
      <c r="AD1113" s="4">
        <f>IFERROR(__xludf.DUMMYFUNCTION("IFERROR(ABS(P1113-AVERAGE(FILTER(O1113:P5181,AA1113:AA5181=""Neighbor""))) / STDEV(FILTER(P1113:P5181, AA1113:AA5181 =""Neighbor"")), """")"),1.827871499249456)</f>
        <v>1.827871499</v>
      </c>
      <c r="AE1113" s="2">
        <f>IFERROR(__xludf.DUMMYFUNCTION("IFERROR(ABS(Q1113-AVERAGE(FILTER(Q1113:Q5181,AA1113:AA5181=""Neighbor""))) / STDEV(FILTER(Q1113:Q5181, AA1113:AA5181 =""Neighbor"")), """")"),1.016500176218837)</f>
        <v>1.016500176</v>
      </c>
      <c r="AF1113" s="2">
        <f>IFERROR(__xludf.DUMMYFUNCTION("IFERROR(ABS(R1113-AVERAGE(FILTER(R1113:R5181,AA1113:AA5181=""Neighbor""))) / STDEV(FILTER(R1113:R5181, AA1113:AA5181 =""Neighbor"")), """")"),0.34798017278246784)</f>
        <v>0.3479801728</v>
      </c>
    </row>
    <row r="1114">
      <c r="A1114" s="2" t="s">
        <v>28</v>
      </c>
      <c r="B1114" s="2" t="s">
        <v>4358</v>
      </c>
      <c r="C1114" s="2" t="s">
        <v>4510</v>
      </c>
      <c r="D1114" s="2" t="s">
        <v>4559</v>
      </c>
      <c r="E1114" s="2" t="s">
        <v>4560</v>
      </c>
      <c r="F1114" s="2">
        <v>77.0</v>
      </c>
      <c r="G1114" s="2">
        <v>939.0</v>
      </c>
      <c r="H1114" s="2" t="b">
        <v>1</v>
      </c>
      <c r="I1114" s="2">
        <v>-1.0</v>
      </c>
      <c r="J1114" s="2" t="b">
        <v>0</v>
      </c>
      <c r="K1114" s="2" t="b">
        <v>0</v>
      </c>
      <c r="L1114" s="2" t="b">
        <v>0</v>
      </c>
      <c r="M1114" s="2" t="b">
        <v>0</v>
      </c>
      <c r="N1114" s="2" t="s">
        <v>33</v>
      </c>
      <c r="O1114" s="2">
        <v>47.0</v>
      </c>
      <c r="P1114" s="2">
        <v>10.0</v>
      </c>
      <c r="Q1114" s="2">
        <v>11.0</v>
      </c>
      <c r="R1114" s="2">
        <v>0.0</v>
      </c>
      <c r="S1114" s="3" t="s">
        <v>4561</v>
      </c>
      <c r="T1114" s="2" t="s">
        <v>4562</v>
      </c>
      <c r="Y1114" s="4" t="str">
        <f>IFERROR(__xludf.DUMMYFUNCTION("""COMPUTED_VALUE"""),"6.6879349")</f>
        <v>6.6879349</v>
      </c>
      <c r="Z1114" s="4" t="str">
        <f>IFERROR(__xludf.DUMMYFUNCTION("""COMPUTED_VALUE"""),"3.3047644")</f>
        <v>3.3047644</v>
      </c>
      <c r="AA1114" s="4" t="str">
        <f t="shared" si="1"/>
        <v>Not Neighbor</v>
      </c>
      <c r="AC1114" s="4">
        <f>IFERROR(__xludf.DUMMYFUNCTION("IFERROR(ABS(O1114-AVERAGE(FILTER(O1114:O5182,AA1114:AA5182=""Neighbor""))) / STDEV(FILTER(O1114:O5182, AA1114:AA5182 =""Neighbor"")), """")"),0.3986609805651038)</f>
        <v>0.3986609806</v>
      </c>
      <c r="AD1114" s="4">
        <f>IFERROR(__xludf.DUMMYFUNCTION("IFERROR(ABS(P1114-AVERAGE(FILTER(O1114:P5182,AA1114:AA5182=""Neighbor""))) / STDEV(FILTER(P1114:P5182, AA1114:AA5182 =""Neighbor"")), """")"),1.369581661848368)</f>
        <v>1.369581662</v>
      </c>
      <c r="AE1114" s="2">
        <f>IFERROR(__xludf.DUMMYFUNCTION("IFERROR(ABS(Q1114-AVERAGE(FILTER(Q1114:Q5182,AA1114:AA5182=""Neighbor""))) / STDEV(FILTER(Q1114:Q5182, AA1114:AA5182 =""Neighbor"")), """")"),0.5656710287124952)</f>
        <v>0.5656710287</v>
      </c>
      <c r="AF1114" s="2">
        <f>IFERROR(__xludf.DUMMYFUNCTION("IFERROR(ABS(R1114-AVERAGE(FILTER(R1114:R5182,AA1114:AA5182=""Neighbor""))) / STDEV(FILTER(R1114:R5182, AA1114:AA5182 =""Neighbor"")), """")"),0.3481367276194178)</f>
        <v>0.3481367276</v>
      </c>
    </row>
    <row r="1115">
      <c r="A1115" s="2" t="s">
        <v>28</v>
      </c>
      <c r="B1115" s="2" t="s">
        <v>4358</v>
      </c>
      <c r="C1115" s="2" t="s">
        <v>4510</v>
      </c>
      <c r="D1115" s="2" t="s">
        <v>4563</v>
      </c>
      <c r="E1115" s="2" t="s">
        <v>4564</v>
      </c>
      <c r="F1115" s="2">
        <v>122.0</v>
      </c>
      <c r="G1115" s="2">
        <v>1013.0</v>
      </c>
      <c r="H1115" s="2" t="b">
        <v>1</v>
      </c>
      <c r="I1115" s="2">
        <v>-1.0</v>
      </c>
      <c r="J1115" s="2" t="b">
        <v>0</v>
      </c>
      <c r="K1115" s="2" t="b">
        <v>0</v>
      </c>
      <c r="L1115" s="2" t="b">
        <v>0</v>
      </c>
      <c r="M1115" s="2" t="b">
        <v>0</v>
      </c>
      <c r="N1115" s="2" t="s">
        <v>33</v>
      </c>
      <c r="O1115" s="2">
        <v>78.0</v>
      </c>
      <c r="P1115" s="2">
        <v>14.0</v>
      </c>
      <c r="Q1115" s="2">
        <v>13.0</v>
      </c>
      <c r="R1115" s="2">
        <v>0.0</v>
      </c>
      <c r="S1115" s="3" t="s">
        <v>4565</v>
      </c>
      <c r="T1115" s="2" t="s">
        <v>4566</v>
      </c>
      <c r="Y1115" s="4" t="str">
        <f>IFERROR(__xludf.DUMMYFUNCTION("""COMPUTED_VALUE"""),"6.6901")</f>
        <v>6.6901</v>
      </c>
      <c r="Z1115" s="4" t="str">
        <f>IFERROR(__xludf.DUMMYFUNCTION("""COMPUTED_VALUE"""),"3.294")</f>
        <v>3.294</v>
      </c>
      <c r="AA1115" s="4" t="str">
        <f t="shared" si="1"/>
        <v>Not Neighbor</v>
      </c>
      <c r="AC1115" s="4">
        <f>IFERROR(__xludf.DUMMYFUNCTION("IFERROR(ABS(O1115-AVERAGE(FILTER(O1115:O5183,AA1115:AA5183=""Neighbor""))) / STDEV(FILTER(O1115:O5183, AA1115:AA5183 =""Neighbor"")), """")"),0.3485016739733405)</f>
        <v>0.348501674</v>
      </c>
      <c r="AD1115" s="4">
        <f>IFERROR(__xludf.DUMMYFUNCTION("IFERROR(ABS(P1115-AVERAGE(FILTER(O1115:P5183,AA1115:AA5183=""Neighbor""))) / STDEV(FILTER(P1115:P5183, AA1115:AA5183 =""Neighbor"")), """")"),1.185812065706567)</f>
        <v>1.185812066</v>
      </c>
      <c r="AE1115" s="2">
        <f>IFERROR(__xludf.DUMMYFUNCTION("IFERROR(ABS(Q1115-AVERAGE(FILTER(Q1115:Q5183,AA1115:AA5183=""Neighbor""))) / STDEV(FILTER(Q1115:Q5183, AA1115:AA5183 =""Neighbor"")), """")"),0.4835511090824746)</f>
        <v>0.4835511091</v>
      </c>
      <c r="AF1115" s="2">
        <f>IFERROR(__xludf.DUMMYFUNCTION("IFERROR(ABS(R1115-AVERAGE(FILTER(R1115:R5183,AA1115:AA5183=""Neighbor""))) / STDEV(FILTER(R1115:R5183, AA1115:AA5183 =""Neighbor"")), """")"),0.3481367276194178)</f>
        <v>0.3481367276</v>
      </c>
    </row>
    <row r="1116">
      <c r="A1116" s="2" t="s">
        <v>28</v>
      </c>
      <c r="B1116" s="2" t="s">
        <v>4358</v>
      </c>
      <c r="C1116" s="2" t="s">
        <v>4567</v>
      </c>
      <c r="D1116" s="2" t="s">
        <v>4568</v>
      </c>
      <c r="E1116" s="2" t="s">
        <v>4569</v>
      </c>
      <c r="F1116" s="2">
        <v>59.0</v>
      </c>
      <c r="G1116" s="2">
        <v>1168.0</v>
      </c>
      <c r="H1116" s="2" t="b">
        <v>1</v>
      </c>
      <c r="I1116" s="2">
        <v>-1.0</v>
      </c>
      <c r="J1116" s="2" t="b">
        <v>0</v>
      </c>
      <c r="K1116" s="2" t="b">
        <v>0</v>
      </c>
      <c r="L1116" s="2" t="b">
        <v>0</v>
      </c>
      <c r="M1116" s="2" t="b">
        <v>0</v>
      </c>
      <c r="N1116" s="2" t="s">
        <v>33</v>
      </c>
      <c r="O1116" s="2">
        <v>29.0</v>
      </c>
      <c r="P1116" s="2">
        <v>14.0</v>
      </c>
      <c r="Q1116" s="2">
        <v>2.0</v>
      </c>
      <c r="R1116" s="2">
        <v>0.0</v>
      </c>
      <c r="S1116" s="3" t="s">
        <v>4570</v>
      </c>
      <c r="T1116" s="2" t="s">
        <v>4571</v>
      </c>
      <c r="Y1116" s="4" t="str">
        <f>IFERROR(__xludf.DUMMYFUNCTION("""COMPUTED_VALUE"""),"6.6612648")</f>
        <v>6.6612648</v>
      </c>
      <c r="Z1116" s="4" t="str">
        <f>IFERROR(__xludf.DUMMYFUNCTION("""COMPUTED_VALUE"""),"3.3896045")</f>
        <v>3.3896045</v>
      </c>
      <c r="AA1116" s="4" t="str">
        <f t="shared" si="1"/>
        <v>Not Neighbor</v>
      </c>
      <c r="AC1116" s="4">
        <f>IFERROR(__xludf.DUMMYFUNCTION("IFERROR(ABS(O1116-AVERAGE(FILTER(O1116:O5184,AA1116:AA5184=""Neighbor""))) / STDEV(FILTER(O1116:O5184, AA1116:AA5184 =""Neighbor"")), """")"),0.8324973606196844)</f>
        <v>0.8324973606</v>
      </c>
      <c r="AD1116" s="4">
        <f>IFERROR(__xludf.DUMMYFUNCTION("IFERROR(ABS(P1116-AVERAGE(FILTER(O1116:P5184,AA1116:AA5184=""Neighbor""))) / STDEV(FILTER(P1116:P5184, AA1116:AA5184 =""Neighbor"")), """")"),1.185812065706567)</f>
        <v>1.185812066</v>
      </c>
      <c r="AE1116" s="2">
        <f>IFERROR(__xludf.DUMMYFUNCTION("IFERROR(ABS(Q1116-AVERAGE(FILTER(Q1116:Q5184,AA1116:AA5184=""Neighbor""))) / STDEV(FILTER(Q1116:Q5184, AA1116:AA5184 =""Neighbor"")), """")"),0.9352106670475878)</f>
        <v>0.935210667</v>
      </c>
      <c r="AF1116" s="2">
        <f>IFERROR(__xludf.DUMMYFUNCTION("IFERROR(ABS(R1116-AVERAGE(FILTER(R1116:R5184,AA1116:AA5184=""Neighbor""))) / STDEV(FILTER(R1116:R5184, AA1116:AA5184 =""Neighbor"")), """")"),0.3481367276194178)</f>
        <v>0.3481367276</v>
      </c>
    </row>
    <row r="1117">
      <c r="A1117" s="2" t="s">
        <v>28</v>
      </c>
      <c r="B1117" s="2" t="s">
        <v>4358</v>
      </c>
      <c r="C1117" s="2" t="s">
        <v>4567</v>
      </c>
      <c r="D1117" s="2" t="s">
        <v>4572</v>
      </c>
      <c r="E1117" s="2" t="s">
        <v>4573</v>
      </c>
      <c r="F1117" s="2">
        <v>124.0</v>
      </c>
      <c r="G1117" s="2">
        <v>1207.0</v>
      </c>
      <c r="H1117" s="2" t="b">
        <v>1</v>
      </c>
      <c r="I1117" s="2">
        <v>-1.0</v>
      </c>
      <c r="J1117" s="2" t="b">
        <v>0</v>
      </c>
      <c r="K1117" s="2" t="b">
        <v>0</v>
      </c>
      <c r="L1117" s="2" t="b">
        <v>0</v>
      </c>
      <c r="M1117" s="2" t="b">
        <v>0</v>
      </c>
      <c r="N1117" s="2" t="s">
        <v>33</v>
      </c>
      <c r="O1117" s="2">
        <v>59.0</v>
      </c>
      <c r="P1117" s="2">
        <v>36.0</v>
      </c>
      <c r="Q1117" s="2">
        <v>16.0</v>
      </c>
      <c r="R1117" s="2">
        <v>0.0</v>
      </c>
      <c r="S1117" s="3" t="s">
        <v>4574</v>
      </c>
      <c r="T1117" s="2" t="s">
        <v>4575</v>
      </c>
      <c r="Y1117" s="4" t="str">
        <f>IFERROR(__xludf.DUMMYFUNCTION("""COMPUTED_VALUE"""),"6.6498064")</f>
        <v>6.6498064</v>
      </c>
      <c r="Z1117" s="4" t="str">
        <f>IFERROR(__xludf.DUMMYFUNCTION("""COMPUTED_VALUE"""),"3.3654792")</f>
        <v>3.3654792</v>
      </c>
      <c r="AA1117" s="4" t="str">
        <f t="shared" si="1"/>
        <v>Not Neighbor</v>
      </c>
      <c r="AC1117" s="4">
        <f>IFERROR(__xludf.DUMMYFUNCTION("IFERROR(ABS(O1117-AVERAGE(FILTER(O1117:O5185,AA1117:AA5185=""Neighbor""))) / STDEV(FILTER(O1117:O5185, AA1117:AA5185 =""Neighbor"")), """")"),0.10943672719538344)</f>
        <v>0.1094367272</v>
      </c>
      <c r="AD1117" s="4">
        <f>IFERROR(__xludf.DUMMYFUNCTION("IFERROR(ABS(P1117-AVERAGE(FILTER(O1117:P5185,AA1117:AA5185=""Neighbor""))) / STDEV(FILTER(P1117:P5185, AA1117:AA5185 =""Neighbor"")), """")"),0.17507928692666153)</f>
        <v>0.1750792869</v>
      </c>
      <c r="AE1117" s="2">
        <f>IFERROR(__xludf.DUMMYFUNCTION("IFERROR(ABS(Q1117-AVERAGE(FILTER(Q1117:Q5185,AA1117:AA5185=""Neighbor""))) / STDEV(FILTER(Q1117:Q5185, AA1117:AA5185 =""Neighbor"")), """")"),0.3603712296374438)</f>
        <v>0.3603712296</v>
      </c>
      <c r="AF1117" s="2">
        <f>IFERROR(__xludf.DUMMYFUNCTION("IFERROR(ABS(R1117-AVERAGE(FILTER(R1117:R5185,AA1117:AA5185=""Neighbor""))) / STDEV(FILTER(R1117:R5185, AA1117:AA5185 =""Neighbor"")), """")"),0.3481367276194178)</f>
        <v>0.3481367276</v>
      </c>
    </row>
    <row r="1118">
      <c r="A1118" s="2" t="s">
        <v>28</v>
      </c>
      <c r="B1118" s="2" t="s">
        <v>4358</v>
      </c>
      <c r="C1118" s="2" t="s">
        <v>4567</v>
      </c>
      <c r="D1118" s="2" t="s">
        <v>4576</v>
      </c>
      <c r="E1118" s="2" t="s">
        <v>4577</v>
      </c>
      <c r="F1118" s="2">
        <v>92.0</v>
      </c>
      <c r="G1118" s="2">
        <v>1089.0</v>
      </c>
      <c r="H1118" s="2" t="b">
        <v>1</v>
      </c>
      <c r="I1118" s="2">
        <v>-1.0</v>
      </c>
      <c r="J1118" s="2" t="b">
        <v>0</v>
      </c>
      <c r="K1118" s="2" t="b">
        <v>0</v>
      </c>
      <c r="L1118" s="2" t="b">
        <v>0</v>
      </c>
      <c r="M1118" s="2" t="b">
        <v>0</v>
      </c>
      <c r="N1118" s="2" t="s">
        <v>33</v>
      </c>
      <c r="O1118" s="2">
        <v>0.0</v>
      </c>
      <c r="P1118" s="2">
        <v>0.0</v>
      </c>
      <c r="Q1118" s="2">
        <v>0.0</v>
      </c>
      <c r="R1118" s="2">
        <v>0.0</v>
      </c>
      <c r="S1118" s="3" t="s">
        <v>4578</v>
      </c>
      <c r="T1118" s="2" t="s">
        <v>4579</v>
      </c>
      <c r="Y1118" s="4" t="str">
        <f>IFERROR(__xludf.DUMMYFUNCTION("""COMPUTED_VALUE"""),"6.657425")</f>
        <v>6.657425</v>
      </c>
      <c r="Z1118" s="4" t="str">
        <f>IFERROR(__xludf.DUMMYFUNCTION("""COMPUTED_VALUE"""),"3.4145075")</f>
        <v>3.4145075</v>
      </c>
      <c r="AA1118" s="4" t="str">
        <f t="shared" si="1"/>
        <v>Not Neighbor</v>
      </c>
      <c r="AC1118" s="4">
        <f>IFERROR(__xludf.DUMMYFUNCTION("IFERROR(ABS(O1118-AVERAGE(FILTER(O1118:O5186,AA1118:AA5186=""Neighbor""))) / STDEV(FILTER(O1118:O5186, AA1118:AA5186 =""Neighbor"")), """")"),1.5314559729298418)</f>
        <v>1.531455973</v>
      </c>
      <c r="AD1118" s="4">
        <f>IFERROR(__xludf.DUMMYFUNCTION("IFERROR(ABS(P1118-AVERAGE(FILTER(O1118:P5186,AA1118:AA5186=""Neighbor""))) / STDEV(FILTER(P1118:P5186, AA1118:AA5186 =""Neighbor"")), """")"),1.8290056522028706)</f>
        <v>1.829005652</v>
      </c>
      <c r="AE1118" s="2">
        <f>IFERROR(__xludf.DUMMYFUNCTION("IFERROR(ABS(Q1118-AVERAGE(FILTER(Q1118:Q5186,AA1118:AA5186=""Neighbor""))) / STDEV(FILTER(Q1118:Q5186, AA1118:AA5186 =""Neighbor"")), """")"),1.0173305866776086)</f>
        <v>1.017330587</v>
      </c>
      <c r="AF1118" s="2">
        <f>IFERROR(__xludf.DUMMYFUNCTION("IFERROR(ABS(R1118-AVERAGE(FILTER(R1118:R5186,AA1118:AA5186=""Neighbor""))) / STDEV(FILTER(R1118:R5186, AA1118:AA5186 =""Neighbor"")), """")"),0.3481367276194178)</f>
        <v>0.3481367276</v>
      </c>
    </row>
    <row r="1119">
      <c r="A1119" s="2" t="s">
        <v>28</v>
      </c>
      <c r="B1119" s="2" t="s">
        <v>4358</v>
      </c>
      <c r="C1119" s="2" t="s">
        <v>4567</v>
      </c>
      <c r="D1119" s="2" t="s">
        <v>4580</v>
      </c>
      <c r="E1119" s="2" t="s">
        <v>4581</v>
      </c>
      <c r="F1119" s="2">
        <v>82.0</v>
      </c>
      <c r="G1119" s="2">
        <v>750.0</v>
      </c>
      <c r="H1119" s="2" t="b">
        <v>1</v>
      </c>
      <c r="I1119" s="2">
        <v>-1.0</v>
      </c>
      <c r="J1119" s="2" t="b">
        <v>0</v>
      </c>
      <c r="K1119" s="2" t="b">
        <v>0</v>
      </c>
      <c r="L1119" s="2" t="b">
        <v>0</v>
      </c>
      <c r="M1119" s="2" t="b">
        <v>0</v>
      </c>
      <c r="N1119" s="2" t="s">
        <v>33</v>
      </c>
      <c r="O1119" s="2">
        <v>22.0</v>
      </c>
      <c r="P1119" s="2">
        <v>46.0</v>
      </c>
      <c r="Q1119" s="2">
        <v>9.0</v>
      </c>
      <c r="R1119" s="2">
        <v>0.0</v>
      </c>
      <c r="S1119" s="3" t="s">
        <v>4582</v>
      </c>
      <c r="T1119" s="2" t="s">
        <v>4583</v>
      </c>
      <c r="Y1119" s="4" t="str">
        <f>IFERROR(__xludf.DUMMYFUNCTION("""COMPUTED_VALUE"""),"6.6498064")</f>
        <v>6.6498064</v>
      </c>
      <c r="Z1119" s="4" t="str">
        <f>IFERROR(__xludf.DUMMYFUNCTION("""COMPUTED_VALUE"""),"3.3654792")</f>
        <v>3.3654792</v>
      </c>
      <c r="AA1119" s="4" t="str">
        <f t="shared" si="1"/>
        <v>Not Neighbor</v>
      </c>
      <c r="AC1119" s="4">
        <f>IFERROR(__xludf.DUMMYFUNCTION("IFERROR(ABS(O1119-AVERAGE(FILTER(O1119:O5187,AA1119:AA5187=""Neighbor""))) / STDEV(FILTER(O1119:O5187, AA1119:AA5187 =""Neighbor"")), """")"),1.001211508418688)</f>
        <v>1.001211508</v>
      </c>
      <c r="AD1119" s="4">
        <f>IFERROR(__xludf.DUMMYFUNCTION("IFERROR(ABS(P1119-AVERAGE(FILTER(O1119:P5187,AA1119:AA5187=""Neighbor""))) / STDEV(FILTER(P1119:P5187, AA1119:AA5187 =""Neighbor"")), """")"),0.28434470342784096)</f>
        <v>0.2843447034</v>
      </c>
      <c r="AE1119" s="2">
        <f>IFERROR(__xludf.DUMMYFUNCTION("IFERROR(ABS(Q1119-AVERAGE(FILTER(Q1119:Q5187,AA1119:AA5187=""Neighbor""))) / STDEV(FILTER(Q1119:Q5187, AA1119:AA5187 =""Neighbor"")), """")"),0.6477909483425158)</f>
        <v>0.6477909483</v>
      </c>
      <c r="AF1119" s="2">
        <f>IFERROR(__xludf.DUMMYFUNCTION("IFERROR(ABS(R1119-AVERAGE(FILTER(R1119:R5187,AA1119:AA5187=""Neighbor""))) / STDEV(FILTER(R1119:R5187, AA1119:AA5187 =""Neighbor"")), """")"),0.3481367276194178)</f>
        <v>0.3481367276</v>
      </c>
    </row>
    <row r="1120">
      <c r="A1120" s="2" t="s">
        <v>28</v>
      </c>
      <c r="B1120" s="2" t="s">
        <v>4358</v>
      </c>
      <c r="C1120" s="2" t="s">
        <v>4567</v>
      </c>
      <c r="D1120" s="2" t="s">
        <v>4584</v>
      </c>
      <c r="E1120" s="2" t="s">
        <v>4585</v>
      </c>
      <c r="F1120" s="2">
        <v>131.0</v>
      </c>
      <c r="G1120" s="2">
        <v>1231.0</v>
      </c>
      <c r="H1120" s="2" t="b">
        <v>1</v>
      </c>
      <c r="I1120" s="2">
        <v>-1.0</v>
      </c>
      <c r="J1120" s="2" t="b">
        <v>0</v>
      </c>
      <c r="K1120" s="2" t="b">
        <v>0</v>
      </c>
      <c r="L1120" s="2" t="b">
        <v>0</v>
      </c>
      <c r="M1120" s="2" t="b">
        <v>0</v>
      </c>
      <c r="N1120" s="2" t="s">
        <v>33</v>
      </c>
      <c r="O1120" s="2">
        <v>47.0</v>
      </c>
      <c r="P1120" s="2">
        <v>52.0</v>
      </c>
      <c r="Q1120" s="2">
        <v>5.0</v>
      </c>
      <c r="R1120" s="2">
        <v>0.0</v>
      </c>
      <c r="S1120" s="3" t="s">
        <v>4586</v>
      </c>
      <c r="T1120" s="2" t="s">
        <v>4587</v>
      </c>
      <c r="Y1120" s="4" t="str">
        <f>IFERROR(__xludf.DUMMYFUNCTION("""COMPUTED_VALUE"""),"6.657425")</f>
        <v>6.657425</v>
      </c>
      <c r="Z1120" s="4" t="str">
        <f>IFERROR(__xludf.DUMMYFUNCTION("""COMPUTED_VALUE"""),"3.4145075")</f>
        <v>3.4145075</v>
      </c>
      <c r="AA1120" s="4" t="str">
        <f t="shared" si="1"/>
        <v>Neighbor</v>
      </c>
      <c r="AC1120" s="4">
        <f>IFERROR(__xludf.DUMMYFUNCTION("IFERROR(ABS(O1120-AVERAGE(FILTER(O1120:O5188,AA1120:AA5188=""Neighbor""))) / STDEV(FILTER(O1120:O5188, AA1120:AA5188 =""Neighbor"")), """")"),0.3986609805651038)</f>
        <v>0.3986609806</v>
      </c>
      <c r="AD1120" s="4">
        <f>IFERROR(__xludf.DUMMYFUNCTION("IFERROR(ABS(P1120-AVERAGE(FILTER(O1120:P5188,AA1120:AA5188=""Neighbor""))) / STDEV(FILTER(P1120:P5188, AA1120:AA5188 =""Neighbor"")), """")"),0.5599990976405425)</f>
        <v>0.5599990976</v>
      </c>
      <c r="AE1120" s="2">
        <f>IFERROR(__xludf.DUMMYFUNCTION("IFERROR(ABS(Q1120-AVERAGE(FILTER(Q1120:Q5188,AA1120:AA5188=""Neighbor""))) / STDEV(FILTER(Q1120:Q5188, AA1120:AA5188 =""Neighbor"")), """")"),0.812030787602557)</f>
        <v>0.8120307876</v>
      </c>
      <c r="AF1120" s="2">
        <f>IFERROR(__xludf.DUMMYFUNCTION("IFERROR(ABS(R1120-AVERAGE(FILTER(R1120:R5188,AA1120:AA5188=""Neighbor""))) / STDEV(FILTER(R1120:R5188, AA1120:AA5188 =""Neighbor"")), """")"),0.3481367276194178)</f>
        <v>0.3481367276</v>
      </c>
    </row>
    <row r="1121">
      <c r="A1121" s="2" t="s">
        <v>28</v>
      </c>
      <c r="B1121" s="2" t="s">
        <v>4358</v>
      </c>
      <c r="C1121" s="2" t="s">
        <v>4567</v>
      </c>
      <c r="D1121" s="2" t="s">
        <v>4588</v>
      </c>
      <c r="E1121" s="2" t="s">
        <v>4589</v>
      </c>
      <c r="F1121" s="2">
        <v>119.0</v>
      </c>
      <c r="G1121" s="2">
        <v>1119.0</v>
      </c>
      <c r="H1121" s="2" t="b">
        <v>1</v>
      </c>
      <c r="I1121" s="2">
        <v>-1.0</v>
      </c>
      <c r="J1121" s="2" t="b">
        <v>0</v>
      </c>
      <c r="K1121" s="2" t="b">
        <v>0</v>
      </c>
      <c r="L1121" s="2" t="b">
        <v>0</v>
      </c>
      <c r="M1121" s="2" t="b">
        <v>0</v>
      </c>
      <c r="N1121" s="2" t="s">
        <v>33</v>
      </c>
      <c r="O1121" s="2">
        <v>49.0</v>
      </c>
      <c r="P1121" s="2">
        <v>41.0</v>
      </c>
      <c r="Q1121" s="2">
        <v>11.0</v>
      </c>
      <c r="R1121" s="2">
        <v>0.0</v>
      </c>
      <c r="S1121" s="3" t="s">
        <v>4590</v>
      </c>
      <c r="T1121" s="2" t="s">
        <v>4591</v>
      </c>
      <c r="Y1121" s="4" t="str">
        <f>IFERROR(__xludf.DUMMYFUNCTION("""COMPUTED_VALUE"""),"6.657425")</f>
        <v>6.657425</v>
      </c>
      <c r="Z1121" s="4" t="str">
        <f>IFERROR(__xludf.DUMMYFUNCTION("""COMPUTED_VALUE"""),"3.4145075")</f>
        <v>3.4145075</v>
      </c>
      <c r="AA1121" s="4" t="str">
        <f t="shared" si="1"/>
        <v>Not Neighbor</v>
      </c>
      <c r="AC1121" s="4">
        <f>IFERROR(__xludf.DUMMYFUNCTION("IFERROR(ABS(O1121-AVERAGE(FILTER(O1121:O5189,AA1121:AA5189=""Neighbor""))) / STDEV(FILTER(O1121:O5189, AA1121:AA5189 =""Neighbor"")), """")"),0.350658807718929)</f>
        <v>0.3506588077</v>
      </c>
      <c r="AD1121" s="4">
        <f>IFERROR(__xludf.DUMMYFUNCTION("IFERROR(ABS(P1121-AVERAGE(FILTER(O1121:P5189,AA1121:AA5189=""Neighbor""))) / STDEV(FILTER(P1121:P5189, AA1121:AA5189 =""Neighbor"")), """")"),0.05502874492576131)</f>
        <v>0.05502874493</v>
      </c>
      <c r="AE1121" s="2">
        <f>IFERROR(__xludf.DUMMYFUNCTION("IFERROR(ABS(Q1121-AVERAGE(FILTER(Q1121:Q5189,AA1121:AA5189=""Neighbor""))) / STDEV(FILTER(Q1121:Q5189, AA1121:AA5189 =""Neighbor"")), """")"),0.5662463313976058)</f>
        <v>0.5662463314</v>
      </c>
      <c r="AF1121" s="2">
        <f>IFERROR(__xludf.DUMMYFUNCTION("IFERROR(ABS(R1121-AVERAGE(FILTER(R1121:R5189,AA1121:AA5189=""Neighbor""))) / STDEV(FILTER(R1121:R5189, AA1121:AA5189 =""Neighbor"")), """")"),0.3482934939685723)</f>
        <v>0.348293494</v>
      </c>
    </row>
    <row r="1122">
      <c r="A1122" s="2" t="s">
        <v>28</v>
      </c>
      <c r="B1122" s="2" t="s">
        <v>4358</v>
      </c>
      <c r="C1122" s="2" t="s">
        <v>4567</v>
      </c>
      <c r="D1122" s="2" t="s">
        <v>4592</v>
      </c>
      <c r="E1122" s="2" t="s">
        <v>4593</v>
      </c>
      <c r="F1122" s="2">
        <v>136.0</v>
      </c>
      <c r="G1122" s="2">
        <v>1045.0</v>
      </c>
      <c r="H1122" s="2" t="b">
        <v>1</v>
      </c>
      <c r="I1122" s="2">
        <v>-1.0</v>
      </c>
      <c r="J1122" s="2" t="b">
        <v>0</v>
      </c>
      <c r="K1122" s="2" t="b">
        <v>1</v>
      </c>
      <c r="L1122" s="2" t="b">
        <v>0</v>
      </c>
      <c r="M1122" s="2" t="b">
        <v>0</v>
      </c>
      <c r="N1122" s="2" t="s">
        <v>33</v>
      </c>
      <c r="O1122" s="2">
        <v>60.0</v>
      </c>
      <c r="P1122" s="2">
        <v>56.0</v>
      </c>
      <c r="Q1122" s="2">
        <v>5.0</v>
      </c>
      <c r="R1122" s="2">
        <v>1.0</v>
      </c>
      <c r="S1122" s="3" t="s">
        <v>4594</v>
      </c>
      <c r="T1122" s="2" t="s">
        <v>4595</v>
      </c>
      <c r="Y1122" s="4" t="str">
        <f>IFERROR(__xludf.DUMMYFUNCTION("""COMPUTED_VALUE"""),"6.6570823")</f>
        <v>6.6570823</v>
      </c>
      <c r="Z1122" s="4" t="str">
        <f>IFERROR(__xludf.DUMMYFUNCTION("""COMPUTED_VALUE"""),"3.35455")</f>
        <v>3.35455</v>
      </c>
      <c r="AA1122" s="4" t="str">
        <f t="shared" si="1"/>
        <v>Not Neighbor</v>
      </c>
      <c r="AC1122" s="4">
        <f>IFERROR(__xludf.DUMMYFUNCTION("IFERROR(ABS(O1122-AVERAGE(FILTER(O1122:O5190,AA1122:AA5190=""Neighbor""))) / STDEV(FILTER(O1122:O5190, AA1122:AA5190 =""Neighbor"")), """")"),0.08562621314141865)</f>
        <v>0.08562621314</v>
      </c>
      <c r="AD1122" s="4">
        <f>IFERROR(__xludf.DUMMYFUNCTION("IFERROR(ABS(P1122-AVERAGE(FILTER(O1122:P5190,AA1122:AA5190=""Neighbor""))) / STDEV(FILTER(P1122:P5190, AA1122:AA5190 =""Neighbor"")), """")"),0.7446435067220731)</f>
        <v>0.7446435067</v>
      </c>
      <c r="AE1122" s="2">
        <f>IFERROR(__xludf.DUMMYFUNCTION("IFERROR(ABS(Q1122-AVERAGE(FILTER(Q1122:Q5190,AA1122:AA5190=""Neighbor""))) / STDEV(FILTER(Q1122:Q5190, AA1122:AA5190 =""Neighbor"")), """")"),0.8125723960643344)</f>
        <v>0.8125723961</v>
      </c>
      <c r="AF1122" s="2">
        <f>IFERROR(__xludf.DUMMYFUNCTION("IFERROR(ABS(R1122-AVERAGE(FILTER(R1122:R5190,AA1122:AA5190=""Neighbor""))) / STDEV(FILTER(R1122:R5190, AA1122:AA5190 =""Neighbor"")), """")"),0.8826073767612683)</f>
        <v>0.8826073768</v>
      </c>
    </row>
    <row r="1123">
      <c r="A1123" s="2" t="s">
        <v>28</v>
      </c>
      <c r="B1123" s="2" t="s">
        <v>4358</v>
      </c>
      <c r="C1123" s="2" t="s">
        <v>4567</v>
      </c>
      <c r="D1123" s="2" t="s">
        <v>4596</v>
      </c>
      <c r="E1123" s="2" t="s">
        <v>4597</v>
      </c>
      <c r="F1123" s="2">
        <v>153.0</v>
      </c>
      <c r="G1123" s="2">
        <v>1183.0</v>
      </c>
      <c r="H1123" s="2" t="b">
        <v>1</v>
      </c>
      <c r="I1123" s="2">
        <v>-1.0</v>
      </c>
      <c r="J1123" s="2" t="b">
        <v>0</v>
      </c>
      <c r="K1123" s="2" t="b">
        <v>0</v>
      </c>
      <c r="L1123" s="2" t="b">
        <v>0</v>
      </c>
      <c r="M1123" s="2" t="b">
        <v>0</v>
      </c>
      <c r="N1123" s="2" t="s">
        <v>33</v>
      </c>
      <c r="O1123" s="2">
        <v>65.0</v>
      </c>
      <c r="P1123" s="2">
        <v>66.0</v>
      </c>
      <c r="Q1123" s="2">
        <v>5.0</v>
      </c>
      <c r="R1123" s="2">
        <v>2.0</v>
      </c>
      <c r="S1123" s="3" t="s">
        <v>4598</v>
      </c>
      <c r="T1123" s="2" t="s">
        <v>4599</v>
      </c>
      <c r="Y1123" s="4" t="str">
        <f>IFERROR(__xludf.DUMMYFUNCTION("""COMPUTED_VALUE"""),"6.6540944")</f>
        <v>6.6540944</v>
      </c>
      <c r="Z1123" s="4" t="str">
        <f>IFERROR(__xludf.DUMMYFUNCTION("""COMPUTED_VALUE"""),"3.3766816")</f>
        <v>3.3766816</v>
      </c>
      <c r="AA1123" s="4" t="str">
        <f t="shared" si="1"/>
        <v>Not Neighbor</v>
      </c>
      <c r="AC1123" s="4">
        <f>IFERROR(__xludf.DUMMYFUNCTION("IFERROR(ABS(O1123-AVERAGE(FILTER(O1123:O5191,AA1123:AA5191=""Neighbor""))) / STDEV(FILTER(O1123:O5191, AA1123:AA5191 =""Neighbor"")), """")"),0.03484314803017696)</f>
        <v>0.03484314803</v>
      </c>
      <c r="AD1123" s="4">
        <f>IFERROR(__xludf.DUMMYFUNCTION("IFERROR(ABS(P1123-AVERAGE(FILTER(O1123:P5191,AA1123:AA5191=""Neighbor""))) / STDEV(FILTER(P1123:P5191, AA1123:AA5191 =""Neighbor"")), """")"),1.2043866812529476)</f>
        <v>1.204386681</v>
      </c>
      <c r="AE1123" s="2">
        <f>IFERROR(__xludf.DUMMYFUNCTION("IFERROR(ABS(Q1123-AVERAGE(FILTER(Q1123:Q5191,AA1123:AA5191=""Neighbor""))) / STDEV(FILTER(Q1123:Q5191, AA1123:AA5191 =""Neighbor"")), """")"),0.8125723960643344)</f>
        <v>0.8125723961</v>
      </c>
      <c r="AF1123" s="2">
        <f>IFERROR(__xludf.DUMMYFUNCTION("IFERROR(ABS(R1123-AVERAGE(FILTER(R1123:R5191,AA1123:AA5191=""Neighbor""))) / STDEV(FILTER(R1123:R5191, AA1123:AA5191 =""Neighbor"")), """")"),2.113508247491109)</f>
        <v>2.113508247</v>
      </c>
    </row>
    <row r="1124">
      <c r="A1124" s="2" t="s">
        <v>28</v>
      </c>
      <c r="B1124" s="2" t="s">
        <v>4358</v>
      </c>
      <c r="C1124" s="2" t="s">
        <v>4567</v>
      </c>
      <c r="D1124" s="2" t="s">
        <v>4600</v>
      </c>
      <c r="E1124" s="2" t="s">
        <v>4601</v>
      </c>
      <c r="F1124" s="2">
        <v>161.0</v>
      </c>
      <c r="G1124" s="2">
        <v>1353.0</v>
      </c>
      <c r="H1124" s="2" t="b">
        <v>1</v>
      </c>
      <c r="I1124" s="2">
        <v>-1.0</v>
      </c>
      <c r="J1124" s="2" t="b">
        <v>0</v>
      </c>
      <c r="K1124" s="2" t="b">
        <v>0</v>
      </c>
      <c r="L1124" s="2" t="b">
        <v>0</v>
      </c>
      <c r="M1124" s="2" t="b">
        <v>0</v>
      </c>
      <c r="N1124" s="2" t="s">
        <v>33</v>
      </c>
      <c r="O1124" s="2">
        <v>75.0</v>
      </c>
      <c r="P1124" s="2">
        <v>66.0</v>
      </c>
      <c r="Q1124" s="2">
        <v>7.0</v>
      </c>
      <c r="R1124" s="2">
        <v>0.0</v>
      </c>
      <c r="S1124" s="3" t="s">
        <v>4602</v>
      </c>
      <c r="T1124" s="2" t="s">
        <v>4603</v>
      </c>
      <c r="Y1124" s="4" t="str">
        <f>IFERROR(__xludf.DUMMYFUNCTION("""COMPUTED_VALUE"""),"6.6376907")</f>
        <v>6.6376907</v>
      </c>
      <c r="Z1124" s="4" t="str">
        <f>IFERROR(__xludf.DUMMYFUNCTION("""COMPUTED_VALUE"""),"3.3558525")</f>
        <v>3.3558525</v>
      </c>
      <c r="AA1124" s="4" t="str">
        <f t="shared" si="1"/>
        <v>Neighbor</v>
      </c>
      <c r="AC1124" s="4">
        <f>IFERROR(__xludf.DUMMYFUNCTION("IFERROR(ABS(O1124-AVERAGE(FILTER(O1124:O5192,AA1124:AA5192=""Neighbor""))) / STDEV(FILTER(O1124:O5192, AA1124:AA5192 =""Neighbor"")), """")"),0.27578187037336815)</f>
        <v>0.2757818704</v>
      </c>
      <c r="AD1124" s="4">
        <f>IFERROR(__xludf.DUMMYFUNCTION("IFERROR(ABS(P1124-AVERAGE(FILTER(O1124:P5192,AA1124:AA5192=""Neighbor""))) / STDEV(FILTER(P1124:P5192, AA1124:AA5192 =""Neighbor"")), """")"),1.2043866812529476)</f>
        <v>1.204386681</v>
      </c>
      <c r="AE1124" s="2">
        <f>IFERROR(__xludf.DUMMYFUNCTION("IFERROR(ABS(Q1124-AVERAGE(FILTER(Q1124:Q5192,AA1124:AA5192=""Neighbor""))) / STDEV(FILTER(Q1124:Q5192, AA1124:AA5192 =""Neighbor"")), """")"),0.7304637078420916)</f>
        <v>0.7304637078</v>
      </c>
      <c r="AF1124" s="2">
        <f>IFERROR(__xludf.DUMMYFUNCTION("IFERROR(ABS(R1124-AVERAGE(FILTER(R1124:R5192,AA1124:AA5192=""Neighbor""))) / STDEV(FILTER(R1124:R5192, AA1124:AA5192 =""Neighbor"")), """")"),0.3482934939685723)</f>
        <v>0.348293494</v>
      </c>
    </row>
    <row r="1125">
      <c r="A1125" s="2" t="s">
        <v>28</v>
      </c>
      <c r="B1125" s="2" t="s">
        <v>4358</v>
      </c>
      <c r="C1125" s="2" t="s">
        <v>4567</v>
      </c>
      <c r="D1125" s="2" t="s">
        <v>4604</v>
      </c>
      <c r="E1125" s="2" t="s">
        <v>4605</v>
      </c>
      <c r="F1125" s="2">
        <v>95.0</v>
      </c>
      <c r="G1125" s="2">
        <v>750.0</v>
      </c>
      <c r="H1125" s="2" t="b">
        <v>1</v>
      </c>
      <c r="I1125" s="2">
        <v>-1.0</v>
      </c>
      <c r="J1125" s="2" t="b">
        <v>0</v>
      </c>
      <c r="K1125" s="2" t="b">
        <v>0</v>
      </c>
      <c r="L1125" s="2" t="b">
        <v>0</v>
      </c>
      <c r="M1125" s="2" t="b">
        <v>0</v>
      </c>
      <c r="N1125" s="2" t="s">
        <v>33</v>
      </c>
      <c r="O1125" s="2">
        <v>52.0</v>
      </c>
      <c r="P1125" s="2">
        <v>31.0</v>
      </c>
      <c r="Q1125" s="2">
        <v>7.0</v>
      </c>
      <c r="R1125" s="2">
        <v>0.0</v>
      </c>
      <c r="S1125" s="3" t="s">
        <v>4606</v>
      </c>
      <c r="T1125" s="2" t="s">
        <v>4607</v>
      </c>
      <c r="Y1125" s="4" t="str">
        <f>IFERROR(__xludf.DUMMYFUNCTION("""COMPUTED_VALUE"""),"6.6376907")</f>
        <v>6.6376907</v>
      </c>
      <c r="Z1125" s="4" t="str">
        <f>IFERROR(__xludf.DUMMYFUNCTION("""COMPUTED_VALUE"""),"3.3558525")</f>
        <v>3.3558525</v>
      </c>
      <c r="AA1125" s="4" t="str">
        <f t="shared" si="1"/>
        <v>Not Neighbor</v>
      </c>
      <c r="AC1125" s="4">
        <f>IFERROR(__xludf.DUMMYFUNCTION("IFERROR(ABS(O1125-AVERAGE(FILTER(O1125:O5193,AA1125:AA5193=""Neighbor""))) / STDEV(FILTER(O1125:O5193, AA1125:AA5193 =""Neighbor"")), """")"),0.2780519254181038)</f>
        <v>0.2780519254</v>
      </c>
      <c r="AD1125" s="4">
        <f>IFERROR(__xludf.DUMMYFUNCTION("IFERROR(ABS(P1125-AVERAGE(FILTER(O1125:P5193,AA1125:AA5193=""Neighbor""))) / STDEV(FILTER(P1125:P5193, AA1125:AA5193 =""Neighbor"")), """")"),0.40427579362504124)</f>
        <v>0.4042757936</v>
      </c>
      <c r="AE1125" s="2">
        <f>IFERROR(__xludf.DUMMYFUNCTION("IFERROR(ABS(Q1125-AVERAGE(FILTER(Q1125:Q5193,AA1125:AA5193=""Neighbor""))) / STDEV(FILTER(Q1125:Q5193, AA1125:AA5193 =""Neighbor"")), """")"),0.730914264498057)</f>
        <v>0.7309142645</v>
      </c>
      <c r="AF1125" s="2">
        <f>IFERROR(__xludf.DUMMYFUNCTION("IFERROR(ABS(R1125-AVERAGE(FILTER(R1125:R5193,AA1125:AA5193=""Neighbor""))) / STDEV(FILTER(R1125:R5193, AA1125:AA5193 =""Neighbor"")), """")"),0.3484504723066736)</f>
        <v>0.3484504723</v>
      </c>
    </row>
    <row r="1126">
      <c r="A1126" s="2" t="s">
        <v>28</v>
      </c>
      <c r="B1126" s="2" t="s">
        <v>4358</v>
      </c>
      <c r="C1126" s="2" t="s">
        <v>4567</v>
      </c>
      <c r="D1126" s="2" t="s">
        <v>4608</v>
      </c>
      <c r="E1126" s="2" t="s">
        <v>4609</v>
      </c>
      <c r="F1126" s="2">
        <v>199.0</v>
      </c>
      <c r="G1126" s="2">
        <v>1234.0</v>
      </c>
      <c r="H1126" s="2" t="b">
        <v>1</v>
      </c>
      <c r="I1126" s="2">
        <v>-1.0</v>
      </c>
      <c r="J1126" s="2" t="b">
        <v>0</v>
      </c>
      <c r="K1126" s="2" t="b">
        <v>0</v>
      </c>
      <c r="L1126" s="2" t="b">
        <v>0</v>
      </c>
      <c r="M1126" s="2" t="b">
        <v>0</v>
      </c>
      <c r="N1126" s="2" t="s">
        <v>33</v>
      </c>
      <c r="O1126" s="2">
        <v>87.0</v>
      </c>
      <c r="P1126" s="2">
        <v>85.0</v>
      </c>
      <c r="Q1126" s="2">
        <v>14.0</v>
      </c>
      <c r="R1126" s="2">
        <v>3.0</v>
      </c>
      <c r="S1126" s="3" t="s">
        <v>4610</v>
      </c>
      <c r="T1126" s="2" t="s">
        <v>4611</v>
      </c>
      <c r="Y1126" s="4" t="str">
        <f>IFERROR(__xludf.DUMMYFUNCTION("""COMPUTED_VALUE"""),"6.657425")</f>
        <v>6.657425</v>
      </c>
      <c r="Z1126" s="4" t="str">
        <f>IFERROR(__xludf.DUMMYFUNCTION("""COMPUTED_VALUE"""),"3.4145075")</f>
        <v>3.4145075</v>
      </c>
      <c r="AA1126" s="4" t="str">
        <f t="shared" si="1"/>
        <v>Neighbor</v>
      </c>
      <c r="AC1126" s="4">
        <f>IFERROR(__xludf.DUMMYFUNCTION("IFERROR(ABS(O1126-AVERAGE(FILTER(O1126:O5194,AA1126:AA5194=""Neighbor""))) / STDEV(FILTER(O1126:O5194, AA1126:AA5194 =""Neighbor"")), """")"),0.5649201313982448)</f>
        <v>0.5649201314</v>
      </c>
      <c r="AD1126" s="4">
        <f>IFERROR(__xludf.DUMMYFUNCTION("IFERROR(ABS(P1126-AVERAGE(FILTER(O1126:P5194,AA1126:AA5194=""Neighbor""))) / STDEV(FILTER(P1126:P5194, AA1126:AA5194 =""Neighbor"")), """")"),2.0826233329570067)</f>
        <v>2.082623333</v>
      </c>
      <c r="AE1126" s="2">
        <f>IFERROR(__xludf.DUMMYFUNCTION("IFERROR(ABS(Q1126-AVERAGE(FILTER(Q1126:Q5194,AA1126:AA5194=""Neighbor""))) / STDEV(FILTER(Q1126:Q5194, AA1126:AA5194 =""Neighbor"")), """")"),0.44358775255274235)</f>
        <v>0.4435877526</v>
      </c>
      <c r="AF1126" s="2">
        <f>IFERROR(__xludf.DUMMYFUNCTION("IFERROR(ABS(R1126-AVERAGE(FILTER(R1126:R5194,AA1126:AA5194=""Neighbor""))) / STDEV(FILTER(R1126:R5194, AA1126:AA5194 =""Neighbor"")), """")"),3.3429467186921498)</f>
        <v>3.342946719</v>
      </c>
    </row>
    <row r="1127">
      <c r="A1127" s="2" t="s">
        <v>28</v>
      </c>
      <c r="B1127" s="2" t="s">
        <v>4358</v>
      </c>
      <c r="C1127" s="2" t="s">
        <v>4567</v>
      </c>
      <c r="D1127" s="2" t="s">
        <v>4612</v>
      </c>
      <c r="E1127" s="2" t="s">
        <v>4613</v>
      </c>
      <c r="F1127" s="2">
        <v>144.0</v>
      </c>
      <c r="G1127" s="2">
        <v>1050.0</v>
      </c>
      <c r="H1127" s="2" t="b">
        <v>1</v>
      </c>
      <c r="I1127" s="2">
        <v>-1.0</v>
      </c>
      <c r="J1127" s="2" t="b">
        <v>0</v>
      </c>
      <c r="K1127" s="2" t="b">
        <v>0</v>
      </c>
      <c r="L1127" s="2" t="b">
        <v>0</v>
      </c>
      <c r="M1127" s="2" t="b">
        <v>0</v>
      </c>
      <c r="N1127" s="2" t="s">
        <v>33</v>
      </c>
      <c r="O1127" s="2">
        <v>70.0</v>
      </c>
      <c r="P1127" s="2">
        <v>52.0</v>
      </c>
      <c r="Q1127" s="2">
        <v>16.0</v>
      </c>
      <c r="R1127" s="2">
        <v>1.0</v>
      </c>
      <c r="S1127" s="3" t="s">
        <v>4614</v>
      </c>
      <c r="T1127" s="2" t="s">
        <v>4615</v>
      </c>
      <c r="Y1127" s="4" t="str">
        <f>IFERROR(__xludf.DUMMYFUNCTION("""COMPUTED_VALUE"""),"6.657425")</f>
        <v>6.657425</v>
      </c>
      <c r="Z1127" s="4" t="str">
        <f>IFERROR(__xludf.DUMMYFUNCTION("""COMPUTED_VALUE"""),"3.4145075")</f>
        <v>3.4145075</v>
      </c>
      <c r="AA1127" s="4" t="str">
        <f t="shared" si="1"/>
        <v>Not Neighbor</v>
      </c>
      <c r="AC1127" s="4">
        <f>IFERROR(__xludf.DUMMYFUNCTION("IFERROR(ABS(O1127-AVERAGE(FILTER(O1127:O5195,AA1127:AA5195=""Neighbor""))) / STDEV(FILTER(O1127:O5195, AA1127:AA5195 =""Neighbor"")), """")"),0.15588866650160105)</f>
        <v>0.1558886665</v>
      </c>
      <c r="AD1127" s="4">
        <f>IFERROR(__xludf.DUMMYFUNCTION("IFERROR(ABS(P1127-AVERAGE(FILTER(O1127:P5195,AA1127:AA5195=""Neighbor""))) / STDEV(FILTER(P1127:P5195, AA1127:AA5195 =""Neighbor"")), """")"),0.5666474831908896)</f>
        <v>0.5666474832</v>
      </c>
      <c r="AE1127" s="2">
        <f>IFERROR(__xludf.DUMMYFUNCTION("IFERROR(ABS(Q1127-AVERAGE(FILTER(Q1127:Q5195,AA1127:AA5195=""Neighbor""))) / STDEV(FILTER(Q1127:Q5195, AA1127:AA5195 =""Neighbor"")), """")"),0.3617345961565988)</f>
        <v>0.3617345962</v>
      </c>
      <c r="AF1127" s="2">
        <f>IFERROR(__xludf.DUMMYFUNCTION("IFERROR(ABS(R1127-AVERAGE(FILTER(R1127:R5195,AA1127:AA5195=""Neighbor""))) / STDEV(FILTER(R1127:R5195, AA1127:AA5195 =""Neighbor"")), """")"),0.8883595207433516)</f>
        <v>0.8883595207</v>
      </c>
    </row>
    <row r="1128">
      <c r="A1128" s="2" t="s">
        <v>28</v>
      </c>
      <c r="B1128" s="2" t="s">
        <v>4358</v>
      </c>
      <c r="C1128" s="2" t="s">
        <v>4567</v>
      </c>
      <c r="D1128" s="2" t="s">
        <v>4616</v>
      </c>
      <c r="E1128" s="2" t="s">
        <v>4617</v>
      </c>
      <c r="F1128" s="2">
        <v>107.0</v>
      </c>
      <c r="G1128" s="2">
        <v>1119.0</v>
      </c>
      <c r="H1128" s="2" t="b">
        <v>1</v>
      </c>
      <c r="I1128" s="2">
        <v>-1.0</v>
      </c>
      <c r="J1128" s="2" t="b">
        <v>0</v>
      </c>
      <c r="K1128" s="2" t="b">
        <v>0</v>
      </c>
      <c r="L1128" s="2" t="b">
        <v>0</v>
      </c>
      <c r="M1128" s="2" t="b">
        <v>0</v>
      </c>
      <c r="N1128" s="2" t="s">
        <v>33</v>
      </c>
      <c r="O1128" s="2">
        <v>48.0</v>
      </c>
      <c r="P1128" s="2">
        <v>46.0</v>
      </c>
      <c r="Q1128" s="2">
        <v>7.0</v>
      </c>
      <c r="R1128" s="2">
        <v>0.0</v>
      </c>
      <c r="S1128" s="3" t="s">
        <v>4618</v>
      </c>
      <c r="T1128" s="2" t="s">
        <v>4619</v>
      </c>
      <c r="Y1128" s="4" t="str">
        <f>IFERROR(__xludf.DUMMYFUNCTION("""COMPUTED_VALUE"""),"6.6513836")</f>
        <v>6.6513836</v>
      </c>
      <c r="Z1128" s="4" t="str">
        <f>IFERROR(__xludf.DUMMYFUNCTION("""COMPUTED_VALUE"""),"3.363338")</f>
        <v>3.363338</v>
      </c>
      <c r="AA1128" s="4" t="str">
        <f t="shared" si="1"/>
        <v>Neighbor</v>
      </c>
      <c r="AC1128" s="4">
        <f>IFERROR(__xludf.DUMMYFUNCTION("IFERROR(ABS(O1128-AVERAGE(FILTER(O1128:O5196,AA1128:AA5196=""Neighbor""))) / STDEV(FILTER(O1128:O5196, AA1128:AA5196 =""Neighbor"")), """")"),0.37383424401820337)</f>
        <v>0.373834244</v>
      </c>
      <c r="AD1128" s="4">
        <f>IFERROR(__xludf.DUMMYFUNCTION("IFERROR(ABS(P1128-AVERAGE(FILTER(O1128:P5196,AA1128:AA5196=""Neighbor""))) / STDEV(FILTER(P1128:P5196, AA1128:AA5196 =""Neighbor"")), """")"),0.2893063748700785)</f>
        <v>0.2893063749</v>
      </c>
      <c r="AE1128" s="2">
        <f>IFERROR(__xludf.DUMMYFUNCTION("IFERROR(ABS(Q1128-AVERAGE(FILTER(Q1128:Q5196,AA1128:AA5196=""Neighbor""))) / STDEV(FILTER(Q1128:Q5196, AA1128:AA5196 =""Neighbor"")), """")"),0.7310349264003162)</f>
        <v>0.7310349264</v>
      </c>
      <c r="AF1128" s="2">
        <f>IFERROR(__xludf.DUMMYFUNCTION("IFERROR(ABS(R1128-AVERAGE(FILTER(R1128:R5196,AA1128:AA5196=""Neighbor""))) / STDEV(FILTER(R1128:R5196, AA1128:AA5196 =""Neighbor"")), """")"),0.34718641964101876)</f>
        <v>0.3471864196</v>
      </c>
    </row>
    <row r="1129">
      <c r="A1129" s="2" t="s">
        <v>28</v>
      </c>
      <c r="B1129" s="2" t="s">
        <v>4358</v>
      </c>
      <c r="C1129" s="2" t="s">
        <v>4567</v>
      </c>
      <c r="D1129" s="2" t="s">
        <v>4620</v>
      </c>
      <c r="E1129" s="2" t="s">
        <v>4621</v>
      </c>
      <c r="F1129" s="2">
        <v>103.0</v>
      </c>
      <c r="G1129" s="2">
        <v>1099.0</v>
      </c>
      <c r="H1129" s="2" t="b">
        <v>1</v>
      </c>
      <c r="I1129" s="2">
        <v>-1.0</v>
      </c>
      <c r="J1129" s="2" t="b">
        <v>0</v>
      </c>
      <c r="K1129" s="2" t="b">
        <v>0</v>
      </c>
      <c r="L1129" s="2" t="b">
        <v>0</v>
      </c>
      <c r="M1129" s="2" t="b">
        <v>0</v>
      </c>
      <c r="N1129" s="2" t="s">
        <v>33</v>
      </c>
      <c r="O1129" s="2">
        <v>42.0</v>
      </c>
      <c r="P1129" s="2">
        <v>49.0</v>
      </c>
      <c r="Q1129" s="2">
        <v>7.0</v>
      </c>
      <c r="R1129" s="2">
        <v>0.0</v>
      </c>
      <c r="S1129" s="3" t="s">
        <v>4622</v>
      </c>
      <c r="T1129" s="2" t="s">
        <v>4623</v>
      </c>
      <c r="Y1129" s="4" t="str">
        <f>IFERROR(__xludf.DUMMYFUNCTION("""COMPUTED_VALUE"""),"6.6520923")</f>
        <v>6.6520923</v>
      </c>
      <c r="Z1129" s="4" t="str">
        <f>IFERROR(__xludf.DUMMYFUNCTION("""COMPUTED_VALUE"""),"3.3637626")</f>
        <v>3.3637626</v>
      </c>
      <c r="AA1129" s="4" t="str">
        <f t="shared" si="1"/>
        <v>Not Neighbor</v>
      </c>
      <c r="AC1129" s="4">
        <f>IFERROR(__xludf.DUMMYFUNCTION("IFERROR(ABS(O1129-AVERAGE(FILTER(O1129:O5197,AA1129:AA5197=""Neighbor""))) / STDEV(FILTER(O1129:O5197, AA1129:AA5197 =""Neighbor"")), """")"),0.5184255912626108)</f>
        <v>0.5184255913</v>
      </c>
      <c r="AD1129" s="4">
        <f>IFERROR(__xludf.DUMMYFUNCTION("IFERROR(ABS(P1129-AVERAGE(FILTER(O1129:P5197,AA1129:AA5197=""Neighbor""))) / STDEV(FILTER(P1129:P5197, AA1129:AA5197 =""Neighbor"")), """")"),0.42840799727658224)</f>
        <v>0.4284079973</v>
      </c>
      <c r="AE1129" s="2">
        <f>IFERROR(__xludf.DUMMYFUNCTION("IFERROR(ABS(Q1129-AVERAGE(FILTER(Q1129:Q5197,AA1129:AA5197=""Neighbor""))) / STDEV(FILTER(Q1129:Q5197, AA1129:AA5197 =""Neighbor"")), """")"),0.731486808329707)</f>
        <v>0.7314868083</v>
      </c>
      <c r="AF1129" s="2">
        <f>IFERROR(__xludf.DUMMYFUNCTION("IFERROR(ABS(R1129-AVERAGE(FILTER(R1129:R5197,AA1129:AA5197=""Neighbor""))) / STDEV(FILTER(R1129:R5197, AA1129:AA5197 =""Neighbor"")), """")"),0.3473430431562168)</f>
        <v>0.3473430432</v>
      </c>
    </row>
    <row r="1130">
      <c r="A1130" s="2" t="s">
        <v>28</v>
      </c>
      <c r="B1130" s="2" t="s">
        <v>4358</v>
      </c>
      <c r="C1130" s="2" t="s">
        <v>4567</v>
      </c>
      <c r="D1130" s="2" t="s">
        <v>4624</v>
      </c>
      <c r="E1130" s="2" t="s">
        <v>4625</v>
      </c>
      <c r="F1130" s="2">
        <v>79.0</v>
      </c>
      <c r="G1130" s="2">
        <v>1003.0</v>
      </c>
      <c r="H1130" s="2" t="b">
        <v>1</v>
      </c>
      <c r="I1130" s="2">
        <v>-1.0</v>
      </c>
      <c r="J1130" s="2" t="b">
        <v>0</v>
      </c>
      <c r="K1130" s="2" t="b">
        <v>0</v>
      </c>
      <c r="L1130" s="2" t="b">
        <v>0</v>
      </c>
      <c r="M1130" s="2" t="b">
        <v>0</v>
      </c>
      <c r="N1130" s="2" t="s">
        <v>33</v>
      </c>
      <c r="O1130" s="2">
        <v>44.0</v>
      </c>
      <c r="P1130" s="2">
        <v>13.0</v>
      </c>
      <c r="Q1130" s="2">
        <v>13.0</v>
      </c>
      <c r="R1130" s="2">
        <v>1.0</v>
      </c>
      <c r="S1130" s="3" t="s">
        <v>4626</v>
      </c>
      <c r="T1130" s="2" t="s">
        <v>4627</v>
      </c>
      <c r="Y1130" s="4" t="str">
        <f>IFERROR(__xludf.DUMMYFUNCTION("""COMPUTED_VALUE"""),"6.6406672")</f>
        <v>6.6406672</v>
      </c>
      <c r="Z1130" s="4" t="str">
        <f>IFERROR(__xludf.DUMMYFUNCTION("""COMPUTED_VALUE"""),"3.3809412")</f>
        <v>3.3809412</v>
      </c>
      <c r="AA1130" s="4" t="str">
        <f t="shared" si="1"/>
        <v>Not Neighbor</v>
      </c>
      <c r="AC1130" s="4">
        <f>IFERROR(__xludf.DUMMYFUNCTION("IFERROR(ABS(O1130-AVERAGE(FILTER(O1130:O5198,AA1130:AA5198=""Neighbor""))) / STDEV(FILTER(O1130:O5198, AA1130:AA5198 =""Neighbor"")), """")"),0.47028565645345966)</f>
        <v>0.4702856565</v>
      </c>
      <c r="AD1130" s="4">
        <f>IFERROR(__xludf.DUMMYFUNCTION("IFERROR(ABS(P1130-AVERAGE(FILTER(O1130:P5198,AA1130:AA5198=""Neighbor""))) / STDEV(FILTER(P1130:P5198, AA1130:AA5198 =""Neighbor"")), """")"),1.2362630778552801)</f>
        <v>1.236263078</v>
      </c>
      <c r="AE1130" s="2">
        <f>IFERROR(__xludf.DUMMYFUNCTION("IFERROR(ABS(Q1130-AVERAGE(FILTER(Q1130:Q5198,AA1130:AA5198=""Neighbor""))) / STDEV(FILTER(Q1130:Q5198, AA1130:AA5198 =""Neighbor"")), """")"),0.48533275333702847)</f>
        <v>0.4853327533</v>
      </c>
      <c r="AF1130" s="2">
        <f>IFERROR(__xludf.DUMMYFUNCTION("IFERROR(ABS(R1130-AVERAGE(FILTER(R1130:R5198,AA1130:AA5198=""Neighbor""))) / STDEV(FILTER(R1130:R5198, AA1130:AA5198 =""Neighbor"")), """")"),0.8877650272072932)</f>
        <v>0.8877650272</v>
      </c>
    </row>
    <row r="1131">
      <c r="A1131" s="2" t="s">
        <v>28</v>
      </c>
      <c r="B1131" s="2" t="s">
        <v>4358</v>
      </c>
      <c r="C1131" s="2" t="s">
        <v>4628</v>
      </c>
      <c r="D1131" s="2" t="s">
        <v>4629</v>
      </c>
      <c r="E1131" s="2" t="s">
        <v>4630</v>
      </c>
      <c r="F1131" s="2">
        <v>329.0</v>
      </c>
      <c r="G1131" s="2">
        <v>1655.0</v>
      </c>
      <c r="H1131" s="2" t="b">
        <v>1</v>
      </c>
      <c r="I1131" s="2">
        <v>-1.0</v>
      </c>
      <c r="J1131" s="2" t="b">
        <v>0</v>
      </c>
      <c r="K1131" s="2" t="b">
        <v>0</v>
      </c>
      <c r="L1131" s="2" t="b">
        <v>0</v>
      </c>
      <c r="M1131" s="2" t="b">
        <v>0</v>
      </c>
      <c r="N1131" s="2" t="s">
        <v>33</v>
      </c>
      <c r="O1131" s="2">
        <v>111.0</v>
      </c>
      <c r="P1131" s="2">
        <v>184.0</v>
      </c>
      <c r="Q1131" s="2">
        <v>14.0</v>
      </c>
      <c r="R1131" s="2">
        <v>2.0</v>
      </c>
      <c r="S1131" s="3" t="s">
        <v>4631</v>
      </c>
      <c r="T1131" s="2" t="s">
        <v>4632</v>
      </c>
      <c r="Y1131" s="4" t="str">
        <f>IFERROR(__xludf.DUMMYFUNCTION("""COMPUTED_VALUE"""),"6.6741415")</f>
        <v>6.6741415</v>
      </c>
      <c r="Z1131" s="4" t="str">
        <f>IFERROR(__xludf.DUMMYFUNCTION("""COMPUTED_VALUE"""),"3.3441094")</f>
        <v>3.3441094</v>
      </c>
      <c r="AA1131" s="4" t="str">
        <f t="shared" si="1"/>
        <v>Neighbor</v>
      </c>
      <c r="AC1131" s="4">
        <f>IFERROR(__xludf.DUMMYFUNCTION("IFERROR(ABS(O1131-AVERAGE(FILTER(O1131:O5199,AA1131:AA5199=""Neighbor""))) / STDEV(FILTER(O1131:O5199, AA1131:AA5199 =""Neighbor"")), """")"),1.1424021596531027)</f>
        <v>1.14240216</v>
      </c>
      <c r="AD1131" s="4">
        <f>IFERROR(__xludf.DUMMYFUNCTION("IFERROR(ABS(P1131-AVERAGE(FILTER(O1131:P5199,AA1131:AA5199=""Neighbor""))) / STDEV(FILTER(P1131:P5199, AA1131:AA5199 =""Neighbor"")), """")"),6.6709245290210655)</f>
        <v>6.670924529</v>
      </c>
      <c r="AE1131" s="2">
        <f>IFERROR(__xludf.DUMMYFUNCTION("IFERROR(ABS(Q1131-AVERAGE(FILTER(Q1131:Q5199,AA1131:AA5199=""Neighbor""))) / STDEV(FILTER(Q1131:Q5199, AA1131:AA5199 =""Neighbor"")), """")"),0.4443070775049154)</f>
        <v>0.4443070775</v>
      </c>
      <c r="AF1131" s="2">
        <f>IFERROR(__xludf.DUMMYFUNCTION("IFERROR(ABS(R1131-AVERAGE(FILTER(R1131:R5199,AA1131:AA5199=""Neighbor""))) / STDEV(FILTER(R1131:R5199, AA1131:AA5199 =""Neighbor"")), """")"),2.1228730975708032)</f>
        <v>2.122873098</v>
      </c>
    </row>
    <row r="1132">
      <c r="A1132" s="2" t="s">
        <v>28</v>
      </c>
      <c r="B1132" s="2" t="s">
        <v>4358</v>
      </c>
      <c r="C1132" s="2" t="s">
        <v>4628</v>
      </c>
      <c r="D1132" s="2" t="s">
        <v>4633</v>
      </c>
      <c r="E1132" s="2" t="s">
        <v>4634</v>
      </c>
      <c r="F1132" s="2">
        <v>174.0</v>
      </c>
      <c r="G1132" s="2">
        <v>1260.0</v>
      </c>
      <c r="H1132" s="2" t="b">
        <v>1</v>
      </c>
      <c r="I1132" s="2">
        <v>-1.0</v>
      </c>
      <c r="J1132" s="2" t="b">
        <v>0</v>
      </c>
      <c r="K1132" s="2" t="b">
        <v>0</v>
      </c>
      <c r="L1132" s="2" t="b">
        <v>0</v>
      </c>
      <c r="M1132" s="2" t="b">
        <v>0</v>
      </c>
      <c r="N1132" s="2" t="s">
        <v>33</v>
      </c>
      <c r="O1132" s="2">
        <v>81.0</v>
      </c>
      <c r="P1132" s="2">
        <v>60.0</v>
      </c>
      <c r="Q1132" s="2">
        <v>10.0</v>
      </c>
      <c r="R1132" s="2">
        <v>0.0</v>
      </c>
      <c r="S1132" s="3" t="s">
        <v>4635</v>
      </c>
      <c r="T1132" s="2" t="s">
        <v>4636</v>
      </c>
      <c r="Y1132" s="4" t="str">
        <f>IFERROR(__xludf.DUMMYFUNCTION("""COMPUTED_VALUE"""),"6.6741415")</f>
        <v>6.6741415</v>
      </c>
      <c r="Z1132" s="4" t="str">
        <f>IFERROR(__xludf.DUMMYFUNCTION("""COMPUTED_VALUE"""),"3.3441094")</f>
        <v>3.3441094</v>
      </c>
      <c r="AA1132" s="4" t="str">
        <f t="shared" si="1"/>
        <v>Not Neighbor</v>
      </c>
      <c r="AC1132" s="4">
        <f>IFERROR(__xludf.DUMMYFUNCTION("IFERROR(ABS(O1132-AVERAGE(FILTER(O1132:O5200,AA1132:AA5200=""Neighbor""))) / STDEV(FILTER(O1132:O5200, AA1132:AA5200 =""Neighbor"")), """")"),0.42127647781168404)</f>
        <v>0.4212764778</v>
      </c>
      <c r="AD1132" s="4">
        <f>IFERROR(__xludf.DUMMYFUNCTION("IFERROR(ABS(P1132-AVERAGE(FILTER(O1132:P5200,AA1132:AA5200=""Neighbor""))) / STDEV(FILTER(P1132:P5200, AA1132:AA5200 =""Neighbor"")), """")"),0.9644985485335255)</f>
        <v>0.9644985485</v>
      </c>
      <c r="AE1132" s="2">
        <f>IFERROR(__xludf.DUMMYFUNCTION("IFERROR(ABS(Q1132-AVERAGE(FILTER(Q1132:Q5200,AA1132:AA5200=""Neighbor""))) / STDEV(FILTER(Q1132:Q5200, AA1132:AA5200 =""Neighbor"")), """")"),0.608571055922332)</f>
        <v>0.6085710559</v>
      </c>
      <c r="AF1132" s="2">
        <f>IFERROR(__xludf.DUMMYFUNCTION("IFERROR(ABS(R1132-AVERAGE(FILTER(R1132:R5200,AA1132:AA5200=""Neighbor""))) / STDEV(FILTER(R1132:R5200, AA1132:AA5200 =""Neighbor"")), """")"),0.3461216970790422)</f>
        <v>0.3461216971</v>
      </c>
    </row>
    <row r="1133">
      <c r="A1133" s="2" t="s">
        <v>28</v>
      </c>
      <c r="B1133" s="2" t="s">
        <v>4358</v>
      </c>
      <c r="C1133" s="2" t="s">
        <v>4628</v>
      </c>
      <c r="D1133" s="2" t="s">
        <v>4637</v>
      </c>
      <c r="E1133" s="2" t="s">
        <v>4638</v>
      </c>
      <c r="F1133" s="2">
        <v>128.0</v>
      </c>
      <c r="G1133" s="2">
        <v>911.0</v>
      </c>
      <c r="H1133" s="2" t="b">
        <v>1</v>
      </c>
      <c r="I1133" s="2">
        <v>-1.0</v>
      </c>
      <c r="J1133" s="2" t="b">
        <v>0</v>
      </c>
      <c r="K1133" s="2" t="b">
        <v>0</v>
      </c>
      <c r="L1133" s="2" t="b">
        <v>0</v>
      </c>
      <c r="M1133" s="2" t="b">
        <v>0</v>
      </c>
      <c r="N1133" s="2" t="s">
        <v>33</v>
      </c>
      <c r="O1133" s="2">
        <v>57.0</v>
      </c>
      <c r="P1133" s="2">
        <v>54.0</v>
      </c>
      <c r="Q1133" s="2">
        <v>10.0</v>
      </c>
      <c r="R1133" s="2">
        <v>0.0</v>
      </c>
      <c r="S1133" s="3" t="s">
        <v>4639</v>
      </c>
      <c r="T1133" s="2" t="s">
        <v>4640</v>
      </c>
      <c r="Y1133" s="4" t="str">
        <f>IFERROR(__xludf.DUMMYFUNCTION("""COMPUTED_VALUE"""),"6.6637657")</f>
        <v>6.6637657</v>
      </c>
      <c r="Z1133" s="4" t="str">
        <f>IFERROR(__xludf.DUMMYFUNCTION("""COMPUTED_VALUE"""),"3.3511293")</f>
        <v>3.3511293</v>
      </c>
      <c r="AA1133" s="4" t="str">
        <f t="shared" si="1"/>
        <v>Neighbor</v>
      </c>
      <c r="AC1133" s="4">
        <f>IFERROR(__xludf.DUMMYFUNCTION("IFERROR(ABS(O1133-AVERAGE(FILTER(O1133:O5201,AA1133:AA5201=""Neighbor""))) / STDEV(FILTER(O1133:O5201, AA1133:AA5201 =""Neighbor"")), """")"),0.15647412033005406)</f>
        <v>0.1564741203</v>
      </c>
      <c r="AD1133" s="4">
        <f>IFERROR(__xludf.DUMMYFUNCTION("IFERROR(ABS(P1133-AVERAGE(FILTER(O1133:P5201,AA1133:AA5201=""Neighbor""))) / STDEV(FILTER(P1133:P5201, AA1133:AA5201 =""Neighbor"")), """")"),0.6801480492036225)</f>
        <v>0.6801480492</v>
      </c>
      <c r="AE1133" s="2">
        <f>IFERROR(__xludf.DUMMYFUNCTION("IFERROR(ABS(Q1133-AVERAGE(FILTER(Q1133:Q5201,AA1133:AA5201=""Neighbor""))) / STDEV(FILTER(Q1133:Q5201, AA1133:AA5201 =""Neighbor"")), """")"),0.608571055922332)</f>
        <v>0.6085710559</v>
      </c>
      <c r="AF1133" s="2">
        <f>IFERROR(__xludf.DUMMYFUNCTION("IFERROR(ABS(R1133-AVERAGE(FILTER(R1133:R5201,AA1133:AA5201=""Neighbor""))) / STDEV(FILTER(R1133:R5201, AA1133:AA5201 =""Neighbor"")), """")"),0.3461216970790422)</f>
        <v>0.3461216971</v>
      </c>
    </row>
    <row r="1134">
      <c r="A1134" s="2" t="s">
        <v>28</v>
      </c>
      <c r="B1134" s="2" t="s">
        <v>4358</v>
      </c>
      <c r="C1134" s="2" t="s">
        <v>4628</v>
      </c>
      <c r="D1134" s="2" t="s">
        <v>4641</v>
      </c>
      <c r="E1134" s="2" t="s">
        <v>4642</v>
      </c>
      <c r="F1134" s="2">
        <v>130.0</v>
      </c>
      <c r="G1134" s="2">
        <v>750.0</v>
      </c>
      <c r="H1134" s="2" t="b">
        <v>1</v>
      </c>
      <c r="I1134" s="2">
        <v>-1.0</v>
      </c>
      <c r="J1134" s="2" t="b">
        <v>0</v>
      </c>
      <c r="K1134" s="2" t="b">
        <v>0</v>
      </c>
      <c r="L1134" s="2" t="b">
        <v>0</v>
      </c>
      <c r="M1134" s="2" t="b">
        <v>0</v>
      </c>
      <c r="N1134" s="2" t="s">
        <v>33</v>
      </c>
      <c r="O1134" s="2">
        <v>76.0</v>
      </c>
      <c r="P1134" s="2">
        <v>42.0</v>
      </c>
      <c r="Q1134" s="2">
        <v>7.0</v>
      </c>
      <c r="R1134" s="2">
        <v>0.0</v>
      </c>
      <c r="S1134" s="3" t="s">
        <v>4643</v>
      </c>
      <c r="T1134" s="2" t="s">
        <v>4644</v>
      </c>
      <c r="Y1134" s="4" t="str">
        <f>IFERROR(__xludf.DUMMYFUNCTION("""COMPUTED_VALUE"""),"6.6637657")</f>
        <v>6.6637657</v>
      </c>
      <c r="Z1134" s="4" t="str">
        <f>IFERROR(__xludf.DUMMYFUNCTION("""COMPUTED_VALUE"""),"3.3511293")</f>
        <v>3.3511293</v>
      </c>
      <c r="AA1134" s="4" t="str">
        <f t="shared" si="1"/>
        <v>Not Neighbor</v>
      </c>
      <c r="AC1134" s="4">
        <f>IFERROR(__xludf.DUMMYFUNCTION("IFERROR(ABS(O1134-AVERAGE(FILTER(O1134:O5202,AA1134:AA5202=""Neighbor""))) / STDEV(FILTER(O1134:O5202, AA1134:AA5202 =""Neighbor"")), """")"),0.30066704553924334)</f>
        <v>0.3006670455</v>
      </c>
      <c r="AD1134" s="4">
        <f>IFERROR(__xludf.DUMMYFUNCTION("IFERROR(ABS(P1134-AVERAGE(FILTER(O1134:P5202,AA1134:AA5202=""Neighbor""))) / STDEV(FILTER(P1134:P5202, AA1134:AA5202 =""Neighbor"")), """")"),0.1121567288548709)</f>
        <v>0.1121567289</v>
      </c>
      <c r="AE1134" s="2">
        <f>IFERROR(__xludf.DUMMYFUNCTION("IFERROR(ABS(Q1134-AVERAGE(FILTER(Q1134:Q5202,AA1134:AA5202=""Neighbor""))) / STDEV(FILTER(Q1134:Q5202, AA1134:AA5202 =""Neighbor"")), """")"),0.7319134149362636)</f>
        <v>0.7319134149</v>
      </c>
      <c r="AF1134" s="2">
        <f>IFERROR(__xludf.DUMMYFUNCTION("IFERROR(ABS(R1134-AVERAGE(FILTER(R1134:R5202,AA1134:AA5202=""Neighbor""))) / STDEV(FILTER(R1134:R5202, AA1134:AA5202 =""Neighbor"")), """")"),0.346277988881607)</f>
        <v>0.3462779889</v>
      </c>
    </row>
    <row r="1135">
      <c r="A1135" s="2" t="s">
        <v>28</v>
      </c>
      <c r="B1135" s="2" t="s">
        <v>4358</v>
      </c>
      <c r="C1135" s="2" t="s">
        <v>4628</v>
      </c>
      <c r="D1135" s="2" t="s">
        <v>4645</v>
      </c>
      <c r="E1135" s="2" t="s">
        <v>4646</v>
      </c>
      <c r="F1135" s="2">
        <v>112.0</v>
      </c>
      <c r="G1135" s="2">
        <v>561.0</v>
      </c>
      <c r="H1135" s="2" t="b">
        <v>1</v>
      </c>
      <c r="I1135" s="2">
        <v>-1.0</v>
      </c>
      <c r="J1135" s="2" t="b">
        <v>0</v>
      </c>
      <c r="K1135" s="2" t="b">
        <v>0</v>
      </c>
      <c r="L1135" s="2" t="b">
        <v>0</v>
      </c>
      <c r="M1135" s="2" t="b">
        <v>0</v>
      </c>
      <c r="N1135" s="2" t="s">
        <v>33</v>
      </c>
      <c r="O1135" s="2">
        <v>65.0</v>
      </c>
      <c r="P1135" s="2">
        <v>38.0</v>
      </c>
      <c r="Q1135" s="2">
        <v>4.0</v>
      </c>
      <c r="R1135" s="2">
        <v>0.0</v>
      </c>
      <c r="S1135" s="3" t="s">
        <v>4647</v>
      </c>
      <c r="T1135" s="2" t="s">
        <v>4648</v>
      </c>
      <c r="Y1135" s="4" t="str">
        <f>IFERROR(__xludf.DUMMYFUNCTION("""COMPUTED_VALUE"""),"6.6844258")</f>
        <v>6.6844258</v>
      </c>
      <c r="Z1135" s="4" t="str">
        <f>IFERROR(__xludf.DUMMYFUNCTION("""COMPUTED_VALUE"""),"3.3691241")</f>
        <v>3.3691241</v>
      </c>
      <c r="AA1135" s="4" t="str">
        <f t="shared" si="1"/>
        <v>Neighbor</v>
      </c>
      <c r="AC1135" s="4">
        <f>IFERROR(__xludf.DUMMYFUNCTION("IFERROR(ABS(O1135-AVERAGE(FILTER(O1135:O5203,AA1135:AA5203=""Neighbor""))) / STDEV(FILTER(O1135:O5203, AA1135:AA5203 =""Neighbor"")), """")"),0.035968953448658324)</f>
        <v>0.03596895345</v>
      </c>
      <c r="AD1135" s="4">
        <f>IFERROR(__xludf.DUMMYFUNCTION("IFERROR(ABS(P1135-AVERAGE(FILTER(O1135:P5203,AA1135:AA5203=""Neighbor""))) / STDEV(FILTER(P1135:P5203, AA1135:AA5203 =""Neighbor"")), """")"),0.07758512067738378)</f>
        <v>0.07758512068</v>
      </c>
      <c r="AE1135" s="2">
        <f>IFERROR(__xludf.DUMMYFUNCTION("IFERROR(ABS(Q1135-AVERAGE(FILTER(Q1135:Q5203,AA1135:AA5203=""Neighbor""))) / STDEV(FILTER(Q1135:Q5203, AA1135:AA5203 =""Neighbor"")), """")"),0.8549193453661632)</f>
        <v>0.8549193454</v>
      </c>
      <c r="AF1135" s="2">
        <f>IFERROR(__xludf.DUMMYFUNCTION("IFERROR(ABS(R1135-AVERAGE(FILTER(R1135:R5203,AA1135:AA5203=""Neighbor""))) / STDEV(FILTER(R1135:R5203, AA1135:AA5203 =""Neighbor"")), """")"),0.346277988881607)</f>
        <v>0.3462779889</v>
      </c>
    </row>
    <row r="1136">
      <c r="A1136" s="2" t="s">
        <v>28</v>
      </c>
      <c r="B1136" s="2" t="s">
        <v>4358</v>
      </c>
      <c r="C1136" s="2" t="s">
        <v>4628</v>
      </c>
      <c r="D1136" s="2" t="s">
        <v>4649</v>
      </c>
      <c r="E1136" s="2" t="s">
        <v>4650</v>
      </c>
      <c r="F1136" s="2">
        <v>129.0</v>
      </c>
      <c r="G1136" s="2">
        <v>566.0</v>
      </c>
      <c r="H1136" s="2" t="b">
        <v>1</v>
      </c>
      <c r="I1136" s="2">
        <v>-1.0</v>
      </c>
      <c r="J1136" s="2" t="b">
        <v>0</v>
      </c>
      <c r="K1136" s="2" t="b">
        <v>0</v>
      </c>
      <c r="L1136" s="2" t="b">
        <v>0</v>
      </c>
      <c r="M1136" s="2" t="b">
        <v>0</v>
      </c>
      <c r="N1136" s="2" t="s">
        <v>33</v>
      </c>
      <c r="O1136" s="2">
        <v>85.0</v>
      </c>
      <c r="P1136" s="2">
        <v>23.0</v>
      </c>
      <c r="Q1136" s="2">
        <v>4.0</v>
      </c>
      <c r="R1136" s="2">
        <v>0.0</v>
      </c>
      <c r="S1136" s="3" t="s">
        <v>4651</v>
      </c>
      <c r="T1136" s="2" t="s">
        <v>4652</v>
      </c>
      <c r="Y1136" s="4" t="str">
        <f>IFERROR(__xludf.DUMMYFUNCTION("""COMPUTED_VALUE"""),"6.6844258")</f>
        <v>6.6844258</v>
      </c>
      <c r="Z1136" s="4" t="str">
        <f>IFERROR(__xludf.DUMMYFUNCTION("""COMPUTED_VALUE"""),"3.3691241")</f>
        <v>3.3691241</v>
      </c>
      <c r="AA1136" s="4" t="str">
        <f t="shared" si="1"/>
        <v>Neighbor</v>
      </c>
      <c r="AC1136" s="4">
        <f>IFERROR(__xludf.DUMMYFUNCTION("IFERROR(ABS(O1136-AVERAGE(FILTER(O1136:O5204,AA1136:AA5204=""Neighbor""))) / STDEV(FILTER(O1136:O5204, AA1136:AA5204 =""Neighbor"")), """")"),0.5170585815995845)</f>
        <v>0.5170585816</v>
      </c>
      <c r="AD1136" s="4">
        <f>IFERROR(__xludf.DUMMYFUNCTION("IFERROR(ABS(P1136-AVERAGE(FILTER(O1136:P5204,AA1136:AA5204=""Neighbor""))) / STDEV(FILTER(P1136:P5204, AA1136:AA5204 =""Neighbor"")), """")"),0.7886985631699374)</f>
        <v>0.7886985632</v>
      </c>
      <c r="AE1136" s="2">
        <f>IFERROR(__xludf.DUMMYFUNCTION("IFERROR(ABS(Q1136-AVERAGE(FILTER(Q1136:Q5204,AA1136:AA5204=""Neighbor""))) / STDEV(FILTER(Q1136:Q5204, AA1136:AA5204 =""Neighbor"")), """")"),0.8555170593582766)</f>
        <v>0.8555170594</v>
      </c>
      <c r="AF1136" s="2">
        <f>IFERROR(__xludf.DUMMYFUNCTION("IFERROR(ABS(R1136-AVERAGE(FILTER(R1136:R5204,AA1136:AA5204=""Neighbor""))) / STDEV(FILTER(R1136:R5204, AA1136:AA5204 =""Neighbor"")), """")"),0.3464344926187418)</f>
        <v>0.3464344926</v>
      </c>
    </row>
    <row r="1137">
      <c r="A1137" s="2" t="s">
        <v>28</v>
      </c>
      <c r="B1137" s="2" t="s">
        <v>4358</v>
      </c>
      <c r="C1137" s="2" t="s">
        <v>4628</v>
      </c>
      <c r="D1137" s="2" t="s">
        <v>4653</v>
      </c>
      <c r="E1137" s="2" t="s">
        <v>4654</v>
      </c>
      <c r="F1137" s="2">
        <v>204.0</v>
      </c>
      <c r="G1137" s="2">
        <v>954.0</v>
      </c>
      <c r="H1137" s="2" t="b">
        <v>1</v>
      </c>
      <c r="I1137" s="2">
        <v>-1.0</v>
      </c>
      <c r="J1137" s="2" t="b">
        <v>0</v>
      </c>
      <c r="K1137" s="2" t="b">
        <v>0</v>
      </c>
      <c r="L1137" s="2" t="b">
        <v>0</v>
      </c>
      <c r="M1137" s="2" t="b">
        <v>0</v>
      </c>
      <c r="N1137" s="2" t="s">
        <v>33</v>
      </c>
      <c r="O1137" s="2">
        <v>93.0</v>
      </c>
      <c r="P1137" s="2">
        <v>84.0</v>
      </c>
      <c r="Q1137" s="2">
        <v>6.0</v>
      </c>
      <c r="R1137" s="2">
        <v>1.0</v>
      </c>
      <c r="S1137" s="3" t="s">
        <v>4655</v>
      </c>
      <c r="T1137" s="2" t="s">
        <v>4656</v>
      </c>
      <c r="Y1137" s="4" t="str">
        <f>IFERROR(__xludf.DUMMYFUNCTION("""COMPUTED_VALUE"""),"6.6779555")</f>
        <v>6.6779555</v>
      </c>
      <c r="Z1137" s="4" t="str">
        <f>IFERROR(__xludf.DUMMYFUNCTION("""COMPUTED_VALUE"""),"3.3595429")</f>
        <v>3.3595429</v>
      </c>
      <c r="AA1137" s="4" t="str">
        <f t="shared" si="1"/>
        <v>Neighbor</v>
      </c>
      <c r="AC1137" s="4">
        <f>IFERROR(__xludf.DUMMYFUNCTION("IFERROR(ABS(O1137-AVERAGE(FILTER(O1137:O5205,AA1137:AA5205=""Neighbor""))) / STDEV(FILTER(O1137:O5205, AA1137:AA5205 =""Neighbor"")), """")"),0.7096963680389223)</f>
        <v>0.709696368</v>
      </c>
      <c r="AD1137" s="4">
        <f>IFERROR(__xludf.DUMMYFUNCTION("IFERROR(ABS(P1137-AVERAGE(FILTER(O1137:P5205,AA1137:AA5205=""Neighbor""))) / STDEV(FILTER(P1137:P5205, AA1137:AA5205 =""Neighbor"")), """")"),2.104797868350324)</f>
        <v>2.104797868</v>
      </c>
      <c r="AE1137" s="2">
        <f>IFERROR(__xludf.DUMMYFUNCTION("IFERROR(ABS(Q1137-AVERAGE(FILTER(Q1137:Q5205,AA1137:AA5205=""Neighbor""))) / STDEV(FILTER(Q1137:Q5205, AA1137:AA5205 =""Neighbor"")), """")"),0.7741298459362245)</f>
        <v>0.7741298459</v>
      </c>
      <c r="AF1137" s="2">
        <f>IFERROR(__xludf.DUMMYFUNCTION("IFERROR(ABS(R1137-AVERAGE(FILTER(R1137:R5205,AA1137:AA5205=""Neighbor""))) / STDEV(FILTER(R1137:R5205, AA1137:AA5205 =""Neighbor"")), """")"),0.8889515152887967)</f>
        <v>0.8889515153</v>
      </c>
    </row>
    <row r="1138">
      <c r="A1138" s="2" t="s">
        <v>28</v>
      </c>
      <c r="B1138" s="2" t="s">
        <v>4358</v>
      </c>
      <c r="C1138" s="2" t="s">
        <v>4628</v>
      </c>
      <c r="D1138" s="2" t="s">
        <v>4657</v>
      </c>
      <c r="E1138" s="2" t="s">
        <v>4658</v>
      </c>
      <c r="F1138" s="2">
        <v>138.0</v>
      </c>
      <c r="G1138" s="2">
        <v>804.0</v>
      </c>
      <c r="H1138" s="2" t="b">
        <v>1</v>
      </c>
      <c r="I1138" s="2">
        <v>-1.0</v>
      </c>
      <c r="J1138" s="2" t="b">
        <v>0</v>
      </c>
      <c r="K1138" s="2" t="b">
        <v>0</v>
      </c>
      <c r="L1138" s="2" t="b">
        <v>0</v>
      </c>
      <c r="M1138" s="2" t="b">
        <v>0</v>
      </c>
      <c r="N1138" s="2" t="s">
        <v>33</v>
      </c>
      <c r="O1138" s="2">
        <v>75.0</v>
      </c>
      <c r="P1138" s="2">
        <v>14.0</v>
      </c>
      <c r="Q1138" s="2">
        <v>9.0</v>
      </c>
      <c r="R1138" s="2">
        <v>0.0</v>
      </c>
      <c r="S1138" s="3" t="s">
        <v>4659</v>
      </c>
      <c r="T1138" s="2" t="s">
        <v>4660</v>
      </c>
      <c r="Y1138" s="4" t="str">
        <f>IFERROR(__xludf.DUMMYFUNCTION("""COMPUTED_VALUE"""),"6.6779555")</f>
        <v>6.6779555</v>
      </c>
      <c r="Z1138" s="4" t="str">
        <f>IFERROR(__xludf.DUMMYFUNCTION("""COMPUTED_VALUE"""),"3.3595429")</f>
        <v>3.3595429</v>
      </c>
      <c r="AA1138" s="4" t="str">
        <f t="shared" si="1"/>
        <v>Neighbor</v>
      </c>
      <c r="AC1138" s="4">
        <f>IFERROR(__xludf.DUMMYFUNCTION("IFERROR(ABS(O1138-AVERAGE(FILTER(O1138:O5206,AA1138:AA5206=""Neighbor""))) / STDEV(FILTER(O1138:O5206, AA1138:AA5206 =""Neighbor"")), """")"),0.2773755111750235)</f>
        <v>0.2773755112</v>
      </c>
      <c r="AD1138" s="4">
        <f>IFERROR(__xludf.DUMMYFUNCTION("IFERROR(ABS(P1138-AVERAGE(FILTER(O1138:P5206,AA1138:AA5206=""Neighbor""))) / STDEV(FILTER(P1138:P5206, AA1138:AA5206 =""Neighbor"")), """")"),1.2174618547645175)</f>
        <v>1.217461855</v>
      </c>
      <c r="AE1138" s="2">
        <f>IFERROR(__xludf.DUMMYFUNCTION("IFERROR(ABS(Q1138-AVERAGE(FILTER(Q1138:Q5206,AA1138:AA5206=""Neighbor""))) / STDEV(FILTER(Q1138:Q5206, AA1138:AA5206 =""Neighbor"")), """")"),0.6516713017402838)</f>
        <v>0.6516713017</v>
      </c>
      <c r="AF1138" s="2">
        <f>IFERROR(__xludf.DUMMYFUNCTION("IFERROR(ABS(R1138-AVERAGE(FILTER(R1138:R5206,AA1138:AA5206=""Neighbor""))) / STDEV(FILTER(R1138:R5206, AA1138:AA5206 =""Neighbor"")), """")"),0.3458427123370597)</f>
        <v>0.3458427123</v>
      </c>
    </row>
    <row r="1139">
      <c r="A1139" s="2" t="s">
        <v>28</v>
      </c>
      <c r="B1139" s="2" t="s">
        <v>4358</v>
      </c>
      <c r="C1139" s="2" t="s">
        <v>4628</v>
      </c>
      <c r="D1139" s="2" t="s">
        <v>4661</v>
      </c>
      <c r="E1139" s="2" t="s">
        <v>4662</v>
      </c>
      <c r="F1139" s="2">
        <v>135.0</v>
      </c>
      <c r="G1139" s="2">
        <v>750.0</v>
      </c>
      <c r="H1139" s="2" t="b">
        <v>1</v>
      </c>
      <c r="I1139" s="2">
        <v>-1.0</v>
      </c>
      <c r="J1139" s="2" t="b">
        <v>0</v>
      </c>
      <c r="K1139" s="2" t="b">
        <v>0</v>
      </c>
      <c r="L1139" s="2" t="b">
        <v>0</v>
      </c>
      <c r="M1139" s="2" t="b">
        <v>0</v>
      </c>
      <c r="N1139" s="2" t="s">
        <v>33</v>
      </c>
      <c r="O1139" s="2">
        <v>67.0</v>
      </c>
      <c r="P1139" s="2">
        <v>32.0</v>
      </c>
      <c r="Q1139" s="2">
        <v>9.0</v>
      </c>
      <c r="R1139" s="2">
        <v>0.0</v>
      </c>
      <c r="S1139" s="3" t="s">
        <v>4663</v>
      </c>
      <c r="T1139" s="2" t="s">
        <v>4664</v>
      </c>
      <c r="Y1139" s="4" t="str">
        <f>IFERROR(__xludf.DUMMYFUNCTION("""COMPUTED_VALUE"""),"6.6779555")</f>
        <v>6.6779555</v>
      </c>
      <c r="Z1139" s="4" t="str">
        <f>IFERROR(__xludf.DUMMYFUNCTION("""COMPUTED_VALUE"""),"3.3595429")</f>
        <v>3.3595429</v>
      </c>
      <c r="AA1139" s="4" t="str">
        <f t="shared" si="1"/>
        <v>Neighbor</v>
      </c>
      <c r="AC1139" s="4">
        <f>IFERROR(__xludf.DUMMYFUNCTION("IFERROR(ABS(O1139-AVERAGE(FILTER(O1139:O5207,AA1139:AA5207=""Neighbor""))) / STDEV(FILTER(O1139:O5207, AA1139:AA5207 =""Neighbor"")), """")"),0.0852338005352209)</f>
        <v>0.08523380054</v>
      </c>
      <c r="AD1139" s="4">
        <f>IFERROR(__xludf.DUMMYFUNCTION("IFERROR(ABS(P1139-AVERAGE(FILTER(O1139:P5207,AA1139:AA5207=""Neighbor""))) / STDEV(FILTER(P1139:P5207, AA1139:AA5207 =""Neighbor"")), """")"),0.36025694126716923)</f>
        <v>0.3602569413</v>
      </c>
      <c r="AE1139" s="2">
        <f>IFERROR(__xludf.DUMMYFUNCTION("IFERROR(ABS(Q1139-AVERAGE(FILTER(Q1139:Q5207,AA1139:AA5207=""Neighbor""))) / STDEV(FILTER(Q1139:Q5207, AA1139:AA5207 =""Neighbor"")), """")"),0.6520470782704694)</f>
        <v>0.6520470783</v>
      </c>
      <c r="AF1139" s="2">
        <f>IFERROR(__xludf.DUMMYFUNCTION("IFERROR(ABS(R1139-AVERAGE(FILTER(R1139:R5207,AA1139:AA5207=""Neighbor""))) / STDEV(FILTER(R1139:R5207, AA1139:AA5207 =""Neighbor"")), """")"),0.34599935650908825)</f>
        <v>0.3459993565</v>
      </c>
    </row>
    <row r="1140">
      <c r="A1140" s="2" t="s">
        <v>28</v>
      </c>
      <c r="B1140" s="2" t="s">
        <v>4358</v>
      </c>
      <c r="C1140" s="2" t="s">
        <v>4628</v>
      </c>
      <c r="D1140" s="2" t="s">
        <v>4665</v>
      </c>
      <c r="E1140" s="2" t="s">
        <v>4666</v>
      </c>
      <c r="F1140" s="2">
        <v>221.0</v>
      </c>
      <c r="G1140" s="2">
        <v>1203.0</v>
      </c>
      <c r="H1140" s="2" t="b">
        <v>1</v>
      </c>
      <c r="I1140" s="2">
        <v>-1.0</v>
      </c>
      <c r="J1140" s="2" t="b">
        <v>1</v>
      </c>
      <c r="K1140" s="2" t="b">
        <v>0</v>
      </c>
      <c r="L1140" s="2" t="b">
        <v>0</v>
      </c>
      <c r="M1140" s="2" t="b">
        <v>0</v>
      </c>
      <c r="N1140" s="2" t="s">
        <v>33</v>
      </c>
      <c r="O1140" s="2">
        <v>0.0</v>
      </c>
      <c r="P1140" s="2">
        <v>0.0</v>
      </c>
      <c r="Q1140" s="2">
        <v>0.0</v>
      </c>
      <c r="R1140" s="2">
        <v>0.0</v>
      </c>
      <c r="S1140" s="3" t="s">
        <v>4667</v>
      </c>
      <c r="T1140" s="2" t="s">
        <v>4668</v>
      </c>
      <c r="Y1140" s="4" t="str">
        <f>IFERROR(__xludf.DUMMYFUNCTION("""COMPUTED_VALUE"""),"6.6779555")</f>
        <v>6.6779555</v>
      </c>
      <c r="Z1140" s="4" t="str">
        <f>IFERROR(__xludf.DUMMYFUNCTION("""COMPUTED_VALUE"""),"3.3595429")</f>
        <v>3.3595429</v>
      </c>
      <c r="AA1140" s="4" t="str">
        <f t="shared" si="1"/>
        <v>Not Neighbor</v>
      </c>
      <c r="AC1140" s="4">
        <f>IFERROR(__xludf.DUMMYFUNCTION("IFERROR(ABS(O1140-AVERAGE(FILTER(O1140:O5208,AA1140:AA5208=""Neighbor""))) / STDEV(FILTER(O1140:O5208, AA1140:AA5208 =""Neighbor"")), """")"),1.5242824450864754)</f>
        <v>1.524282445</v>
      </c>
      <c r="AD1140" s="4">
        <f>IFERROR(__xludf.DUMMYFUNCTION("IFERROR(ABS(P1140-AVERAGE(FILTER(O1140:P5208,AA1140:AA5208=""Neighbor""))) / STDEV(FILTER(P1140:P5208, AA1140:AA5208 =""Neighbor"")), """")"),1.882282716909776)</f>
        <v>1.882282717</v>
      </c>
      <c r="AE1140" s="2">
        <f>IFERROR(__xludf.DUMMYFUNCTION("IFERROR(ABS(Q1140-AVERAGE(FILTER(Q1140:Q5208,AA1140:AA5208=""Neighbor""))) / STDEV(FILTER(Q1140:Q5208, AA1140:AA5208 =""Neighbor"")), """")"),1.0211297674565416)</f>
        <v>1.021129767</v>
      </c>
      <c r="AF1140" s="2">
        <f>IFERROR(__xludf.DUMMYFUNCTION("IFERROR(ABS(R1140-AVERAGE(FILTER(R1140:R5208,AA1140:AA5208=""Neighbor""))) / STDEV(FILTER(R1140:R5208, AA1140:AA5208 =""Neighbor"")), """")"),0.3461562137447713)</f>
        <v>0.3461562137</v>
      </c>
    </row>
    <row r="1141">
      <c r="A1141" s="2" t="s">
        <v>28</v>
      </c>
      <c r="B1141" s="2" t="s">
        <v>4358</v>
      </c>
      <c r="C1141" s="2" t="s">
        <v>4628</v>
      </c>
      <c r="D1141" s="2" t="s">
        <v>4669</v>
      </c>
      <c r="E1141" s="2" t="s">
        <v>4670</v>
      </c>
      <c r="F1141" s="2">
        <v>151.0</v>
      </c>
      <c r="G1141" s="2">
        <v>491.0</v>
      </c>
      <c r="H1141" s="2" t="b">
        <v>1</v>
      </c>
      <c r="I1141" s="2">
        <v>-1.0</v>
      </c>
      <c r="J1141" s="2" t="b">
        <v>1</v>
      </c>
      <c r="K1141" s="2" t="b">
        <v>0</v>
      </c>
      <c r="L1141" s="2" t="b">
        <v>0</v>
      </c>
      <c r="M1141" s="2" t="b">
        <v>0</v>
      </c>
      <c r="N1141" s="2" t="s">
        <v>33</v>
      </c>
      <c r="O1141" s="2">
        <v>89.0</v>
      </c>
      <c r="P1141" s="2">
        <v>35.0</v>
      </c>
      <c r="Q1141" s="2">
        <v>8.0</v>
      </c>
      <c r="R1141" s="2">
        <v>2.0</v>
      </c>
      <c r="S1141" s="3" t="s">
        <v>4671</v>
      </c>
      <c r="T1141" s="2" t="s">
        <v>4672</v>
      </c>
      <c r="Y1141" s="4" t="str">
        <f>IFERROR(__xludf.DUMMYFUNCTION("""COMPUTED_VALUE"""),"6.7095699")</f>
        <v>6.7095699</v>
      </c>
      <c r="Z1141" s="4" t="str">
        <f>IFERROR(__xludf.DUMMYFUNCTION("""COMPUTED_VALUE"""),"3.3056885")</f>
        <v>3.3056885</v>
      </c>
      <c r="AA1141" s="4" t="str">
        <f t="shared" si="1"/>
        <v>Not Neighbor</v>
      </c>
      <c r="AC1141" s="4">
        <f>IFERROR(__xludf.DUMMYFUNCTION("IFERROR(ABS(O1141-AVERAGE(FILTER(O1141:O5209,AA1141:AA5209=""Neighbor""))) / STDEV(FILTER(O1141:O5209, AA1141:AA5209 =""Neighbor"")), """")"),0.6137778350492528)</f>
        <v>0.613777835</v>
      </c>
      <c r="AD1141" s="4">
        <f>IFERROR(__xludf.DUMMYFUNCTION("IFERROR(ABS(P1141-AVERAGE(FILTER(O1141:P5209,AA1141:AA5209=""Neighbor""))) / STDEV(FILTER(P1141:P5209, AA1141:AA5209 =""Neighbor"")), """")"),0.21708488928955025)</f>
        <v>0.2170848893</v>
      </c>
      <c r="AE1141" s="2">
        <f>IFERROR(__xludf.DUMMYFUNCTION("IFERROR(ABS(Q1141-AVERAGE(FILTER(Q1141:Q5209,AA1141:AA5209=""Neighbor""))) / STDEV(FILTER(Q1141:Q5209, AA1141:AA5209 =""Neighbor"")), """")"),0.6933908681675444)</f>
        <v>0.6933908682</v>
      </c>
      <c r="AF1141" s="2">
        <f>IFERROR(__xludf.DUMMYFUNCTION("IFERROR(ABS(R1141-AVERAGE(FILTER(R1141:R5209,AA1141:AA5209=""Neighbor""))) / STDEV(FILTER(R1141:R5209, AA1141:AA5209 =""Neighbor"")), """")"),2.1229580507699555)</f>
        <v>2.122958051</v>
      </c>
    </row>
    <row r="1142">
      <c r="A1142" s="2" t="s">
        <v>28</v>
      </c>
      <c r="B1142" s="2" t="s">
        <v>4358</v>
      </c>
      <c r="C1142" s="2" t="s">
        <v>4628</v>
      </c>
      <c r="D1142" s="2" t="s">
        <v>4673</v>
      </c>
      <c r="E1142" s="2" t="s">
        <v>4674</v>
      </c>
      <c r="F1142" s="2">
        <v>95.0</v>
      </c>
      <c r="G1142" s="2">
        <v>486.0</v>
      </c>
      <c r="H1142" s="2" t="b">
        <v>1</v>
      </c>
      <c r="I1142" s="2">
        <v>-1.0</v>
      </c>
      <c r="J1142" s="2" t="b">
        <v>0</v>
      </c>
      <c r="K1142" s="2" t="b">
        <v>1</v>
      </c>
      <c r="L1142" s="2" t="b">
        <v>0</v>
      </c>
      <c r="M1142" s="2" t="b">
        <v>0</v>
      </c>
      <c r="N1142" s="2" t="s">
        <v>33</v>
      </c>
      <c r="O1142" s="2">
        <v>64.0</v>
      </c>
      <c r="P1142" s="2">
        <v>19.0</v>
      </c>
      <c r="Q1142" s="2">
        <v>6.0</v>
      </c>
      <c r="R1142" s="2">
        <v>0.0</v>
      </c>
      <c r="S1142" s="3" t="s">
        <v>4675</v>
      </c>
      <c r="T1142" s="2" t="s">
        <v>4676</v>
      </c>
      <c r="Y1142" s="4" t="str">
        <f>IFERROR(__xludf.DUMMYFUNCTION("""COMPUTED_VALUE"""),"6.6890633")</f>
        <v>6.6890633</v>
      </c>
      <c r="Z1142" s="4" t="str">
        <f>IFERROR(__xludf.DUMMYFUNCTION("""COMPUTED_VALUE"""),"3.3504249")</f>
        <v>3.3504249</v>
      </c>
      <c r="AA1142" s="4" t="str">
        <f t="shared" si="1"/>
        <v>Neighbor</v>
      </c>
      <c r="AC1142" s="4">
        <f>IFERROR(__xludf.DUMMYFUNCTION("IFERROR(ABS(O1142-AVERAGE(FILTER(O1142:O5210,AA1142:AA5210=""Neighbor""))) / STDEV(FILTER(O1142:O5210, AA1142:AA5210 =""Neighbor"")), """")"),0.013199104674048228)</f>
        <v>0.01319910467</v>
      </c>
      <c r="AD1142" s="4">
        <f>IFERROR(__xludf.DUMMYFUNCTION("IFERROR(ABS(P1142-AVERAGE(FILTER(O1142:P5210,AA1142:AA5210=""Neighbor""))) / STDEV(FILTER(P1142:P5210, AA1142:AA5210 =""Neighbor"")), """")"),0.9783181819159391)</f>
        <v>0.9783181819</v>
      </c>
      <c r="AE1142" s="2">
        <f>IFERROR(__xludf.DUMMYFUNCTION("IFERROR(ABS(Q1142-AVERAGE(FILTER(Q1142:Q5210,AA1142:AA5210=""Neighbor""))) / STDEV(FILTER(Q1142:Q5210, AA1142:AA5210 =""Neighbor"")), """")"),0.7753255929897938)</f>
        <v>0.775325593</v>
      </c>
      <c r="AF1142" s="2">
        <f>IFERROR(__xludf.DUMMYFUNCTION("IFERROR(ABS(R1142-AVERAGE(FILTER(R1142:R5210,AA1142:AA5210=""Neighbor""))) / STDEV(FILTER(R1142:R5210, AA1142:AA5210 =""Neighbor"")), """")"),0.3461562137447713)</f>
        <v>0.3461562137</v>
      </c>
    </row>
    <row r="1143">
      <c r="A1143" s="2" t="s">
        <v>28</v>
      </c>
      <c r="B1143" s="2" t="s">
        <v>4358</v>
      </c>
      <c r="C1143" s="2" t="s">
        <v>4628</v>
      </c>
      <c r="D1143" s="2" t="s">
        <v>4677</v>
      </c>
      <c r="E1143" s="2" t="s">
        <v>4678</v>
      </c>
      <c r="F1143" s="2">
        <v>138.0</v>
      </c>
      <c r="G1143" s="2">
        <v>624.0</v>
      </c>
      <c r="H1143" s="2" t="b">
        <v>1</v>
      </c>
      <c r="I1143" s="2">
        <v>-1.0</v>
      </c>
      <c r="J1143" s="2" t="b">
        <v>0</v>
      </c>
      <c r="K1143" s="2" t="b">
        <v>0</v>
      </c>
      <c r="L1143" s="2" t="b">
        <v>0</v>
      </c>
      <c r="M1143" s="2" t="b">
        <v>0</v>
      </c>
      <c r="N1143" s="2" t="s">
        <v>33</v>
      </c>
      <c r="O1143" s="2">
        <v>78.0</v>
      </c>
      <c r="P1143" s="2">
        <v>29.0</v>
      </c>
      <c r="Q1143" s="2">
        <v>7.0</v>
      </c>
      <c r="R1143" s="2">
        <v>0.0</v>
      </c>
      <c r="S1143" s="3" t="s">
        <v>4679</v>
      </c>
      <c r="T1143" s="2" t="s">
        <v>4680</v>
      </c>
      <c r="Y1143" s="4" t="str">
        <f>IFERROR(__xludf.DUMMYFUNCTION("""COMPUTED_VALUE"""),"6.6890633")</f>
        <v>6.6890633</v>
      </c>
      <c r="Z1143" s="4" t="str">
        <f>IFERROR(__xludf.DUMMYFUNCTION("""COMPUTED_VALUE"""),"3.3504249")</f>
        <v>3.3504249</v>
      </c>
      <c r="AA1143" s="4" t="str">
        <f t="shared" si="1"/>
        <v>Not Neighbor</v>
      </c>
      <c r="AC1143" s="4">
        <f>IFERROR(__xludf.DUMMYFUNCTION("IFERROR(ABS(O1143-AVERAGE(FILTER(O1143:O5211,AA1143:AA5211=""Neighbor""))) / STDEV(FILTER(O1143:O5211, AA1143:AA5211 =""Neighbor"")), """")"),0.34939215326673395)</f>
        <v>0.3493921533</v>
      </c>
      <c r="AD1143" s="4">
        <f>IFERROR(__xludf.DUMMYFUNCTION("IFERROR(ABS(P1143-AVERAGE(FILTER(O1143:P5211,AA1143:AA5211=""Neighbor""))) / STDEV(FILTER(P1143:P5211, AA1143:AA5211 =""Neighbor"")), """")"),0.5022739241776026)</f>
        <v>0.5022739242</v>
      </c>
      <c r="AE1143" s="2">
        <f>IFERROR(__xludf.DUMMYFUNCTION("IFERROR(ABS(Q1143-AVERAGE(FILTER(Q1143:Q5211,AA1143:AA5211=""Neighbor""))) / STDEV(FILTER(Q1143:Q5211, AA1143:AA5211 =""Neighbor"")), """")"),0.7348682380617969)</f>
        <v>0.7348682381</v>
      </c>
      <c r="AF1143" s="2">
        <f>IFERROR(__xludf.DUMMYFUNCTION("IFERROR(ABS(R1143-AVERAGE(FILTER(R1143:R5211,AA1143:AA5211=""Neighbor""))) / STDEV(FILTER(R1143:R5211, AA1143:AA5211 =""Neighbor"")), """")"),0.34631328452759724)</f>
        <v>0.3463132845</v>
      </c>
    </row>
    <row r="1144">
      <c r="A1144" s="2" t="s">
        <v>28</v>
      </c>
      <c r="B1144" s="2" t="s">
        <v>4358</v>
      </c>
      <c r="C1144" s="2" t="s">
        <v>4628</v>
      </c>
      <c r="D1144" s="2" t="s">
        <v>4681</v>
      </c>
      <c r="E1144" s="2" t="s">
        <v>4682</v>
      </c>
      <c r="F1144" s="2">
        <v>256.0</v>
      </c>
      <c r="G1144" s="2">
        <v>2177.0</v>
      </c>
      <c r="H1144" s="2" t="b">
        <v>1</v>
      </c>
      <c r="I1144" s="2">
        <v>-1.0</v>
      </c>
      <c r="J1144" s="2" t="b">
        <v>0</v>
      </c>
      <c r="K1144" s="2" t="b">
        <v>1</v>
      </c>
      <c r="L1144" s="2" t="b">
        <v>0</v>
      </c>
      <c r="M1144" s="2" t="b">
        <v>0</v>
      </c>
      <c r="N1144" s="2" t="s">
        <v>33</v>
      </c>
      <c r="O1144" s="2">
        <v>58.0</v>
      </c>
      <c r="P1144" s="2">
        <v>32.0</v>
      </c>
      <c r="Q1144" s="2">
        <v>10.0</v>
      </c>
      <c r="R1144" s="2">
        <v>0.0</v>
      </c>
      <c r="S1144" s="3" t="s">
        <v>4683</v>
      </c>
      <c r="T1144" s="2" t="s">
        <v>4684</v>
      </c>
      <c r="Y1144" s="4" t="str">
        <f>IFERROR(__xludf.DUMMYFUNCTION("""COMPUTED_VALUE"""),"6.6779555")</f>
        <v>6.6779555</v>
      </c>
      <c r="Z1144" s="4" t="str">
        <f>IFERROR(__xludf.DUMMYFUNCTION("""COMPUTED_VALUE"""),"3.3595429")</f>
        <v>3.3595429</v>
      </c>
      <c r="AA1144" s="4" t="str">
        <f t="shared" si="1"/>
        <v>Neighbor</v>
      </c>
      <c r="AC1144" s="4">
        <f>IFERROR(__xludf.DUMMYFUNCTION("IFERROR(ABS(O1144-AVERAGE(FILTER(O1144:O5212,AA1144:AA5212=""Neighbor""))) / STDEV(FILTER(O1144:O5212, AA1144:AA5212 =""Neighbor"")), """")"),0.13087599052131843)</f>
        <v>0.1308759905</v>
      </c>
      <c r="AD1144" s="4">
        <f>IFERROR(__xludf.DUMMYFUNCTION("IFERROR(ABS(P1144-AVERAGE(FILTER(O1144:P5212,AA1144:AA5212=""Neighbor""))) / STDEV(FILTER(P1144:P5212, AA1144:AA5212 =""Neighbor"")), """")"),0.35959912418275136)</f>
        <v>0.3595991242</v>
      </c>
      <c r="AE1144" s="2">
        <f>IFERROR(__xludf.DUMMYFUNCTION("IFERROR(ABS(Q1144-AVERAGE(FILTER(Q1144:Q5212,AA1144:AA5212=""Neighbor""))) / STDEV(FILTER(Q1144:Q5212, AA1144:AA5212 =""Neighbor"")), """")"),0.6119860169781847)</f>
        <v>0.611986017</v>
      </c>
      <c r="AF1144" s="2">
        <f>IFERROR(__xludf.DUMMYFUNCTION("IFERROR(ABS(R1144-AVERAGE(FILTER(R1144:R5212,AA1144:AA5212=""Neighbor""))) / STDEV(FILTER(R1144:R5212, AA1144:AA5212 =""Neighbor"")), """")"),0.34631328452759724)</f>
        <v>0.3463132845</v>
      </c>
    </row>
    <row r="1145">
      <c r="A1145" s="2" t="s">
        <v>28</v>
      </c>
      <c r="B1145" s="2" t="s">
        <v>4358</v>
      </c>
      <c r="C1145" s="2" t="s">
        <v>4628</v>
      </c>
      <c r="D1145" s="2" t="s">
        <v>4685</v>
      </c>
      <c r="E1145" s="2" t="s">
        <v>4686</v>
      </c>
      <c r="F1145" s="2">
        <v>226.0</v>
      </c>
      <c r="G1145" s="2">
        <v>1457.0</v>
      </c>
      <c r="H1145" s="2" t="b">
        <v>1</v>
      </c>
      <c r="I1145" s="2">
        <v>-1.0</v>
      </c>
      <c r="J1145" s="2" t="b">
        <v>0</v>
      </c>
      <c r="K1145" s="2" t="b">
        <v>0</v>
      </c>
      <c r="L1145" s="2" t="b">
        <v>0</v>
      </c>
      <c r="M1145" s="2" t="b">
        <v>0</v>
      </c>
      <c r="N1145" s="2" t="s">
        <v>33</v>
      </c>
      <c r="O1145" s="2">
        <v>96.0</v>
      </c>
      <c r="P1145" s="2">
        <v>77.0</v>
      </c>
      <c r="Q1145" s="2">
        <v>5.0</v>
      </c>
      <c r="R1145" s="2">
        <v>2.0</v>
      </c>
      <c r="S1145" s="3" t="s">
        <v>4687</v>
      </c>
      <c r="T1145" s="2" t="s">
        <v>4688</v>
      </c>
      <c r="Y1145" s="4" t="str">
        <f>IFERROR(__xludf.DUMMYFUNCTION("""COMPUTED_VALUE"""),"6.6779555")</f>
        <v>6.6779555</v>
      </c>
      <c r="Z1145" s="4" t="str">
        <f>IFERROR(__xludf.DUMMYFUNCTION("""COMPUTED_VALUE"""),"3.3595429")</f>
        <v>3.3595429</v>
      </c>
      <c r="AA1145" s="4" t="str">
        <f t="shared" si="1"/>
        <v>Not Neighbor</v>
      </c>
      <c r="AC1145" s="4">
        <f>IFERROR(__xludf.DUMMYFUNCTION("IFERROR(ABS(O1145-AVERAGE(FILTER(O1145:O5213,AA1145:AA5213=""Neighbor""))) / STDEV(FILTER(O1145:O5213, AA1145:AA5213 =""Neighbor"")), """")"),0.7812154445628706)</f>
        <v>0.7812154446</v>
      </c>
      <c r="AD1145" s="4">
        <f>IFERROR(__xludf.DUMMYFUNCTION("IFERROR(ABS(P1145-AVERAGE(FILTER(O1145:P5213,AA1145:AA5213=""Neighbor""))) / STDEV(FILTER(P1145:P5213, AA1145:AA5213 =""Neighbor"")), """")"),1.780446086325553)</f>
        <v>1.780446086</v>
      </c>
      <c r="AE1145" s="2">
        <f>IFERROR(__xludf.DUMMYFUNCTION("IFERROR(ABS(Q1145-AVERAGE(FILTER(Q1145:Q5213,AA1145:AA5213=""Neighbor""))) / STDEV(FILTER(Q1145:Q5213, AA1145:AA5213 =""Neighbor"")), """")"),0.8170790083159132)</f>
        <v>0.8170790083</v>
      </c>
      <c r="AF1145" s="2">
        <f>IFERROR(__xludf.DUMMYFUNCTION("IFERROR(ABS(R1145-AVERAGE(FILTER(R1145:R5213,AA1145:AA5213=""Neighbor""))) / STDEV(FILTER(R1145:R5213, AA1145:AA5213 =""Neighbor"")), """")"),2.1208805371896258)</f>
        <v>2.120880537</v>
      </c>
    </row>
    <row r="1146">
      <c r="A1146" s="2" t="s">
        <v>28</v>
      </c>
      <c r="B1146" s="2" t="s">
        <v>4358</v>
      </c>
      <c r="C1146" s="2" t="s">
        <v>4628</v>
      </c>
      <c r="D1146" s="2" t="s">
        <v>4689</v>
      </c>
      <c r="E1146" s="2" t="s">
        <v>4690</v>
      </c>
      <c r="F1146" s="2">
        <v>74.0</v>
      </c>
      <c r="G1146" s="2">
        <v>402.0</v>
      </c>
      <c r="H1146" s="2" t="b">
        <v>1</v>
      </c>
      <c r="I1146" s="2">
        <v>-1.0</v>
      </c>
      <c r="J1146" s="2" t="b">
        <v>0</v>
      </c>
      <c r="K1146" s="2" t="b">
        <v>0</v>
      </c>
      <c r="L1146" s="2" t="b">
        <v>0</v>
      </c>
      <c r="M1146" s="2" t="b">
        <v>0</v>
      </c>
      <c r="N1146" s="2" t="s">
        <v>33</v>
      </c>
      <c r="O1146" s="2">
        <v>38.0</v>
      </c>
      <c r="P1146" s="2">
        <v>15.0</v>
      </c>
      <c r="Q1146" s="2">
        <v>14.0</v>
      </c>
      <c r="R1146" s="2">
        <v>0.0</v>
      </c>
      <c r="S1146" s="3" t="s">
        <v>4691</v>
      </c>
      <c r="T1146" s="2" t="s">
        <v>4692</v>
      </c>
      <c r="Y1146" s="4" t="str">
        <f>IFERROR(__xludf.DUMMYFUNCTION("""COMPUTED_VALUE"""),"6.675195")</f>
        <v>6.675195</v>
      </c>
      <c r="Z1146" s="4" t="str">
        <f>IFERROR(__xludf.DUMMYFUNCTION("""COMPUTED_VALUE"""),"3.317876")</f>
        <v>3.317876</v>
      </c>
      <c r="AA1146" s="4" t="str">
        <f t="shared" si="1"/>
        <v>Neighbor</v>
      </c>
      <c r="AC1146" s="4">
        <f>IFERROR(__xludf.DUMMYFUNCTION("IFERROR(ABS(O1146-AVERAGE(FILTER(O1146:O5214,AA1146:AA5214=""Neighbor""))) / STDEV(FILTER(O1146:O5214, AA1146:AA5214 =""Neighbor"")), """")"),0.6110064929542004)</f>
        <v>0.611006493</v>
      </c>
      <c r="AD1146" s="4">
        <f>IFERROR(__xludf.DUMMYFUNCTION("IFERROR(ABS(P1146-AVERAGE(FILTER(O1146:P5214,AA1146:AA5214=""Neighbor""))) / STDEV(FILTER(P1146:P5214, AA1146:AA5214 =""Neighbor"")), """")"),1.1676916517600968)</f>
        <v>1.167691652</v>
      </c>
      <c r="AE1146" s="2">
        <f>IFERROR(__xludf.DUMMYFUNCTION("IFERROR(ABS(Q1146-AVERAGE(FILTER(Q1146:Q5214,AA1146:AA5214=""Neighbor""))) / STDEV(FILTER(Q1146:Q5214, AA1146:AA5214 =""Neighbor"")), """")"),0.4485259188924796)</f>
        <v>0.4485259189</v>
      </c>
      <c r="AF1146" s="2">
        <f>IFERROR(__xludf.DUMMYFUNCTION("IFERROR(ABS(R1146-AVERAGE(FILTER(R1146:R5214,AA1146:AA5214=""Neighbor""))) / STDEV(FILTER(R1146:R5214, AA1146:AA5214 =""Neighbor"")), """")"),0.34647056934259235)</f>
        <v>0.3464705693</v>
      </c>
    </row>
    <row r="1147">
      <c r="A1147" s="2" t="s">
        <v>28</v>
      </c>
      <c r="B1147" s="2" t="s">
        <v>4358</v>
      </c>
      <c r="C1147" s="2" t="s">
        <v>4628</v>
      </c>
      <c r="D1147" s="2" t="s">
        <v>4693</v>
      </c>
      <c r="E1147" s="2" t="s">
        <v>4694</v>
      </c>
      <c r="F1147" s="2">
        <v>67.0</v>
      </c>
      <c r="G1147" s="2">
        <v>587.0</v>
      </c>
      <c r="H1147" s="2" t="b">
        <v>1</v>
      </c>
      <c r="I1147" s="2">
        <v>-1.0</v>
      </c>
      <c r="J1147" s="2" t="b">
        <v>1</v>
      </c>
      <c r="K1147" s="2" t="b">
        <v>1</v>
      </c>
      <c r="L1147" s="2" t="b">
        <v>0</v>
      </c>
      <c r="M1147" s="2" t="b">
        <v>0</v>
      </c>
      <c r="N1147" s="2" t="s">
        <v>33</v>
      </c>
      <c r="O1147" s="2">
        <v>33.0</v>
      </c>
      <c r="P1147" s="2">
        <v>10.0</v>
      </c>
      <c r="Q1147" s="2">
        <v>5.0</v>
      </c>
      <c r="R1147" s="2">
        <v>0.0</v>
      </c>
      <c r="S1147" s="3" t="s">
        <v>4695</v>
      </c>
      <c r="T1147" s="2" t="s">
        <v>4696</v>
      </c>
      <c r="Y1147" s="4" t="str">
        <f>IFERROR(__xludf.DUMMYFUNCTION("""COMPUTED_VALUE"""),"6.675195")</f>
        <v>6.675195</v>
      </c>
      <c r="Z1147" s="4" t="str">
        <f>IFERROR(__xludf.DUMMYFUNCTION("""COMPUTED_VALUE"""),"3.317876")</f>
        <v>3.317876</v>
      </c>
      <c r="AA1147" s="4" t="str">
        <f t="shared" si="1"/>
        <v>Not Neighbor</v>
      </c>
      <c r="AC1147" s="4">
        <f>IFERROR(__xludf.DUMMYFUNCTION("IFERROR(ABS(O1147-AVERAGE(FILTER(O1147:O5215,AA1147:AA5215=""Neighbor""))) / STDEV(FILTER(O1147:O5215, AA1147:AA5215 =""Neighbor"")), """")"),0.7313357854211708)</f>
        <v>0.7313357854</v>
      </c>
      <c r="AD1147" s="4">
        <f>IFERROR(__xludf.DUMMYFUNCTION("IFERROR(ABS(P1147-AVERAGE(FILTER(O1147:P5215,AA1147:AA5215=""Neighbor""))) / STDEV(FILTER(P1147:P5215, AA1147:AA5215 =""Neighbor"")), """")"),1.4053784344320894)</f>
        <v>1.405378434</v>
      </c>
      <c r="AE1147" s="2">
        <f>IFERROR(__xludf.DUMMYFUNCTION("IFERROR(ABS(Q1147-AVERAGE(FILTER(Q1147:Q5215,AA1147:AA5215=""Neighbor""))) / STDEV(FILTER(Q1147:Q5215, AA1147:AA5215 =""Neighbor"")), """")"),0.8171781061550382)</f>
        <v>0.8171781062</v>
      </c>
      <c r="AF1147" s="2">
        <f>IFERROR(__xludf.DUMMYFUNCTION("IFERROR(ABS(R1147-AVERAGE(FILTER(R1147:R5215,AA1147:AA5215=""Neighbor""))) / STDEV(FILTER(R1147:R5215, AA1147:AA5215 =""Neighbor"")), """")"),0.34662806867632645)</f>
        <v>0.3466280687</v>
      </c>
    </row>
    <row r="1148">
      <c r="A1148" s="2" t="s">
        <v>28</v>
      </c>
      <c r="B1148" s="2" t="s">
        <v>4358</v>
      </c>
      <c r="C1148" s="2" t="s">
        <v>4628</v>
      </c>
      <c r="D1148" s="2" t="s">
        <v>4697</v>
      </c>
      <c r="E1148" s="2" t="s">
        <v>4698</v>
      </c>
      <c r="F1148" s="2">
        <v>112.0</v>
      </c>
      <c r="G1148" s="2">
        <v>703.0</v>
      </c>
      <c r="H1148" s="2" t="b">
        <v>1</v>
      </c>
      <c r="I1148" s="2">
        <v>-1.0</v>
      </c>
      <c r="J1148" s="2" t="b">
        <v>0</v>
      </c>
      <c r="K1148" s="2" t="b">
        <v>0</v>
      </c>
      <c r="L1148" s="2" t="b">
        <v>0</v>
      </c>
      <c r="M1148" s="2" t="b">
        <v>0</v>
      </c>
      <c r="N1148" s="2" t="s">
        <v>33</v>
      </c>
      <c r="O1148" s="2">
        <v>49.0</v>
      </c>
      <c r="P1148" s="2">
        <v>49.0</v>
      </c>
      <c r="Q1148" s="2">
        <v>6.0</v>
      </c>
      <c r="R1148" s="2">
        <v>1.0</v>
      </c>
      <c r="S1148" s="3" t="s">
        <v>4699</v>
      </c>
      <c r="T1148" s="2" t="s">
        <v>4700</v>
      </c>
      <c r="Y1148" s="4" t="str">
        <f>IFERROR(__xludf.DUMMYFUNCTION("""COMPUTED_VALUE"""),"6.6781573")</f>
        <v>6.6781573</v>
      </c>
      <c r="Z1148" s="4" t="str">
        <f>IFERROR(__xludf.DUMMYFUNCTION("""COMPUTED_VALUE"""),"3.3486751")</f>
        <v>3.3486751</v>
      </c>
      <c r="AA1148" s="4" t="str">
        <f t="shared" si="1"/>
        <v>Neighbor</v>
      </c>
      <c r="AC1148" s="4">
        <f>IFERROR(__xludf.DUMMYFUNCTION("IFERROR(ABS(O1148-AVERAGE(FILTER(O1148:O5216,AA1148:AA5216=""Neighbor""))) / STDEV(FILTER(O1148:O5216, AA1148:AA5216 =""Neighbor"")), """")"),0.34737231401892155)</f>
        <v>0.347372314</v>
      </c>
      <c r="AD1148" s="4">
        <f>IFERROR(__xludf.DUMMYFUNCTION("IFERROR(ABS(P1148-AVERAGE(FILTER(O1148:P5216,AA1148:AA5216=""Neighbor""))) / STDEV(FILTER(P1148:P5216, AA1148:AA5216 =""Neighbor"")), """")"),0.4483426524186607)</f>
        <v>0.4483426524</v>
      </c>
      <c r="AE1148" s="2">
        <f>IFERROR(__xludf.DUMMYFUNCTION("IFERROR(ABS(Q1148-AVERAGE(FILTER(Q1148:Q5216,AA1148:AA5216=""Neighbor""))) / STDEV(FILTER(Q1148:Q5216, AA1148:AA5216 =""Neighbor"")), """")"),0.7762410513112319)</f>
        <v>0.7762410513</v>
      </c>
      <c r="AF1148" s="2">
        <f>IFERROR(__xludf.DUMMYFUNCTION("IFERROR(ABS(R1148-AVERAGE(FILTER(R1148:R5216,AA1148:AA5216=""Neighbor""))) / STDEV(FILTER(R1148:R5216, AA1148:AA5216 =""Neighbor"")), """")"),0.8866064762385807)</f>
        <v>0.8866064762</v>
      </c>
    </row>
    <row r="1149">
      <c r="A1149" s="2" t="s">
        <v>28</v>
      </c>
      <c r="B1149" s="2" t="s">
        <v>4358</v>
      </c>
      <c r="C1149" s="2" t="s">
        <v>4628</v>
      </c>
      <c r="D1149" s="2" t="s">
        <v>4701</v>
      </c>
      <c r="E1149" s="2" t="s">
        <v>4702</v>
      </c>
      <c r="F1149" s="2">
        <v>73.0</v>
      </c>
      <c r="G1149" s="2">
        <v>418.0</v>
      </c>
      <c r="H1149" s="2" t="b">
        <v>1</v>
      </c>
      <c r="I1149" s="2">
        <v>-1.0</v>
      </c>
      <c r="J1149" s="2" t="b">
        <v>0</v>
      </c>
      <c r="K1149" s="2" t="b">
        <v>0</v>
      </c>
      <c r="L1149" s="2" t="b">
        <v>0</v>
      </c>
      <c r="M1149" s="2" t="b">
        <v>0</v>
      </c>
      <c r="N1149" s="2" t="s">
        <v>33</v>
      </c>
      <c r="O1149" s="2">
        <v>40.0</v>
      </c>
      <c r="P1149" s="2">
        <v>11.0</v>
      </c>
      <c r="Q1149" s="2">
        <v>13.0</v>
      </c>
      <c r="R1149" s="2">
        <v>1.0</v>
      </c>
      <c r="S1149" s="3" t="s">
        <v>4703</v>
      </c>
      <c r="T1149" s="2" t="s">
        <v>4704</v>
      </c>
      <c r="Y1149" s="4" t="str">
        <f>IFERROR(__xludf.DUMMYFUNCTION("""COMPUTED_VALUE"""),"6.6781573")</f>
        <v>6.6781573</v>
      </c>
      <c r="Z1149" s="4" t="str">
        <f>IFERROR(__xludf.DUMMYFUNCTION("""COMPUTED_VALUE"""),"3.3486751")</f>
        <v>3.3486751</v>
      </c>
      <c r="AA1149" s="4" t="str">
        <f t="shared" si="1"/>
        <v>Neighbor</v>
      </c>
      <c r="AC1149" s="4">
        <f>IFERROR(__xludf.DUMMYFUNCTION("IFERROR(ABS(O1149-AVERAGE(FILTER(O1149:O5217,AA1149:AA5217=""Neighbor""))) / STDEV(FILTER(O1149:O5217, AA1149:AA5217 =""Neighbor"")), """")"),0.5634326775810559)</f>
        <v>0.5634326776</v>
      </c>
      <c r="AD1149" s="4">
        <f>IFERROR(__xludf.DUMMYFUNCTION("IFERROR(ABS(P1149-AVERAGE(FILTER(O1149:P5217,AA1149:AA5217=""Neighbor""))) / STDEV(FILTER(P1149:P5217, AA1149:AA5217 =""Neighbor"")), """")"),1.358319172056413)</f>
        <v>1.358319172</v>
      </c>
      <c r="AE1149" s="2">
        <f>IFERROR(__xludf.DUMMYFUNCTION("IFERROR(ABS(Q1149-AVERAGE(FILTER(Q1149:Q5217,AA1149:AA5217=""Neighbor""))) / STDEV(FILTER(Q1149:Q5217, AA1149:AA5217 =""Neighbor"")), """")"),0.4902335927625816)</f>
        <v>0.4902335928</v>
      </c>
      <c r="AF1149" s="2">
        <f>IFERROR(__xludf.DUMMYFUNCTION("IFERROR(ABS(R1149-AVERAGE(FILTER(R1149:R5217,AA1149:AA5217=""Neighbor""))) / STDEV(FILTER(R1149:R5217, AA1149:AA5217 =""Neighbor"")), """")"),0.8872503078168261)</f>
        <v>0.8872503078</v>
      </c>
    </row>
    <row r="1150">
      <c r="A1150" s="2" t="s">
        <v>28</v>
      </c>
      <c r="B1150" s="2" t="s">
        <v>4358</v>
      </c>
      <c r="C1150" s="2" t="s">
        <v>4628</v>
      </c>
      <c r="D1150" s="2" t="s">
        <v>4705</v>
      </c>
      <c r="E1150" s="2" t="s">
        <v>4706</v>
      </c>
      <c r="F1150" s="2">
        <v>86.0</v>
      </c>
      <c r="G1150" s="2">
        <v>750.0</v>
      </c>
      <c r="H1150" s="2" t="b">
        <v>1</v>
      </c>
      <c r="I1150" s="2">
        <v>-1.0</v>
      </c>
      <c r="J1150" s="2" t="b">
        <v>0</v>
      </c>
      <c r="K1150" s="2" t="b">
        <v>0</v>
      </c>
      <c r="L1150" s="2" t="b">
        <v>0</v>
      </c>
      <c r="M1150" s="2" t="b">
        <v>0</v>
      </c>
      <c r="N1150" s="2" t="s">
        <v>33</v>
      </c>
      <c r="O1150" s="2">
        <v>51.0</v>
      </c>
      <c r="P1150" s="2">
        <v>15.0</v>
      </c>
      <c r="Q1150" s="2">
        <v>8.0</v>
      </c>
      <c r="R1150" s="2">
        <v>1.0</v>
      </c>
      <c r="S1150" s="3" t="s">
        <v>4707</v>
      </c>
      <c r="T1150" s="2" t="s">
        <v>4708</v>
      </c>
      <c r="Y1150" s="4" t="str">
        <f>IFERROR(__xludf.DUMMYFUNCTION("""COMPUTED_VALUE"""),"6.6781573")</f>
        <v>6.6781573</v>
      </c>
      <c r="Z1150" s="4" t="str">
        <f>IFERROR(__xludf.DUMMYFUNCTION("""COMPUTED_VALUE"""),"3.3486751")</f>
        <v>3.3486751</v>
      </c>
      <c r="AA1150" s="4" t="str">
        <f t="shared" si="1"/>
        <v>Neighbor</v>
      </c>
      <c r="AC1150" s="4">
        <f>IFERROR(__xludf.DUMMYFUNCTION("IFERROR(ABS(O1150-AVERAGE(FILTER(O1150:O5218,AA1150:AA5218=""Neighbor""))) / STDEV(FILTER(O1150:O5218, AA1150:AA5218 =""Neighbor"")), """")"),0.29992730380497473)</f>
        <v>0.2999273038</v>
      </c>
      <c r="AD1150" s="4">
        <f>IFERROR(__xludf.DUMMYFUNCTION("IFERROR(ABS(P1150-AVERAGE(FILTER(O1150:P5218,AA1150:AA5218=""Neighbor""))) / STDEV(FILTER(P1150:P5218, AA1150:AA5218 =""Neighbor"")), """")"),1.1681684169817397)</f>
        <v>1.168168417</v>
      </c>
      <c r="AE1150" s="2">
        <f>IFERROR(__xludf.DUMMYFUNCTION("IFERROR(ABS(Q1150-AVERAGE(FILTER(Q1150:Q5218,AA1150:AA5218=""Neighbor""))) / STDEV(FILTER(Q1150:Q5218, AA1150:AA5218 =""Neighbor"")), """")"),0.6950698020192281)</f>
        <v>0.695069802</v>
      </c>
      <c r="AF1150" s="2">
        <f>IFERROR(__xludf.DUMMYFUNCTION("IFERROR(ABS(R1150-AVERAGE(FILTER(R1150:R5218,AA1150:AA5218=""Neighbor""))) / STDEV(FILTER(R1150:R5218, AA1150:AA5218 =""Neighbor"")), """")"),0.887895544415063)</f>
        <v>0.8878955444</v>
      </c>
    </row>
    <row r="1151">
      <c r="A1151" s="2" t="s">
        <v>28</v>
      </c>
      <c r="B1151" s="2" t="s">
        <v>4358</v>
      </c>
      <c r="C1151" s="2" t="s">
        <v>4628</v>
      </c>
      <c r="D1151" s="2" t="s">
        <v>4709</v>
      </c>
      <c r="E1151" s="2" t="s">
        <v>4710</v>
      </c>
      <c r="F1151" s="2">
        <v>118.0</v>
      </c>
      <c r="G1151" s="2">
        <v>727.0</v>
      </c>
      <c r="H1151" s="2" t="b">
        <v>1</v>
      </c>
      <c r="I1151" s="2">
        <v>-1.0</v>
      </c>
      <c r="J1151" s="2" t="b">
        <v>0</v>
      </c>
      <c r="K1151" s="2" t="b">
        <v>0</v>
      </c>
      <c r="L1151" s="2" t="b">
        <v>0</v>
      </c>
      <c r="M1151" s="2" t="b">
        <v>0</v>
      </c>
      <c r="N1151" s="2" t="s">
        <v>33</v>
      </c>
      <c r="O1151" s="2">
        <v>59.0</v>
      </c>
      <c r="P1151" s="2">
        <v>32.0</v>
      </c>
      <c r="Q1151" s="2">
        <v>5.0</v>
      </c>
      <c r="R1151" s="2">
        <v>0.0</v>
      </c>
      <c r="S1151" s="3" t="s">
        <v>4711</v>
      </c>
      <c r="T1151" s="2" t="s">
        <v>4712</v>
      </c>
      <c r="Y1151" s="4" t="str">
        <f>IFERROR(__xludf.DUMMYFUNCTION("""COMPUTED_VALUE"""),"6.6781573")</f>
        <v>6.6781573</v>
      </c>
      <c r="Z1151" s="4" t="str">
        <f>IFERROR(__xludf.DUMMYFUNCTION("""COMPUTED_VALUE"""),"3.3486751")</f>
        <v>3.3486751</v>
      </c>
      <c r="AA1151" s="4" t="str">
        <f t="shared" si="1"/>
        <v>Neighbor</v>
      </c>
      <c r="AC1151" s="4">
        <f>IFERROR(__xludf.DUMMYFUNCTION("IFERROR(ABS(O1151-AVERAGE(FILTER(O1151:O5219,AA1151:AA5219=""Neighbor""))) / STDEV(FILTER(O1151:O5219, AA1151:AA5219 =""Neighbor"")), """")"),0.10827159528217917)</f>
        <v>0.1082715953</v>
      </c>
      <c r="AD1151" s="4">
        <f>IFERROR(__xludf.DUMMYFUNCTION("IFERROR(ABS(P1151-AVERAGE(FILTER(O1151:P5219,AA1151:AA5219=""Neighbor""))) / STDEV(FILTER(P1151:P5219, AA1151:AA5219 =""Neighbor"")), """")"),0.36005907152927097)</f>
        <v>0.3600590715</v>
      </c>
      <c r="AE1151" s="2">
        <f>IFERROR(__xludf.DUMMYFUNCTION("IFERROR(ABS(Q1151-AVERAGE(FILTER(Q1151:Q5219,AA1151:AA5219=""Neighbor""))) / STDEV(FILTER(Q1151:Q5219, AA1151:AA5219 =""Neighbor"")), """")"),0.8182170128944144)</f>
        <v>0.8182170129</v>
      </c>
      <c r="AF1151" s="2">
        <f>IFERROR(__xludf.DUMMYFUNCTION("IFERROR(ABS(R1151-AVERAGE(FILTER(R1151:R5219,AA1151:AA5219=""Neighbor""))) / STDEV(FILTER(R1151:R5219, AA1151:AA5219 =""Neighbor"")), """")"),0.3443728492259975)</f>
        <v>0.3443728492</v>
      </c>
    </row>
    <row r="1152">
      <c r="A1152" s="2" t="s">
        <v>28</v>
      </c>
      <c r="B1152" s="2" t="s">
        <v>4358</v>
      </c>
      <c r="C1152" s="2" t="s">
        <v>4628</v>
      </c>
      <c r="D1152" s="2" t="s">
        <v>4713</v>
      </c>
      <c r="E1152" s="2" t="s">
        <v>4714</v>
      </c>
      <c r="F1152" s="2">
        <v>94.0</v>
      </c>
      <c r="G1152" s="2">
        <v>600.0</v>
      </c>
      <c r="H1152" s="2" t="b">
        <v>1</v>
      </c>
      <c r="I1152" s="2">
        <v>-1.0</v>
      </c>
      <c r="J1152" s="2" t="b">
        <v>0</v>
      </c>
      <c r="K1152" s="2" t="b">
        <v>1</v>
      </c>
      <c r="L1152" s="2" t="b">
        <v>0</v>
      </c>
      <c r="M1152" s="2" t="b">
        <v>0</v>
      </c>
      <c r="N1152" s="2" t="s">
        <v>33</v>
      </c>
      <c r="O1152" s="2">
        <v>50.0</v>
      </c>
      <c r="P1152" s="2">
        <v>23.0</v>
      </c>
      <c r="Q1152" s="2">
        <v>5.0</v>
      </c>
      <c r="R1152" s="2">
        <v>0.0</v>
      </c>
      <c r="S1152" s="3" t="s">
        <v>4715</v>
      </c>
      <c r="T1152" s="2" t="s">
        <v>4716</v>
      </c>
      <c r="Y1152" s="4" t="str">
        <f>IFERROR(__xludf.DUMMYFUNCTION("""COMPUTED_VALUE"""),"6.6781573")</f>
        <v>6.6781573</v>
      </c>
      <c r="Z1152" s="4" t="str">
        <f>IFERROR(__xludf.DUMMYFUNCTION("""COMPUTED_VALUE"""),"3.3486751")</f>
        <v>3.3486751</v>
      </c>
      <c r="AA1152" s="4" t="str">
        <f t="shared" si="1"/>
        <v>Not Neighbor</v>
      </c>
      <c r="AC1152" s="4">
        <f>IFERROR(__xludf.DUMMYFUNCTION("IFERROR(ABS(O1152-AVERAGE(FILTER(O1152:O5220,AA1152:AA5220=""Neighbor""))) / STDEV(FILTER(O1152:O5220, AA1152:AA5220 =""Neighbor"")), """")"),0.3239915710652557)</f>
        <v>0.3239915711</v>
      </c>
      <c r="AD1152" s="4">
        <f>IFERROR(__xludf.DUMMYFUNCTION("IFERROR(ABS(P1152-AVERAGE(FILTER(O1152:P5220,AA1152:AA5220=""Neighbor""))) / STDEV(FILTER(P1152:P5220, AA1152:AA5220 =""Neighbor"")), """")"),0.7874084725818716)</f>
        <v>0.7874084726</v>
      </c>
      <c r="AE1152" s="2">
        <f>IFERROR(__xludf.DUMMYFUNCTION("IFERROR(ABS(Q1152-AVERAGE(FILTER(Q1152:Q5220,AA1152:AA5220=""Neighbor""))) / STDEV(FILTER(Q1152:Q5220, AA1152:AA5220 =""Neighbor"")), """")"),0.8187736782401799)</f>
        <v>0.8187736782</v>
      </c>
      <c r="AF1152" s="2">
        <f>IFERROR(__xludf.DUMMYFUNCTION("IFERROR(ABS(R1152-AVERAGE(FILTER(R1152:R5220,AA1152:AA5220=""Neighbor""))) / STDEV(FILTER(R1152:R5220, AA1152:AA5220 =""Neighbor"")), """")"),0.34452970127057864)</f>
        <v>0.3445297013</v>
      </c>
    </row>
    <row r="1153">
      <c r="A1153" s="2" t="s">
        <v>28</v>
      </c>
      <c r="B1153" s="2" t="s">
        <v>4358</v>
      </c>
      <c r="C1153" s="2" t="s">
        <v>4628</v>
      </c>
      <c r="D1153" s="2" t="s">
        <v>4717</v>
      </c>
      <c r="E1153" s="2" t="s">
        <v>4718</v>
      </c>
      <c r="F1153" s="2">
        <v>80.0</v>
      </c>
      <c r="G1153" s="2">
        <v>461.0</v>
      </c>
      <c r="H1153" s="2" t="b">
        <v>1</v>
      </c>
      <c r="I1153" s="2">
        <v>-1.0</v>
      </c>
      <c r="J1153" s="2" t="b">
        <v>0</v>
      </c>
      <c r="K1153" s="2" t="b">
        <v>0</v>
      </c>
      <c r="L1153" s="2" t="b">
        <v>0</v>
      </c>
      <c r="M1153" s="2" t="b">
        <v>0</v>
      </c>
      <c r="N1153" s="2" t="s">
        <v>33</v>
      </c>
      <c r="O1153" s="2">
        <v>41.0</v>
      </c>
      <c r="P1153" s="2">
        <v>16.0</v>
      </c>
      <c r="Q1153" s="2">
        <v>19.0</v>
      </c>
      <c r="R1153" s="2">
        <v>0.0</v>
      </c>
      <c r="S1153" s="3" t="s">
        <v>4719</v>
      </c>
      <c r="T1153" s="2" t="s">
        <v>4720</v>
      </c>
      <c r="Y1153" s="4" t="str">
        <f>IFERROR(__xludf.DUMMYFUNCTION("""COMPUTED_VALUE"""),"6.6717296")</f>
        <v>6.6717296</v>
      </c>
      <c r="Z1153" s="4" t="str">
        <f>IFERROR(__xludf.DUMMYFUNCTION("""COMPUTED_VALUE"""),"3.328052")</f>
        <v>3.328052</v>
      </c>
      <c r="AA1153" s="4" t="str">
        <f t="shared" si="1"/>
        <v>Not Neighbor</v>
      </c>
      <c r="AC1153" s="4">
        <f>IFERROR(__xludf.DUMMYFUNCTION("IFERROR(ABS(O1153-AVERAGE(FILTER(O1153:O5221,AA1153:AA5221=""Neighbor""))) / STDEV(FILTER(O1153:O5221, AA1153:AA5221 =""Neighbor"")), """")"),0.5396669535038366)</f>
        <v>0.5396669535</v>
      </c>
      <c r="AD1153" s="4">
        <f>IFERROR(__xludf.DUMMYFUNCTION("IFERROR(ABS(P1153-AVERAGE(FILTER(O1153:P5221,AA1153:AA5221=""Neighbor""))) / STDEV(FILTER(P1153:P5221, AA1153:AA5221 =""Neighbor"")), """")"),1.1200148301202049)</f>
        <v>1.12001483</v>
      </c>
      <c r="AE1153" s="2">
        <f>IFERROR(__xludf.DUMMYFUNCTION("IFERROR(ABS(Q1153-AVERAGE(FILTER(Q1153:Q5221,AA1153:AA5221=""Neighbor""))) / STDEV(FILTER(Q1153:Q5221, AA1153:AA5221 =""Neighbor"")), """")"),0.24612214756920514)</f>
        <v>0.2461221476</v>
      </c>
      <c r="AF1153" s="2">
        <f>IFERROR(__xludf.DUMMYFUNCTION("IFERROR(ABS(R1153-AVERAGE(FILTER(R1153:R5221,AA1153:AA5221=""Neighbor""))) / STDEV(FILTER(R1153:R5221, AA1153:AA5221 =""Neighbor"")), """")"),0.34452970127057864)</f>
        <v>0.3445297013</v>
      </c>
    </row>
    <row r="1154">
      <c r="A1154" s="2" t="s">
        <v>28</v>
      </c>
      <c r="B1154" s="2" t="s">
        <v>4358</v>
      </c>
      <c r="C1154" s="2" t="s">
        <v>4628</v>
      </c>
      <c r="D1154" s="2" t="s">
        <v>4721</v>
      </c>
      <c r="E1154" s="2" t="s">
        <v>4722</v>
      </c>
      <c r="F1154" s="2">
        <v>32.0</v>
      </c>
      <c r="G1154" s="2">
        <v>127.0</v>
      </c>
      <c r="H1154" s="2" t="b">
        <v>1</v>
      </c>
      <c r="I1154" s="2">
        <v>-1.0</v>
      </c>
      <c r="J1154" s="2" t="b">
        <v>0</v>
      </c>
      <c r="K1154" s="2" t="b">
        <v>0</v>
      </c>
      <c r="L1154" s="2" t="b">
        <v>0</v>
      </c>
      <c r="M1154" s="2" t="b">
        <v>0</v>
      </c>
      <c r="N1154" s="2" t="s">
        <v>33</v>
      </c>
      <c r="O1154" s="2">
        <v>16.0</v>
      </c>
      <c r="P1154" s="2">
        <v>2.0</v>
      </c>
      <c r="Q1154" s="2">
        <v>5.0</v>
      </c>
      <c r="R1154" s="2">
        <v>0.0</v>
      </c>
      <c r="S1154" s="3" t="s">
        <v>4723</v>
      </c>
      <c r="T1154" s="2" t="s">
        <v>4724</v>
      </c>
      <c r="Y1154" s="4" t="str">
        <f>IFERROR(__xludf.DUMMYFUNCTION("""COMPUTED_VALUE"""),"6.6654139")</f>
        <v>6.6654139</v>
      </c>
      <c r="Z1154" s="4" t="str">
        <f>IFERROR(__xludf.DUMMYFUNCTION("""COMPUTED_VALUE"""),"3.3523427")</f>
        <v>3.3523427</v>
      </c>
      <c r="AA1154" s="4" t="str">
        <f t="shared" si="1"/>
        <v>Neighbor</v>
      </c>
      <c r="AC1154" s="4">
        <f>IFERROR(__xludf.DUMMYFUNCTION("IFERROR(ABS(O1154-AVERAGE(FILTER(O1154:O5222,AA1154:AA5222=""Neighbor""))) / STDEV(FILTER(O1154:O5222, AA1154:AA5222 =""Neighbor"")), """")"),1.1387652380554503)</f>
        <v>1.138765238</v>
      </c>
      <c r="AD1154" s="4">
        <f>IFERROR(__xludf.DUMMYFUNCTION("IFERROR(ABS(P1154-AVERAGE(FILTER(O1154:P5222,AA1154:AA5222=""Neighbor""))) / STDEV(FILTER(P1154:P5222, AA1154:AA5222 =""Neighbor"")), """")"),1.7852275451968709)</f>
        <v>1.785227545</v>
      </c>
      <c r="AE1154" s="2">
        <f>IFERROR(__xludf.DUMMYFUNCTION("IFERROR(ABS(Q1154-AVERAGE(FILTER(Q1154:Q5222,AA1154:AA5222=""Neighbor""))) / STDEV(FILTER(Q1154:Q5222, AA1154:AA5222 =""Neighbor"")), """")"),0.8187736782401799)</f>
        <v>0.8187736782</v>
      </c>
      <c r="AF1154" s="2">
        <f>IFERROR(__xludf.DUMMYFUNCTION("IFERROR(ABS(R1154-AVERAGE(FILTER(R1154:R5222,AA1154:AA5222=""Neighbor""))) / STDEV(FILTER(R1154:R5222, AA1154:AA5222 =""Neighbor"")), """")"),0.34452970127057864)</f>
        <v>0.3445297013</v>
      </c>
    </row>
    <row r="1155">
      <c r="A1155" s="2" t="s">
        <v>28</v>
      </c>
      <c r="B1155" s="2" t="s">
        <v>4358</v>
      </c>
      <c r="C1155" s="2" t="s">
        <v>4628</v>
      </c>
      <c r="D1155" s="2" t="s">
        <v>4725</v>
      </c>
      <c r="E1155" s="2" t="s">
        <v>4726</v>
      </c>
      <c r="F1155" s="2">
        <v>46.0</v>
      </c>
      <c r="G1155" s="2">
        <v>426.0</v>
      </c>
      <c r="H1155" s="2" t="b">
        <v>1</v>
      </c>
      <c r="I1155" s="2">
        <v>-1.0</v>
      </c>
      <c r="J1155" s="2" t="b">
        <v>0</v>
      </c>
      <c r="K1155" s="2" t="b">
        <v>0</v>
      </c>
      <c r="L1155" s="2" t="b">
        <v>0</v>
      </c>
      <c r="M1155" s="2" t="b">
        <v>0</v>
      </c>
      <c r="N1155" s="2" t="s">
        <v>33</v>
      </c>
      <c r="O1155" s="2">
        <v>26.0</v>
      </c>
      <c r="P1155" s="2">
        <v>5.0</v>
      </c>
      <c r="Q1155" s="2">
        <v>10.0</v>
      </c>
      <c r="R1155" s="2">
        <v>0.0</v>
      </c>
      <c r="S1155" s="3" t="s">
        <v>4727</v>
      </c>
      <c r="T1155" s="2" t="s">
        <v>4728</v>
      </c>
      <c r="Y1155" s="4" t="str">
        <f>IFERROR(__xludf.DUMMYFUNCTION("""COMPUTED_VALUE"""),"6.6654139")</f>
        <v>6.6654139</v>
      </c>
      <c r="Z1155" s="4" t="str">
        <f>IFERROR(__xludf.DUMMYFUNCTION("""COMPUTED_VALUE"""),"3.3523427")</f>
        <v>3.3523427</v>
      </c>
      <c r="AA1155" s="4" t="str">
        <f t="shared" si="1"/>
        <v>Not Neighbor</v>
      </c>
      <c r="AC1155" s="4">
        <f>IFERROR(__xludf.DUMMYFUNCTION("IFERROR(ABS(O1155-AVERAGE(FILTER(O1155:O5223,AA1155:AA5223=""Neighbor""))) / STDEV(FILTER(O1155:O5223, AA1155:AA5223 =""Neighbor"")), """")"),0.9001642089678668)</f>
        <v>0.900164209</v>
      </c>
      <c r="AD1155" s="4">
        <f>IFERROR(__xludf.DUMMYFUNCTION("IFERROR(ABS(P1155-AVERAGE(FILTER(O1155:P5223,AA1155:AA5223=""Neighbor""))) / STDEV(FILTER(P1155:P5223, AA1155:AA5223 =""Neighbor"")), """")"),1.6434773630916308)</f>
        <v>1.643477363</v>
      </c>
      <c r="AE1155" s="2">
        <f>IFERROR(__xludf.DUMMYFUNCTION("IFERROR(ABS(Q1155-AVERAGE(FILTER(Q1155:Q5223,AA1155:AA5223=""Neighbor""))) / STDEV(FILTER(Q1155:Q5223, AA1155:AA5223 =""Neighbor"")), """")"),0.6148405413989613)</f>
        <v>0.6148405414</v>
      </c>
      <c r="AF1155" s="2">
        <f>IFERROR(__xludf.DUMMYFUNCTION("IFERROR(ABS(R1155-AVERAGE(FILTER(R1155:R5223,AA1155:AA5223=""Neighbor""))) / STDEV(FILTER(R1155:R5223, AA1155:AA5223 =""Neighbor"")), """")"),0.3446867678575792)</f>
        <v>0.3446867679</v>
      </c>
    </row>
    <row r="1156">
      <c r="A1156" s="2" t="s">
        <v>28</v>
      </c>
      <c r="B1156" s="2" t="s">
        <v>4358</v>
      </c>
      <c r="C1156" s="2" t="s">
        <v>4628</v>
      </c>
      <c r="D1156" s="2" t="s">
        <v>4729</v>
      </c>
      <c r="E1156" s="2" t="s">
        <v>4730</v>
      </c>
      <c r="F1156" s="2">
        <v>91.0</v>
      </c>
      <c r="G1156" s="2">
        <v>499.0</v>
      </c>
      <c r="H1156" s="2" t="b">
        <v>1</v>
      </c>
      <c r="I1156" s="2">
        <v>-1.0</v>
      </c>
      <c r="J1156" s="2" t="b">
        <v>0</v>
      </c>
      <c r="K1156" s="2" t="b">
        <v>0</v>
      </c>
      <c r="L1156" s="2" t="b">
        <v>0</v>
      </c>
      <c r="M1156" s="2" t="b">
        <v>0</v>
      </c>
      <c r="N1156" s="2" t="s">
        <v>33</v>
      </c>
      <c r="O1156" s="2">
        <v>37.0</v>
      </c>
      <c r="P1156" s="2">
        <v>13.0</v>
      </c>
      <c r="Q1156" s="2">
        <v>9.0</v>
      </c>
      <c r="R1156" s="2">
        <v>0.0</v>
      </c>
      <c r="S1156" s="3" t="s">
        <v>4731</v>
      </c>
      <c r="T1156" s="2" t="s">
        <v>4732</v>
      </c>
      <c r="Y1156" s="4" t="str">
        <f>IFERROR(__xludf.DUMMYFUNCTION("""COMPUTED_VALUE"""),"6.7093724")</f>
        <v>6.7093724</v>
      </c>
      <c r="Z1156" s="4" t="str">
        <f>IFERROR(__xludf.DUMMYFUNCTION("""COMPUTED_VALUE"""),"3.389105")</f>
        <v>3.389105</v>
      </c>
      <c r="AA1156" s="4" t="str">
        <f t="shared" si="1"/>
        <v>Neighbor</v>
      </c>
      <c r="AC1156" s="4">
        <f>IFERROR(__xludf.DUMMYFUNCTION("IFERROR(ABS(O1156-AVERAGE(FILTER(O1156:O5224,AA1156:AA5224=""Neighbor""))) / STDEV(FILTER(O1156:O5224, AA1156:AA5224 =""Neighbor"")), """")"),0.636528911942205)</f>
        <v>0.6365289119</v>
      </c>
      <c r="AD1156" s="4">
        <f>IFERROR(__xludf.DUMMYFUNCTION("IFERROR(ABS(P1156-AVERAGE(FILTER(O1156:P5224,AA1156:AA5224=""Neighbor""))) / STDEV(FILTER(P1156:P5224, AA1156:AA5224 =""Neighbor"")), """")"),1.2634458657097134)</f>
        <v>1.263445866</v>
      </c>
      <c r="AE1156" s="2">
        <f>IFERROR(__xludf.DUMMYFUNCTION("IFERROR(ABS(Q1156-AVERAGE(FILTER(Q1156:Q5224,AA1156:AA5224=""Neighbor""))) / STDEV(FILTER(Q1156:Q5224, AA1156:AA5224 =""Neighbor"")), """")"),0.6557387294384125)</f>
        <v>0.6557387294</v>
      </c>
      <c r="AF1156" s="2">
        <f>IFERROR(__xludf.DUMMYFUNCTION("IFERROR(ABS(R1156-AVERAGE(FILTER(R1156:R5224,AA1156:AA5224=""Neighbor""))) / STDEV(FILTER(R1156:R5224, AA1156:AA5224 =""Neighbor"")), """")"),0.3446867678575792)</f>
        <v>0.3446867679</v>
      </c>
    </row>
    <row r="1157">
      <c r="A1157" s="2" t="s">
        <v>28</v>
      </c>
      <c r="B1157" s="2" t="s">
        <v>4358</v>
      </c>
      <c r="C1157" s="2" t="s">
        <v>4628</v>
      </c>
      <c r="D1157" s="2" t="s">
        <v>4733</v>
      </c>
      <c r="E1157" s="2" t="s">
        <v>4734</v>
      </c>
      <c r="F1157" s="2">
        <v>90.0</v>
      </c>
      <c r="G1157" s="2">
        <v>521.0</v>
      </c>
      <c r="H1157" s="2" t="b">
        <v>1</v>
      </c>
      <c r="I1157" s="2">
        <v>-1.0</v>
      </c>
      <c r="J1157" s="2" t="b">
        <v>0</v>
      </c>
      <c r="K1157" s="2" t="b">
        <v>0</v>
      </c>
      <c r="L1157" s="2" t="b">
        <v>0</v>
      </c>
      <c r="M1157" s="2" t="b">
        <v>0</v>
      </c>
      <c r="N1157" s="2" t="s">
        <v>33</v>
      </c>
      <c r="O1157" s="2">
        <v>37.0</v>
      </c>
      <c r="P1157" s="2">
        <v>32.0</v>
      </c>
      <c r="Q1157" s="2">
        <v>7.0</v>
      </c>
      <c r="R1157" s="2">
        <v>1.0</v>
      </c>
      <c r="S1157" s="3" t="s">
        <v>4735</v>
      </c>
      <c r="T1157" s="2" t="s">
        <v>4736</v>
      </c>
      <c r="Y1157" s="4" t="str">
        <f>IFERROR(__xludf.DUMMYFUNCTION("""COMPUTED_VALUE"""),"6.7093724")</f>
        <v>6.7093724</v>
      </c>
      <c r="Z1157" s="4" t="str">
        <f>IFERROR(__xludf.DUMMYFUNCTION("""COMPUTED_VALUE"""),"3.389105")</f>
        <v>3.389105</v>
      </c>
      <c r="AA1157" s="4" t="str">
        <f t="shared" si="1"/>
        <v>Not Neighbor</v>
      </c>
      <c r="AC1157" s="4">
        <f>IFERROR(__xludf.DUMMYFUNCTION("IFERROR(ABS(O1157-AVERAGE(FILTER(O1157:O5225,AA1157:AA5225=""Neighbor""))) / STDEV(FILTER(O1157:O5225, AA1157:AA5225 =""Neighbor"")), """")"),0.6368938755962398)</f>
        <v>0.6368938756</v>
      </c>
      <c r="AD1157" s="4">
        <f>IFERROR(__xludf.DUMMYFUNCTION("IFERROR(ABS(P1157-AVERAGE(FILTER(O1157:P5225,AA1157:AA5225=""Neighbor""))) / STDEV(FILTER(P1157:P5225, AA1157:AA5225 =""Neighbor"")), """")"),0.36129185534948033)</f>
        <v>0.3612918553</v>
      </c>
      <c r="AE1157" s="2">
        <f>IFERROR(__xludf.DUMMYFUNCTION("IFERROR(ABS(Q1157-AVERAGE(FILTER(Q1157:Q5225,AA1157:AA5225=""Neighbor""))) / STDEV(FILTER(Q1157:Q5225, AA1157:AA5225 =""Neighbor"")), """")"),0.7378987115433943)</f>
        <v>0.7378987115</v>
      </c>
      <c r="AF1157" s="2">
        <f>IFERROR(__xludf.DUMMYFUNCTION("IFERROR(ABS(R1157-AVERAGE(FILTER(R1157:R5225,AA1157:AA5225=""Neighbor""))) / STDEV(FILTER(R1157:R5225, AA1157:AA5225 =""Neighbor"")), """")"),0.8867418415111954)</f>
        <v>0.8867418415</v>
      </c>
    </row>
    <row r="1158">
      <c r="A1158" s="2" t="s">
        <v>28</v>
      </c>
      <c r="B1158" s="2" t="s">
        <v>4358</v>
      </c>
      <c r="C1158" s="2" t="s">
        <v>4628</v>
      </c>
      <c r="D1158" s="2" t="s">
        <v>4737</v>
      </c>
      <c r="E1158" s="2" t="s">
        <v>4738</v>
      </c>
      <c r="F1158" s="2">
        <v>43.0</v>
      </c>
      <c r="G1158" s="2">
        <v>88.0</v>
      </c>
      <c r="H1158" s="2" t="b">
        <v>1</v>
      </c>
      <c r="I1158" s="2">
        <v>-1.0</v>
      </c>
      <c r="J1158" s="2" t="b">
        <v>0</v>
      </c>
      <c r="K1158" s="2" t="b">
        <v>0</v>
      </c>
      <c r="L1158" s="2" t="b">
        <v>0</v>
      </c>
      <c r="M1158" s="2" t="b">
        <v>0</v>
      </c>
      <c r="N1158" s="2" t="s">
        <v>33</v>
      </c>
      <c r="O1158" s="2">
        <v>31.0</v>
      </c>
      <c r="P1158" s="2">
        <v>7.0</v>
      </c>
      <c r="Q1158" s="2">
        <v>0.0</v>
      </c>
      <c r="R1158" s="2">
        <v>0.0</v>
      </c>
      <c r="S1158" s="3" t="s">
        <v>4739</v>
      </c>
      <c r="T1158" s="2" t="s">
        <v>4740</v>
      </c>
      <c r="Y1158" s="4" t="str">
        <f>IFERROR(__xludf.DUMMYFUNCTION("""COMPUTED_VALUE"""),"6.6741415")</f>
        <v>6.6741415</v>
      </c>
      <c r="Z1158" s="4" t="str">
        <f>IFERROR(__xludf.DUMMYFUNCTION("""COMPUTED_VALUE"""),"3.3441094")</f>
        <v>3.3441094</v>
      </c>
      <c r="AA1158" s="4" t="str">
        <f t="shared" si="1"/>
        <v>Not Neighbor</v>
      </c>
      <c r="AC1158" s="4">
        <f>IFERROR(__xludf.DUMMYFUNCTION("IFERROR(ABS(O1158-AVERAGE(FILTER(O1158:O5226,AA1158:AA5226=""Neighbor""))) / STDEV(FILTER(O1158:O5226, AA1158:AA5226 =""Neighbor"")), """")"),0.7806600371278991)</f>
        <v>0.7806600371</v>
      </c>
      <c r="AD1158" s="4">
        <f>IFERROR(__xludf.DUMMYFUNCTION("IFERROR(ABS(P1158-AVERAGE(FILTER(O1158:P5226,AA1158:AA5226=""Neighbor""))) / STDEV(FILTER(P1158:P5226, AA1158:AA5226 =""Neighbor"")), """")"),1.5484130473539686)</f>
        <v>1.548413047</v>
      </c>
      <c r="AE1158" s="2">
        <f>IFERROR(__xludf.DUMMYFUNCTION("IFERROR(ABS(Q1158-AVERAGE(FILTER(Q1158:Q5226,AA1158:AA5226=""Neighbor""))) / STDEV(FILTER(Q1158:Q5226, AA1158:AA5226 =""Neighbor"")), """")"),1.0241194312920987)</f>
        <v>1.024119431</v>
      </c>
      <c r="AF1158" s="2">
        <f>IFERROR(__xludf.DUMMYFUNCTION("IFERROR(ABS(R1158-AVERAGE(FILTER(R1158:R5226,AA1158:AA5226=""Neighbor""))) / STDEV(FILTER(R1158:R5226, AA1158:AA5226 =""Neighbor"")), """")"),0.34484404947657604)</f>
        <v>0.3448440495</v>
      </c>
    </row>
    <row r="1159">
      <c r="A1159" s="2" t="s">
        <v>28</v>
      </c>
      <c r="B1159" s="2" t="s">
        <v>4358</v>
      </c>
      <c r="C1159" s="2" t="s">
        <v>4628</v>
      </c>
      <c r="D1159" s="2" t="s">
        <v>4741</v>
      </c>
      <c r="E1159" s="2" t="s">
        <v>4742</v>
      </c>
      <c r="F1159" s="2">
        <v>189.0</v>
      </c>
      <c r="G1159" s="2">
        <v>1768.0</v>
      </c>
      <c r="H1159" s="2" t="b">
        <v>1</v>
      </c>
      <c r="I1159" s="2">
        <v>-1.0</v>
      </c>
      <c r="J1159" s="2" t="b">
        <v>0</v>
      </c>
      <c r="K1159" s="2" t="b">
        <v>0</v>
      </c>
      <c r="L1159" s="2" t="b">
        <v>0</v>
      </c>
      <c r="M1159" s="2" t="b">
        <v>0</v>
      </c>
      <c r="N1159" s="2" t="s">
        <v>33</v>
      </c>
      <c r="O1159" s="2">
        <v>165.0</v>
      </c>
      <c r="P1159" s="2">
        <v>138.0</v>
      </c>
      <c r="Q1159" s="2">
        <v>21.0</v>
      </c>
      <c r="R1159" s="2">
        <v>3.0</v>
      </c>
      <c r="S1159" s="3" t="s">
        <v>4743</v>
      </c>
      <c r="T1159" s="2" t="s">
        <v>4744</v>
      </c>
      <c r="Y1159" s="4" t="str">
        <f>IFERROR(__xludf.DUMMYFUNCTION("""COMPUTED_VALUE"""),"6.6964552")</f>
        <v>6.6964552</v>
      </c>
      <c r="Z1159" s="4" t="str">
        <f>IFERROR(__xludf.DUMMYFUNCTION("""COMPUTED_VALUE"""),"3.3584747")</f>
        <v>3.3584747</v>
      </c>
      <c r="AA1159" s="4" t="str">
        <f t="shared" si="1"/>
        <v>Not Neighbor</v>
      </c>
      <c r="AC1159" s="4">
        <f>IFERROR(__xludf.DUMMYFUNCTION("IFERROR(ABS(O1159-AVERAGE(FILTER(O1159:O5227,AA1159:AA5227=""Neighbor""))) / STDEV(FILTER(O1159:O5227, AA1159:AA5227 =""Neighbor"")), """")"),2.4301175704124947)</f>
        <v>2.43011757</v>
      </c>
      <c r="AD1159" s="4">
        <f>IFERROR(__xludf.DUMMYFUNCTION("IFERROR(ABS(P1159-AVERAGE(FILTER(O1159:P5227,AA1159:AA5227=""Neighbor""))) / STDEV(FILTER(P1159:P5227, AA1159:AA5227 =""Neighbor"")), """")"),4.67210199874955)</f>
        <v>4.672101999</v>
      </c>
      <c r="AE1159" s="2">
        <f>IFERROR(__xludf.DUMMYFUNCTION("IFERROR(ABS(Q1159-AVERAGE(FILTER(Q1159:Q5227,AA1159:AA5227=""Neighbor""))) / STDEV(FILTER(Q1159:Q5227, AA1159:AA5227 =""Neighbor"")), """")"),0.16545727204598565)</f>
        <v>0.165457272</v>
      </c>
      <c r="AF1159" s="2">
        <f>IFERROR(__xludf.DUMMYFUNCTION("IFERROR(ABS(R1159-AVERAGE(FILTER(R1159:R5227,AA1159:AA5227=""Neighbor""))) / STDEV(FILTER(R1159:R5227, AA1159:AA5227 =""Neighbor"")), """")"),3.3499136234867377)</f>
        <v>3.349913623</v>
      </c>
    </row>
    <row r="1160">
      <c r="A1160" s="2" t="s">
        <v>28</v>
      </c>
      <c r="B1160" s="2" t="s">
        <v>4358</v>
      </c>
      <c r="C1160" s="2" t="s">
        <v>4745</v>
      </c>
      <c r="D1160" s="2" t="s">
        <v>4746</v>
      </c>
      <c r="E1160" s="2" t="s">
        <v>4747</v>
      </c>
      <c r="F1160" s="2">
        <v>219.0</v>
      </c>
      <c r="G1160" s="2">
        <v>980.0</v>
      </c>
      <c r="H1160" s="2" t="b">
        <v>1</v>
      </c>
      <c r="I1160" s="2">
        <v>-1.0</v>
      </c>
      <c r="J1160" s="2" t="b">
        <v>0</v>
      </c>
      <c r="K1160" s="2" t="b">
        <v>1</v>
      </c>
      <c r="L1160" s="2" t="b">
        <v>0</v>
      </c>
      <c r="M1160" s="2" t="b">
        <v>0</v>
      </c>
      <c r="N1160" s="2" t="s">
        <v>33</v>
      </c>
      <c r="O1160" s="2">
        <v>125.0</v>
      </c>
      <c r="P1160" s="2">
        <v>53.0</v>
      </c>
      <c r="Q1160" s="2">
        <v>19.0</v>
      </c>
      <c r="R1160" s="2">
        <v>1.0</v>
      </c>
      <c r="S1160" s="3" t="s">
        <v>4748</v>
      </c>
      <c r="T1160" s="2" t="s">
        <v>4749</v>
      </c>
      <c r="Y1160" s="4" t="str">
        <f>IFERROR(__xludf.DUMMYFUNCTION("""COMPUTED_VALUE"""),"6.8028866")</f>
        <v>6.8028866</v>
      </c>
      <c r="Z1160" s="4" t="str">
        <f>IFERROR(__xludf.DUMMYFUNCTION("""COMPUTED_VALUE"""),"3.238251")</f>
        <v>3.238251</v>
      </c>
      <c r="AA1160" s="4" t="str">
        <f t="shared" si="1"/>
        <v>Neighbor</v>
      </c>
      <c r="AC1160" s="4">
        <f>IFERROR(__xludf.DUMMYFUNCTION("IFERROR(ABS(O1160-AVERAGE(FILTER(O1160:O5228,AA1160:AA5228=""Neighbor""))) / STDEV(FILTER(O1160:O5228, AA1160:AA5228 =""Neighbor"")), """")"),1.471676493534765)</f>
        <v>1.471676494</v>
      </c>
      <c r="AD1160" s="4">
        <f>IFERROR(__xludf.DUMMYFUNCTION("IFERROR(ABS(P1160-AVERAGE(FILTER(O1160:P5228,AA1160:AA5228=""Neighbor""))) / STDEV(FILTER(P1160:P5228, AA1160:AA5228 =""Neighbor"")), """")"),0.6358899459342898)</f>
        <v>0.6358899459</v>
      </c>
      <c r="AE1160" s="2">
        <f>IFERROR(__xludf.DUMMYFUNCTION("IFERROR(ABS(Q1160-AVERAGE(FILTER(Q1160:Q5228,AA1160:AA5228=""Neighbor""))) / STDEV(FILTER(Q1160:Q5228, AA1160:AA5228 =""Neighbor"")), """")"),0.24723462054561546)</f>
        <v>0.2472346205</v>
      </c>
      <c r="AF1160" s="2">
        <f>IFERROR(__xludf.DUMMYFUNCTION("IFERROR(ABS(R1160-AVERAGE(FILTER(R1160:R5228,AA1160:AA5228=""Neighbor""))) / STDEV(FILTER(R1160:R5228, AA1160:AA5228 =""Neighbor"")), """")"),0.8867418415111954)</f>
        <v>0.8867418415</v>
      </c>
    </row>
    <row r="1161">
      <c r="A1161" s="2" t="s">
        <v>28</v>
      </c>
      <c r="B1161" s="2" t="s">
        <v>4358</v>
      </c>
      <c r="C1161" s="2" t="s">
        <v>4745</v>
      </c>
      <c r="D1161" s="2" t="s">
        <v>4750</v>
      </c>
      <c r="E1161" s="2" t="s">
        <v>4751</v>
      </c>
      <c r="F1161" s="2">
        <v>209.0</v>
      </c>
      <c r="G1161" s="2">
        <v>1114.0</v>
      </c>
      <c r="H1161" s="2" t="b">
        <v>1</v>
      </c>
      <c r="I1161" s="2">
        <v>-1.0</v>
      </c>
      <c r="J1161" s="2" t="b">
        <v>1</v>
      </c>
      <c r="K1161" s="2" t="b">
        <v>0</v>
      </c>
      <c r="L1161" s="2" t="b">
        <v>0</v>
      </c>
      <c r="M1161" s="2" t="b">
        <v>0</v>
      </c>
      <c r="N1161" s="2" t="s">
        <v>33</v>
      </c>
      <c r="O1161" s="2">
        <v>138.0</v>
      </c>
      <c r="P1161" s="2">
        <v>28.0</v>
      </c>
      <c r="Q1161" s="2">
        <v>24.0</v>
      </c>
      <c r="R1161" s="2">
        <v>0.0</v>
      </c>
      <c r="S1161" s="3" t="s">
        <v>4752</v>
      </c>
      <c r="T1161" s="2" t="s">
        <v>4753</v>
      </c>
      <c r="Y1161" s="4" t="str">
        <f>IFERROR(__xludf.DUMMYFUNCTION("""COMPUTED_VALUE"""),"6.8028866")</f>
        <v>6.8028866</v>
      </c>
      <c r="Z1161" s="4" t="str">
        <f>IFERROR(__xludf.DUMMYFUNCTION("""COMPUTED_VALUE"""),"3.238251")</f>
        <v>3.238251</v>
      </c>
      <c r="AA1161" s="4" t="str">
        <f t="shared" si="1"/>
        <v>Not Neighbor</v>
      </c>
      <c r="AC1161" s="4">
        <f>IFERROR(__xludf.DUMMYFUNCTION("IFERROR(ABS(O1161-AVERAGE(FILTER(O1161:O5229,AA1161:AA5229=""Neighbor""))) / STDEV(FILTER(O1161:O5229, AA1161:AA5229 =""Neighbor"")), """")"),1.7852245762815746)</f>
        <v>1.785224576</v>
      </c>
      <c r="AD1161" s="4">
        <f>IFERROR(__xludf.DUMMYFUNCTION("IFERROR(ABS(P1161-AVERAGE(FILTER(O1161:P5229,AA1161:AA5229=""Neighbor""))) / STDEV(FILTER(P1161:P5229, AA1161:AA5229 =""Neighbor"")), """")"),0.5497986645133071)</f>
        <v>0.5497986645</v>
      </c>
      <c r="AE1161" s="2">
        <f>IFERROR(__xludf.DUMMYFUNCTION("IFERROR(ABS(Q1161-AVERAGE(FILTER(Q1161:Q5229,AA1161:AA5229=""Neighbor""))) / STDEV(FILTER(Q1161:Q5229, AA1161:AA5229 =""Neighbor"")), """")"),0.042976746171001286)</f>
        <v>0.04297674617</v>
      </c>
      <c r="AF1161" s="2">
        <f>IFERROR(__xludf.DUMMYFUNCTION("IFERROR(ABS(R1161-AVERAGE(FILTER(R1161:R5229,AA1161:AA5229=""Neighbor""))) / STDEV(FILTER(R1161:R5229, AA1161:AA5229 =""Neighbor"")), """")"),0.34408961830179496)</f>
        <v>0.3440896183</v>
      </c>
    </row>
    <row r="1162">
      <c r="A1162" s="2" t="s">
        <v>28</v>
      </c>
      <c r="B1162" s="2" t="s">
        <v>4358</v>
      </c>
      <c r="C1162" s="2" t="s">
        <v>4745</v>
      </c>
      <c r="D1162" s="2" t="s">
        <v>4754</v>
      </c>
      <c r="E1162" s="2" t="s">
        <v>4755</v>
      </c>
      <c r="F1162" s="2">
        <v>238.0</v>
      </c>
      <c r="G1162" s="2">
        <v>1037.0</v>
      </c>
      <c r="H1162" s="2" t="b">
        <v>1</v>
      </c>
      <c r="I1162" s="2">
        <v>-1.0</v>
      </c>
      <c r="J1162" s="2" t="b">
        <v>0</v>
      </c>
      <c r="K1162" s="2" t="b">
        <v>0</v>
      </c>
      <c r="L1162" s="2" t="b">
        <v>0</v>
      </c>
      <c r="M1162" s="2" t="b">
        <v>0</v>
      </c>
      <c r="N1162" s="2" t="s">
        <v>33</v>
      </c>
      <c r="O1162" s="2">
        <v>143.0</v>
      </c>
      <c r="P1162" s="2">
        <v>56.0</v>
      </c>
      <c r="Q1162" s="2">
        <v>16.0</v>
      </c>
      <c r="R1162" s="2">
        <v>0.0</v>
      </c>
      <c r="S1162" s="3" t="s">
        <v>4756</v>
      </c>
      <c r="T1162" s="2" t="s">
        <v>4757</v>
      </c>
      <c r="Y1162" s="4" t="str">
        <f>IFERROR(__xludf.DUMMYFUNCTION("""COMPUTED_VALUE"""),"6.7088792")</f>
        <v>6.7088792</v>
      </c>
      <c r="Z1162" s="4" t="str">
        <f>IFERROR(__xludf.DUMMYFUNCTION("""COMPUTED_VALUE"""),"3.3307257")</f>
        <v>3.3307257</v>
      </c>
      <c r="AA1162" s="4" t="str">
        <f t="shared" si="1"/>
        <v>Neighbor</v>
      </c>
      <c r="AC1162" s="4">
        <f>IFERROR(__xludf.DUMMYFUNCTION("IFERROR(ABS(O1162-AVERAGE(FILTER(O1162:O5230,AA1162:AA5230=""Neighbor""))) / STDEV(FILTER(O1162:O5230, AA1162:AA5230 =""Neighbor"")), """")"),1.905086941004323)</f>
        <v>1.905086941</v>
      </c>
      <c r="AD1162" s="4">
        <f>IFERROR(__xludf.DUMMYFUNCTION("IFERROR(ABS(P1162-AVERAGE(FILTER(O1162:P5230,AA1162:AA5230=""Neighbor""))) / STDEV(FILTER(P1162:P5230, AA1162:AA5230 =""Neighbor"")), """")"),0.7809474656607852)</f>
        <v>0.7809474657</v>
      </c>
      <c r="AE1162" s="2">
        <f>IFERROR(__xludf.DUMMYFUNCTION("IFERROR(ABS(Q1162-AVERAGE(FILTER(Q1162:Q5230,AA1162:AA5230=""Neighbor""))) / STDEV(FILTER(Q1162:Q5230, AA1162:AA5230 =""Neighbor"")), """")"),0.3699606610944239)</f>
        <v>0.3699606611</v>
      </c>
      <c r="AF1162" s="2">
        <f>IFERROR(__xludf.DUMMYFUNCTION("IFERROR(ABS(R1162-AVERAGE(FILTER(R1162:R5230,AA1162:AA5230=""Neighbor""))) / STDEV(FILTER(R1162:R5230, AA1162:AA5230 =""Neighbor"")), """")"),0.34408961830179496)</f>
        <v>0.3440896183</v>
      </c>
    </row>
    <row r="1163">
      <c r="A1163" s="2" t="s">
        <v>28</v>
      </c>
      <c r="B1163" s="2" t="s">
        <v>4358</v>
      </c>
      <c r="C1163" s="2" t="s">
        <v>4745</v>
      </c>
      <c r="D1163" s="2" t="s">
        <v>4758</v>
      </c>
      <c r="E1163" s="2" t="s">
        <v>4759</v>
      </c>
      <c r="F1163" s="2">
        <v>142.0</v>
      </c>
      <c r="G1163" s="2">
        <v>1274.0</v>
      </c>
      <c r="H1163" s="2" t="b">
        <v>1</v>
      </c>
      <c r="I1163" s="2">
        <v>-1.0</v>
      </c>
      <c r="J1163" s="2" t="b">
        <v>0</v>
      </c>
      <c r="K1163" s="2" t="b">
        <v>0</v>
      </c>
      <c r="L1163" s="2" t="b">
        <v>0</v>
      </c>
      <c r="M1163" s="2" t="b">
        <v>0</v>
      </c>
      <c r="N1163" s="2" t="s">
        <v>33</v>
      </c>
      <c r="O1163" s="2">
        <v>99.0</v>
      </c>
      <c r="P1163" s="2">
        <v>22.0</v>
      </c>
      <c r="Q1163" s="2">
        <v>5.0</v>
      </c>
      <c r="R1163" s="2">
        <v>0.0</v>
      </c>
      <c r="S1163" s="3" t="s">
        <v>4760</v>
      </c>
      <c r="T1163" s="2" t="s">
        <v>4761</v>
      </c>
      <c r="Y1163" s="4" t="str">
        <f>IFERROR(__xludf.DUMMYFUNCTION("""COMPUTED_VALUE"""),"6.7088792")</f>
        <v>6.7088792</v>
      </c>
      <c r="Z1163" s="4" t="str">
        <f>IFERROR(__xludf.DUMMYFUNCTION("""COMPUTED_VALUE"""),"3.3307257")</f>
        <v>3.3307257</v>
      </c>
      <c r="AA1163" s="4" t="str">
        <f t="shared" si="1"/>
        <v>Not Neighbor</v>
      </c>
      <c r="AC1163" s="4">
        <f>IFERROR(__xludf.DUMMYFUNCTION("IFERROR(ABS(O1163-AVERAGE(FILTER(O1163:O5231,AA1163:AA5231=""Neighbor""))) / STDEV(FILTER(O1163:O5231, AA1163:AA5231 =""Neighbor"")), """")"),0.8527748287187914)</f>
        <v>0.8527748287</v>
      </c>
      <c r="AD1163" s="4">
        <f>IFERROR(__xludf.DUMMYFUNCTION("IFERROR(ABS(P1163-AVERAGE(FILTER(O1163:P5231,AA1163:AA5231=""Neighbor""))) / STDEV(FILTER(P1163:P5231, AA1163:AA5231 =""Neighbor"")), """")"),0.8335470241494211)</f>
        <v>0.8335470241</v>
      </c>
      <c r="AE1163" s="2">
        <f>IFERROR(__xludf.DUMMYFUNCTION("IFERROR(ABS(Q1163-AVERAGE(FILTER(Q1163:Q5231,AA1163:AA5231=""Neighbor""))) / STDEV(FILTER(Q1163:Q5231, AA1163:AA5231 =""Neighbor"")), """")"),0.8195766915677349)</f>
        <v>0.8195766916</v>
      </c>
      <c r="AF1163" s="2">
        <f>IFERROR(__xludf.DUMMYFUNCTION("IFERROR(ABS(R1163-AVERAGE(FILTER(R1163:R5231,AA1163:AA5231=""Neighbor""))) / STDEV(FILTER(R1163:R5231, AA1163:AA5231 =""Neighbor"")), """")"),0.344246826061753)</f>
        <v>0.3442468261</v>
      </c>
    </row>
    <row r="1164">
      <c r="A1164" s="2" t="s">
        <v>28</v>
      </c>
      <c r="B1164" s="2" t="s">
        <v>4358</v>
      </c>
      <c r="C1164" s="2" t="s">
        <v>4745</v>
      </c>
      <c r="D1164" s="2" t="s">
        <v>4762</v>
      </c>
      <c r="E1164" s="2" t="s">
        <v>4763</v>
      </c>
      <c r="F1164" s="2">
        <v>257.0</v>
      </c>
      <c r="G1164" s="2">
        <v>1318.0</v>
      </c>
      <c r="H1164" s="2" t="b">
        <v>1</v>
      </c>
      <c r="I1164" s="2">
        <v>-1.0</v>
      </c>
      <c r="J1164" s="2" t="b">
        <v>0</v>
      </c>
      <c r="K1164" s="2" t="b">
        <v>0</v>
      </c>
      <c r="L1164" s="2" t="b">
        <v>0</v>
      </c>
      <c r="M1164" s="2" t="b">
        <v>0</v>
      </c>
      <c r="N1164" s="2" t="s">
        <v>33</v>
      </c>
      <c r="O1164" s="2">
        <v>158.0</v>
      </c>
      <c r="P1164" s="2">
        <v>51.0</v>
      </c>
      <c r="Q1164" s="2">
        <v>23.0</v>
      </c>
      <c r="R1164" s="2">
        <v>1.0</v>
      </c>
      <c r="S1164" s="3" t="s">
        <v>4764</v>
      </c>
      <c r="T1164" s="2" t="s">
        <v>4765</v>
      </c>
      <c r="Y1164" s="4" t="str">
        <f>IFERROR(__xludf.DUMMYFUNCTION("""COMPUTED_VALUE"""),"6.727429")</f>
        <v>6.727429</v>
      </c>
      <c r="Z1164" s="4" t="str">
        <f>IFERROR(__xludf.DUMMYFUNCTION("""COMPUTED_VALUE"""),"3.3288183")</f>
        <v>3.3288183</v>
      </c>
      <c r="AA1164" s="4" t="str">
        <f t="shared" si="1"/>
        <v>Not Neighbor</v>
      </c>
      <c r="AC1164" s="4">
        <f>IFERROR(__xludf.DUMMYFUNCTION("IFERROR(ABS(O1164-AVERAGE(FILTER(O1164:O5232,AA1164:AA5232=""Neighbor""))) / STDEV(FILTER(O1164:O5232, AA1164:AA5232 =""Neighbor"")), """")"),2.2686765594503275)</f>
        <v>2.268676559</v>
      </c>
      <c r="AD1164" s="4">
        <f>IFERROR(__xludf.DUMMYFUNCTION("IFERROR(ABS(P1164-AVERAGE(FILTER(O1164:P5232,AA1164:AA5232=""Neighbor""))) / STDEV(FILTER(P1164:P5232, AA1164:AA5232 =""Neighbor"")), """")"),0.5462444584188378)</f>
        <v>0.5462444584</v>
      </c>
      <c r="AE1164" s="2">
        <f>IFERROR(__xludf.DUMMYFUNCTION("IFERROR(ABS(Q1164-AVERAGE(FILTER(Q1164:Q5232,AA1164:AA5232=""Neighbor""))) / STDEV(FILTER(Q1164:Q5232, AA1164:AA5232 =""Neighbor"")), """")"),0.08412253829151957)</f>
        <v>0.08412253829</v>
      </c>
      <c r="AF1164" s="2">
        <f>IFERROR(__xludf.DUMMYFUNCTION("IFERROR(ABS(R1164-AVERAGE(FILTER(R1164:R5232,AA1164:AA5232=""Neighbor""))) / STDEV(FILTER(R1164:R5232, AA1164:AA5232 =""Neighbor"")), """")"),0.8867878764924105)</f>
        <v>0.8867878765</v>
      </c>
    </row>
    <row r="1165">
      <c r="A1165" s="2" t="s">
        <v>28</v>
      </c>
      <c r="B1165" s="2" t="s">
        <v>4358</v>
      </c>
      <c r="C1165" s="2" t="s">
        <v>4745</v>
      </c>
      <c r="D1165" s="2" t="s">
        <v>4766</v>
      </c>
      <c r="E1165" s="2" t="s">
        <v>4767</v>
      </c>
      <c r="F1165" s="2">
        <v>119.0</v>
      </c>
      <c r="G1165" s="2">
        <v>835.0</v>
      </c>
      <c r="H1165" s="2" t="b">
        <v>1</v>
      </c>
      <c r="I1165" s="2">
        <v>-1.0</v>
      </c>
      <c r="J1165" s="2" t="b">
        <v>0</v>
      </c>
      <c r="K1165" s="2" t="b">
        <v>0</v>
      </c>
      <c r="L1165" s="2" t="b">
        <v>0</v>
      </c>
      <c r="M1165" s="2" t="b">
        <v>0</v>
      </c>
      <c r="N1165" s="2" t="s">
        <v>33</v>
      </c>
      <c r="O1165" s="2">
        <v>63.0</v>
      </c>
      <c r="P1165" s="2">
        <v>10.0</v>
      </c>
      <c r="Q1165" s="2">
        <v>13.0</v>
      </c>
      <c r="R1165" s="2">
        <v>0.0</v>
      </c>
      <c r="S1165" s="3" t="s">
        <v>4768</v>
      </c>
      <c r="T1165" s="2" t="s">
        <v>4769</v>
      </c>
      <c r="Y1165" s="4" t="str">
        <f>IFERROR(__xludf.DUMMYFUNCTION("""COMPUTED_VALUE"""),"6.7484781")</f>
        <v>6.7484781</v>
      </c>
      <c r="Z1165" s="4" t="str">
        <f>IFERROR(__xludf.DUMMYFUNCTION("""COMPUTED_VALUE"""),"3.2991032")</f>
        <v>3.2991032</v>
      </c>
      <c r="AA1165" s="4" t="str">
        <f t="shared" si="1"/>
        <v>Neighbor</v>
      </c>
      <c r="AC1165" s="4">
        <f>IFERROR(__xludf.DUMMYFUNCTION("IFERROR(ABS(O1165-AVERAGE(FILTER(O1165:O5233,AA1165:AA5233=""Neighbor""))) / STDEV(FILTER(O1165:O5233, AA1165:AA5233 =""Neighbor"")), """")"),0.011165210371637419)</f>
        <v>0.01116521037</v>
      </c>
      <c r="AD1165" s="4">
        <f>IFERROR(__xludf.DUMMYFUNCTION("IFERROR(ABS(P1165-AVERAGE(FILTER(O1165:P5233,AA1165:AA5233=""Neighbor""))) / STDEV(FILTER(P1165:P5233, AA1165:AA5233 =""Neighbor"")), """")"),1.4044952238328385)</f>
        <v>1.404495224</v>
      </c>
      <c r="AE1165" s="2">
        <f>IFERROR(__xludf.DUMMYFUNCTION("IFERROR(ABS(Q1165-AVERAGE(FILTER(Q1165:Q5233,AA1165:AA5233=""Neighbor""))) / STDEV(FILTER(Q1165:Q5233, AA1165:AA5233 =""Neighbor"")), """")"),0.4927081790005281)</f>
        <v>0.492708179</v>
      </c>
      <c r="AF1165" s="2">
        <f>IFERROR(__xludf.DUMMYFUNCTION("IFERROR(ABS(R1165-AVERAGE(FILTER(R1165:R5233,AA1165:AA5233=""Neighbor""))) / STDEV(FILTER(R1165:R5233, AA1165:AA5233 =""Neighbor"")), """")"),0.344246826061753)</f>
        <v>0.3442468261</v>
      </c>
    </row>
    <row r="1166">
      <c r="A1166" s="2" t="s">
        <v>28</v>
      </c>
      <c r="B1166" s="2" t="s">
        <v>4358</v>
      </c>
      <c r="C1166" s="2" t="s">
        <v>4745</v>
      </c>
      <c r="D1166" s="2" t="s">
        <v>4770</v>
      </c>
      <c r="E1166" s="2" t="s">
        <v>4771</v>
      </c>
      <c r="F1166" s="2">
        <v>81.0</v>
      </c>
      <c r="G1166" s="2">
        <v>395.0</v>
      </c>
      <c r="H1166" s="2" t="b">
        <v>1</v>
      </c>
      <c r="I1166" s="2">
        <v>-1.0</v>
      </c>
      <c r="J1166" s="2" t="b">
        <v>0</v>
      </c>
      <c r="K1166" s="2" t="b">
        <v>0</v>
      </c>
      <c r="L1166" s="2" t="b">
        <v>0</v>
      </c>
      <c r="M1166" s="2" t="b">
        <v>0</v>
      </c>
      <c r="N1166" s="2" t="s">
        <v>33</v>
      </c>
      <c r="O1166" s="2">
        <v>48.0</v>
      </c>
      <c r="P1166" s="2">
        <v>3.0</v>
      </c>
      <c r="Q1166" s="2">
        <v>14.0</v>
      </c>
      <c r="R1166" s="2">
        <v>0.0</v>
      </c>
      <c r="S1166" s="3" t="s">
        <v>4772</v>
      </c>
      <c r="T1166" s="2" t="s">
        <v>4773</v>
      </c>
      <c r="Y1166" s="4" t="str">
        <f>IFERROR(__xludf.DUMMYFUNCTION("""COMPUTED_VALUE"""),"6.7484781")</f>
        <v>6.7484781</v>
      </c>
      <c r="Z1166" s="4" t="str">
        <f>IFERROR(__xludf.DUMMYFUNCTION("""COMPUTED_VALUE"""),"3.2991032")</f>
        <v>3.2991032</v>
      </c>
      <c r="AA1166" s="4" t="str">
        <f t="shared" si="1"/>
        <v>Not Neighbor</v>
      </c>
      <c r="AC1166" s="4">
        <f>IFERROR(__xludf.DUMMYFUNCTION("IFERROR(ABS(O1166-AVERAGE(FILTER(O1166:O5234,AA1166:AA5234=""Neighbor""))) / STDEV(FILTER(O1166:O5234, AA1166:AA5234 =""Neighbor"")), """")"),0.3709974899091338)</f>
        <v>0.3709974899</v>
      </c>
      <c r="AD1166" s="4">
        <f>IFERROR(__xludf.DUMMYFUNCTION("IFERROR(ABS(P1166-AVERAGE(FILTER(O1166:P5234,AA1166:AA5234=""Neighbor""))) / STDEV(FILTER(P1166:P5234, AA1166:AA5234 =""Neighbor"")), """")"),1.7370047712422048)</f>
        <v>1.737004771</v>
      </c>
      <c r="AE1166" s="2">
        <f>IFERROR(__xludf.DUMMYFUNCTION("IFERROR(ABS(Q1166-AVERAGE(FILTER(Q1166:Q5234,AA1166:AA5234=""Neighbor""))) / STDEV(FILTER(Q1166:Q5234, AA1166:AA5234 =""Neighbor"")), """")"),0.4521126761997268)</f>
        <v>0.4521126762</v>
      </c>
      <c r="AF1166" s="2">
        <f>IFERROR(__xludf.DUMMYFUNCTION("IFERROR(ABS(R1166-AVERAGE(FILTER(R1166:R5234,AA1166:AA5234=""Neighbor""))) / STDEV(FILTER(R1166:R5234, AA1166:AA5234 =""Neighbor"")), """")"),0.3444042495163802)</f>
        <v>0.3444042495</v>
      </c>
    </row>
    <row r="1167">
      <c r="A1167" s="2" t="s">
        <v>28</v>
      </c>
      <c r="B1167" s="2" t="s">
        <v>4358</v>
      </c>
      <c r="C1167" s="2" t="s">
        <v>4745</v>
      </c>
      <c r="D1167" s="2" t="s">
        <v>4774</v>
      </c>
      <c r="E1167" s="2" t="s">
        <v>4775</v>
      </c>
      <c r="F1167" s="2">
        <v>119.0</v>
      </c>
      <c r="G1167" s="2">
        <v>889.0</v>
      </c>
      <c r="H1167" s="2" t="b">
        <v>1</v>
      </c>
      <c r="I1167" s="2">
        <v>-1.0</v>
      </c>
      <c r="J1167" s="2" t="b">
        <v>0</v>
      </c>
      <c r="K1167" s="2" t="b">
        <v>0</v>
      </c>
      <c r="L1167" s="2" t="b">
        <v>0</v>
      </c>
      <c r="M1167" s="2" t="b">
        <v>0</v>
      </c>
      <c r="N1167" s="2" t="s">
        <v>33</v>
      </c>
      <c r="O1167" s="2">
        <v>61.0</v>
      </c>
      <c r="P1167" s="2">
        <v>32.0</v>
      </c>
      <c r="Q1167" s="2">
        <v>4.0</v>
      </c>
      <c r="R1167" s="2">
        <v>0.0</v>
      </c>
      <c r="S1167" s="3" t="s">
        <v>4776</v>
      </c>
      <c r="T1167" s="2" t="s">
        <v>4777</v>
      </c>
      <c r="Y1167" s="4" t="str">
        <f>IFERROR(__xludf.DUMMYFUNCTION("""COMPUTED_VALUE"""),"6.6847759")</f>
        <v>6.6847759</v>
      </c>
      <c r="Z1167" s="4" t="str">
        <f>IFERROR(__xludf.DUMMYFUNCTION("""COMPUTED_VALUE"""),"3.3168365")</f>
        <v>3.3168365</v>
      </c>
      <c r="AA1167" s="4" t="str">
        <f t="shared" si="1"/>
        <v>Neighbor</v>
      </c>
      <c r="AC1167" s="4">
        <f>IFERROR(__xludf.DUMMYFUNCTION("IFERROR(ABS(O1167-AVERAGE(FILTER(O1167:O5235,AA1167:AA5235=""Neighbor""))) / STDEV(FILTER(O1167:O5235, AA1167:AA5235 =""Neighbor"")), """")"),0.05914680338093133)</f>
        <v>0.05914680338</v>
      </c>
      <c r="AD1167" s="4">
        <f>IFERROR(__xludf.DUMMYFUNCTION("IFERROR(ABS(P1167-AVERAGE(FILTER(O1167:P5235,AA1167:AA5235=""Neighbor""))) / STDEV(FILTER(P1167:P5235, AA1167:AA5235 =""Neighbor"")), """")"),0.35773825283439714)</f>
        <v>0.3577382528</v>
      </c>
      <c r="AE1167" s="2">
        <f>IFERROR(__xludf.DUMMYFUNCTION("IFERROR(ABS(Q1167-AVERAGE(FILTER(Q1167:Q5235,AA1167:AA5235=""Neighbor""))) / STDEV(FILTER(Q1167:Q5235, AA1167:AA5235 =""Neighbor"")), """")"),0.8605717108855659)</f>
        <v>0.8605717109</v>
      </c>
      <c r="AF1167" s="2">
        <f>IFERROR(__xludf.DUMMYFUNCTION("IFERROR(ABS(R1167-AVERAGE(FILTER(R1167:R5235,AA1167:AA5235=""Neighbor""))) / STDEV(FILTER(R1167:R5235, AA1167:AA5235 =""Neighbor"")), """")"),0.3444042495163802)</f>
        <v>0.3444042495</v>
      </c>
    </row>
    <row r="1168">
      <c r="A1168" s="2" t="s">
        <v>28</v>
      </c>
      <c r="B1168" s="2" t="s">
        <v>4358</v>
      </c>
      <c r="C1168" s="2" t="s">
        <v>4745</v>
      </c>
      <c r="D1168" s="2" t="s">
        <v>4778</v>
      </c>
      <c r="E1168" s="2" t="s">
        <v>4779</v>
      </c>
      <c r="F1168" s="2">
        <v>101.0</v>
      </c>
      <c r="G1168" s="2">
        <v>941.0</v>
      </c>
      <c r="H1168" s="2" t="b">
        <v>1</v>
      </c>
      <c r="I1168" s="2">
        <v>-1.0</v>
      </c>
      <c r="J1168" s="2" t="b">
        <v>0</v>
      </c>
      <c r="K1168" s="2" t="b">
        <v>1</v>
      </c>
      <c r="L1168" s="2" t="b">
        <v>0</v>
      </c>
      <c r="M1168" s="2" t="b">
        <v>0</v>
      </c>
      <c r="N1168" s="2" t="s">
        <v>33</v>
      </c>
      <c r="O1168" s="2">
        <v>63.0</v>
      </c>
      <c r="P1168" s="2">
        <v>14.0</v>
      </c>
      <c r="Q1168" s="2">
        <v>6.0</v>
      </c>
      <c r="R1168" s="2">
        <v>0.0</v>
      </c>
      <c r="S1168" s="3" t="s">
        <v>4780</v>
      </c>
      <c r="T1168" s="2" t="s">
        <v>4781</v>
      </c>
      <c r="Y1168" s="4" t="str">
        <f>IFERROR(__xludf.DUMMYFUNCTION("""COMPUTED_VALUE"""),"6.6847759")</f>
        <v>6.6847759</v>
      </c>
      <c r="Z1168" s="4" t="str">
        <f>IFERROR(__xludf.DUMMYFUNCTION("""COMPUTED_VALUE"""),"3.3168365")</f>
        <v>3.3168365</v>
      </c>
      <c r="AA1168" s="4" t="str">
        <f t="shared" si="1"/>
        <v>Neighbor</v>
      </c>
      <c r="AC1168" s="4">
        <f>IFERROR(__xludf.DUMMYFUNCTION("IFERROR(ABS(O1168-AVERAGE(FILTER(O1168:O5236,AA1168:AA5236=""Neighbor""))) / STDEV(FILTER(O1168:O5236, AA1168:AA5236 =""Neighbor"")), """")"),0.011213637237210701)</f>
        <v>0.01121363724</v>
      </c>
      <c r="AD1168" s="4">
        <f>IFERROR(__xludf.DUMMYFUNCTION("IFERROR(ABS(P1168-AVERAGE(FILTER(O1168:P5236,AA1168:AA5236=""Neighbor""))) / STDEV(FILTER(P1168:P5236, AA1168:AA5236 =""Neighbor"")), """")"),1.2133692393763522)</f>
        <v>1.213369239</v>
      </c>
      <c r="AE1168" s="2">
        <f>IFERROR(__xludf.DUMMYFUNCTION("IFERROR(ABS(Q1168-AVERAGE(FILTER(Q1168:Q5236,AA1168:AA5236=""Neighbor""))) / STDEV(FILTER(Q1168:Q5236, AA1168:AA5236 =""Neighbor"")), """")"),0.7795020358101029)</f>
        <v>0.7795020358</v>
      </c>
      <c r="AF1168" s="2">
        <f>IFERROR(__xludf.DUMMYFUNCTION("IFERROR(ABS(R1168-AVERAGE(FILTER(R1168:R5236,AA1168:AA5236=""Neighbor""))) / STDEV(FILTER(R1168:R5236, AA1168:AA5236 =""Neighbor"")), """")"),0.34456188915940733)</f>
        <v>0.3445618892</v>
      </c>
    </row>
    <row r="1169">
      <c r="A1169" s="2" t="s">
        <v>28</v>
      </c>
      <c r="B1169" s="2" t="s">
        <v>4358</v>
      </c>
      <c r="C1169" s="2" t="s">
        <v>4745</v>
      </c>
      <c r="D1169" s="2" t="s">
        <v>4782</v>
      </c>
      <c r="E1169" s="2" t="s">
        <v>4783</v>
      </c>
      <c r="F1169" s="2">
        <v>133.0</v>
      </c>
      <c r="G1169" s="2">
        <v>874.0</v>
      </c>
      <c r="H1169" s="2" t="b">
        <v>1</v>
      </c>
      <c r="I1169" s="2">
        <v>-1.0</v>
      </c>
      <c r="J1169" s="2" t="b">
        <v>0</v>
      </c>
      <c r="K1169" s="2" t="b">
        <v>0</v>
      </c>
      <c r="L1169" s="2" t="b">
        <v>0</v>
      </c>
      <c r="M1169" s="2" t="b">
        <v>0</v>
      </c>
      <c r="N1169" s="2" t="s">
        <v>33</v>
      </c>
      <c r="O1169" s="2">
        <v>81.0</v>
      </c>
      <c r="P1169" s="2">
        <v>17.0</v>
      </c>
      <c r="Q1169" s="2">
        <v>4.0</v>
      </c>
      <c r="R1169" s="2">
        <v>0.0</v>
      </c>
      <c r="S1169" s="3" t="s">
        <v>4784</v>
      </c>
      <c r="T1169" s="2" t="s">
        <v>4785</v>
      </c>
      <c r="Y1169" s="4" t="str">
        <f>IFERROR(__xludf.DUMMYFUNCTION("""COMPUTED_VALUE"""),"6.6847759")</f>
        <v>6.6847759</v>
      </c>
      <c r="Z1169" s="4" t="str">
        <f>IFERROR(__xludf.DUMMYFUNCTION("""COMPUTED_VALUE"""),"3.3168365")</f>
        <v>3.3168365</v>
      </c>
      <c r="AA1169" s="4" t="str">
        <f t="shared" si="1"/>
        <v>Neighbor</v>
      </c>
      <c r="AC1169" s="4">
        <f>IFERROR(__xludf.DUMMYFUNCTION("IFERROR(ABS(O1169-AVERAGE(FILTER(O1169:O5237,AA1169:AA5237=""Neighbor""))) / STDEV(FILTER(O1169:O5237, AA1169:AA5237 =""Neighbor"")), """")"),0.42022188627354107)</f>
        <v>0.4202218863</v>
      </c>
      <c r="AD1169" s="4">
        <f>IFERROR(__xludf.DUMMYFUNCTION("IFERROR(ABS(P1169-AVERAGE(FILTER(O1169:P5237,AA1169:AA5237=""Neighbor""))) / STDEV(FILTER(P1169:P5237, AA1169:AA5237 =""Neighbor"")), """")"),1.070312372723465)</f>
        <v>1.070312373</v>
      </c>
      <c r="AE1169" s="2">
        <f>IFERROR(__xludf.DUMMYFUNCTION("IFERROR(ABS(Q1169-AVERAGE(FILTER(Q1169:Q5237,AA1169:AA5237=""Neighbor""))) / STDEV(FILTER(Q1169:Q5237, AA1169:AA5237 =""Neighbor"")), """")"),0.8616856209651866)</f>
        <v>0.861685621</v>
      </c>
      <c r="AF1169" s="2">
        <f>IFERROR(__xludf.DUMMYFUNCTION("IFERROR(ABS(R1169-AVERAGE(FILTER(R1169:R5237,AA1169:AA5237=""Neighbor""))) / STDEV(FILTER(R1169:R5237, AA1169:AA5237 =""Neighbor"")), """")"),0.34471974548614903)</f>
        <v>0.3447197455</v>
      </c>
    </row>
    <row r="1170">
      <c r="A1170" s="2" t="s">
        <v>28</v>
      </c>
      <c r="B1170" s="2" t="s">
        <v>4358</v>
      </c>
      <c r="C1170" s="2" t="s">
        <v>4745</v>
      </c>
      <c r="D1170" s="2" t="s">
        <v>4786</v>
      </c>
      <c r="E1170" s="2" t="s">
        <v>4787</v>
      </c>
      <c r="F1170" s="2">
        <v>83.0</v>
      </c>
      <c r="G1170" s="2">
        <v>750.0</v>
      </c>
      <c r="H1170" s="2" t="b">
        <v>1</v>
      </c>
      <c r="I1170" s="2">
        <v>-1.0</v>
      </c>
      <c r="J1170" s="2" t="b">
        <v>0</v>
      </c>
      <c r="K1170" s="2" t="b">
        <v>0</v>
      </c>
      <c r="L1170" s="2" t="b">
        <v>0</v>
      </c>
      <c r="M1170" s="2" t="b">
        <v>0</v>
      </c>
      <c r="N1170" s="2" t="s">
        <v>33</v>
      </c>
      <c r="O1170" s="2">
        <v>44.0</v>
      </c>
      <c r="P1170" s="2">
        <v>18.0</v>
      </c>
      <c r="Q1170" s="2">
        <v>3.0</v>
      </c>
      <c r="R1170" s="2">
        <v>0.0</v>
      </c>
      <c r="S1170" s="3" t="s">
        <v>4788</v>
      </c>
      <c r="T1170" s="2" t="s">
        <v>4789</v>
      </c>
      <c r="Y1170" s="4" t="str">
        <f>IFERROR(__xludf.DUMMYFUNCTION("""COMPUTED_VALUE"""),"6.6847759")</f>
        <v>6.6847759</v>
      </c>
      <c r="Z1170" s="4" t="str">
        <f>IFERROR(__xludf.DUMMYFUNCTION("""COMPUTED_VALUE"""),"3.3168365")</f>
        <v>3.3168365</v>
      </c>
      <c r="AA1170" s="4" t="str">
        <f t="shared" si="1"/>
        <v>Not Neighbor</v>
      </c>
      <c r="AC1170" s="4">
        <f>IFERROR(__xludf.DUMMYFUNCTION("IFERROR(ABS(O1170-AVERAGE(FILTER(O1170:O5238,AA1170:AA5238=""Neighbor""))) / STDEV(FILTER(O1170:O5238, AA1170:AA5238 =""Neighbor"")), """")"),0.46612500790236594)</f>
        <v>0.4661250079</v>
      </c>
      <c r="AD1170" s="4">
        <f>IFERROR(__xludf.DUMMYFUNCTION("IFERROR(ABS(P1170-AVERAGE(FILTER(O1170:P5238,AA1170:AA5238=""Neighbor""))) / STDEV(FILTER(P1170:P5238, AA1170:AA5238 =""Neighbor"")), """")"),1.0219911438520604)</f>
        <v>1.021991144</v>
      </c>
      <c r="AE1170" s="2">
        <f>IFERROR(__xludf.DUMMYFUNCTION("IFERROR(ABS(Q1170-AVERAGE(FILTER(Q1170:Q5238,AA1170:AA5238=""Neighbor""))) / STDEV(FILTER(Q1170:Q5238, AA1170:AA5238 =""Neighbor"")), """")"),0.9031322735730801)</f>
        <v>0.9031322736</v>
      </c>
      <c r="AF1170" s="2">
        <f>IFERROR(__xludf.DUMMYFUNCTION("IFERROR(ABS(R1170-AVERAGE(FILTER(R1170:R5238,AA1170:AA5238=""Neighbor""))) / STDEV(FILTER(R1170:R5238, AA1170:AA5238 =""Neighbor"")), """")"),0.34487781899351017)</f>
        <v>0.344877819</v>
      </c>
    </row>
    <row r="1171">
      <c r="A1171" s="2" t="s">
        <v>28</v>
      </c>
      <c r="B1171" s="2" t="s">
        <v>4358</v>
      </c>
      <c r="C1171" s="2" t="s">
        <v>4745</v>
      </c>
      <c r="D1171" s="2" t="s">
        <v>4790</v>
      </c>
      <c r="E1171" s="2" t="s">
        <v>4791</v>
      </c>
      <c r="F1171" s="2">
        <v>151.0</v>
      </c>
      <c r="G1171" s="2">
        <v>839.0</v>
      </c>
      <c r="H1171" s="2" t="b">
        <v>1</v>
      </c>
      <c r="I1171" s="2">
        <v>-1.0</v>
      </c>
      <c r="J1171" s="2" t="b">
        <v>0</v>
      </c>
      <c r="K1171" s="2" t="b">
        <v>0</v>
      </c>
      <c r="L1171" s="2" t="b">
        <v>0</v>
      </c>
      <c r="M1171" s="2" t="b">
        <v>0</v>
      </c>
      <c r="N1171" s="2" t="s">
        <v>33</v>
      </c>
      <c r="O1171" s="2">
        <v>90.0</v>
      </c>
      <c r="P1171" s="2">
        <v>16.0</v>
      </c>
      <c r="Q1171" s="2">
        <v>28.0</v>
      </c>
      <c r="R1171" s="2">
        <v>2.0</v>
      </c>
      <c r="S1171" s="3" t="s">
        <v>4792</v>
      </c>
      <c r="T1171" s="2" t="s">
        <v>4793</v>
      </c>
      <c r="Y1171" s="4" t="str">
        <f>IFERROR(__xludf.DUMMYFUNCTION("""COMPUTED_VALUE"""),"6.6929453")</f>
        <v>6.6929453</v>
      </c>
      <c r="Z1171" s="4" t="str">
        <f>IFERROR(__xludf.DUMMYFUNCTION("""COMPUTED_VALUE"""),"3.2979845")</f>
        <v>3.2979845</v>
      </c>
      <c r="AA1171" s="4" t="str">
        <f t="shared" si="1"/>
        <v>Neighbor</v>
      </c>
      <c r="AC1171" s="4">
        <f>IFERROR(__xludf.DUMMYFUNCTION("IFERROR(ABS(O1171-AVERAGE(FILTER(O1171:O5239,AA1171:AA5239=""Neighbor""))) / STDEV(FILTER(O1171:O5239, AA1171:AA5239 =""Neighbor"")), """")"),0.6360717405634038)</f>
        <v>0.6360717406</v>
      </c>
      <c r="AD1171" s="4">
        <f>IFERROR(__xludf.DUMMYFUNCTION("IFERROR(ABS(P1171-AVERAGE(FILTER(O1171:P5239,AA1171:AA5239=""Neighbor""))) / STDEV(FILTER(P1171:P5239, AA1171:AA5239 =""Neighbor"")), """")"),1.1170202027094498)</f>
        <v>1.117020203</v>
      </c>
      <c r="AE1171" s="2">
        <f>IFERROR(__xludf.DUMMYFUNCTION("IFERROR(ABS(Q1171-AVERAGE(FILTER(Q1171:Q5239,AA1171:AA5239=""Neighbor""))) / STDEV(FILTER(Q1171:Q5239, AA1171:AA5239 =""Neighbor"")), """")"),0.11763529817856541)</f>
        <v>0.1176352982</v>
      </c>
      <c r="AF1171" s="2">
        <f>IFERROR(__xludf.DUMMYFUNCTION("IFERROR(ABS(R1171-AVERAGE(FILTER(R1171:R5239,AA1171:AA5239=""Neighbor""))) / STDEV(FILTER(R1171:R5239, AA1171:AA5239 =""Neighbor"")), """")"),2.113637159679524)</f>
        <v>2.11363716</v>
      </c>
    </row>
    <row r="1172">
      <c r="A1172" s="2" t="s">
        <v>28</v>
      </c>
      <c r="B1172" s="2" t="s">
        <v>4358</v>
      </c>
      <c r="C1172" s="2" t="s">
        <v>4745</v>
      </c>
      <c r="D1172" s="2" t="s">
        <v>4794</v>
      </c>
      <c r="E1172" s="2" t="s">
        <v>4795</v>
      </c>
      <c r="F1172" s="2">
        <v>95.0</v>
      </c>
      <c r="G1172" s="2">
        <v>687.0</v>
      </c>
      <c r="H1172" s="2" t="b">
        <v>1</v>
      </c>
      <c r="I1172" s="2">
        <v>-1.0</v>
      </c>
      <c r="J1172" s="2" t="b">
        <v>1</v>
      </c>
      <c r="K1172" s="2" t="b">
        <v>0</v>
      </c>
      <c r="L1172" s="2" t="b">
        <v>0</v>
      </c>
      <c r="M1172" s="2" t="b">
        <v>0</v>
      </c>
      <c r="N1172" s="2" t="s">
        <v>33</v>
      </c>
      <c r="O1172" s="2">
        <v>50.0</v>
      </c>
      <c r="P1172" s="2">
        <v>8.0</v>
      </c>
      <c r="Q1172" s="2">
        <v>15.0</v>
      </c>
      <c r="R1172" s="2">
        <v>0.0</v>
      </c>
      <c r="S1172" s="3" t="s">
        <v>4796</v>
      </c>
      <c r="T1172" s="2" t="s">
        <v>4797</v>
      </c>
      <c r="Y1172" s="4" t="str">
        <f>IFERROR(__xludf.DUMMYFUNCTION("""COMPUTED_VALUE"""),"6.6929453")</f>
        <v>6.6929453</v>
      </c>
      <c r="Z1172" s="4" t="str">
        <f>IFERROR(__xludf.DUMMYFUNCTION("""COMPUTED_VALUE"""),"3.2979845")</f>
        <v>3.2979845</v>
      </c>
      <c r="AA1172" s="4" t="str">
        <f t="shared" si="1"/>
        <v>Not Neighbor</v>
      </c>
      <c r="AC1172" s="4">
        <f>IFERROR(__xludf.DUMMYFUNCTION("IFERROR(ABS(O1172-AVERAGE(FILTER(O1172:O5240,AA1172:AA5240=""Neighbor""))) / STDEV(FILTER(O1172:O5240, AA1172:AA5240 =""Neighbor"")), """")"),0.32175933198098033)</f>
        <v>0.321759332</v>
      </c>
      <c r="AD1172" s="4">
        <f>IFERROR(__xludf.DUMMYFUNCTION("IFERROR(ABS(P1172-AVERAGE(FILTER(O1172:P5240,AA1172:AA5240=""Neighbor""))) / STDEV(FILTER(P1172:P5240, AA1172:AA5240 =""Neighbor"")), """")"),1.4959959164448497)</f>
        <v>1.495995916</v>
      </c>
      <c r="AE1172" s="2">
        <f>IFERROR(__xludf.DUMMYFUNCTION("IFERROR(ABS(Q1172-AVERAGE(FILTER(Q1172:Q5240,AA1172:AA5240=""Neighbor""))) / STDEV(FILTER(Q1172:Q5240, AA1172:AA5240 =""Neighbor"")), """")"),0.4129000032415775)</f>
        <v>0.4129000032</v>
      </c>
      <c r="AF1172" s="2">
        <f>IFERROR(__xludf.DUMMYFUNCTION("IFERROR(ABS(R1172-AVERAGE(FILTER(R1172:R5240,AA1172:AA5240=""Neighbor""))) / STDEV(FILTER(R1172:R5240, AA1172:AA5240 =""Neighbor"")), """")"),0.3436328898599684)</f>
        <v>0.3436328899</v>
      </c>
    </row>
    <row r="1173">
      <c r="A1173" s="2" t="s">
        <v>28</v>
      </c>
      <c r="B1173" s="2" t="s">
        <v>4358</v>
      </c>
      <c r="C1173" s="2" t="s">
        <v>4745</v>
      </c>
      <c r="D1173" s="2" t="s">
        <v>4798</v>
      </c>
      <c r="E1173" s="2" t="s">
        <v>4799</v>
      </c>
      <c r="F1173" s="2">
        <v>173.0</v>
      </c>
      <c r="G1173" s="2">
        <v>759.0</v>
      </c>
      <c r="H1173" s="2" t="b">
        <v>1</v>
      </c>
      <c r="I1173" s="2">
        <v>-1.0</v>
      </c>
      <c r="J1173" s="2" t="b">
        <v>0</v>
      </c>
      <c r="K1173" s="2" t="b">
        <v>0</v>
      </c>
      <c r="L1173" s="2" t="b">
        <v>0</v>
      </c>
      <c r="M1173" s="2" t="b">
        <v>0</v>
      </c>
      <c r="N1173" s="2" t="s">
        <v>33</v>
      </c>
      <c r="O1173" s="2">
        <v>90.0</v>
      </c>
      <c r="P1173" s="2">
        <v>50.0</v>
      </c>
      <c r="Q1173" s="2">
        <v>12.0</v>
      </c>
      <c r="R1173" s="2">
        <v>0.0</v>
      </c>
      <c r="S1173" s="3" t="s">
        <v>4800</v>
      </c>
      <c r="T1173" s="2" t="s">
        <v>4801</v>
      </c>
      <c r="Y1173" s="4" t="str">
        <f>IFERROR(__xludf.DUMMYFUNCTION("""COMPUTED_VALUE"""),"6.6849401")</f>
        <v>6.6849401</v>
      </c>
      <c r="Z1173" s="4" t="str">
        <f>IFERROR(__xludf.DUMMYFUNCTION("""COMPUTED_VALUE"""),"3.3258486")</f>
        <v>3.3258486</v>
      </c>
      <c r="AA1173" s="4" t="str">
        <f t="shared" si="1"/>
        <v>Neighbor</v>
      </c>
      <c r="AC1173" s="4">
        <f>IFERROR(__xludf.DUMMYFUNCTION("IFERROR(ABS(O1173-AVERAGE(FILTER(O1173:O5241,AA1173:AA5241=""Neighbor""))) / STDEV(FILTER(O1173:O5241, AA1173:AA5241 =""Neighbor"")), """")"),0.6364383852631128)</f>
        <v>0.6364383853</v>
      </c>
      <c r="AD1173" s="4">
        <f>IFERROR(__xludf.DUMMYFUNCTION("IFERROR(ABS(P1173-AVERAGE(FILTER(O1173:P5241,AA1173:AA5241=""Neighbor""))) / STDEV(FILTER(P1173:P5241, AA1173:AA5241 =""Neighbor"")), """")"),0.49879528640290605)</f>
        <v>0.4987952864</v>
      </c>
      <c r="AE1173" s="2">
        <f>IFERROR(__xludf.DUMMYFUNCTION("IFERROR(ABS(Q1173-AVERAGE(FILTER(Q1173:Q5241,AA1173:AA5241=""Neighbor""))) / STDEV(FILTER(Q1173:Q5241, AA1173:AA5241 =""Neighbor"")), """")"),0.5353425135357444)</f>
        <v>0.5353425135</v>
      </c>
      <c r="AF1173" s="2">
        <f>IFERROR(__xludf.DUMMYFUNCTION("IFERROR(ABS(R1173-AVERAGE(FILTER(R1173:R5241,AA1173:AA5241=""Neighbor""))) / STDEV(FILTER(R1173:R5241, AA1173:AA5241 =""Neighbor"")), """")"),0.3436328898599684)</f>
        <v>0.3436328899</v>
      </c>
    </row>
    <row r="1174">
      <c r="A1174" s="2" t="s">
        <v>28</v>
      </c>
      <c r="B1174" s="2" t="s">
        <v>4358</v>
      </c>
      <c r="C1174" s="2" t="s">
        <v>4745</v>
      </c>
      <c r="D1174" s="2" t="s">
        <v>4802</v>
      </c>
      <c r="E1174" s="2" t="s">
        <v>4803</v>
      </c>
      <c r="F1174" s="2">
        <v>159.0</v>
      </c>
      <c r="G1174" s="2">
        <v>647.0</v>
      </c>
      <c r="H1174" s="2" t="b">
        <v>1</v>
      </c>
      <c r="I1174" s="2">
        <v>-1.0</v>
      </c>
      <c r="J1174" s="2" t="b">
        <v>0</v>
      </c>
      <c r="K1174" s="2" t="b">
        <v>0</v>
      </c>
      <c r="L1174" s="2" t="b">
        <v>0</v>
      </c>
      <c r="M1174" s="2" t="b">
        <v>0</v>
      </c>
      <c r="N1174" s="2" t="s">
        <v>33</v>
      </c>
      <c r="O1174" s="2">
        <v>96.0</v>
      </c>
      <c r="P1174" s="2">
        <v>42.0</v>
      </c>
      <c r="Q1174" s="2">
        <v>3.0</v>
      </c>
      <c r="R1174" s="2">
        <v>0.0</v>
      </c>
      <c r="S1174" s="3" t="s">
        <v>4804</v>
      </c>
      <c r="T1174" s="2" t="s">
        <v>4805</v>
      </c>
      <c r="Y1174" s="4" t="str">
        <f>IFERROR(__xludf.DUMMYFUNCTION("""COMPUTED_VALUE"""),"6.6849401")</f>
        <v>6.6849401</v>
      </c>
      <c r="Z1174" s="4" t="str">
        <f>IFERROR(__xludf.DUMMYFUNCTION("""COMPUTED_VALUE"""),"3.3258486")</f>
        <v>3.3258486</v>
      </c>
      <c r="AA1174" s="4" t="str">
        <f t="shared" si="1"/>
        <v>Neighbor</v>
      </c>
      <c r="AC1174" s="4">
        <f>IFERROR(__xludf.DUMMYFUNCTION("IFERROR(ABS(O1174-AVERAGE(FILTER(O1174:O5242,AA1174:AA5242=""Neighbor""))) / STDEV(FILTER(O1174:O5242, AA1174:AA5242 =""Neighbor"")), """")"),0.7805001940590995)</f>
        <v>0.7805001941</v>
      </c>
      <c r="AD1174" s="4">
        <f>IFERROR(__xludf.DUMMYFUNCTION("IFERROR(ABS(P1174-AVERAGE(FILTER(O1174:P5242,AA1174:AA5242=""Neighbor""))) / STDEV(FILTER(P1174:P5242, AA1174:AA5242 =""Neighbor"")), """")"),0.12010829889559299)</f>
        <v>0.1201082989</v>
      </c>
      <c r="AE1174" s="2">
        <f>IFERROR(__xludf.DUMMYFUNCTION("IFERROR(ABS(Q1174-AVERAGE(FILTER(Q1174:Q5242,AA1174:AA5242=""Neighbor""))) / STDEV(FILTER(Q1174:Q5242, AA1174:AA5242 =""Neighbor"")), """")"),0.9028452150146852)</f>
        <v>0.902845215</v>
      </c>
      <c r="AF1174" s="2">
        <f>IFERROR(__xludf.DUMMYFUNCTION("IFERROR(ABS(R1174-AVERAGE(FILTER(R1174:R5242,AA1174:AA5242=""Neighbor""))) / STDEV(FILTER(R1174:R5242, AA1174:AA5242 =""Neighbor"")), """")"),0.343790617968835)</f>
        <v>0.343790618</v>
      </c>
    </row>
    <row r="1175">
      <c r="A1175" s="2" t="s">
        <v>28</v>
      </c>
      <c r="B1175" s="2" t="s">
        <v>4358</v>
      </c>
      <c r="C1175" s="2" t="s">
        <v>4745</v>
      </c>
      <c r="D1175" s="2" t="s">
        <v>4806</v>
      </c>
      <c r="E1175" s="2" t="s">
        <v>4807</v>
      </c>
      <c r="F1175" s="2">
        <v>115.0</v>
      </c>
      <c r="G1175" s="2">
        <v>553.0</v>
      </c>
      <c r="H1175" s="2" t="b">
        <v>1</v>
      </c>
      <c r="I1175" s="2">
        <v>-1.0</v>
      </c>
      <c r="J1175" s="2" t="b">
        <v>0</v>
      </c>
      <c r="K1175" s="2" t="b">
        <v>1</v>
      </c>
      <c r="L1175" s="2" t="b">
        <v>0</v>
      </c>
      <c r="M1175" s="2" t="b">
        <v>0</v>
      </c>
      <c r="N1175" s="2" t="s">
        <v>33</v>
      </c>
      <c r="O1175" s="2">
        <v>55.0</v>
      </c>
      <c r="P1175" s="2">
        <v>22.0</v>
      </c>
      <c r="Q1175" s="2">
        <v>5.0</v>
      </c>
      <c r="R1175" s="2">
        <v>0.0</v>
      </c>
      <c r="S1175" s="3" t="s">
        <v>4808</v>
      </c>
      <c r="T1175" s="2" t="s">
        <v>4809</v>
      </c>
      <c r="Y1175" s="4" t="str">
        <f>IFERROR(__xludf.DUMMYFUNCTION("""COMPUTED_VALUE"""),"6.6849401")</f>
        <v>6.6849401</v>
      </c>
      <c r="Z1175" s="4" t="str">
        <f>IFERROR(__xludf.DUMMYFUNCTION("""COMPUTED_VALUE"""),"3.3258486")</f>
        <v>3.3258486</v>
      </c>
      <c r="AA1175" s="4" t="str">
        <f t="shared" si="1"/>
        <v>Not Neighbor</v>
      </c>
      <c r="AC1175" s="4">
        <f>IFERROR(__xludf.DUMMYFUNCTION("IFERROR(ABS(O1175-AVERAGE(FILTER(O1175:O5243,AA1175:AA5243=""Neighbor""))) / STDEV(FILTER(O1175:O5243, AA1175:AA5243 =""Neighbor"")), """")"),0.20073832242830203)</f>
        <v>0.2007383224</v>
      </c>
      <c r="AD1175" s="4">
        <f>IFERROR(__xludf.DUMMYFUNCTION("IFERROR(ABS(P1175-AVERAGE(FILTER(O1175:P5243,AA1175:AA5243=""Neighbor""))) / STDEV(FILTER(P1175:P5243, AA1175:AA5243 =""Neighbor"")), """")"),0.8294931008829037)</f>
        <v>0.8294931009</v>
      </c>
      <c r="AE1175" s="2">
        <f>IFERROR(__xludf.DUMMYFUNCTION("IFERROR(ABS(Q1175-AVERAGE(FILTER(Q1175:Q5243,AA1175:AA5243=""Neighbor""))) / STDEV(FILTER(Q1175:Q5243, AA1175:AA5243 =""Neighbor"")), """")"),0.8219209714876806)</f>
        <v>0.8219209715</v>
      </c>
      <c r="AF1175" s="2">
        <f>IFERROR(__xludf.DUMMYFUNCTION("IFERROR(ABS(R1175-AVERAGE(FILTER(R1175:R5243,AA1175:AA5243=""Neighbor""))) / STDEV(FILTER(R1175:R5243, AA1175:AA5243 =""Neighbor"")), """")"),0.3439485634921791)</f>
        <v>0.3439485635</v>
      </c>
    </row>
    <row r="1176">
      <c r="A1176" s="2" t="s">
        <v>28</v>
      </c>
      <c r="B1176" s="2" t="s">
        <v>4358</v>
      </c>
      <c r="C1176" s="2" t="s">
        <v>4745</v>
      </c>
      <c r="D1176" s="2" t="s">
        <v>4810</v>
      </c>
      <c r="E1176" s="2" t="s">
        <v>4811</v>
      </c>
      <c r="F1176" s="2">
        <v>161.0</v>
      </c>
      <c r="G1176" s="2">
        <v>1903.0</v>
      </c>
      <c r="H1176" s="2" t="b">
        <v>1</v>
      </c>
      <c r="I1176" s="2">
        <v>-1.0</v>
      </c>
      <c r="J1176" s="2" t="b">
        <v>0</v>
      </c>
      <c r="K1176" s="2" t="b">
        <v>0</v>
      </c>
      <c r="L1176" s="2" t="b">
        <v>0</v>
      </c>
      <c r="M1176" s="2" t="b">
        <v>0</v>
      </c>
      <c r="N1176" s="2" t="s">
        <v>33</v>
      </c>
      <c r="O1176" s="2">
        <v>104.0</v>
      </c>
      <c r="P1176" s="2">
        <v>35.0</v>
      </c>
      <c r="Q1176" s="2">
        <v>8.0</v>
      </c>
      <c r="R1176" s="2">
        <v>1.0</v>
      </c>
      <c r="S1176" s="3" t="s">
        <v>4812</v>
      </c>
      <c r="T1176" s="2" t="s">
        <v>4813</v>
      </c>
      <c r="Y1176" s="4" t="str">
        <f>IFERROR(__xludf.DUMMYFUNCTION("""COMPUTED_VALUE"""),"6.7000164")</f>
        <v>6.7000164</v>
      </c>
      <c r="Z1176" s="4" t="str">
        <f>IFERROR(__xludf.DUMMYFUNCTION("""COMPUTED_VALUE"""),"3.3439235")</f>
        <v>3.3439235</v>
      </c>
      <c r="AA1176" s="4" t="str">
        <f t="shared" si="1"/>
        <v>Neighbor</v>
      </c>
      <c r="AC1176" s="4">
        <f>IFERROR(__xludf.DUMMYFUNCTION("IFERROR(ABS(O1176-AVERAGE(FILTER(O1176:O5244,AA1176:AA5244=""Neighbor""))) / STDEV(FILTER(O1176:O5244, AA1176:AA5244 =""Neighbor"")), """")"),0.9725785505919007)</f>
        <v>0.9725785506</v>
      </c>
      <c r="AD1176" s="4">
        <f>IFERROR(__xludf.DUMMYFUNCTION("IFERROR(ABS(P1176-AVERAGE(FILTER(O1176:P5244,AA1176:AA5244=""Neighbor""))) / STDEV(FILTER(P1176:P5244, AA1176:AA5244 =""Neighbor"")), """")"),0.21148311201725317)</f>
        <v>0.211483112</v>
      </c>
      <c r="AE1176" s="2">
        <f>IFERROR(__xludf.DUMMYFUNCTION("IFERROR(ABS(Q1176-AVERAGE(FILTER(Q1176:Q5244,AA1176:AA5244=""Neighbor""))) / STDEV(FILTER(Q1176:Q5244, AA1176:AA5244 =""Neighbor"")), """")"),0.6995236287931851)</f>
        <v>0.6995236288</v>
      </c>
      <c r="AF1176" s="2">
        <f>IFERROR(__xludf.DUMMYFUNCTION("IFERROR(ABS(R1176-AVERAGE(FILTER(R1176:R5244,AA1176:AA5244=""Neighbor""))) / STDEV(FILTER(R1176:R5244, AA1176:AA5244 =""Neighbor"")), """")"),0.8861733577033791)</f>
        <v>0.8861733577</v>
      </c>
    </row>
    <row r="1177">
      <c r="A1177" s="2" t="s">
        <v>28</v>
      </c>
      <c r="B1177" s="2" t="s">
        <v>4358</v>
      </c>
      <c r="C1177" s="2" t="s">
        <v>4745</v>
      </c>
      <c r="D1177" s="2" t="s">
        <v>4814</v>
      </c>
      <c r="E1177" s="2" t="s">
        <v>4815</v>
      </c>
      <c r="F1177" s="2">
        <v>191.0</v>
      </c>
      <c r="G1177" s="2">
        <v>838.0</v>
      </c>
      <c r="H1177" s="2" t="b">
        <v>1</v>
      </c>
      <c r="I1177" s="2">
        <v>-1.0</v>
      </c>
      <c r="J1177" s="2" t="b">
        <v>0</v>
      </c>
      <c r="K1177" s="2" t="b">
        <v>0</v>
      </c>
      <c r="L1177" s="2" t="b">
        <v>0</v>
      </c>
      <c r="M1177" s="2" t="b">
        <v>0</v>
      </c>
      <c r="N1177" s="2" t="s">
        <v>33</v>
      </c>
      <c r="O1177" s="2">
        <v>113.0</v>
      </c>
      <c r="P1177" s="2">
        <v>49.0</v>
      </c>
      <c r="Q1177" s="2">
        <v>9.0</v>
      </c>
      <c r="R1177" s="2">
        <v>0.0</v>
      </c>
      <c r="S1177" s="3" t="s">
        <v>4816</v>
      </c>
      <c r="T1177" s="2" t="s">
        <v>4817</v>
      </c>
      <c r="Y1177" s="4" t="str">
        <f>IFERROR(__xludf.DUMMYFUNCTION("""COMPUTED_VALUE"""),"6.7000164")</f>
        <v>6.7000164</v>
      </c>
      <c r="Z1177" s="4" t="str">
        <f>IFERROR(__xludf.DUMMYFUNCTION("""COMPUTED_VALUE"""),"3.3439235")</f>
        <v>3.3439235</v>
      </c>
      <c r="AA1177" s="4" t="str">
        <f t="shared" si="1"/>
        <v>Not Neighbor</v>
      </c>
      <c r="AC1177" s="4">
        <f>IFERROR(__xludf.DUMMYFUNCTION("IFERROR(ABS(O1177-AVERAGE(FILTER(O1177:O5245,AA1177:AA5245=""Neighbor""))) / STDEV(FILTER(O1177:O5245, AA1177:AA5245 =""Neighbor"")), """")"),1.1888601035975495)</f>
        <v>1.188860104</v>
      </c>
      <c r="AD1177" s="4">
        <f>IFERROR(__xludf.DUMMYFUNCTION("IFERROR(ABS(P1177-AVERAGE(FILTER(O1177:P5245,AA1177:AA5245=""Neighbor""))) / STDEV(FILTER(P1177:P5245, AA1177:AA5245 =""Neighbor"")), """")"),0.45521545959867793)</f>
        <v>0.4552154596</v>
      </c>
      <c r="AE1177" s="2">
        <f>IFERROR(__xludf.DUMMYFUNCTION("IFERROR(ABS(Q1177-AVERAGE(FILTER(Q1177:Q5245,AA1177:AA5245=""Neighbor""))) / STDEV(FILTER(Q1177:Q5245, AA1177:AA5245 =""Neighbor"")), """")"),0.6591617405258388)</f>
        <v>0.6591617405</v>
      </c>
      <c r="AF1177" s="2">
        <f>IFERROR(__xludf.DUMMYFUNCTION("IFERROR(ABS(R1177-AVERAGE(FILTER(R1177:R5245,AA1177:AA5245=""Neighbor""))) / STDEV(FILTER(R1177:R5245, AA1177:AA5245 =""Neighbor"")), """")"),0.3431889487880887)</f>
        <v>0.3431889488</v>
      </c>
    </row>
    <row r="1178">
      <c r="A1178" s="2" t="s">
        <v>28</v>
      </c>
      <c r="B1178" s="2" t="s">
        <v>4358</v>
      </c>
      <c r="C1178" s="2" t="s">
        <v>4745</v>
      </c>
      <c r="D1178" s="2" t="s">
        <v>4818</v>
      </c>
      <c r="E1178" s="2" t="s">
        <v>4819</v>
      </c>
      <c r="F1178" s="2">
        <v>270.0</v>
      </c>
      <c r="G1178" s="2">
        <v>1422.0</v>
      </c>
      <c r="H1178" s="2" t="b">
        <v>1</v>
      </c>
      <c r="I1178" s="2">
        <v>-1.0</v>
      </c>
      <c r="J1178" s="2" t="b">
        <v>0</v>
      </c>
      <c r="K1178" s="2" t="b">
        <v>1</v>
      </c>
      <c r="L1178" s="2" t="b">
        <v>0</v>
      </c>
      <c r="M1178" s="2" t="b">
        <v>0</v>
      </c>
      <c r="N1178" s="2" t="s">
        <v>33</v>
      </c>
      <c r="O1178" s="2">
        <v>170.0</v>
      </c>
      <c r="P1178" s="2">
        <v>65.0</v>
      </c>
      <c r="Q1178" s="2">
        <v>2.0</v>
      </c>
      <c r="R1178" s="2">
        <v>1.0</v>
      </c>
      <c r="S1178" s="3" t="s">
        <v>4820</v>
      </c>
      <c r="T1178" s="2" t="s">
        <v>4821</v>
      </c>
      <c r="Y1178" s="4" t="str">
        <f>IFERROR(__xludf.DUMMYFUNCTION("""COMPUTED_VALUE"""),"6.7120792")</f>
        <v>6.7120792</v>
      </c>
      <c r="Z1178" s="4" t="str">
        <f>IFERROR(__xludf.DUMMYFUNCTION("""COMPUTED_VALUE"""),"3.2844776")</f>
        <v>3.2844776</v>
      </c>
      <c r="AA1178" s="4" t="str">
        <f t="shared" si="1"/>
        <v>Neighbor</v>
      </c>
      <c r="AC1178" s="4">
        <f>IFERROR(__xludf.DUMMYFUNCTION("IFERROR(ABS(O1178-AVERAGE(FILTER(O1178:O5246,AA1178:AA5246=""Neighbor""))) / STDEV(FILTER(O1178:O5246, AA1178:AA5246 =""Neighbor"")), """")"),2.553708946940248)</f>
        <v>2.553708947</v>
      </c>
      <c r="AD1178" s="4">
        <f>IFERROR(__xludf.DUMMYFUNCTION("IFERROR(ABS(P1178-AVERAGE(FILTER(O1178:P5246,AA1178:AA5246=""Neighbor""))) / STDEV(FILTER(P1178:P5246, AA1178:AA5246 =""Neighbor"")), """")"),1.2157989176647113)</f>
        <v>1.215798918</v>
      </c>
      <c r="AE1178" s="2">
        <f>IFERROR(__xludf.DUMMYFUNCTION("IFERROR(ABS(Q1178-AVERAGE(FILTER(Q1178:Q5246,AA1178:AA5246=""Neighbor""))) / STDEV(FILTER(Q1178:Q5246, AA1178:AA5246 =""Neighbor"")), """")"),0.9446955392001922)</f>
        <v>0.9446955392</v>
      </c>
      <c r="AF1178" s="2">
        <f>IFERROR(__xludf.DUMMYFUNCTION("IFERROR(ABS(R1178-AVERAGE(FILTER(R1178:R5246,AA1178:AA5246=""Neighbor""))) / STDEV(FILTER(R1178:R5246, AA1178:AA5246 =""Neighbor"")), """")"),0.8868245402311672)</f>
        <v>0.8868245402</v>
      </c>
    </row>
    <row r="1179">
      <c r="A1179" s="2" t="s">
        <v>28</v>
      </c>
      <c r="B1179" s="2" t="s">
        <v>4358</v>
      </c>
      <c r="C1179" s="2" t="s">
        <v>4745</v>
      </c>
      <c r="D1179" s="2" t="s">
        <v>4822</v>
      </c>
      <c r="E1179" s="2" t="s">
        <v>4823</v>
      </c>
      <c r="F1179" s="2">
        <v>251.0</v>
      </c>
      <c r="G1179" s="2">
        <v>1439.0</v>
      </c>
      <c r="H1179" s="2" t="b">
        <v>1</v>
      </c>
      <c r="I1179" s="2">
        <v>-1.0</v>
      </c>
      <c r="J1179" s="2" t="b">
        <v>0</v>
      </c>
      <c r="K1179" s="2" t="b">
        <v>0</v>
      </c>
      <c r="L1179" s="2" t="b">
        <v>0</v>
      </c>
      <c r="M1179" s="2" t="b">
        <v>0</v>
      </c>
      <c r="N1179" s="2" t="s">
        <v>33</v>
      </c>
      <c r="O1179" s="2">
        <v>152.0</v>
      </c>
      <c r="P1179" s="2">
        <v>49.0</v>
      </c>
      <c r="Q1179" s="2">
        <v>18.0</v>
      </c>
      <c r="R1179" s="2">
        <v>0.0</v>
      </c>
      <c r="S1179" s="3" t="s">
        <v>4824</v>
      </c>
      <c r="T1179" s="2" t="s">
        <v>4825</v>
      </c>
      <c r="Y1179" s="4" t="str">
        <f>IFERROR(__xludf.DUMMYFUNCTION("""COMPUTED_VALUE"""),"6.7120792")</f>
        <v>6.7120792</v>
      </c>
      <c r="Z1179" s="4" t="str">
        <f>IFERROR(__xludf.DUMMYFUNCTION("""COMPUTED_VALUE"""),"3.2844776")</f>
        <v>3.2844776</v>
      </c>
      <c r="AA1179" s="4" t="str">
        <f t="shared" si="1"/>
        <v>Not Neighbor</v>
      </c>
      <c r="AC1179" s="4">
        <f>IFERROR(__xludf.DUMMYFUNCTION("IFERROR(ABS(O1179-AVERAGE(FILTER(O1179:O5247,AA1179:AA5247=""Neighbor""))) / STDEV(FILTER(O1179:O5247, AA1179:AA5247 =""Neighbor"")), """")"),2.1296648416694977)</f>
        <v>2.129664842</v>
      </c>
      <c r="AD1179" s="4">
        <f>IFERROR(__xludf.DUMMYFUNCTION("IFERROR(ABS(P1179-AVERAGE(FILTER(O1179:P5247,AA1179:AA5247=""Neighbor""))) / STDEV(FILTER(P1179:P5247, AA1179:AA5247 =""Neighbor"")), """")"),0.45913306049952285)</f>
        <v>0.4591330605</v>
      </c>
      <c r="AE1179" s="2">
        <f>IFERROR(__xludf.DUMMYFUNCTION("IFERROR(ABS(Q1179-AVERAGE(FILTER(Q1179:Q5247,AA1179:AA5247=""Neighbor""))) / STDEV(FILTER(Q1179:Q5247, AA1179:AA5247 =""Neighbor"")), """")"),0.29281213213144697)</f>
        <v>0.2928121321</v>
      </c>
      <c r="AF1179" s="2">
        <f>IFERROR(__xludf.DUMMYFUNCTION("IFERROR(ABS(R1179-AVERAGE(FILTER(R1179:R5247,AA1179:AA5247=""Neighbor""))) / STDEV(FILTER(R1179:R5247, AA1179:AA5247 =""Neighbor"")), """")"),0.3424284022179429)</f>
        <v>0.3424284022</v>
      </c>
    </row>
    <row r="1180">
      <c r="A1180" s="2" t="s">
        <v>28</v>
      </c>
      <c r="B1180" s="2" t="s">
        <v>4358</v>
      </c>
      <c r="C1180" s="2" t="s">
        <v>4745</v>
      </c>
      <c r="D1180" s="2" t="s">
        <v>4826</v>
      </c>
      <c r="E1180" s="2" t="s">
        <v>4827</v>
      </c>
      <c r="F1180" s="2">
        <v>137.0</v>
      </c>
      <c r="G1180" s="2">
        <v>648.0</v>
      </c>
      <c r="H1180" s="2" t="b">
        <v>1</v>
      </c>
      <c r="I1180" s="2">
        <v>-1.0</v>
      </c>
      <c r="J1180" s="2" t="b">
        <v>0</v>
      </c>
      <c r="K1180" s="2" t="b">
        <v>0</v>
      </c>
      <c r="L1180" s="2" t="b">
        <v>0</v>
      </c>
      <c r="M1180" s="2" t="b">
        <v>0</v>
      </c>
      <c r="N1180" s="2" t="s">
        <v>33</v>
      </c>
      <c r="O1180" s="2">
        <v>94.0</v>
      </c>
      <c r="P1180" s="2">
        <v>23.0</v>
      </c>
      <c r="Q1180" s="2">
        <v>11.0</v>
      </c>
      <c r="R1180" s="2">
        <v>0.0</v>
      </c>
      <c r="S1180" s="3" t="s">
        <v>4828</v>
      </c>
      <c r="T1180" s="2" t="s">
        <v>4829</v>
      </c>
      <c r="Y1180" s="4" t="str">
        <f>IFERROR(__xludf.DUMMYFUNCTION("""COMPUTED_VALUE"""),"6.727429")</f>
        <v>6.727429</v>
      </c>
      <c r="Z1180" s="4" t="str">
        <f>IFERROR(__xludf.DUMMYFUNCTION("""COMPUTED_VALUE"""),"3.3288183")</f>
        <v>3.3288183</v>
      </c>
      <c r="AA1180" s="4" t="str">
        <f t="shared" si="1"/>
        <v>Neighbor</v>
      </c>
      <c r="AC1180" s="4">
        <f>IFERROR(__xludf.DUMMYFUNCTION("IFERROR(ABS(O1180-AVERAGE(FILTER(O1180:O5248,AA1180:AA5248=""Neighbor""))) / STDEV(FILTER(O1180:O5248, AA1180:AA5248 =""Neighbor"")), """")"),0.7376965434403217)</f>
        <v>0.7376965434</v>
      </c>
      <c r="AD1180" s="4">
        <f>IFERROR(__xludf.DUMMYFUNCTION("IFERROR(ABS(P1180-AVERAGE(FILTER(O1180:P5248,AA1180:AA5248=""Neighbor""))) / STDEV(FILTER(P1180:P5248, AA1180:AA5248 =""Neighbor"")), """")"),0.779135484944741)</f>
        <v>0.7791354849</v>
      </c>
      <c r="AE1180" s="2">
        <f>IFERROR(__xludf.DUMMYFUNCTION("IFERROR(ABS(Q1180-AVERAGE(FILTER(Q1180:Q5248,AA1180:AA5248=""Neighbor""))) / STDEV(FILTER(Q1180:Q5248, AA1180:AA5248 =""Neighbor"")), """")"),0.5783333597680547)</f>
        <v>0.5783333598</v>
      </c>
      <c r="AF1180" s="2">
        <f>IFERROR(__xludf.DUMMYFUNCTION("IFERROR(ABS(R1180-AVERAGE(FILTER(R1180:R5248,AA1180:AA5248=""Neighbor""))) / STDEV(FILTER(R1180:R5248, AA1180:AA5248 =""Neighbor"")), """")"),0.3424284022179429)</f>
        <v>0.3424284022</v>
      </c>
    </row>
    <row r="1181">
      <c r="A1181" s="2" t="s">
        <v>28</v>
      </c>
      <c r="B1181" s="2" t="s">
        <v>4358</v>
      </c>
      <c r="C1181" s="2" t="s">
        <v>4745</v>
      </c>
      <c r="D1181" s="2" t="s">
        <v>4830</v>
      </c>
      <c r="E1181" s="2" t="s">
        <v>4831</v>
      </c>
      <c r="F1181" s="2">
        <v>143.0</v>
      </c>
      <c r="G1181" s="2">
        <v>547.0</v>
      </c>
      <c r="H1181" s="2" t="b">
        <v>1</v>
      </c>
      <c r="I1181" s="2">
        <v>-1.0</v>
      </c>
      <c r="J1181" s="2" t="b">
        <v>0</v>
      </c>
      <c r="K1181" s="2" t="b">
        <v>0</v>
      </c>
      <c r="L1181" s="2" t="b">
        <v>0</v>
      </c>
      <c r="M1181" s="2" t="b">
        <v>0</v>
      </c>
      <c r="N1181" s="2" t="s">
        <v>33</v>
      </c>
      <c r="O1181" s="2">
        <v>109.0</v>
      </c>
      <c r="P1181" s="2">
        <v>12.0</v>
      </c>
      <c r="Q1181" s="2">
        <v>11.0</v>
      </c>
      <c r="R1181" s="2">
        <v>0.0</v>
      </c>
      <c r="S1181" s="3" t="s">
        <v>4832</v>
      </c>
      <c r="T1181" s="2" t="s">
        <v>4833</v>
      </c>
      <c r="Y1181" s="4" t="str">
        <f>IFERROR(__xludf.DUMMYFUNCTION("""COMPUTED_VALUE"""),"6.727429")</f>
        <v>6.727429</v>
      </c>
      <c r="Z1181" s="4" t="str">
        <f>IFERROR(__xludf.DUMMYFUNCTION("""COMPUTED_VALUE"""),"3.3288183")</f>
        <v>3.3288183</v>
      </c>
      <c r="AA1181" s="4" t="str">
        <f t="shared" si="1"/>
        <v>Neighbor</v>
      </c>
      <c r="AC1181" s="4">
        <f>IFERROR(__xludf.DUMMYFUNCTION("IFERROR(ABS(O1181-AVERAGE(FILTER(O1181:O5249,AA1181:AA5249=""Neighbor""))) / STDEV(FILTER(O1181:O5249, AA1181:AA5249 =""Neighbor"")), """")"),1.0980902434906281)</f>
        <v>1.098090243</v>
      </c>
      <c r="AD1181" s="4">
        <f>IFERROR(__xludf.DUMMYFUNCTION("IFERROR(ABS(P1181-AVERAGE(FILTER(O1181:P5249,AA1181:AA5249=""Neighbor""))) / STDEV(FILTER(P1181:P5249, AA1181:AA5249 =""Neighbor"")), """")"),1.3017992246828147)</f>
        <v>1.301799225</v>
      </c>
      <c r="AE1181" s="2">
        <f>IFERROR(__xludf.DUMMYFUNCTION("IFERROR(ABS(Q1181-AVERAGE(FILTER(Q1181:Q5249,AA1181:AA5249=""Neighbor""))) / STDEV(FILTER(Q1181:Q5249, AA1181:AA5249 =""Neighbor"")), """")"),0.578651352914655)</f>
        <v>0.5786513529</v>
      </c>
      <c r="AF1181" s="2">
        <f>IFERROR(__xludf.DUMMYFUNCTION("IFERROR(ABS(R1181-AVERAGE(FILTER(R1181:R5249,AA1181:AA5249=""Neighbor""))) / STDEV(FILTER(R1181:R5249, AA1181:AA5249 =""Neighbor"")), """")"),0.3425859785604591)</f>
        <v>0.3425859786</v>
      </c>
    </row>
    <row r="1182">
      <c r="A1182" s="2" t="s">
        <v>28</v>
      </c>
      <c r="B1182" s="2" t="s">
        <v>4358</v>
      </c>
      <c r="C1182" s="2" t="s">
        <v>4745</v>
      </c>
      <c r="D1182" s="2" t="s">
        <v>4834</v>
      </c>
      <c r="E1182" s="2" t="s">
        <v>4835</v>
      </c>
      <c r="F1182" s="2">
        <v>136.0</v>
      </c>
      <c r="G1182" s="2">
        <v>750.0</v>
      </c>
      <c r="H1182" s="2" t="b">
        <v>1</v>
      </c>
      <c r="I1182" s="2">
        <v>-1.0</v>
      </c>
      <c r="J1182" s="2" t="b">
        <v>0</v>
      </c>
      <c r="K1182" s="2" t="b">
        <v>0</v>
      </c>
      <c r="L1182" s="2" t="b">
        <v>0</v>
      </c>
      <c r="M1182" s="2" t="b">
        <v>0</v>
      </c>
      <c r="N1182" s="2" t="s">
        <v>33</v>
      </c>
      <c r="O1182" s="2">
        <v>89.0</v>
      </c>
      <c r="P1182" s="2">
        <v>16.0</v>
      </c>
      <c r="Q1182" s="2">
        <v>17.0</v>
      </c>
      <c r="R1182" s="2">
        <v>0.0</v>
      </c>
      <c r="S1182" s="3" t="s">
        <v>4836</v>
      </c>
      <c r="T1182" s="2" t="s">
        <v>4837</v>
      </c>
      <c r="Y1182" s="4" t="str">
        <f>IFERROR(__xludf.DUMMYFUNCTION("""COMPUTED_VALUE"""),"6.727429")</f>
        <v>6.727429</v>
      </c>
      <c r="Z1182" s="4" t="str">
        <f>IFERROR(__xludf.DUMMYFUNCTION("""COMPUTED_VALUE"""),"3.3288183")</f>
        <v>3.3288183</v>
      </c>
      <c r="AA1182" s="4" t="str">
        <f t="shared" si="1"/>
        <v>Not Neighbor</v>
      </c>
      <c r="AC1182" s="4">
        <f>IFERROR(__xludf.DUMMYFUNCTION("IFERROR(ABS(O1182-AVERAGE(FILTER(O1182:O5250,AA1182:AA5250=""Neighbor""))) / STDEV(FILTER(O1182:O5250, AA1182:AA5250 =""Neighbor"")), """")"),0.6191501990926578)</f>
        <v>0.6191501991</v>
      </c>
      <c r="AD1182" s="4">
        <f>IFERROR(__xludf.DUMMYFUNCTION("IFERROR(ABS(P1182-AVERAGE(FILTER(O1182:P5250,AA1182:AA5250=""Neighbor""))) / STDEV(FILTER(P1182:P5250, AA1182:AA5250 =""Neighbor"")), """")"),1.1100878726041763)</f>
        <v>1.110087873</v>
      </c>
      <c r="AE1182" s="2">
        <f>IFERROR(__xludf.DUMMYFUNCTION("IFERROR(ABS(Q1182-AVERAGE(FILTER(Q1182:Q5250,AA1182:AA5250=""Neighbor""))) / STDEV(FILTER(Q1182:Q5250, AA1182:AA5250 =""Neighbor"")), """")"),0.33437166620966957)</f>
        <v>0.3343716662</v>
      </c>
      <c r="AF1182" s="2">
        <f>IFERROR(__xludf.DUMMYFUNCTION("IFERROR(ABS(R1182-AVERAGE(FILTER(R1182:R5250,AA1182:AA5250=""Neighbor""))) / STDEV(FILTER(R1182:R5250, AA1182:AA5250 =""Neighbor"")), """")"),0.3427437726630012)</f>
        <v>0.3427437727</v>
      </c>
    </row>
    <row r="1183">
      <c r="A1183" s="2" t="s">
        <v>28</v>
      </c>
      <c r="B1183" s="2" t="s">
        <v>4358</v>
      </c>
      <c r="C1183" s="2" t="s">
        <v>4745</v>
      </c>
      <c r="D1183" s="2" t="s">
        <v>4838</v>
      </c>
      <c r="E1183" s="2" t="s">
        <v>4839</v>
      </c>
      <c r="F1183" s="2">
        <v>107.0</v>
      </c>
      <c r="G1183" s="2">
        <v>524.0</v>
      </c>
      <c r="H1183" s="2" t="b">
        <v>1</v>
      </c>
      <c r="I1183" s="2">
        <v>-1.0</v>
      </c>
      <c r="J1183" s="2" t="b">
        <v>0</v>
      </c>
      <c r="K1183" s="2" t="b">
        <v>0</v>
      </c>
      <c r="L1183" s="2" t="b">
        <v>0</v>
      </c>
      <c r="M1183" s="2" t="b">
        <v>0</v>
      </c>
      <c r="N1183" s="2" t="s">
        <v>33</v>
      </c>
      <c r="O1183" s="2">
        <v>69.0</v>
      </c>
      <c r="P1183" s="2">
        <v>6.0</v>
      </c>
      <c r="Q1183" s="2">
        <v>11.0</v>
      </c>
      <c r="R1183" s="2">
        <v>0.0</v>
      </c>
      <c r="S1183" s="3" t="s">
        <v>4840</v>
      </c>
      <c r="T1183" s="2" t="s">
        <v>4841</v>
      </c>
      <c r="Y1183" s="4" t="str">
        <f>IFERROR(__xludf.DUMMYFUNCTION("""COMPUTED_VALUE"""),"6.733333")</f>
        <v>6.733333</v>
      </c>
      <c r="Z1183" s="4" t="str">
        <f>IFERROR(__xludf.DUMMYFUNCTION("""COMPUTED_VALUE"""),"3.35")</f>
        <v>3.35</v>
      </c>
      <c r="AA1183" s="4" t="str">
        <f t="shared" si="1"/>
        <v>Not Neighbor</v>
      </c>
      <c r="AC1183" s="4">
        <f>IFERROR(__xludf.DUMMYFUNCTION("IFERROR(ABS(O1183-AVERAGE(FILTER(O1183:O5251,AA1183:AA5251=""Neighbor""))) / STDEV(FILTER(O1183:O5251, AA1183:AA5251 =""Neighbor"")), """")"),0.13921029227784448)</f>
        <v>0.1392102923</v>
      </c>
      <c r="AD1183" s="4">
        <f>IFERROR(__xludf.DUMMYFUNCTION("IFERROR(ABS(P1183-AVERAGE(FILTER(O1183:P5251,AA1183:AA5251=""Neighbor""))) / STDEV(FILTER(P1183:P5251, AA1183:AA5251 =""Neighbor"")), """")"),1.5859828557484246)</f>
        <v>1.585982856</v>
      </c>
      <c r="AE1183" s="2">
        <f>IFERROR(__xludf.DUMMYFUNCTION("IFERROR(ABS(Q1183-AVERAGE(FILTER(Q1183:Q5251,AA1183:AA5251=""Neighbor""))) / STDEV(FILTER(Q1183:Q5251, AA1183:AA5251 =""Neighbor"")), """")"),0.5789698712872994)</f>
        <v>0.5789698713</v>
      </c>
      <c r="AF1183" s="2">
        <f>IFERROR(__xludf.DUMMYFUNCTION("IFERROR(ABS(R1183-AVERAGE(FILTER(R1183:R5251,AA1183:AA5251=""Neighbor""))) / STDEV(FILTER(R1183:R5251, AA1183:AA5251 =""Neighbor"")), """")"),0.3427437726630012)</f>
        <v>0.3427437727</v>
      </c>
    </row>
    <row r="1184">
      <c r="A1184" s="2" t="s">
        <v>28</v>
      </c>
      <c r="B1184" s="2" t="s">
        <v>4358</v>
      </c>
      <c r="C1184" s="2" t="s">
        <v>4745</v>
      </c>
      <c r="D1184" s="2" t="s">
        <v>4842</v>
      </c>
      <c r="E1184" s="2" t="s">
        <v>4843</v>
      </c>
      <c r="F1184" s="2">
        <v>126.0</v>
      </c>
      <c r="G1184" s="2">
        <v>473.0</v>
      </c>
      <c r="H1184" s="2" t="b">
        <v>1</v>
      </c>
      <c r="I1184" s="2">
        <v>-1.0</v>
      </c>
      <c r="J1184" s="2" t="b">
        <v>0</v>
      </c>
      <c r="K1184" s="2" t="b">
        <v>0</v>
      </c>
      <c r="L1184" s="2" t="b">
        <v>0</v>
      </c>
      <c r="M1184" s="2" t="b">
        <v>0</v>
      </c>
      <c r="N1184" s="2" t="s">
        <v>33</v>
      </c>
      <c r="O1184" s="2">
        <v>88.0</v>
      </c>
      <c r="P1184" s="2">
        <v>12.0</v>
      </c>
      <c r="Q1184" s="2">
        <v>13.0</v>
      </c>
      <c r="R1184" s="2">
        <v>0.0</v>
      </c>
      <c r="S1184" s="3" t="s">
        <v>4844</v>
      </c>
      <c r="T1184" s="2" t="s">
        <v>4845</v>
      </c>
      <c r="Y1184" s="4" t="str">
        <f>IFERROR(__xludf.DUMMYFUNCTION("""COMPUTED_VALUE"""),"6.7082441")</f>
        <v>6.7082441</v>
      </c>
      <c r="Z1184" s="4" t="str">
        <f>IFERROR(__xludf.DUMMYFUNCTION("""COMPUTED_VALUE"""),"3.3057579")</f>
        <v>3.3057579</v>
      </c>
      <c r="AA1184" s="4" t="str">
        <f t="shared" si="1"/>
        <v>Not Neighbor</v>
      </c>
      <c r="AC1184" s="4">
        <f>IFERROR(__xludf.DUMMYFUNCTION("IFERROR(ABS(O1184-AVERAGE(FILTER(O1184:O5252,AA1184:AA5252=""Neighbor""))) / STDEV(FILTER(O1184:O5252, AA1184:AA5252 =""Neighbor"")), """")"),0.5951532037519172)</f>
        <v>0.5951532038</v>
      </c>
      <c r="AD1184" s="4">
        <f>IFERROR(__xludf.DUMMYFUNCTION("IFERROR(ABS(P1184-AVERAGE(FILTER(O1184:P5252,AA1184:AA5252=""Neighbor""))) / STDEV(FILTER(P1184:P5252, AA1184:AA5252 =""Neighbor"")), """")"),1.3004458658618756)</f>
        <v>1.300445866</v>
      </c>
      <c r="AE1184" s="2">
        <f>IFERROR(__xludf.DUMMYFUNCTION("IFERROR(ABS(Q1184-AVERAGE(FILTER(Q1184:Q5252,AA1184:AA5252=""Neighbor""))) / STDEV(FILTER(Q1184:Q5252, AA1184:AA5252 =""Neighbor"")), """")"),0.4974371362614227)</f>
        <v>0.4974371363</v>
      </c>
      <c r="AF1184" s="2">
        <f>IFERROR(__xludf.DUMMYFUNCTION("IFERROR(ABS(R1184-AVERAGE(FILTER(R1184:R5252,AA1184:AA5252=""Neighbor""))) / STDEV(FILTER(R1184:R5252, AA1184:AA5252 =""Neighbor"")), """")"),0.3427437726630012)</f>
        <v>0.3427437727</v>
      </c>
    </row>
    <row r="1185">
      <c r="A1185" s="2" t="s">
        <v>28</v>
      </c>
      <c r="B1185" s="2" t="s">
        <v>4358</v>
      </c>
      <c r="C1185" s="2" t="s">
        <v>4745</v>
      </c>
      <c r="D1185" s="2" t="s">
        <v>4846</v>
      </c>
      <c r="E1185" s="2" t="s">
        <v>4847</v>
      </c>
      <c r="F1185" s="2">
        <v>139.0</v>
      </c>
      <c r="G1185" s="2">
        <v>736.0</v>
      </c>
      <c r="H1185" s="2" t="b">
        <v>1</v>
      </c>
      <c r="I1185" s="2">
        <v>-1.0</v>
      </c>
      <c r="J1185" s="2" t="b">
        <v>0</v>
      </c>
      <c r="K1185" s="2" t="b">
        <v>0</v>
      </c>
      <c r="L1185" s="2" t="b">
        <v>0</v>
      </c>
      <c r="M1185" s="2" t="b">
        <v>0</v>
      </c>
      <c r="N1185" s="2" t="s">
        <v>33</v>
      </c>
      <c r="O1185" s="2">
        <v>82.0</v>
      </c>
      <c r="P1185" s="2">
        <v>30.0</v>
      </c>
      <c r="Q1185" s="2">
        <v>12.0</v>
      </c>
      <c r="R1185" s="2">
        <v>0.0</v>
      </c>
      <c r="S1185" s="3" t="s">
        <v>4848</v>
      </c>
      <c r="T1185" s="2" t="s">
        <v>4849</v>
      </c>
      <c r="Y1185" s="4" t="str">
        <f>IFERROR(__xludf.DUMMYFUNCTION("""COMPUTED_VALUE"""),"6.7016179")</f>
        <v>6.7016179</v>
      </c>
      <c r="Z1185" s="4" t="str">
        <f>IFERROR(__xludf.DUMMYFUNCTION("""COMPUTED_VALUE"""),"3.3214101")</f>
        <v>3.3214101</v>
      </c>
      <c r="AA1185" s="4" t="str">
        <f t="shared" si="1"/>
        <v>Neighbor</v>
      </c>
      <c r="AC1185" s="4">
        <f>IFERROR(__xludf.DUMMYFUNCTION("IFERROR(ABS(O1185-AVERAGE(FILTER(O1185:O5253,AA1185:AA5253=""Neighbor""))) / STDEV(FILTER(O1185:O5253, AA1185:AA5253 =""Neighbor"")), """")"),0.45117123170747314)</f>
        <v>0.4511712317</v>
      </c>
      <c r="AD1185" s="4">
        <f>IFERROR(__xludf.DUMMYFUNCTION("IFERROR(ABS(P1185-AVERAGE(FILTER(O1185:P5253,AA1185:AA5253=""Neighbor""))) / STDEV(FILTER(P1185:P5253, AA1185:AA5253 =""Neighbor"")), """")"),0.4438348962022286)</f>
        <v>0.4438348962</v>
      </c>
      <c r="AE1185" s="2">
        <f>IFERROR(__xludf.DUMMYFUNCTION("IFERROR(ABS(Q1185-AVERAGE(FILTER(Q1185:Q5253,AA1185:AA5253=""Neighbor""))) / STDEV(FILTER(Q1185:Q5253, AA1185:AA5253 =""Neighbor"")), """")"),0.538203503774361)</f>
        <v>0.5382035038</v>
      </c>
      <c r="AF1185" s="2">
        <f>IFERROR(__xludf.DUMMYFUNCTION("IFERROR(ABS(R1185-AVERAGE(FILTER(R1185:R5253,AA1185:AA5253=""Neighbor""))) / STDEV(FILTER(R1185:R5253, AA1185:AA5253 =""Neighbor"")), """")"),0.3427437726630012)</f>
        <v>0.3427437727</v>
      </c>
    </row>
    <row r="1186">
      <c r="A1186" s="2" t="s">
        <v>28</v>
      </c>
      <c r="B1186" s="2" t="s">
        <v>4358</v>
      </c>
      <c r="C1186" s="2" t="s">
        <v>4745</v>
      </c>
      <c r="D1186" s="2" t="s">
        <v>4850</v>
      </c>
      <c r="E1186" s="2" t="s">
        <v>4851</v>
      </c>
      <c r="F1186" s="2">
        <v>142.0</v>
      </c>
      <c r="G1186" s="2">
        <v>711.0</v>
      </c>
      <c r="H1186" s="2" t="b">
        <v>1</v>
      </c>
      <c r="I1186" s="2">
        <v>-1.0</v>
      </c>
      <c r="J1186" s="2" t="b">
        <v>0</v>
      </c>
      <c r="K1186" s="2" t="b">
        <v>0</v>
      </c>
      <c r="L1186" s="2" t="b">
        <v>0</v>
      </c>
      <c r="M1186" s="2" t="b">
        <v>0</v>
      </c>
      <c r="N1186" s="2" t="s">
        <v>33</v>
      </c>
      <c r="O1186" s="2">
        <v>70.0</v>
      </c>
      <c r="P1186" s="2">
        <v>30.0</v>
      </c>
      <c r="Q1186" s="2">
        <v>17.0</v>
      </c>
      <c r="R1186" s="2">
        <v>0.0</v>
      </c>
      <c r="S1186" s="3" t="s">
        <v>4852</v>
      </c>
      <c r="T1186" s="2" t="s">
        <v>4853</v>
      </c>
      <c r="Y1186" s="4" t="str">
        <f>IFERROR(__xludf.DUMMYFUNCTION("""COMPUTED_VALUE"""),"6.7016179")</f>
        <v>6.7016179</v>
      </c>
      <c r="Z1186" s="4" t="str">
        <f>IFERROR(__xludf.DUMMYFUNCTION("""COMPUTED_VALUE"""),"3.3214101")</f>
        <v>3.3214101</v>
      </c>
      <c r="AA1186" s="4" t="str">
        <f t="shared" si="1"/>
        <v>Not Neighbor</v>
      </c>
      <c r="AC1186" s="4">
        <f>IFERROR(__xludf.DUMMYFUNCTION("IFERROR(ABS(O1186-AVERAGE(FILTER(O1186:O5254,AA1186:AA5254=""Neighbor""))) / STDEV(FILTER(O1186:O5254, AA1186:AA5254 =""Neighbor"")), """")"),0.1635260507661019)</f>
        <v>0.1635260508</v>
      </c>
      <c r="AD1186" s="4">
        <f>IFERROR(__xludf.DUMMYFUNCTION("IFERROR(ABS(P1186-AVERAGE(FILTER(O1186:P5254,AA1186:AA5254=""Neighbor""))) / STDEV(FILTER(P1186:P5254, AA1186:AA5254 =""Neighbor"")), """")"),0.4430843881383534)</f>
        <v>0.4430843881</v>
      </c>
      <c r="AE1186" s="2">
        <f>IFERROR(__xludf.DUMMYFUNCTION("IFERROR(ABS(Q1186-AVERAGE(FILTER(Q1186:Q5254,AA1186:AA5254=""Neighbor""))) / STDEV(FILTER(Q1186:Q5254, AA1186:AA5254 =""Neighbor"")), """")"),0.3347178937189313)</f>
        <v>0.3347178937</v>
      </c>
      <c r="AF1186" s="2">
        <f>IFERROR(__xludf.DUMMYFUNCTION("IFERROR(ABS(R1186-AVERAGE(FILTER(R1186:R5254,AA1186:AA5254=""Neighbor""))) / STDEV(FILTER(R1186:R5254, AA1186:AA5254 =""Neighbor"")), """")"),0.34290178502762686)</f>
        <v>0.342901785</v>
      </c>
    </row>
    <row r="1187">
      <c r="A1187" s="2" t="s">
        <v>28</v>
      </c>
      <c r="B1187" s="2" t="s">
        <v>4358</v>
      </c>
      <c r="C1187" s="2" t="s">
        <v>4745</v>
      </c>
      <c r="D1187" s="2" t="s">
        <v>4854</v>
      </c>
      <c r="E1187" s="2" t="s">
        <v>4855</v>
      </c>
      <c r="F1187" s="2">
        <v>182.0</v>
      </c>
      <c r="G1187" s="2">
        <v>876.0</v>
      </c>
      <c r="H1187" s="2" t="b">
        <v>1</v>
      </c>
      <c r="I1187" s="2">
        <v>-1.0</v>
      </c>
      <c r="J1187" s="2" t="b">
        <v>0</v>
      </c>
      <c r="K1187" s="2" t="b">
        <v>0</v>
      </c>
      <c r="L1187" s="2" t="b">
        <v>0</v>
      </c>
      <c r="M1187" s="2" t="b">
        <v>0</v>
      </c>
      <c r="N1187" s="2" t="s">
        <v>33</v>
      </c>
      <c r="O1187" s="2">
        <v>109.0</v>
      </c>
      <c r="P1187" s="2">
        <v>28.0</v>
      </c>
      <c r="Q1187" s="2">
        <v>5.0</v>
      </c>
      <c r="R1187" s="2">
        <v>0.0</v>
      </c>
      <c r="S1187" s="3" t="s">
        <v>4856</v>
      </c>
      <c r="T1187" s="2" t="s">
        <v>4857</v>
      </c>
      <c r="Y1187" s="4" t="str">
        <f>IFERROR(__xludf.DUMMYFUNCTION("""COMPUTED_VALUE"""),"6.6805782")</f>
        <v>6.6805782</v>
      </c>
      <c r="Z1187" s="4" t="str">
        <f>IFERROR(__xludf.DUMMYFUNCTION("""COMPUTED_VALUE"""),"3.3215008")</f>
        <v>3.3215008</v>
      </c>
      <c r="AA1187" s="4" t="str">
        <f t="shared" si="1"/>
        <v>Not Neighbor</v>
      </c>
      <c r="AC1187" s="4">
        <f>IFERROR(__xludf.DUMMYFUNCTION("IFERROR(ABS(O1187-AVERAGE(FILTER(O1187:O5255,AA1187:AA5255=""Neighbor""))) / STDEV(FILTER(O1187:O5255, AA1187:AA5255 =""Neighbor"")), """")"),1.0991010782200357)</f>
        <v>1.099101078</v>
      </c>
      <c r="AD1187" s="4">
        <f>IFERROR(__xludf.DUMMYFUNCTION("IFERROR(ABS(P1187-AVERAGE(FILTER(O1187:P5255,AA1187:AA5255=""Neighbor""))) / STDEV(FILTER(P1187:P5255, AA1187:AA5255 =""Neighbor"")), """")"),0.5382429239903677)</f>
        <v>0.538242924</v>
      </c>
      <c r="AE1187" s="2">
        <f>IFERROR(__xludf.DUMMYFUNCTION("IFERROR(ABS(Q1187-AVERAGE(FILTER(Q1187:Q5255,AA1187:AA5255=""Neighbor""))) / STDEV(FILTER(Q1187:Q5255, AA1187:AA5255 =""Neighbor"")), """")"),0.8237708226877137)</f>
        <v>0.8237708227</v>
      </c>
      <c r="AF1187" s="2">
        <f>IFERROR(__xludf.DUMMYFUNCTION("IFERROR(ABS(R1187-AVERAGE(FILTER(R1187:R5255,AA1187:AA5255=""Neighbor""))) / STDEV(FILTER(R1187:R5255, AA1187:AA5255 =""Neighbor"")), """")"),0.34290178502762686)</f>
        <v>0.342901785</v>
      </c>
    </row>
    <row r="1188">
      <c r="A1188" s="2" t="s">
        <v>28</v>
      </c>
      <c r="B1188" s="2" t="s">
        <v>4358</v>
      </c>
      <c r="C1188" s="2" t="s">
        <v>4858</v>
      </c>
      <c r="D1188" s="2" t="s">
        <v>4859</v>
      </c>
      <c r="E1188" s="2" t="s">
        <v>4860</v>
      </c>
      <c r="F1188" s="2">
        <v>133.0</v>
      </c>
      <c r="G1188" s="2">
        <v>838.0</v>
      </c>
      <c r="H1188" s="2" t="b">
        <v>1</v>
      </c>
      <c r="I1188" s="2">
        <v>-1.0</v>
      </c>
      <c r="J1188" s="2" t="b">
        <v>0</v>
      </c>
      <c r="K1188" s="2" t="b">
        <v>0</v>
      </c>
      <c r="L1188" s="2" t="b">
        <v>0</v>
      </c>
      <c r="M1188" s="2" t="b">
        <v>0</v>
      </c>
      <c r="N1188" s="2" t="s">
        <v>33</v>
      </c>
      <c r="O1188" s="2">
        <v>56.0</v>
      </c>
      <c r="P1188" s="2">
        <v>17.0</v>
      </c>
      <c r="Q1188" s="2">
        <v>14.0</v>
      </c>
      <c r="R1188" s="2">
        <v>3.0</v>
      </c>
      <c r="S1188" s="3" t="s">
        <v>4861</v>
      </c>
      <c r="T1188" s="2" t="s">
        <v>4862</v>
      </c>
      <c r="Y1188" s="4" t="str">
        <f>IFERROR(__xludf.DUMMYFUNCTION("""COMPUTED_VALUE"""),"6.7919866")</f>
        <v>6.7919866</v>
      </c>
      <c r="Z1188" s="4" t="str">
        <f>IFERROR(__xludf.DUMMYFUNCTION("""COMPUTED_VALUE"""),"3.2684215")</f>
        <v>3.2684215</v>
      </c>
      <c r="AA1188" s="4" t="str">
        <f t="shared" si="1"/>
        <v>Not Neighbor</v>
      </c>
      <c r="AC1188" s="4">
        <f>IFERROR(__xludf.DUMMYFUNCTION("IFERROR(ABS(O1188-AVERAGE(FILTER(O1188:O5256,AA1188:AA5256=""Neighbor""))) / STDEV(FILTER(O1188:O5256, AA1188:AA5256 =""Neighbor"")), """")"),0.1723213949865923)</f>
        <v>0.172321395</v>
      </c>
      <c r="AD1188" s="4">
        <f>IFERROR(__xludf.DUMMYFUNCTION("IFERROR(ABS(P1188-AVERAGE(FILTER(O1188:P5256,AA1188:AA5256=""Neighbor""))) / STDEV(FILTER(P1188:P5256, AA1188:AA5256 =""Neighbor"")), """")"),1.0616148711764466)</f>
        <v>1.061614871</v>
      </c>
      <c r="AE1188" s="2">
        <f>IFERROR(__xludf.DUMMYFUNCTION("IFERROR(ABS(Q1188-AVERAGE(FILTER(Q1188:Q5256,AA1188:AA5256=""Neighbor""))) / STDEV(FILTER(Q1188:Q5256, AA1188:AA5256 =""Neighbor"")), """")"),0.4569811259611269)</f>
        <v>0.456981126</v>
      </c>
      <c r="AF1188" s="2">
        <f>IFERROR(__xludf.DUMMYFUNCTION("IFERROR(ABS(R1188-AVERAGE(FILTER(R1188:R5256,AA1188:AA5256=""Neighbor""))) / STDEV(FILTER(R1188:R5256, AA1188:AA5256 =""Neighbor"")), """")"),3.3427851528580783)</f>
        <v>3.342785153</v>
      </c>
    </row>
    <row r="1189">
      <c r="A1189" s="2" t="s">
        <v>28</v>
      </c>
      <c r="B1189" s="2" t="s">
        <v>4358</v>
      </c>
      <c r="C1189" s="2" t="s">
        <v>4858</v>
      </c>
      <c r="D1189" s="2" t="s">
        <v>4863</v>
      </c>
      <c r="E1189" s="2" t="s">
        <v>4864</v>
      </c>
      <c r="F1189" s="2">
        <v>223.0</v>
      </c>
      <c r="G1189" s="2">
        <v>1035.0</v>
      </c>
      <c r="H1189" s="2" t="b">
        <v>1</v>
      </c>
      <c r="I1189" s="2">
        <v>-1.0</v>
      </c>
      <c r="J1189" s="2" t="b">
        <v>0</v>
      </c>
      <c r="K1189" s="2" t="b">
        <v>1</v>
      </c>
      <c r="L1189" s="2" t="b">
        <v>0</v>
      </c>
      <c r="M1189" s="2" t="b">
        <v>0</v>
      </c>
      <c r="N1189" s="2" t="s">
        <v>33</v>
      </c>
      <c r="O1189" s="2">
        <v>63.0</v>
      </c>
      <c r="P1189" s="2">
        <v>7.0</v>
      </c>
      <c r="Q1189" s="2">
        <v>16.0</v>
      </c>
      <c r="R1189" s="2">
        <v>0.0</v>
      </c>
      <c r="S1189" s="3" t="s">
        <v>4865</v>
      </c>
      <c r="T1189" s="2" t="s">
        <v>4866</v>
      </c>
      <c r="Y1189" s="4" t="str">
        <f>IFERROR(__xludf.DUMMYFUNCTION("""COMPUTED_VALUE"""),"6.8359651")</f>
        <v>6.8359651</v>
      </c>
      <c r="Z1189" s="4" t="str">
        <f>IFERROR(__xludf.DUMMYFUNCTION("""COMPUTED_VALUE"""),"3.2429639")</f>
        <v>3.2429639</v>
      </c>
      <c r="AA1189" s="4" t="str">
        <f t="shared" si="1"/>
        <v>Not Neighbor</v>
      </c>
      <c r="AC1189" s="4">
        <f>IFERROR(__xludf.DUMMYFUNCTION("IFERROR(ABS(O1189-AVERAGE(FILTER(O1189:O5257,AA1189:AA5257=""Neighbor""))) / STDEV(FILTER(O1189:O5257, AA1189:AA5257 =""Neighbor"")), """")"),0.004397672110245197)</f>
        <v>0.00439767211</v>
      </c>
      <c r="AD1189" s="4">
        <f>IFERROR(__xludf.DUMMYFUNCTION("IFERROR(ABS(P1189-AVERAGE(FILTER(O1189:P5257,AA1189:AA5257=""Neighbor""))) / STDEV(FILTER(P1189:P5257, AA1189:AA5257 =""Neighbor"")), """")"),1.5374075504365181)</f>
        <v>1.53740755</v>
      </c>
      <c r="AE1189" s="2">
        <f>IFERROR(__xludf.DUMMYFUNCTION("IFERROR(ABS(Q1189-AVERAGE(FILTER(Q1189:Q5257,AA1189:AA5257=""Neighbor""))) / STDEV(FILTER(Q1189:Q5257, AA1189:AA5257 =""Neighbor"")), """")"),0.37547230446632984)</f>
        <v>0.3754723045</v>
      </c>
      <c r="AF1189" s="2">
        <f>IFERROR(__xludf.DUMMYFUNCTION("IFERROR(ABS(R1189-AVERAGE(FILTER(R1189:R5257,AA1189:AA5257=""Neighbor""))) / STDEV(FILTER(R1189:R5257, AA1189:AA5257 =""Neighbor"")), """")"),0.34290178502762686)</f>
        <v>0.342901785</v>
      </c>
    </row>
    <row r="1190">
      <c r="A1190" s="2" t="s">
        <v>28</v>
      </c>
      <c r="B1190" s="2" t="s">
        <v>4358</v>
      </c>
      <c r="C1190" s="2" t="s">
        <v>4858</v>
      </c>
      <c r="D1190" s="2" t="s">
        <v>4867</v>
      </c>
      <c r="E1190" s="2" t="s">
        <v>4868</v>
      </c>
      <c r="F1190" s="2">
        <v>100.0</v>
      </c>
      <c r="G1190" s="2">
        <v>720.0</v>
      </c>
      <c r="H1190" s="2" t="b">
        <v>1</v>
      </c>
      <c r="I1190" s="2">
        <v>-1.0</v>
      </c>
      <c r="J1190" s="2" t="b">
        <v>0</v>
      </c>
      <c r="K1190" s="2" t="b">
        <v>0</v>
      </c>
      <c r="L1190" s="2" t="b">
        <v>0</v>
      </c>
      <c r="M1190" s="2" t="b">
        <v>0</v>
      </c>
      <c r="N1190" s="2" t="s">
        <v>33</v>
      </c>
      <c r="O1190" s="2">
        <v>67.0</v>
      </c>
      <c r="P1190" s="2">
        <v>4.0</v>
      </c>
      <c r="Q1190" s="2">
        <v>9.0</v>
      </c>
      <c r="R1190" s="2">
        <v>0.0</v>
      </c>
      <c r="S1190" s="3" t="s">
        <v>4869</v>
      </c>
      <c r="T1190" s="2" t="s">
        <v>4870</v>
      </c>
      <c r="Y1190" s="4" t="str">
        <f>IFERROR(__xludf.DUMMYFUNCTION("""COMPUTED_VALUE"""),"6.8101717")</f>
        <v>6.8101717</v>
      </c>
      <c r="Z1190" s="4" t="str">
        <f>IFERROR(__xludf.DUMMYFUNCTION("""COMPUTED_VALUE"""),"3.2489343")</f>
        <v>3.2489343</v>
      </c>
      <c r="AA1190" s="4" t="str">
        <f t="shared" si="1"/>
        <v>Not Neighbor</v>
      </c>
      <c r="AC1190" s="4">
        <f>IFERROR(__xludf.DUMMYFUNCTION("IFERROR(ABS(O1190-AVERAGE(FILTER(O1190:O5258,AA1190:AA5258=""Neighbor""))) / STDEV(FILTER(O1190:O5258, AA1190:AA5258 =""Neighbor"")), """")"),0.09155874096195314)</f>
        <v>0.09155874096</v>
      </c>
      <c r="AD1190" s="4">
        <f>IFERROR(__xludf.DUMMYFUNCTION("IFERROR(ABS(P1190-AVERAGE(FILTER(O1190:P5258,AA1190:AA5258=""Neighbor""))) / STDEV(FILTER(P1190:P5258, AA1190:AA5258 =""Neighbor"")), """")"),1.6801453542145397)</f>
        <v>1.680145354</v>
      </c>
      <c r="AE1190" s="2">
        <f>IFERROR(__xludf.DUMMYFUNCTION("IFERROR(ABS(Q1190-AVERAGE(FILTER(Q1190:Q5258,AA1190:AA5258=""Neighbor""))) / STDEV(FILTER(Q1190:Q5258, AA1190:AA5258 =""Neighbor"")), """")"),0.6607531796981195)</f>
        <v>0.6607531797</v>
      </c>
      <c r="AF1190" s="2">
        <f>IFERROR(__xludf.DUMMYFUNCTION("IFERROR(ABS(R1190-AVERAGE(FILTER(R1190:R5258,AA1190:AA5258=""Neighbor""))) / STDEV(FILTER(R1190:R5258, AA1190:AA5258 =""Neighbor"")), """")"),0.34290178502762686)</f>
        <v>0.342901785</v>
      </c>
    </row>
    <row r="1191">
      <c r="A1191" s="2" t="s">
        <v>28</v>
      </c>
      <c r="B1191" s="2" t="s">
        <v>4358</v>
      </c>
      <c r="C1191" s="2" t="s">
        <v>4858</v>
      </c>
      <c r="D1191" s="2" t="s">
        <v>4871</v>
      </c>
      <c r="E1191" s="2" t="s">
        <v>4872</v>
      </c>
      <c r="F1191" s="2">
        <v>66.0</v>
      </c>
      <c r="G1191" s="2">
        <v>597.0</v>
      </c>
      <c r="H1191" s="2" t="b">
        <v>1</v>
      </c>
      <c r="I1191" s="2">
        <v>-1.0</v>
      </c>
      <c r="J1191" s="2" t="b">
        <v>0</v>
      </c>
      <c r="K1191" s="2" t="b">
        <v>0</v>
      </c>
      <c r="L1191" s="2" t="b">
        <v>0</v>
      </c>
      <c r="M1191" s="2" t="b">
        <v>0</v>
      </c>
      <c r="N1191" s="2" t="s">
        <v>33</v>
      </c>
      <c r="O1191" s="2">
        <v>49.0</v>
      </c>
      <c r="P1191" s="2">
        <v>2.0</v>
      </c>
      <c r="Q1191" s="2">
        <v>0.0</v>
      </c>
      <c r="R1191" s="2">
        <v>0.0</v>
      </c>
      <c r="S1191" s="3" t="s">
        <v>4873</v>
      </c>
      <c r="T1191" s="2" t="s">
        <v>4874</v>
      </c>
      <c r="Y1191" s="4" t="str">
        <f>IFERROR(__xludf.DUMMYFUNCTION("""COMPUTED_VALUE"""),"6.7919866")</f>
        <v>6.7919866</v>
      </c>
      <c r="Z1191" s="4" t="str">
        <f>IFERROR(__xludf.DUMMYFUNCTION("""COMPUTED_VALUE"""),"3.2684215")</f>
        <v>3.2684215</v>
      </c>
      <c r="AA1191" s="4" t="str">
        <f t="shared" si="1"/>
        <v>Not Neighbor</v>
      </c>
      <c r="AC1191" s="4">
        <f>IFERROR(__xludf.DUMMYFUNCTION("IFERROR(ABS(O1191-AVERAGE(FILTER(O1191:O5259,AA1191:AA5259=""Neighbor""))) / STDEV(FILTER(O1191:O5259, AA1191:AA5259 =""Neighbor"")), """")"),0.34024511786293943)</f>
        <v>0.3402451179</v>
      </c>
      <c r="AD1191" s="4">
        <f>IFERROR(__xludf.DUMMYFUNCTION("IFERROR(ABS(P1191-AVERAGE(FILTER(O1191:P5259,AA1191:AA5259=""Neighbor""))) / STDEV(FILTER(P1191:P5259, AA1191:AA5259 =""Neighbor"")), """")"),1.7753038900665539)</f>
        <v>1.77530389</v>
      </c>
      <c r="AE1191" s="2">
        <f>IFERROR(__xludf.DUMMYFUNCTION("IFERROR(ABS(Q1191-AVERAGE(FILTER(Q1191:Q5259,AA1191:AA5259=""Neighbor""))) / STDEV(FILTER(Q1191:Q5259, AA1191:AA5259 =""Neighbor"")), """")"),1.0275428764247063)</f>
        <v>1.027542876</v>
      </c>
      <c r="AF1191" s="2">
        <f>IFERROR(__xludf.DUMMYFUNCTION("IFERROR(ABS(R1191-AVERAGE(FILTER(R1191:R5259,AA1191:AA5259=""Neighbor""))) / STDEV(FILTER(R1191:R5259, AA1191:AA5259 =""Neighbor"")), """")"),0.34290178502762686)</f>
        <v>0.342901785</v>
      </c>
    </row>
    <row r="1192">
      <c r="A1192" s="2" t="s">
        <v>28</v>
      </c>
      <c r="B1192" s="2" t="s">
        <v>4358</v>
      </c>
      <c r="C1192" s="2" t="s">
        <v>4858</v>
      </c>
      <c r="D1192" s="2" t="s">
        <v>4875</v>
      </c>
      <c r="E1192" s="2" t="s">
        <v>4876</v>
      </c>
      <c r="F1192" s="2">
        <v>150.0</v>
      </c>
      <c r="G1192" s="2">
        <v>645.0</v>
      </c>
      <c r="H1192" s="2" t="b">
        <v>1</v>
      </c>
      <c r="I1192" s="2">
        <v>-1.0</v>
      </c>
      <c r="J1192" s="2" t="b">
        <v>0</v>
      </c>
      <c r="K1192" s="2" t="b">
        <v>0</v>
      </c>
      <c r="L1192" s="2" t="b">
        <v>0</v>
      </c>
      <c r="M1192" s="2" t="b">
        <v>0</v>
      </c>
      <c r="N1192" s="2" t="s">
        <v>33</v>
      </c>
      <c r="O1192" s="2">
        <v>90.0</v>
      </c>
      <c r="P1192" s="2">
        <v>10.0</v>
      </c>
      <c r="Q1192" s="2">
        <v>10.0</v>
      </c>
      <c r="R1192" s="2">
        <v>0.0</v>
      </c>
      <c r="S1192" s="3" t="s">
        <v>4877</v>
      </c>
      <c r="T1192" s="2" t="s">
        <v>4878</v>
      </c>
      <c r="Y1192" s="4" t="str">
        <f>IFERROR(__xludf.DUMMYFUNCTION("""COMPUTED_VALUE"""),"6.8273684")</f>
        <v>6.8273684</v>
      </c>
      <c r="Z1192" s="4" t="str">
        <f>IFERROR(__xludf.DUMMYFUNCTION("""COMPUTED_VALUE"""),"3.2514245")</f>
        <v>3.2514245</v>
      </c>
      <c r="AA1192" s="4" t="str">
        <f t="shared" si="1"/>
        <v>Not Neighbor</v>
      </c>
      <c r="AC1192" s="4">
        <f>IFERROR(__xludf.DUMMYFUNCTION("IFERROR(ABS(O1192-AVERAGE(FILTER(O1192:O5260,AA1192:AA5260=""Neighbor""))) / STDEV(FILTER(O1192:O5260, AA1192:AA5260 =""Neighbor"")), """")"),0.6433081161270936)</f>
        <v>0.6433081161</v>
      </c>
      <c r="AD1192" s="4">
        <f>IFERROR(__xludf.DUMMYFUNCTION("IFERROR(ABS(P1192-AVERAGE(FILTER(O1192:P5260,AA1192:AA5260=""Neighbor""))) / STDEV(FILTER(P1192:P5260, AA1192:AA5260 =""Neighbor"")), """")"),1.3946697466584965)</f>
        <v>1.394669747</v>
      </c>
      <c r="AE1192" s="2">
        <f>IFERROR(__xludf.DUMMYFUNCTION("IFERROR(ABS(Q1192-AVERAGE(FILTER(Q1192:Q5260,AA1192:AA5260=""Neighbor""))) / STDEV(FILTER(Q1192:Q5260, AA1192:AA5260 =""Neighbor"")), """")"),0.619998768950721)</f>
        <v>0.619998769</v>
      </c>
      <c r="AF1192" s="2">
        <f>IFERROR(__xludf.DUMMYFUNCTION("IFERROR(ABS(R1192-AVERAGE(FILTER(R1192:R5260,AA1192:AA5260=""Neighbor""))) / STDEV(FILTER(R1192:R5260, AA1192:AA5260 =""Neighbor"")), """")"),0.34290178502762686)</f>
        <v>0.342901785</v>
      </c>
    </row>
    <row r="1193">
      <c r="A1193" s="2" t="s">
        <v>28</v>
      </c>
      <c r="B1193" s="2" t="s">
        <v>4358</v>
      </c>
      <c r="C1193" s="2" t="s">
        <v>4858</v>
      </c>
      <c r="D1193" s="2" t="s">
        <v>4879</v>
      </c>
      <c r="E1193" s="2" t="s">
        <v>4880</v>
      </c>
      <c r="F1193" s="2">
        <v>263.0</v>
      </c>
      <c r="G1193" s="2">
        <v>2443.0</v>
      </c>
      <c r="H1193" s="2" t="b">
        <v>1</v>
      </c>
      <c r="I1193" s="2">
        <v>-1.0</v>
      </c>
      <c r="J1193" s="2" t="b">
        <v>0</v>
      </c>
      <c r="K1193" s="2" t="b">
        <v>1</v>
      </c>
      <c r="L1193" s="2" t="b">
        <v>0</v>
      </c>
      <c r="M1193" s="2" t="b">
        <v>0</v>
      </c>
      <c r="N1193" s="2" t="s">
        <v>33</v>
      </c>
      <c r="O1193" s="2">
        <v>157.0</v>
      </c>
      <c r="P1193" s="2">
        <v>32.0</v>
      </c>
      <c r="Q1193" s="2">
        <v>40.0</v>
      </c>
      <c r="R1193" s="2">
        <v>2.0</v>
      </c>
      <c r="S1193" s="3" t="s">
        <v>4881</v>
      </c>
      <c r="T1193" s="2" t="s">
        <v>4882</v>
      </c>
      <c r="Y1193" s="4" t="str">
        <f>IFERROR(__xludf.DUMMYFUNCTION("""COMPUTED_VALUE"""),"6.7765393")</f>
        <v>6.7765393</v>
      </c>
      <c r="Z1193" s="4" t="str">
        <f>IFERROR(__xludf.DUMMYFUNCTION("""COMPUTED_VALUE"""),"3.2791114")</f>
        <v>3.2791114</v>
      </c>
      <c r="AA1193" s="4" t="str">
        <f t="shared" si="1"/>
        <v>Not Neighbor</v>
      </c>
      <c r="AC1193" s="4">
        <f>IFERROR(__xludf.DUMMYFUNCTION("IFERROR(ABS(O1193-AVERAGE(FILTER(O1193:O5261,AA1193:AA5261=""Neighbor""))) / STDEV(FILTER(O1193:O5261, AA1193:AA5261 =""Neighbor"")), """")"),2.250578035086416)</f>
        <v>2.250578035</v>
      </c>
      <c r="AD1193" s="4">
        <f>IFERROR(__xludf.DUMMYFUNCTION("IFERROR(ABS(P1193-AVERAGE(FILTER(O1193:P5261,AA1193:AA5261=""Neighbor""))) / STDEV(FILTER(P1193:P5261, AA1193:AA5261 =""Neighbor"")), """")"),0.34792585228633904)</f>
        <v>0.3479258523</v>
      </c>
      <c r="AE1193" s="2">
        <f>IFERROR(__xludf.DUMMYFUNCTION("IFERROR(ABS(Q1193-AVERAGE(FILTER(Q1193:Q5261,AA1193:AA5261=""Neighbor""))) / STDEV(FILTER(Q1193:Q5261, AA1193:AA5261 =""Neighbor"")), """")"),0.602633553471235)</f>
        <v>0.6026335535</v>
      </c>
      <c r="AF1193" s="2">
        <f>IFERROR(__xludf.DUMMYFUNCTION("IFERROR(ABS(R1193-AVERAGE(FILTER(R1193:R5261,AA1193:AA5261=""Neighbor""))) / STDEV(FILTER(R1193:R5261, AA1193:AA5261 =""Neighbor"")), """")"),2.11422284022951)</f>
        <v>2.11422284</v>
      </c>
    </row>
    <row r="1194">
      <c r="A1194" s="2" t="s">
        <v>28</v>
      </c>
      <c r="B1194" s="2" t="s">
        <v>4358</v>
      </c>
      <c r="C1194" s="2" t="s">
        <v>4858</v>
      </c>
      <c r="D1194" s="2" t="s">
        <v>4883</v>
      </c>
      <c r="E1194" s="2" t="s">
        <v>4884</v>
      </c>
      <c r="F1194" s="2">
        <v>138.0</v>
      </c>
      <c r="G1194" s="2">
        <v>994.0</v>
      </c>
      <c r="H1194" s="2" t="b">
        <v>1</v>
      </c>
      <c r="I1194" s="2">
        <v>-1.0</v>
      </c>
      <c r="J1194" s="2" t="b">
        <v>0</v>
      </c>
      <c r="K1194" s="2" t="b">
        <v>0</v>
      </c>
      <c r="L1194" s="2" t="b">
        <v>0</v>
      </c>
      <c r="M1194" s="2" t="b">
        <v>0</v>
      </c>
      <c r="N1194" s="2" t="s">
        <v>33</v>
      </c>
      <c r="O1194" s="2">
        <v>88.0</v>
      </c>
      <c r="P1194" s="2">
        <v>21.0</v>
      </c>
      <c r="Q1194" s="2">
        <v>18.0</v>
      </c>
      <c r="R1194" s="2">
        <v>0.0</v>
      </c>
      <c r="S1194" s="3" t="s">
        <v>4885</v>
      </c>
      <c r="T1194" s="2" t="s">
        <v>4886</v>
      </c>
      <c r="Y1194" s="4" t="str">
        <f>IFERROR(__xludf.DUMMYFUNCTION("""COMPUTED_VALUE"""),"6.7999933")</f>
        <v>6.7999933</v>
      </c>
      <c r="Z1194" s="4" t="str">
        <f>IFERROR(__xludf.DUMMYFUNCTION("""COMPUTED_VALUE"""),"3.2709366")</f>
        <v>3.2709366</v>
      </c>
      <c r="AA1194" s="4" t="str">
        <f t="shared" si="1"/>
        <v>Not Neighbor</v>
      </c>
      <c r="AC1194" s="4">
        <f>IFERROR(__xludf.DUMMYFUNCTION("IFERROR(ABS(O1194-AVERAGE(FILTER(O1194:O5262,AA1194:AA5262=""Neighbor""))) / STDEV(FILTER(O1194:O5262, AA1194:AA5262 =""Neighbor"")), """")"),0.5953299095909944)</f>
        <v>0.5953299096</v>
      </c>
      <c r="AD1194" s="4">
        <f>IFERROR(__xludf.DUMMYFUNCTION("IFERROR(ABS(P1194-AVERAGE(FILTER(O1194:P5262,AA1194:AA5262=""Neighbor""))) / STDEV(FILTER(P1194:P5262, AA1194:AA5262 =""Neighbor"")), """")"),0.8712977994724178)</f>
        <v>0.8712977995</v>
      </c>
      <c r="AE1194" s="2">
        <f>IFERROR(__xludf.DUMMYFUNCTION("IFERROR(ABS(Q1194-AVERAGE(FILTER(Q1194:Q5262,AA1194:AA5262=""Neighbor""))) / STDEV(FILTER(Q1194:Q5262, AA1194:AA5262 =""Neighbor"")), """")"),0.29396348297153274)</f>
        <v>0.293963483</v>
      </c>
      <c r="AF1194" s="2">
        <f>IFERROR(__xludf.DUMMYFUNCTION("IFERROR(ABS(R1194-AVERAGE(FILTER(R1194:R5262,AA1194:AA5262=""Neighbor""))) / STDEV(FILTER(R1194:R5262, AA1194:AA5262 =""Neighbor"")), """")"),0.34290178502762686)</f>
        <v>0.342901785</v>
      </c>
    </row>
    <row r="1195">
      <c r="A1195" s="2" t="s">
        <v>28</v>
      </c>
      <c r="B1195" s="2" t="s">
        <v>4358</v>
      </c>
      <c r="C1195" s="2" t="s">
        <v>4858</v>
      </c>
      <c r="D1195" s="2" t="s">
        <v>4887</v>
      </c>
      <c r="E1195" s="2" t="s">
        <v>4888</v>
      </c>
      <c r="F1195" s="2">
        <v>150.0</v>
      </c>
      <c r="G1195" s="2">
        <v>1356.0</v>
      </c>
      <c r="H1195" s="2" t="b">
        <v>1</v>
      </c>
      <c r="I1195" s="2">
        <v>-1.0</v>
      </c>
      <c r="J1195" s="2" t="b">
        <v>0</v>
      </c>
      <c r="K1195" s="2" t="b">
        <v>0</v>
      </c>
      <c r="L1195" s="2" t="b">
        <v>0</v>
      </c>
      <c r="M1195" s="2" t="b">
        <v>0</v>
      </c>
      <c r="N1195" s="2" t="s">
        <v>33</v>
      </c>
      <c r="O1195" s="2">
        <v>99.0</v>
      </c>
      <c r="P1195" s="2">
        <v>27.0</v>
      </c>
      <c r="Q1195" s="2">
        <v>9.0</v>
      </c>
      <c r="R1195" s="2">
        <v>0.0</v>
      </c>
      <c r="S1195" s="3" t="s">
        <v>4889</v>
      </c>
      <c r="T1195" s="2" t="s">
        <v>4890</v>
      </c>
      <c r="Y1195" s="4" t="str">
        <f>IFERROR(__xludf.DUMMYFUNCTION("""COMPUTED_VALUE"""),"6.7492461")</f>
        <v>6.7492461</v>
      </c>
      <c r="Z1195" s="4" t="str">
        <f>IFERROR(__xludf.DUMMYFUNCTION("""COMPUTED_VALUE"""),"3.2609931")</f>
        <v>3.2609931</v>
      </c>
      <c r="AA1195" s="4" t="str">
        <f t="shared" si="1"/>
        <v>Neighbor</v>
      </c>
      <c r="AC1195" s="4">
        <f>IFERROR(__xludf.DUMMYFUNCTION("IFERROR(ABS(O1195-AVERAGE(FILTER(O1195:O5263,AA1195:AA5263=""Neighbor""))) / STDEV(FILTER(O1195:O5263, AA1195:AA5263 =""Neighbor"")), """")"),0.85921004553954)</f>
        <v>0.8592100455</v>
      </c>
      <c r="AD1195" s="4">
        <f>IFERROR(__xludf.DUMMYFUNCTION("IFERROR(ABS(P1195-AVERAGE(FILTER(O1195:P5263,AA1195:AA5263=""Neighbor""))) / STDEV(FILTER(P1195:P5263, AA1195:AA5263 =""Neighbor"")), """")"),0.5858221919163749)</f>
        <v>0.5858221919</v>
      </c>
      <c r="AE1195" s="2">
        <f>IFERROR(__xludf.DUMMYFUNCTION("IFERROR(ABS(Q1195-AVERAGE(FILTER(Q1195:Q5263,AA1195:AA5263=""Neighbor""))) / STDEV(FILTER(Q1195:Q5263, AA1195:AA5263 =""Neighbor"")), """")"),0.6607531796981195)</f>
        <v>0.6607531797</v>
      </c>
      <c r="AF1195" s="2">
        <f>IFERROR(__xludf.DUMMYFUNCTION("IFERROR(ABS(R1195-AVERAGE(FILTER(R1195:R5263,AA1195:AA5263=""Neighbor""))) / STDEV(FILTER(R1195:R5263, AA1195:AA5263 =""Neighbor"")), """")"),0.34290178502762686)</f>
        <v>0.342901785</v>
      </c>
    </row>
    <row r="1196">
      <c r="A1196" s="2" t="s">
        <v>28</v>
      </c>
      <c r="B1196" s="2" t="s">
        <v>4358</v>
      </c>
      <c r="C1196" s="2" t="s">
        <v>4858</v>
      </c>
      <c r="D1196" s="2" t="s">
        <v>4891</v>
      </c>
      <c r="E1196" s="2" t="s">
        <v>4892</v>
      </c>
      <c r="F1196" s="2">
        <v>171.0</v>
      </c>
      <c r="G1196" s="2">
        <v>1948.0</v>
      </c>
      <c r="H1196" s="2" t="b">
        <v>1</v>
      </c>
      <c r="I1196" s="2">
        <v>-1.0</v>
      </c>
      <c r="J1196" s="2" t="b">
        <v>0</v>
      </c>
      <c r="K1196" s="2" t="b">
        <v>0</v>
      </c>
      <c r="L1196" s="2" t="b">
        <v>0</v>
      </c>
      <c r="M1196" s="2" t="b">
        <v>0</v>
      </c>
      <c r="N1196" s="2" t="s">
        <v>33</v>
      </c>
      <c r="O1196" s="2">
        <v>104.0</v>
      </c>
      <c r="P1196" s="2">
        <v>20.0</v>
      </c>
      <c r="Q1196" s="2">
        <v>27.0</v>
      </c>
      <c r="R1196" s="2">
        <v>0.0</v>
      </c>
      <c r="S1196" s="3" t="s">
        <v>4893</v>
      </c>
      <c r="T1196" s="2" t="s">
        <v>4894</v>
      </c>
      <c r="Y1196" s="4" t="str">
        <f>IFERROR(__xludf.DUMMYFUNCTION("""COMPUTED_VALUE"""),"6.7429921")</f>
        <v>6.7429921</v>
      </c>
      <c r="Z1196" s="4" t="str">
        <f>IFERROR(__xludf.DUMMYFUNCTION("""COMPUTED_VALUE"""),"3.2666287")</f>
        <v>3.2666287</v>
      </c>
      <c r="AA1196" s="4" t="str">
        <f t="shared" si="1"/>
        <v>Not Neighbor</v>
      </c>
      <c r="AC1196" s="4">
        <f>IFERROR(__xludf.DUMMYFUNCTION("IFERROR(ABS(O1196-AVERAGE(FILTER(O1196:O5264,AA1196:AA5264=""Neighbor""))) / STDEV(FILTER(O1196:O5264, AA1196:AA5264 =""Neighbor"")), """")"),0.9797598428641786)</f>
        <v>0.9797598429</v>
      </c>
      <c r="AD1196" s="4">
        <f>IFERROR(__xludf.DUMMYFUNCTION("IFERROR(ABS(P1196-AVERAGE(FILTER(O1196:P5264,AA1196:AA5264=""Neighbor""))) / STDEV(FILTER(P1196:P5264, AA1196:AA5264 =""Neighbor"")), """")"),0.9176810251648218)</f>
        <v>0.9176810252</v>
      </c>
      <c r="AE1196" s="2">
        <f>IFERROR(__xludf.DUMMYFUNCTION("IFERROR(ABS(Q1196-AVERAGE(FILTER(Q1196:Q5264,AA1196:AA5264=""Neighbor""))) / STDEV(FILTER(Q1196:Q5264, AA1196:AA5264 =""Neighbor"")), """")"),0.07226331180164655)</f>
        <v>0.0722633118</v>
      </c>
      <c r="AF1196" s="2">
        <f>IFERROR(__xludf.DUMMYFUNCTION("IFERROR(ABS(R1196-AVERAGE(FILTER(R1196:R5264,AA1196:AA5264=""Neighbor""))) / STDEV(FILTER(R1196:R5264, AA1196:AA5264 =""Neighbor"")), """")"),0.34306001615801573)</f>
        <v>0.3430600162</v>
      </c>
    </row>
    <row r="1197">
      <c r="A1197" s="2" t="s">
        <v>28</v>
      </c>
      <c r="B1197" s="2" t="s">
        <v>4358</v>
      </c>
      <c r="C1197" s="2" t="s">
        <v>4858</v>
      </c>
      <c r="D1197" s="2" t="s">
        <v>4895</v>
      </c>
      <c r="E1197" s="2" t="s">
        <v>4896</v>
      </c>
      <c r="F1197" s="2">
        <v>56.0</v>
      </c>
      <c r="G1197" s="2">
        <v>505.0</v>
      </c>
      <c r="H1197" s="2" t="b">
        <v>1</v>
      </c>
      <c r="I1197" s="2">
        <v>-1.0</v>
      </c>
      <c r="J1197" s="2" t="b">
        <v>0</v>
      </c>
      <c r="K1197" s="2" t="b">
        <v>0</v>
      </c>
      <c r="L1197" s="2" t="b">
        <v>0</v>
      </c>
      <c r="M1197" s="2" t="b">
        <v>0</v>
      </c>
      <c r="N1197" s="2" t="s">
        <v>33</v>
      </c>
      <c r="O1197" s="2">
        <v>40.0</v>
      </c>
      <c r="P1197" s="2">
        <v>4.0</v>
      </c>
      <c r="Q1197" s="2">
        <v>6.0</v>
      </c>
      <c r="R1197" s="2">
        <v>0.0</v>
      </c>
      <c r="S1197" s="3" t="s">
        <v>4897</v>
      </c>
      <c r="T1197" s="2" t="s">
        <v>4898</v>
      </c>
      <c r="Y1197" s="4" t="str">
        <f>IFERROR(__xludf.DUMMYFUNCTION("""COMPUTED_VALUE"""),"6.7919866")</f>
        <v>6.7919866</v>
      </c>
      <c r="Z1197" s="4" t="str">
        <f>IFERROR(__xludf.DUMMYFUNCTION("""COMPUTED_VALUE"""),"3.2684215")</f>
        <v>3.2684215</v>
      </c>
      <c r="AA1197" s="4" t="str">
        <f t="shared" si="1"/>
        <v>Not Neighbor</v>
      </c>
      <c r="AC1197" s="4">
        <f>IFERROR(__xludf.DUMMYFUNCTION("IFERROR(ABS(O1197-AVERAGE(FILTER(O1197:O5265,AA1197:AA5265=""Neighbor""))) / STDEV(FILTER(O1197:O5265, AA1197:AA5265 =""Neighbor"")), """")"),0.5553769779395197)</f>
        <v>0.5553769779</v>
      </c>
      <c r="AD1197" s="4">
        <f>IFERROR(__xludf.DUMMYFUNCTION("IFERROR(ABS(P1197-AVERAGE(FILTER(O1197:P5265,AA1197:AA5265=""Neighbor""))) / STDEV(FILTER(P1197:P5265, AA1197:AA5265 =""Neighbor"")), """")"),1.6787298652423968)</f>
        <v>1.678729865</v>
      </c>
      <c r="AE1197" s="2">
        <f>IFERROR(__xludf.DUMMYFUNCTION("IFERROR(ABS(Q1197-AVERAGE(FILTER(Q1197:Q5265,AA1197:AA5265=""Neighbor""))) / STDEV(FILTER(Q1197:Q5265, AA1197:AA5265 =""Neighbor"")), """")"),0.7833800958776812)</f>
        <v>0.7833800959</v>
      </c>
      <c r="AF1197" s="2">
        <f>IFERROR(__xludf.DUMMYFUNCTION("IFERROR(ABS(R1197-AVERAGE(FILTER(R1197:R5265,AA1197:AA5265=""Neighbor""))) / STDEV(FILTER(R1197:R5265, AA1197:AA5265 =""Neighbor"")), """")"),0.34306001615801573)</f>
        <v>0.3430600162</v>
      </c>
    </row>
    <row r="1198">
      <c r="A1198" s="2" t="s">
        <v>28</v>
      </c>
      <c r="B1198" s="2" t="s">
        <v>4358</v>
      </c>
      <c r="C1198" s="2" t="s">
        <v>4858</v>
      </c>
      <c r="D1198" s="2" t="s">
        <v>4899</v>
      </c>
      <c r="E1198" s="2" t="s">
        <v>4900</v>
      </c>
      <c r="F1198" s="2">
        <v>301.0</v>
      </c>
      <c r="G1198" s="2">
        <v>2182.0</v>
      </c>
      <c r="H1198" s="2" t="b">
        <v>1</v>
      </c>
      <c r="I1198" s="2">
        <v>-1.0</v>
      </c>
      <c r="J1198" s="2" t="b">
        <v>0</v>
      </c>
      <c r="K1198" s="2" t="b">
        <v>0</v>
      </c>
      <c r="L1198" s="2" t="b">
        <v>0</v>
      </c>
      <c r="M1198" s="2" t="b">
        <v>0</v>
      </c>
      <c r="N1198" s="2" t="s">
        <v>33</v>
      </c>
      <c r="O1198" s="2">
        <v>194.0</v>
      </c>
      <c r="P1198" s="2">
        <v>46.0</v>
      </c>
      <c r="Q1198" s="2">
        <v>17.0</v>
      </c>
      <c r="R1198" s="2">
        <v>0.0</v>
      </c>
      <c r="S1198" s="3" t="s">
        <v>4901</v>
      </c>
      <c r="T1198" s="2" t="s">
        <v>4902</v>
      </c>
      <c r="Y1198" s="4" t="str">
        <f>IFERROR(__xludf.DUMMYFUNCTION("""COMPUTED_VALUE"""),"6.7939664")</f>
        <v>6.7939664</v>
      </c>
      <c r="Z1198" s="4" t="str">
        <f>IFERROR(__xludf.DUMMYFUNCTION("""COMPUTED_VALUE"""),"3.243963")</f>
        <v>3.243963</v>
      </c>
      <c r="AA1198" s="4" t="str">
        <f t="shared" si="1"/>
        <v>Neighbor</v>
      </c>
      <c r="AC1198" s="4">
        <f>IFERROR(__xludf.DUMMYFUNCTION("IFERROR(ABS(O1198-AVERAGE(FILTER(O1198:O5266,AA1198:AA5266=""Neighbor""))) / STDEV(FILTER(O1198:O5266, AA1198:AA5266 =""Neighbor"")), """")"),3.138545997119379)</f>
        <v>3.138545997</v>
      </c>
      <c r="AD1198" s="4">
        <f>IFERROR(__xludf.DUMMYFUNCTION("IFERROR(ABS(P1198-AVERAGE(FILTER(O1198:P5266,AA1198:AA5266=""Neighbor""))) / STDEV(FILTER(P1198:P5266, AA1198:AA5266 =""Neighbor"")), """")"),0.31902333996123744)</f>
        <v>0.31902334</v>
      </c>
      <c r="AE1198" s="2">
        <f>IFERROR(__xludf.DUMMYFUNCTION("IFERROR(ABS(Q1198-AVERAGE(FILTER(Q1198:Q5266,AA1198:AA5266=""Neighbor""))) / STDEV(FILTER(Q1198:Q5266, AA1198:AA5266 =""Neighbor"")), """")"),0.33518592995041424)</f>
        <v>0.33518593</v>
      </c>
      <c r="AF1198" s="2">
        <f>IFERROR(__xludf.DUMMYFUNCTION("IFERROR(ABS(R1198-AVERAGE(FILTER(R1198:R5266,AA1198:AA5266=""Neighbor""))) / STDEV(FILTER(R1198:R5266, AA1198:AA5266 =""Neighbor"")), """")"),0.34306001615801573)</f>
        <v>0.3430600162</v>
      </c>
    </row>
    <row r="1199">
      <c r="A1199" s="2" t="s">
        <v>28</v>
      </c>
      <c r="B1199" s="2" t="s">
        <v>4358</v>
      </c>
      <c r="C1199" s="2" t="s">
        <v>4858</v>
      </c>
      <c r="D1199" s="2" t="s">
        <v>4903</v>
      </c>
      <c r="E1199" s="2" t="s">
        <v>4904</v>
      </c>
      <c r="F1199" s="2">
        <v>165.0</v>
      </c>
      <c r="G1199" s="2">
        <v>1261.0</v>
      </c>
      <c r="H1199" s="2" t="b">
        <v>1</v>
      </c>
      <c r="I1199" s="2">
        <v>-1.0</v>
      </c>
      <c r="J1199" s="2" t="b">
        <v>0</v>
      </c>
      <c r="K1199" s="2" t="b">
        <v>1</v>
      </c>
      <c r="L1199" s="2" t="b">
        <v>0</v>
      </c>
      <c r="M1199" s="2" t="b">
        <v>0</v>
      </c>
      <c r="N1199" s="2" t="s">
        <v>33</v>
      </c>
      <c r="O1199" s="2">
        <v>115.0</v>
      </c>
      <c r="P1199" s="2">
        <v>25.0</v>
      </c>
      <c r="Q1199" s="2">
        <v>10.0</v>
      </c>
      <c r="R1199" s="2">
        <v>2.0</v>
      </c>
      <c r="S1199" s="3" t="s">
        <v>4905</v>
      </c>
      <c r="T1199" s="2" t="s">
        <v>4906</v>
      </c>
      <c r="Y1199" s="4" t="str">
        <f>IFERROR(__xludf.DUMMYFUNCTION("""COMPUTED_VALUE"""),"6.7951371")</f>
        <v>6.7951371</v>
      </c>
      <c r="Z1199" s="4" t="str">
        <f>IFERROR(__xludf.DUMMYFUNCTION("""COMPUTED_VALUE"""),"3.2430518")</f>
        <v>3.2430518</v>
      </c>
      <c r="AA1199" s="4" t="str">
        <f t="shared" si="1"/>
        <v>Not Neighbor</v>
      </c>
      <c r="AC1199" s="4">
        <f>IFERROR(__xludf.DUMMYFUNCTION("IFERROR(ABS(O1199-AVERAGE(FILTER(O1199:O5267,AA1199:AA5267=""Neighbor""))) / STDEV(FILTER(O1199:O5267, AA1199:AA5267 =""Neighbor"")), """")"),1.2508021577903201)</f>
        <v>1.250802158</v>
      </c>
      <c r="AD1199" s="4">
        <f>IFERROR(__xludf.DUMMYFUNCTION("IFERROR(ABS(P1199-AVERAGE(FILTER(O1199:P5267,AA1199:AA5267=""Neighbor""))) / STDEV(FILTER(P1199:P5267, AA1199:AA5267 =""Neighbor"")), """")"),0.6769907431881661)</f>
        <v>0.6769907432</v>
      </c>
      <c r="AE1199" s="2">
        <f>IFERROR(__xludf.DUMMYFUNCTION("IFERROR(ABS(Q1199-AVERAGE(FILTER(Q1199:Q5267,AA1199:AA5267=""Neighbor""))) / STDEV(FILTER(Q1199:Q5267, AA1199:AA5267 =""Neighbor"")), """")"),0.6204497508663966)</f>
        <v>0.6204497509</v>
      </c>
      <c r="AF1199" s="2">
        <f>IFERROR(__xludf.DUMMYFUNCTION("IFERROR(ABS(R1199-AVERAGE(FILTER(R1199:R5267,AA1199:AA5267=""Neighbor""))) / STDEV(FILTER(R1199:R5267, AA1199:AA5267 =""Neighbor"")), """")"),2.1121136403660135)</f>
        <v>2.11211364</v>
      </c>
    </row>
    <row r="1200">
      <c r="A1200" s="2" t="s">
        <v>28</v>
      </c>
      <c r="B1200" s="2" t="s">
        <v>4358</v>
      </c>
      <c r="C1200" s="2" t="s">
        <v>4858</v>
      </c>
      <c r="D1200" s="2" t="s">
        <v>4907</v>
      </c>
      <c r="E1200" s="2" t="s">
        <v>4908</v>
      </c>
      <c r="F1200" s="2">
        <v>89.0</v>
      </c>
      <c r="G1200" s="2">
        <v>517.0</v>
      </c>
      <c r="H1200" s="2" t="b">
        <v>1</v>
      </c>
      <c r="I1200" s="2">
        <v>-1.0</v>
      </c>
      <c r="J1200" s="2" t="b">
        <v>0</v>
      </c>
      <c r="K1200" s="2" t="b">
        <v>0</v>
      </c>
      <c r="L1200" s="2" t="b">
        <v>0</v>
      </c>
      <c r="M1200" s="2" t="b">
        <v>0</v>
      </c>
      <c r="N1200" s="2" t="s">
        <v>33</v>
      </c>
      <c r="O1200" s="2">
        <v>59.0</v>
      </c>
      <c r="P1200" s="2">
        <v>9.0</v>
      </c>
      <c r="Q1200" s="2">
        <v>4.0</v>
      </c>
      <c r="R1200" s="2">
        <v>0.0</v>
      </c>
      <c r="S1200" s="3" t="s">
        <v>4909</v>
      </c>
      <c r="T1200" s="2" t="s">
        <v>4910</v>
      </c>
      <c r="Y1200" s="4" t="str">
        <f>IFERROR(__xludf.DUMMYFUNCTION("""COMPUTED_VALUE"""),"6.8003285")</f>
        <v>6.8003285</v>
      </c>
      <c r="Z1200" s="4" t="str">
        <f>IFERROR(__xludf.DUMMYFUNCTION("""COMPUTED_VALUE"""),"3.2206602")</f>
        <v>3.2206602</v>
      </c>
      <c r="AA1200" s="4" t="str">
        <f t="shared" si="1"/>
        <v>Not Neighbor</v>
      </c>
      <c r="AC1200" s="4">
        <f>IFERROR(__xludf.DUMMYFUNCTION("IFERROR(ABS(O1200-AVERAGE(FILTER(O1200:O5268,AA1200:AA5268=""Neighbor""))) / STDEV(FILTER(O1200:O5268, AA1200:AA5268 =""Neighbor"")), """")"),0.09739501940286967)</f>
        <v>0.0973950194</v>
      </c>
      <c r="AD1200" s="4">
        <f>IFERROR(__xludf.DUMMYFUNCTION("IFERROR(ABS(P1200-AVERAGE(FILTER(O1200:P5268,AA1200:AA5268=""Neighbor""))) / STDEV(FILTER(P1200:P5268, AA1200:AA5268 =""Neighbor"")), """")"),1.4383913034504927)</f>
        <v>1.438391303</v>
      </c>
      <c r="AE1200" s="2">
        <f>IFERROR(__xludf.DUMMYFUNCTION("IFERROR(ABS(Q1200-AVERAGE(FILTER(Q1200:Q5268,AA1200:AA5268=""Neighbor""))) / STDEV(FILTER(Q1200:Q5268, AA1200:AA5268 =""Neighbor"")), """")"),0.8648295354558978)</f>
        <v>0.8648295355</v>
      </c>
      <c r="AF1200" s="2">
        <f>IFERROR(__xludf.DUMMYFUNCTION("IFERROR(ABS(R1200-AVERAGE(FILTER(R1200:R5268,AA1200:AA5268=""Neighbor""))) / STDEV(FILTER(R1200:R5268, AA1200:AA5268 =""Neighbor"")), """")"),0.3432184665594772)</f>
        <v>0.3432184666</v>
      </c>
    </row>
    <row r="1201">
      <c r="A1201" s="2" t="s">
        <v>28</v>
      </c>
      <c r="B1201" s="2" t="s">
        <v>4358</v>
      </c>
      <c r="C1201" s="2" t="s">
        <v>4858</v>
      </c>
      <c r="D1201" s="2" t="s">
        <v>4911</v>
      </c>
      <c r="E1201" s="2" t="s">
        <v>4912</v>
      </c>
      <c r="F1201" s="2">
        <v>67.0</v>
      </c>
      <c r="G1201" s="2">
        <v>589.0</v>
      </c>
      <c r="H1201" s="2" t="b">
        <v>1</v>
      </c>
      <c r="I1201" s="2">
        <v>-1.0</v>
      </c>
      <c r="J1201" s="2" t="b">
        <v>0</v>
      </c>
      <c r="K1201" s="2" t="b">
        <v>0</v>
      </c>
      <c r="L1201" s="2" t="b">
        <v>0</v>
      </c>
      <c r="M1201" s="2" t="b">
        <v>0</v>
      </c>
      <c r="N1201" s="2" t="s">
        <v>33</v>
      </c>
      <c r="O1201" s="2">
        <v>46.0</v>
      </c>
      <c r="P1201" s="2">
        <v>5.0</v>
      </c>
      <c r="Q1201" s="2">
        <v>12.0</v>
      </c>
      <c r="R1201" s="2">
        <v>0.0</v>
      </c>
      <c r="S1201" s="3" t="s">
        <v>4913</v>
      </c>
      <c r="T1201" s="2" t="s">
        <v>4914</v>
      </c>
      <c r="Y1201" s="4" t="str">
        <f>IFERROR(__xludf.DUMMYFUNCTION("""COMPUTED_VALUE"""),"6.7919866")</f>
        <v>6.7919866</v>
      </c>
      <c r="Z1201" s="4" t="str">
        <f>IFERROR(__xludf.DUMMYFUNCTION("""COMPUTED_VALUE"""),"3.2684215")</f>
        <v>3.2684215</v>
      </c>
      <c r="AA1201" s="4" t="str">
        <f t="shared" si="1"/>
        <v>Neighbor</v>
      </c>
      <c r="AC1201" s="4">
        <f>IFERROR(__xludf.DUMMYFUNCTION("IFERROR(ABS(O1201-AVERAGE(FILTER(O1201:O5269,AA1201:AA5269=""Neighbor""))) / STDEV(FILTER(O1201:O5269, AA1201:AA5269 =""Neighbor"")), """")"),0.4103693641084316)</f>
        <v>0.4103693641</v>
      </c>
      <c r="AD1201" s="4">
        <f>IFERROR(__xludf.DUMMYFUNCTION("IFERROR(ABS(P1201-AVERAGE(FILTER(O1201:P5269,AA1201:AA5269=""Neighbor""))) / STDEV(FILTER(P1201:P5269, AA1201:AA5269 =""Neighbor"")), """")"),1.6287414435160743)</f>
        <v>1.628741444</v>
      </c>
      <c r="AE1201" s="2">
        <f>IFERROR(__xludf.DUMMYFUNCTION("IFERROR(ABS(Q1201-AVERAGE(FILTER(Q1201:Q5269,AA1201:AA5269=""Neighbor""))) / STDEV(FILTER(Q1201:Q5269, AA1201:AA5269 =""Neighbor"")), """")"),0.5389898226698964)</f>
        <v>0.5389898227</v>
      </c>
      <c r="AF1201" s="2">
        <f>IFERROR(__xludf.DUMMYFUNCTION("IFERROR(ABS(R1201-AVERAGE(FILTER(R1201:R5269,AA1201:AA5269=""Neighbor""))) / STDEV(FILTER(R1201:R5269, AA1201:AA5269 =""Neighbor"")), """")"),0.3432184665594772)</f>
        <v>0.3432184666</v>
      </c>
    </row>
    <row r="1202">
      <c r="A1202" s="2" t="s">
        <v>28</v>
      </c>
      <c r="B1202" s="2" t="s">
        <v>4358</v>
      </c>
      <c r="C1202" s="2" t="s">
        <v>4858</v>
      </c>
      <c r="D1202" s="2" t="s">
        <v>4915</v>
      </c>
      <c r="E1202" s="2" t="s">
        <v>4916</v>
      </c>
      <c r="F1202" s="2">
        <v>76.0</v>
      </c>
      <c r="G1202" s="2">
        <v>677.0</v>
      </c>
      <c r="H1202" s="2" t="b">
        <v>1</v>
      </c>
      <c r="I1202" s="2">
        <v>-1.0</v>
      </c>
      <c r="J1202" s="2" t="b">
        <v>0</v>
      </c>
      <c r="K1202" s="2" t="b">
        <v>0</v>
      </c>
      <c r="L1202" s="2" t="b">
        <v>0</v>
      </c>
      <c r="M1202" s="2" t="b">
        <v>0</v>
      </c>
      <c r="N1202" s="2" t="s">
        <v>33</v>
      </c>
      <c r="O1202" s="2">
        <v>55.0</v>
      </c>
      <c r="P1202" s="2">
        <v>1.0</v>
      </c>
      <c r="Q1202" s="2">
        <v>11.0</v>
      </c>
      <c r="R1202" s="2">
        <v>0.0</v>
      </c>
      <c r="S1202" s="3" t="s">
        <v>4917</v>
      </c>
      <c r="T1202" s="2" t="s">
        <v>4918</v>
      </c>
      <c r="Y1202" s="4" t="str">
        <f>IFERROR(__xludf.DUMMYFUNCTION("""COMPUTED_VALUE"""),"6.7919866")</f>
        <v>6.7919866</v>
      </c>
      <c r="Z1202" s="4" t="str">
        <f>IFERROR(__xludf.DUMMYFUNCTION("""COMPUTED_VALUE"""),"3.2684215")</f>
        <v>3.2684215</v>
      </c>
      <c r="AA1202" s="4" t="str">
        <f t="shared" si="1"/>
        <v>Not Neighbor</v>
      </c>
      <c r="AC1202" s="4">
        <f>IFERROR(__xludf.DUMMYFUNCTION("IFERROR(ABS(O1202-AVERAGE(FILTER(O1202:O5270,AA1202:AA5270=""Neighbor""))) / STDEV(FILTER(O1202:O5270, AA1202:AA5270 =""Neighbor"")), """")"),0.19396773042252025)</f>
        <v>0.1939677304</v>
      </c>
      <c r="AD1202" s="4">
        <f>IFERROR(__xludf.DUMMYFUNCTION("IFERROR(ABS(P1202-AVERAGE(FILTER(O1202:P5270,AA1202:AA5270=""Neighbor""))) / STDEV(FILTER(P1202:P5270, AA1202:AA5270 =""Neighbor"")), """")"),1.8190638216385504)</f>
        <v>1.819063822</v>
      </c>
      <c r="AE1202" s="2">
        <f>IFERROR(__xludf.DUMMYFUNCTION("IFERROR(ABS(Q1202-AVERAGE(FILTER(Q1202:Q5270,AA1202:AA5270=""Neighbor""))) / STDEV(FILTER(Q1202:Q5270, AA1202:AA5270 =""Neighbor"")), """")"),0.5799955888060316)</f>
        <v>0.5799955888</v>
      </c>
      <c r="AF1202" s="2">
        <f>IFERROR(__xludf.DUMMYFUNCTION("IFERROR(ABS(R1202-AVERAGE(FILTER(R1202:R5270,AA1202:AA5270=""Neighbor""))) / STDEV(FILTER(R1202:R5270, AA1202:AA5270 =""Neighbor"")), """")"),0.3433771367389551)</f>
        <v>0.3433771367</v>
      </c>
    </row>
    <row r="1203">
      <c r="A1203" s="2" t="s">
        <v>28</v>
      </c>
      <c r="B1203" s="2" t="s">
        <v>4358</v>
      </c>
      <c r="C1203" s="2" t="s">
        <v>4919</v>
      </c>
      <c r="D1203" s="2" t="s">
        <v>4920</v>
      </c>
      <c r="E1203" s="2" t="s">
        <v>4921</v>
      </c>
      <c r="F1203" s="2">
        <v>67.0</v>
      </c>
      <c r="G1203" s="2">
        <v>496.0</v>
      </c>
      <c r="H1203" s="2" t="b">
        <v>1</v>
      </c>
      <c r="I1203" s="2">
        <v>-1.0</v>
      </c>
      <c r="J1203" s="2" t="b">
        <v>0</v>
      </c>
      <c r="K1203" s="2" t="b">
        <v>0</v>
      </c>
      <c r="L1203" s="2" t="b">
        <v>0</v>
      </c>
      <c r="M1203" s="2" t="b">
        <v>0</v>
      </c>
      <c r="N1203" s="2" t="s">
        <v>33</v>
      </c>
      <c r="O1203" s="2">
        <v>31.0</v>
      </c>
      <c r="P1203" s="2">
        <v>0.0</v>
      </c>
      <c r="Q1203" s="2">
        <v>14.0</v>
      </c>
      <c r="R1203" s="2">
        <v>0.0</v>
      </c>
      <c r="S1203" s="3" t="s">
        <v>4922</v>
      </c>
      <c r="T1203" s="2" t="s">
        <v>4923</v>
      </c>
      <c r="Y1203" s="4" t="str">
        <f>IFERROR(__xludf.DUMMYFUNCTION("""COMPUTED_VALUE"""),"56.4809656")</f>
        <v>56.4809656</v>
      </c>
      <c r="Z1203" s="4" t="str">
        <f>IFERROR(__xludf.DUMMYFUNCTION("""COMPUTED_VALUE"""),"21.0132988")</f>
        <v>21.0132988</v>
      </c>
      <c r="AA1203" s="4" t="str">
        <f t="shared" si="1"/>
        <v>Not Neighbor</v>
      </c>
      <c r="AC1203" s="4">
        <f>IFERROR(__xludf.DUMMYFUNCTION("IFERROR(ABS(O1203-AVERAGE(FILTER(O1203:O5271,AA1203:AA5271=""Neighbor""))) / STDEV(FILTER(O1203:O5271, AA1203:AA5271 =""Neighbor"")), """")"),0.7715676113191624)</f>
        <v>0.7715676113</v>
      </c>
      <c r="AD1203" s="4">
        <f>IFERROR(__xludf.DUMMYFUNCTION("IFERROR(ABS(P1203-AVERAGE(FILTER(O1203:P5271,AA1203:AA5271=""Neighbor""))) / STDEV(FILTER(P1203:P5271, AA1203:AA5271 =""Neighbor"")), """")"),1.866636489399356)</f>
        <v>1.866636489</v>
      </c>
      <c r="AE1203" s="2">
        <f>IFERROR(__xludf.DUMMYFUNCTION("IFERROR(ABS(Q1203-AVERAGE(FILTER(Q1203:Q5271,AA1203:AA5271=""Neighbor""))) / STDEV(FILTER(Q1203:Q5271, AA1203:AA5271 =""Neighbor"")), """")"),0.45784158091197347)</f>
        <v>0.4578415809</v>
      </c>
      <c r="AF1203" s="2">
        <f>IFERROR(__xludf.DUMMYFUNCTION("IFERROR(ABS(R1203-AVERAGE(FILTER(R1203:R5271,AA1203:AA5271=""Neighbor""))) / STDEV(FILTER(R1203:R5271, AA1203:AA5271 =""Neighbor"")), """")"),0.3433771367389551)</f>
        <v>0.3433771367</v>
      </c>
    </row>
    <row r="1204">
      <c r="A1204" s="2" t="s">
        <v>28</v>
      </c>
      <c r="B1204" s="2" t="s">
        <v>4358</v>
      </c>
      <c r="C1204" s="2" t="s">
        <v>4919</v>
      </c>
      <c r="D1204" s="2" t="s">
        <v>4924</v>
      </c>
      <c r="E1204" s="2" t="s">
        <v>4925</v>
      </c>
      <c r="F1204" s="2">
        <v>58.0</v>
      </c>
      <c r="G1204" s="2">
        <v>429.0</v>
      </c>
      <c r="H1204" s="2" t="b">
        <v>1</v>
      </c>
      <c r="I1204" s="2">
        <v>-1.0</v>
      </c>
      <c r="J1204" s="2" t="b">
        <v>0</v>
      </c>
      <c r="K1204" s="2" t="b">
        <v>1</v>
      </c>
      <c r="L1204" s="2" t="b">
        <v>0</v>
      </c>
      <c r="M1204" s="2" t="b">
        <v>0</v>
      </c>
      <c r="N1204" s="2" t="s">
        <v>33</v>
      </c>
      <c r="O1204" s="2">
        <v>24.0</v>
      </c>
      <c r="P1204" s="2">
        <v>1.0</v>
      </c>
      <c r="Q1204" s="2">
        <v>23.0</v>
      </c>
      <c r="R1204" s="2">
        <v>0.0</v>
      </c>
      <c r="S1204" s="3" t="s">
        <v>4926</v>
      </c>
      <c r="T1204" s="2" t="s">
        <v>4927</v>
      </c>
      <c r="Y1204" s="4" t="str">
        <f>IFERROR(__xludf.DUMMYFUNCTION("""COMPUTED_VALUE"""),"6.8028866")</f>
        <v>6.8028866</v>
      </c>
      <c r="Z1204" s="4" t="str">
        <f>IFERROR(__xludf.DUMMYFUNCTION("""COMPUTED_VALUE"""),"3.238251")</f>
        <v>3.238251</v>
      </c>
      <c r="AA1204" s="4" t="str">
        <f t="shared" si="1"/>
        <v>Neighbor</v>
      </c>
      <c r="AC1204" s="4">
        <f>IFERROR(__xludf.DUMMYFUNCTION("IFERROR(ABS(O1204-AVERAGE(FILTER(O1204:O5272,AA1204:AA5272=""Neighbor""))) / STDEV(FILTER(O1204:O5272, AA1204:AA5272 =""Neighbor"")), """")"),0.9400342432473497)</f>
        <v>0.9400342432</v>
      </c>
      <c r="AD1204" s="4">
        <f>IFERROR(__xludf.DUMMYFUNCTION("IFERROR(ABS(P1204-AVERAGE(FILTER(O1204:P5272,AA1204:AA5272=""Neighbor""))) / STDEV(FILTER(P1204:P5272, AA1204:AA5272 =""Neighbor"")), """")"),1.8190638216385504)</f>
        <v>1.819063822</v>
      </c>
      <c r="AE1204" s="2">
        <f>IFERROR(__xludf.DUMMYFUNCTION("IFERROR(ABS(Q1204-AVERAGE(FILTER(Q1204:Q5272,AA1204:AA5272=""Neighbor""))) / STDEV(FILTER(Q1204:Q5272, AA1204:AA5272 =""Neighbor"")), """")"),0.09137955722979903)</f>
        <v>0.09137955723</v>
      </c>
      <c r="AF1204" s="2">
        <f>IFERROR(__xludf.DUMMYFUNCTION("IFERROR(ABS(R1204-AVERAGE(FILTER(R1204:R5272,AA1204:AA5272=""Neighbor""))) / STDEV(FILTER(R1204:R5272, AA1204:AA5272 =""Neighbor"")), """")"),0.3433771367389551)</f>
        <v>0.3433771367</v>
      </c>
    </row>
    <row r="1205">
      <c r="A1205" s="2" t="s">
        <v>28</v>
      </c>
      <c r="B1205" s="2" t="s">
        <v>4358</v>
      </c>
      <c r="C1205" s="2" t="s">
        <v>4919</v>
      </c>
      <c r="D1205" s="2" t="s">
        <v>4928</v>
      </c>
      <c r="E1205" s="2" t="s">
        <v>4929</v>
      </c>
      <c r="F1205" s="2">
        <v>94.0</v>
      </c>
      <c r="G1205" s="2">
        <v>519.0</v>
      </c>
      <c r="H1205" s="2" t="b">
        <v>1</v>
      </c>
      <c r="I1205" s="2">
        <v>-1.0</v>
      </c>
      <c r="J1205" s="2" t="b">
        <v>1</v>
      </c>
      <c r="K1205" s="2" t="b">
        <v>0</v>
      </c>
      <c r="L1205" s="2" t="b">
        <v>0</v>
      </c>
      <c r="M1205" s="2" t="b">
        <v>0</v>
      </c>
      <c r="N1205" s="2" t="s">
        <v>33</v>
      </c>
      <c r="O1205" s="2">
        <v>0.0</v>
      </c>
      <c r="P1205" s="2">
        <v>0.0</v>
      </c>
      <c r="Q1205" s="2">
        <v>0.0</v>
      </c>
      <c r="R1205" s="2">
        <v>0.0</v>
      </c>
      <c r="S1205" s="3" t="s">
        <v>4930</v>
      </c>
      <c r="T1205" s="2" t="s">
        <v>4931</v>
      </c>
      <c r="Y1205" s="4" t="str">
        <f>IFERROR(__xludf.DUMMYFUNCTION("""COMPUTED_VALUE"""),"6.8028866")</f>
        <v>6.8028866</v>
      </c>
      <c r="Z1205" s="4" t="str">
        <f>IFERROR(__xludf.DUMMYFUNCTION("""COMPUTED_VALUE"""),"3.238251")</f>
        <v>3.238251</v>
      </c>
      <c r="AA1205" s="4" t="str">
        <f t="shared" si="1"/>
        <v>Not Neighbor</v>
      </c>
      <c r="AC1205" s="4">
        <f>IFERROR(__xludf.DUMMYFUNCTION("IFERROR(ABS(O1205-AVERAGE(FILTER(O1205:O5273,AA1205:AA5273=""Neighbor""))) / STDEV(FILTER(O1205:O5273, AA1205:AA5273 =""Neighbor"")), """")"),1.5183401729039436)</f>
        <v>1.518340173</v>
      </c>
      <c r="AD1205" s="4">
        <f>IFERROR(__xludf.DUMMYFUNCTION("IFERROR(ABS(P1205-AVERAGE(FILTER(O1205:P5273,AA1205:AA5273=""Neighbor""))) / STDEV(FILTER(P1205:P5273, AA1205:AA5273 =""Neighbor"")), """")"),1.8672805991208006)</f>
        <v>1.867280599</v>
      </c>
      <c r="AE1205" s="2">
        <f>IFERROR(__xludf.DUMMYFUNCTION("IFERROR(ABS(Q1205-AVERAGE(FILTER(Q1205:Q5273,AA1205:AA5273=""Neighbor""))) / STDEV(FILTER(Q1205:Q5273, AA1205:AA5273 =""Neighbor"")), """")"),1.0275469583277748)</f>
        <v>1.027546958</v>
      </c>
      <c r="AF1205" s="2">
        <f>IFERROR(__xludf.DUMMYFUNCTION("IFERROR(ABS(R1205-AVERAGE(FILTER(R1205:R5273,AA1205:AA5273=""Neighbor""))) / STDEV(FILTER(R1205:R5273, AA1205:AA5273 =""Neighbor"")), """")"),0.34353602720503595)</f>
        <v>0.3435360272</v>
      </c>
    </row>
    <row r="1206">
      <c r="A1206" s="2" t="s">
        <v>28</v>
      </c>
      <c r="B1206" s="2" t="s">
        <v>4358</v>
      </c>
      <c r="C1206" s="2" t="s">
        <v>4919</v>
      </c>
      <c r="D1206" s="2" t="s">
        <v>4932</v>
      </c>
      <c r="E1206" s="2" t="s">
        <v>772</v>
      </c>
      <c r="F1206" s="2">
        <v>52.0</v>
      </c>
      <c r="G1206" s="2">
        <v>501.0</v>
      </c>
      <c r="H1206" s="2" t="b">
        <v>1</v>
      </c>
      <c r="I1206" s="2">
        <v>-1.0</v>
      </c>
      <c r="J1206" s="2" t="b">
        <v>0</v>
      </c>
      <c r="K1206" s="2" t="b">
        <v>0</v>
      </c>
      <c r="L1206" s="2" t="b">
        <v>0</v>
      </c>
      <c r="M1206" s="2" t="b">
        <v>0</v>
      </c>
      <c r="N1206" s="2" t="s">
        <v>33</v>
      </c>
      <c r="O1206" s="2">
        <v>29.0</v>
      </c>
      <c r="P1206" s="2">
        <v>0.0</v>
      </c>
      <c r="Q1206" s="2">
        <v>20.0</v>
      </c>
      <c r="R1206" s="2">
        <v>0.0</v>
      </c>
      <c r="S1206" s="3" t="s">
        <v>4933</v>
      </c>
      <c r="T1206" s="2" t="s">
        <v>4934</v>
      </c>
      <c r="Y1206" s="4" t="str">
        <f>IFERROR(__xludf.DUMMYFUNCTION("""COMPUTED_VALUE"""),"6.8343791")</f>
        <v>6.8343791</v>
      </c>
      <c r="Z1206" s="4" t="str">
        <f>IFERROR(__xludf.DUMMYFUNCTION("""COMPUTED_VALUE"""),"3.3288183")</f>
        <v>3.3288183</v>
      </c>
      <c r="AA1206" s="4" t="str">
        <f t="shared" si="1"/>
        <v>Not Neighbor</v>
      </c>
      <c r="AC1206" s="4">
        <f>IFERROR(__xludf.DUMMYFUNCTION("IFERROR(ABS(O1206-AVERAGE(FILTER(O1206:O5274,AA1206:AA5274=""Neighbor""))) / STDEV(FILTER(O1206:O5274, AA1206:AA5274 =""Neighbor"")), """")"),0.820440431962711)</f>
        <v>0.820440432</v>
      </c>
      <c r="AD1206" s="4">
        <f>IFERROR(__xludf.DUMMYFUNCTION("IFERROR(ABS(P1206-AVERAGE(FILTER(O1206:P5274,AA1206:AA5274=""Neighbor""))) / STDEV(FILTER(P1206:P5274, AA1206:AA5274 =""Neighbor"")), """")"),1.8672805991208006)</f>
        <v>1.867280599</v>
      </c>
      <c r="AE1206" s="2">
        <f>IFERROR(__xludf.DUMMYFUNCTION("IFERROR(ABS(Q1206-AVERAGE(FILTER(Q1206:Q5274,AA1206:AA5274=""Neighbor""))) / STDEV(FILTER(Q1206:Q5274, AA1206:AA5274 =""Neighbor"")), """")"),0.21352150630518077)</f>
        <v>0.2135215063</v>
      </c>
      <c r="AF1206" s="2">
        <f>IFERROR(__xludf.DUMMYFUNCTION("IFERROR(ABS(R1206-AVERAGE(FILTER(R1206:R5274,AA1206:AA5274=""Neighbor""))) / STDEV(FILTER(R1206:R5274, AA1206:AA5274 =""Neighbor"")), """")"),0.34353602720503595)</f>
        <v>0.3435360272</v>
      </c>
    </row>
    <row r="1207">
      <c r="A1207" s="2" t="s">
        <v>28</v>
      </c>
      <c r="B1207" s="2" t="s">
        <v>4358</v>
      </c>
      <c r="C1207" s="2" t="s">
        <v>4935</v>
      </c>
      <c r="D1207" s="2" t="s">
        <v>4936</v>
      </c>
      <c r="E1207" s="2" t="s">
        <v>4937</v>
      </c>
      <c r="F1207" s="2">
        <v>41.0</v>
      </c>
      <c r="G1207" s="2">
        <v>520.0</v>
      </c>
      <c r="H1207" s="2" t="b">
        <v>1</v>
      </c>
      <c r="I1207" s="2">
        <v>-1.0</v>
      </c>
      <c r="J1207" s="2" t="b">
        <v>0</v>
      </c>
      <c r="K1207" s="2" t="b">
        <v>1</v>
      </c>
      <c r="L1207" s="2" t="b">
        <v>0</v>
      </c>
      <c r="M1207" s="2" t="b">
        <v>0</v>
      </c>
      <c r="N1207" s="2" t="s">
        <v>33</v>
      </c>
      <c r="O1207" s="2">
        <v>0.0</v>
      </c>
      <c r="P1207" s="2">
        <v>0.0</v>
      </c>
      <c r="Q1207" s="2">
        <v>0.0</v>
      </c>
      <c r="R1207" s="2">
        <v>0.0</v>
      </c>
      <c r="S1207" s="3" t="s">
        <v>4938</v>
      </c>
      <c r="T1207" s="2" t="s">
        <v>4939</v>
      </c>
      <c r="Y1207" s="4" t="str">
        <f>IFERROR(__xludf.DUMMYFUNCTION("""COMPUTED_VALUE"""),"6.830923")</f>
        <v>6.830923</v>
      </c>
      <c r="Z1207" s="4" t="str">
        <f>IFERROR(__xludf.DUMMYFUNCTION("""COMPUTED_VALUE"""),"3.1933491")</f>
        <v>3.1933491</v>
      </c>
      <c r="AA1207" s="4" t="str">
        <f t="shared" si="1"/>
        <v>Neighbor</v>
      </c>
      <c r="AC1207" s="4">
        <f>IFERROR(__xludf.DUMMYFUNCTION("IFERROR(ABS(O1207-AVERAGE(FILTER(O1207:O5275,AA1207:AA5275=""Neighbor""))) / STDEV(FILTER(O1207:O5275, AA1207:AA5275 =""Neighbor"")), """")"),1.5183401729039436)</f>
        <v>1.518340173</v>
      </c>
      <c r="AD1207" s="4">
        <f>IFERROR(__xludf.DUMMYFUNCTION("IFERROR(ABS(P1207-AVERAGE(FILTER(O1207:P5275,AA1207:AA5275=""Neighbor""))) / STDEV(FILTER(P1207:P5275, AA1207:AA5275 =""Neighbor"")), """")"),1.8672805991208006)</f>
        <v>1.867280599</v>
      </c>
      <c r="AE1207" s="2">
        <f>IFERROR(__xludf.DUMMYFUNCTION("IFERROR(ABS(Q1207-AVERAGE(FILTER(Q1207:Q5275,AA1207:AA5275=""Neighbor""))) / STDEV(FILTER(Q1207:Q5275, AA1207:AA5275 =""Neighbor"")), """")"),1.0275469583277748)</f>
        <v>1.027546958</v>
      </c>
      <c r="AF1207" s="2">
        <f>IFERROR(__xludf.DUMMYFUNCTION("IFERROR(ABS(R1207-AVERAGE(FILTER(R1207:R5275,AA1207:AA5275=""Neighbor""))) / STDEV(FILTER(R1207:R5275, AA1207:AA5275 =""Neighbor"")), """")"),0.34353602720503595)</f>
        <v>0.3435360272</v>
      </c>
    </row>
    <row r="1208">
      <c r="A1208" s="2" t="s">
        <v>28</v>
      </c>
      <c r="B1208" s="2" t="s">
        <v>4358</v>
      </c>
      <c r="C1208" s="2" t="s">
        <v>4935</v>
      </c>
      <c r="D1208" s="2" t="s">
        <v>4940</v>
      </c>
      <c r="E1208" s="2" t="s">
        <v>4941</v>
      </c>
      <c r="F1208" s="2">
        <v>27.0</v>
      </c>
      <c r="G1208" s="2">
        <v>390.0</v>
      </c>
      <c r="H1208" s="2" t="b">
        <v>1</v>
      </c>
      <c r="I1208" s="2">
        <v>-1.0</v>
      </c>
      <c r="J1208" s="2" t="b">
        <v>0</v>
      </c>
      <c r="K1208" s="2" t="b">
        <v>0</v>
      </c>
      <c r="L1208" s="2" t="b">
        <v>0</v>
      </c>
      <c r="M1208" s="2" t="b">
        <v>0</v>
      </c>
      <c r="N1208" s="2" t="s">
        <v>33</v>
      </c>
      <c r="O1208" s="2">
        <v>13.0</v>
      </c>
      <c r="P1208" s="2">
        <v>0.0</v>
      </c>
      <c r="Q1208" s="2">
        <v>2.0</v>
      </c>
      <c r="R1208" s="2">
        <v>1.0</v>
      </c>
      <c r="S1208" s="3" t="s">
        <v>4942</v>
      </c>
      <c r="T1208" s="2" t="s">
        <v>4943</v>
      </c>
      <c r="Y1208" s="4" t="str">
        <f>IFERROR(__xludf.DUMMYFUNCTION("""COMPUTED_VALUE"""),"6.830923")</f>
        <v>6.830923</v>
      </c>
      <c r="Z1208" s="4" t="str">
        <f>IFERROR(__xludf.DUMMYFUNCTION("""COMPUTED_VALUE"""),"3.1933491")</f>
        <v>3.1933491</v>
      </c>
      <c r="AA1208" s="4" t="str">
        <f t="shared" si="1"/>
        <v>Neighbor</v>
      </c>
      <c r="AC1208" s="4">
        <f>IFERROR(__xludf.DUMMYFUNCTION("IFERROR(ABS(O1208-AVERAGE(FILTER(O1208:O5276,AA1208:AA5276=""Neighbor""))) / STDEV(FILTER(O1208:O5276, AA1208:AA5276 =""Neighbor"")), """")"),1.207402668675949)</f>
        <v>1.207402669</v>
      </c>
      <c r="AD1208" s="4">
        <f>IFERROR(__xludf.DUMMYFUNCTION("IFERROR(ABS(P1208-AVERAGE(FILTER(O1208:P5276,AA1208:AA5276=""Neighbor""))) / STDEV(FILTER(P1208:P5276, AA1208:AA5276 =""Neighbor"")), """")"),1.868471437237892)</f>
        <v>1.868471437</v>
      </c>
      <c r="AE1208" s="2">
        <f>IFERROR(__xludf.DUMMYFUNCTION("IFERROR(ABS(Q1208-AVERAGE(FILTER(Q1208:Q5276,AA1208:AA5276=""Neighbor""))) / STDEV(FILTER(Q1208:Q5276, AA1208:AA5276 =""Neighbor"")), """")"),0.9470187339586122)</f>
        <v>0.947018734</v>
      </c>
      <c r="AF1208" s="2">
        <f>IFERROR(__xludf.DUMMYFUNCTION("IFERROR(ABS(R1208-AVERAGE(FILTER(R1208:R5276,AA1208:AA5276=""Neighbor""))) / STDEV(FILTER(R1208:R5276, AA1208:AA5276 =""Neighbor"")), """")"),0.8826253851780665)</f>
        <v>0.8826253852</v>
      </c>
    </row>
    <row r="1209">
      <c r="A1209" s="2" t="s">
        <v>28</v>
      </c>
      <c r="B1209" s="2" t="s">
        <v>4358</v>
      </c>
      <c r="C1209" s="2" t="s">
        <v>4935</v>
      </c>
      <c r="D1209" s="2" t="s">
        <v>4944</v>
      </c>
      <c r="E1209" s="2" t="s">
        <v>4945</v>
      </c>
      <c r="F1209" s="2">
        <v>191.0</v>
      </c>
      <c r="G1209" s="2">
        <v>996.0</v>
      </c>
      <c r="H1209" s="2" t="b">
        <v>1</v>
      </c>
      <c r="I1209" s="2">
        <v>-1.0</v>
      </c>
      <c r="J1209" s="2" t="b">
        <v>0</v>
      </c>
      <c r="K1209" s="2" t="b">
        <v>0</v>
      </c>
      <c r="L1209" s="2" t="b">
        <v>0</v>
      </c>
      <c r="M1209" s="2" t="b">
        <v>0</v>
      </c>
      <c r="N1209" s="2" t="s">
        <v>33</v>
      </c>
      <c r="O1209" s="2">
        <v>49.0</v>
      </c>
      <c r="P1209" s="2">
        <v>8.0</v>
      </c>
      <c r="Q1209" s="2">
        <v>3.0</v>
      </c>
      <c r="R1209" s="2">
        <v>0.0</v>
      </c>
      <c r="S1209" s="3" t="s">
        <v>4946</v>
      </c>
      <c r="T1209" s="2" t="s">
        <v>4947</v>
      </c>
      <c r="Y1209" s="4" t="str">
        <f>IFERROR(__xludf.DUMMYFUNCTION("""COMPUTED_VALUE"""),"6.830923")</f>
        <v>6.830923</v>
      </c>
      <c r="Z1209" s="4" t="str">
        <f>IFERROR(__xludf.DUMMYFUNCTION("""COMPUTED_VALUE"""),"3.1933491")</f>
        <v>3.1933491</v>
      </c>
      <c r="AA1209" s="4" t="str">
        <f t="shared" si="1"/>
        <v>Neighbor</v>
      </c>
      <c r="AC1209" s="4">
        <f>IFERROR(__xludf.DUMMYFUNCTION("IFERROR(ABS(O1209-AVERAGE(FILTER(O1209:O5277,AA1209:AA5277=""Neighbor""))) / STDEV(FILTER(O1209:O5277, AA1209:AA5277 =""Neighbor"")), """")"),0.34164117008476036)</f>
        <v>0.3416411701</v>
      </c>
      <c r="AD1209" s="4">
        <f>IFERROR(__xludf.DUMMYFUNCTION("IFERROR(ABS(P1209-AVERAGE(FILTER(O1209:P5277,AA1209:AA5277=""Neighbor""))) / STDEV(FILTER(P1209:P5277, AA1209:AA5277 =""Neighbor"")), """")"),1.489055751906204)</f>
        <v>1.489055752</v>
      </c>
      <c r="AE1209" s="2">
        <f>IFERROR(__xludf.DUMMYFUNCTION("IFERROR(ABS(Q1209-AVERAGE(FILTER(Q1209:Q5277,AA1209:AA5277=""Neighbor""))) / STDEV(FILTER(Q1209:Q5277, AA1209:AA5277 =""Neighbor"")), """")"),0.9070638347008958)</f>
        <v>0.9070638347</v>
      </c>
      <c r="AF1209" s="2">
        <f>IFERROR(__xludf.DUMMYFUNCTION("IFERROR(ABS(R1209-AVERAGE(FILTER(R1209:R5277,AA1209:AA5277=""Neighbor""))) / STDEV(FILTER(R1209:R5277, AA1209:AA5277 =""Neighbor"")), """")"),0.3429312933545857)</f>
        <v>0.3429312934</v>
      </c>
    </row>
    <row r="1210">
      <c r="A1210" s="2" t="s">
        <v>28</v>
      </c>
      <c r="B1210" s="2" t="s">
        <v>4358</v>
      </c>
      <c r="C1210" s="2" t="s">
        <v>4935</v>
      </c>
      <c r="D1210" s="2" t="s">
        <v>4948</v>
      </c>
      <c r="E1210" s="2" t="s">
        <v>4949</v>
      </c>
      <c r="F1210" s="2">
        <v>224.0</v>
      </c>
      <c r="G1210" s="2">
        <v>1044.0</v>
      </c>
      <c r="H1210" s="2" t="b">
        <v>1</v>
      </c>
      <c r="I1210" s="2">
        <v>-1.0</v>
      </c>
      <c r="J1210" s="2" t="b">
        <v>1</v>
      </c>
      <c r="K1210" s="2" t="b">
        <v>1</v>
      </c>
      <c r="L1210" s="2" t="b">
        <v>0</v>
      </c>
      <c r="M1210" s="2" t="b">
        <v>0</v>
      </c>
      <c r="N1210" s="2" t="s">
        <v>33</v>
      </c>
      <c r="O1210" s="2">
        <v>0.0</v>
      </c>
      <c r="P1210" s="2">
        <v>0.0</v>
      </c>
      <c r="Q1210" s="2">
        <v>0.0</v>
      </c>
      <c r="R1210" s="2">
        <v>0.0</v>
      </c>
      <c r="S1210" s="3" t="s">
        <v>4950</v>
      </c>
      <c r="T1210" s="2" t="s">
        <v>4951</v>
      </c>
      <c r="Y1210" s="4" t="str">
        <f>IFERROR(__xludf.DUMMYFUNCTION("""COMPUTED_VALUE"""),"6.830923")</f>
        <v>6.830923</v>
      </c>
      <c r="Z1210" s="4" t="str">
        <f>IFERROR(__xludf.DUMMYFUNCTION("""COMPUTED_VALUE"""),"3.1933491")</f>
        <v>3.1933491</v>
      </c>
      <c r="AA1210" s="4" t="str">
        <f t="shared" si="1"/>
        <v>Not Neighbor</v>
      </c>
      <c r="AC1210" s="4">
        <f>IFERROR(__xludf.DUMMYFUNCTION("IFERROR(ABS(O1210-AVERAGE(FILTER(O1210:O5278,AA1210:AA5278=""Neighbor""))) / STDEV(FILTER(O1210:O5278, AA1210:AA5278 =""Neighbor"")), """")"),1.5214415922920626)</f>
        <v>1.521441592</v>
      </c>
      <c r="AD1210" s="4">
        <f>IFERROR(__xludf.DUMMYFUNCTION("IFERROR(ABS(P1210-AVERAGE(FILTER(O1210:P5278,AA1210:AA5278=""Neighbor""))) / STDEV(FILTER(P1210:P5278, AA1210:AA5278 =""Neighbor"")), """")"),1.8691562197267706)</f>
        <v>1.86915622</v>
      </c>
      <c r="AE1210" s="2">
        <f>IFERROR(__xludf.DUMMYFUNCTION("IFERROR(ABS(Q1210-AVERAGE(FILTER(Q1210:Q5278,AA1210:AA5278=""Neighbor""))) / STDEV(FILTER(Q1210:Q5278, AA1210:AA5278 =""Neighbor"")), """")"),1.0298431423029135)</f>
        <v>1.029843142</v>
      </c>
      <c r="AF1210" s="2">
        <f>IFERROR(__xludf.DUMMYFUNCTION("IFERROR(ABS(R1210-AVERAGE(FILTER(R1210:R5278,AA1210:AA5278=""Neighbor""))) / STDEV(FILTER(R1210:R5278, AA1210:AA5278 =""Neighbor"")), """")"),0.3430903289587578)</f>
        <v>0.343090329</v>
      </c>
    </row>
    <row r="1211">
      <c r="A1211" s="2" t="s">
        <v>28</v>
      </c>
      <c r="B1211" s="2" t="s">
        <v>4358</v>
      </c>
      <c r="C1211" s="2" t="s">
        <v>4935</v>
      </c>
      <c r="D1211" s="2" t="s">
        <v>4952</v>
      </c>
      <c r="E1211" s="2" t="s">
        <v>4953</v>
      </c>
      <c r="F1211" s="2">
        <v>145.0</v>
      </c>
      <c r="G1211" s="2">
        <v>3048.0</v>
      </c>
      <c r="H1211" s="2" t="b">
        <v>1</v>
      </c>
      <c r="I1211" s="2">
        <v>-1.0</v>
      </c>
      <c r="J1211" s="2" t="b">
        <v>0</v>
      </c>
      <c r="K1211" s="2" t="b">
        <v>0</v>
      </c>
      <c r="L1211" s="2" t="b">
        <v>0</v>
      </c>
      <c r="M1211" s="2" t="b">
        <v>0</v>
      </c>
      <c r="N1211" s="2" t="s">
        <v>33</v>
      </c>
      <c r="O1211" s="2">
        <v>62.0</v>
      </c>
      <c r="P1211" s="2">
        <v>20.0</v>
      </c>
      <c r="Q1211" s="2">
        <v>12.0</v>
      </c>
      <c r="R1211" s="2">
        <v>0.0</v>
      </c>
      <c r="S1211" s="3" t="s">
        <v>4954</v>
      </c>
      <c r="T1211" s="2" t="s">
        <v>4955</v>
      </c>
      <c r="Y1211" s="4" t="str">
        <f>IFERROR(__xludf.DUMMYFUNCTION("""COMPUTED_VALUE"""),"6.8028866")</f>
        <v>6.8028866</v>
      </c>
      <c r="Z1211" s="4" t="str">
        <f>IFERROR(__xludf.DUMMYFUNCTION("""COMPUTED_VALUE"""),"3.238251")</f>
        <v>3.238251</v>
      </c>
      <c r="AA1211" s="4" t="str">
        <f t="shared" si="1"/>
        <v>Not Neighbor</v>
      </c>
      <c r="AC1211" s="4">
        <f>IFERROR(__xludf.DUMMYFUNCTION("IFERROR(ABS(O1211-AVERAGE(FILTER(O1211:O5279,AA1211:AA5279=""Neighbor""))) / STDEV(FILTER(O1211:O5279, AA1211:AA5279 =""Neighbor"")), """")"),0.028833207728809963)</f>
        <v>0.02883320773</v>
      </c>
      <c r="AD1211" s="4">
        <f>IFERROR(__xludf.DUMMYFUNCTION("IFERROR(ABS(P1211-AVERAGE(FILTER(O1211:P5279,AA1211:AA5279=""Neighbor""))) / STDEV(FILTER(P1211:P5279, AA1211:AA5279 =""Neighbor"")), """")"),0.9186207188235124)</f>
        <v>0.9186207188</v>
      </c>
      <c r="AE1211" s="2">
        <f>IFERROR(__xludf.DUMMYFUNCTION("IFERROR(ABS(Q1211-AVERAGE(FILTER(Q1211:Q5279,AA1211:AA5279=""Neighbor""))) / STDEV(FILTER(Q1211:Q5279, AA1211:AA5279 =""Neighbor"")), """")"),0.5414729804887377)</f>
        <v>0.5414729805</v>
      </c>
      <c r="AF1211" s="2">
        <f>IFERROR(__xludf.DUMMYFUNCTION("IFERROR(ABS(R1211-AVERAGE(FILTER(R1211:R5279,AA1211:AA5279=""Neighbor""))) / STDEV(FILTER(R1211:R5279, AA1211:AA5279 =""Neighbor"")), """")"),0.3430903289587578)</f>
        <v>0.343090329</v>
      </c>
    </row>
    <row r="1212">
      <c r="A1212" s="2" t="s">
        <v>28</v>
      </c>
      <c r="B1212" s="2" t="s">
        <v>4358</v>
      </c>
      <c r="C1212" s="2" t="s">
        <v>4935</v>
      </c>
      <c r="D1212" s="2" t="s">
        <v>4956</v>
      </c>
      <c r="E1212" s="2" t="s">
        <v>4957</v>
      </c>
      <c r="F1212" s="2">
        <v>91.0</v>
      </c>
      <c r="G1212" s="2">
        <v>1383.0</v>
      </c>
      <c r="H1212" s="2" t="b">
        <v>1</v>
      </c>
      <c r="I1212" s="2">
        <v>-1.0</v>
      </c>
      <c r="J1212" s="2" t="b">
        <v>0</v>
      </c>
      <c r="K1212" s="2" t="b">
        <v>0</v>
      </c>
      <c r="L1212" s="2" t="b">
        <v>0</v>
      </c>
      <c r="M1212" s="2" t="b">
        <v>0</v>
      </c>
      <c r="N1212" s="2" t="s">
        <v>33</v>
      </c>
      <c r="O1212" s="2">
        <v>80.0</v>
      </c>
      <c r="P1212" s="2">
        <v>16.0</v>
      </c>
      <c r="Q1212" s="2">
        <v>39.0</v>
      </c>
      <c r="R1212" s="2">
        <v>0.0</v>
      </c>
      <c r="S1212" s="3" t="s">
        <v>4958</v>
      </c>
      <c r="T1212" s="2" t="s">
        <v>4959</v>
      </c>
      <c r="Y1212" s="4" t="str">
        <f>IFERROR(__xludf.DUMMYFUNCTION("""COMPUTED_VALUE"""),"6.830923")</f>
        <v>6.830923</v>
      </c>
      <c r="Z1212" s="4" t="str">
        <f>IFERROR(__xludf.DUMMYFUNCTION("""COMPUTED_VALUE"""),"3.1933491")</f>
        <v>3.1933491</v>
      </c>
      <c r="AA1212" s="4" t="str">
        <f t="shared" si="1"/>
        <v>Not Neighbor</v>
      </c>
      <c r="AC1212" s="4">
        <f>IFERROR(__xludf.DUMMYFUNCTION("IFERROR(ABS(O1212-AVERAGE(FILTER(O1212:O5280,AA1212:AA5280=""Neighbor""))) / STDEV(FILTER(O1212:O5280, AA1212:AA5280 =""Neighbor"")), """")"),0.40450471037019886)</f>
        <v>0.4045047104</v>
      </c>
      <c r="AD1212" s="4">
        <f>IFERROR(__xludf.DUMMYFUNCTION("IFERROR(ABS(P1212-AVERAGE(FILTER(O1212:P5280,AA1212:AA5280=""Neighbor""))) / STDEV(FILTER(P1212:P5280, AA1212:AA5280 =""Neighbor"")), """")"),1.108727819004164)</f>
        <v>1.108727819</v>
      </c>
      <c r="AE1212" s="2">
        <f>IFERROR(__xludf.DUMMYFUNCTION("IFERROR(ABS(Q1212-AVERAGE(FILTER(Q1212:Q5280,AA1212:AA5280=""Neighbor""))) / STDEV(FILTER(Q1212:Q5280, AA1212:AA5280 =""Neighbor"")), """")"),0.5573598835931577)</f>
        <v>0.5573598836</v>
      </c>
      <c r="AF1212" s="2">
        <f>IFERROR(__xludf.DUMMYFUNCTION("IFERROR(ABS(R1212-AVERAGE(FILTER(R1212:R5280,AA1212:AA5280=""Neighbor""))) / STDEV(FILTER(R1212:R5280, AA1212:AA5280 =""Neighbor"")), """")"),0.3430903289587578)</f>
        <v>0.343090329</v>
      </c>
    </row>
    <row r="1213">
      <c r="A1213" s="2" t="s">
        <v>28</v>
      </c>
      <c r="B1213" s="2" t="s">
        <v>4358</v>
      </c>
      <c r="C1213" s="2" t="s">
        <v>4960</v>
      </c>
      <c r="D1213" s="2" t="s">
        <v>4961</v>
      </c>
      <c r="E1213" s="2" t="s">
        <v>4962</v>
      </c>
      <c r="F1213" s="2">
        <v>151.0</v>
      </c>
      <c r="G1213" s="2">
        <v>813.0</v>
      </c>
      <c r="H1213" s="2" t="b">
        <v>1</v>
      </c>
      <c r="I1213" s="2">
        <v>-1.0</v>
      </c>
      <c r="J1213" s="2" t="b">
        <v>0</v>
      </c>
      <c r="K1213" s="2" t="b">
        <v>1</v>
      </c>
      <c r="L1213" s="2" t="b">
        <v>0</v>
      </c>
      <c r="M1213" s="2" t="b">
        <v>0</v>
      </c>
      <c r="N1213" s="2" t="s">
        <v>33</v>
      </c>
      <c r="O1213" s="2">
        <v>83.0</v>
      </c>
      <c r="P1213" s="2">
        <v>28.0</v>
      </c>
      <c r="Q1213" s="2">
        <v>20.0</v>
      </c>
      <c r="R1213" s="2">
        <v>0.0</v>
      </c>
      <c r="S1213" s="3" t="s">
        <v>4963</v>
      </c>
      <c r="T1213" s="2" t="s">
        <v>4964</v>
      </c>
      <c r="Y1213" s="4" t="str">
        <f>IFERROR(__xludf.DUMMYFUNCTION("""COMPUTED_VALUE"""),"6.807624")</f>
        <v>6.807624</v>
      </c>
      <c r="Z1213" s="4" t="str">
        <f>IFERROR(__xludf.DUMMYFUNCTION("""COMPUTED_VALUE"""),"3.1604667")</f>
        <v>3.1604667</v>
      </c>
      <c r="AA1213" s="4" t="str">
        <f t="shared" si="1"/>
        <v>Not Neighbor</v>
      </c>
      <c r="AC1213" s="4">
        <f>IFERROR(__xludf.DUMMYFUNCTION("IFERROR(ABS(O1213-AVERAGE(FILTER(O1213:O5281,AA1213:AA5281=""Neighbor""))) / STDEV(FILTER(O1213:O5281, AA1213:AA5281 =""Neighbor"")), """")"),0.4767276967200337)</f>
        <v>0.4767276967</v>
      </c>
      <c r="AD1213" s="4">
        <f>IFERROR(__xludf.DUMMYFUNCTION("IFERROR(ABS(P1213-AVERAGE(FILTER(O1213:P5281,AA1213:AA5281=""Neighbor""))) / STDEV(FILTER(P1213:P5281, AA1213:AA5281 =""Neighbor"")), """")"),0.5384065184622091)</f>
        <v>0.5384065185</v>
      </c>
      <c r="AE1213" s="2">
        <f>IFERROR(__xludf.DUMMYFUNCTION("IFERROR(ABS(Q1213-AVERAGE(FILTER(Q1213:Q5281,AA1213:AA5281=""Neighbor""))) / STDEV(FILTER(Q1213:Q5281, AA1213:AA5281 =""Neighbor"")), """")"),0.21589287261262052)</f>
        <v>0.2158928726</v>
      </c>
      <c r="AF1213" s="2">
        <f>IFERROR(__xludf.DUMMYFUNCTION("IFERROR(ABS(R1213-AVERAGE(FILTER(R1213:R5281,AA1213:AA5281=""Neighbor""))) / STDEV(FILTER(R1213:R5281, AA1213:AA5281 =""Neighbor"")), """")"),0.3430903289587578)</f>
        <v>0.343090329</v>
      </c>
    </row>
    <row r="1214">
      <c r="A1214" s="2" t="s">
        <v>28</v>
      </c>
      <c r="B1214" s="2" t="s">
        <v>4358</v>
      </c>
      <c r="C1214" s="2" t="s">
        <v>4960</v>
      </c>
      <c r="D1214" s="2" t="s">
        <v>4965</v>
      </c>
      <c r="E1214" s="2" t="s">
        <v>4966</v>
      </c>
      <c r="F1214" s="2">
        <v>153.0</v>
      </c>
      <c r="G1214" s="2">
        <v>977.0</v>
      </c>
      <c r="H1214" s="2" t="b">
        <v>1</v>
      </c>
      <c r="I1214" s="2">
        <v>-1.0</v>
      </c>
      <c r="J1214" s="2" t="b">
        <v>0</v>
      </c>
      <c r="K1214" s="2" t="b">
        <v>0</v>
      </c>
      <c r="L1214" s="2" t="b">
        <v>0</v>
      </c>
      <c r="M1214" s="2" t="b">
        <v>0</v>
      </c>
      <c r="N1214" s="2" t="s">
        <v>33</v>
      </c>
      <c r="O1214" s="2">
        <v>72.0</v>
      </c>
      <c r="P1214" s="2">
        <v>21.0</v>
      </c>
      <c r="Q1214" s="2">
        <v>14.0</v>
      </c>
      <c r="R1214" s="2">
        <v>0.0</v>
      </c>
      <c r="S1214" s="3" t="s">
        <v>4967</v>
      </c>
      <c r="T1214" s="2" t="s">
        <v>4968</v>
      </c>
      <c r="Y1214" s="4" t="str">
        <f>IFERROR(__xludf.DUMMYFUNCTION("""COMPUTED_VALUE"""),"6.8143107")</f>
        <v>6.8143107</v>
      </c>
      <c r="Z1214" s="4" t="str">
        <f>IFERROR(__xludf.DUMMYFUNCTION("""COMPUTED_VALUE"""),"3.1277854")</f>
        <v>3.1277854</v>
      </c>
      <c r="AA1214" s="4" t="str">
        <f t="shared" si="1"/>
        <v>Neighbor</v>
      </c>
      <c r="AC1214" s="4">
        <f>IFERROR(__xludf.DUMMYFUNCTION("IFERROR(ABS(O1214-AVERAGE(FILTER(O1214:O5282,AA1214:AA5282=""Neighbor""))) / STDEV(FILTER(O1214:O5282, AA1214:AA5282 =""Neighbor"")), """")"),0.21191008010397272)</f>
        <v>0.2119100801</v>
      </c>
      <c r="AD1214" s="4">
        <f>IFERROR(__xludf.DUMMYFUNCTION("IFERROR(ABS(P1214-AVERAGE(FILTER(O1214:P5282,AA1214:AA5282=""Neighbor""))) / STDEV(FILTER(P1214:P5282, AA1214:AA5282 =""Neighbor"")), """")"),0.8710939437783495)</f>
        <v>0.8710939438</v>
      </c>
      <c r="AE1214" s="2">
        <f>IFERROR(__xludf.DUMMYFUNCTION("IFERROR(ABS(Q1214-AVERAGE(FILTER(Q1214:Q5282,AA1214:AA5282=""Neighbor""))) / STDEV(FILTER(Q1214:Q5282, AA1214:AA5282 =""Neighbor"")), """")"),0.4600779535197084)</f>
        <v>0.4600779535</v>
      </c>
      <c r="AF1214" s="2">
        <f>IFERROR(__xludf.DUMMYFUNCTION("IFERROR(ABS(R1214-AVERAGE(FILTER(R1214:R5282,AA1214:AA5282=""Neighbor""))) / STDEV(FILTER(R1214:R5282, AA1214:AA5282 =""Neighbor"")), """")"),0.3430903289587578)</f>
        <v>0.343090329</v>
      </c>
    </row>
    <row r="1215">
      <c r="A1215" s="2" t="s">
        <v>28</v>
      </c>
      <c r="B1215" s="2" t="s">
        <v>4358</v>
      </c>
      <c r="C1215" s="2" t="s">
        <v>4960</v>
      </c>
      <c r="D1215" s="2" t="s">
        <v>4969</v>
      </c>
      <c r="E1215" s="2" t="s">
        <v>4970</v>
      </c>
      <c r="F1215" s="2">
        <v>121.0</v>
      </c>
      <c r="G1215" s="2">
        <v>699.0</v>
      </c>
      <c r="H1215" s="2" t="b">
        <v>1</v>
      </c>
      <c r="I1215" s="2">
        <v>-1.0</v>
      </c>
      <c r="J1215" s="2" t="b">
        <v>0</v>
      </c>
      <c r="K1215" s="2" t="b">
        <v>0</v>
      </c>
      <c r="L1215" s="2" t="b">
        <v>0</v>
      </c>
      <c r="M1215" s="2" t="b">
        <v>0</v>
      </c>
      <c r="N1215" s="2" t="s">
        <v>33</v>
      </c>
      <c r="O1215" s="2">
        <v>53.0</v>
      </c>
      <c r="P1215" s="2">
        <v>10.0</v>
      </c>
      <c r="Q1215" s="2">
        <v>15.0</v>
      </c>
      <c r="R1215" s="2">
        <v>1.0</v>
      </c>
      <c r="S1215" s="3" t="s">
        <v>4971</v>
      </c>
      <c r="T1215" s="2" t="s">
        <v>4972</v>
      </c>
      <c r="Y1215" s="4" t="str">
        <f>IFERROR(__xludf.DUMMYFUNCTION("""COMPUTED_VALUE"""),"6.8143107")</f>
        <v>6.8143107</v>
      </c>
      <c r="Z1215" s="4" t="str">
        <f>IFERROR(__xludf.DUMMYFUNCTION("""COMPUTED_VALUE"""),"3.1277854")</f>
        <v>3.1277854</v>
      </c>
      <c r="AA1215" s="4" t="str">
        <f t="shared" si="1"/>
        <v>Neighbor</v>
      </c>
      <c r="AC1215" s="4">
        <f>IFERROR(__xludf.DUMMYFUNCTION("IFERROR(ABS(O1215-AVERAGE(FILTER(O1215:O5283,AA1215:AA5283=""Neighbor""))) / STDEV(FILTER(O1215:O5283, AA1215:AA5283 =""Neighbor"")), """")"),0.24522861078704355)</f>
        <v>0.2452286108</v>
      </c>
      <c r="AD1215" s="4">
        <f>IFERROR(__xludf.DUMMYFUNCTION("IFERROR(ABS(P1215-AVERAGE(FILTER(O1215:P5283,AA1215:AA5283=""Neighbor""))) / STDEV(FILTER(P1215:P5283, AA1215:AA5283 =""Neighbor"")), """")"),1.3930659876516642)</f>
        <v>1.393065988</v>
      </c>
      <c r="AE1215" s="2">
        <f>IFERROR(__xludf.DUMMYFUNCTION("IFERROR(ABS(Q1215-AVERAGE(FILTER(Q1215:Q5283,AA1215:AA5283=""Neighbor""))) / STDEV(FILTER(Q1215:Q5283, AA1215:AA5283 =""Neighbor"")), """")"),0.4196253304430488)</f>
        <v>0.4196253304</v>
      </c>
      <c r="AF1215" s="2">
        <f>IFERROR(__xludf.DUMMYFUNCTION("IFERROR(ABS(R1215-AVERAGE(FILTER(R1215:R5283,AA1215:AA5283=""Neighbor""))) / STDEV(FILTER(R1215:R5283, AA1215:AA5283 =""Neighbor"")), """")"),0.8820597671231104)</f>
        <v>0.8820597671</v>
      </c>
    </row>
    <row r="1216">
      <c r="A1216" s="2" t="s">
        <v>28</v>
      </c>
      <c r="B1216" s="2" t="s">
        <v>4358</v>
      </c>
      <c r="C1216" s="2" t="s">
        <v>4960</v>
      </c>
      <c r="D1216" s="2" t="s">
        <v>4973</v>
      </c>
      <c r="E1216" s="2" t="s">
        <v>4974</v>
      </c>
      <c r="F1216" s="2">
        <v>52.0</v>
      </c>
      <c r="G1216" s="2">
        <v>372.0</v>
      </c>
      <c r="H1216" s="2" t="b">
        <v>1</v>
      </c>
      <c r="I1216" s="2">
        <v>-1.0</v>
      </c>
      <c r="J1216" s="2" t="b">
        <v>0</v>
      </c>
      <c r="K1216" s="2" t="b">
        <v>0</v>
      </c>
      <c r="L1216" s="2" t="b">
        <v>0</v>
      </c>
      <c r="M1216" s="2" t="b">
        <v>0</v>
      </c>
      <c r="N1216" s="2" t="s">
        <v>33</v>
      </c>
      <c r="O1216" s="2">
        <v>31.0</v>
      </c>
      <c r="P1216" s="2">
        <v>3.0</v>
      </c>
      <c r="Q1216" s="2">
        <v>7.0</v>
      </c>
      <c r="R1216" s="2">
        <v>0.0</v>
      </c>
      <c r="S1216" s="3" t="s">
        <v>4975</v>
      </c>
      <c r="T1216" s="2" t="s">
        <v>4976</v>
      </c>
      <c r="Y1216" s="4" t="str">
        <f>IFERROR(__xludf.DUMMYFUNCTION("""COMPUTED_VALUE"""),"6.8143107")</f>
        <v>6.8143107</v>
      </c>
      <c r="Z1216" s="4" t="str">
        <f>IFERROR(__xludf.DUMMYFUNCTION("""COMPUTED_VALUE"""),"3.1277854")</f>
        <v>3.1277854</v>
      </c>
      <c r="AA1216" s="4" t="str">
        <f t="shared" si="1"/>
        <v>Not Neighbor</v>
      </c>
      <c r="AC1216" s="4">
        <f>IFERROR(__xludf.DUMMYFUNCTION("IFERROR(ABS(O1216-AVERAGE(FILTER(O1216:O5284,AA1216:AA5284=""Neighbor""))) / STDEV(FILTER(O1216:O5284, AA1216:AA5284 =""Neighbor"")), """")"),0.7745545789229487)</f>
        <v>0.7745545789</v>
      </c>
      <c r="AD1216" s="4">
        <f>IFERROR(__xludf.DUMMYFUNCTION("IFERROR(ABS(P1216-AVERAGE(FILTER(O1216:P5284,AA1216:AA5284=""Neighbor""))) / STDEV(FILTER(P1216:P5284, AA1216:AA5284 =""Neighbor"")), """")"),1.725264027955942)</f>
        <v>1.725264028</v>
      </c>
      <c r="AE1216" s="2">
        <f>IFERROR(__xludf.DUMMYFUNCTION("IFERROR(ABS(Q1216-AVERAGE(FILTER(Q1216:Q5284,AA1216:AA5284=""Neighbor""))) / STDEV(FILTER(Q1216:Q5284, AA1216:AA5284 =""Neighbor"")), """")"),0.7451923345700519)</f>
        <v>0.7451923346</v>
      </c>
      <c r="AF1216" s="2">
        <f>IFERROR(__xludf.DUMMYFUNCTION("IFERROR(ABS(R1216-AVERAGE(FILTER(R1216:R5284,AA1216:AA5284=""Neighbor""))) / STDEV(FILTER(R1216:R5284, AA1216:AA5284 =""Neighbor"")), """")"),0.34248420382029954)</f>
        <v>0.3424842038</v>
      </c>
    </row>
    <row r="1217">
      <c r="A1217" s="2" t="s">
        <v>28</v>
      </c>
      <c r="B1217" s="2" t="s">
        <v>4358</v>
      </c>
      <c r="C1217" s="2" t="s">
        <v>4960</v>
      </c>
      <c r="D1217" s="2" t="s">
        <v>4977</v>
      </c>
      <c r="E1217" s="2" t="s">
        <v>4978</v>
      </c>
      <c r="F1217" s="2">
        <v>75.0</v>
      </c>
      <c r="G1217" s="2">
        <v>476.0</v>
      </c>
      <c r="H1217" s="2" t="b">
        <v>1</v>
      </c>
      <c r="I1217" s="2">
        <v>-1.0</v>
      </c>
      <c r="J1217" s="2" t="b">
        <v>0</v>
      </c>
      <c r="K1217" s="2" t="b">
        <v>0</v>
      </c>
      <c r="L1217" s="2" t="b">
        <v>0</v>
      </c>
      <c r="M1217" s="2" t="b">
        <v>0</v>
      </c>
      <c r="N1217" s="2" t="s">
        <v>33</v>
      </c>
      <c r="O1217" s="2">
        <v>36.0</v>
      </c>
      <c r="P1217" s="2">
        <v>5.0</v>
      </c>
      <c r="Q1217" s="2">
        <v>28.0</v>
      </c>
      <c r="R1217" s="2">
        <v>0.0</v>
      </c>
      <c r="S1217" s="3" t="s">
        <v>4979</v>
      </c>
      <c r="T1217" s="2" t="s">
        <v>4980</v>
      </c>
      <c r="Y1217" s="4" t="str">
        <f>IFERROR(__xludf.DUMMYFUNCTION("""COMPUTED_VALUE"""),"6.8048255")</f>
        <v>6.8048255</v>
      </c>
      <c r="Z1217" s="4" t="str">
        <f>IFERROR(__xludf.DUMMYFUNCTION("""COMPUTED_VALUE"""),"3.146597")</f>
        <v>3.146597</v>
      </c>
      <c r="AA1217" s="4" t="str">
        <f t="shared" si="1"/>
        <v>Not Neighbor</v>
      </c>
      <c r="AC1217" s="4">
        <f>IFERROR(__xludf.DUMMYFUNCTION("IFERROR(ABS(O1217-AVERAGE(FILTER(O1217:O5285,AA1217:AA5285=""Neighbor""))) / STDEV(FILTER(O1217:O5285, AA1217:AA5285 =""Neighbor"")), """")"),0.6542777781755409)</f>
        <v>0.6542777782</v>
      </c>
      <c r="AD1217" s="4">
        <f>IFERROR(__xludf.DUMMYFUNCTION("IFERROR(ABS(P1217-AVERAGE(FILTER(O1217:P5285,AA1217:AA5285=""Neighbor""))) / STDEV(FILTER(P1217:P5285, AA1217:AA5285 =""Neighbor"")), """")"),1.6302841293309671)</f>
        <v>1.630284129</v>
      </c>
      <c r="AE1217" s="2">
        <f>IFERROR(__xludf.DUMMYFUNCTION("IFERROR(ABS(Q1217-AVERAGE(FILTER(Q1217:Q5285,AA1217:AA5285=""Neighbor""))) / STDEV(FILTER(Q1217:Q5285, AA1217:AA5285 =""Neighbor"")), """")"),0.1088825341739205)</f>
        <v>0.1088825342</v>
      </c>
      <c r="AF1217" s="2">
        <f>IFERROR(__xludf.DUMMYFUNCTION("IFERROR(ABS(R1217-AVERAGE(FILTER(R1217:R5285,AA1217:AA5285=""Neighbor""))) / STDEV(FILTER(R1217:R5285, AA1217:AA5285 =""Neighbor"")), """")"),0.34248420382029954)</f>
        <v>0.3424842038</v>
      </c>
    </row>
    <row r="1218">
      <c r="A1218" s="2" t="s">
        <v>28</v>
      </c>
      <c r="B1218" s="2" t="s">
        <v>4981</v>
      </c>
      <c r="C1218" s="2" t="s">
        <v>4982</v>
      </c>
      <c r="D1218" s="2" t="s">
        <v>4983</v>
      </c>
      <c r="E1218" s="2" t="s">
        <v>4984</v>
      </c>
      <c r="F1218" s="2">
        <v>147.0</v>
      </c>
      <c r="G1218" s="2">
        <v>426.0</v>
      </c>
      <c r="H1218" s="2" t="b">
        <v>1</v>
      </c>
      <c r="I1218" s="2">
        <v>-1.0</v>
      </c>
      <c r="J1218" s="2" t="b">
        <v>0</v>
      </c>
      <c r="K1218" s="2" t="b">
        <v>0</v>
      </c>
      <c r="L1218" s="2" t="b">
        <v>0</v>
      </c>
      <c r="M1218" s="2" t="b">
        <v>0</v>
      </c>
      <c r="N1218" s="2" t="s">
        <v>33</v>
      </c>
      <c r="O1218" s="2">
        <v>107.0</v>
      </c>
      <c r="P1218" s="2">
        <v>22.0</v>
      </c>
      <c r="Q1218" s="2">
        <v>13.0</v>
      </c>
      <c r="R1218" s="2">
        <v>0.0</v>
      </c>
      <c r="S1218" s="3" t="s">
        <v>4985</v>
      </c>
      <c r="T1218" s="2" t="s">
        <v>4986</v>
      </c>
      <c r="Y1218" s="4" t="str">
        <f>IFERROR(__xludf.DUMMYFUNCTION("""COMPUTED_VALUE"""),"6.8927985")</f>
        <v>6.8927985</v>
      </c>
      <c r="Z1218" s="4" t="str">
        <f>IFERROR(__xludf.DUMMYFUNCTION("""COMPUTED_VALUE"""),"4.0050661")</f>
        <v>4.0050661</v>
      </c>
      <c r="AA1218" s="4" t="str">
        <f t="shared" si="1"/>
        <v>Not Neighbor</v>
      </c>
      <c r="AC1218" s="4">
        <f>IFERROR(__xludf.DUMMYFUNCTION("IFERROR(ABS(O1218-AVERAGE(FILTER(O1218:O5286,AA1218:AA5286=""Neighbor""))) / STDEV(FILTER(O1218:O5286, AA1218:AA5286 =""Neighbor"")), """")"),1.0536527924376486)</f>
        <v>1.053652792</v>
      </c>
      <c r="AD1218" s="4">
        <f>IFERROR(__xludf.DUMMYFUNCTION("IFERROR(ABS(P1218-AVERAGE(FILTER(O1218:P5286,AA1218:AA5286=""Neighbor""))) / STDEV(FILTER(P1218:P5286, AA1218:AA5286 =""Neighbor"")), """")"),0.822954991018682)</f>
        <v>0.822954991</v>
      </c>
      <c r="AE1218" s="2">
        <f>IFERROR(__xludf.DUMMYFUNCTION("IFERROR(ABS(Q1218-AVERAGE(FILTER(Q1218:Q5286,AA1218:AA5286=""Neighbor""))) / STDEV(FILTER(Q1218:Q5286, AA1218:AA5286 =""Neighbor"")), """")"),0.5011709435003454)</f>
        <v>0.5011709435</v>
      </c>
      <c r="AF1218" s="2">
        <f>IFERROR(__xludf.DUMMYFUNCTION("IFERROR(ABS(R1218-AVERAGE(FILTER(R1218:R5286,AA1218:AA5286=""Neighbor""))) / STDEV(FILTER(R1218:R5286, AA1218:AA5286 =""Neighbor"")), """")"),0.34248420382029954)</f>
        <v>0.3424842038</v>
      </c>
    </row>
    <row r="1219">
      <c r="A1219" s="2" t="s">
        <v>28</v>
      </c>
      <c r="B1219" s="2" t="s">
        <v>4981</v>
      </c>
      <c r="C1219" s="2" t="s">
        <v>4982</v>
      </c>
      <c r="D1219" s="2" t="s">
        <v>4987</v>
      </c>
      <c r="E1219" s="2" t="s">
        <v>4988</v>
      </c>
      <c r="F1219" s="2">
        <v>113.0</v>
      </c>
      <c r="G1219" s="2">
        <v>544.0</v>
      </c>
      <c r="H1219" s="2" t="b">
        <v>1</v>
      </c>
      <c r="I1219" s="2">
        <v>-1.0</v>
      </c>
      <c r="J1219" s="2" t="b">
        <v>0</v>
      </c>
      <c r="K1219" s="2" t="b">
        <v>0</v>
      </c>
      <c r="L1219" s="2" t="b">
        <v>0</v>
      </c>
      <c r="M1219" s="2" t="b">
        <v>0</v>
      </c>
      <c r="N1219" s="2" t="s">
        <v>33</v>
      </c>
      <c r="O1219" s="2">
        <v>67.0</v>
      </c>
      <c r="P1219" s="2">
        <v>15.0</v>
      </c>
      <c r="Q1219" s="2">
        <v>24.0</v>
      </c>
      <c r="R1219" s="2">
        <v>0.0</v>
      </c>
      <c r="S1219" s="3" t="s">
        <v>4989</v>
      </c>
      <c r="T1219" s="2" t="s">
        <v>4990</v>
      </c>
      <c r="Y1219" s="4" t="str">
        <f>IFERROR(__xludf.DUMMYFUNCTION("""COMPUTED_VALUE"""),"6.7704747")</f>
        <v>6.7704747</v>
      </c>
      <c r="Z1219" s="4" t="str">
        <f>IFERROR(__xludf.DUMMYFUNCTION("""COMPUTED_VALUE"""),"4.0031521")</f>
        <v>4.0031521</v>
      </c>
      <c r="AA1219" s="4" t="str">
        <f t="shared" si="1"/>
        <v>Neighbor</v>
      </c>
      <c r="AC1219" s="4">
        <f>IFERROR(__xludf.DUMMYFUNCTION("IFERROR(ABS(O1219-AVERAGE(FILTER(O1219:O5287,AA1219:AA5287=""Neighbor""))) / STDEV(FILTER(O1219:O5287, AA1219:AA5287 =""Neighbor"")), """")"),0.09143838645838694)</f>
        <v>0.09143838646</v>
      </c>
      <c r="AD1219" s="4">
        <f>IFERROR(__xludf.DUMMYFUNCTION("IFERROR(ABS(P1219-AVERAGE(FILTER(O1219:P5287,AA1219:AA5287=""Neighbor""))) / STDEV(FILTER(P1219:P5287, AA1219:AA5287 =""Neighbor"")), """")"),1.1553846362060936)</f>
        <v>1.155384636</v>
      </c>
      <c r="AE1219" s="2">
        <f>IFERROR(__xludf.DUMMYFUNCTION("IFERROR(ABS(Q1219-AVERAGE(FILTER(Q1219:Q5287,AA1219:AA5287=""Neighbor""))) / STDEV(FILTER(Q1219:Q5287, AA1219:AA5287 =""Neighbor"")), """")"),0.05379839320588375)</f>
        <v>0.05379839321</v>
      </c>
      <c r="AF1219" s="2">
        <f>IFERROR(__xludf.DUMMYFUNCTION("IFERROR(ABS(R1219-AVERAGE(FILTER(R1219:R5287,AA1219:AA5287=""Neighbor""))) / STDEV(FILTER(R1219:R5287, AA1219:AA5287 =""Neighbor"")), """")"),0.34248420382029954)</f>
        <v>0.3424842038</v>
      </c>
    </row>
    <row r="1220">
      <c r="A1220" s="2" t="s">
        <v>28</v>
      </c>
      <c r="B1220" s="2" t="s">
        <v>4981</v>
      </c>
      <c r="C1220" s="2" t="s">
        <v>4982</v>
      </c>
      <c r="D1220" s="2" t="s">
        <v>4991</v>
      </c>
      <c r="E1220" s="2" t="s">
        <v>4992</v>
      </c>
      <c r="F1220" s="2">
        <v>113.0</v>
      </c>
      <c r="G1220" s="2">
        <v>280.0</v>
      </c>
      <c r="H1220" s="2" t="b">
        <v>1</v>
      </c>
      <c r="I1220" s="2">
        <v>-1.0</v>
      </c>
      <c r="J1220" s="2" t="b">
        <v>0</v>
      </c>
      <c r="K1220" s="2" t="b">
        <v>0</v>
      </c>
      <c r="L1220" s="2" t="b">
        <v>0</v>
      </c>
      <c r="M1220" s="2" t="b">
        <v>0</v>
      </c>
      <c r="N1220" s="2" t="s">
        <v>33</v>
      </c>
      <c r="O1220" s="2">
        <v>74.0</v>
      </c>
      <c r="P1220" s="2">
        <v>22.0</v>
      </c>
      <c r="Q1220" s="2">
        <v>10.0</v>
      </c>
      <c r="R1220" s="2">
        <v>0.0</v>
      </c>
      <c r="S1220" s="3" t="s">
        <v>4993</v>
      </c>
      <c r="T1220" s="2" t="s">
        <v>4994</v>
      </c>
      <c r="Y1220" s="4" t="str">
        <f>IFERROR(__xludf.DUMMYFUNCTION("""COMPUTED_VALUE"""),"6.7704747")</f>
        <v>6.7704747</v>
      </c>
      <c r="Z1220" s="4" t="str">
        <f>IFERROR(__xludf.DUMMYFUNCTION("""COMPUTED_VALUE"""),"4.0031521")</f>
        <v>4.0031521</v>
      </c>
      <c r="AA1220" s="4" t="str">
        <f t="shared" si="1"/>
        <v>Neighbor</v>
      </c>
      <c r="AC1220" s="4">
        <f>IFERROR(__xludf.DUMMYFUNCTION("IFERROR(ABS(O1220-AVERAGE(FILTER(O1220:O5288,AA1220:AA5288=""Neighbor""))) / STDEV(FILTER(O1220:O5288, AA1220:AA5288 =""Neighbor"")), """")"),0.2597947228906798)</f>
        <v>0.2597947229</v>
      </c>
      <c r="AD1220" s="4">
        <f>IFERROR(__xludf.DUMMYFUNCTION("IFERROR(ABS(P1220-AVERAGE(FILTER(O1220:P5288,AA1220:AA5288=""Neighbor""))) / STDEV(FILTER(P1220:P5288, AA1220:AA5288 =""Neighbor"")), """")"),0.8225464244838194)</f>
        <v>0.8225464245</v>
      </c>
      <c r="AE1220" s="2">
        <f>IFERROR(__xludf.DUMMYFUNCTION("IFERROR(ABS(Q1220-AVERAGE(FILTER(Q1220:Q5288,AA1220:AA5288=""Neighbor""))) / STDEV(FILTER(Q1220:Q5288, AA1220:AA5288 =""Neighbor"")), """")"),0.6229676694703129)</f>
        <v>0.6229676695</v>
      </c>
      <c r="AF1220" s="2">
        <f>IFERROR(__xludf.DUMMYFUNCTION("IFERROR(ABS(R1220-AVERAGE(FILTER(R1220:R5288,AA1220:AA5288=""Neighbor""))) / STDEV(FILTER(R1220:R5288, AA1220:AA5288 =""Neighbor"")), """")"),0.34264338475605965)</f>
        <v>0.3426433848</v>
      </c>
    </row>
    <row r="1221">
      <c r="A1221" s="2" t="s">
        <v>28</v>
      </c>
      <c r="B1221" s="2" t="s">
        <v>4981</v>
      </c>
      <c r="C1221" s="2" t="s">
        <v>4982</v>
      </c>
      <c r="D1221" s="2" t="s">
        <v>4995</v>
      </c>
      <c r="E1221" s="2" t="s">
        <v>4996</v>
      </c>
      <c r="F1221" s="2">
        <v>84.0</v>
      </c>
      <c r="G1221" s="2">
        <v>467.0</v>
      </c>
      <c r="H1221" s="2" t="b">
        <v>1</v>
      </c>
      <c r="I1221" s="2">
        <v>-1.0</v>
      </c>
      <c r="J1221" s="2" t="b">
        <v>0</v>
      </c>
      <c r="K1221" s="2" t="b">
        <v>0</v>
      </c>
      <c r="L1221" s="2" t="b">
        <v>0</v>
      </c>
      <c r="M1221" s="2" t="b">
        <v>0</v>
      </c>
      <c r="N1221" s="2" t="s">
        <v>33</v>
      </c>
      <c r="O1221" s="2">
        <v>40.0</v>
      </c>
      <c r="P1221" s="2">
        <v>24.0</v>
      </c>
      <c r="Q1221" s="2">
        <v>12.0</v>
      </c>
      <c r="R1221" s="2">
        <v>3.0</v>
      </c>
      <c r="S1221" s="3" t="s">
        <v>4997</v>
      </c>
      <c r="T1221" s="2" t="s">
        <v>4998</v>
      </c>
      <c r="Y1221" s="4" t="str">
        <f>IFERROR(__xludf.DUMMYFUNCTION("""COMPUTED_VALUE"""),"6.7704747")</f>
        <v>6.7704747</v>
      </c>
      <c r="Z1221" s="4" t="str">
        <f>IFERROR(__xludf.DUMMYFUNCTION("""COMPUTED_VALUE"""),"4.0031521")</f>
        <v>4.0031521</v>
      </c>
      <c r="AA1221" s="4" t="str">
        <f t="shared" si="1"/>
        <v>Not Neighbor</v>
      </c>
      <c r="AC1221" s="4">
        <f>IFERROR(__xludf.DUMMYFUNCTION("IFERROR(ABS(O1221-AVERAGE(FILTER(O1221:O5289,AA1221:AA5289=""Neighbor""))) / STDEV(FILTER(O1221:O5289, AA1221:AA5289 =""Neighbor"")), """")"),0.5573166355747087)</f>
        <v>0.5573166356</v>
      </c>
      <c r="AD1221" s="4">
        <f>IFERROR(__xludf.DUMMYFUNCTION("IFERROR(ABS(P1221-AVERAGE(FILTER(O1221:P5289,AA1221:AA5289=""Neighbor""))) / STDEV(FILTER(P1221:P5289, AA1221:AA5289 =""Neighbor"")), """")"),0.7269891262997766)</f>
        <v>0.7269891263</v>
      </c>
      <c r="AE1221" s="2">
        <f>IFERROR(__xludf.DUMMYFUNCTION("IFERROR(ABS(Q1221-AVERAGE(FILTER(Q1221:Q5289,AA1221:AA5289=""Neighbor""))) / STDEV(FILTER(Q1221:Q5289, AA1221:AA5289 =""Neighbor"")), """")"),0.542041892963645)</f>
        <v>0.542041893</v>
      </c>
      <c r="AF1221" s="2">
        <f>IFERROR(__xludf.DUMMYFUNCTION("IFERROR(ABS(R1221-AVERAGE(FILTER(R1221:R5289,AA1221:AA5289=""Neighbor""))) / STDEV(FILTER(R1221:R5289, AA1221:AA5289 =""Neighbor"")), """")"),3.330084225075186)</f>
        <v>3.330084225</v>
      </c>
    </row>
    <row r="1222">
      <c r="A1222" s="2" t="s">
        <v>28</v>
      </c>
      <c r="B1222" s="2" t="s">
        <v>4981</v>
      </c>
      <c r="C1222" s="2" t="s">
        <v>4982</v>
      </c>
      <c r="D1222" s="2" t="s">
        <v>4999</v>
      </c>
      <c r="E1222" s="2" t="s">
        <v>5000</v>
      </c>
      <c r="F1222" s="2">
        <v>101.0</v>
      </c>
      <c r="G1222" s="2">
        <v>507.0</v>
      </c>
      <c r="H1222" s="2" t="b">
        <v>1</v>
      </c>
      <c r="I1222" s="2">
        <v>-1.0</v>
      </c>
      <c r="J1222" s="2" t="b">
        <v>0</v>
      </c>
      <c r="K1222" s="2" t="b">
        <v>1</v>
      </c>
      <c r="L1222" s="2" t="b">
        <v>0</v>
      </c>
      <c r="M1222" s="2" t="b">
        <v>0</v>
      </c>
      <c r="N1222" s="2" t="s">
        <v>33</v>
      </c>
      <c r="O1222" s="2">
        <v>63.0</v>
      </c>
      <c r="P1222" s="2">
        <v>6.0</v>
      </c>
      <c r="Q1222" s="2">
        <v>24.0</v>
      </c>
      <c r="R1222" s="2">
        <v>0.0</v>
      </c>
      <c r="S1222" s="3" t="s">
        <v>5001</v>
      </c>
      <c r="T1222" s="2" t="s">
        <v>5002</v>
      </c>
      <c r="Y1222" s="4" t="str">
        <f>IFERROR(__xludf.DUMMYFUNCTION("""COMPUTED_VALUE"""),"6.7619827")</f>
        <v>6.7619827</v>
      </c>
      <c r="Z1222" s="4" t="str">
        <f>IFERROR(__xludf.DUMMYFUNCTION("""COMPUTED_VALUE"""),"4.0206998")</f>
        <v>4.0206998</v>
      </c>
      <c r="AA1222" s="4" t="str">
        <f t="shared" si="1"/>
        <v>Neighbor</v>
      </c>
      <c r="AC1222" s="4">
        <f>IFERROR(__xludf.DUMMYFUNCTION("IFERROR(ABS(O1222-AVERAGE(FILTER(O1222:O5290,AA1222:AA5290=""Neighbor""))) / STDEV(FILTER(O1222:O5290, AA1222:AA5290 =""Neighbor"")), """")"),0.004486735421533038)</f>
        <v>0.004486735422</v>
      </c>
      <c r="AD1222" s="4">
        <f>IFERROR(__xludf.DUMMYFUNCTION("IFERROR(ABS(P1222-AVERAGE(FILTER(O1222:P5290,AA1222:AA5290=""Neighbor""))) / STDEV(FILTER(P1222:P5290, AA1222:AA5290 =""Neighbor"")), """")"),1.5811306655352835)</f>
        <v>1.581130666</v>
      </c>
      <c r="AE1222" s="2">
        <f>IFERROR(__xludf.DUMMYFUNCTION("IFERROR(ABS(Q1222-AVERAGE(FILTER(Q1222:Q5290,AA1222:AA5290=""Neighbor""))) / STDEV(FILTER(Q1222:Q5290, AA1222:AA5290 =""Neighbor"")), """")"),0.05432611824004537)</f>
        <v>0.05432611824</v>
      </c>
      <c r="AF1222" s="2">
        <f>IFERROR(__xludf.DUMMYFUNCTION("IFERROR(ABS(R1222-AVERAGE(FILTER(R1222:R5290,AA1222:AA5290=""Neighbor""))) / STDEV(FILTER(R1222:R5290, AA1222:AA5290 =""Neighbor"")), """")"),0.34280278787538687)</f>
        <v>0.3428027879</v>
      </c>
    </row>
    <row r="1223">
      <c r="A1223" s="2" t="s">
        <v>28</v>
      </c>
      <c r="B1223" s="2" t="s">
        <v>4981</v>
      </c>
      <c r="C1223" s="2" t="s">
        <v>4982</v>
      </c>
      <c r="D1223" s="2" t="s">
        <v>5003</v>
      </c>
      <c r="E1223" s="2" t="s">
        <v>5004</v>
      </c>
      <c r="F1223" s="2">
        <v>60.0</v>
      </c>
      <c r="G1223" s="2">
        <v>339.0</v>
      </c>
      <c r="H1223" s="2" t="b">
        <v>1</v>
      </c>
      <c r="I1223" s="2">
        <v>-1.0</v>
      </c>
      <c r="J1223" s="2" t="b">
        <v>0</v>
      </c>
      <c r="K1223" s="2" t="b">
        <v>0</v>
      </c>
      <c r="L1223" s="2" t="b">
        <v>0</v>
      </c>
      <c r="M1223" s="2" t="b">
        <v>0</v>
      </c>
      <c r="N1223" s="2" t="s">
        <v>33</v>
      </c>
      <c r="O1223" s="2">
        <v>38.0</v>
      </c>
      <c r="P1223" s="2">
        <v>5.0</v>
      </c>
      <c r="Q1223" s="2">
        <v>15.0</v>
      </c>
      <c r="R1223" s="2">
        <v>0.0</v>
      </c>
      <c r="S1223" s="3" t="s">
        <v>5005</v>
      </c>
      <c r="T1223" s="2" t="s">
        <v>5006</v>
      </c>
      <c r="Y1223" s="4" t="str">
        <f>IFERROR(__xludf.DUMMYFUNCTION("""COMPUTED_VALUE"""),"6.7619827")</f>
        <v>6.7619827</v>
      </c>
      <c r="Z1223" s="4" t="str">
        <f>IFERROR(__xludf.DUMMYFUNCTION("""COMPUTED_VALUE"""),"4.0206998")</f>
        <v>4.0206998</v>
      </c>
      <c r="AA1223" s="4" t="str">
        <f t="shared" si="1"/>
        <v>Not Neighbor</v>
      </c>
      <c r="AC1223" s="4">
        <f>IFERROR(__xludf.DUMMYFUNCTION("IFERROR(ABS(O1223-AVERAGE(FILTER(O1223:O5291,AA1223:AA5291=""Neighbor""))) / STDEV(FILTER(O1223:O5291, AA1223:AA5291 =""Neighbor"")), """")"),0.6051400380192552)</f>
        <v>0.605140038</v>
      </c>
      <c r="AD1223" s="4">
        <f>IFERROR(__xludf.DUMMYFUNCTION("IFERROR(ABS(P1223-AVERAGE(FILTER(O1223:P5291,AA1223:AA5291=""Neighbor""))) / STDEV(FILTER(P1223:P5291, AA1223:AA5291 =""Neighbor"")), """")"),1.6282311609202693)</f>
        <v>1.628231161</v>
      </c>
      <c r="AE1223" s="2">
        <f>IFERROR(__xludf.DUMMYFUNCTION("IFERROR(ABS(Q1223-AVERAGE(FILTER(Q1223:Q5291,AA1223:AA5291=""Neighbor""))) / STDEV(FILTER(Q1223:Q5291, AA1223:AA5291 =""Neighbor"")), """")"),0.4199835276307319)</f>
        <v>0.4199835276</v>
      </c>
      <c r="AF1223" s="2">
        <f>IFERROR(__xludf.DUMMYFUNCTION("IFERROR(ABS(R1223-AVERAGE(FILTER(R1223:R5291,AA1223:AA5291=""Neighbor""))) / STDEV(FILTER(R1223:R5291, AA1223:AA5291 =""Neighbor"")), """")"),0.34296241369568)</f>
        <v>0.3429624137</v>
      </c>
    </row>
    <row r="1224">
      <c r="A1224" s="2" t="s">
        <v>28</v>
      </c>
      <c r="B1224" s="2" t="s">
        <v>4981</v>
      </c>
      <c r="C1224" s="2" t="s">
        <v>4982</v>
      </c>
      <c r="D1224" s="2" t="s">
        <v>5007</v>
      </c>
      <c r="E1224" s="2" t="s">
        <v>5008</v>
      </c>
      <c r="F1224" s="2">
        <v>156.0</v>
      </c>
      <c r="G1224" s="2">
        <v>577.0</v>
      </c>
      <c r="H1224" s="2" t="b">
        <v>1</v>
      </c>
      <c r="I1224" s="2">
        <v>-1.0</v>
      </c>
      <c r="J1224" s="2" t="b">
        <v>0</v>
      </c>
      <c r="K1224" s="2" t="b">
        <v>0</v>
      </c>
      <c r="L1224" s="2" t="b">
        <v>0</v>
      </c>
      <c r="M1224" s="2" t="b">
        <v>0</v>
      </c>
      <c r="N1224" s="2" t="s">
        <v>33</v>
      </c>
      <c r="O1224" s="2">
        <v>0.0</v>
      </c>
      <c r="P1224" s="2">
        <v>0.0</v>
      </c>
      <c r="Q1224" s="2">
        <v>0.0</v>
      </c>
      <c r="R1224" s="2">
        <v>0.0</v>
      </c>
      <c r="S1224" s="3" t="s">
        <v>5009</v>
      </c>
      <c r="T1224" s="2" t="s">
        <v>5010</v>
      </c>
      <c r="Y1224" s="4" t="str">
        <f>IFERROR(__xludf.DUMMYFUNCTION("""COMPUTED_VALUE"""),"6.7704747")</f>
        <v>6.7704747</v>
      </c>
      <c r="Z1224" s="4" t="str">
        <f>IFERROR(__xludf.DUMMYFUNCTION("""COMPUTED_VALUE"""),"4.0031521")</f>
        <v>4.0031521</v>
      </c>
      <c r="AA1224" s="4" t="str">
        <f t="shared" si="1"/>
        <v>Not Neighbor</v>
      </c>
      <c r="AC1224" s="4">
        <f>IFERROR(__xludf.DUMMYFUNCTION("IFERROR(ABS(O1224-AVERAGE(FILTER(O1224:O5292,AA1224:AA5292=""Neighbor""))) / STDEV(FILTER(O1224:O5292, AA1224:AA5292 =""Neighbor"")), """")"),1.518130216907076)</f>
        <v>1.518130217</v>
      </c>
      <c r="AD1224" s="4">
        <f>IFERROR(__xludf.DUMMYFUNCTION("IFERROR(ABS(P1224-AVERAGE(FILTER(O1224:P5292,AA1224:AA5292=""Neighbor""))) / STDEV(FILTER(P1224:P5292, AA1224:AA5292 =""Neighbor"")), """")"),1.865413661460107)</f>
        <v>1.865413661</v>
      </c>
      <c r="AE1224" s="2">
        <f>IFERROR(__xludf.DUMMYFUNCTION("IFERROR(ABS(Q1224-AVERAGE(FILTER(Q1224:Q5292,AA1224:AA5292=""Neighbor""))) / STDEV(FILTER(Q1224:Q5292, AA1224:AA5292 =""Neighbor"")), """")"),1.0293747131441415)</f>
        <v>1.029374713</v>
      </c>
      <c r="AF1224" s="2">
        <f>IFERROR(__xludf.DUMMYFUNCTION("IFERROR(ABS(R1224-AVERAGE(FILTER(R1224:R5292,AA1224:AA5292=""Neighbor""))) / STDEV(FILTER(R1224:R5292, AA1224:AA5292 =""Neighbor"")), """")"),0.34296241369568)</f>
        <v>0.3429624137</v>
      </c>
    </row>
    <row r="1225">
      <c r="A1225" s="2" t="s">
        <v>28</v>
      </c>
      <c r="B1225" s="2" t="s">
        <v>4981</v>
      </c>
      <c r="C1225" s="2" t="s">
        <v>4982</v>
      </c>
      <c r="D1225" s="2" t="s">
        <v>5011</v>
      </c>
      <c r="E1225" s="2" t="s">
        <v>5012</v>
      </c>
      <c r="F1225" s="2">
        <v>216.0</v>
      </c>
      <c r="G1225" s="2">
        <v>1099.0</v>
      </c>
      <c r="H1225" s="2" t="b">
        <v>1</v>
      </c>
      <c r="I1225" s="2">
        <v>-1.0</v>
      </c>
      <c r="J1225" s="2" t="b">
        <v>0</v>
      </c>
      <c r="K1225" s="2" t="b">
        <v>0</v>
      </c>
      <c r="L1225" s="2" t="b">
        <v>0</v>
      </c>
      <c r="M1225" s="2" t="b">
        <v>0</v>
      </c>
      <c r="N1225" s="2" t="s">
        <v>33</v>
      </c>
      <c r="O1225" s="2">
        <v>112.0</v>
      </c>
      <c r="P1225" s="2">
        <v>47.0</v>
      </c>
      <c r="Q1225" s="2">
        <v>31.0</v>
      </c>
      <c r="R1225" s="2">
        <v>0.0</v>
      </c>
      <c r="S1225" s="3" t="s">
        <v>5013</v>
      </c>
      <c r="T1225" s="2" t="s">
        <v>5014</v>
      </c>
      <c r="Y1225" s="4" t="str">
        <f>IFERROR(__xludf.DUMMYFUNCTION("""COMPUTED_VALUE"""),"6.7899329")</f>
        <v>6.7899329</v>
      </c>
      <c r="Z1225" s="4" t="str">
        <f>IFERROR(__xludf.DUMMYFUNCTION("""COMPUTED_VALUE"""),"3.9940912")</f>
        <v>3.9940912</v>
      </c>
      <c r="AA1225" s="4" t="str">
        <f t="shared" si="1"/>
        <v>Not Neighbor</v>
      </c>
      <c r="AC1225" s="4">
        <f>IFERROR(__xludf.DUMMYFUNCTION("IFERROR(ABS(O1225-AVERAGE(FILTER(O1225:O5293,AA1225:AA5293=""Neighbor""))) / STDEV(FILTER(O1225:O5293, AA1225:AA5293 =""Neighbor"")), """")"),1.1727882050780802)</f>
        <v>1.172788205</v>
      </c>
      <c r="AD1225" s="4">
        <f>IFERROR(__xludf.DUMMYFUNCTION("IFERROR(ABS(P1225-AVERAGE(FILTER(O1225:P5293,AA1225:AA5293=""Neighbor""))) / STDEV(FILTER(P1225:P5293, AA1225:AA5293 =""Neighbor"")), """")"),0.364101843614366)</f>
        <v>0.3641018436</v>
      </c>
      <c r="AE1225" s="2">
        <f>IFERROR(__xludf.DUMMYFUNCTION("IFERROR(ABS(Q1225-AVERAGE(FILTER(Q1225:Q5293,AA1225:AA5293=""Neighbor""))) / STDEV(FILTER(Q1225:Q5293, AA1225:AA5293 =""Neighbor"")), """")"),0.23003373691690518)</f>
        <v>0.2300337369</v>
      </c>
      <c r="AF1225" s="2">
        <f>IFERROR(__xludf.DUMMYFUNCTION("IFERROR(ABS(R1225-AVERAGE(FILTER(R1225:R5293,AA1225:AA5293=""Neighbor""))) / STDEV(FILTER(R1225:R5293, AA1225:AA5293 =""Neighbor"")), """")"),0.34296241369568)</f>
        <v>0.3429624137</v>
      </c>
    </row>
    <row r="1226">
      <c r="A1226" s="2" t="s">
        <v>28</v>
      </c>
      <c r="B1226" s="2" t="s">
        <v>4981</v>
      </c>
      <c r="C1226" s="2" t="s">
        <v>4982</v>
      </c>
      <c r="D1226" s="2" t="s">
        <v>5015</v>
      </c>
      <c r="E1226" s="2" t="s">
        <v>5016</v>
      </c>
      <c r="F1226" s="2">
        <v>49.0</v>
      </c>
      <c r="G1226" s="2">
        <v>215.0</v>
      </c>
      <c r="H1226" s="2" t="b">
        <v>1</v>
      </c>
      <c r="I1226" s="2">
        <v>-1.0</v>
      </c>
      <c r="J1226" s="2" t="b">
        <v>0</v>
      </c>
      <c r="K1226" s="2" t="b">
        <v>0</v>
      </c>
      <c r="L1226" s="2" t="b">
        <v>0</v>
      </c>
      <c r="M1226" s="2" t="b">
        <v>0</v>
      </c>
      <c r="N1226" s="2" t="s">
        <v>33</v>
      </c>
      <c r="O1226" s="2">
        <v>18.0</v>
      </c>
      <c r="P1226" s="2">
        <v>0.0</v>
      </c>
      <c r="Q1226" s="2">
        <v>31.0</v>
      </c>
      <c r="R1226" s="2">
        <v>0.0</v>
      </c>
      <c r="S1226" s="3" t="s">
        <v>5017</v>
      </c>
      <c r="T1226" s="2" t="s">
        <v>5018</v>
      </c>
      <c r="Y1226" s="4" t="str">
        <f>IFERROR(__xludf.DUMMYFUNCTION("""COMPUTED_VALUE"""),"6.750644")</f>
        <v>6.750644</v>
      </c>
      <c r="Z1226" s="4" t="str">
        <f>IFERROR(__xludf.DUMMYFUNCTION("""COMPUTED_VALUE"""),"4.026615")</f>
        <v>4.026615</v>
      </c>
      <c r="AA1226" s="4" t="str">
        <f t="shared" si="1"/>
        <v>Not Neighbor</v>
      </c>
      <c r="AC1226" s="4">
        <f>IFERROR(__xludf.DUMMYFUNCTION("IFERROR(ABS(O1226-AVERAGE(FILTER(O1226:O5294,AA1226:AA5294=""Neighbor""))) / STDEV(FILTER(O1226:O5294, AA1226:AA5294 =""Neighbor"")), """")"),1.0856611848023188)</f>
        <v>1.085661185</v>
      </c>
      <c r="AD1226" s="4">
        <f>IFERROR(__xludf.DUMMYFUNCTION("IFERROR(ABS(P1226-AVERAGE(FILTER(O1226:P5294,AA1226:AA5294=""Neighbor""))) / STDEV(FILTER(P1226:P5294, AA1226:AA5294 =""Neighbor"")), """")"),1.865413661460107)</f>
        <v>1.865413661</v>
      </c>
      <c r="AE1226" s="2">
        <f>IFERROR(__xludf.DUMMYFUNCTION("IFERROR(ABS(Q1226-AVERAGE(FILTER(Q1226:Q5294,AA1226:AA5294=""Neighbor""))) / STDEV(FILTER(Q1226:Q5294, AA1226:AA5294 =""Neighbor"")), """")"),0.23003373691690518)</f>
        <v>0.2300337369</v>
      </c>
      <c r="AF1226" s="2">
        <f>IFERROR(__xludf.DUMMYFUNCTION("IFERROR(ABS(R1226-AVERAGE(FILTER(R1226:R5294,AA1226:AA5294=""Neighbor""))) / STDEV(FILTER(R1226:R5294, AA1226:AA5294 =""Neighbor"")), """")"),0.34296241369568)</f>
        <v>0.3429624137</v>
      </c>
    </row>
    <row r="1227">
      <c r="A1227" s="2" t="s">
        <v>28</v>
      </c>
      <c r="B1227" s="2" t="s">
        <v>4981</v>
      </c>
      <c r="C1227" s="2" t="s">
        <v>5019</v>
      </c>
      <c r="D1227" s="2" t="s">
        <v>5020</v>
      </c>
      <c r="E1227" s="2" t="s">
        <v>5021</v>
      </c>
      <c r="F1227" s="2">
        <v>118.0</v>
      </c>
      <c r="G1227" s="2">
        <v>488.0</v>
      </c>
      <c r="H1227" s="2" t="b">
        <v>1</v>
      </c>
      <c r="I1227" s="2">
        <v>-1.0</v>
      </c>
      <c r="J1227" s="2" t="b">
        <v>0</v>
      </c>
      <c r="K1227" s="2" t="b">
        <v>0</v>
      </c>
      <c r="L1227" s="2" t="b">
        <v>0</v>
      </c>
      <c r="M1227" s="2" t="b">
        <v>0</v>
      </c>
      <c r="N1227" s="2" t="s">
        <v>33</v>
      </c>
      <c r="O1227" s="2">
        <v>73.0</v>
      </c>
      <c r="P1227" s="2">
        <v>14.0</v>
      </c>
      <c r="Q1227" s="2">
        <v>22.0</v>
      </c>
      <c r="R1227" s="2">
        <v>0.0</v>
      </c>
      <c r="S1227" s="3" t="s">
        <v>5022</v>
      </c>
      <c r="T1227" s="2" t="s">
        <v>5023</v>
      </c>
      <c r="Y1227" s="4" t="str">
        <f>IFERROR(__xludf.DUMMYFUNCTION("""COMPUTED_VALUE"""),"6.7959748")</f>
        <v>6.7959748</v>
      </c>
      <c r="Z1227" s="4" t="str">
        <f>IFERROR(__xludf.DUMMYFUNCTION("""COMPUTED_VALUE"""),"3.9891183")</f>
        <v>3.9891183</v>
      </c>
      <c r="AA1227" s="4" t="str">
        <f t="shared" si="1"/>
        <v>Neighbor</v>
      </c>
      <c r="AC1227" s="4">
        <f>IFERROR(__xludf.DUMMYFUNCTION("IFERROR(ABS(O1227-AVERAGE(FILTER(O1227:O5295,AA1227:AA5295=""Neighbor""))) / STDEV(FILTER(O1227:O5295, AA1227:AA5295 =""Neighbor"")), """")"),0.23577196885110616)</f>
        <v>0.2357719689</v>
      </c>
      <c r="AD1227" s="4">
        <f>IFERROR(__xludf.DUMMYFUNCTION("IFERROR(ABS(P1227-AVERAGE(FILTER(O1227:P5295,AA1227:AA5295=""Neighbor""))) / STDEV(FILTER(P1227:P5295, AA1227:AA5295 =""Neighbor"")), """")"),1.2013026599485617)</f>
        <v>1.20130266</v>
      </c>
      <c r="AE1227" s="2">
        <f>IFERROR(__xludf.DUMMYFUNCTION("IFERROR(ABS(Q1227-AVERAGE(FILTER(Q1227:Q5295,AA1227:AA5295=""Neighbor""))) / STDEV(FILTER(Q1227:Q5295, AA1227:AA5295 =""Neighbor"")), """")"),0.13560097439114066)</f>
        <v>0.1356009744</v>
      </c>
      <c r="AF1227" s="2">
        <f>IFERROR(__xludf.DUMMYFUNCTION("IFERROR(ABS(R1227-AVERAGE(FILTER(R1227:R5295,AA1227:AA5295=""Neighbor""))) / STDEV(FILTER(R1227:R5295, AA1227:AA5295 =""Neighbor"")), """")"),0.34296241369568)</f>
        <v>0.3429624137</v>
      </c>
    </row>
    <row r="1228">
      <c r="A1228" s="2" t="s">
        <v>28</v>
      </c>
      <c r="B1228" s="2" t="s">
        <v>4981</v>
      </c>
      <c r="C1228" s="2" t="s">
        <v>5019</v>
      </c>
      <c r="D1228" s="2" t="s">
        <v>5024</v>
      </c>
      <c r="E1228" s="2" t="s">
        <v>5025</v>
      </c>
      <c r="F1228" s="2">
        <v>179.0</v>
      </c>
      <c r="G1228" s="2">
        <v>819.0</v>
      </c>
      <c r="H1228" s="2" t="b">
        <v>1</v>
      </c>
      <c r="I1228" s="2">
        <v>-1.0</v>
      </c>
      <c r="J1228" s="2" t="b">
        <v>0</v>
      </c>
      <c r="K1228" s="2" t="b">
        <v>0</v>
      </c>
      <c r="L1228" s="2" t="b">
        <v>0</v>
      </c>
      <c r="M1228" s="2" t="b">
        <v>0</v>
      </c>
      <c r="N1228" s="2" t="s">
        <v>33</v>
      </c>
      <c r="O1228" s="2">
        <v>107.0</v>
      </c>
      <c r="P1228" s="2">
        <v>28.0</v>
      </c>
      <c r="Q1228" s="2">
        <v>22.0</v>
      </c>
      <c r="R1228" s="2">
        <v>0.0</v>
      </c>
      <c r="S1228" s="3" t="s">
        <v>5026</v>
      </c>
      <c r="T1228" s="2" t="s">
        <v>5027</v>
      </c>
      <c r="Y1228" s="4" t="str">
        <f>IFERROR(__xludf.DUMMYFUNCTION("""COMPUTED_VALUE"""),"6.7971457")</f>
        <v>6.7971457</v>
      </c>
      <c r="Z1228" s="4" t="str">
        <f>IFERROR(__xludf.DUMMYFUNCTION("""COMPUTED_VALUE"""),"3.9902171")</f>
        <v>3.9902171</v>
      </c>
      <c r="AA1228" s="4" t="str">
        <f t="shared" si="1"/>
        <v>Neighbor</v>
      </c>
      <c r="AC1228" s="4">
        <f>IFERROR(__xludf.DUMMYFUNCTION("IFERROR(ABS(O1228-AVERAGE(FILTER(O1228:O5296,AA1228:AA5296=""Neighbor""))) / STDEV(FILTER(O1228:O5296, AA1228:AA5296 =""Neighbor"")), """")"),1.0524396472573492)</f>
        <v>1.052439647</v>
      </c>
      <c r="AD1228" s="4">
        <f>IFERROR(__xludf.DUMMYFUNCTION("IFERROR(ABS(P1228-AVERAGE(FILTER(O1228:P5296,AA1228:AA5296=""Neighbor""))) / STDEV(FILTER(P1228:P5296, AA1228:AA5296 =""Neighbor"")), """")"),0.5368032183674911)</f>
        <v>0.5368032184</v>
      </c>
      <c r="AE1228" s="2">
        <f>IFERROR(__xludf.DUMMYFUNCTION("IFERROR(ABS(Q1228-AVERAGE(FILTER(Q1228:Q5296,AA1228:AA5296=""Neighbor""))) / STDEV(FILTER(Q1228:Q5296, AA1228:AA5296 =""Neighbor"")), """")"),0.13565855201315918)</f>
        <v>0.135658552</v>
      </c>
      <c r="AF1228" s="2">
        <f>IFERROR(__xludf.DUMMYFUNCTION("IFERROR(ABS(R1228-AVERAGE(FILTER(R1228:R5296,AA1228:AA5296=""Neighbor""))) / STDEV(FILTER(R1228:R5296, AA1228:AA5296 =""Neighbor"")), """")"),0.3431222627360263)</f>
        <v>0.3431222627</v>
      </c>
    </row>
    <row r="1229">
      <c r="A1229" s="2" t="s">
        <v>28</v>
      </c>
      <c r="B1229" s="2" t="s">
        <v>4981</v>
      </c>
      <c r="C1229" s="2" t="s">
        <v>5019</v>
      </c>
      <c r="D1229" s="2" t="s">
        <v>5028</v>
      </c>
      <c r="E1229" s="2" t="s">
        <v>5029</v>
      </c>
      <c r="F1229" s="2">
        <v>171.0</v>
      </c>
      <c r="G1229" s="2">
        <v>750.0</v>
      </c>
      <c r="H1229" s="2" t="b">
        <v>1</v>
      </c>
      <c r="I1229" s="2">
        <v>-1.0</v>
      </c>
      <c r="J1229" s="2" t="b">
        <v>0</v>
      </c>
      <c r="K1229" s="2" t="b">
        <v>0</v>
      </c>
      <c r="L1229" s="2" t="b">
        <v>0</v>
      </c>
      <c r="M1229" s="2" t="b">
        <v>0</v>
      </c>
      <c r="N1229" s="2" t="s">
        <v>33</v>
      </c>
      <c r="O1229" s="2">
        <v>108.0</v>
      </c>
      <c r="P1229" s="2">
        <v>25.0</v>
      </c>
      <c r="Q1229" s="2">
        <v>25.0</v>
      </c>
      <c r="R1229" s="2">
        <v>1.0</v>
      </c>
      <c r="S1229" s="3" t="s">
        <v>5030</v>
      </c>
      <c r="T1229" s="2" t="s">
        <v>5031</v>
      </c>
      <c r="Y1229" s="4" t="str">
        <f>IFERROR(__xludf.DUMMYFUNCTION("""COMPUTED_VALUE"""),"6.7971457")</f>
        <v>6.7971457</v>
      </c>
      <c r="Z1229" s="4" t="str">
        <f>IFERROR(__xludf.DUMMYFUNCTION("""COMPUTED_VALUE"""),"3.9902171")</f>
        <v>3.9902171</v>
      </c>
      <c r="AA1229" s="4" t="str">
        <f t="shared" si="1"/>
        <v>Not Neighbor</v>
      </c>
      <c r="AC1229" s="4">
        <f>IFERROR(__xludf.DUMMYFUNCTION("IFERROR(ABS(O1229-AVERAGE(FILTER(O1229:O5297,AA1229:AA5297=""Neighbor""))) / STDEV(FILTER(O1229:O5297, AA1229:AA5297 =""Neighbor"")), """")"),1.077384359047993)</f>
        <v>1.077384359</v>
      </c>
      <c r="AD1229" s="4">
        <f>IFERROR(__xludf.DUMMYFUNCTION("IFERROR(ABS(P1229-AVERAGE(FILTER(O1229:P5297,AA1229:AA5297=""Neighbor""))) / STDEV(FILTER(P1229:P5297, AA1229:AA5297 =""Neighbor"")), """")"),0.6777542316969698)</f>
        <v>0.6777542317</v>
      </c>
      <c r="AE1229" s="2">
        <f>IFERROR(__xludf.DUMMYFUNCTION("IFERROR(ABS(Q1229-AVERAGE(FILTER(Q1229:Q5297,AA1229:AA5297=""Neighbor""))) / STDEV(FILTER(Q1229:Q5297, AA1229:AA5297 =""Neighbor"")), """")"),0.013937870927217773)</f>
        <v>0.01393787093</v>
      </c>
      <c r="AF1229" s="2">
        <f>IFERROR(__xludf.DUMMYFUNCTION("IFERROR(ABS(R1229-AVERAGE(FILTER(R1229:R5297,AA1229:AA5297=""Neighbor""))) / STDEV(FILTER(R1229:R5297, AA1229:AA5297 =""Neighbor"")), """")"),0.8796609847628488)</f>
        <v>0.8796609848</v>
      </c>
    </row>
    <row r="1230">
      <c r="A1230" s="2" t="s">
        <v>28</v>
      </c>
      <c r="B1230" s="2" t="s">
        <v>4981</v>
      </c>
      <c r="C1230" s="2" t="s">
        <v>5019</v>
      </c>
      <c r="D1230" s="2" t="s">
        <v>5032</v>
      </c>
      <c r="E1230" s="2" t="s">
        <v>5033</v>
      </c>
      <c r="F1230" s="2">
        <v>257.0</v>
      </c>
      <c r="G1230" s="2">
        <v>748.0</v>
      </c>
      <c r="H1230" s="2" t="b">
        <v>1</v>
      </c>
      <c r="I1230" s="2">
        <v>-1.0</v>
      </c>
      <c r="J1230" s="2" t="b">
        <v>0</v>
      </c>
      <c r="K1230" s="2" t="b">
        <v>0</v>
      </c>
      <c r="L1230" s="2" t="b">
        <v>0</v>
      </c>
      <c r="M1230" s="2" t="b">
        <v>0</v>
      </c>
      <c r="N1230" s="2" t="s">
        <v>33</v>
      </c>
      <c r="O1230" s="2">
        <v>166.0</v>
      </c>
      <c r="P1230" s="2">
        <v>38.0</v>
      </c>
      <c r="Q1230" s="2">
        <v>40.0</v>
      </c>
      <c r="R1230" s="2">
        <v>1.0</v>
      </c>
      <c r="S1230" s="3" t="s">
        <v>5034</v>
      </c>
      <c r="T1230" s="2" t="s">
        <v>5035</v>
      </c>
      <c r="Y1230" s="4" t="str">
        <f>IFERROR(__xludf.DUMMYFUNCTION("""COMPUTED_VALUE"""),"6.839102")</f>
        <v>6.839102</v>
      </c>
      <c r="Z1230" s="4" t="str">
        <f>IFERROR(__xludf.DUMMYFUNCTION("""COMPUTED_VALUE"""),"4.039932")</f>
        <v>4.039932</v>
      </c>
      <c r="AA1230" s="4" t="str">
        <f t="shared" si="1"/>
        <v>Not Neighbor</v>
      </c>
      <c r="AC1230" s="4">
        <f>IFERROR(__xludf.DUMMYFUNCTION("IFERROR(ABS(O1230-AVERAGE(FILTER(O1230:O5298,AA1230:AA5298=""Neighbor""))) / STDEV(FILTER(O1230:O5298, AA1230:AA5298 =""Neighbor"")), """")"),2.4704095291991424)</f>
        <v>2.470409529</v>
      </c>
      <c r="AD1230" s="4">
        <f>IFERROR(__xludf.DUMMYFUNCTION("IFERROR(ABS(P1230-AVERAGE(FILTER(O1230:P5298,AA1230:AA5298=""Neighbor""))) / STDEV(FILTER(P1230:P5298, AA1230:AA5298 =""Neighbor"")), """")"),0.06150241450423008)</f>
        <v>0.0615024145</v>
      </c>
      <c r="AE1230" s="2">
        <f>IFERROR(__xludf.DUMMYFUNCTION("IFERROR(ABS(Q1230-AVERAGE(FILTER(Q1230:Q5298,AA1230:AA5298=""Neighbor""))) / STDEV(FILTER(Q1230:Q5298, AA1230:AA5298 =""Neighbor"")), """")"),0.5949537896523349)</f>
        <v>0.5949537897</v>
      </c>
      <c r="AF1230" s="2">
        <f>IFERROR(__xludf.DUMMYFUNCTION("IFERROR(ABS(R1230-AVERAGE(FILTER(R1230:R5298,AA1230:AA5298=""Neighbor""))) / STDEV(FILTER(R1230:R5298, AA1230:AA5298 =""Neighbor"")), """")"),0.8796609847628488)</f>
        <v>0.8796609848</v>
      </c>
    </row>
    <row r="1231">
      <c r="A1231" s="2" t="s">
        <v>28</v>
      </c>
      <c r="B1231" s="2" t="s">
        <v>4981</v>
      </c>
      <c r="C1231" s="2" t="s">
        <v>5019</v>
      </c>
      <c r="D1231" s="2" t="s">
        <v>5036</v>
      </c>
      <c r="E1231" s="2" t="s">
        <v>5037</v>
      </c>
      <c r="F1231" s="2">
        <v>64.0</v>
      </c>
      <c r="G1231" s="2">
        <v>256.0</v>
      </c>
      <c r="H1231" s="2" t="b">
        <v>1</v>
      </c>
      <c r="I1231" s="2">
        <v>-1.0</v>
      </c>
      <c r="J1231" s="2" t="b">
        <v>0</v>
      </c>
      <c r="K1231" s="2" t="b">
        <v>0</v>
      </c>
      <c r="L1231" s="2" t="b">
        <v>0</v>
      </c>
      <c r="M1231" s="2" t="b">
        <v>0</v>
      </c>
      <c r="N1231" s="2" t="s">
        <v>33</v>
      </c>
      <c r="O1231" s="2">
        <v>51.0</v>
      </c>
      <c r="P1231" s="2">
        <v>7.0</v>
      </c>
      <c r="Q1231" s="2">
        <v>5.0</v>
      </c>
      <c r="R1231" s="2">
        <v>0.0</v>
      </c>
      <c r="S1231" s="3" t="s">
        <v>5038</v>
      </c>
      <c r="T1231" s="2" t="s">
        <v>5039</v>
      </c>
      <c r="Y1231" s="4" t="str">
        <f>IFERROR(__xludf.DUMMYFUNCTION("""COMPUTED_VALUE"""),"6.8152233")</f>
        <v>6.8152233</v>
      </c>
      <c r="Z1231" s="4" t="str">
        <f>IFERROR(__xludf.DUMMYFUNCTION("""COMPUTED_VALUE"""),"4.0050661")</f>
        <v>4.0050661</v>
      </c>
      <c r="AA1231" s="4" t="str">
        <f t="shared" si="1"/>
        <v>Neighbor</v>
      </c>
      <c r="AC1231" s="4">
        <f>IFERROR(__xludf.DUMMYFUNCTION("IFERROR(ABS(O1231-AVERAGE(FILTER(O1231:O5299,AA1231:AA5299=""Neighbor""))) / STDEV(FILTER(O1231:O5299, AA1231:AA5299 =""Neighbor"")), """")"),0.29162313575572274)</f>
        <v>0.2916231358</v>
      </c>
      <c r="AD1231" s="4">
        <f>IFERROR(__xludf.DUMMYFUNCTION("IFERROR(ABS(P1231-AVERAGE(FILTER(O1231:P5299,AA1231:AA5299=""Neighbor""))) / STDEV(FILTER(P1231:P5299, AA1231:AA5299 =""Neighbor"")), """")"),1.5310259785792246)</f>
        <v>1.531025979</v>
      </c>
      <c r="AE1231" s="2">
        <f>IFERROR(__xludf.DUMMYFUNCTION("IFERROR(ABS(Q1231-AVERAGE(FILTER(Q1231:Q5299,AA1231:AA5299=""Neighbor""))) / STDEV(FILTER(Q1231:Q5299, AA1231:AA5299 =""Neighbor"")), """")"),0.8257934183666213)</f>
        <v>0.8257934184</v>
      </c>
      <c r="AF1231" s="2">
        <f>IFERROR(__xludf.DUMMYFUNCTION("IFERROR(ABS(R1231-AVERAGE(FILTER(R1231:R5299,AA1231:AA5299=""Neighbor""))) / STDEV(FILTER(R1231:R5299, AA1231:AA5299 =""Neighbor"")), """")"),0.34328233551720927)</f>
        <v>0.3432823355</v>
      </c>
    </row>
    <row r="1232">
      <c r="A1232" s="2" t="s">
        <v>28</v>
      </c>
      <c r="B1232" s="2" t="s">
        <v>4981</v>
      </c>
      <c r="C1232" s="2" t="s">
        <v>5019</v>
      </c>
      <c r="D1232" s="2" t="s">
        <v>5040</v>
      </c>
      <c r="E1232" s="2" t="s">
        <v>5041</v>
      </c>
      <c r="F1232" s="2">
        <v>92.0</v>
      </c>
      <c r="G1232" s="2">
        <v>442.0</v>
      </c>
      <c r="H1232" s="2" t="b">
        <v>1</v>
      </c>
      <c r="I1232" s="2">
        <v>-1.0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s">
        <v>33</v>
      </c>
      <c r="O1232" s="2">
        <v>50.0</v>
      </c>
      <c r="P1232" s="2">
        <v>26.0</v>
      </c>
      <c r="Q1232" s="2">
        <v>12.0</v>
      </c>
      <c r="R1232" s="2">
        <v>0.0</v>
      </c>
      <c r="S1232" s="3" t="s">
        <v>5042</v>
      </c>
      <c r="T1232" s="2" t="s">
        <v>5043</v>
      </c>
      <c r="Y1232" s="4" t="str">
        <f>IFERROR(__xludf.DUMMYFUNCTION("""COMPUTED_VALUE"""),"6.813234")</f>
        <v>6.813234</v>
      </c>
      <c r="Z1232" s="4" t="str">
        <f>IFERROR(__xludf.DUMMYFUNCTION("""COMPUTED_VALUE"""),"4.0031521")</f>
        <v>4.0031521</v>
      </c>
      <c r="AA1232" s="4" t="str">
        <f t="shared" si="1"/>
        <v>Neighbor</v>
      </c>
      <c r="AC1232" s="4">
        <f>IFERROR(__xludf.DUMMYFUNCTION("IFERROR(ABS(O1232-AVERAGE(FILTER(O1232:O5300,AA1232:AA5300=""Neighbor""))) / STDEV(FILTER(O1232:O5300, AA1232:AA5300 =""Neighbor"")), """")"),0.3157637928487235)</f>
        <v>0.3157637928</v>
      </c>
      <c r="AD1232" s="4">
        <f>IFERROR(__xludf.DUMMYFUNCTION("IFERROR(ABS(P1232-AVERAGE(FILTER(O1232:P5300,AA1232:AA5300=""Neighbor""))) / STDEV(FILTER(P1232:P5300, AA1232:AA5300 =""Neighbor"")), """")"),0.6305369981921403)</f>
        <v>0.6305369982</v>
      </c>
      <c r="AE1232" s="2">
        <f>IFERROR(__xludf.DUMMYFUNCTION("IFERROR(ABS(Q1232-AVERAGE(FILTER(Q1232:Q5300,AA1232:AA5300=""Neighbor""))) / STDEV(FILTER(Q1232:Q5300, AA1232:AA5300 =""Neighbor"")), """")"),0.5422624084425217)</f>
        <v>0.5422624084</v>
      </c>
      <c r="AF1232" s="2">
        <f>IFERROR(__xludf.DUMMYFUNCTION("IFERROR(ABS(R1232-AVERAGE(FILTER(R1232:R5300,AA1232:AA5300=""Neighbor""))) / STDEV(FILTER(R1232:R5300, AA1232:AA5300 =""Neighbor"")), """")"),0.3434426325617143)</f>
        <v>0.3434426326</v>
      </c>
    </row>
    <row r="1233">
      <c r="A1233" s="2" t="s">
        <v>28</v>
      </c>
      <c r="B1233" s="2" t="s">
        <v>4981</v>
      </c>
      <c r="C1233" s="2" t="s">
        <v>5019</v>
      </c>
      <c r="D1233" s="2" t="s">
        <v>5044</v>
      </c>
      <c r="E1233" s="2" t="s">
        <v>5045</v>
      </c>
      <c r="F1233" s="2">
        <v>88.0</v>
      </c>
      <c r="G1233" s="2">
        <v>337.0</v>
      </c>
      <c r="H1233" s="2" t="b">
        <v>1</v>
      </c>
      <c r="I1233" s="2">
        <v>-1.0</v>
      </c>
      <c r="J1233" s="2" t="b">
        <v>0</v>
      </c>
      <c r="K1233" s="2" t="b">
        <v>0</v>
      </c>
      <c r="L1233" s="2" t="b">
        <v>0</v>
      </c>
      <c r="M1233" s="2" t="b">
        <v>0</v>
      </c>
      <c r="N1233" s="2" t="s">
        <v>33</v>
      </c>
      <c r="O1233" s="2">
        <v>58.0</v>
      </c>
      <c r="P1233" s="2">
        <v>10.0</v>
      </c>
      <c r="Q1233" s="2">
        <v>15.0</v>
      </c>
      <c r="R1233" s="2">
        <v>0.0</v>
      </c>
      <c r="S1233" s="3" t="s">
        <v>5046</v>
      </c>
      <c r="T1233" s="2" t="s">
        <v>5047</v>
      </c>
      <c r="Y1233" s="4" t="str">
        <f>IFERROR(__xludf.DUMMYFUNCTION("""COMPUTED_VALUE"""),"6.813234")</f>
        <v>6.813234</v>
      </c>
      <c r="Z1233" s="4" t="str">
        <f>IFERROR(__xludf.DUMMYFUNCTION("""COMPUTED_VALUE"""),"4.0031521")</f>
        <v>4.0031521</v>
      </c>
      <c r="AA1233" s="4" t="str">
        <f t="shared" si="1"/>
        <v>Neighbor</v>
      </c>
      <c r="AC1233" s="4">
        <f>IFERROR(__xludf.DUMMYFUNCTION("IFERROR(ABS(O1233-AVERAGE(FILTER(O1233:O5301,AA1233:AA5301=""Neighbor""))) / STDEV(FILTER(O1233:O5301, AA1233:AA5301 =""Neighbor"")), """")"),0.12391343337279452)</f>
        <v>0.1239134334</v>
      </c>
      <c r="AD1233" s="4">
        <f>IFERROR(__xludf.DUMMYFUNCTION("IFERROR(ABS(P1233-AVERAGE(FILTER(O1233:P5301,AA1233:AA5301=""Neighbor""))) / STDEV(FILTER(P1233:P5301, AA1233:AA5301 =""Neighbor"")), """")"),1.3883501914242324)</f>
        <v>1.388350191</v>
      </c>
      <c r="AE1233" s="2">
        <f>IFERROR(__xludf.DUMMYFUNCTION("IFERROR(ABS(Q1233-AVERAGE(FILTER(Q1233:Q5301,AA1233:AA5301=""Neighbor""))) / STDEV(FILTER(Q1233:Q5301, AA1233:AA5301 =""Neighbor"")), """")"),0.42082968073044175)</f>
        <v>0.4208296807</v>
      </c>
      <c r="AF1233" s="2">
        <f>IFERROR(__xludf.DUMMYFUNCTION("IFERROR(ABS(R1233-AVERAGE(FILTER(R1233:R5301,AA1233:AA5301=""Neighbor""))) / STDEV(FILTER(R1233:R5301, AA1233:AA5301 =""Neighbor"")), """")"),0.34360315439373734)</f>
        <v>0.3436031544</v>
      </c>
    </row>
    <row r="1234">
      <c r="A1234" s="2" t="s">
        <v>28</v>
      </c>
      <c r="B1234" s="2" t="s">
        <v>4981</v>
      </c>
      <c r="C1234" s="2" t="s">
        <v>5019</v>
      </c>
      <c r="D1234" s="2" t="s">
        <v>5048</v>
      </c>
      <c r="E1234" s="2" t="s">
        <v>5049</v>
      </c>
      <c r="F1234" s="2">
        <v>23.0</v>
      </c>
      <c r="G1234" s="2">
        <v>205.0</v>
      </c>
      <c r="H1234" s="2" t="b">
        <v>1</v>
      </c>
      <c r="I1234" s="2">
        <v>-1.0</v>
      </c>
      <c r="J1234" s="2" t="b">
        <v>0</v>
      </c>
      <c r="K1234" s="2" t="b">
        <v>0</v>
      </c>
      <c r="L1234" s="2" t="b">
        <v>0</v>
      </c>
      <c r="M1234" s="2" t="b">
        <v>0</v>
      </c>
      <c r="N1234" s="2" t="s">
        <v>33</v>
      </c>
      <c r="O1234" s="2">
        <v>15.0</v>
      </c>
      <c r="P1234" s="2">
        <v>0.0</v>
      </c>
      <c r="Q1234" s="2">
        <v>4.0</v>
      </c>
      <c r="R1234" s="2">
        <v>0.0</v>
      </c>
      <c r="S1234" s="3" t="s">
        <v>5050</v>
      </c>
      <c r="T1234" s="2" t="s">
        <v>5051</v>
      </c>
      <c r="Y1234" s="4" t="str">
        <f>IFERROR(__xludf.DUMMYFUNCTION("""COMPUTED_VALUE"""),"6.813234")</f>
        <v>6.813234</v>
      </c>
      <c r="Z1234" s="4" t="str">
        <f>IFERROR(__xludf.DUMMYFUNCTION("""COMPUTED_VALUE"""),"4.0031521")</f>
        <v>4.0031521</v>
      </c>
      <c r="AA1234" s="4" t="str">
        <f t="shared" si="1"/>
        <v>Not Neighbor</v>
      </c>
      <c r="AC1234" s="4">
        <f>IFERROR(__xludf.DUMMYFUNCTION("IFERROR(ABS(O1234-AVERAGE(FILTER(O1234:O5302,AA1234:AA5302=""Neighbor""))) / STDEV(FILTER(O1234:O5302, AA1234:AA5302 =""Neighbor"")), """")"),1.1555164402034783)</f>
        <v>1.15551644</v>
      </c>
      <c r="AD1234" s="4">
        <f>IFERROR(__xludf.DUMMYFUNCTION("IFERROR(ABS(P1234-AVERAGE(FILTER(O1234:P5302,AA1234:AA5302=""Neighbor""))) / STDEV(FILTER(P1234:P5302, AA1234:AA5302 =""Neighbor"")), """")"),1.861557417635184)</f>
        <v>1.861557418</v>
      </c>
      <c r="AE1234" s="2">
        <f>IFERROR(__xludf.DUMMYFUNCTION("IFERROR(ABS(Q1234-AVERAGE(FILTER(Q1234:Q5302,AA1234:AA5302=""Neighbor""))) / STDEV(FILTER(Q1234:Q5302, AA1234:AA5302 =""Neighbor"")), """")"),0.8672125140739303)</f>
        <v>0.8672125141</v>
      </c>
      <c r="AF1234" s="2">
        <f>IFERROR(__xludf.DUMMYFUNCTION("IFERROR(ABS(R1234-AVERAGE(FILTER(R1234:R5302,AA1234:AA5302=""Neighbor""))) / STDEV(FILTER(R1234:R5302, AA1234:AA5302 =""Neighbor"")), """")"),0.3437639015391911)</f>
        <v>0.3437639015</v>
      </c>
    </row>
    <row r="1235">
      <c r="A1235" s="2" t="s">
        <v>28</v>
      </c>
      <c r="B1235" s="2" t="s">
        <v>4981</v>
      </c>
      <c r="C1235" s="2" t="s">
        <v>5019</v>
      </c>
      <c r="D1235" s="2" t="s">
        <v>5052</v>
      </c>
      <c r="E1235" s="2" t="s">
        <v>5053</v>
      </c>
      <c r="F1235" s="2">
        <v>173.0</v>
      </c>
      <c r="G1235" s="2">
        <v>682.0</v>
      </c>
      <c r="H1235" s="2" t="b">
        <v>1</v>
      </c>
      <c r="I1235" s="2">
        <v>-1.0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s">
        <v>33</v>
      </c>
      <c r="O1235" s="2">
        <v>102.0</v>
      </c>
      <c r="P1235" s="2">
        <v>30.0</v>
      </c>
      <c r="Q1235" s="2">
        <v>26.0</v>
      </c>
      <c r="R1235" s="2">
        <v>2.0</v>
      </c>
      <c r="S1235" s="3" t="s">
        <v>5054</v>
      </c>
      <c r="T1235" s="2" t="s">
        <v>5055</v>
      </c>
      <c r="Y1235" s="4" t="str">
        <f>IFERROR(__xludf.DUMMYFUNCTION("""COMPUTED_VALUE"""),"6.7971457")</f>
        <v>6.7971457</v>
      </c>
      <c r="Z1235" s="4" t="str">
        <f>IFERROR(__xludf.DUMMYFUNCTION("""COMPUTED_VALUE"""),"3.9902171")</f>
        <v>3.9902171</v>
      </c>
      <c r="AA1235" s="4" t="str">
        <f t="shared" si="1"/>
        <v>Neighbor</v>
      </c>
      <c r="AC1235" s="4">
        <f>IFERROR(__xludf.DUMMYFUNCTION("IFERROR(ABS(O1235-AVERAGE(FILTER(O1235:O5303,AA1235:AA5303=""Neighbor""))) / STDEV(FILTER(O1235:O5303, AA1235:AA5303 =""Neighbor"")), """")"),0.9315738500917107)</f>
        <v>0.9315738501</v>
      </c>
      <c r="AD1235" s="4">
        <f>IFERROR(__xludf.DUMMYFUNCTION("IFERROR(ABS(P1235-AVERAGE(FILTER(O1235:P5303,AA1235:AA5303=""Neighbor""))) / STDEV(FILTER(P1235:P5303, AA1235:AA5303 =""Neighbor"")), """")"),0.440939012511568)</f>
        <v>0.4409390125</v>
      </c>
      <c r="AE1235" s="2">
        <f>IFERROR(__xludf.DUMMYFUNCTION("IFERROR(ABS(Q1235-AVERAGE(FILTER(Q1235:Q5303,AA1235:AA5303=""Neighbor""))) / STDEV(FILTER(Q1235:Q5303, AA1235:AA5303 =""Neighbor"")), """")"),0.02513856394604784)</f>
        <v>0.02513856395</v>
      </c>
      <c r="AF1235" s="2">
        <f>IFERROR(__xludf.DUMMYFUNCTION("IFERROR(ABS(R1235-AVERAGE(FILTER(R1235:R5303,AA1235:AA5303=""Neighbor""))) / STDEV(FILTER(R1235:R5303, AA1235:AA5303 =""Neighbor"")), """")"),2.0994152558286316)</f>
        <v>2.099415256</v>
      </c>
    </row>
    <row r="1236">
      <c r="A1236" s="2" t="s">
        <v>28</v>
      </c>
      <c r="B1236" s="2" t="s">
        <v>4981</v>
      </c>
      <c r="C1236" s="2" t="s">
        <v>5019</v>
      </c>
      <c r="D1236" s="2" t="s">
        <v>5056</v>
      </c>
      <c r="E1236" s="2" t="s">
        <v>5057</v>
      </c>
      <c r="F1236" s="2">
        <v>187.0</v>
      </c>
      <c r="G1236" s="2">
        <v>818.0</v>
      </c>
      <c r="H1236" s="2" t="b">
        <v>1</v>
      </c>
      <c r="I1236" s="2">
        <v>-1.0</v>
      </c>
      <c r="J1236" s="2" t="b">
        <v>0</v>
      </c>
      <c r="K1236" s="2" t="b">
        <v>0</v>
      </c>
      <c r="L1236" s="2" t="b">
        <v>0</v>
      </c>
      <c r="M1236" s="2" t="b">
        <v>0</v>
      </c>
      <c r="N1236" s="2" t="s">
        <v>33</v>
      </c>
      <c r="O1236" s="2">
        <v>89.0</v>
      </c>
      <c r="P1236" s="2">
        <v>66.0</v>
      </c>
      <c r="Q1236" s="2">
        <v>23.0</v>
      </c>
      <c r="R1236" s="2">
        <v>1.0</v>
      </c>
      <c r="S1236" s="3" t="s">
        <v>5058</v>
      </c>
      <c r="T1236" s="2" t="s">
        <v>5059</v>
      </c>
      <c r="Y1236" s="4" t="str">
        <f>IFERROR(__xludf.DUMMYFUNCTION("""COMPUTED_VALUE"""),"6.7945985")</f>
        <v>6.7945985</v>
      </c>
      <c r="Z1236" s="4" t="str">
        <f>IFERROR(__xludf.DUMMYFUNCTION("""COMPUTED_VALUE"""),"3.9909243")</f>
        <v>3.9909243</v>
      </c>
      <c r="AA1236" s="4" t="str">
        <f t="shared" si="1"/>
        <v>Not Neighbor</v>
      </c>
      <c r="AC1236" s="4">
        <f>IFERROR(__xludf.DUMMYFUNCTION("IFERROR(ABS(O1236-AVERAGE(FILTER(O1236:O5304,AA1236:AA5304=""Neighbor""))) / STDEV(FILTER(O1236:O5304, AA1236:AA5304 =""Neighbor"")), """")"),0.6204564421688997)</f>
        <v>0.6204564422</v>
      </c>
      <c r="AD1236" s="4">
        <f>IFERROR(__xludf.DUMMYFUNCTION("IFERROR(ABS(P1236-AVERAGE(FILTER(O1236:P5304,AA1236:AA5304=""Neighbor""))) / STDEV(FILTER(P1236:P5304, AA1236:AA5304 =""Neighbor"")), """")"),1.2645838374810139)</f>
        <v>1.264583837</v>
      </c>
      <c r="AE1236" s="2">
        <f>IFERROR(__xludf.DUMMYFUNCTION("IFERROR(ABS(Q1236-AVERAGE(FILTER(Q1236:Q5304,AA1236:AA5304=""Neighbor""))) / STDEV(FILTER(Q1236:Q5304, AA1236:AA5304 =""Neighbor"")), """")"),0.09648416476967811)</f>
        <v>0.09648416477</v>
      </c>
      <c r="AF1236" s="2">
        <f>IFERROR(__xludf.DUMMYFUNCTION("IFERROR(ABS(R1236-AVERAGE(FILTER(R1236:R5304,AA1236:AA5304=""Neighbor""))) / STDEV(FILTER(R1236:R5304, AA1236:AA5304 =""Neighbor"")), """")"),0.8808467520245216)</f>
        <v>0.880846752</v>
      </c>
    </row>
    <row r="1237">
      <c r="A1237" s="2" t="s">
        <v>28</v>
      </c>
      <c r="B1237" s="2" t="s">
        <v>4981</v>
      </c>
      <c r="C1237" s="2" t="s">
        <v>5019</v>
      </c>
      <c r="D1237" s="2" t="s">
        <v>5060</v>
      </c>
      <c r="E1237" s="2" t="s">
        <v>5061</v>
      </c>
      <c r="F1237" s="2">
        <v>73.0</v>
      </c>
      <c r="G1237" s="2">
        <v>454.0</v>
      </c>
      <c r="H1237" s="2" t="b">
        <v>1</v>
      </c>
      <c r="I1237" s="2">
        <v>-1.0</v>
      </c>
      <c r="J1237" s="2" t="b">
        <v>0</v>
      </c>
      <c r="K1237" s="2" t="b">
        <v>0</v>
      </c>
      <c r="L1237" s="2" t="b">
        <v>0</v>
      </c>
      <c r="M1237" s="2" t="b">
        <v>0</v>
      </c>
      <c r="N1237" s="2" t="s">
        <v>33</v>
      </c>
      <c r="O1237" s="2">
        <v>38.0</v>
      </c>
      <c r="P1237" s="2">
        <v>14.0</v>
      </c>
      <c r="Q1237" s="2">
        <v>11.0</v>
      </c>
      <c r="R1237" s="2">
        <v>1.0</v>
      </c>
      <c r="S1237" s="3" t="s">
        <v>5062</v>
      </c>
      <c r="T1237" s="2" t="s">
        <v>5063</v>
      </c>
      <c r="Y1237" s="4" t="str">
        <f>IFERROR(__xludf.DUMMYFUNCTION("""COMPUTED_VALUE"""),"6.813234")</f>
        <v>6.813234</v>
      </c>
      <c r="Z1237" s="4" t="str">
        <f>IFERROR(__xludf.DUMMYFUNCTION("""COMPUTED_VALUE"""),"4.0031521")</f>
        <v>4.0031521</v>
      </c>
      <c r="AA1237" s="4" t="str">
        <f t="shared" si="1"/>
        <v>Not Neighbor</v>
      </c>
      <c r="AC1237" s="4">
        <f>IFERROR(__xludf.DUMMYFUNCTION("IFERROR(ABS(O1237-AVERAGE(FILTER(O1237:O5305,AA1237:AA5305=""Neighbor""))) / STDEV(FILTER(O1237:O5305, AA1237:AA5305 =""Neighbor"")), """")"),0.6029428290137289)</f>
        <v>0.602942829</v>
      </c>
      <c r="AD1237" s="4">
        <f>IFERROR(__xludf.DUMMYFUNCTION("IFERROR(ABS(P1237-AVERAGE(FILTER(O1237:P5305,AA1237:AA5305=""Neighbor""))) / STDEV(FILTER(P1237:P5305, AA1237:AA5305 =""Neighbor"")), """")"),1.1972790553192174)</f>
        <v>1.197279055</v>
      </c>
      <c r="AE1237" s="2">
        <f>IFERROR(__xludf.DUMMYFUNCTION("IFERROR(ABS(Q1237-AVERAGE(FILTER(Q1237:Q5305,AA1237:AA5305=""Neighbor""))) / STDEV(FILTER(Q1237:Q5305, AA1237:AA5305 =""Neighbor"")), """")"),0.5830172055737328)</f>
        <v>0.5830172056</v>
      </c>
      <c r="AF1237" s="2">
        <f>IFERROR(__xludf.DUMMYFUNCTION("IFERROR(ABS(R1237-AVERAGE(FILTER(R1237:R5305,AA1237:AA5305=""Neighbor""))) / STDEV(FILTER(R1237:R5305, AA1237:AA5305 =""Neighbor"")), """")"),0.8808467520245216)</f>
        <v>0.880846752</v>
      </c>
    </row>
    <row r="1238">
      <c r="A1238" s="2" t="s">
        <v>28</v>
      </c>
      <c r="B1238" s="2" t="s">
        <v>4981</v>
      </c>
      <c r="C1238" s="2" t="s">
        <v>5064</v>
      </c>
      <c r="D1238" s="2" t="s">
        <v>5065</v>
      </c>
      <c r="E1238" s="2" t="s">
        <v>5066</v>
      </c>
      <c r="F1238" s="2">
        <v>249.0</v>
      </c>
      <c r="G1238" s="2">
        <v>941.0</v>
      </c>
      <c r="H1238" s="2" t="b">
        <v>1</v>
      </c>
      <c r="I1238" s="2">
        <v>-1.0</v>
      </c>
      <c r="J1238" s="2" t="b">
        <v>0</v>
      </c>
      <c r="K1238" s="2" t="b">
        <v>0</v>
      </c>
      <c r="L1238" s="2" t="b">
        <v>0</v>
      </c>
      <c r="M1238" s="2" t="b">
        <v>0</v>
      </c>
      <c r="N1238" s="2" t="s">
        <v>33</v>
      </c>
      <c r="O1238" s="2">
        <v>120.0</v>
      </c>
      <c r="P1238" s="2">
        <v>55.0</v>
      </c>
      <c r="Q1238" s="2">
        <v>59.0</v>
      </c>
      <c r="R1238" s="2">
        <v>0.0</v>
      </c>
      <c r="S1238" s="3" t="s">
        <v>5067</v>
      </c>
      <c r="T1238" s="2" t="s">
        <v>5068</v>
      </c>
      <c r="Y1238" s="4" t="str">
        <f>IFERROR(__xludf.DUMMYFUNCTION("""COMPUTED_VALUE"""),"6.8286369")</f>
        <v>6.8286369</v>
      </c>
      <c r="Z1238" s="4" t="str">
        <f>IFERROR(__xludf.DUMMYFUNCTION("""COMPUTED_VALUE"""),"4.0797673")</f>
        <v>4.0797673</v>
      </c>
      <c r="AA1238" s="4" t="str">
        <f t="shared" si="1"/>
        <v>Not Neighbor</v>
      </c>
      <c r="AC1238" s="4">
        <f>IFERROR(__xludf.DUMMYFUNCTION("IFERROR(ABS(O1238-AVERAGE(FILTER(O1238:O5306,AA1238:AA5306=""Neighbor""))) / STDEV(FILTER(O1238:O5306, AA1238:AA5306 =""Neighbor"")), """")"),1.3640912932799092)</f>
        <v>1.364091293</v>
      </c>
      <c r="AD1238" s="4">
        <f>IFERROR(__xludf.DUMMYFUNCTION("IFERROR(ABS(P1238-AVERAGE(FILTER(O1238:P5306,AA1238:AA5306=""Neighbor""))) / STDEV(FILTER(P1238:P5306, AA1238:AA5306 =""Neighbor"")), """")"),0.7438051486194265)</f>
        <v>0.7438051486</v>
      </c>
      <c r="AE1238" s="2">
        <f>IFERROR(__xludf.DUMMYFUNCTION("IFERROR(ABS(Q1238-AVERAGE(FILTER(Q1238:Q5306,AA1238:AA5306=""Neighbor""))) / STDEV(FILTER(Q1238:Q5306, AA1238:AA5306 =""Neighbor"")), """")"),1.3631149576424861)</f>
        <v>1.363114958</v>
      </c>
      <c r="AF1238" s="2">
        <f>IFERROR(__xludf.DUMMYFUNCTION("IFERROR(ABS(R1238-AVERAGE(FILTER(R1238:R5306,AA1238:AA5306=""Neighbor""))) / STDEV(FILTER(R1238:R5306, AA1238:AA5306 =""Neighbor"")), """")"),0.3424945461888128)</f>
        <v>0.3424945462</v>
      </c>
    </row>
    <row r="1239">
      <c r="A1239" s="2" t="s">
        <v>28</v>
      </c>
      <c r="B1239" s="2" t="s">
        <v>4981</v>
      </c>
      <c r="C1239" s="2" t="s">
        <v>5064</v>
      </c>
      <c r="D1239" s="2" t="s">
        <v>5069</v>
      </c>
      <c r="E1239" s="2" t="s">
        <v>5070</v>
      </c>
      <c r="F1239" s="2">
        <v>175.0</v>
      </c>
      <c r="G1239" s="2">
        <v>572.0</v>
      </c>
      <c r="H1239" s="2" t="b">
        <v>1</v>
      </c>
      <c r="I1239" s="2">
        <v>-1.0</v>
      </c>
      <c r="J1239" s="2" t="b">
        <v>0</v>
      </c>
      <c r="K1239" s="2" t="b">
        <v>0</v>
      </c>
      <c r="L1239" s="2" t="b">
        <v>0</v>
      </c>
      <c r="M1239" s="2" t="b">
        <v>0</v>
      </c>
      <c r="N1239" s="2" t="s">
        <v>33</v>
      </c>
      <c r="O1239" s="2">
        <v>76.0</v>
      </c>
      <c r="P1239" s="2">
        <v>24.0</v>
      </c>
      <c r="Q1239" s="2">
        <v>74.0</v>
      </c>
      <c r="R1239" s="2">
        <v>1.0</v>
      </c>
      <c r="S1239" s="3" t="s">
        <v>5071</v>
      </c>
      <c r="T1239" s="2" t="s">
        <v>5072</v>
      </c>
      <c r="Y1239" s="4" t="str">
        <f>IFERROR(__xludf.DUMMYFUNCTION("""COMPUTED_VALUE"""),"6.7841815")</f>
        <v>6.7841815</v>
      </c>
      <c r="Z1239" s="4" t="str">
        <f>IFERROR(__xludf.DUMMYFUNCTION("""COMPUTED_VALUE"""),"4.0268756")</f>
        <v>4.0268756</v>
      </c>
      <c r="AA1239" s="4" t="str">
        <f t="shared" si="1"/>
        <v>Not Neighbor</v>
      </c>
      <c r="AC1239" s="4">
        <f>IFERROR(__xludf.DUMMYFUNCTION("IFERROR(ABS(O1239-AVERAGE(FILTER(O1239:O5307,AA1239:AA5307=""Neighbor""))) / STDEV(FILTER(O1239:O5307, AA1239:AA5307 =""Neighbor"")), """")"),0.3086095691223474)</f>
        <v>0.3086095691</v>
      </c>
      <c r="AD1239" s="4">
        <f>IFERROR(__xludf.DUMMYFUNCTION("IFERROR(ABS(P1239-AVERAGE(FILTER(O1239:P5307,AA1239:AA5307=""Neighbor""))) / STDEV(FILTER(P1239:P5307, AA1239:AA5307 =""Neighbor"")), """")"),0.7238438836268652)</f>
        <v>0.7238438836</v>
      </c>
      <c r="AE1239" s="2">
        <f>IFERROR(__xludf.DUMMYFUNCTION("IFERROR(ABS(Q1239-AVERAGE(FILTER(Q1239:Q5307,AA1239:AA5307=""Neighbor""))) / STDEV(FILTER(Q1239:Q5307, AA1239:AA5307 =""Neighbor"")), """")"),1.9712812586475545)</f>
        <v>1.971281259</v>
      </c>
      <c r="AF1239" s="2">
        <f>IFERROR(__xludf.DUMMYFUNCTION("IFERROR(ABS(R1239-AVERAGE(FILTER(R1239:R5307,AA1239:AA5307=""Neighbor""))) / STDEV(FILTER(R1239:R5307, AA1239:AA5307 =""Neighbor"")), """")"),0.8808467520245216)</f>
        <v>0.880846752</v>
      </c>
    </row>
    <row r="1240">
      <c r="A1240" s="2" t="s">
        <v>28</v>
      </c>
      <c r="B1240" s="2" t="s">
        <v>4981</v>
      </c>
      <c r="C1240" s="2" t="s">
        <v>5064</v>
      </c>
      <c r="D1240" s="2" t="s">
        <v>5073</v>
      </c>
      <c r="E1240" s="2" t="s">
        <v>5074</v>
      </c>
      <c r="F1240" s="2">
        <v>178.0</v>
      </c>
      <c r="G1240" s="2">
        <v>658.0</v>
      </c>
      <c r="H1240" s="2" t="b">
        <v>1</v>
      </c>
      <c r="I1240" s="2">
        <v>-1.0</v>
      </c>
      <c r="J1240" s="2" t="b">
        <v>0</v>
      </c>
      <c r="K1240" s="2" t="b">
        <v>0</v>
      </c>
      <c r="L1240" s="2" t="b">
        <v>0</v>
      </c>
      <c r="M1240" s="2" t="b">
        <v>0</v>
      </c>
      <c r="N1240" s="2" t="s">
        <v>33</v>
      </c>
      <c r="O1240" s="2">
        <v>93.0</v>
      </c>
      <c r="P1240" s="2">
        <v>9.0</v>
      </c>
      <c r="Q1240" s="2">
        <v>69.0</v>
      </c>
      <c r="R1240" s="2">
        <v>0.0</v>
      </c>
      <c r="S1240" s="3" t="s">
        <v>5075</v>
      </c>
      <c r="T1240" s="2" t="s">
        <v>5076</v>
      </c>
      <c r="Y1240" s="4" t="str">
        <f>IFERROR(__xludf.DUMMYFUNCTION("""COMPUTED_VALUE"""),"6.8286369")</f>
        <v>6.8286369</v>
      </c>
      <c r="Z1240" s="4" t="str">
        <f>IFERROR(__xludf.DUMMYFUNCTION("""COMPUTED_VALUE"""),"4.0797673")</f>
        <v>4.0797673</v>
      </c>
      <c r="AA1240" s="4" t="str">
        <f t="shared" si="1"/>
        <v>Not Neighbor</v>
      </c>
      <c r="AC1240" s="4">
        <f>IFERROR(__xludf.DUMMYFUNCTION("IFERROR(ABS(O1240-AVERAGE(FILTER(O1240:O5308,AA1240:AA5308=""Neighbor""))) / STDEV(FILTER(O1240:O5308, AA1240:AA5308 =""Neighbor"")), """")"),0.7164093261832236)</f>
        <v>0.7164093262</v>
      </c>
      <c r="AD1240" s="4">
        <f>IFERROR(__xludf.DUMMYFUNCTION("IFERROR(ABS(P1240-AVERAGE(FILTER(O1240:P5308,AA1240:AA5308=""Neighbor""))) / STDEV(FILTER(P1240:P5308, AA1240:AA5308 =""Neighbor"")), """")"),1.4339966411653935)</f>
        <v>1.433996641</v>
      </c>
      <c r="AE1240" s="2">
        <f>IFERROR(__xludf.DUMMYFUNCTION("IFERROR(ABS(Q1240-AVERAGE(FILTER(Q1240:Q5308,AA1240:AA5308=""Neighbor""))) / STDEV(FILTER(Q1240:Q5308, AA1240:AA5308 =""Neighbor"")), """")"),1.7685591583125317)</f>
        <v>1.768559158</v>
      </c>
      <c r="AF1240" s="2">
        <f>IFERROR(__xludf.DUMMYFUNCTION("IFERROR(ABS(R1240-AVERAGE(FILTER(R1240:R5308,AA1240:AA5308=""Neighbor""))) / STDEV(FILTER(R1240:R5308, AA1240:AA5308 =""Neighbor"")), """")"),0.3424945461888128)</f>
        <v>0.3424945462</v>
      </c>
    </row>
    <row r="1241">
      <c r="A1241" s="2" t="s">
        <v>28</v>
      </c>
      <c r="B1241" s="2" t="s">
        <v>4981</v>
      </c>
      <c r="C1241" s="2" t="s">
        <v>5064</v>
      </c>
      <c r="D1241" s="2" t="s">
        <v>5077</v>
      </c>
      <c r="E1241" s="2" t="s">
        <v>5078</v>
      </c>
      <c r="F1241" s="2">
        <v>168.0</v>
      </c>
      <c r="G1241" s="2">
        <v>618.0</v>
      </c>
      <c r="H1241" s="2" t="b">
        <v>1</v>
      </c>
      <c r="I1241" s="2">
        <v>-1.0</v>
      </c>
      <c r="J1241" s="2" t="b">
        <v>0</v>
      </c>
      <c r="K1241" s="2" t="b">
        <v>0</v>
      </c>
      <c r="L1241" s="2" t="b">
        <v>0</v>
      </c>
      <c r="M1241" s="2" t="b">
        <v>0</v>
      </c>
      <c r="N1241" s="2" t="s">
        <v>33</v>
      </c>
      <c r="O1241" s="2">
        <v>81.0</v>
      </c>
      <c r="P1241" s="2">
        <v>19.0</v>
      </c>
      <c r="Q1241" s="2">
        <v>56.0</v>
      </c>
      <c r="R1241" s="2">
        <v>0.0</v>
      </c>
      <c r="S1241" s="3" t="s">
        <v>5079</v>
      </c>
      <c r="T1241" s="2" t="s">
        <v>5080</v>
      </c>
      <c r="Y1241" s="4" t="str">
        <f>IFERROR(__xludf.DUMMYFUNCTION("""COMPUTED_VALUE"""),"6.7809096")</f>
        <v>6.7809096</v>
      </c>
      <c r="Z1241" s="4" t="str">
        <f>IFERROR(__xludf.DUMMYFUNCTION("""COMPUTED_VALUE"""),"4.0337846")</f>
        <v>4.0337846</v>
      </c>
      <c r="AA1241" s="4" t="str">
        <f t="shared" si="1"/>
        <v>Neighbor</v>
      </c>
      <c r="AC1241" s="4">
        <f>IFERROR(__xludf.DUMMYFUNCTION("IFERROR(ABS(O1241-AVERAGE(FILTER(O1241:O5309,AA1241:AA5309=""Neighbor""))) / STDEV(FILTER(O1241:O5309, AA1241:AA5309 =""Neighbor"")), """")"),0.4285506741402521)</f>
        <v>0.4285506741</v>
      </c>
      <c r="AD1241" s="4">
        <f>IFERROR(__xludf.DUMMYFUNCTION("IFERROR(ABS(P1241-AVERAGE(FILTER(O1241:P5309,AA1241:AA5309=""Neighbor""))) / STDEV(FILTER(P1241:P5309, AA1241:AA5309 =""Neighbor"")), """")"),0.9605614694730413)</f>
        <v>0.9605614695</v>
      </c>
      <c r="AE1241" s="2">
        <f>IFERROR(__xludf.DUMMYFUNCTION("IFERROR(ABS(Q1241-AVERAGE(FILTER(Q1241:Q5309,AA1241:AA5309=""Neighbor""))) / STDEV(FILTER(Q1241:Q5309, AA1241:AA5309 =""Neighbor"")), """")"),1.2414816974414722)</f>
        <v>1.241481697</v>
      </c>
      <c r="AF1241" s="2">
        <f>IFERROR(__xludf.DUMMYFUNCTION("IFERROR(ABS(R1241-AVERAGE(FILTER(R1241:R5309,AA1241:AA5309=""Neighbor""))) / STDEV(FILTER(R1241:R5309, AA1241:AA5309 =""Neighbor"")), """")"),0.3424945461888128)</f>
        <v>0.3424945462</v>
      </c>
    </row>
    <row r="1242">
      <c r="A1242" s="2" t="s">
        <v>28</v>
      </c>
      <c r="B1242" s="2" t="s">
        <v>4981</v>
      </c>
      <c r="C1242" s="2" t="s">
        <v>5064</v>
      </c>
      <c r="D1242" s="2" t="s">
        <v>5081</v>
      </c>
      <c r="E1242" s="2" t="s">
        <v>5082</v>
      </c>
      <c r="F1242" s="2">
        <v>240.0</v>
      </c>
      <c r="G1242" s="2">
        <v>986.0</v>
      </c>
      <c r="H1242" s="2" t="b">
        <v>1</v>
      </c>
      <c r="I1242" s="2">
        <v>-1.0</v>
      </c>
      <c r="J1242" s="2" t="b">
        <v>0</v>
      </c>
      <c r="K1242" s="2" t="b">
        <v>0</v>
      </c>
      <c r="L1242" s="2" t="b">
        <v>0</v>
      </c>
      <c r="M1242" s="2" t="b">
        <v>0</v>
      </c>
      <c r="N1242" s="2" t="s">
        <v>33</v>
      </c>
      <c r="O1242" s="2">
        <v>122.0</v>
      </c>
      <c r="P1242" s="2">
        <v>36.0</v>
      </c>
      <c r="Q1242" s="2">
        <v>73.0</v>
      </c>
      <c r="R1242" s="2">
        <v>0.0</v>
      </c>
      <c r="S1242" s="3" t="s">
        <v>5083</v>
      </c>
      <c r="T1242" s="2" t="s">
        <v>5084</v>
      </c>
      <c r="Y1242" s="4" t="str">
        <f>IFERROR(__xludf.DUMMYFUNCTION("""COMPUTED_VALUE"""),"6.7809096")</f>
        <v>6.7809096</v>
      </c>
      <c r="Z1242" s="4" t="str">
        <f>IFERROR(__xludf.DUMMYFUNCTION("""COMPUTED_VALUE"""),"4.0337846")</f>
        <v>4.0337846</v>
      </c>
      <c r="AA1242" s="4" t="str">
        <f t="shared" si="1"/>
        <v>Not Neighbor</v>
      </c>
      <c r="AC1242" s="4">
        <f>IFERROR(__xludf.DUMMYFUNCTION("IFERROR(ABS(O1242-AVERAGE(FILTER(O1242:O5310,AA1242:AA5310=""Neighbor""))) / STDEV(FILTER(O1242:O5310, AA1242:AA5310 =""Neighbor"")), """")"),1.4119435392870583)</f>
        <v>1.411943539</v>
      </c>
      <c r="AD1242" s="4">
        <f>IFERROR(__xludf.DUMMYFUNCTION("IFERROR(ABS(P1242-AVERAGE(FILTER(O1242:P5310,AA1242:AA5310=""Neighbor""))) / STDEV(FILTER(P1242:P5310, AA1242:AA5310 =""Neighbor"")), """")"),0.15523296154343236)</f>
        <v>0.1552329615</v>
      </c>
      <c r="AE1242" s="2">
        <f>IFERROR(__xludf.DUMMYFUNCTION("IFERROR(ABS(Q1242-AVERAGE(FILTER(Q1242:Q5310,AA1242:AA5310=""Neighbor""))) / STDEV(FILTER(Q1242:Q5310, AA1242:AA5310 =""Neighbor"")), """")"),1.9322185192085157)</f>
        <v>1.932218519</v>
      </c>
      <c r="AF1242" s="2">
        <f>IFERROR(__xludf.DUMMYFUNCTION("IFERROR(ABS(R1242-AVERAGE(FILTER(R1242:R5310,AA1242:AA5310=""Neighbor""))) / STDEV(FILTER(R1242:R5310, AA1242:AA5310 =""Neighbor"")), """")"),0.34265493389521046)</f>
        <v>0.3426549339</v>
      </c>
    </row>
    <row r="1243">
      <c r="A1243" s="2" t="s">
        <v>28</v>
      </c>
      <c r="B1243" s="2" t="s">
        <v>4981</v>
      </c>
      <c r="C1243" s="2" t="s">
        <v>5064</v>
      </c>
      <c r="D1243" s="2" t="s">
        <v>5085</v>
      </c>
      <c r="E1243" s="2" t="s">
        <v>5086</v>
      </c>
      <c r="F1243" s="2">
        <v>130.0</v>
      </c>
      <c r="G1243" s="2">
        <v>765.0</v>
      </c>
      <c r="H1243" s="2" t="b">
        <v>1</v>
      </c>
      <c r="I1243" s="2">
        <v>-1.0</v>
      </c>
      <c r="J1243" s="2" t="b">
        <v>1</v>
      </c>
      <c r="K1243" s="2" t="b">
        <v>0</v>
      </c>
      <c r="L1243" s="2" t="b">
        <v>0</v>
      </c>
      <c r="M1243" s="2" t="b">
        <v>0</v>
      </c>
      <c r="N1243" s="2" t="s">
        <v>33</v>
      </c>
      <c r="O1243" s="2">
        <v>71.0</v>
      </c>
      <c r="P1243" s="2">
        <v>16.0</v>
      </c>
      <c r="Q1243" s="2">
        <v>36.0</v>
      </c>
      <c r="R1243" s="2">
        <v>0.0</v>
      </c>
      <c r="S1243" s="3" t="s">
        <v>5087</v>
      </c>
      <c r="T1243" s="2" t="s">
        <v>5088</v>
      </c>
      <c r="Y1243" s="4" t="str">
        <f>IFERROR(__xludf.DUMMYFUNCTION("""COMPUTED_VALUE"""),"6.8286369")</f>
        <v>6.8286369</v>
      </c>
      <c r="Z1243" s="4" t="str">
        <f>IFERROR(__xludf.DUMMYFUNCTION("""COMPUTED_VALUE"""),"4.0797673")</f>
        <v>4.0797673</v>
      </c>
      <c r="AA1243" s="4" t="str">
        <f t="shared" si="1"/>
        <v>Neighbor</v>
      </c>
      <c r="AC1243" s="4">
        <f>IFERROR(__xludf.DUMMYFUNCTION("IFERROR(ABS(O1243-AVERAGE(FILTER(O1243:O5311,AA1243:AA5311=""Neighbor""))) / STDEV(FILTER(O1243:O5311, AA1243:AA5311 =""Neighbor"")), """")"),0.18896324947671633)</f>
        <v>0.1889632495</v>
      </c>
      <c r="AD1243" s="4">
        <f>IFERROR(__xludf.DUMMYFUNCTION("IFERROR(ABS(P1243-AVERAGE(FILTER(O1243:P5311,AA1243:AA5311=""Neighbor""))) / STDEV(FILTER(P1243:P5311, AA1243:AA5311 =""Neighbor"")), """")"),1.1017173101867648)</f>
        <v>1.10171731</v>
      </c>
      <c r="AE1243" s="2">
        <f>IFERROR(__xludf.DUMMYFUNCTION("IFERROR(ABS(Q1243-AVERAGE(FILTER(Q1243:Q5311,AA1243:AA5311=""Neighbor""))) / STDEV(FILTER(Q1243:Q5311, AA1243:AA5311 =""Neighbor"")), """")"),0.4317331585864011)</f>
        <v>0.4317331586</v>
      </c>
      <c r="AF1243" s="2">
        <f>IFERROR(__xludf.DUMMYFUNCTION("IFERROR(ABS(R1243-AVERAGE(FILTER(R1243:R5311,AA1243:AA5311=""Neighbor""))) / STDEV(FILTER(R1243:R5311, AA1243:AA5311 =""Neighbor"")), """")"),0.34265493389521046)</f>
        <v>0.3426549339</v>
      </c>
    </row>
    <row r="1244">
      <c r="A1244" s="2" t="s">
        <v>28</v>
      </c>
      <c r="B1244" s="2" t="s">
        <v>4981</v>
      </c>
      <c r="C1244" s="2" t="s">
        <v>5064</v>
      </c>
      <c r="D1244" s="2" t="s">
        <v>5089</v>
      </c>
      <c r="E1244" s="2" t="s">
        <v>5090</v>
      </c>
      <c r="F1244" s="2">
        <v>139.0</v>
      </c>
      <c r="G1244" s="2">
        <v>386.0</v>
      </c>
      <c r="H1244" s="2" t="b">
        <v>1</v>
      </c>
      <c r="I1244" s="2">
        <v>-1.0</v>
      </c>
      <c r="J1244" s="2" t="b">
        <v>0</v>
      </c>
      <c r="K1244" s="2" t="b">
        <v>1</v>
      </c>
      <c r="L1244" s="2" t="b">
        <v>0</v>
      </c>
      <c r="M1244" s="2" t="b">
        <v>0</v>
      </c>
      <c r="N1244" s="2" t="s">
        <v>33</v>
      </c>
      <c r="O1244" s="2">
        <v>108.0</v>
      </c>
      <c r="P1244" s="2">
        <v>10.0</v>
      </c>
      <c r="Q1244" s="2">
        <v>13.0</v>
      </c>
      <c r="R1244" s="2">
        <v>0.0</v>
      </c>
      <c r="S1244" s="3" t="s">
        <v>5091</v>
      </c>
      <c r="T1244" s="2" t="s">
        <v>5092</v>
      </c>
      <c r="Y1244" s="4" t="str">
        <f>IFERROR(__xludf.DUMMYFUNCTION("""COMPUTED_VALUE"""),"6.8286369")</f>
        <v>6.8286369</v>
      </c>
      <c r="Z1244" s="4" t="str">
        <f>IFERROR(__xludf.DUMMYFUNCTION("""COMPUTED_VALUE"""),"4.0797673")</f>
        <v>4.0797673</v>
      </c>
      <c r="AA1244" s="4" t="str">
        <f t="shared" si="1"/>
        <v>Neighbor</v>
      </c>
      <c r="AC1244" s="4">
        <f>IFERROR(__xludf.DUMMYFUNCTION("IFERROR(ABS(O1244-AVERAGE(FILTER(O1244:O5312,AA1244:AA5312=""Neighbor""))) / STDEV(FILTER(O1244:O5312, AA1244:AA5312 =""Neighbor"")), """")"),1.075946285013522)</f>
        <v>1.075946285</v>
      </c>
      <c r="AD1244" s="4">
        <f>IFERROR(__xludf.DUMMYFUNCTION("IFERROR(ABS(P1244-AVERAGE(FILTER(O1244:P5312,AA1244:AA5312=""Neighbor""))) / STDEV(FILTER(P1244:P5312, AA1244:AA5312 =""Neighbor"")), """")"),1.3849135756289306)</f>
        <v>1.384913576</v>
      </c>
      <c r="AE1244" s="2">
        <f>IFERROR(__xludf.DUMMYFUNCTION("IFERROR(ABS(Q1244-AVERAGE(FILTER(Q1244:Q5312,AA1244:AA5312=""Neighbor""))) / STDEV(FILTER(Q1244:Q5312, AA1244:AA5312 =""Neighbor"")), """")"),0.5004674647445843)</f>
        <v>0.5004674647</v>
      </c>
      <c r="AF1244" s="2">
        <f>IFERROR(__xludf.DUMMYFUNCTION("IFERROR(ABS(R1244-AVERAGE(FILTER(R1244:R5312,AA1244:AA5312=""Neighbor""))) / STDEV(FILTER(R1244:R5312, AA1244:AA5312 =""Neighbor"")), """")"),0.34281554716169915)</f>
        <v>0.3428155472</v>
      </c>
    </row>
    <row r="1245">
      <c r="A1245" s="2" t="s">
        <v>28</v>
      </c>
      <c r="B1245" s="2" t="s">
        <v>4981</v>
      </c>
      <c r="C1245" s="2" t="s">
        <v>5064</v>
      </c>
      <c r="D1245" s="2" t="s">
        <v>5093</v>
      </c>
      <c r="E1245" s="2" t="s">
        <v>5094</v>
      </c>
      <c r="F1245" s="2">
        <v>143.0</v>
      </c>
      <c r="G1245" s="2">
        <v>547.0</v>
      </c>
      <c r="H1245" s="2" t="b">
        <v>1</v>
      </c>
      <c r="I1245" s="2">
        <v>-1.0</v>
      </c>
      <c r="J1245" s="2" t="b">
        <v>0</v>
      </c>
      <c r="K1245" s="2" t="b">
        <v>0</v>
      </c>
      <c r="L1245" s="2" t="b">
        <v>0</v>
      </c>
      <c r="M1245" s="2" t="b">
        <v>0</v>
      </c>
      <c r="N1245" s="2" t="s">
        <v>33</v>
      </c>
      <c r="O1245" s="2">
        <v>89.0</v>
      </c>
      <c r="P1245" s="2">
        <v>9.0</v>
      </c>
      <c r="Q1245" s="2">
        <v>21.0</v>
      </c>
      <c r="R1245" s="2">
        <v>0.0</v>
      </c>
      <c r="S1245" s="3" t="s">
        <v>5095</v>
      </c>
      <c r="T1245" s="2" t="s">
        <v>5096</v>
      </c>
      <c r="Y1245" s="4" t="str">
        <f>IFERROR(__xludf.DUMMYFUNCTION("""COMPUTED_VALUE"""),"6.8286369")</f>
        <v>6.8286369</v>
      </c>
      <c r="Z1245" s="4" t="str">
        <f>IFERROR(__xludf.DUMMYFUNCTION("""COMPUTED_VALUE"""),"4.0797673")</f>
        <v>4.0797673</v>
      </c>
      <c r="AA1245" s="4" t="str">
        <f t="shared" si="1"/>
        <v>Neighbor</v>
      </c>
      <c r="AC1245" s="4">
        <f>IFERROR(__xludf.DUMMYFUNCTION("IFERROR(ABS(O1245-AVERAGE(FILTER(O1245:O5313,AA1245:AA5313=""Neighbor""))) / STDEV(FILTER(O1245:O5313, AA1245:AA5313 =""Neighbor"")), """")"),0.6214562750049797)</f>
        <v>0.621456275</v>
      </c>
      <c r="AD1245" s="4">
        <f>IFERROR(__xludf.DUMMYFUNCTION("IFERROR(ABS(P1245-AVERAGE(FILTER(O1245:P5313,AA1245:AA5313=""Neighbor""))) / STDEV(FILTER(P1245:P5313, AA1245:AA5313 =""Neighbor"")), """")"),1.4308721789545444)</f>
        <v>1.430872179</v>
      </c>
      <c r="AE1245" s="2">
        <f>IFERROR(__xludf.DUMMYFUNCTION("IFERROR(ABS(Q1245-AVERAGE(FILTER(Q1245:Q5313,AA1245:AA5313=""Neighbor""))) / STDEV(FILTER(Q1245:Q5313, AA1245:AA5313 =""Neighbor"")), """")"),0.1765139751122031)</f>
        <v>0.1765139751</v>
      </c>
      <c r="AF1245" s="2">
        <f>IFERROR(__xludf.DUMMYFUNCTION("IFERROR(ABS(R1245-AVERAGE(FILTER(R1245:R5313,AA1245:AA5313=""Neighbor""))) / STDEV(FILTER(R1245:R5313, AA1245:AA5313 =""Neighbor"")), """")"),0.34297638651751516)</f>
        <v>0.3429763865</v>
      </c>
    </row>
    <row r="1246">
      <c r="A1246" s="2" t="s">
        <v>28</v>
      </c>
      <c r="B1246" s="2" t="s">
        <v>4981</v>
      </c>
      <c r="C1246" s="2" t="s">
        <v>5064</v>
      </c>
      <c r="D1246" s="2" t="s">
        <v>5097</v>
      </c>
      <c r="E1246" s="2" t="s">
        <v>5098</v>
      </c>
      <c r="F1246" s="2">
        <v>104.0</v>
      </c>
      <c r="G1246" s="2">
        <v>318.0</v>
      </c>
      <c r="H1246" s="2" t="b">
        <v>1</v>
      </c>
      <c r="I1246" s="2">
        <v>-1.0</v>
      </c>
      <c r="J1246" s="2" t="b">
        <v>0</v>
      </c>
      <c r="K1246" s="2" t="b">
        <v>1</v>
      </c>
      <c r="L1246" s="2" t="b">
        <v>0</v>
      </c>
      <c r="M1246" s="2" t="b">
        <v>0</v>
      </c>
      <c r="N1246" s="2" t="s">
        <v>33</v>
      </c>
      <c r="O1246" s="2">
        <v>60.0</v>
      </c>
      <c r="P1246" s="2">
        <v>11.0</v>
      </c>
      <c r="Q1246" s="2">
        <v>27.0</v>
      </c>
      <c r="R1246" s="2">
        <v>0.0</v>
      </c>
      <c r="S1246" s="3" t="s">
        <v>5099</v>
      </c>
      <c r="T1246" s="2" t="s">
        <v>5100</v>
      </c>
      <c r="Y1246" s="4" t="str">
        <f>IFERROR(__xludf.DUMMYFUNCTION("""COMPUTED_VALUE"""),"6.8286369")</f>
        <v>6.8286369</v>
      </c>
      <c r="Z1246" s="4" t="str">
        <f>IFERROR(__xludf.DUMMYFUNCTION("""COMPUTED_VALUE"""),"4.0797673")</f>
        <v>4.0797673</v>
      </c>
      <c r="AA1246" s="4" t="str">
        <f t="shared" si="1"/>
        <v>Not Neighbor</v>
      </c>
      <c r="AC1246" s="4">
        <f>IFERROR(__xludf.DUMMYFUNCTION("IFERROR(ABS(O1246-AVERAGE(FILTER(O1246:O5314,AA1246:AA5314=""Neighbor""))) / STDEV(FILTER(O1246:O5314, AA1246:AA5314 =""Neighbor"")), """")"),0.07318712074189385)</f>
        <v>0.07318712074</v>
      </c>
      <c r="AD1246" s="4">
        <f>IFERROR(__xludf.DUMMYFUNCTION("IFERROR(ABS(P1246-AVERAGE(FILTER(O1246:P5314,AA1246:AA5314=""Neighbor""))) / STDEV(FILTER(P1246:P5314, AA1246:AA5314 =""Neighbor"")), """")"),1.3354035307904104)</f>
        <v>1.335403531</v>
      </c>
      <c r="AE1246" s="2">
        <f>IFERROR(__xludf.DUMMYFUNCTION("IFERROR(ABS(Q1246-AVERAGE(FILTER(Q1246:Q5314,AA1246:AA5314=""Neighbor""))) / STDEV(FILTER(Q1246:Q5314, AA1246:AA5314 =""Neighbor"")), """")"),0.06647268951109164)</f>
        <v>0.06647268951</v>
      </c>
      <c r="AF1246" s="2">
        <f>IFERROR(__xludf.DUMMYFUNCTION("IFERROR(ABS(R1246-AVERAGE(FILTER(R1246:R5314,AA1246:AA5314=""Neighbor""))) / STDEV(FILTER(R1246:R5314, AA1246:AA5314 =""Neighbor"")), """")"),0.3431374524936345)</f>
        <v>0.3431374525</v>
      </c>
    </row>
    <row r="1247">
      <c r="A1247" s="2" t="s">
        <v>28</v>
      </c>
      <c r="B1247" s="2" t="s">
        <v>4981</v>
      </c>
      <c r="C1247" s="2" t="s">
        <v>5064</v>
      </c>
      <c r="D1247" s="2" t="s">
        <v>5101</v>
      </c>
      <c r="E1247" s="2" t="s">
        <v>5102</v>
      </c>
      <c r="F1247" s="2">
        <v>118.0</v>
      </c>
      <c r="G1247" s="2">
        <v>368.0</v>
      </c>
      <c r="H1247" s="2" t="b">
        <v>1</v>
      </c>
      <c r="I1247" s="2">
        <v>-1.0</v>
      </c>
      <c r="J1247" s="2" t="b">
        <v>0</v>
      </c>
      <c r="K1247" s="2" t="b">
        <v>0</v>
      </c>
      <c r="L1247" s="2" t="b">
        <v>0</v>
      </c>
      <c r="M1247" s="2" t="b">
        <v>0</v>
      </c>
      <c r="N1247" s="2" t="s">
        <v>33</v>
      </c>
      <c r="O1247" s="2">
        <v>79.0</v>
      </c>
      <c r="P1247" s="2">
        <v>3.0</v>
      </c>
      <c r="Q1247" s="2">
        <v>29.0</v>
      </c>
      <c r="R1247" s="2">
        <v>0.0</v>
      </c>
      <c r="S1247" s="3" t="s">
        <v>5103</v>
      </c>
      <c r="T1247" s="2" t="s">
        <v>5104</v>
      </c>
      <c r="Y1247" s="4" t="str">
        <f>IFERROR(__xludf.DUMMYFUNCTION("""COMPUTED_VALUE"""),"6.7761018")</f>
        <v>6.7761018</v>
      </c>
      <c r="Z1247" s="4" t="str">
        <f>IFERROR(__xludf.DUMMYFUNCTION("""COMPUTED_VALUE"""),"4.0497462")</f>
        <v>4.0497462</v>
      </c>
      <c r="AA1247" s="4" t="str">
        <f t="shared" si="1"/>
        <v>Not Neighbor</v>
      </c>
      <c r="AC1247" s="4">
        <f>IFERROR(__xludf.DUMMYFUNCTION("IFERROR(ABS(O1247-AVERAGE(FILTER(O1247:O5315,AA1247:AA5315=""Neighbor""))) / STDEV(FILTER(O1247:O5315, AA1247:AA5315 =""Neighbor"")), """")"),0.38216133551812387)</f>
        <v>0.3821613355</v>
      </c>
      <c r="AD1247" s="4">
        <f>IFERROR(__xludf.DUMMYFUNCTION("IFERROR(ABS(P1247-AVERAGE(FILTER(O1247:P5315,AA1247:AA5315=""Neighbor""))) / STDEV(FILTER(P1247:P5315, AA1247:AA5315 =""Neighbor"")), """")"),1.7135455722258446)</f>
        <v>1.713545572</v>
      </c>
      <c r="AE1247" s="2">
        <f>IFERROR(__xludf.DUMMYFUNCTION("IFERROR(ABS(Q1247-AVERAGE(FILTER(Q1247:Q5315,AA1247:AA5315=""Neighbor""))) / STDEV(FILTER(Q1247:Q5315, AA1247:AA5315 =""Neighbor"")), """")"),0.14749373290287845)</f>
        <v>0.1474937329</v>
      </c>
      <c r="AF1247" s="2">
        <f>IFERROR(__xludf.DUMMYFUNCTION("IFERROR(ABS(R1247-AVERAGE(FILTER(R1247:R5315,AA1247:AA5315=""Neighbor""))) / STDEV(FILTER(R1247:R5315, AA1247:AA5315 =""Neighbor"")), """")"),0.3431374524936345)</f>
        <v>0.3431374525</v>
      </c>
    </row>
    <row r="1248">
      <c r="A1248" s="2" t="s">
        <v>28</v>
      </c>
      <c r="B1248" s="2" t="s">
        <v>4981</v>
      </c>
      <c r="C1248" s="2" t="s">
        <v>5064</v>
      </c>
      <c r="D1248" s="2" t="s">
        <v>5105</v>
      </c>
      <c r="E1248" s="2" t="s">
        <v>5106</v>
      </c>
      <c r="F1248" s="2">
        <v>194.0</v>
      </c>
      <c r="G1248" s="2">
        <v>688.0</v>
      </c>
      <c r="H1248" s="2" t="b">
        <v>1</v>
      </c>
      <c r="I1248" s="2">
        <v>-1.0</v>
      </c>
      <c r="J1248" s="2" t="b">
        <v>0</v>
      </c>
      <c r="K1248" s="2" t="b">
        <v>0</v>
      </c>
      <c r="L1248" s="2" t="b">
        <v>0</v>
      </c>
      <c r="M1248" s="2" t="b">
        <v>0</v>
      </c>
      <c r="N1248" s="2" t="s">
        <v>33</v>
      </c>
      <c r="O1248" s="2">
        <v>108.0</v>
      </c>
      <c r="P1248" s="2">
        <v>10.0</v>
      </c>
      <c r="Q1248" s="2">
        <v>60.0</v>
      </c>
      <c r="R1248" s="2">
        <v>1.0</v>
      </c>
      <c r="S1248" s="3" t="s">
        <v>5107</v>
      </c>
      <c r="T1248" s="2" t="s">
        <v>5108</v>
      </c>
      <c r="Y1248" s="4" t="str">
        <f>IFERROR(__xludf.DUMMYFUNCTION("""COMPUTED_VALUE"""),"6.8286369")</f>
        <v>6.8286369</v>
      </c>
      <c r="Z1248" s="4" t="str">
        <f>IFERROR(__xludf.DUMMYFUNCTION("""COMPUTED_VALUE"""),"4.0797673")</f>
        <v>4.0797673</v>
      </c>
      <c r="AA1248" s="4" t="str">
        <f t="shared" si="1"/>
        <v>Not Neighbor</v>
      </c>
      <c r="AC1248" s="4">
        <f>IFERROR(__xludf.DUMMYFUNCTION("IFERROR(ABS(O1248-AVERAGE(FILTER(O1248:O5316,AA1248:AA5316=""Neighbor""))) / STDEV(FILTER(O1248:O5316, AA1248:AA5316 =""Neighbor"")), """")"),1.0771668740202562)</f>
        <v>1.077166874</v>
      </c>
      <c r="AD1248" s="4">
        <f>IFERROR(__xludf.DUMMYFUNCTION("IFERROR(ABS(P1248-AVERAGE(FILTER(O1248:P5316,AA1248:AA5316=""Neighbor""))) / STDEV(FILTER(P1248:P5316, AA1248:AA5316 =""Neighbor"")), """")"),1.3826712859698398)</f>
        <v>1.382671286</v>
      </c>
      <c r="AE1248" s="2">
        <f>IFERROR(__xludf.DUMMYFUNCTION("IFERROR(ABS(Q1248-AVERAGE(FILTER(Q1248:Q5316,AA1248:AA5316=""Neighbor""))) / STDEV(FILTER(Q1248:Q5316, AA1248:AA5316 =""Neighbor"")), """")"),1.403319905475574)</f>
        <v>1.403319905</v>
      </c>
      <c r="AF1248" s="2">
        <f>IFERROR(__xludf.DUMMYFUNCTION("IFERROR(ABS(R1248-AVERAGE(FILTER(R1248:R5316,AA1248:AA5316=""Neighbor""))) / STDEV(FILTER(R1248:R5316, AA1248:AA5316 =""Neighbor"")), """")"),0.8783907840780164)</f>
        <v>0.8783907841</v>
      </c>
    </row>
    <row r="1249">
      <c r="A1249" s="2" t="s">
        <v>28</v>
      </c>
      <c r="B1249" s="2" t="s">
        <v>4981</v>
      </c>
      <c r="C1249" s="2" t="s">
        <v>5109</v>
      </c>
      <c r="D1249" s="2" t="s">
        <v>5110</v>
      </c>
      <c r="E1249" s="2" t="s">
        <v>5111</v>
      </c>
      <c r="F1249" s="2">
        <v>113.0</v>
      </c>
      <c r="G1249" s="2">
        <v>533.0</v>
      </c>
      <c r="H1249" s="2" t="b">
        <v>1</v>
      </c>
      <c r="I1249" s="2">
        <v>-1.0</v>
      </c>
      <c r="J1249" s="2" t="b">
        <v>0</v>
      </c>
      <c r="K1249" s="2" t="b">
        <v>0</v>
      </c>
      <c r="L1249" s="2" t="b">
        <v>0</v>
      </c>
      <c r="M1249" s="2" t="b">
        <v>0</v>
      </c>
      <c r="N1249" s="2" t="s">
        <v>33</v>
      </c>
      <c r="O1249" s="2">
        <v>58.0</v>
      </c>
      <c r="P1249" s="2">
        <v>17.0</v>
      </c>
      <c r="Q1249" s="2">
        <v>29.0</v>
      </c>
      <c r="R1249" s="2">
        <v>1.0</v>
      </c>
      <c r="S1249" s="3" t="s">
        <v>5112</v>
      </c>
      <c r="T1249" s="2" t="s">
        <v>5113</v>
      </c>
      <c r="Y1249" s="4" t="str">
        <f>IFERROR(__xludf.DUMMYFUNCTION("""COMPUTED_VALUE"""),"6.7728732")</f>
        <v>6.7728732</v>
      </c>
      <c r="Z1249" s="4" t="str">
        <f>IFERROR(__xludf.DUMMYFUNCTION("""COMPUTED_VALUE"""),"4.0363382")</f>
        <v>4.0363382</v>
      </c>
      <c r="AA1249" s="4" t="str">
        <f t="shared" si="1"/>
        <v>Neighbor</v>
      </c>
      <c r="AC1249" s="4">
        <f>IFERROR(__xludf.DUMMYFUNCTION("IFERROR(ABS(O1249-AVERAGE(FILTER(O1249:O5317,AA1249:AA5317=""Neighbor""))) / STDEV(FILTER(O1249:O5317, AA1249:AA5317 =""Neighbor"")), """")"),0.12111853719031676)</f>
        <v>0.1211185372</v>
      </c>
      <c r="AD1249" s="4">
        <f>IFERROR(__xludf.DUMMYFUNCTION("IFERROR(ABS(P1249-AVERAGE(FILTER(O1249:P5317,AA1249:AA5317=""Neighbor""))) / STDEV(FILTER(P1249:P5317, AA1249:AA5317 =""Neighbor"")), """")"),1.051796999713835)</f>
        <v>1.051797</v>
      </c>
      <c r="AE1249" s="2">
        <f>IFERROR(__xludf.DUMMYFUNCTION("IFERROR(ABS(Q1249-AVERAGE(FILTER(Q1249:Q5317,AA1249:AA5317=""Neighbor""))) / STDEV(FILTER(Q1249:Q5317, AA1249:AA5317 =""Neighbor"")), """")"),0.14749373290287845)</f>
        <v>0.1474937329</v>
      </c>
      <c r="AF1249" s="2">
        <f>IFERROR(__xludf.DUMMYFUNCTION("IFERROR(ABS(R1249-AVERAGE(FILTER(R1249:R5317,AA1249:AA5317=""Neighbor""))) / STDEV(FILTER(R1249:R5317, AA1249:AA5317 =""Neighbor"")), """")"),0.8783907840780164)</f>
        <v>0.8783907841</v>
      </c>
    </row>
    <row r="1250">
      <c r="A1250" s="2" t="s">
        <v>28</v>
      </c>
      <c r="B1250" s="2" t="s">
        <v>4981</v>
      </c>
      <c r="C1250" s="2" t="s">
        <v>5109</v>
      </c>
      <c r="D1250" s="2" t="s">
        <v>5114</v>
      </c>
      <c r="E1250" s="2" t="s">
        <v>5115</v>
      </c>
      <c r="F1250" s="2">
        <v>121.0</v>
      </c>
      <c r="G1250" s="2">
        <v>682.0</v>
      </c>
      <c r="H1250" s="2" t="b">
        <v>1</v>
      </c>
      <c r="I1250" s="2">
        <v>-1.0</v>
      </c>
      <c r="J1250" s="2" t="b">
        <v>0</v>
      </c>
      <c r="K1250" s="2" t="b">
        <v>1</v>
      </c>
      <c r="L1250" s="2" t="b">
        <v>0</v>
      </c>
      <c r="M1250" s="2" t="b">
        <v>0</v>
      </c>
      <c r="N1250" s="2" t="s">
        <v>33</v>
      </c>
      <c r="O1250" s="2">
        <v>75.0</v>
      </c>
      <c r="P1250" s="2">
        <v>6.0</v>
      </c>
      <c r="Q1250" s="2">
        <v>34.0</v>
      </c>
      <c r="R1250" s="2">
        <v>0.0</v>
      </c>
      <c r="S1250" s="3" t="s">
        <v>5116</v>
      </c>
      <c r="T1250" s="2" t="s">
        <v>5117</v>
      </c>
      <c r="Y1250" s="4" t="str">
        <f>IFERROR(__xludf.DUMMYFUNCTION("""COMPUTED_VALUE"""),"6.7728732")</f>
        <v>6.7728732</v>
      </c>
      <c r="Z1250" s="4" t="str">
        <f>IFERROR(__xludf.DUMMYFUNCTION("""COMPUTED_VALUE"""),"4.0363382")</f>
        <v>4.0363382</v>
      </c>
      <c r="AA1250" s="4" t="str">
        <f t="shared" si="1"/>
        <v>Neighbor</v>
      </c>
      <c r="AC1250" s="4">
        <f>IFERROR(__xludf.DUMMYFUNCTION("IFERROR(ABS(O1250-AVERAGE(FILTER(O1250:O5318,AA1250:AA5318=""Neighbor""))) / STDEV(FILTER(O1250:O5318, AA1250:AA5318 =""Neighbor"")), """")"),0.2860778403082992)</f>
        <v>0.2860778403</v>
      </c>
      <c r="AD1250" s="4">
        <f>IFERROR(__xludf.DUMMYFUNCTION("IFERROR(ABS(P1250-AVERAGE(FILTER(O1250:P5318,AA1250:AA5318=""Neighbor""))) / STDEV(FILTER(P1250:P5318, AA1250:AA5318 =""Neighbor"")), """")"),1.571153886766449)</f>
        <v>1.571153887</v>
      </c>
      <c r="AE1250" s="2">
        <f>IFERROR(__xludf.DUMMYFUNCTION("IFERROR(ABS(Q1250-AVERAGE(FILTER(Q1250:Q5318,AA1250:AA5318=""Neighbor""))) / STDEV(FILTER(Q1250:Q5318, AA1250:AA5318 =""Neighbor"")), """")"),0.35002629269054614)</f>
        <v>0.3500262927</v>
      </c>
      <c r="AF1250" s="2">
        <f>IFERROR(__xludf.DUMMYFUNCTION("IFERROR(ABS(R1250-AVERAGE(FILTER(R1250:R5318,AA1250:AA5318=""Neighbor""))) / STDEV(FILTER(R1250:R5318, AA1250:AA5318 =""Neighbor"")), """")"),0.34236521868597053)</f>
        <v>0.3423652187</v>
      </c>
    </row>
    <row r="1251">
      <c r="A1251" s="2" t="s">
        <v>28</v>
      </c>
      <c r="B1251" s="2" t="s">
        <v>4981</v>
      </c>
      <c r="C1251" s="2" t="s">
        <v>5109</v>
      </c>
      <c r="D1251" s="2" t="s">
        <v>5118</v>
      </c>
      <c r="E1251" s="2" t="s">
        <v>5119</v>
      </c>
      <c r="F1251" s="2">
        <v>106.0</v>
      </c>
      <c r="G1251" s="2">
        <v>469.0</v>
      </c>
      <c r="H1251" s="2" t="b">
        <v>1</v>
      </c>
      <c r="I1251" s="2">
        <v>-1.0</v>
      </c>
      <c r="J1251" s="2" t="b">
        <v>0</v>
      </c>
      <c r="K1251" s="2" t="b">
        <v>0</v>
      </c>
      <c r="L1251" s="2" t="b">
        <v>0</v>
      </c>
      <c r="M1251" s="2" t="b">
        <v>0</v>
      </c>
      <c r="N1251" s="2" t="s">
        <v>33</v>
      </c>
      <c r="O1251" s="2">
        <v>54.0</v>
      </c>
      <c r="P1251" s="2">
        <v>8.0</v>
      </c>
      <c r="Q1251" s="2">
        <v>27.0</v>
      </c>
      <c r="R1251" s="2">
        <v>0.0</v>
      </c>
      <c r="S1251" s="3" t="s">
        <v>5120</v>
      </c>
      <c r="T1251" s="2" t="s">
        <v>5121</v>
      </c>
      <c r="Y1251" s="4" t="str">
        <f>IFERROR(__xludf.DUMMYFUNCTION("""COMPUTED_VALUE"""),"6.7728732")</f>
        <v>6.7728732</v>
      </c>
      <c r="Z1251" s="4" t="str">
        <f>IFERROR(__xludf.DUMMYFUNCTION("""COMPUTED_VALUE"""),"4.0363382")</f>
        <v>4.0363382</v>
      </c>
      <c r="AA1251" s="4" t="str">
        <f t="shared" si="1"/>
        <v>Not Neighbor</v>
      </c>
      <c r="AC1251" s="4">
        <f>IFERROR(__xludf.DUMMYFUNCTION("IFERROR(ABS(O1251-AVERAGE(FILTER(O1251:O5319,AA1251:AA5319=""Neighbor""))) / STDEV(FILTER(O1251:O5319, AA1251:AA5319 =""Neighbor"")), """")"),0.2166684231762029)</f>
        <v>0.2166684232</v>
      </c>
      <c r="AD1251" s="4">
        <f>IFERROR(__xludf.DUMMYFUNCTION("IFERROR(ABS(P1251-AVERAGE(FILTER(O1251:P5319,AA1251:AA5319=""Neighbor""))) / STDEV(FILTER(P1251:P5319, AA1251:AA5319 =""Neighbor"")), """")"),1.4761102447603731)</f>
        <v>1.476110245</v>
      </c>
      <c r="AE1251" s="2">
        <f>IFERROR(__xludf.DUMMYFUNCTION("IFERROR(ABS(Q1251-AVERAGE(FILTER(Q1251:Q5319,AA1251:AA5319=""Neighbor""))) / STDEV(FILTER(Q1251:Q5319, AA1251:AA5319 =""Neighbor"")), """")"),0.06683958207043879)</f>
        <v>0.06683958207</v>
      </c>
      <c r="AF1251" s="2">
        <f>IFERROR(__xludf.DUMMYFUNCTION("IFERROR(ABS(R1251-AVERAGE(FILTER(R1251:R5319,AA1251:AA5319=""Neighbor""))) / STDEV(FILTER(R1251:R5319, AA1251:AA5319 =""Neighbor"")), """")"),0.34252620784154764)</f>
        <v>0.3425262078</v>
      </c>
    </row>
    <row r="1252">
      <c r="A1252" s="2" t="s">
        <v>28</v>
      </c>
      <c r="B1252" s="2" t="s">
        <v>4981</v>
      </c>
      <c r="C1252" s="2" t="s">
        <v>5109</v>
      </c>
      <c r="D1252" s="2" t="s">
        <v>5122</v>
      </c>
      <c r="E1252" s="2" t="s">
        <v>5123</v>
      </c>
      <c r="F1252" s="2">
        <v>128.0</v>
      </c>
      <c r="G1252" s="2">
        <v>452.0</v>
      </c>
      <c r="H1252" s="2" t="b">
        <v>1</v>
      </c>
      <c r="I1252" s="2">
        <v>-1.0</v>
      </c>
      <c r="J1252" s="2" t="b">
        <v>0</v>
      </c>
      <c r="K1252" s="2" t="b">
        <v>1</v>
      </c>
      <c r="L1252" s="2" t="b">
        <v>0</v>
      </c>
      <c r="M1252" s="2" t="b">
        <v>0</v>
      </c>
      <c r="N1252" s="2" t="s">
        <v>33</v>
      </c>
      <c r="O1252" s="2">
        <v>68.0</v>
      </c>
      <c r="P1252" s="2">
        <v>11.0</v>
      </c>
      <c r="Q1252" s="2">
        <v>39.0</v>
      </c>
      <c r="R1252" s="2">
        <v>0.0</v>
      </c>
      <c r="S1252" s="3" t="s">
        <v>5124</v>
      </c>
      <c r="T1252" s="2" t="s">
        <v>5125</v>
      </c>
      <c r="Y1252" s="4" t="str">
        <f>IFERROR(__xludf.DUMMYFUNCTION("""COMPUTED_VALUE"""),"6.7904478")</f>
        <v>6.7904478</v>
      </c>
      <c r="Z1252" s="4" t="str">
        <f>IFERROR(__xludf.DUMMYFUNCTION("""COMPUTED_VALUE"""),"4.0357522")</f>
        <v>4.0357522</v>
      </c>
      <c r="AA1252" s="4" t="str">
        <f t="shared" si="1"/>
        <v>Not Neighbor</v>
      </c>
      <c r="AC1252" s="4">
        <f>IFERROR(__xludf.DUMMYFUNCTION("IFERROR(ABS(O1252-AVERAGE(FILTER(O1252:O5320,AA1252:AA5320=""Neighbor""))) / STDEV(FILTER(O1252:O5320, AA1252:AA5320 =""Neighbor"")), """")"),0.11858258765639867)</f>
        <v>0.1185825877</v>
      </c>
      <c r="AD1252" s="4">
        <f>IFERROR(__xludf.DUMMYFUNCTION("IFERROR(ABS(P1252-AVERAGE(FILTER(O1252:P5320,AA1252:AA5320=""Neighbor""))) / STDEV(FILTER(P1252:P5320, AA1252:AA5320 =""Neighbor"")), """")"),1.334414166111668)</f>
        <v>1.334414166</v>
      </c>
      <c r="AE1252" s="2">
        <f>IFERROR(__xludf.DUMMYFUNCTION("IFERROR(ABS(Q1252-AVERAGE(FILTER(Q1252:Q5320,AA1252:AA5320=""Neighbor""))) / STDEV(FILTER(Q1252:Q5320, AA1252:AA5320 =""Neighbor"")), """")"),0.5525860142190767)</f>
        <v>0.5525860142</v>
      </c>
      <c r="AF1252" s="2">
        <f>IFERROR(__xludf.DUMMYFUNCTION("IFERROR(ABS(R1252-AVERAGE(FILTER(R1252:R5320,AA1252:AA5320=""Neighbor""))) / STDEV(FILTER(R1252:R5320, AA1252:AA5320 =""Neighbor"")), """")"),0.34252620784154764)</f>
        <v>0.3425262078</v>
      </c>
    </row>
    <row r="1253">
      <c r="A1253" s="2" t="s">
        <v>28</v>
      </c>
      <c r="B1253" s="2" t="s">
        <v>4981</v>
      </c>
      <c r="C1253" s="2" t="s">
        <v>5109</v>
      </c>
      <c r="D1253" s="2" t="s">
        <v>5126</v>
      </c>
      <c r="E1253" s="2" t="s">
        <v>5127</v>
      </c>
      <c r="F1253" s="2">
        <v>95.0</v>
      </c>
      <c r="G1253" s="2">
        <v>341.0</v>
      </c>
      <c r="H1253" s="2" t="b">
        <v>1</v>
      </c>
      <c r="I1253" s="2">
        <v>-1.0</v>
      </c>
      <c r="J1253" s="2" t="b">
        <v>0</v>
      </c>
      <c r="K1253" s="2" t="b">
        <v>1</v>
      </c>
      <c r="L1253" s="2" t="b">
        <v>0</v>
      </c>
      <c r="M1253" s="2" t="b">
        <v>0</v>
      </c>
      <c r="N1253" s="2" t="s">
        <v>33</v>
      </c>
      <c r="O1253" s="2">
        <v>57.0</v>
      </c>
      <c r="P1253" s="2">
        <v>6.0</v>
      </c>
      <c r="Q1253" s="2">
        <v>30.0</v>
      </c>
      <c r="R1253" s="2">
        <v>0.0</v>
      </c>
      <c r="S1253" s="3" t="s">
        <v>5128</v>
      </c>
      <c r="T1253" s="2" t="s">
        <v>5129</v>
      </c>
      <c r="Y1253" s="4" t="str">
        <f>IFERROR(__xludf.DUMMYFUNCTION("""COMPUTED_VALUE"""),"6.7728732")</f>
        <v>6.7728732</v>
      </c>
      <c r="Z1253" s="4" t="str">
        <f>IFERROR(__xludf.DUMMYFUNCTION("""COMPUTED_VALUE"""),"4.0363382")</f>
        <v>4.0363382</v>
      </c>
      <c r="AA1253" s="4" t="str">
        <f t="shared" si="1"/>
        <v>Not Neighbor</v>
      </c>
      <c r="AC1253" s="4">
        <f>IFERROR(__xludf.DUMMYFUNCTION("IFERROR(ABS(O1253-AVERAGE(FILTER(O1253:O5321,AA1253:AA5321=""Neighbor""))) / STDEV(FILTER(O1253:O5321, AA1253:AA5321 =""Neighbor"")), """")"),0.14482892085493115)</f>
        <v>0.1448289209</v>
      </c>
      <c r="AD1253" s="4">
        <f>IFERROR(__xludf.DUMMYFUNCTION("IFERROR(ABS(P1253-AVERAGE(FILTER(O1253:P5321,AA1253:AA5321=""Neighbor""))) / STDEV(FILTER(P1253:P5321, AA1253:AA5321 =""Neighbor"")), """")"),1.5705742971928431)</f>
        <v>1.570574297</v>
      </c>
      <c r="AE1253" s="2">
        <f>IFERROR(__xludf.DUMMYFUNCTION("IFERROR(ABS(Q1253-AVERAGE(FILTER(Q1253:Q5321,AA1253:AA5321=""Neighbor""))) / STDEV(FILTER(Q1253:Q5321, AA1253:AA5321 =""Neighbor"")), """")"),0.18827619010759827)</f>
        <v>0.1882761901</v>
      </c>
      <c r="AF1253" s="2">
        <f>IFERROR(__xludf.DUMMYFUNCTION("IFERROR(ABS(R1253-AVERAGE(FILTER(R1253:R5321,AA1253:AA5321=""Neighbor""))) / STDEV(FILTER(R1253:R5321, AA1253:AA5321 =""Neighbor"")), """")"),0.34252620784154764)</f>
        <v>0.3425262078</v>
      </c>
    </row>
    <row r="1254">
      <c r="A1254" s="2" t="s">
        <v>28</v>
      </c>
      <c r="B1254" s="2" t="s">
        <v>4981</v>
      </c>
      <c r="C1254" s="2" t="s">
        <v>5109</v>
      </c>
      <c r="D1254" s="2" t="s">
        <v>5130</v>
      </c>
      <c r="E1254" s="2" t="s">
        <v>5131</v>
      </c>
      <c r="F1254" s="2">
        <v>119.0</v>
      </c>
      <c r="G1254" s="2">
        <v>521.0</v>
      </c>
      <c r="H1254" s="2" t="b">
        <v>1</v>
      </c>
      <c r="I1254" s="2">
        <v>-1.0</v>
      </c>
      <c r="J1254" s="2" t="b">
        <v>0</v>
      </c>
      <c r="K1254" s="2" t="b">
        <v>0</v>
      </c>
      <c r="L1254" s="2" t="b">
        <v>0</v>
      </c>
      <c r="M1254" s="2" t="b">
        <v>0</v>
      </c>
      <c r="N1254" s="2" t="s">
        <v>33</v>
      </c>
      <c r="O1254" s="2">
        <v>65.0</v>
      </c>
      <c r="P1254" s="2">
        <v>11.0</v>
      </c>
      <c r="Q1254" s="2">
        <v>38.0</v>
      </c>
      <c r="R1254" s="2">
        <v>0.0</v>
      </c>
      <c r="S1254" s="3" t="s">
        <v>5132</v>
      </c>
      <c r="T1254" s="2" t="s">
        <v>5133</v>
      </c>
      <c r="Y1254" s="4" t="str">
        <f>IFERROR(__xludf.DUMMYFUNCTION("""COMPUTED_VALUE"""),"6.7634")</f>
        <v>6.7634</v>
      </c>
      <c r="Z1254" s="4" t="str">
        <f>IFERROR(__xludf.DUMMYFUNCTION("""COMPUTED_VALUE"""),"4.025")</f>
        <v>4.025</v>
      </c>
      <c r="AA1254" s="4" t="str">
        <f t="shared" si="1"/>
        <v>Not Neighbor</v>
      </c>
      <c r="AC1254" s="4">
        <f>IFERROR(__xludf.DUMMYFUNCTION("IFERROR(ABS(O1254-AVERAGE(FILTER(O1254:O5322,AA1254:AA5322=""Neighbor""))) / STDEV(FILTER(O1254:O5322, AA1254:AA5322 =""Neighbor"")), """")"),0.04674308533512691)</f>
        <v>0.04674308534</v>
      </c>
      <c r="AD1254" s="4">
        <f>IFERROR(__xludf.DUMMYFUNCTION("IFERROR(ABS(P1254-AVERAGE(FILTER(O1254:P5322,AA1254:AA5322=""Neighbor""))) / STDEV(FILTER(P1254:P5322, AA1254:AA5322 =""Neighbor"")), """")"),1.334414166111668)</f>
        <v>1.334414166</v>
      </c>
      <c r="AE1254" s="2">
        <f>IFERROR(__xludf.DUMMYFUNCTION("IFERROR(ABS(Q1254-AVERAGE(FILTER(Q1254:Q5322,AA1254:AA5322=""Neighbor""))) / STDEV(FILTER(Q1254:Q5322, AA1254:AA5322 =""Neighbor"")), """")"),0.5121071448733568)</f>
        <v>0.5121071449</v>
      </c>
      <c r="AF1254" s="2">
        <f>IFERROR(__xludf.DUMMYFUNCTION("IFERROR(ABS(R1254-AVERAGE(FILTER(R1254:R5322,AA1254:AA5322=""Neighbor""))) / STDEV(FILTER(R1254:R5322, AA1254:AA5322 =""Neighbor"")), """")"),0.34252620784154764)</f>
        <v>0.3425262078</v>
      </c>
    </row>
    <row r="1255">
      <c r="A1255" s="2" t="s">
        <v>28</v>
      </c>
      <c r="B1255" s="2" t="s">
        <v>4981</v>
      </c>
      <c r="C1255" s="2" t="s">
        <v>5109</v>
      </c>
      <c r="D1255" s="2" t="s">
        <v>5134</v>
      </c>
      <c r="E1255" s="2" t="s">
        <v>5135</v>
      </c>
      <c r="F1255" s="2">
        <v>72.0</v>
      </c>
      <c r="G1255" s="2">
        <v>315.0</v>
      </c>
      <c r="H1255" s="2" t="b">
        <v>1</v>
      </c>
      <c r="I1255" s="2">
        <v>-1.0</v>
      </c>
      <c r="J1255" s="2" t="b">
        <v>0</v>
      </c>
      <c r="K1255" s="2" t="b">
        <v>0</v>
      </c>
      <c r="L1255" s="2" t="b">
        <v>0</v>
      </c>
      <c r="M1255" s="2" t="b">
        <v>0</v>
      </c>
      <c r="N1255" s="2" t="s">
        <v>33</v>
      </c>
      <c r="O1255" s="2">
        <v>44.0</v>
      </c>
      <c r="P1255" s="2">
        <v>3.0</v>
      </c>
      <c r="Q1255" s="2">
        <v>24.0</v>
      </c>
      <c r="R1255" s="2">
        <v>0.0</v>
      </c>
      <c r="S1255" s="3" t="s">
        <v>5136</v>
      </c>
      <c r="T1255" s="2" t="s">
        <v>5137</v>
      </c>
      <c r="Y1255" s="4" t="str">
        <f>IFERROR(__xludf.DUMMYFUNCTION("""COMPUTED_VALUE"""),"6.7728732")</f>
        <v>6.7728732</v>
      </c>
      <c r="Z1255" s="4" t="str">
        <f>IFERROR(__xludf.DUMMYFUNCTION("""COMPUTED_VALUE"""),"4.0363382")</f>
        <v>4.0363382</v>
      </c>
      <c r="AA1255" s="4" t="str">
        <f t="shared" si="1"/>
        <v>Neighbor</v>
      </c>
      <c r="AC1255" s="4">
        <f>IFERROR(__xludf.DUMMYFUNCTION("IFERROR(ABS(O1255-AVERAGE(FILTER(O1255:O5323,AA1255:AA5323=""Neighbor""))) / STDEV(FILTER(O1255:O5323, AA1255:AA5323 =""Neighbor"")), """")"),0.45613343091377545)</f>
        <v>0.4561334309</v>
      </c>
      <c r="AD1255" s="4">
        <f>IFERROR(__xludf.DUMMYFUNCTION("IFERROR(ABS(P1255-AVERAGE(FILTER(O1255:P5323,AA1255:AA5323=""Neighbor""))) / STDEV(FILTER(P1255:P5323, AA1255:AA5323 =""Neighbor"")), """")"),1.7122703758415483)</f>
        <v>1.712270376</v>
      </c>
      <c r="AE1255" s="2">
        <f>IFERROR(__xludf.DUMMYFUNCTION("IFERROR(ABS(Q1255-AVERAGE(FILTER(Q1255:Q5323,AA1255:AA5323=""Neighbor""))) / STDEV(FILTER(Q1255:Q5323, AA1255:AA5323 =""Neighbor"")), """")"),0.05459702596672069)</f>
        <v>0.05459702597</v>
      </c>
      <c r="AF1255" s="2">
        <f>IFERROR(__xludf.DUMMYFUNCTION("IFERROR(ABS(R1255-AVERAGE(FILTER(R1255:R5323,AA1255:AA5323=""Neighbor""))) / STDEV(FILTER(R1255:R5323, AA1255:AA5323 =""Neighbor"")), """")"),0.34252620784154764)</f>
        <v>0.3425262078</v>
      </c>
    </row>
    <row r="1256">
      <c r="A1256" s="2" t="s">
        <v>28</v>
      </c>
      <c r="B1256" s="2" t="s">
        <v>4981</v>
      </c>
      <c r="C1256" s="2" t="s">
        <v>5109</v>
      </c>
      <c r="D1256" s="2" t="s">
        <v>5138</v>
      </c>
      <c r="E1256" s="2" t="s">
        <v>5139</v>
      </c>
      <c r="F1256" s="2">
        <v>157.0</v>
      </c>
      <c r="G1256" s="2">
        <v>528.0</v>
      </c>
      <c r="H1256" s="2" t="b">
        <v>1</v>
      </c>
      <c r="I1256" s="2">
        <v>-1.0</v>
      </c>
      <c r="J1256" s="2" t="b">
        <v>0</v>
      </c>
      <c r="K1256" s="2" t="b">
        <v>1</v>
      </c>
      <c r="L1256" s="2" t="b">
        <v>0</v>
      </c>
      <c r="M1256" s="2" t="b">
        <v>0</v>
      </c>
      <c r="N1256" s="2" t="s">
        <v>33</v>
      </c>
      <c r="O1256" s="2">
        <v>101.0</v>
      </c>
      <c r="P1256" s="2">
        <v>17.0</v>
      </c>
      <c r="Q1256" s="2">
        <v>26.0</v>
      </c>
      <c r="R1256" s="2">
        <v>1.0</v>
      </c>
      <c r="S1256" s="3" t="s">
        <v>5140</v>
      </c>
      <c r="T1256" s="2" t="s">
        <v>5141</v>
      </c>
      <c r="Y1256" s="4" t="str">
        <f>IFERROR(__xludf.DUMMYFUNCTION("""COMPUTED_VALUE"""),"6.7728732")</f>
        <v>6.7728732</v>
      </c>
      <c r="Z1256" s="4" t="str">
        <f>IFERROR(__xludf.DUMMYFUNCTION("""COMPUTED_VALUE"""),"4.0363382")</f>
        <v>4.0363382</v>
      </c>
      <c r="AA1256" s="4" t="str">
        <f t="shared" si="1"/>
        <v>Not Neighbor</v>
      </c>
      <c r="AC1256" s="4">
        <f>IFERROR(__xludf.DUMMYFUNCTION("IFERROR(ABS(O1256-AVERAGE(FILTER(O1256:O5324,AA1256:AA5324=""Neighbor""))) / STDEV(FILTER(O1256:O5324, AA1256:AA5324 =""Neighbor"")), """")"),0.9081291789317669)</f>
        <v>0.9081291789</v>
      </c>
      <c r="AD1256" s="4">
        <f>IFERROR(__xludf.DUMMYFUNCTION("IFERROR(ABS(P1256-AVERAGE(FILTER(O1256:P5324,AA1256:AA5324=""Neighbor""))) / STDEV(FILTER(P1256:P5324, AA1256:AA5324 =""Neighbor"")), """")"),1.0513594563118065)</f>
        <v>1.051359456</v>
      </c>
      <c r="AE1256" s="2">
        <f>IFERROR(__xludf.DUMMYFUNCTION("IFERROR(ABS(Q1256-AVERAGE(FILTER(Q1256:Q5324,AA1256:AA5324=""Neighbor""))) / STDEV(FILTER(Q1256:Q5324, AA1256:AA5324 =""Neighbor"")), """")"),0.026303614998562652)</f>
        <v>0.026303615</v>
      </c>
      <c r="AF1256" s="2">
        <f>IFERROR(__xludf.DUMMYFUNCTION("IFERROR(ABS(R1256-AVERAGE(FILTER(R1256:R5324,AA1256:AA5324=""Neighbor""))) / STDEV(FILTER(R1256:R5324, AA1256:AA5324 =""Neighbor"")), """")"),0.8778149338170265)</f>
        <v>0.8778149338</v>
      </c>
    </row>
    <row r="1257">
      <c r="A1257" s="2" t="s">
        <v>28</v>
      </c>
      <c r="B1257" s="2" t="s">
        <v>4981</v>
      </c>
      <c r="C1257" s="2" t="s">
        <v>5109</v>
      </c>
      <c r="D1257" s="2" t="s">
        <v>5142</v>
      </c>
      <c r="E1257" s="2" t="s">
        <v>5143</v>
      </c>
      <c r="F1257" s="2">
        <v>177.0</v>
      </c>
      <c r="G1257" s="2">
        <v>635.0</v>
      </c>
      <c r="H1257" s="2" t="b">
        <v>1</v>
      </c>
      <c r="I1257" s="2">
        <v>-1.0</v>
      </c>
      <c r="J1257" s="2" t="b">
        <v>0</v>
      </c>
      <c r="K1257" s="2" t="b">
        <v>0</v>
      </c>
      <c r="L1257" s="2" t="b">
        <v>0</v>
      </c>
      <c r="M1257" s="2" t="b">
        <v>0</v>
      </c>
      <c r="N1257" s="2" t="s">
        <v>33</v>
      </c>
      <c r="O1257" s="2">
        <v>100.0</v>
      </c>
      <c r="P1257" s="2">
        <v>11.0</v>
      </c>
      <c r="Q1257" s="2">
        <v>65.0</v>
      </c>
      <c r="R1257" s="2">
        <v>0.0</v>
      </c>
      <c r="S1257" s="3" t="s">
        <v>5144</v>
      </c>
      <c r="T1257" s="2" t="s">
        <v>5145</v>
      </c>
      <c r="Y1257" s="4" t="str">
        <f>IFERROR(__xludf.DUMMYFUNCTION("""COMPUTED_VALUE"""),"7.490462")</f>
        <v>7.490462</v>
      </c>
      <c r="Z1257" s="4" t="str">
        <f>IFERROR(__xludf.DUMMYFUNCTION("""COMPUTED_VALUE"""),"4.5521274")</f>
        <v>4.5521274</v>
      </c>
      <c r="AA1257" s="4" t="str">
        <f t="shared" si="1"/>
        <v>Not Neighbor</v>
      </c>
      <c r="AC1257" s="4">
        <f>IFERROR(__xludf.DUMMYFUNCTION("IFERROR(ABS(O1257-AVERAGE(FILTER(O1257:O5325,AA1257:AA5325=""Neighbor""))) / STDEV(FILTER(O1257:O5325, AA1257:AA5325 =""Neighbor"")), """")"),0.8841906741706299)</f>
        <v>0.8841906742</v>
      </c>
      <c r="AD1257" s="4">
        <f>IFERROR(__xludf.DUMMYFUNCTION("IFERROR(ABS(P1257-AVERAGE(FILTER(O1257:P5325,AA1257:AA5325=""Neighbor""))) / STDEV(FILTER(P1257:P5325, AA1257:AA5325 =""Neighbor"")), """")"),1.3346734977066947)</f>
        <v>1.334673498</v>
      </c>
      <c r="AE1257" s="2">
        <f>IFERROR(__xludf.DUMMYFUNCTION("IFERROR(ABS(Q1257-AVERAGE(FILTER(Q1257:Q5325,AA1257:AA5325=""Neighbor""))) / STDEV(FILTER(Q1257:Q5325, AA1257:AA5325 =""Neighbor"")), """")"),1.6043158175193395)</f>
        <v>1.604315818</v>
      </c>
      <c r="AF1257" s="2">
        <f>IFERROR(__xludf.DUMMYFUNCTION("IFERROR(ABS(R1257-AVERAGE(FILTER(R1257:R5325,AA1257:AA5325=""Neighbor""))) / STDEV(FILTER(R1257:R5325, AA1257:AA5325 =""Neighbor"")), """")"),0.3426874243388861)</f>
        <v>0.3426874243</v>
      </c>
    </row>
    <row r="1258">
      <c r="A1258" s="2" t="s">
        <v>28</v>
      </c>
      <c r="B1258" s="2" t="s">
        <v>4981</v>
      </c>
      <c r="C1258" s="2" t="s">
        <v>5146</v>
      </c>
      <c r="D1258" s="2" t="s">
        <v>5147</v>
      </c>
      <c r="E1258" s="2" t="s">
        <v>5148</v>
      </c>
      <c r="F1258" s="2">
        <v>129.0</v>
      </c>
      <c r="G1258" s="2">
        <v>422.0</v>
      </c>
      <c r="H1258" s="2" t="b">
        <v>1</v>
      </c>
      <c r="I1258" s="2">
        <v>-1.0</v>
      </c>
      <c r="J1258" s="2" t="b">
        <v>0</v>
      </c>
      <c r="K1258" s="2" t="b">
        <v>0</v>
      </c>
      <c r="L1258" s="2" t="b">
        <v>0</v>
      </c>
      <c r="M1258" s="2" t="b">
        <v>0</v>
      </c>
      <c r="N1258" s="2" t="s">
        <v>33</v>
      </c>
      <c r="O1258" s="2">
        <v>54.0</v>
      </c>
      <c r="P1258" s="2">
        <v>15.0</v>
      </c>
      <c r="Q1258" s="2">
        <v>53.0</v>
      </c>
      <c r="R1258" s="2">
        <v>0.0</v>
      </c>
      <c r="S1258" s="3" t="s">
        <v>5149</v>
      </c>
      <c r="T1258" s="2" t="s">
        <v>5150</v>
      </c>
      <c r="Y1258" s="4" t="str">
        <f>IFERROR(__xludf.DUMMYFUNCTION("""COMPUTED_VALUE"""),"6.8597645")</f>
        <v>6.8597645</v>
      </c>
      <c r="Z1258" s="4" t="str">
        <f>IFERROR(__xludf.DUMMYFUNCTION("""COMPUTED_VALUE"""),"4.19234")</f>
        <v>4.19234</v>
      </c>
      <c r="AA1258" s="4" t="str">
        <f t="shared" si="1"/>
        <v>Neighbor</v>
      </c>
      <c r="AC1258" s="4">
        <f>IFERROR(__xludf.DUMMYFUNCTION("IFERROR(ABS(O1258-AVERAGE(FILTER(O1258:O5326,AA1258:AA5326=""Neighbor""))) / STDEV(FILTER(O1258:O5326, AA1258:AA5326 =""Neighbor"")), """")"),0.21698054484167165)</f>
        <v>0.2169805448</v>
      </c>
      <c r="AD1258" s="4">
        <f>IFERROR(__xludf.DUMMYFUNCTION("IFERROR(ABS(P1258-AVERAGE(FILTER(O1258:P5326,AA1258:AA5326=""Neighbor""))) / STDEV(FILTER(P1258:P5326, AA1258:AA5326 =""Neighbor"")), """")"),1.1457974701101026)</f>
        <v>1.14579747</v>
      </c>
      <c r="AE1258" s="2">
        <f>IFERROR(__xludf.DUMMYFUNCTION("IFERROR(ABS(Q1258-AVERAGE(FILTER(Q1258:Q5326,AA1258:AA5326=""Neighbor""))) / STDEV(FILTER(Q1258:Q5326, AA1258:AA5326 =""Neighbor"")), """")"),1.1187736013591005)</f>
        <v>1.118773601</v>
      </c>
      <c r="AF1258" s="2">
        <f>IFERROR(__xludf.DUMMYFUNCTION("IFERROR(ABS(R1258-AVERAGE(FILTER(R1258:R5326,AA1258:AA5326=""Neighbor""))) / STDEV(FILTER(R1258:R5326, AA1258:AA5326 =""Neighbor"")), """")"),0.3426874243388861)</f>
        <v>0.3426874243</v>
      </c>
    </row>
    <row r="1259">
      <c r="A1259" s="2" t="s">
        <v>28</v>
      </c>
      <c r="B1259" s="2" t="s">
        <v>4981</v>
      </c>
      <c r="C1259" s="2" t="s">
        <v>5146</v>
      </c>
      <c r="D1259" s="2" t="s">
        <v>5151</v>
      </c>
      <c r="E1259" s="2" t="s">
        <v>5152</v>
      </c>
      <c r="F1259" s="2">
        <v>66.0</v>
      </c>
      <c r="G1259" s="2">
        <v>286.0</v>
      </c>
      <c r="H1259" s="2" t="b">
        <v>1</v>
      </c>
      <c r="I1259" s="2">
        <v>-1.0</v>
      </c>
      <c r="J1259" s="2" t="b">
        <v>0</v>
      </c>
      <c r="K1259" s="2" t="b">
        <v>0</v>
      </c>
      <c r="L1259" s="2" t="b">
        <v>0</v>
      </c>
      <c r="M1259" s="2" t="b">
        <v>0</v>
      </c>
      <c r="N1259" s="2" t="s">
        <v>33</v>
      </c>
      <c r="O1259" s="2">
        <v>38.0</v>
      </c>
      <c r="P1259" s="2">
        <v>4.0</v>
      </c>
      <c r="Q1259" s="2">
        <v>24.0</v>
      </c>
      <c r="R1259" s="2">
        <v>0.0</v>
      </c>
      <c r="S1259" s="3" t="s">
        <v>5153</v>
      </c>
      <c r="T1259" s="2" t="s">
        <v>5154</v>
      </c>
      <c r="Y1259" s="4" t="str">
        <f>IFERROR(__xludf.DUMMYFUNCTION("""COMPUTED_VALUE"""),"6.8597645")</f>
        <v>6.8597645</v>
      </c>
      <c r="Z1259" s="4" t="str">
        <f>IFERROR(__xludf.DUMMYFUNCTION("""COMPUTED_VALUE"""),"4.19234")</f>
        <v>4.19234</v>
      </c>
      <c r="AA1259" s="4" t="str">
        <f t="shared" si="1"/>
        <v>Not Neighbor</v>
      </c>
      <c r="AC1259" s="4">
        <f>IFERROR(__xludf.DUMMYFUNCTION("IFERROR(ABS(O1259-AVERAGE(FILTER(O1259:O5327,AA1259:AA5327=""Neighbor""))) / STDEV(FILTER(O1259:O5327, AA1259:AA5327 =""Neighbor"")), """")"),0.5999383612046819)</f>
        <v>0.5999383612</v>
      </c>
      <c r="AD1259" s="4">
        <f>IFERROR(__xludf.DUMMYFUNCTION("IFERROR(ABS(P1259-AVERAGE(FILTER(O1259:P5327,AA1259:AA5327=""Neighbor""))) / STDEV(FILTER(P1259:P5327, AA1259:AA5327 =""Neighbor"")), """")"),1.6646939368405185)</f>
        <v>1.664693937</v>
      </c>
      <c r="AE1259" s="2">
        <f>IFERROR(__xludf.DUMMYFUNCTION("IFERROR(ABS(Q1259-AVERAGE(FILTER(Q1259:Q5327,AA1259:AA5327=""Neighbor""))) / STDEV(FILTER(Q1259:Q5327, AA1259:AA5327 =""Neighbor"")), """")"),0.053681704115174374)</f>
        <v>0.05368170412</v>
      </c>
      <c r="AF1259" s="2">
        <f>IFERROR(__xludf.DUMMYFUNCTION("IFERROR(ABS(R1259-AVERAGE(FILTER(R1259:R5327,AA1259:AA5327=""Neighbor""))) / STDEV(FILTER(R1259:R5327, AA1259:AA5327 =""Neighbor"")), """")"),0.34284886871360903)</f>
        <v>0.3428488687</v>
      </c>
    </row>
    <row r="1260">
      <c r="A1260" s="2" t="s">
        <v>28</v>
      </c>
      <c r="B1260" s="2" t="s">
        <v>4981</v>
      </c>
      <c r="C1260" s="2" t="s">
        <v>5146</v>
      </c>
      <c r="D1260" s="2" t="s">
        <v>5155</v>
      </c>
      <c r="E1260" s="2" t="s">
        <v>5156</v>
      </c>
      <c r="F1260" s="2">
        <v>67.0</v>
      </c>
      <c r="G1260" s="2">
        <v>608.0</v>
      </c>
      <c r="H1260" s="2" t="b">
        <v>1</v>
      </c>
      <c r="I1260" s="2">
        <v>-1.0</v>
      </c>
      <c r="J1260" s="2" t="b">
        <v>0</v>
      </c>
      <c r="K1260" s="2" t="b">
        <v>0</v>
      </c>
      <c r="L1260" s="2" t="b">
        <v>0</v>
      </c>
      <c r="M1260" s="2" t="b">
        <v>0</v>
      </c>
      <c r="N1260" s="2" t="s">
        <v>33</v>
      </c>
      <c r="O1260" s="2">
        <v>51.0</v>
      </c>
      <c r="P1260" s="2">
        <v>1.0</v>
      </c>
      <c r="Q1260" s="2">
        <v>11.0</v>
      </c>
      <c r="R1260" s="2">
        <v>0.0</v>
      </c>
      <c r="S1260" s="3" t="s">
        <v>5157</v>
      </c>
      <c r="T1260" s="2" t="s">
        <v>5158</v>
      </c>
      <c r="Y1260" s="4" t="str">
        <f>IFERROR(__xludf.DUMMYFUNCTION("""COMPUTED_VALUE"""),"6.8159044")</f>
        <v>6.8159044</v>
      </c>
      <c r="Z1260" s="4" t="str">
        <f>IFERROR(__xludf.DUMMYFUNCTION("""COMPUTED_VALUE"""),"4.315422")</f>
        <v>4.315422</v>
      </c>
      <c r="AA1260" s="4" t="str">
        <f t="shared" si="1"/>
        <v>Not Neighbor</v>
      </c>
      <c r="AC1260" s="4">
        <f>IFERROR(__xludf.DUMMYFUNCTION("IFERROR(ABS(O1260-AVERAGE(FILTER(O1260:O5328,AA1260:AA5328=""Neighbor""))) / STDEV(FILTER(O1260:O5328, AA1260:AA5328 =""Neighbor"")), """")"),0.2888629504218436)</f>
        <v>0.2888629504</v>
      </c>
      <c r="AD1260" s="4">
        <f>IFERROR(__xludf.DUMMYFUNCTION("IFERROR(ABS(P1260-AVERAGE(FILTER(O1260:P5328,AA1260:AA5328=""Neighbor""))) / STDEV(FILTER(P1260:P5328, AA1260:AA5328 =""Neighbor"")), """")"),1.8062912031188099)</f>
        <v>1.806291203</v>
      </c>
      <c r="AE1260" s="2">
        <f>IFERROR(__xludf.DUMMYFUNCTION("IFERROR(ABS(Q1260-AVERAGE(FILTER(Q1260:Q5328,AA1260:AA5328=""Neighbor""))) / STDEV(FILTER(Q1260:Q5328, AA1260:AA5328 =""Neighbor"")), """")"),0.5797419152438392)</f>
        <v>0.5797419152</v>
      </c>
      <c r="AF1260" s="2">
        <f>IFERROR(__xludf.DUMMYFUNCTION("IFERROR(ABS(R1260-AVERAGE(FILTER(R1260:R5328,AA1260:AA5328=""Neighbor""))) / STDEV(FILTER(R1260:R5328, AA1260:AA5328 =""Neighbor"")), """")"),0.34284886871360903)</f>
        <v>0.3428488687</v>
      </c>
    </row>
    <row r="1261">
      <c r="A1261" s="2" t="s">
        <v>28</v>
      </c>
      <c r="B1261" s="2" t="s">
        <v>4981</v>
      </c>
      <c r="C1261" s="2" t="s">
        <v>5146</v>
      </c>
      <c r="D1261" s="2" t="s">
        <v>5159</v>
      </c>
      <c r="E1261" s="2" t="s">
        <v>5160</v>
      </c>
      <c r="F1261" s="2">
        <v>131.0</v>
      </c>
      <c r="G1261" s="2">
        <v>495.0</v>
      </c>
      <c r="H1261" s="2" t="b">
        <v>1</v>
      </c>
      <c r="I1261" s="2">
        <v>-1.0</v>
      </c>
      <c r="J1261" s="2" t="b">
        <v>0</v>
      </c>
      <c r="K1261" s="2" t="b">
        <v>0</v>
      </c>
      <c r="L1261" s="2" t="b">
        <v>0</v>
      </c>
      <c r="M1261" s="2" t="b">
        <v>0</v>
      </c>
      <c r="N1261" s="2" t="s">
        <v>33</v>
      </c>
      <c r="O1261" s="2">
        <v>68.0</v>
      </c>
      <c r="P1261" s="2">
        <v>3.0</v>
      </c>
      <c r="Q1261" s="2">
        <v>46.0</v>
      </c>
      <c r="R1261" s="2">
        <v>0.0</v>
      </c>
      <c r="S1261" s="3" t="s">
        <v>5161</v>
      </c>
      <c r="T1261" s="2" t="s">
        <v>5162</v>
      </c>
      <c r="Y1261" s="4" t="str">
        <f>IFERROR(__xludf.DUMMYFUNCTION("""COMPUTED_VALUE"""),"6.8597645")</f>
        <v>6.8597645</v>
      </c>
      <c r="Z1261" s="4" t="str">
        <f>IFERROR(__xludf.DUMMYFUNCTION("""COMPUTED_VALUE"""),"4.19234")</f>
        <v>4.19234</v>
      </c>
      <c r="AA1261" s="4" t="str">
        <f t="shared" si="1"/>
        <v>Neighbor</v>
      </c>
      <c r="AC1261" s="4">
        <f>IFERROR(__xludf.DUMMYFUNCTION("IFERROR(ABS(O1261-AVERAGE(FILTER(O1261:O5329,AA1261:AA5329=""Neighbor""))) / STDEV(FILTER(O1261:O5329, AA1261:AA5329 =""Neighbor"")), """")"),0.1179279713710987)</f>
        <v>0.1179279714</v>
      </c>
      <c r="AD1261" s="4">
        <f>IFERROR(__xludf.DUMMYFUNCTION("IFERROR(ABS(P1261-AVERAGE(FILTER(O1261:P5329,AA1261:AA5329=""Neighbor""))) / STDEV(FILTER(P1261:P5329, AA1261:AA5329 =""Neighbor"")), """")"),1.711893025599949)</f>
        <v>1.711893026</v>
      </c>
      <c r="AE1261" s="2">
        <f>IFERROR(__xludf.DUMMYFUNCTION("IFERROR(ABS(Q1261-AVERAGE(FILTER(Q1261:Q5329,AA1261:AA5329=""Neighbor""))) / STDEV(FILTER(Q1261:Q5329, AA1261:AA5329 =""Neighbor"")), """")"),0.8365740377948739)</f>
        <v>0.8365740378</v>
      </c>
      <c r="AF1261" s="2">
        <f>IFERROR(__xludf.DUMMYFUNCTION("IFERROR(ABS(R1261-AVERAGE(FILTER(R1261:R5329,AA1261:AA5329=""Neighbor""))) / STDEV(FILTER(R1261:R5329, AA1261:AA5329 =""Neighbor"")), """")"),0.34284886871360903)</f>
        <v>0.3428488687</v>
      </c>
    </row>
    <row r="1262">
      <c r="A1262" s="2" t="s">
        <v>28</v>
      </c>
      <c r="B1262" s="2" t="s">
        <v>4981</v>
      </c>
      <c r="C1262" s="2" t="s">
        <v>5146</v>
      </c>
      <c r="D1262" s="2" t="s">
        <v>5163</v>
      </c>
      <c r="E1262" s="2" t="s">
        <v>5164</v>
      </c>
      <c r="F1262" s="2">
        <v>109.0</v>
      </c>
      <c r="G1262" s="2">
        <v>484.0</v>
      </c>
      <c r="H1262" s="2" t="b">
        <v>1</v>
      </c>
      <c r="I1262" s="2">
        <v>-1.0</v>
      </c>
      <c r="J1262" s="2" t="b">
        <v>0</v>
      </c>
      <c r="K1262" s="2" t="b">
        <v>0</v>
      </c>
      <c r="L1262" s="2" t="b">
        <v>0</v>
      </c>
      <c r="M1262" s="2" t="b">
        <v>0</v>
      </c>
      <c r="N1262" s="2" t="s">
        <v>33</v>
      </c>
      <c r="O1262" s="2">
        <v>73.0</v>
      </c>
      <c r="P1262" s="2">
        <v>6.0</v>
      </c>
      <c r="Q1262" s="2">
        <v>29.0</v>
      </c>
      <c r="R1262" s="2">
        <v>0.0</v>
      </c>
      <c r="S1262" s="3" t="s">
        <v>5165</v>
      </c>
      <c r="T1262" s="2" t="s">
        <v>5166</v>
      </c>
      <c r="Y1262" s="4" t="str">
        <f>IFERROR(__xludf.DUMMYFUNCTION("""COMPUTED_VALUE"""),"6.8597645")</f>
        <v>6.8597645</v>
      </c>
      <c r="Z1262" s="4" t="str">
        <f>IFERROR(__xludf.DUMMYFUNCTION("""COMPUTED_VALUE"""),"4.19234")</f>
        <v>4.19234</v>
      </c>
      <c r="AA1262" s="4" t="str">
        <f t="shared" si="1"/>
        <v>Neighbor</v>
      </c>
      <c r="AC1262" s="4">
        <f>IFERROR(__xludf.DUMMYFUNCTION("IFERROR(ABS(O1262-AVERAGE(FILTER(O1262:O5330,AA1262:AA5330=""Neighbor""))) / STDEV(FILTER(O1262:O5330, AA1262:AA5330 =""Neighbor"")), """")"),0.237572968455082)</f>
        <v>0.2375729685</v>
      </c>
      <c r="AD1262" s="4">
        <f>IFERROR(__xludf.DUMMYFUNCTION("IFERROR(ABS(P1262-AVERAGE(FILTER(O1262:P5330,AA1262:AA5330=""Neighbor""))) / STDEV(FILTER(P1262:P5330, AA1262:AA5330 =""Neighbor"")), """")"),1.570012494782545)</f>
        <v>1.570012495</v>
      </c>
      <c r="AE1262" s="2">
        <f>IFERROR(__xludf.DUMMYFUNCTION("IFERROR(ABS(Q1262-AVERAGE(FILTER(Q1262:Q5330,AA1262:AA5330=""Neighbor""))) / STDEV(FILTER(Q1262:Q5330, AA1262:AA5330 =""Neighbor"")), """")"),0.14933680630163326)</f>
        <v>0.1493368063</v>
      </c>
      <c r="AF1262" s="2">
        <f>IFERROR(__xludf.DUMMYFUNCTION("IFERROR(ABS(R1262-AVERAGE(FILTER(R1262:R5330,AA1262:AA5330=""Neighbor""))) / STDEV(FILTER(R1262:R5330, AA1262:AA5330 =""Neighbor"")), """")"),0.3430105415031089)</f>
        <v>0.3430105415</v>
      </c>
    </row>
    <row r="1263">
      <c r="A1263" s="2" t="s">
        <v>28</v>
      </c>
      <c r="B1263" s="2" t="s">
        <v>4981</v>
      </c>
      <c r="C1263" s="2" t="s">
        <v>5146</v>
      </c>
      <c r="D1263" s="2" t="s">
        <v>5167</v>
      </c>
      <c r="E1263" s="2" t="s">
        <v>5168</v>
      </c>
      <c r="F1263" s="2">
        <v>57.0</v>
      </c>
      <c r="G1263" s="2">
        <v>261.0</v>
      </c>
      <c r="H1263" s="2" t="b">
        <v>1</v>
      </c>
      <c r="I1263" s="2">
        <v>-1.0</v>
      </c>
      <c r="J1263" s="2" t="b">
        <v>0</v>
      </c>
      <c r="K1263" s="2" t="b">
        <v>0</v>
      </c>
      <c r="L1263" s="2" t="b">
        <v>0</v>
      </c>
      <c r="M1263" s="2" t="b">
        <v>0</v>
      </c>
      <c r="N1263" s="2" t="s">
        <v>33</v>
      </c>
      <c r="O1263" s="2">
        <v>43.0</v>
      </c>
      <c r="P1263" s="2">
        <v>2.0</v>
      </c>
      <c r="Q1263" s="2">
        <v>7.0</v>
      </c>
      <c r="R1263" s="2">
        <v>0.0</v>
      </c>
      <c r="S1263" s="3" t="s">
        <v>5169</v>
      </c>
      <c r="T1263" s="2" t="s">
        <v>5170</v>
      </c>
      <c r="Y1263" s="4" t="str">
        <f>IFERROR(__xludf.DUMMYFUNCTION("""COMPUTED_VALUE"""),"6.8597645")</f>
        <v>6.8597645</v>
      </c>
      <c r="Z1263" s="4" t="str">
        <f>IFERROR(__xludf.DUMMYFUNCTION("""COMPUTED_VALUE"""),"4.19234")</f>
        <v>4.19234</v>
      </c>
      <c r="AA1263" s="4" t="str">
        <f t="shared" si="1"/>
        <v>Neighbor</v>
      </c>
      <c r="AC1263" s="4">
        <f>IFERROR(__xludf.DUMMYFUNCTION("IFERROR(ABS(O1263-AVERAGE(FILTER(O1263:O5331,AA1263:AA5331=""Neighbor""))) / STDEV(FILTER(O1263:O5331, AA1263:AA5331 =""Neighbor"")), """")"),0.47960216343239814)</f>
        <v>0.4796021634</v>
      </c>
      <c r="AD1263" s="4">
        <f>IFERROR(__xludf.DUMMYFUNCTION("IFERROR(ABS(P1263-AVERAGE(FILTER(O1263:P5331,AA1263:AA5331=""Neighbor""))) / STDEV(FILTER(P1263:P5331, AA1263:AA5331 =""Neighbor"")), """")"),1.7581529311751158)</f>
        <v>1.758152931</v>
      </c>
      <c r="AE1263" s="2">
        <f>IFERROR(__xludf.DUMMYFUNCTION("IFERROR(ABS(Q1263-AVERAGE(FILTER(Q1263:Q5331,AA1263:AA5331=""Neighbor""))) / STDEV(FILTER(Q1263:Q5331, AA1263:AA5331 =""Neighbor"")), """")"),0.7403738752975859)</f>
        <v>0.7403738753</v>
      </c>
      <c r="AF1263" s="2">
        <f>IFERROR(__xludf.DUMMYFUNCTION("IFERROR(ABS(R1263-AVERAGE(FILTER(R1263:R5331,AA1263:AA5331=""Neighbor""))) / STDEV(FILTER(R1263:R5331, AA1263:AA5331 =""Neighbor"")), """")"),0.34317244324655394)</f>
        <v>0.3431724432</v>
      </c>
    </row>
    <row r="1264">
      <c r="A1264" s="2" t="s">
        <v>28</v>
      </c>
      <c r="B1264" s="2" t="s">
        <v>4981</v>
      </c>
      <c r="C1264" s="2" t="s">
        <v>5146</v>
      </c>
      <c r="D1264" s="2" t="s">
        <v>5171</v>
      </c>
      <c r="E1264" s="2" t="s">
        <v>5172</v>
      </c>
      <c r="F1264" s="2">
        <v>37.0</v>
      </c>
      <c r="G1264" s="2">
        <v>209.0</v>
      </c>
      <c r="H1264" s="2" t="b">
        <v>1</v>
      </c>
      <c r="I1264" s="2">
        <v>-1.0</v>
      </c>
      <c r="J1264" s="2" t="b">
        <v>0</v>
      </c>
      <c r="K1264" s="2" t="b">
        <v>0</v>
      </c>
      <c r="L1264" s="2" t="b">
        <v>0</v>
      </c>
      <c r="M1264" s="2" t="b">
        <v>0</v>
      </c>
      <c r="N1264" s="2" t="s">
        <v>33</v>
      </c>
      <c r="O1264" s="2">
        <v>25.0</v>
      </c>
      <c r="P1264" s="2">
        <v>2.0</v>
      </c>
      <c r="Q1264" s="2">
        <v>6.0</v>
      </c>
      <c r="R1264" s="2">
        <v>1.0</v>
      </c>
      <c r="S1264" s="3" t="s">
        <v>5173</v>
      </c>
      <c r="T1264" s="2" t="s">
        <v>5174</v>
      </c>
      <c r="Y1264" s="4" t="str">
        <f>IFERROR(__xludf.DUMMYFUNCTION("""COMPUTED_VALUE"""),"6.8597645")</f>
        <v>6.8597645</v>
      </c>
      <c r="Z1264" s="4" t="str">
        <f>IFERROR(__xludf.DUMMYFUNCTION("""COMPUTED_VALUE"""),"4.19234")</f>
        <v>4.19234</v>
      </c>
      <c r="AA1264" s="4" t="str">
        <f t="shared" si="1"/>
        <v>Not Neighbor</v>
      </c>
      <c r="AC1264" s="4">
        <f>IFERROR(__xludf.DUMMYFUNCTION("IFERROR(ABS(O1264-AVERAGE(FILTER(O1264:O5332,AA1264:AA5332=""Neighbor""))) / STDEV(FILTER(O1264:O5332, AA1264:AA5332 =""Neighbor"")), """")"),0.9100800340872496)</f>
        <v>0.9100800341</v>
      </c>
      <c r="AD1264" s="4">
        <f>IFERROR(__xludf.DUMMYFUNCTION("IFERROR(ABS(P1264-AVERAGE(FILTER(O1264:P5332,AA1264:AA5332=""Neighbor""))) / STDEV(FILTER(P1264:P5332, AA1264:AA5332 =""Neighbor"")), """")"),1.7583793979393174)</f>
        <v>1.758379398</v>
      </c>
      <c r="AE1264" s="2">
        <f>IFERROR(__xludf.DUMMYFUNCTION("IFERROR(ABS(Q1264-AVERAGE(FILTER(Q1264:Q5332,AA1264:AA5332=""Neighbor""))) / STDEV(FILTER(Q1264:Q5332, AA1264:AA5332 =""Neighbor"")), """")"),0.7812952810004837)</f>
        <v>0.781295281</v>
      </c>
      <c r="AF1264" s="2">
        <f>IFERROR(__xludf.DUMMYFUNCTION("IFERROR(ABS(R1264-AVERAGE(FILTER(R1264:R5332,AA1264:AA5332=""Neighbor""))) / STDEV(FILTER(R1264:R5332, AA1264:AA5332 =""Neighbor"")), """")"),0.8753485097227526)</f>
        <v>0.8753485097</v>
      </c>
    </row>
    <row r="1265">
      <c r="A1265" s="2" t="s">
        <v>28</v>
      </c>
      <c r="B1265" s="2" t="s">
        <v>4981</v>
      </c>
      <c r="C1265" s="2" t="s">
        <v>5146</v>
      </c>
      <c r="D1265" s="2" t="s">
        <v>5175</v>
      </c>
      <c r="E1265" s="2" t="s">
        <v>5176</v>
      </c>
      <c r="F1265" s="2">
        <v>475.0</v>
      </c>
      <c r="G1265" s="2">
        <v>2094.0</v>
      </c>
      <c r="H1265" s="2" t="b">
        <v>1</v>
      </c>
      <c r="I1265" s="2">
        <v>-1.0</v>
      </c>
      <c r="J1265" s="2" t="b">
        <v>0</v>
      </c>
      <c r="K1265" s="2" t="b">
        <v>1</v>
      </c>
      <c r="L1265" s="2" t="b">
        <v>0</v>
      </c>
      <c r="M1265" s="2" t="b">
        <v>0</v>
      </c>
      <c r="N1265" s="2" t="s">
        <v>33</v>
      </c>
      <c r="O1265" s="2">
        <v>332.0</v>
      </c>
      <c r="P1265" s="2">
        <v>17.0</v>
      </c>
      <c r="Q1265" s="2">
        <v>91.0</v>
      </c>
      <c r="R1265" s="2">
        <v>0.0</v>
      </c>
      <c r="S1265" s="3" t="s">
        <v>5177</v>
      </c>
      <c r="T1265" s="2" t="s">
        <v>5178</v>
      </c>
      <c r="Y1265" s="4" t="str">
        <f>IFERROR(__xludf.DUMMYFUNCTION("""COMPUTED_VALUE"""),"6.84554")</f>
        <v>6.84554</v>
      </c>
      <c r="Z1265" s="4" t="str">
        <f>IFERROR(__xludf.DUMMYFUNCTION("""COMPUTED_VALUE"""),"4.2134743")</f>
        <v>4.2134743</v>
      </c>
      <c r="AA1265" s="4" t="str">
        <f t="shared" si="1"/>
        <v>Not Neighbor</v>
      </c>
      <c r="AC1265" s="4">
        <f>IFERROR(__xludf.DUMMYFUNCTION("IFERROR(ABS(O1265-AVERAGE(FILTER(O1265:O5333,AA1265:AA5333=""Neighbor""))) / STDEV(FILTER(O1265:O5333, AA1265:AA5333 =""Neighbor"")), """")"),6.42770564536386)</f>
        <v>6.427705645</v>
      </c>
      <c r="AD1265" s="4">
        <f>IFERROR(__xludf.DUMMYFUNCTION("IFERROR(ABS(P1265-AVERAGE(FILTER(O1265:P5333,AA1265:AA5333=""Neighbor""))) / STDEV(FILTER(P1265:P5333, AA1265:AA5333 =""Neighbor"")), """")"),1.0510060236406744)</f>
        <v>1.051006024</v>
      </c>
      <c r="AE1265" s="2">
        <f>IFERROR(__xludf.DUMMYFUNCTION("IFERROR(ABS(Q1265-AVERAGE(FILTER(Q1265:Q5333,AA1265:AA5333=""Neighbor""))) / STDEV(FILTER(Q1265:Q5333, AA1265:AA5333 =""Neighbor"")), """")"),2.6558155379030373)</f>
        <v>2.655815538</v>
      </c>
      <c r="AF1265" s="2">
        <f>IFERROR(__xludf.DUMMYFUNCTION("IFERROR(ABS(R1265-AVERAGE(FILTER(R1265:R5333,AA1265:AA5333=""Neighbor""))) / STDEV(FILTER(R1265:R5333, AA1265:AA5333 =""Neighbor"")), """")"),0.3433345744848959)</f>
        <v>0.3433345745</v>
      </c>
    </row>
    <row r="1266">
      <c r="A1266" s="2" t="s">
        <v>28</v>
      </c>
      <c r="B1266" s="2" t="s">
        <v>4981</v>
      </c>
      <c r="C1266" s="2" t="s">
        <v>5146</v>
      </c>
      <c r="D1266" s="2" t="s">
        <v>5179</v>
      </c>
      <c r="E1266" s="2" t="s">
        <v>5180</v>
      </c>
      <c r="F1266" s="2">
        <v>42.0</v>
      </c>
      <c r="G1266" s="2">
        <v>493.0</v>
      </c>
      <c r="H1266" s="2" t="b">
        <v>1</v>
      </c>
      <c r="I1266" s="2">
        <v>-1.0</v>
      </c>
      <c r="J1266" s="2" t="b">
        <v>0</v>
      </c>
      <c r="K1266" s="2" t="b">
        <v>0</v>
      </c>
      <c r="L1266" s="2" t="b">
        <v>0</v>
      </c>
      <c r="M1266" s="2" t="b">
        <v>0</v>
      </c>
      <c r="N1266" s="2" t="s">
        <v>33</v>
      </c>
      <c r="O1266" s="2">
        <v>38.0</v>
      </c>
      <c r="P1266" s="2">
        <v>2.0</v>
      </c>
      <c r="Q1266" s="2">
        <v>2.0</v>
      </c>
      <c r="R1266" s="2">
        <v>0.0</v>
      </c>
      <c r="S1266" s="3" t="s">
        <v>5181</v>
      </c>
      <c r="T1266" s="2" t="s">
        <v>5182</v>
      </c>
      <c r="Y1266" s="4" t="str">
        <f>IFERROR(__xludf.DUMMYFUNCTION("""COMPUTED_VALUE"""),"6.8597645")</f>
        <v>6.8597645</v>
      </c>
      <c r="Z1266" s="4" t="str">
        <f>IFERROR(__xludf.DUMMYFUNCTION("""COMPUTED_VALUE"""),"4.19234")</f>
        <v>4.19234</v>
      </c>
      <c r="AA1266" s="4" t="str">
        <f t="shared" si="1"/>
        <v>Not Neighbor</v>
      </c>
      <c r="AC1266" s="4">
        <f>IFERROR(__xludf.DUMMYFUNCTION("IFERROR(ABS(O1266-AVERAGE(FILTER(O1266:O5334,AA1266:AA5334=""Neighbor""))) / STDEV(FILTER(O1266:O5334, AA1266:AA5334 =""Neighbor"")), """")"),0.5993594678564208)</f>
        <v>0.5993594679</v>
      </c>
      <c r="AD1266" s="4">
        <f>IFERROR(__xludf.DUMMYFUNCTION("IFERROR(ABS(P1266-AVERAGE(FILTER(O1266:P5334,AA1266:AA5334=""Neighbor""))) / STDEV(FILTER(P1266:P5334, AA1266:AA5334 =""Neighbor"")), """")"),1.7583793979393174)</f>
        <v>1.758379398</v>
      </c>
      <c r="AE1266" s="2">
        <f>IFERROR(__xludf.DUMMYFUNCTION("IFERROR(ABS(Q1266-AVERAGE(FILTER(Q1266:Q5334,AA1266:AA5334=""Neighbor""))) / STDEV(FILTER(Q1266:Q5334, AA1266:AA5334 =""Neighbor"")), """")"),0.9430416724782965)</f>
        <v>0.9430416725</v>
      </c>
      <c r="AF1266" s="2">
        <f>IFERROR(__xludf.DUMMYFUNCTION("IFERROR(ABS(R1266-AVERAGE(FILTER(R1266:R5334,AA1266:AA5334=""Neighbor""))) / STDEV(FILTER(R1266:R5334, AA1266:AA5334 =""Neighbor"")), """")"),0.3433345744848959)</f>
        <v>0.3433345745</v>
      </c>
    </row>
    <row r="1267">
      <c r="A1267" s="2" t="s">
        <v>28</v>
      </c>
      <c r="B1267" s="2" t="s">
        <v>4981</v>
      </c>
      <c r="C1267" s="2" t="s">
        <v>5146</v>
      </c>
      <c r="D1267" s="2" t="s">
        <v>5183</v>
      </c>
      <c r="E1267" s="2" t="s">
        <v>5184</v>
      </c>
      <c r="F1267" s="2">
        <v>111.0</v>
      </c>
      <c r="G1267" s="2">
        <v>351.0</v>
      </c>
      <c r="H1267" s="2" t="b">
        <v>1</v>
      </c>
      <c r="I1267" s="2">
        <v>-1.0</v>
      </c>
      <c r="J1267" s="2" t="b">
        <v>0</v>
      </c>
      <c r="K1267" s="2" t="b">
        <v>0</v>
      </c>
      <c r="L1267" s="2" t="b">
        <v>0</v>
      </c>
      <c r="M1267" s="2" t="b">
        <v>0</v>
      </c>
      <c r="N1267" s="2" t="s">
        <v>33</v>
      </c>
      <c r="O1267" s="2">
        <v>74.0</v>
      </c>
      <c r="P1267" s="2">
        <v>6.0</v>
      </c>
      <c r="Q1267" s="2">
        <v>28.0</v>
      </c>
      <c r="R1267" s="2">
        <v>0.0</v>
      </c>
      <c r="S1267" s="3" t="s">
        <v>5185</v>
      </c>
      <c r="T1267" s="2" t="s">
        <v>5186</v>
      </c>
      <c r="Y1267" s="4" t="str">
        <f>IFERROR(__xludf.DUMMYFUNCTION("""COMPUTED_VALUE"""),"7.9036423")</f>
        <v>7.9036423</v>
      </c>
      <c r="Z1267" s="4" t="str">
        <f>IFERROR(__xludf.DUMMYFUNCTION("""COMPUTED_VALUE"""),"5.109336")</f>
        <v>5.109336</v>
      </c>
      <c r="AA1267" s="4" t="str">
        <f t="shared" si="1"/>
        <v>Not Neighbor</v>
      </c>
      <c r="AC1267" s="4">
        <f>IFERROR(__xludf.DUMMYFUNCTION("IFERROR(ABS(O1267-AVERAGE(FILTER(O1267:O5335,AA1267:AA5335=""Neighbor""))) / STDEV(FILTER(O1267:O5335, AA1267:AA5335 =""Neighbor"")), """")"),0.26109748478279715)</f>
        <v>0.2610974848</v>
      </c>
      <c r="AD1267" s="4">
        <f>IFERROR(__xludf.DUMMYFUNCTION("IFERROR(ABS(P1267-AVERAGE(FILTER(O1267:P5335,AA1267:AA5335=""Neighbor""))) / STDEV(FILTER(P1267:P5335, AA1267:AA5335 =""Neighbor"")), """")"),1.569746498126346)</f>
        <v>1.569746498</v>
      </c>
      <c r="AE1267" s="2">
        <f>IFERROR(__xludf.DUMMYFUNCTION("IFERROR(ABS(Q1267-AVERAGE(FILTER(Q1267:Q5335,AA1267:AA5335=""Neighbor""))) / STDEV(FILTER(Q1267:Q5335, AA1267:AA5335 =""Neighbor"")), """")"),0.10830987212748629)</f>
        <v>0.1083098721</v>
      </c>
      <c r="AF1267" s="2">
        <f>IFERROR(__xludf.DUMMYFUNCTION("IFERROR(ABS(R1267-AVERAGE(FILTER(R1267:R5335,AA1267:AA5335=""Neighbor""))) / STDEV(FILTER(R1267:R5335, AA1267:AA5335 =""Neighbor"")), """")"),0.3433345744848959)</f>
        <v>0.3433345745</v>
      </c>
    </row>
    <row r="1268">
      <c r="A1268" s="2" t="s">
        <v>28</v>
      </c>
      <c r="B1268" s="2" t="s">
        <v>4981</v>
      </c>
      <c r="C1268" s="2" t="s">
        <v>81</v>
      </c>
      <c r="D1268" s="2" t="s">
        <v>5187</v>
      </c>
      <c r="E1268" s="2" t="s">
        <v>5188</v>
      </c>
      <c r="F1268" s="2">
        <v>253.0</v>
      </c>
      <c r="G1268" s="2">
        <v>796.0</v>
      </c>
      <c r="H1268" s="2" t="b">
        <v>1</v>
      </c>
      <c r="I1268" s="2">
        <v>-1.0</v>
      </c>
      <c r="J1268" s="2" t="b">
        <v>0</v>
      </c>
      <c r="K1268" s="2" t="b">
        <v>0</v>
      </c>
      <c r="L1268" s="2" t="b">
        <v>0</v>
      </c>
      <c r="M1268" s="2" t="b">
        <v>0</v>
      </c>
      <c r="N1268" s="2" t="s">
        <v>33</v>
      </c>
      <c r="O1268" s="2">
        <v>132.0</v>
      </c>
      <c r="P1268" s="2">
        <v>41.0</v>
      </c>
      <c r="Q1268" s="2">
        <v>64.0</v>
      </c>
      <c r="R1268" s="2">
        <v>0.0</v>
      </c>
      <c r="S1268" s="3" t="s">
        <v>5189</v>
      </c>
      <c r="T1268" s="2" t="s">
        <v>5190</v>
      </c>
      <c r="Y1268" s="4" t="str">
        <f>IFERROR(__xludf.DUMMYFUNCTION("""COMPUTED_VALUE"""),"6.83437")</f>
        <v>6.83437</v>
      </c>
      <c r="Z1268" s="4" t="str">
        <f>IFERROR(__xludf.DUMMYFUNCTION("""COMPUTED_VALUE"""),"4.0337846")</f>
        <v>4.0337846</v>
      </c>
      <c r="AA1268" s="4" t="str">
        <f t="shared" si="1"/>
        <v>Neighbor</v>
      </c>
      <c r="AC1268" s="4">
        <f>IFERROR(__xludf.DUMMYFUNCTION("IFERROR(ABS(O1268-AVERAGE(FILTER(O1268:O5336,AA1268:AA5336=""Neighbor""))) / STDEV(FILTER(O1268:O5336, AA1268:AA5336 =""Neighbor"")), """")"),1.6473892418126483)</f>
        <v>1.647389242</v>
      </c>
      <c r="AD1268" s="4">
        <f>IFERROR(__xludf.DUMMYFUNCTION("IFERROR(ABS(P1268-AVERAGE(FILTER(O1268:P5336,AA1268:AA5336=""Neighbor""))) / STDEV(FILTER(P1268:P5336, AA1268:AA5336 =""Neighbor"")), """")"),0.08079137523715459)</f>
        <v>0.08079137524</v>
      </c>
      <c r="AE1268" s="2">
        <f>IFERROR(__xludf.DUMMYFUNCTION("IFERROR(ABS(Q1268-AVERAGE(FILTER(Q1268:Q5336,AA1268:AA5336=""Neighbor""))) / STDEV(FILTER(Q1268:Q5336, AA1268:AA5336 =""Neighbor"")), """")"),1.564027395427801)</f>
        <v>1.564027395</v>
      </c>
      <c r="AF1268" s="2">
        <f>IFERROR(__xludf.DUMMYFUNCTION("IFERROR(ABS(R1268-AVERAGE(FILTER(R1268:R5336,AA1268:AA5336=""Neighbor""))) / STDEV(FILTER(R1268:R5336, AA1268:AA5336 =""Neighbor"")), """")"),0.3433345744848959)</f>
        <v>0.3433345745</v>
      </c>
    </row>
    <row r="1269">
      <c r="A1269" s="2" t="s">
        <v>28</v>
      </c>
      <c r="B1269" s="2" t="s">
        <v>4981</v>
      </c>
      <c r="C1269" s="2" t="s">
        <v>81</v>
      </c>
      <c r="D1269" s="2" t="s">
        <v>5191</v>
      </c>
      <c r="E1269" s="2" t="s">
        <v>5192</v>
      </c>
      <c r="F1269" s="2">
        <v>69.0</v>
      </c>
      <c r="G1269" s="2">
        <v>229.0</v>
      </c>
      <c r="H1269" s="2" t="b">
        <v>1</v>
      </c>
      <c r="I1269" s="2">
        <v>-1.0</v>
      </c>
      <c r="J1269" s="2" t="b">
        <v>0</v>
      </c>
      <c r="K1269" s="2" t="b">
        <v>0</v>
      </c>
      <c r="L1269" s="2" t="b">
        <v>0</v>
      </c>
      <c r="M1269" s="2" t="b">
        <v>0</v>
      </c>
      <c r="N1269" s="2" t="s">
        <v>33</v>
      </c>
      <c r="O1269" s="2">
        <v>41.0</v>
      </c>
      <c r="P1269" s="2">
        <v>4.0</v>
      </c>
      <c r="Q1269" s="2">
        <v>23.0</v>
      </c>
      <c r="R1269" s="2">
        <v>0.0</v>
      </c>
      <c r="S1269" s="3" t="s">
        <v>5193</v>
      </c>
      <c r="T1269" s="2" t="s">
        <v>5194</v>
      </c>
      <c r="Y1269" s="4" t="str">
        <f>IFERROR(__xludf.DUMMYFUNCTION("""COMPUTED_VALUE"""),"6.8420026")</f>
        <v>6.8420026</v>
      </c>
      <c r="Z1269" s="4" t="str">
        <f>IFERROR(__xludf.DUMMYFUNCTION("""COMPUTED_VALUE"""),"4.0404879")</f>
        <v>4.0404879</v>
      </c>
      <c r="AA1269" s="4" t="str">
        <f t="shared" si="1"/>
        <v>Not Neighbor</v>
      </c>
      <c r="AC1269" s="4">
        <f>IFERROR(__xludf.DUMMYFUNCTION("IFERROR(ABS(O1269-AVERAGE(FILTER(O1269:O5337,AA1269:AA5337=""Neighbor""))) / STDEV(FILTER(O1269:O5337, AA1269:AA5337 =""Neighbor"")), """")"),0.526642924830103)</f>
        <v>0.5266429248</v>
      </c>
      <c r="AD1269" s="4">
        <f>IFERROR(__xludf.DUMMYFUNCTION("IFERROR(ABS(P1269-AVERAGE(FILTER(O1269:P5337,AA1269:AA5337=""Neighbor""))) / STDEV(FILTER(P1269:P5337, AA1269:AA5337 =""Neighbor"")), """")"),1.6624930309606618)</f>
        <v>1.662493031</v>
      </c>
      <c r="AE1269" s="2">
        <f>IFERROR(__xludf.DUMMYFUNCTION("IFERROR(ABS(Q1269-AVERAGE(FILTER(Q1269:Q5337,AA1269:AA5337=""Neighbor""))) / STDEV(FILTER(Q1269:Q5337, AA1269:AA5337 =""Neighbor"")), """")"),0.0926056390109384)</f>
        <v>0.09260563901</v>
      </c>
      <c r="AF1269" s="2">
        <f>IFERROR(__xludf.DUMMYFUNCTION("IFERROR(ABS(R1269-AVERAGE(FILTER(R1269:R5337,AA1269:AA5337=""Neighbor""))) / STDEV(FILTER(R1269:R5337, AA1269:AA5337 =""Neighbor"")), """")"),0.34349693576087786)</f>
        <v>0.3434969358</v>
      </c>
    </row>
    <row r="1270">
      <c r="A1270" s="2" t="s">
        <v>28</v>
      </c>
      <c r="B1270" s="2" t="s">
        <v>4981</v>
      </c>
      <c r="C1270" s="2" t="s">
        <v>81</v>
      </c>
      <c r="D1270" s="2" t="s">
        <v>5195</v>
      </c>
      <c r="E1270" s="2" t="s">
        <v>5196</v>
      </c>
      <c r="F1270" s="2">
        <v>109.0</v>
      </c>
      <c r="G1270" s="2">
        <v>365.0</v>
      </c>
      <c r="H1270" s="2" t="b">
        <v>1</v>
      </c>
      <c r="I1270" s="2">
        <v>-1.0</v>
      </c>
      <c r="J1270" s="2" t="b">
        <v>0</v>
      </c>
      <c r="K1270" s="2" t="b">
        <v>0</v>
      </c>
      <c r="L1270" s="2" t="b">
        <v>0</v>
      </c>
      <c r="M1270" s="2" t="b">
        <v>0</v>
      </c>
      <c r="N1270" s="2" t="s">
        <v>33</v>
      </c>
      <c r="O1270" s="2">
        <v>78.0</v>
      </c>
      <c r="P1270" s="2">
        <v>8.0</v>
      </c>
      <c r="Q1270" s="2">
        <v>19.0</v>
      </c>
      <c r="R1270" s="2">
        <v>0.0</v>
      </c>
      <c r="S1270" s="3" t="s">
        <v>5197</v>
      </c>
      <c r="T1270" s="2" t="s">
        <v>5198</v>
      </c>
      <c r="Y1270" s="4" t="str">
        <f>IFERROR(__xludf.DUMMYFUNCTION("""COMPUTED_VALUE"""),"6.8367317")</f>
        <v>6.8367317</v>
      </c>
      <c r="Z1270" s="4" t="str">
        <f>IFERROR(__xludf.DUMMYFUNCTION("""COMPUTED_VALUE"""),"4.010675")</f>
        <v>4.010675</v>
      </c>
      <c r="AA1270" s="4" t="str">
        <f t="shared" si="1"/>
        <v>Not Neighbor</v>
      </c>
      <c r="AC1270" s="4">
        <f>IFERROR(__xludf.DUMMYFUNCTION("IFERROR(ABS(O1270-AVERAGE(FILTER(O1270:O5338,AA1270:AA5338=""Neighbor""))) / STDEV(FILTER(O1270:O5338, AA1270:AA5338 =""Neighbor"")), """")"),0.3583594166805307)</f>
        <v>0.3583594167</v>
      </c>
      <c r="AD1270" s="4">
        <f>IFERROR(__xludf.DUMMYFUNCTION("IFERROR(ABS(P1270-AVERAGE(FILTER(O1270:P5338,AA1270:AA5338=""Neighbor""))) / STDEV(FILTER(P1270:P5338, AA1270:AA5338 =""Neighbor"")), """")"),1.4738243444686876)</f>
        <v>1.473824344</v>
      </c>
      <c r="AE1270" s="2">
        <f>IFERROR(__xludf.DUMMYFUNCTION("IFERROR(ABS(Q1270-AVERAGE(FILTER(Q1270:Q5338,AA1270:AA5338=""Neighbor""))) / STDEV(FILTER(Q1270:Q5338, AA1270:AA5338 =""Neighbor"")), """")"),0.25445138029383624)</f>
        <v>0.2544513803</v>
      </c>
      <c r="AF1270" s="2">
        <f>IFERROR(__xludf.DUMMYFUNCTION("IFERROR(ABS(R1270-AVERAGE(FILTER(R1270:R5338,AA1270:AA5338=""Neighbor""))) / STDEV(FILTER(R1270:R5338, AA1270:AA5338 =""Neighbor"")), """")"),0.34349693576087786)</f>
        <v>0.3434969358</v>
      </c>
    </row>
    <row r="1271">
      <c r="A1271" s="2" t="s">
        <v>28</v>
      </c>
      <c r="B1271" s="2" t="s">
        <v>4981</v>
      </c>
      <c r="C1271" s="2" t="s">
        <v>81</v>
      </c>
      <c r="D1271" s="2" t="s">
        <v>5199</v>
      </c>
      <c r="E1271" s="2" t="s">
        <v>5200</v>
      </c>
      <c r="F1271" s="2">
        <v>112.0</v>
      </c>
      <c r="G1271" s="2">
        <v>425.0</v>
      </c>
      <c r="H1271" s="2" t="b">
        <v>1</v>
      </c>
      <c r="I1271" s="2">
        <v>-1.0</v>
      </c>
      <c r="J1271" s="2" t="b">
        <v>0</v>
      </c>
      <c r="K1271" s="2" t="b">
        <v>0</v>
      </c>
      <c r="L1271" s="2" t="b">
        <v>0</v>
      </c>
      <c r="M1271" s="2" t="b">
        <v>0</v>
      </c>
      <c r="N1271" s="2" t="s">
        <v>33</v>
      </c>
      <c r="O1271" s="2">
        <v>76.0</v>
      </c>
      <c r="P1271" s="2">
        <v>6.0</v>
      </c>
      <c r="Q1271" s="2">
        <v>27.0</v>
      </c>
      <c r="R1271" s="2">
        <v>0.0</v>
      </c>
      <c r="S1271" s="3" t="s">
        <v>5201</v>
      </c>
      <c r="T1271" s="2" t="s">
        <v>5202</v>
      </c>
      <c r="Y1271" s="4" t="str">
        <f>IFERROR(__xludf.DUMMYFUNCTION("""COMPUTED_VALUE"""),"6.83437")</f>
        <v>6.83437</v>
      </c>
      <c r="Z1271" s="4" t="str">
        <f>IFERROR(__xludf.DUMMYFUNCTION("""COMPUTED_VALUE"""),"4.0337846")</f>
        <v>4.0337846</v>
      </c>
      <c r="AA1271" s="4" t="str">
        <f t="shared" si="1"/>
        <v>Not Neighbor</v>
      </c>
      <c r="AC1271" s="4">
        <f>IFERROR(__xludf.DUMMYFUNCTION("IFERROR(ABS(O1271-AVERAGE(FILTER(O1271:O5339,AA1271:AA5339=""Neighbor""))) / STDEV(FILTER(O1271:O5339, AA1271:AA5339 =""Neighbor"")), """")"),0.31052145227455047)</f>
        <v>0.3105214523</v>
      </c>
      <c r="AD1271" s="4">
        <f>IFERROR(__xludf.DUMMYFUNCTION("IFERROR(ABS(P1271-AVERAGE(FILTER(O1271:P5339,AA1271:AA5339=""Neighbor""))) / STDEV(FILTER(P1271:P5339, AA1271:AA5339 =""Neighbor"")), """")"),1.5681586877146747)</f>
        <v>1.568158688</v>
      </c>
      <c r="AE1271" s="2">
        <f>IFERROR(__xludf.DUMMYFUNCTION("IFERROR(ABS(Q1271-AVERAGE(FILTER(Q1271:Q5339,AA1271:AA5339=""Neighbor""))) / STDEV(FILTER(Q1271:Q5339, AA1271:AA5339 =""Neighbor"")), """")"),0.06924010227195945)</f>
        <v>0.06924010227</v>
      </c>
      <c r="AF1271" s="2">
        <f>IFERROR(__xludf.DUMMYFUNCTION("IFERROR(ABS(R1271-AVERAGE(FILTER(R1271:R5339,AA1271:AA5339=""Neighbor""))) / STDEV(FILTER(R1271:R5339, AA1271:AA5339 =""Neighbor"")), """")"),0.34349693576087786)</f>
        <v>0.3434969358</v>
      </c>
    </row>
    <row r="1272">
      <c r="A1272" s="2" t="s">
        <v>28</v>
      </c>
      <c r="B1272" s="2" t="s">
        <v>4981</v>
      </c>
      <c r="C1272" s="2" t="s">
        <v>5203</v>
      </c>
      <c r="D1272" s="2" t="s">
        <v>5204</v>
      </c>
      <c r="E1272" s="2" t="s">
        <v>5205</v>
      </c>
      <c r="F1272" s="2">
        <v>252.0</v>
      </c>
      <c r="G1272" s="2">
        <v>1176.0</v>
      </c>
      <c r="H1272" s="2" t="b">
        <v>1</v>
      </c>
      <c r="I1272" s="2">
        <v>-1.0</v>
      </c>
      <c r="J1272" s="2" t="b">
        <v>0</v>
      </c>
      <c r="K1272" s="2" t="b">
        <v>0</v>
      </c>
      <c r="L1272" s="2" t="b">
        <v>0</v>
      </c>
      <c r="M1272" s="2" t="b">
        <v>0</v>
      </c>
      <c r="N1272" s="2" t="s">
        <v>33</v>
      </c>
      <c r="O1272" s="2">
        <v>128.0</v>
      </c>
      <c r="P1272" s="2">
        <v>56.0</v>
      </c>
      <c r="Q1272" s="2">
        <v>30.0</v>
      </c>
      <c r="R1272" s="2">
        <v>0.0</v>
      </c>
      <c r="S1272" s="3" t="s">
        <v>5206</v>
      </c>
      <c r="T1272" s="2" t="s">
        <v>5207</v>
      </c>
      <c r="Y1272" s="4" t="str">
        <f>IFERROR(__xludf.DUMMYFUNCTION("""COMPUTED_VALUE"""),"6.7690698")</f>
        <v>6.7690698</v>
      </c>
      <c r="Z1272" s="4" t="str">
        <f>IFERROR(__xludf.DUMMYFUNCTION("""COMPUTED_VALUE"""),"4.0603837")</f>
        <v>4.0603837</v>
      </c>
      <c r="AA1272" s="4" t="str">
        <f t="shared" si="1"/>
        <v>Neighbor</v>
      </c>
      <c r="AC1272" s="4">
        <f>IFERROR(__xludf.DUMMYFUNCTION("IFERROR(ABS(O1272-AVERAGE(FILTER(O1272:O5340,AA1272:AA5340=""Neighbor""))) / STDEV(FILTER(O1272:O5340, AA1272:AA5340 =""Neighbor"")), """")"),1.5543085268300356)</f>
        <v>1.554308527</v>
      </c>
      <c r="AD1272" s="4">
        <f>IFERROR(__xludf.DUMMYFUNCTION("IFERROR(ABS(P1272-AVERAGE(FILTER(O1272:P5340,AA1272:AA5340=""Neighbor""))) / STDEV(FILTER(P1272:P5340, AA1272:AA5340 =""Neighbor"")), """")"),0.7901998934350034)</f>
        <v>0.7901998934</v>
      </c>
      <c r="AE1272" s="2">
        <f>IFERROR(__xludf.DUMMYFUNCTION("IFERROR(ABS(Q1272-AVERAGE(FILTER(Q1272:Q5340,AA1272:AA5340=""Neighbor""))) / STDEV(FILTER(Q1272:Q5340, AA1272:AA5340 =""Neighbor"")), """")"),0.19062440823413285)</f>
        <v>0.1906244082</v>
      </c>
      <c r="AF1272" s="2">
        <f>IFERROR(__xludf.DUMMYFUNCTION("IFERROR(ABS(R1272-AVERAGE(FILTER(R1272:R5340,AA1272:AA5340=""Neighbor""))) / STDEV(FILTER(R1272:R5340, AA1272:AA5340 =""Neighbor"")), """")"),0.34349693576087786)</f>
        <v>0.3434969358</v>
      </c>
    </row>
    <row r="1273">
      <c r="A1273" s="2" t="s">
        <v>28</v>
      </c>
      <c r="B1273" s="2" t="s">
        <v>4981</v>
      </c>
      <c r="C1273" s="2" t="s">
        <v>5203</v>
      </c>
      <c r="D1273" s="2" t="s">
        <v>5208</v>
      </c>
      <c r="E1273" s="2" t="s">
        <v>5209</v>
      </c>
      <c r="F1273" s="2">
        <v>233.0</v>
      </c>
      <c r="G1273" s="2">
        <v>1227.0</v>
      </c>
      <c r="H1273" s="2" t="b">
        <v>1</v>
      </c>
      <c r="I1273" s="2">
        <v>-1.0</v>
      </c>
      <c r="J1273" s="2" t="b">
        <v>0</v>
      </c>
      <c r="K1273" s="2" t="b">
        <v>0</v>
      </c>
      <c r="L1273" s="2" t="b">
        <v>0</v>
      </c>
      <c r="M1273" s="2" t="b">
        <v>0</v>
      </c>
      <c r="N1273" s="2" t="s">
        <v>33</v>
      </c>
      <c r="O1273" s="2">
        <v>76.0</v>
      </c>
      <c r="P1273" s="2">
        <v>65.0</v>
      </c>
      <c r="Q1273" s="2">
        <v>33.0</v>
      </c>
      <c r="R1273" s="2">
        <v>1.0</v>
      </c>
      <c r="S1273" s="3" t="s">
        <v>5210</v>
      </c>
      <c r="T1273" s="2" t="s">
        <v>5211</v>
      </c>
      <c r="Y1273" s="4" t="str">
        <f>IFERROR(__xludf.DUMMYFUNCTION("""COMPUTED_VALUE"""),"6.7690698")</f>
        <v>6.7690698</v>
      </c>
      <c r="Z1273" s="4" t="str">
        <f>IFERROR(__xludf.DUMMYFUNCTION("""COMPUTED_VALUE"""),"4.0603837")</f>
        <v>4.0603837</v>
      </c>
      <c r="AA1273" s="4" t="str">
        <f t="shared" si="1"/>
        <v>Neighbor</v>
      </c>
      <c r="AC1273" s="4">
        <f>IFERROR(__xludf.DUMMYFUNCTION("IFERROR(ABS(O1273-AVERAGE(FILTER(O1273:O5341,AA1273:AA5341=""Neighbor""))) / STDEV(FILTER(O1273:O5341, AA1273:AA5341 =""Neighbor"")), """")"),0.3120263483163934)</f>
        <v>0.3120263483</v>
      </c>
      <c r="AD1273" s="4">
        <f>IFERROR(__xludf.DUMMYFUNCTION("IFERROR(ABS(P1273-AVERAGE(FILTER(O1273:P5341,AA1273:AA5341=""Neighbor""))) / STDEV(FILTER(P1273:P5341, AA1273:AA5341 =""Neighbor"")), """")"),1.218186309326337)</f>
        <v>1.218186309</v>
      </c>
      <c r="AE1273" s="2">
        <f>IFERROR(__xludf.DUMMYFUNCTION("IFERROR(ABS(Q1273-AVERAGE(FILTER(Q1273:Q5341,AA1273:AA5341=""Neighbor""))) / STDEV(FILTER(Q1273:Q5341, AA1273:AA5341 =""Neighbor"")), """")"),0.31204276546432513)</f>
        <v>0.3120427655</v>
      </c>
      <c r="AF1273" s="2">
        <f>IFERROR(__xludf.DUMMYFUNCTION("IFERROR(ABS(R1273-AVERAGE(FILTER(R1273:R5341,AA1273:AA5341=""Neighbor""))) / STDEV(FILTER(R1273:R5341, AA1273:AA5341 =""Neighbor"")), """")"),0.8741129726526374)</f>
        <v>0.8741129727</v>
      </c>
    </row>
    <row r="1274">
      <c r="A1274" s="2" t="s">
        <v>28</v>
      </c>
      <c r="B1274" s="2" t="s">
        <v>4981</v>
      </c>
      <c r="C1274" s="2" t="s">
        <v>5203</v>
      </c>
      <c r="D1274" s="2" t="s">
        <v>5212</v>
      </c>
      <c r="E1274" s="2" t="s">
        <v>5213</v>
      </c>
      <c r="F1274" s="2">
        <v>168.0</v>
      </c>
      <c r="G1274" s="2">
        <v>750.0</v>
      </c>
      <c r="H1274" s="2" t="b">
        <v>1</v>
      </c>
      <c r="I1274" s="2">
        <v>-1.0</v>
      </c>
      <c r="J1274" s="2" t="b">
        <v>0</v>
      </c>
      <c r="K1274" s="2" t="b">
        <v>0</v>
      </c>
      <c r="L1274" s="2" t="b">
        <v>0</v>
      </c>
      <c r="M1274" s="2" t="b">
        <v>0</v>
      </c>
      <c r="N1274" s="2" t="s">
        <v>33</v>
      </c>
      <c r="O1274" s="2">
        <v>82.0</v>
      </c>
      <c r="P1274" s="2">
        <v>47.0</v>
      </c>
      <c r="Q1274" s="2">
        <v>18.0</v>
      </c>
      <c r="R1274" s="2">
        <v>1.0</v>
      </c>
      <c r="S1274" s="3" t="s">
        <v>5214</v>
      </c>
      <c r="T1274" s="2" t="s">
        <v>5215</v>
      </c>
      <c r="Y1274" s="4" t="str">
        <f>IFERROR(__xludf.DUMMYFUNCTION("""COMPUTED_VALUE"""),"6.7699688")</f>
        <v>6.7699688</v>
      </c>
      <c r="Z1274" s="4" t="str">
        <f>IFERROR(__xludf.DUMMYFUNCTION("""COMPUTED_VALUE"""),"4.0644352")</f>
        <v>4.0644352</v>
      </c>
      <c r="AA1274" s="4" t="str">
        <f t="shared" si="1"/>
        <v>Not Neighbor</v>
      </c>
      <c r="AC1274" s="4">
        <f>IFERROR(__xludf.DUMMYFUNCTION("IFERROR(ABS(O1274-AVERAGE(FILTER(O1274:O5342,AA1274:AA5342=""Neighbor""))) / STDEV(FILTER(O1274:O5342, AA1274:AA5342 =""Neighbor"")), """")"),0.4557167247126394)</f>
        <v>0.4557167247</v>
      </c>
      <c r="AD1274" s="4">
        <f>IFERROR(__xludf.DUMMYFUNCTION("IFERROR(ABS(P1274-AVERAGE(FILTER(O1274:P5342,AA1274:AA5342=""Neighbor""))) / STDEV(FILTER(P1274:P5342, AA1274:AA5342 =""Neighbor"")), """")"),0.3701773429866574)</f>
        <v>0.370177343</v>
      </c>
      <c r="AE1274" s="2">
        <f>IFERROR(__xludf.DUMMYFUNCTION("IFERROR(ABS(Q1274-AVERAGE(FILTER(Q1274:Q5342,AA1274:AA5342=""Neighbor""))) / STDEV(FILTER(Q1274:Q5342, AA1274:AA5342 =""Neighbor"")), """")"),0.2942535191820481)</f>
        <v>0.2942535192</v>
      </c>
      <c r="AF1274" s="2">
        <f>IFERROR(__xludf.DUMMYFUNCTION("IFERROR(ABS(R1274-AVERAGE(FILTER(R1274:R5342,AA1274:AA5342=""Neighbor""))) / STDEV(FILTER(R1274:R5342, AA1274:AA5342 =""Neighbor"")), """")"),0.8747670217167213)</f>
        <v>0.8747670217</v>
      </c>
    </row>
    <row r="1275">
      <c r="A1275" s="2" t="s">
        <v>28</v>
      </c>
      <c r="B1275" s="2" t="s">
        <v>4981</v>
      </c>
      <c r="C1275" s="2" t="s">
        <v>5203</v>
      </c>
      <c r="D1275" s="2" t="s">
        <v>5216</v>
      </c>
      <c r="E1275" s="2" t="s">
        <v>5217</v>
      </c>
      <c r="F1275" s="2">
        <v>180.0</v>
      </c>
      <c r="G1275" s="2">
        <v>767.0</v>
      </c>
      <c r="H1275" s="2" t="b">
        <v>1</v>
      </c>
      <c r="I1275" s="2">
        <v>-1.0</v>
      </c>
      <c r="J1275" s="2" t="b">
        <v>0</v>
      </c>
      <c r="K1275" s="2" t="b">
        <v>0</v>
      </c>
      <c r="L1275" s="2" t="b">
        <v>0</v>
      </c>
      <c r="M1275" s="2" t="b">
        <v>0</v>
      </c>
      <c r="N1275" s="2" t="s">
        <v>33</v>
      </c>
      <c r="O1275" s="2">
        <v>119.0</v>
      </c>
      <c r="P1275" s="2">
        <v>18.0</v>
      </c>
      <c r="Q1275" s="2">
        <v>29.0</v>
      </c>
      <c r="R1275" s="2">
        <v>1.0</v>
      </c>
      <c r="S1275" s="3" t="s">
        <v>5218</v>
      </c>
      <c r="T1275" s="2" t="s">
        <v>5219</v>
      </c>
      <c r="Y1275" s="4" t="str">
        <f>IFERROR(__xludf.DUMMYFUNCTION("""COMPUTED_VALUE"""),"6.7624473")</f>
        <v>6.7624473</v>
      </c>
      <c r="Z1275" s="4" t="str">
        <f>IFERROR(__xludf.DUMMYFUNCTION("""COMPUTED_VALUE"""),"4.0855179")</f>
        <v>4.0855179</v>
      </c>
      <c r="AA1275" s="4" t="str">
        <f t="shared" si="1"/>
        <v>Not Neighbor</v>
      </c>
      <c r="AC1275" s="4">
        <f>IFERROR(__xludf.DUMMYFUNCTION("IFERROR(ABS(O1275-AVERAGE(FILTER(O1275:O5343,AA1275:AA5343=""Neighbor""))) / STDEV(FILTER(O1275:O5343, AA1275:AA5343 =""Neighbor"")), """")"),1.3409126763619166)</f>
        <v>1.340912676</v>
      </c>
      <c r="AD1275" s="4">
        <f>IFERROR(__xludf.DUMMYFUNCTION("IFERROR(ABS(P1275-AVERAGE(FILTER(O1275:P5343,AA1275:AA5343=""Neighbor""))) / STDEV(FILTER(P1275:P5343, AA1275:AA5343 =""Neighbor"")), """")"),1.0018262921414516)</f>
        <v>1.001826292</v>
      </c>
      <c r="AE1275" s="2">
        <f>IFERROR(__xludf.DUMMYFUNCTION("IFERROR(ABS(Q1275-AVERAGE(FILTER(Q1275:Q5343,AA1275:AA5343=""Neighbor""))) / STDEV(FILTER(Q1275:Q5343, AA1275:AA5343 =""Neighbor"")), """")"),0.15047015990803245)</f>
        <v>0.1504701599</v>
      </c>
      <c r="AF1275" s="2">
        <f>IFERROR(__xludf.DUMMYFUNCTION("IFERROR(ABS(R1275-AVERAGE(FILTER(R1275:R5343,AA1275:AA5343=""Neighbor""))) / STDEV(FILTER(R1275:R5343, AA1275:AA5343 =""Neighbor"")), """")"),0.8747670217167213)</f>
        <v>0.8747670217</v>
      </c>
    </row>
    <row r="1276">
      <c r="A1276" s="2" t="s">
        <v>28</v>
      </c>
      <c r="B1276" s="2" t="s">
        <v>4981</v>
      </c>
      <c r="C1276" s="2" t="s">
        <v>5203</v>
      </c>
      <c r="D1276" s="2" t="s">
        <v>5220</v>
      </c>
      <c r="E1276" s="2" t="s">
        <v>5221</v>
      </c>
      <c r="F1276" s="2">
        <v>99.0</v>
      </c>
      <c r="G1276" s="2">
        <v>750.0</v>
      </c>
      <c r="H1276" s="2" t="b">
        <v>1</v>
      </c>
      <c r="I1276" s="2">
        <v>-1.0</v>
      </c>
      <c r="J1276" s="2" t="b">
        <v>0</v>
      </c>
      <c r="K1276" s="2" t="b">
        <v>0</v>
      </c>
      <c r="L1276" s="2" t="b">
        <v>0</v>
      </c>
      <c r="M1276" s="2" t="b">
        <v>0</v>
      </c>
      <c r="N1276" s="2" t="s">
        <v>33</v>
      </c>
      <c r="O1276" s="2">
        <v>54.0</v>
      </c>
      <c r="P1276" s="2">
        <v>24.0</v>
      </c>
      <c r="Q1276" s="2">
        <v>9.0</v>
      </c>
      <c r="R1276" s="2">
        <v>1.0</v>
      </c>
      <c r="S1276" s="3" t="s">
        <v>5222</v>
      </c>
      <c r="T1276" s="2" t="s">
        <v>5223</v>
      </c>
      <c r="Y1276" s="4" t="str">
        <f>IFERROR(__xludf.DUMMYFUNCTION("""COMPUTED_VALUE"""),"6.7683366")</f>
        <v>6.7683366</v>
      </c>
      <c r="Z1276" s="4" t="str">
        <f>IFERROR(__xludf.DUMMYFUNCTION("""COMPUTED_VALUE"""),"4.1395414")</f>
        <v>4.1395414</v>
      </c>
      <c r="AA1276" s="4" t="str">
        <f t="shared" si="1"/>
        <v>Not Neighbor</v>
      </c>
      <c r="AC1276" s="4">
        <f>IFERROR(__xludf.DUMMYFUNCTION("IFERROR(ABS(O1276-AVERAGE(FILTER(O1276:O5344,AA1276:AA5344=""Neighbor""))) / STDEV(FILTER(O1276:O5344, AA1276:AA5344 =""Neighbor"")), """")"),0.21416129275167856)</f>
        <v>0.2141612928</v>
      </c>
      <c r="AD1276" s="4">
        <f>IFERROR(__xludf.DUMMYFUNCTION("IFERROR(ABS(P1276-AVERAGE(FILTER(O1276:P5344,AA1276:AA5344=""Neighbor""))) / STDEV(FILTER(P1276:P5344, AA1276:AA5344 =""Neighbor"")), """")"),0.7179634710804635)</f>
        <v>0.7179634711</v>
      </c>
      <c r="AE1276" s="2">
        <f>IFERROR(__xludf.DUMMYFUNCTION("IFERROR(ABS(Q1276-AVERAGE(FILTER(Q1276:Q5344,AA1276:AA5344=""Neighbor""))) / STDEV(FILTER(Q1276:Q5344, AA1276:AA5344 =""Neighbor"")), """")"),0.6581183475284776)</f>
        <v>0.6581183475</v>
      </c>
      <c r="AF1276" s="2">
        <f>IFERROR(__xludf.DUMMYFUNCTION("IFERROR(ABS(R1276-AVERAGE(FILTER(R1276:R5344,AA1276:AA5344=""Neighbor""))) / STDEV(FILTER(R1276:R5344, AA1276:AA5344 =""Neighbor"")), """")"),0.8747670217167213)</f>
        <v>0.8747670217</v>
      </c>
    </row>
    <row r="1277">
      <c r="A1277" s="2" t="s">
        <v>28</v>
      </c>
      <c r="B1277" s="2" t="s">
        <v>4981</v>
      </c>
      <c r="C1277" s="2" t="s">
        <v>5203</v>
      </c>
      <c r="D1277" s="2" t="s">
        <v>5224</v>
      </c>
      <c r="E1277" s="2" t="s">
        <v>5225</v>
      </c>
      <c r="F1277" s="2">
        <v>129.0</v>
      </c>
      <c r="G1277" s="2">
        <v>367.0</v>
      </c>
      <c r="H1277" s="2" t="b">
        <v>1</v>
      </c>
      <c r="I1277" s="2">
        <v>-1.0</v>
      </c>
      <c r="J1277" s="2" t="b">
        <v>0</v>
      </c>
      <c r="K1277" s="2" t="b">
        <v>0</v>
      </c>
      <c r="L1277" s="2" t="b">
        <v>0</v>
      </c>
      <c r="M1277" s="2" t="b">
        <v>0</v>
      </c>
      <c r="N1277" s="2" t="s">
        <v>33</v>
      </c>
      <c r="O1277" s="2">
        <v>90.0</v>
      </c>
      <c r="P1277" s="2">
        <v>2.0</v>
      </c>
      <c r="Q1277" s="2">
        <v>33.0</v>
      </c>
      <c r="R1277" s="2">
        <v>0.0</v>
      </c>
      <c r="S1277" s="3" t="s">
        <v>5226</v>
      </c>
      <c r="T1277" s="2" t="s">
        <v>5227</v>
      </c>
      <c r="Y1277" s="4" t="str">
        <f>IFERROR(__xludf.DUMMYFUNCTION("""COMPUTED_VALUE"""),"6.7690698")</f>
        <v>6.7690698</v>
      </c>
      <c r="Z1277" s="4" t="str">
        <f>IFERROR(__xludf.DUMMYFUNCTION("""COMPUTED_VALUE"""),"4.0603837")</f>
        <v>4.0603837</v>
      </c>
      <c r="AA1277" s="4" t="str">
        <f t="shared" si="1"/>
        <v>Not Neighbor</v>
      </c>
      <c r="AC1277" s="4">
        <f>IFERROR(__xludf.DUMMYFUNCTION("IFERROR(ABS(O1277-AVERAGE(FILTER(O1277:O5345,AA1277:AA5345=""Neighbor""))) / STDEV(FILTER(O1277:O5345, AA1277:AA5345 =""Neighbor"")), """")"),0.6471104439881588)</f>
        <v>0.647110444</v>
      </c>
      <c r="AD1277" s="4">
        <f>IFERROR(__xludf.DUMMYFUNCTION("IFERROR(ABS(P1277-AVERAGE(FILTER(O1277:P5345,AA1277:AA5345=""Neighbor""))) / STDEV(FILTER(P1277:P5345, AA1277:AA5345 =""Neighbor"")), """")"),1.7587938149707532)</f>
        <v>1.758793815</v>
      </c>
      <c r="AE1277" s="2">
        <f>IFERROR(__xludf.DUMMYFUNCTION("IFERROR(ABS(Q1277-AVERAGE(FILTER(Q1277:Q5345,AA1277:AA5345=""Neighbor""))) / STDEV(FILTER(Q1277:Q5345, AA1277:AA5345 =""Neighbor"")), """")"),0.3121878613953345)</f>
        <v>0.3121878614</v>
      </c>
      <c r="AF1277" s="2">
        <f>IFERROR(__xludf.DUMMYFUNCTION("IFERROR(ABS(R1277-AVERAGE(FILTER(R1277:R5345,AA1277:AA5345=""Neighbor""))) / STDEV(FILTER(R1277:R5345, AA1277:AA5345 =""Neighbor"")), """")"),0.34288388572603484)</f>
        <v>0.3428838857</v>
      </c>
    </row>
    <row r="1278">
      <c r="A1278" s="2" t="s">
        <v>28</v>
      </c>
      <c r="B1278" s="2" t="s">
        <v>4981</v>
      </c>
      <c r="C1278" s="2" t="s">
        <v>5203</v>
      </c>
      <c r="D1278" s="2" t="s">
        <v>5228</v>
      </c>
      <c r="E1278" s="2" t="s">
        <v>5229</v>
      </c>
      <c r="F1278" s="2">
        <v>76.0</v>
      </c>
      <c r="G1278" s="2">
        <v>360.0</v>
      </c>
      <c r="H1278" s="2" t="b">
        <v>1</v>
      </c>
      <c r="I1278" s="2">
        <v>-1.0</v>
      </c>
      <c r="J1278" s="2" t="b">
        <v>0</v>
      </c>
      <c r="K1278" s="2" t="b">
        <v>0</v>
      </c>
      <c r="L1278" s="2" t="b">
        <v>0</v>
      </c>
      <c r="M1278" s="2" t="b">
        <v>0</v>
      </c>
      <c r="N1278" s="2" t="s">
        <v>33</v>
      </c>
      <c r="O1278" s="2">
        <v>39.0</v>
      </c>
      <c r="P1278" s="2">
        <v>15.0</v>
      </c>
      <c r="Q1278" s="2">
        <v>8.0</v>
      </c>
      <c r="R1278" s="2">
        <v>0.0</v>
      </c>
      <c r="S1278" s="3" t="s">
        <v>5230</v>
      </c>
      <c r="T1278" s="2" t="s">
        <v>5231</v>
      </c>
      <c r="Y1278" s="4" t="str">
        <f>IFERROR(__xludf.DUMMYFUNCTION("""COMPUTED_VALUE"""),"6.8190589")</f>
        <v>6.8190589</v>
      </c>
      <c r="Z1278" s="4" t="str">
        <f>IFERROR(__xludf.DUMMYFUNCTION("""COMPUTED_VALUE"""),"4.1190692")</f>
        <v>4.1190692</v>
      </c>
      <c r="AA1278" s="4" t="str">
        <f t="shared" si="1"/>
        <v>Not Neighbor</v>
      </c>
      <c r="AC1278" s="4">
        <f>IFERROR(__xludf.DUMMYFUNCTION("IFERROR(ABS(O1278-AVERAGE(FILTER(O1278:O5346,AA1278:AA5346=""Neighbor""))) / STDEV(FILTER(O1278:O5346, AA1278:AA5346 =""Neighbor"")), """")"),0.5730245163932774)</f>
        <v>0.5730245164</v>
      </c>
      <c r="AD1278" s="4">
        <f>IFERROR(__xludf.DUMMYFUNCTION("IFERROR(ABS(P1278-AVERAGE(FILTER(O1278:P5346,AA1278:AA5346=""Neighbor""))) / STDEV(FILTER(P1278:P5346, AA1278:AA5346 =""Neighbor"")), """")"),1.1437577026719457)</f>
        <v>1.143757703</v>
      </c>
      <c r="AE1278" s="2">
        <f>IFERROR(__xludf.DUMMYFUNCTION("IFERROR(ABS(Q1278-AVERAGE(FILTER(Q1278:Q5346,AA1278:AA5346=""Neighbor""))) / STDEV(FILTER(Q1278:Q5346, AA1278:AA5346 =""Neighbor"")), """")"),0.6985477729003032)</f>
        <v>0.6985477729</v>
      </c>
      <c r="AF1278" s="2">
        <f>IFERROR(__xludf.DUMMYFUNCTION("IFERROR(ABS(R1278-AVERAGE(FILTER(R1278:R5346,AA1278:AA5346=""Neighbor""))) / STDEV(FILTER(R1278:R5346, AA1278:AA5346 =""Neighbor"")), """")"),0.34288388572603484)</f>
        <v>0.3428838857</v>
      </c>
    </row>
    <row r="1279">
      <c r="A1279" s="2" t="s">
        <v>28</v>
      </c>
      <c r="B1279" s="2" t="s">
        <v>4981</v>
      </c>
      <c r="C1279" s="2" t="s">
        <v>5203</v>
      </c>
      <c r="D1279" s="2" t="s">
        <v>5232</v>
      </c>
      <c r="E1279" s="2" t="s">
        <v>5233</v>
      </c>
      <c r="F1279" s="2">
        <v>125.0</v>
      </c>
      <c r="G1279" s="2">
        <v>461.0</v>
      </c>
      <c r="H1279" s="2" t="b">
        <v>1</v>
      </c>
      <c r="I1279" s="2">
        <v>-1.0</v>
      </c>
      <c r="J1279" s="2" t="b">
        <v>0</v>
      </c>
      <c r="K1279" s="2" t="b">
        <v>0</v>
      </c>
      <c r="L1279" s="2" t="b">
        <v>0</v>
      </c>
      <c r="M1279" s="2" t="b">
        <v>0</v>
      </c>
      <c r="N1279" s="2" t="s">
        <v>33</v>
      </c>
      <c r="O1279" s="2">
        <v>88.0</v>
      </c>
      <c r="P1279" s="2">
        <v>19.0</v>
      </c>
      <c r="Q1279" s="2">
        <v>9.0</v>
      </c>
      <c r="R1279" s="2">
        <v>0.0</v>
      </c>
      <c r="S1279" s="3" t="s">
        <v>5234</v>
      </c>
      <c r="T1279" s="2" t="s">
        <v>5235</v>
      </c>
      <c r="Y1279" s="4" t="str">
        <f>IFERROR(__xludf.DUMMYFUNCTION("""COMPUTED_VALUE"""),"6.7569855")</f>
        <v>6.7569855</v>
      </c>
      <c r="Z1279" s="4" t="str">
        <f>IFERROR(__xludf.DUMMYFUNCTION("""COMPUTED_VALUE"""),"4.1395414")</f>
        <v>4.1395414</v>
      </c>
      <c r="AA1279" s="4" t="str">
        <f t="shared" si="1"/>
        <v>Not Neighbor</v>
      </c>
      <c r="AC1279" s="4">
        <f>IFERROR(__xludf.DUMMYFUNCTION("IFERROR(ABS(O1279-AVERAGE(FILTER(O1279:O5347,AA1279:AA5347=""Neighbor""))) / STDEV(FILTER(O1279:O5347, AA1279:AA5347 =""Neighbor"")), """")"),0.5992620141692789)</f>
        <v>0.5992620142</v>
      </c>
      <c r="AD1279" s="4">
        <f>IFERROR(__xludf.DUMMYFUNCTION("IFERROR(ABS(P1279-AVERAGE(FILTER(O1279:P5347,AA1279:AA5347=""Neighbor""))) / STDEV(FILTER(P1279:P5347, AA1279:AA5347 =""Neighbor"")), """")"),0.9545158219646203)</f>
        <v>0.954515822</v>
      </c>
      <c r="AE1279" s="2">
        <f>IFERROR(__xludf.DUMMYFUNCTION("IFERROR(ABS(Q1279-AVERAGE(FILTER(Q1279:Q5347,AA1279:AA5347=""Neighbor""))) / STDEV(FILTER(Q1279:Q5347, AA1279:AA5347 =""Neighbor"")), """")"),0.6581183475284776)</f>
        <v>0.6581183475</v>
      </c>
      <c r="AF1279" s="2">
        <f>IFERROR(__xludf.DUMMYFUNCTION("IFERROR(ABS(R1279-AVERAGE(FILTER(R1279:R5347,AA1279:AA5347=""Neighbor""))) / STDEV(FILTER(R1279:R5347, AA1279:AA5347 =""Neighbor"")), """")"),0.34288388572603484)</f>
        <v>0.3428838857</v>
      </c>
    </row>
    <row r="1280">
      <c r="A1280" s="2" t="s">
        <v>28</v>
      </c>
      <c r="B1280" s="2" t="s">
        <v>4981</v>
      </c>
      <c r="C1280" s="2" t="s">
        <v>5203</v>
      </c>
      <c r="D1280" s="2" t="s">
        <v>5236</v>
      </c>
      <c r="E1280" s="2" t="s">
        <v>5237</v>
      </c>
      <c r="F1280" s="2">
        <v>164.0</v>
      </c>
      <c r="G1280" s="2">
        <v>510.0</v>
      </c>
      <c r="H1280" s="2" t="b">
        <v>1</v>
      </c>
      <c r="I1280" s="2">
        <v>-1.0</v>
      </c>
      <c r="J1280" s="2" t="b">
        <v>0</v>
      </c>
      <c r="K1280" s="2" t="b">
        <v>0</v>
      </c>
      <c r="L1280" s="2" t="b">
        <v>0</v>
      </c>
      <c r="M1280" s="2" t="b">
        <v>0</v>
      </c>
      <c r="N1280" s="2" t="s">
        <v>33</v>
      </c>
      <c r="O1280" s="2">
        <v>51.0</v>
      </c>
      <c r="P1280" s="2">
        <v>6.0</v>
      </c>
      <c r="Q1280" s="2">
        <v>100.0</v>
      </c>
      <c r="R1280" s="2">
        <v>0.0</v>
      </c>
      <c r="S1280" s="3" t="s">
        <v>5238</v>
      </c>
      <c r="T1280" s="2" t="s">
        <v>5239</v>
      </c>
      <c r="Y1280" s="4" t="str">
        <f>IFERROR(__xludf.DUMMYFUNCTION("""COMPUTED_VALUE"""),"6.7699688")</f>
        <v>6.7699688</v>
      </c>
      <c r="Z1280" s="4" t="str">
        <f>IFERROR(__xludf.DUMMYFUNCTION("""COMPUTED_VALUE"""),"4.0644352")</f>
        <v>4.0644352</v>
      </c>
      <c r="AA1280" s="4" t="str">
        <f t="shared" si="1"/>
        <v>Not Neighbor</v>
      </c>
      <c r="AC1280" s="4">
        <f>IFERROR(__xludf.DUMMYFUNCTION("IFERROR(ABS(O1280-AVERAGE(FILTER(O1280:O5348,AA1280:AA5348=""Neighbor""))) / STDEV(FILTER(O1280:O5348, AA1280:AA5348 =""Neighbor"")), """")"),0.28593393747999835)</f>
        <v>0.2859339375</v>
      </c>
      <c r="AD1280" s="4">
        <f>IFERROR(__xludf.DUMMYFUNCTION("IFERROR(ABS(P1280-AVERAGE(FILTER(O1280:P5348,AA1280:AA5348=""Neighbor""))) / STDEV(FILTER(P1280:P5348, AA1280:AA5348 =""Neighbor"")), """")"),1.5695519342634277)</f>
        <v>1.569551934</v>
      </c>
      <c r="AE1280" s="2">
        <f>IFERROR(__xludf.DUMMYFUNCTION("IFERROR(ABS(Q1280-AVERAGE(FILTER(Q1280:Q5348,AA1280:AA5348=""Neighbor""))) / STDEV(FILTER(Q1280:Q5348, AA1280:AA5348 =""Neighbor"")), """")"),3.0209593613076438)</f>
        <v>3.020959361</v>
      </c>
      <c r="AF1280" s="2">
        <f>IFERROR(__xludf.DUMMYFUNCTION("IFERROR(ABS(R1280-AVERAGE(FILTER(R1280:R5348,AA1280:AA5348=""Neighbor""))) / STDEV(FILTER(R1280:R5348, AA1280:AA5348 =""Neighbor"")), """")"),0.34288388572603484)</f>
        <v>0.3428838857</v>
      </c>
    </row>
    <row r="1281">
      <c r="A1281" s="2" t="s">
        <v>28</v>
      </c>
      <c r="B1281" s="2" t="s">
        <v>4981</v>
      </c>
      <c r="C1281" s="2" t="s">
        <v>5203</v>
      </c>
      <c r="D1281" s="2" t="s">
        <v>5240</v>
      </c>
      <c r="E1281" s="2" t="s">
        <v>5241</v>
      </c>
      <c r="F1281" s="2">
        <v>65.0</v>
      </c>
      <c r="G1281" s="2">
        <v>412.0</v>
      </c>
      <c r="H1281" s="2" t="b">
        <v>1</v>
      </c>
      <c r="I1281" s="2">
        <v>-1.0</v>
      </c>
      <c r="J1281" s="2" t="b">
        <v>0</v>
      </c>
      <c r="K1281" s="2" t="b">
        <v>0</v>
      </c>
      <c r="L1281" s="2" t="b">
        <v>0</v>
      </c>
      <c r="M1281" s="2" t="b">
        <v>0</v>
      </c>
      <c r="N1281" s="2" t="s">
        <v>33</v>
      </c>
      <c r="O1281" s="2">
        <v>34.0</v>
      </c>
      <c r="P1281" s="2">
        <v>6.0</v>
      </c>
      <c r="Q1281" s="2">
        <v>18.0</v>
      </c>
      <c r="R1281" s="2">
        <v>0.0</v>
      </c>
      <c r="S1281" s="3" t="s">
        <v>5242</v>
      </c>
      <c r="T1281" s="2" t="s">
        <v>5243</v>
      </c>
      <c r="Y1281" s="4" t="str">
        <f>IFERROR(__xludf.DUMMYFUNCTION("""COMPUTED_VALUE"""),"6.3413168")</f>
        <v>6.3413168</v>
      </c>
      <c r="Z1281" s="4" t="str">
        <f>IFERROR(__xludf.DUMMYFUNCTION("""COMPUTED_VALUE"""),"4.621071")</f>
        <v>4.621071</v>
      </c>
      <c r="AA1281" s="4" t="str">
        <f t="shared" si="1"/>
        <v>Not Neighbor</v>
      </c>
      <c r="AC1281" s="4">
        <f>IFERROR(__xludf.DUMMYFUNCTION("IFERROR(ABS(O1281-AVERAGE(FILTER(O1281:O5349,AA1281:AA5349=""Neighbor""))) / STDEV(FILTER(O1281:O5349, AA1281:AA5349 =""Neighbor"")), """")"),0.6926455909404771)</f>
        <v>0.6926455909</v>
      </c>
      <c r="AD1281" s="4">
        <f>IFERROR(__xludf.DUMMYFUNCTION("IFERROR(ABS(P1281-AVERAGE(FILTER(O1281:P5349,AA1281:AA5349=""Neighbor""))) / STDEV(FILTER(P1281:P5349, AA1281:AA5349 =""Neighbor"")), """")"),1.5695519342634277)</f>
        <v>1.569551934</v>
      </c>
      <c r="AE1281" s="2">
        <f>IFERROR(__xludf.DUMMYFUNCTION("IFERROR(ABS(Q1281-AVERAGE(FILTER(Q1281:Q5349,AA1281:AA5349=""Neighbor""))) / STDEV(FILTER(Q1281:Q5349, AA1281:AA5349 =""Neighbor"")), """")"),0.2942535191820481)</f>
        <v>0.2942535192</v>
      </c>
      <c r="AF1281" s="2">
        <f>IFERROR(__xludf.DUMMYFUNCTION("IFERROR(ABS(R1281-AVERAGE(FILTER(R1281:R5349,AA1281:AA5349=""Neighbor""))) / STDEV(FILTER(R1281:R5349, AA1281:AA5349 =""Neighbor"")), """")"),0.34288388572603484)</f>
        <v>0.3428838857</v>
      </c>
    </row>
    <row r="1282">
      <c r="A1282" s="2" t="s">
        <v>28</v>
      </c>
      <c r="B1282" s="2" t="s">
        <v>4981</v>
      </c>
      <c r="C1282" s="2" t="s">
        <v>5244</v>
      </c>
      <c r="D1282" s="2" t="s">
        <v>5245</v>
      </c>
      <c r="E1282" s="2" t="s">
        <v>5246</v>
      </c>
      <c r="F1282" s="2">
        <v>211.0</v>
      </c>
      <c r="G1282" s="2">
        <v>922.0</v>
      </c>
      <c r="H1282" s="2" t="b">
        <v>1</v>
      </c>
      <c r="I1282" s="2">
        <v>-1.0</v>
      </c>
      <c r="J1282" s="2" t="b">
        <v>1</v>
      </c>
      <c r="K1282" s="2" t="b">
        <v>0</v>
      </c>
      <c r="L1282" s="2" t="b">
        <v>0</v>
      </c>
      <c r="M1282" s="2" t="b">
        <v>0</v>
      </c>
      <c r="N1282" s="2" t="s">
        <v>33</v>
      </c>
      <c r="O1282" s="2">
        <v>96.0</v>
      </c>
      <c r="P1282" s="2">
        <v>22.0</v>
      </c>
      <c r="Q1282" s="2">
        <v>71.0</v>
      </c>
      <c r="R1282" s="2">
        <v>0.0</v>
      </c>
      <c r="S1282" s="3" t="s">
        <v>5247</v>
      </c>
      <c r="T1282" s="2" t="s">
        <v>5248</v>
      </c>
      <c r="Y1282" s="4" t="str">
        <f>IFERROR(__xludf.DUMMYFUNCTION("""COMPUTED_VALUE"""),"6.7397541")</f>
        <v>6.7397541</v>
      </c>
      <c r="Z1282" s="4" t="str">
        <f>IFERROR(__xludf.DUMMYFUNCTION("""COMPUTED_VALUE"""),"4.1641741")</f>
        <v>4.1641741</v>
      </c>
      <c r="AA1282" s="4" t="str">
        <f t="shared" si="1"/>
        <v>Neighbor</v>
      </c>
      <c r="AC1282" s="4">
        <f>IFERROR(__xludf.DUMMYFUNCTION("IFERROR(ABS(O1282-AVERAGE(FILTER(O1282:O5350,AA1282:AA5350=""Neighbor""))) / STDEV(FILTER(O1282:O5350, AA1282:AA5350 =""Neighbor"")), """")"),0.7906557334447983)</f>
        <v>0.7906557334</v>
      </c>
      <c r="AD1282" s="4">
        <f>IFERROR(__xludf.DUMMYFUNCTION("IFERROR(ABS(P1282-AVERAGE(FILTER(O1282:P5350,AA1282:AA5350=""Neighbor""))) / STDEV(FILTER(P1282:P5350, AA1282:AA5350 =""Neighbor"")), """")"),0.8125844114341262)</f>
        <v>0.8125844114</v>
      </c>
      <c r="AE1282" s="2">
        <f>IFERROR(__xludf.DUMMYFUNCTION("IFERROR(ABS(Q1282-AVERAGE(FILTER(Q1282:Q5350,AA1282:AA5350=""Neighbor""))) / STDEV(FILTER(Q1282:Q5350, AA1282:AA5350 =""Neighbor"")), """")"),1.8485060255247039)</f>
        <v>1.848506026</v>
      </c>
      <c r="AF1282" s="2">
        <f>IFERROR(__xludf.DUMMYFUNCTION("IFERROR(ABS(R1282-AVERAGE(FILTER(R1282:R5350,AA1282:AA5350=""Neighbor""))) / STDEV(FILTER(R1282:R5350, AA1282:AA5350 =""Neighbor"")), """")"),0.34288388572603484)</f>
        <v>0.3428838857</v>
      </c>
    </row>
    <row r="1283">
      <c r="A1283" s="2" t="s">
        <v>28</v>
      </c>
      <c r="B1283" s="2" t="s">
        <v>4981</v>
      </c>
      <c r="C1283" s="2" t="s">
        <v>5244</v>
      </c>
      <c r="D1283" s="2" t="s">
        <v>5249</v>
      </c>
      <c r="E1283" s="2" t="s">
        <v>5250</v>
      </c>
      <c r="F1283" s="2">
        <v>152.0</v>
      </c>
      <c r="G1283" s="2">
        <v>784.0</v>
      </c>
      <c r="H1283" s="2" t="b">
        <v>1</v>
      </c>
      <c r="I1283" s="2">
        <v>-1.0</v>
      </c>
      <c r="J1283" s="2" t="b">
        <v>0</v>
      </c>
      <c r="K1283" s="2" t="b">
        <v>1</v>
      </c>
      <c r="L1283" s="2" t="b">
        <v>0</v>
      </c>
      <c r="M1283" s="2" t="b">
        <v>0</v>
      </c>
      <c r="N1283" s="2" t="s">
        <v>33</v>
      </c>
      <c r="O1283" s="2">
        <v>60.0</v>
      </c>
      <c r="P1283" s="2">
        <v>15.0</v>
      </c>
      <c r="Q1283" s="2">
        <v>51.0</v>
      </c>
      <c r="R1283" s="2">
        <v>0.0</v>
      </c>
      <c r="S1283" s="3" t="s">
        <v>5251</v>
      </c>
      <c r="T1283" s="2" t="s">
        <v>5252</v>
      </c>
      <c r="Y1283" s="4" t="str">
        <f>IFERROR(__xludf.DUMMYFUNCTION("""COMPUTED_VALUE"""),"6.7397541")</f>
        <v>6.7397541</v>
      </c>
      <c r="Z1283" s="4" t="str">
        <f>IFERROR(__xludf.DUMMYFUNCTION("""COMPUTED_VALUE"""),"4.1641741")</f>
        <v>4.1641741</v>
      </c>
      <c r="AA1283" s="4" t="str">
        <f t="shared" si="1"/>
        <v>Not Neighbor</v>
      </c>
      <c r="AC1283" s="4">
        <f>IFERROR(__xludf.DUMMYFUNCTION("IFERROR(ABS(O1283-AVERAGE(FILTER(O1283:O5351,AA1283:AA5351=""Neighbor""))) / STDEV(FILTER(O1283:O5351, AA1283:AA5351 =""Neighbor"")), """")"),0.0699336984965142)</f>
        <v>0.0699336985</v>
      </c>
      <c r="AD1283" s="4">
        <f>IFERROR(__xludf.DUMMYFUNCTION("IFERROR(ABS(P1283-AVERAGE(FILTER(O1283:P5351,AA1283:AA5351=""Neighbor""))) / STDEV(FILTER(P1283:P5351, AA1283:AA5351 =""Neighbor"")), """")"),1.1425236192228339)</f>
        <v>1.142523619</v>
      </c>
      <c r="AE1283" s="2">
        <f>IFERROR(__xludf.DUMMYFUNCTION("IFERROR(ABS(Q1283-AVERAGE(FILTER(Q1283:Q5351,AA1283:AA5351=""Neighbor""))) / STDEV(FILTER(Q1283:Q5351, AA1283:AA5351 =""Neighbor"")), """")"),1.0425589940331845)</f>
        <v>1.042558994</v>
      </c>
      <c r="AF1283" s="2">
        <f>IFERROR(__xludf.DUMMYFUNCTION("IFERROR(ABS(R1283-AVERAGE(FILTER(R1283:R5351,AA1283:AA5351=""Neighbor""))) / STDEV(FILTER(R1283:R5351, AA1283:AA5351 =""Neighbor"")), """")"),0.3430464014064232)</f>
        <v>0.3430464014</v>
      </c>
    </row>
    <row r="1284">
      <c r="A1284" s="2" t="s">
        <v>28</v>
      </c>
      <c r="B1284" s="2" t="s">
        <v>4981</v>
      </c>
      <c r="C1284" s="2" t="s">
        <v>5244</v>
      </c>
      <c r="D1284" s="2" t="s">
        <v>5253</v>
      </c>
      <c r="E1284" s="2" t="s">
        <v>5254</v>
      </c>
      <c r="F1284" s="2">
        <v>138.0</v>
      </c>
      <c r="G1284" s="2">
        <v>750.0</v>
      </c>
      <c r="H1284" s="2" t="b">
        <v>1</v>
      </c>
      <c r="I1284" s="2">
        <v>-1.0</v>
      </c>
      <c r="J1284" s="2" t="b">
        <v>0</v>
      </c>
      <c r="K1284" s="2" t="b">
        <v>0</v>
      </c>
      <c r="L1284" s="2" t="b">
        <v>0</v>
      </c>
      <c r="M1284" s="2" t="b">
        <v>0</v>
      </c>
      <c r="N1284" s="2" t="s">
        <v>33</v>
      </c>
      <c r="O1284" s="2">
        <v>53.0</v>
      </c>
      <c r="P1284" s="2">
        <v>20.0</v>
      </c>
      <c r="Q1284" s="2">
        <v>51.0</v>
      </c>
      <c r="R1284" s="2">
        <v>0.0</v>
      </c>
      <c r="S1284" s="3" t="s">
        <v>5255</v>
      </c>
      <c r="T1284" s="2" t="s">
        <v>5256</v>
      </c>
      <c r="Y1284" s="4" t="str">
        <f>IFERROR(__xludf.DUMMYFUNCTION("""COMPUTED_VALUE"""),"6.7059345")</f>
        <v>6.7059345</v>
      </c>
      <c r="Z1284" s="4" t="str">
        <f>IFERROR(__xludf.DUMMYFUNCTION("""COMPUTED_VALUE"""),"4.1349612")</f>
        <v>4.1349612</v>
      </c>
      <c r="AA1284" s="4" t="str">
        <f t="shared" si="1"/>
        <v>Not Neighbor</v>
      </c>
      <c r="AC1284" s="4">
        <f>IFERROR(__xludf.DUMMYFUNCTION("IFERROR(ABS(O1284-AVERAGE(FILTER(O1284:O5352,AA1284:AA5352=""Neighbor""))) / STDEV(FILTER(O1284:O5352, AA1284:AA5352 =""Neighbor"")), """")"),0.2373765782300381)</f>
        <v>0.2373765782</v>
      </c>
      <c r="AD1284" s="4">
        <f>IFERROR(__xludf.DUMMYFUNCTION("IFERROR(ABS(P1284-AVERAGE(FILTER(O1284:P5352,AA1284:AA5352=""Neighbor""))) / STDEV(FILTER(P1284:P5352, AA1284:AA5352 =""Neighbor"")), """")"),0.9060618982480106)</f>
        <v>0.9060618982</v>
      </c>
      <c r="AE1284" s="2">
        <f>IFERROR(__xludf.DUMMYFUNCTION("IFERROR(ABS(Q1284-AVERAGE(FILTER(Q1284:Q5352,AA1284:AA5352=""Neighbor""))) / STDEV(FILTER(Q1284:Q5352, AA1284:AA5352 =""Neighbor"")), """")"),1.0425589940331845)</f>
        <v>1.042558994</v>
      </c>
      <c r="AF1284" s="2">
        <f>IFERROR(__xludf.DUMMYFUNCTION("IFERROR(ABS(R1284-AVERAGE(FILTER(R1284:R5352,AA1284:AA5352=""Neighbor""))) / STDEV(FILTER(R1284:R5352, AA1284:AA5352 =""Neighbor"")), """")"),0.3430464014064232)</f>
        <v>0.3430464014</v>
      </c>
    </row>
    <row r="1285">
      <c r="A1285" s="2" t="s">
        <v>28</v>
      </c>
      <c r="B1285" s="2" t="s">
        <v>4981</v>
      </c>
      <c r="C1285" s="2" t="s">
        <v>5244</v>
      </c>
      <c r="D1285" s="2" t="s">
        <v>5257</v>
      </c>
      <c r="E1285" s="2" t="s">
        <v>5258</v>
      </c>
      <c r="F1285" s="2">
        <v>40.0</v>
      </c>
      <c r="G1285" s="2">
        <v>188.0</v>
      </c>
      <c r="H1285" s="2" t="b">
        <v>1</v>
      </c>
      <c r="I1285" s="2">
        <v>-1.0</v>
      </c>
      <c r="J1285" s="2" t="b">
        <v>0</v>
      </c>
      <c r="K1285" s="2" t="b">
        <v>0</v>
      </c>
      <c r="L1285" s="2" t="b">
        <v>0</v>
      </c>
      <c r="M1285" s="2" t="b">
        <v>0</v>
      </c>
      <c r="N1285" s="2" t="s">
        <v>33</v>
      </c>
      <c r="O1285" s="2">
        <v>21.0</v>
      </c>
      <c r="P1285" s="2">
        <v>2.0</v>
      </c>
      <c r="Q1285" s="2">
        <v>14.0</v>
      </c>
      <c r="R1285" s="2">
        <v>0.0</v>
      </c>
      <c r="S1285" s="3" t="s">
        <v>5259</v>
      </c>
      <c r="T1285" s="2" t="s">
        <v>5260</v>
      </c>
      <c r="Y1285" s="4" t="str">
        <f>IFERROR(__xludf.DUMMYFUNCTION("""COMPUTED_VALUE"""),"6.7397541")</f>
        <v>6.7397541</v>
      </c>
      <c r="Z1285" s="4" t="str">
        <f>IFERROR(__xludf.DUMMYFUNCTION("""COMPUTED_VALUE"""),"4.1641741")</f>
        <v>4.1641741</v>
      </c>
      <c r="AA1285" s="4" t="str">
        <f t="shared" si="1"/>
        <v>Neighbor</v>
      </c>
      <c r="AC1285" s="4">
        <f>IFERROR(__xludf.DUMMYFUNCTION("IFERROR(ABS(O1285-AVERAGE(FILTER(O1285:O5353,AA1285:AA5353=""Neighbor""))) / STDEV(FILTER(O1285:O5353, AA1285:AA5353 =""Neighbor"")), """")"),1.0028297427261474)</f>
        <v>1.002829743</v>
      </c>
      <c r="AD1285" s="4">
        <f>IFERROR(__xludf.DUMMYFUNCTION("IFERROR(ABS(P1285-AVERAGE(FILTER(O1285:P5353,AA1285:AA5353=""Neighbor""))) / STDEV(FILTER(P1285:P5353, AA1285:AA5353 =""Neighbor"")), """")"),1.7573240937573738)</f>
        <v>1.757324094</v>
      </c>
      <c r="AE1285" s="2">
        <f>IFERROR(__xludf.DUMMYFUNCTION("IFERROR(ABS(Q1285-AVERAGE(FILTER(Q1285:Q5353,AA1285:AA5353=""Neighbor""))) / STDEV(FILTER(Q1285:Q5353, AA1285:AA5353 =""Neighbor"")), """")"),0.45486987019703956)</f>
        <v>0.4548698702</v>
      </c>
      <c r="AF1285" s="2">
        <f>IFERROR(__xludf.DUMMYFUNCTION("IFERROR(ABS(R1285-AVERAGE(FILTER(R1285:R5353,AA1285:AA5353=""Neighbor""))) / STDEV(FILTER(R1285:R5353, AA1285:AA5353 =""Neighbor"")), """")"),0.3430464014064232)</f>
        <v>0.3430464014</v>
      </c>
    </row>
    <row r="1286">
      <c r="A1286" s="2" t="s">
        <v>28</v>
      </c>
      <c r="B1286" s="2" t="s">
        <v>4981</v>
      </c>
      <c r="C1286" s="2" t="s">
        <v>5244</v>
      </c>
      <c r="D1286" s="2" t="s">
        <v>5261</v>
      </c>
      <c r="E1286" s="2" t="s">
        <v>5262</v>
      </c>
      <c r="F1286" s="2">
        <v>56.0</v>
      </c>
      <c r="G1286" s="2">
        <v>269.0</v>
      </c>
      <c r="H1286" s="2" t="b">
        <v>1</v>
      </c>
      <c r="I1286" s="2">
        <v>-1.0</v>
      </c>
      <c r="J1286" s="2" t="b">
        <v>0</v>
      </c>
      <c r="K1286" s="2" t="b">
        <v>0</v>
      </c>
      <c r="L1286" s="2" t="b">
        <v>0</v>
      </c>
      <c r="M1286" s="2" t="b">
        <v>0</v>
      </c>
      <c r="N1286" s="2" t="s">
        <v>33</v>
      </c>
      <c r="O1286" s="2">
        <v>43.0</v>
      </c>
      <c r="P1286" s="2">
        <v>1.0</v>
      </c>
      <c r="Q1286" s="2">
        <v>10.0</v>
      </c>
      <c r="R1286" s="2">
        <v>0.0</v>
      </c>
      <c r="S1286" s="3" t="s">
        <v>5263</v>
      </c>
      <c r="T1286" s="2" t="s">
        <v>5264</v>
      </c>
      <c r="Y1286" s="4" t="str">
        <f>IFERROR(__xludf.DUMMYFUNCTION("""COMPUTED_VALUE"""),"6.7397541")</f>
        <v>6.7397541</v>
      </c>
      <c r="Z1286" s="4" t="str">
        <f>IFERROR(__xludf.DUMMYFUNCTION("""COMPUTED_VALUE"""),"4.1641741")</f>
        <v>4.1641741</v>
      </c>
      <c r="AA1286" s="4" t="str">
        <f t="shared" si="1"/>
        <v>Not Neighbor</v>
      </c>
      <c r="AC1286" s="4">
        <f>IFERROR(__xludf.DUMMYFUNCTION("IFERROR(ABS(O1286-AVERAGE(FILTER(O1286:O5354,AA1286:AA5354=""Neighbor""))) / STDEV(FILTER(O1286:O5354, AA1286:AA5354 =""Neighbor"")), """")"),0.4774340378984149)</f>
        <v>0.4774340379</v>
      </c>
      <c r="AD1286" s="4">
        <f>IFERROR(__xludf.DUMMYFUNCTION("IFERROR(ABS(P1286-AVERAGE(FILTER(O1286:P5354,AA1286:AA5354=""Neighbor""))) / STDEV(FILTER(P1286:P5354, AA1286:AA5354 =""Neighbor"")), """")"),1.8052685152593044)</f>
        <v>1.805268515</v>
      </c>
      <c r="AE1286" s="2">
        <f>IFERROR(__xludf.DUMMYFUNCTION("IFERROR(ABS(Q1286-AVERAGE(FILTER(Q1286:Q5354,AA1286:AA5354=""Neighbor""))) / STDEV(FILTER(Q1286:Q5354, AA1286:AA5354 =""Neighbor"")), """")"),0.6169325889653222)</f>
        <v>0.616932589</v>
      </c>
      <c r="AF1286" s="2">
        <f>IFERROR(__xludf.DUMMYFUNCTION("IFERROR(ABS(R1286-AVERAGE(FILTER(R1286:R5354,AA1286:AA5354=""Neighbor""))) / STDEV(FILTER(R1286:R5354, AA1286:AA5354 =""Neighbor"")), """")"),0.34320914841192873)</f>
        <v>0.3432091484</v>
      </c>
    </row>
    <row r="1287">
      <c r="A1287" s="2" t="s">
        <v>28</v>
      </c>
      <c r="B1287" s="2" t="s">
        <v>4981</v>
      </c>
      <c r="C1287" s="2" t="s">
        <v>5244</v>
      </c>
      <c r="D1287" s="2" t="s">
        <v>5265</v>
      </c>
      <c r="E1287" s="2" t="s">
        <v>5266</v>
      </c>
      <c r="F1287" s="2">
        <v>166.0</v>
      </c>
      <c r="G1287" s="2">
        <v>535.0</v>
      </c>
      <c r="H1287" s="2" t="b">
        <v>1</v>
      </c>
      <c r="I1287" s="2">
        <v>-1.0</v>
      </c>
      <c r="J1287" s="2" t="b">
        <v>0</v>
      </c>
      <c r="K1287" s="2" t="b">
        <v>0</v>
      </c>
      <c r="L1287" s="2" t="b">
        <v>0</v>
      </c>
      <c r="M1287" s="2" t="b">
        <v>0</v>
      </c>
      <c r="N1287" s="2" t="s">
        <v>33</v>
      </c>
      <c r="O1287" s="2">
        <v>112.0</v>
      </c>
      <c r="P1287" s="2">
        <v>4.0</v>
      </c>
      <c r="Q1287" s="2">
        <v>14.0</v>
      </c>
      <c r="R1287" s="2">
        <v>0.0</v>
      </c>
      <c r="S1287" s="3" t="s">
        <v>5267</v>
      </c>
      <c r="T1287" s="2" t="s">
        <v>5268</v>
      </c>
      <c r="Y1287" s="4" t="str">
        <f>IFERROR(__xludf.DUMMYFUNCTION("""COMPUTED_VALUE"""),"6.7112915")</f>
        <v>6.7112915</v>
      </c>
      <c r="Z1287" s="4" t="str">
        <f>IFERROR(__xludf.DUMMYFUNCTION("""COMPUTED_VALUE"""),"4.136663")</f>
        <v>4.136663</v>
      </c>
      <c r="AA1287" s="4" t="str">
        <f t="shared" si="1"/>
        <v>Not Neighbor</v>
      </c>
      <c r="AC1287" s="4">
        <f>IFERROR(__xludf.DUMMYFUNCTION("IFERROR(ABS(O1287-AVERAGE(FILTER(O1287:O5355,AA1287:AA5355=""Neighbor""))) / STDEV(FILTER(O1287:O5355, AA1287:AA5355 =""Neighbor"")), """")"),1.173078924805653)</f>
        <v>1.173078925</v>
      </c>
      <c r="AD1287" s="4">
        <f>IFERROR(__xludf.DUMMYFUNCTION("IFERROR(ABS(P1287-AVERAGE(FILTER(O1287:P5355,AA1287:AA5355=""Neighbor""))) / STDEV(FILTER(P1287:P5355, AA1287:AA5355 =""Neighbor"")), """")"),1.6634275671750463)</f>
        <v>1.663427567</v>
      </c>
      <c r="AE1287" s="2">
        <f>IFERROR(__xludf.DUMMYFUNCTION("IFERROR(ABS(Q1287-AVERAGE(FILTER(Q1287:Q5355,AA1287:AA5355=""Neighbor""))) / STDEV(FILTER(Q1287:Q5355, AA1287:AA5355 =""Neighbor"")), """")"),0.4551029350290208)</f>
        <v>0.455102935</v>
      </c>
      <c r="AF1287" s="2">
        <f>IFERROR(__xludf.DUMMYFUNCTION("IFERROR(ABS(R1287-AVERAGE(FILTER(R1287:R5355,AA1287:AA5355=""Neighbor""))) / STDEV(FILTER(R1287:R5355, AA1287:AA5355 =""Neighbor"")), """")"),0.34320914841192873)</f>
        <v>0.3432091484</v>
      </c>
    </row>
    <row r="1288">
      <c r="A1288" s="2" t="s">
        <v>28</v>
      </c>
      <c r="B1288" s="2" t="s">
        <v>4981</v>
      </c>
      <c r="C1288" s="2" t="s">
        <v>5244</v>
      </c>
      <c r="D1288" s="2" t="s">
        <v>5269</v>
      </c>
      <c r="E1288" s="2" t="s">
        <v>5270</v>
      </c>
      <c r="F1288" s="2">
        <v>143.0</v>
      </c>
      <c r="G1288" s="2">
        <v>483.0</v>
      </c>
      <c r="H1288" s="2" t="b">
        <v>1</v>
      </c>
      <c r="I1288" s="2">
        <v>-1.0</v>
      </c>
      <c r="J1288" s="2" t="b">
        <v>0</v>
      </c>
      <c r="K1288" s="2" t="b">
        <v>1</v>
      </c>
      <c r="L1288" s="2" t="b">
        <v>0</v>
      </c>
      <c r="M1288" s="2" t="b">
        <v>0</v>
      </c>
      <c r="N1288" s="2" t="s">
        <v>33</v>
      </c>
      <c r="O1288" s="2">
        <v>76.0</v>
      </c>
      <c r="P1288" s="2">
        <v>1.0</v>
      </c>
      <c r="Q1288" s="2">
        <v>60.0</v>
      </c>
      <c r="R1288" s="2">
        <v>0.0</v>
      </c>
      <c r="S1288" s="3" t="s">
        <v>5271</v>
      </c>
      <c r="T1288" s="2" t="s">
        <v>5272</v>
      </c>
      <c r="Y1288" s="4" t="str">
        <f>IFERROR(__xludf.DUMMYFUNCTION("""COMPUTED_VALUE"""),"6.7397541")</f>
        <v>6.7397541</v>
      </c>
      <c r="Z1288" s="4" t="str">
        <f>IFERROR(__xludf.DUMMYFUNCTION("""COMPUTED_VALUE"""),"4.1641741")</f>
        <v>4.1641741</v>
      </c>
      <c r="AA1288" s="4" t="str">
        <f t="shared" si="1"/>
        <v>Neighbor</v>
      </c>
      <c r="AC1288" s="4">
        <f>IFERROR(__xludf.DUMMYFUNCTION("IFERROR(ABS(O1288-AVERAGE(FILTER(O1288:O5356,AA1288:AA5356=""Neighbor""))) / STDEV(FILTER(O1288:O5356, AA1288:AA5356 =""Neighbor"")), """")"),0.31194172687309585)</f>
        <v>0.3119417269</v>
      </c>
      <c r="AD1288" s="4">
        <f>IFERROR(__xludf.DUMMYFUNCTION("IFERROR(ABS(P1288-AVERAGE(FILTER(O1288:P5356,AA1288:AA5356=""Neighbor""))) / STDEV(FILTER(P1288:P5356, AA1288:AA5356 =""Neighbor"")), """")"),1.8052685152593044)</f>
        <v>1.805268515</v>
      </c>
      <c r="AE1288" s="2">
        <f>IFERROR(__xludf.DUMMYFUNCTION("IFERROR(ABS(Q1288-AVERAGE(FILTER(Q1288:Q5356,AA1288:AA5356=""Neighbor""))) / STDEV(FILTER(Q1288:Q5356, AA1288:AA5356 =""Neighbor"")), """")"),1.405938085238445)</f>
        <v>1.405938085</v>
      </c>
      <c r="AF1288" s="2">
        <f>IFERROR(__xludf.DUMMYFUNCTION("IFERROR(ABS(R1288-AVERAGE(FILTER(R1288:R5356,AA1288:AA5356=""Neighbor""))) / STDEV(FILTER(R1288:R5356, AA1288:AA5356 =""Neighbor"")), """")"),0.34320914841192873)</f>
        <v>0.3432091484</v>
      </c>
    </row>
    <row r="1289">
      <c r="A1289" s="2" t="s">
        <v>28</v>
      </c>
      <c r="B1289" s="2" t="s">
        <v>4981</v>
      </c>
      <c r="C1289" s="2" t="s">
        <v>5244</v>
      </c>
      <c r="D1289" s="2" t="s">
        <v>5273</v>
      </c>
      <c r="E1289" s="2" t="s">
        <v>5274</v>
      </c>
      <c r="F1289" s="2">
        <v>144.0</v>
      </c>
      <c r="G1289" s="2">
        <v>1008.0</v>
      </c>
      <c r="H1289" s="2" t="b">
        <v>1</v>
      </c>
      <c r="I1289" s="2">
        <v>-1.0</v>
      </c>
      <c r="J1289" s="2" t="b">
        <v>0</v>
      </c>
      <c r="K1289" s="2" t="b">
        <v>0</v>
      </c>
      <c r="L1289" s="2" t="b">
        <v>0</v>
      </c>
      <c r="M1289" s="2" t="b">
        <v>0</v>
      </c>
      <c r="N1289" s="2" t="s">
        <v>33</v>
      </c>
      <c r="O1289" s="2">
        <v>0.0</v>
      </c>
      <c r="P1289" s="2">
        <v>0.0</v>
      </c>
      <c r="Q1289" s="2">
        <v>0.0</v>
      </c>
      <c r="R1289" s="2">
        <v>0.0</v>
      </c>
      <c r="S1289" s="3" t="s">
        <v>5275</v>
      </c>
      <c r="T1289" s="2" t="s">
        <v>5276</v>
      </c>
      <c r="Y1289" s="4" t="str">
        <f>IFERROR(__xludf.DUMMYFUNCTION("""COMPUTED_VALUE"""),"6.7397541")</f>
        <v>6.7397541</v>
      </c>
      <c r="Z1289" s="4" t="str">
        <f>IFERROR(__xludf.DUMMYFUNCTION("""COMPUTED_VALUE"""),"4.1641741")</f>
        <v>4.1641741</v>
      </c>
      <c r="AA1289" s="4" t="str">
        <f t="shared" si="1"/>
        <v>Neighbor</v>
      </c>
      <c r="AC1289" s="4">
        <f>IFERROR(__xludf.DUMMYFUNCTION("IFERROR(ABS(O1289-AVERAGE(FILTER(O1289:O5357,AA1289:AA5357=""Neighbor""))) / STDEV(FILTER(O1289:O5357, AA1289:AA5357 =""Neighbor"")), """")"),1.5051713142427616)</f>
        <v>1.505171314</v>
      </c>
      <c r="AD1289" s="4">
        <f>IFERROR(__xludf.DUMMYFUNCTION("IFERROR(ABS(P1289-AVERAGE(FILTER(O1289:P5357,AA1289:AA5357=""Neighbor""))) / STDEV(FILTER(P1289:P5357, AA1289:AA5357 =""Neighbor"")), """")"),1.8521540742033045)</f>
        <v>1.852154074</v>
      </c>
      <c r="AE1289" s="2">
        <f>IFERROR(__xludf.DUMMYFUNCTION("IFERROR(ABS(Q1289-AVERAGE(FILTER(Q1289:Q5357,AA1289:AA5357=""Neighbor""))) / STDEV(FILTER(Q1289:Q5357, AA1289:AA5357 =""Neighbor"")), """")"),1.0207362356018266)</f>
        <v>1.020736236</v>
      </c>
      <c r="AF1289" s="2">
        <f>IFERROR(__xludf.DUMMYFUNCTION("IFERROR(ABS(R1289-AVERAGE(FILTER(R1289:R5357,AA1289:AA5357=""Neighbor""))) / STDEV(FILTER(R1289:R5357, AA1289:AA5357 =""Neighbor"")), """")"),0.34337212729190464)</f>
        <v>0.3433721273</v>
      </c>
    </row>
    <row r="1290">
      <c r="A1290" s="2" t="s">
        <v>28</v>
      </c>
      <c r="B1290" s="2" t="s">
        <v>4981</v>
      </c>
      <c r="C1290" s="2" t="s">
        <v>5244</v>
      </c>
      <c r="D1290" s="2" t="s">
        <v>5277</v>
      </c>
      <c r="E1290" s="2" t="s">
        <v>5278</v>
      </c>
      <c r="F1290" s="2">
        <v>91.0</v>
      </c>
      <c r="G1290" s="2">
        <v>823.0</v>
      </c>
      <c r="H1290" s="2" t="b">
        <v>1</v>
      </c>
      <c r="I1290" s="2">
        <v>-1.0</v>
      </c>
      <c r="J1290" s="2" t="b">
        <v>0</v>
      </c>
      <c r="K1290" s="2" t="b">
        <v>0</v>
      </c>
      <c r="L1290" s="2" t="b">
        <v>0</v>
      </c>
      <c r="M1290" s="2" t="b">
        <v>0</v>
      </c>
      <c r="N1290" s="2" t="s">
        <v>33</v>
      </c>
      <c r="O1290" s="2">
        <v>48.0</v>
      </c>
      <c r="P1290" s="2">
        <v>21.0</v>
      </c>
      <c r="Q1290" s="2">
        <v>16.0</v>
      </c>
      <c r="R1290" s="2">
        <v>0.0</v>
      </c>
      <c r="S1290" s="3" t="s">
        <v>5279</v>
      </c>
      <c r="T1290" s="2" t="s">
        <v>5280</v>
      </c>
      <c r="Y1290" s="4" t="str">
        <f>IFERROR(__xludf.DUMMYFUNCTION("""COMPUTED_VALUE"""),"6.7397541")</f>
        <v>6.7397541</v>
      </c>
      <c r="Z1290" s="4" t="str">
        <f>IFERROR(__xludf.DUMMYFUNCTION("""COMPUTED_VALUE"""),"4.1641741")</f>
        <v>4.1641741</v>
      </c>
      <c r="AA1290" s="4" t="str">
        <f t="shared" si="1"/>
        <v>Not Neighbor</v>
      </c>
      <c r="AC1290" s="4">
        <f>IFERROR(__xludf.DUMMYFUNCTION("IFERROR(ABS(O1290-AVERAGE(FILTER(O1290:O5358,AA1290:AA5358=""Neighbor""))) / STDEV(FILTER(O1290:O5358, AA1290:AA5358 =""Neighbor"")), """")"),0.35890392274458754)</f>
        <v>0.3589039227</v>
      </c>
      <c r="AD1290" s="4">
        <f>IFERROR(__xludf.DUMMYFUNCTION("IFERROR(ABS(P1290-AVERAGE(FILTER(O1290:P5358,AA1290:AA5358=""Neighbor""))) / STDEV(FILTER(P1290:P5358, AA1290:AA5358 =""Neighbor"")), """")"),0.8608982760342412)</f>
        <v>0.860898276</v>
      </c>
      <c r="AE1290" s="2">
        <f>IFERROR(__xludf.DUMMYFUNCTION("IFERROR(ABS(Q1290-AVERAGE(FILTER(Q1290:Q5358,AA1290:AA5358=""Neighbor""))) / STDEV(FILTER(Q1290:Q5358, AA1290:AA5358 =""Neighbor"")), """")"),0.3740234901513059)</f>
        <v>0.3740234902</v>
      </c>
      <c r="AF1290" s="2">
        <f>IFERROR(__xludf.DUMMYFUNCTION("IFERROR(ABS(R1290-AVERAGE(FILTER(R1290:R5358,AA1290:AA5358=""Neighbor""))) / STDEV(FILTER(R1290:R5358, AA1290:AA5358 =""Neighbor"")), """")"),0.3435353385975331)</f>
        <v>0.3435353386</v>
      </c>
    </row>
    <row r="1291">
      <c r="A1291" s="2" t="s">
        <v>28</v>
      </c>
      <c r="B1291" s="2" t="s">
        <v>4981</v>
      </c>
      <c r="C1291" s="2" t="s">
        <v>5244</v>
      </c>
      <c r="D1291" s="2" t="s">
        <v>5281</v>
      </c>
      <c r="E1291" s="2" t="s">
        <v>5282</v>
      </c>
      <c r="F1291" s="2">
        <v>43.0</v>
      </c>
      <c r="G1291" s="2">
        <v>312.0</v>
      </c>
      <c r="H1291" s="2" t="b">
        <v>1</v>
      </c>
      <c r="I1291" s="2">
        <v>-1.0</v>
      </c>
      <c r="J1291" s="2" t="b">
        <v>0</v>
      </c>
      <c r="K1291" s="2" t="b">
        <v>0</v>
      </c>
      <c r="L1291" s="2" t="b">
        <v>0</v>
      </c>
      <c r="M1291" s="2" t="b">
        <v>0</v>
      </c>
      <c r="N1291" s="2" t="s">
        <v>33</v>
      </c>
      <c r="O1291" s="2">
        <v>5.0</v>
      </c>
      <c r="P1291" s="2">
        <v>21.0</v>
      </c>
      <c r="Q1291" s="2">
        <v>13.0</v>
      </c>
      <c r="R1291" s="2">
        <v>1.0</v>
      </c>
      <c r="S1291" s="3" t="s">
        <v>5283</v>
      </c>
      <c r="T1291" s="2" t="s">
        <v>5284</v>
      </c>
      <c r="Y1291" s="4" t="str">
        <f>IFERROR(__xludf.DUMMYFUNCTION("""COMPUTED_VALUE"""),"6.7198759")</f>
        <v>6.7198759</v>
      </c>
      <c r="Z1291" s="4" t="str">
        <f>IFERROR(__xludf.DUMMYFUNCTION("""COMPUTED_VALUE"""),"4.2062685")</f>
        <v>4.2062685</v>
      </c>
      <c r="AA1291" s="4" t="str">
        <f t="shared" si="1"/>
        <v>Not Neighbor</v>
      </c>
      <c r="AC1291" s="4">
        <f>IFERROR(__xludf.DUMMYFUNCTION("IFERROR(ABS(O1291-AVERAGE(FILTER(O1291:O5359,AA1291:AA5359=""Neighbor""))) / STDEV(FILTER(O1291:O5359, AA1291:AA5359 =""Neighbor"")), """")"),1.3876450980251391)</f>
        <v>1.387645098</v>
      </c>
      <c r="AD1291" s="4">
        <f>IFERROR(__xludf.DUMMYFUNCTION("IFERROR(ABS(P1291-AVERAGE(FILTER(O1291:P5359,AA1291:AA5359=""Neighbor""))) / STDEV(FILTER(P1291:P5359, AA1291:AA5359 =""Neighbor"")), """")"),0.8608982760342412)</f>
        <v>0.860898276</v>
      </c>
      <c r="AE1291" s="2">
        <f>IFERROR(__xludf.DUMMYFUNCTION("IFERROR(ABS(Q1291-AVERAGE(FILTER(Q1291:Q5359,AA1291:AA5359=""Neighbor""))) / STDEV(FILTER(Q1291:Q5359, AA1291:AA5359 =""Neighbor"")), """")"),0.495448504222346)</f>
        <v>0.4954485042</v>
      </c>
      <c r="AF1291" s="2">
        <f>IFERROR(__xludf.DUMMYFUNCTION("IFERROR(ABS(R1291-AVERAGE(FILTER(R1291:R5359,AA1291:AA5359=""Neighbor""))) / STDEV(FILTER(R1291:R5359, AA1291:AA5359 =""Neighbor"")), """")"),0.8722900314389169)</f>
        <v>0.8722900314</v>
      </c>
    </row>
    <row r="1292">
      <c r="A1292" s="2" t="s">
        <v>28</v>
      </c>
      <c r="B1292" s="2" t="s">
        <v>4981</v>
      </c>
      <c r="C1292" s="2" t="s">
        <v>5244</v>
      </c>
      <c r="D1292" s="2" t="s">
        <v>5285</v>
      </c>
      <c r="E1292" s="2" t="s">
        <v>5286</v>
      </c>
      <c r="F1292" s="2">
        <v>49.0</v>
      </c>
      <c r="G1292" s="2">
        <v>349.0</v>
      </c>
      <c r="H1292" s="2" t="b">
        <v>1</v>
      </c>
      <c r="I1292" s="2">
        <v>-1.0</v>
      </c>
      <c r="J1292" s="2" t="b">
        <v>0</v>
      </c>
      <c r="K1292" s="2" t="b">
        <v>0</v>
      </c>
      <c r="L1292" s="2" t="b">
        <v>0</v>
      </c>
      <c r="M1292" s="2" t="b">
        <v>0</v>
      </c>
      <c r="N1292" s="2" t="s">
        <v>33</v>
      </c>
      <c r="O1292" s="2">
        <v>14.0</v>
      </c>
      <c r="P1292" s="2">
        <v>17.0</v>
      </c>
      <c r="Q1292" s="2">
        <v>14.0</v>
      </c>
      <c r="R1292" s="2">
        <v>0.0</v>
      </c>
      <c r="S1292" s="3" t="s">
        <v>5287</v>
      </c>
      <c r="T1292" s="2" t="s">
        <v>5288</v>
      </c>
      <c r="Y1292" s="4" t="str">
        <f>IFERROR(__xludf.DUMMYFUNCTION("""COMPUTED_VALUE"""),"6.7353234")</f>
        <v>6.7353234</v>
      </c>
      <c r="Z1292" s="4" t="str">
        <f>IFERROR(__xludf.DUMMYFUNCTION("""COMPUTED_VALUE"""),"4.2141149")</f>
        <v>4.2141149</v>
      </c>
      <c r="AA1292" s="4" t="str">
        <f t="shared" si="1"/>
        <v>Not Neighbor</v>
      </c>
      <c r="AC1292" s="4">
        <f>IFERROR(__xludf.DUMMYFUNCTION("IFERROR(ABS(O1292-AVERAGE(FILTER(O1292:O5360,AA1292:AA5360=""Neighbor""))) / STDEV(FILTER(O1292:O5360, AA1292:AA5360 =""Neighbor"")), """")"),1.1723271776175819)</f>
        <v>1.172327178</v>
      </c>
      <c r="AD1292" s="4">
        <f>IFERROR(__xludf.DUMMYFUNCTION("IFERROR(ABS(P1292-AVERAGE(FILTER(O1292:P5360,AA1292:AA5360=""Neighbor""))) / STDEV(FILTER(P1292:P5360, AA1292:AA5360 =""Neighbor"")), """")"),1.0499387309660733)</f>
        <v>1.049938731</v>
      </c>
      <c r="AE1292" s="2">
        <f>IFERROR(__xludf.DUMMYFUNCTION("IFERROR(ABS(Q1292-AVERAGE(FILTER(Q1292:Q5360,AA1292:AA5360=""Neighbor""))) / STDEV(FILTER(Q1292:Q5360, AA1292:AA5360 =""Neighbor"")), """")"),0.4549734995319993)</f>
        <v>0.4549734995</v>
      </c>
      <c r="AF1292" s="2">
        <f>IFERROR(__xludf.DUMMYFUNCTION("IFERROR(ABS(R1292-AVERAGE(FILTER(R1292:R5360,AA1292:AA5360=""Neighbor""))) / STDEV(FILTER(R1292:R5360, AA1292:AA5360 =""Neighbor"")), """")"),0.3435353385975331)</f>
        <v>0.3435353386</v>
      </c>
    </row>
    <row r="1293">
      <c r="A1293" s="2" t="s">
        <v>28</v>
      </c>
      <c r="B1293" s="2" t="s">
        <v>4981</v>
      </c>
      <c r="C1293" s="2" t="s">
        <v>5244</v>
      </c>
      <c r="D1293" s="2" t="s">
        <v>5289</v>
      </c>
      <c r="E1293" s="2" t="s">
        <v>5290</v>
      </c>
      <c r="F1293" s="2">
        <v>42.0</v>
      </c>
      <c r="G1293" s="2">
        <v>343.0</v>
      </c>
      <c r="H1293" s="2" t="b">
        <v>1</v>
      </c>
      <c r="I1293" s="2">
        <v>-1.0</v>
      </c>
      <c r="J1293" s="2" t="b">
        <v>0</v>
      </c>
      <c r="K1293" s="2" t="b">
        <v>0</v>
      </c>
      <c r="L1293" s="2" t="b">
        <v>0</v>
      </c>
      <c r="M1293" s="2" t="b">
        <v>0</v>
      </c>
      <c r="N1293" s="2" t="s">
        <v>33</v>
      </c>
      <c r="O1293" s="2">
        <v>25.0</v>
      </c>
      <c r="P1293" s="2">
        <v>8.0</v>
      </c>
      <c r="Q1293" s="2">
        <v>5.0</v>
      </c>
      <c r="R1293" s="2">
        <v>1.0</v>
      </c>
      <c r="S1293" s="3" t="s">
        <v>5291</v>
      </c>
      <c r="T1293" s="2" t="s">
        <v>5292</v>
      </c>
      <c r="Y1293" s="4" t="str">
        <f>IFERROR(__xludf.DUMMYFUNCTION("""COMPUTED_VALUE"""),"6.7397541")</f>
        <v>6.7397541</v>
      </c>
      <c r="Z1293" s="4" t="str">
        <f>IFERROR(__xludf.DUMMYFUNCTION("""COMPUTED_VALUE"""),"4.1641741")</f>
        <v>4.1641741</v>
      </c>
      <c r="AA1293" s="4" t="str">
        <f t="shared" si="1"/>
        <v>Not Neighbor</v>
      </c>
      <c r="AC1293" s="4">
        <f>IFERROR(__xludf.DUMMYFUNCTION("IFERROR(ABS(O1293-AVERAGE(FILTER(O1293:O5361,AA1293:AA5361=""Neighbor""))) / STDEV(FILTER(O1293:O5361, AA1293:AA5361 =""Neighbor"")), """")"),0.9091608304527896)</f>
        <v>0.9091608305</v>
      </c>
      <c r="AD1293" s="4">
        <f>IFERROR(__xludf.DUMMYFUNCTION("IFERROR(ABS(P1293-AVERAGE(FILTER(O1293:P5361,AA1293:AA5361=""Neighbor""))) / STDEV(FILTER(P1293:P5361, AA1293:AA5361 =""Neighbor"")), """")"),1.4752797545626952)</f>
        <v>1.475279755</v>
      </c>
      <c r="AE1293" s="2">
        <f>IFERROR(__xludf.DUMMYFUNCTION("IFERROR(ABS(Q1293-AVERAGE(FILTER(Q1293:Q5361,AA1293:AA5361=""Neighbor""))) / STDEV(FILTER(Q1293:Q5361, AA1293:AA5361 =""Neighbor"")), """")"),0.8192485417451196)</f>
        <v>0.8192485417</v>
      </c>
      <c r="AF1293" s="2">
        <f>IFERROR(__xludf.DUMMYFUNCTION("IFERROR(ABS(R1293-AVERAGE(FILTER(R1293:R5361,AA1293:AA5361=""Neighbor""))) / STDEV(FILTER(R1293:R5361, AA1293:AA5361 =""Neighbor"")), """")"),0.8722900314389169)</f>
        <v>0.8722900314</v>
      </c>
    </row>
    <row r="1294">
      <c r="A1294" s="2" t="s">
        <v>28</v>
      </c>
      <c r="B1294" s="2" t="s">
        <v>4981</v>
      </c>
      <c r="C1294" s="2" t="s">
        <v>5293</v>
      </c>
      <c r="D1294" s="2" t="s">
        <v>5294</v>
      </c>
      <c r="E1294" s="2" t="s">
        <v>5295</v>
      </c>
      <c r="F1294" s="2">
        <v>100.0</v>
      </c>
      <c r="G1294" s="2">
        <v>562.0</v>
      </c>
      <c r="H1294" s="2" t="b">
        <v>1</v>
      </c>
      <c r="I1294" s="2">
        <v>-1.0</v>
      </c>
      <c r="J1294" s="2" t="b">
        <v>0</v>
      </c>
      <c r="K1294" s="2" t="b">
        <v>0</v>
      </c>
      <c r="L1294" s="2" t="b">
        <v>0</v>
      </c>
      <c r="M1294" s="2" t="b">
        <v>0</v>
      </c>
      <c r="N1294" s="2" t="s">
        <v>33</v>
      </c>
      <c r="O1294" s="2">
        <v>35.0</v>
      </c>
      <c r="P1294" s="2">
        <v>11.0</v>
      </c>
      <c r="Q1294" s="2">
        <v>40.0</v>
      </c>
      <c r="R1294" s="2">
        <v>2.0</v>
      </c>
      <c r="S1294" s="3" t="s">
        <v>5296</v>
      </c>
      <c r="T1294" s="2" t="s">
        <v>5297</v>
      </c>
      <c r="Y1294" s="4" t="str">
        <f>IFERROR(__xludf.DUMMYFUNCTION("""COMPUTED_VALUE"""),"6.666667")</f>
        <v>6.666667</v>
      </c>
      <c r="Z1294" s="4" t="str">
        <f>IFERROR(__xludf.DUMMYFUNCTION("""COMPUTED_VALUE"""),"4.183333")</f>
        <v>4.183333</v>
      </c>
      <c r="AA1294" s="4" t="str">
        <f t="shared" si="1"/>
        <v>Not Neighbor</v>
      </c>
      <c r="AC1294" s="4">
        <f>IFERROR(__xludf.DUMMYFUNCTION("IFERROR(ABS(O1294-AVERAGE(FILTER(O1294:O5362,AA1294:AA5362=""Neighbor""))) / STDEV(FILTER(O1294:O5362, AA1294:AA5362 =""Neighbor"")), """")"),0.6699186966666147)</f>
        <v>0.6699186967</v>
      </c>
      <c r="AD1294" s="4">
        <f>IFERROR(__xludf.DUMMYFUNCTION("IFERROR(ABS(P1294-AVERAGE(FILTER(O1294:P5362,AA1294:AA5362=""Neighbor""))) / STDEV(FILTER(P1294:P5362, AA1294:AA5362 =""Neighbor"")), """")"),1.3334994133638212)</f>
        <v>1.333499413</v>
      </c>
      <c r="AE1294" s="2">
        <f>IFERROR(__xludf.DUMMYFUNCTION("IFERROR(ABS(Q1294-AVERAGE(FILTER(Q1294:Q5362,AA1294:AA5362=""Neighbor""))) / STDEV(FILTER(Q1294:Q5362, AA1294:AA5362 =""Neighbor"")), """")"),0.5973766224170148)</f>
        <v>0.5973766224</v>
      </c>
      <c r="AF1294" s="2">
        <f>IFERROR(__xludf.DUMMYFUNCTION("IFERROR(ABS(R1294-AVERAGE(FILTER(R1294:R5362,AA1294:AA5362=""Neighbor""))) / STDEV(FILTER(R1294:R5362, AA1294:AA5362 =""Neighbor"")), """")"),2.088115401475367)</f>
        <v>2.088115401</v>
      </c>
    </row>
    <row r="1295">
      <c r="A1295" s="2" t="s">
        <v>28</v>
      </c>
      <c r="B1295" s="2" t="s">
        <v>4981</v>
      </c>
      <c r="C1295" s="2" t="s">
        <v>5293</v>
      </c>
      <c r="D1295" s="2" t="s">
        <v>5298</v>
      </c>
      <c r="E1295" s="2" t="s">
        <v>5299</v>
      </c>
      <c r="F1295" s="2">
        <v>80.0</v>
      </c>
      <c r="G1295" s="2">
        <v>254.0</v>
      </c>
      <c r="H1295" s="2" t="b">
        <v>1</v>
      </c>
      <c r="I1295" s="2">
        <v>-1.0</v>
      </c>
      <c r="J1295" s="2" t="b">
        <v>0</v>
      </c>
      <c r="K1295" s="2" t="b">
        <v>0</v>
      </c>
      <c r="L1295" s="2" t="b">
        <v>0</v>
      </c>
      <c r="M1295" s="2" t="b">
        <v>0</v>
      </c>
      <c r="N1295" s="2" t="s">
        <v>33</v>
      </c>
      <c r="O1295" s="2">
        <v>52.0</v>
      </c>
      <c r="P1295" s="2">
        <v>0.0</v>
      </c>
      <c r="Q1295" s="2">
        <v>23.0</v>
      </c>
      <c r="R1295" s="2">
        <v>0.0</v>
      </c>
      <c r="S1295" s="3" t="s">
        <v>5300</v>
      </c>
      <c r="T1295" s="2" t="s">
        <v>5301</v>
      </c>
      <c r="Y1295" s="4" t="str">
        <f>IFERROR(__xludf.DUMMYFUNCTION("""COMPUTED_VALUE"""),"6.6780526")</f>
        <v>6.6780526</v>
      </c>
      <c r="Z1295" s="4" t="str">
        <f>IFERROR(__xludf.DUMMYFUNCTION("""COMPUTED_VALUE"""),"4.2025859")</f>
        <v>4.2025859</v>
      </c>
      <c r="AA1295" s="4" t="str">
        <f t="shared" si="1"/>
        <v>Neighbor</v>
      </c>
      <c r="AC1295" s="4">
        <f>IFERROR(__xludf.DUMMYFUNCTION("IFERROR(ABS(O1295-AVERAGE(FILTER(O1295:O5363,AA1295:AA5363=""Neighbor""))) / STDEV(FILTER(O1295:O5363, AA1295:AA5363 =""Neighbor"")), """")"),0.26320706923011766)</f>
        <v>0.2632070692</v>
      </c>
      <c r="AD1295" s="4">
        <f>IFERROR(__xludf.DUMMYFUNCTION("IFERROR(ABS(P1295-AVERAGE(FILTER(O1295:P5363,AA1295:AA5363=""Neighbor""))) / STDEV(FILTER(P1295:P5363, AA1295:AA5363 =""Neighbor"")), """")"),1.8533606644263594)</f>
        <v>1.853360664</v>
      </c>
      <c r="AE1295" s="2">
        <f>IFERROR(__xludf.DUMMYFUNCTION("IFERROR(ABS(Q1295-AVERAGE(FILTER(Q1295:Q5363,AA1295:AA5363=""Neighbor""))) / STDEV(FILTER(Q1295:Q5363, AA1295:AA5363 =""Neighbor"")), """")"),0.09069845731887902)</f>
        <v>0.09069845732</v>
      </c>
      <c r="AF1295" s="2">
        <f>IFERROR(__xludf.DUMMYFUNCTION("IFERROR(ABS(R1295-AVERAGE(FILTER(R1295:R5363,AA1295:AA5363=""Neighbor""))) / STDEV(FILTER(R1295:R5363, AA1295:AA5363 =""Neighbor"")), """")"),0.3435353385975331)</f>
        <v>0.3435353386</v>
      </c>
    </row>
    <row r="1296">
      <c r="A1296" s="2" t="s">
        <v>28</v>
      </c>
      <c r="B1296" s="2" t="s">
        <v>4981</v>
      </c>
      <c r="C1296" s="2" t="s">
        <v>5293</v>
      </c>
      <c r="D1296" s="2" t="s">
        <v>5302</v>
      </c>
      <c r="E1296" s="2" t="s">
        <v>5303</v>
      </c>
      <c r="F1296" s="2">
        <v>83.0</v>
      </c>
      <c r="G1296" s="2">
        <v>339.0</v>
      </c>
      <c r="H1296" s="2" t="b">
        <v>1</v>
      </c>
      <c r="I1296" s="2">
        <v>-1.0</v>
      </c>
      <c r="J1296" s="2" t="b">
        <v>1</v>
      </c>
      <c r="K1296" s="2" t="b">
        <v>0</v>
      </c>
      <c r="L1296" s="2" t="b">
        <v>0</v>
      </c>
      <c r="M1296" s="2" t="b">
        <v>0</v>
      </c>
      <c r="N1296" s="2" t="s">
        <v>33</v>
      </c>
      <c r="O1296" s="2">
        <v>47.0</v>
      </c>
      <c r="P1296" s="2">
        <v>0.0</v>
      </c>
      <c r="Q1296" s="2">
        <v>33.0</v>
      </c>
      <c r="R1296" s="2">
        <v>0.0</v>
      </c>
      <c r="S1296" s="3" t="s">
        <v>5304</v>
      </c>
      <c r="T1296" s="2" t="s">
        <v>5305</v>
      </c>
      <c r="Y1296" s="4" t="str">
        <f>IFERROR(__xludf.DUMMYFUNCTION("""COMPUTED_VALUE"""),"6.6780526")</f>
        <v>6.6780526</v>
      </c>
      <c r="Z1296" s="4" t="str">
        <f>IFERROR(__xludf.DUMMYFUNCTION("""COMPUTED_VALUE"""),"4.2025859")</f>
        <v>4.2025859</v>
      </c>
      <c r="AA1296" s="4" t="str">
        <f t="shared" si="1"/>
        <v>Neighbor</v>
      </c>
      <c r="AC1296" s="4">
        <f>IFERROR(__xludf.DUMMYFUNCTION("IFERROR(ABS(O1296-AVERAGE(FILTER(O1296:O5364,AA1296:AA5364=""Neighbor""))) / STDEV(FILTER(O1296:O5364, AA1296:AA5364 =""Neighbor"")), """")"),0.38290046565962726)</f>
        <v>0.3829004657</v>
      </c>
      <c r="AD1296" s="4">
        <f>IFERROR(__xludf.DUMMYFUNCTION("IFERROR(ABS(P1296-AVERAGE(FILTER(O1296:P5364,AA1296:AA5364=""Neighbor""))) / STDEV(FILTER(P1296:P5364, AA1296:AA5364 =""Neighbor"")), """")"),1.8535231785857913)</f>
        <v>1.853523179</v>
      </c>
      <c r="AE1296" s="2">
        <f>IFERROR(__xludf.DUMMYFUNCTION("IFERROR(ABS(Q1296-AVERAGE(FILTER(Q1296:Q5364,AA1296:AA5364=""Neighbor""))) / STDEV(FILTER(Q1296:Q5364, AA1296:AA5364 =""Neighbor"")), """")"),0.3138416857492142)</f>
        <v>0.3138416857</v>
      </c>
      <c r="AF1296" s="2">
        <f>IFERROR(__xludf.DUMMYFUNCTION("IFERROR(ABS(R1296-AVERAGE(FILTER(R1296:R5364,AA1296:AA5364=""Neighbor""))) / STDEV(FILTER(R1296:R5364, AA1296:AA5364 =""Neighbor"")), """")"),0.3436987828818318)</f>
        <v>0.3436987829</v>
      </c>
    </row>
    <row r="1297">
      <c r="A1297" s="2" t="s">
        <v>28</v>
      </c>
      <c r="B1297" s="2" t="s">
        <v>4981</v>
      </c>
      <c r="C1297" s="2" t="s">
        <v>5293</v>
      </c>
      <c r="D1297" s="2" t="s">
        <v>5306</v>
      </c>
      <c r="E1297" s="2" t="s">
        <v>5307</v>
      </c>
      <c r="F1297" s="2">
        <v>56.0</v>
      </c>
      <c r="G1297" s="2">
        <v>346.0</v>
      </c>
      <c r="H1297" s="2" t="b">
        <v>1</v>
      </c>
      <c r="I1297" s="2">
        <v>-1.0</v>
      </c>
      <c r="J1297" s="2" t="b">
        <v>0</v>
      </c>
      <c r="K1297" s="2" t="b">
        <v>0</v>
      </c>
      <c r="L1297" s="2" t="b">
        <v>0</v>
      </c>
      <c r="M1297" s="2" t="b">
        <v>0</v>
      </c>
      <c r="N1297" s="2" t="s">
        <v>33</v>
      </c>
      <c r="O1297" s="2">
        <v>38.0</v>
      </c>
      <c r="P1297" s="2">
        <v>0.0</v>
      </c>
      <c r="Q1297" s="2">
        <v>17.0</v>
      </c>
      <c r="R1297" s="2">
        <v>0.0</v>
      </c>
      <c r="S1297" s="3" t="s">
        <v>5308</v>
      </c>
      <c r="T1297" s="2" t="s">
        <v>5309</v>
      </c>
      <c r="Y1297" s="4" t="str">
        <f>IFERROR(__xludf.DUMMYFUNCTION("""COMPUTED_VALUE"""),"6.6780526")</f>
        <v>6.6780526</v>
      </c>
      <c r="Z1297" s="4" t="str">
        <f>IFERROR(__xludf.DUMMYFUNCTION("""COMPUTED_VALUE"""),"4.2025859")</f>
        <v>4.2025859</v>
      </c>
      <c r="AA1297" s="4" t="str">
        <f t="shared" si="1"/>
        <v>Not Neighbor</v>
      </c>
      <c r="AC1297" s="4">
        <f>IFERROR(__xludf.DUMMYFUNCTION("IFERROR(ABS(O1297-AVERAGE(FILTER(O1297:O5365,AA1297:AA5365=""Neighbor""))) / STDEV(FILTER(O1297:O5365, AA1297:AA5365 =""Neighbor"")), """")"),0.5982417159936693)</f>
        <v>0.598241716</v>
      </c>
      <c r="AD1297" s="4">
        <f>IFERROR(__xludf.DUMMYFUNCTION("IFERROR(ABS(P1297-AVERAGE(FILTER(O1297:P5365,AA1297:AA5365=""Neighbor""))) / STDEV(FILTER(P1297:P5365, AA1297:AA5365 =""Neighbor"")), """")"),1.8537873800273679)</f>
        <v>1.85378738</v>
      </c>
      <c r="AE1297" s="2">
        <f>IFERROR(__xludf.DUMMYFUNCTION("IFERROR(ABS(Q1297-AVERAGE(FILTER(Q1297:Q5365,AA1297:AA5365=""Neighbor""))) / STDEV(FILTER(Q1297:Q5365, AA1297:AA5365 =""Neighbor"")), """")"),0.33308916674787115)</f>
        <v>0.3330891667</v>
      </c>
      <c r="AF1297" s="2">
        <f>IFERROR(__xludf.DUMMYFUNCTION("IFERROR(ABS(R1297-AVERAGE(FILTER(R1297:R5365,AA1297:AA5365=""Neighbor""))) / STDEV(FILTER(R1297:R5365, AA1297:AA5365 =""Neighbor"")), """")"),0.34386246069966264)</f>
        <v>0.3438624607</v>
      </c>
    </row>
    <row r="1298">
      <c r="A1298" s="2" t="s">
        <v>28</v>
      </c>
      <c r="B1298" s="2" t="s">
        <v>4981</v>
      </c>
      <c r="C1298" s="2" t="s">
        <v>5293</v>
      </c>
      <c r="D1298" s="2" t="s">
        <v>5310</v>
      </c>
      <c r="E1298" s="2" t="s">
        <v>5311</v>
      </c>
      <c r="F1298" s="2">
        <v>77.0</v>
      </c>
      <c r="G1298" s="2">
        <v>331.0</v>
      </c>
      <c r="H1298" s="2" t="b">
        <v>1</v>
      </c>
      <c r="I1298" s="2">
        <v>-1.0</v>
      </c>
      <c r="J1298" s="2" t="b">
        <v>0</v>
      </c>
      <c r="K1298" s="2" t="b">
        <v>0</v>
      </c>
      <c r="L1298" s="2" t="b">
        <v>0</v>
      </c>
      <c r="M1298" s="2" t="b">
        <v>0</v>
      </c>
      <c r="N1298" s="2" t="s">
        <v>33</v>
      </c>
      <c r="O1298" s="2">
        <v>49.0</v>
      </c>
      <c r="P1298" s="2">
        <v>3.0</v>
      </c>
      <c r="Q1298" s="2">
        <v>16.0</v>
      </c>
      <c r="R1298" s="2">
        <v>0.0</v>
      </c>
      <c r="S1298" s="3" t="s">
        <v>5312</v>
      </c>
      <c r="T1298" s="2" t="s">
        <v>5313</v>
      </c>
      <c r="Y1298" s="4" t="str">
        <f>IFERROR(__xludf.DUMMYFUNCTION("""COMPUTED_VALUE"""),"6.6014694")</f>
        <v>6.6014694</v>
      </c>
      <c r="Z1298" s="4" t="str">
        <f>IFERROR(__xludf.DUMMYFUNCTION("""COMPUTED_VALUE"""),"4.166494")</f>
        <v>4.166494</v>
      </c>
      <c r="AA1298" s="4" t="str">
        <f t="shared" si="1"/>
        <v>Not Neighbor</v>
      </c>
      <c r="AC1298" s="4">
        <f>IFERROR(__xludf.DUMMYFUNCTION("IFERROR(ABS(O1298-AVERAGE(FILTER(O1298:O5366,AA1298:AA5366=""Neighbor""))) / STDEV(FILTER(O1298:O5366, AA1298:AA5366 =""Neighbor"")), """")"),0.3352754128845082)</f>
        <v>0.3352754129</v>
      </c>
      <c r="AD1298" s="4">
        <f>IFERROR(__xludf.DUMMYFUNCTION("IFERROR(ABS(P1298-AVERAGE(FILTER(O1298:P5366,AA1298:AA5366=""Neighbor""))) / STDEV(FILTER(P1298:P5366, AA1298:AA5366 =""Neighbor"")), """")"),1.7120635335741952)</f>
        <v>1.712063534</v>
      </c>
      <c r="AE1298" s="2">
        <f>IFERROR(__xludf.DUMMYFUNCTION("IFERROR(ABS(Q1298-AVERAGE(FILTER(Q1298:Q5366,AA1298:AA5366=""Neighbor""))) / STDEV(FILTER(Q1298:Q5366, AA1298:AA5366 =""Neighbor"")), """")"),0.3735315218451957)</f>
        <v>0.3735315218</v>
      </c>
      <c r="AF1298" s="2">
        <f>IFERROR(__xludf.DUMMYFUNCTION("IFERROR(ABS(R1298-AVERAGE(FILTER(R1298:R5366,AA1298:AA5366=""Neighbor""))) / STDEV(FILTER(R1298:R5366, AA1298:AA5366 =""Neighbor"")), """")"),0.34386246069966264)</f>
        <v>0.3438624607</v>
      </c>
    </row>
    <row r="1299">
      <c r="A1299" s="2" t="s">
        <v>28</v>
      </c>
      <c r="B1299" s="2" t="s">
        <v>4981</v>
      </c>
      <c r="C1299" s="2" t="s">
        <v>5293</v>
      </c>
      <c r="D1299" s="2" t="s">
        <v>5314</v>
      </c>
      <c r="E1299" s="2" t="s">
        <v>5315</v>
      </c>
      <c r="F1299" s="2">
        <v>73.0</v>
      </c>
      <c r="G1299" s="2">
        <v>384.0</v>
      </c>
      <c r="H1299" s="2" t="b">
        <v>1</v>
      </c>
      <c r="I1299" s="2">
        <v>-1.0</v>
      </c>
      <c r="J1299" s="2" t="b">
        <v>0</v>
      </c>
      <c r="K1299" s="2" t="b">
        <v>0</v>
      </c>
      <c r="L1299" s="2" t="b">
        <v>0</v>
      </c>
      <c r="M1299" s="2" t="b">
        <v>0</v>
      </c>
      <c r="N1299" s="2" t="s">
        <v>33</v>
      </c>
      <c r="O1299" s="2">
        <v>51.0</v>
      </c>
      <c r="P1299" s="2">
        <v>1.0</v>
      </c>
      <c r="Q1299" s="2">
        <v>14.0</v>
      </c>
      <c r="R1299" s="2">
        <v>0.0</v>
      </c>
      <c r="S1299" s="3" t="s">
        <v>5316</v>
      </c>
      <c r="T1299" s="2" t="s">
        <v>5317</v>
      </c>
      <c r="Y1299" s="4" t="str">
        <f>IFERROR(__xludf.DUMMYFUNCTION("""COMPUTED_VALUE"""),"6.6780526")</f>
        <v>6.6780526</v>
      </c>
      <c r="Z1299" s="4" t="str">
        <f>IFERROR(__xludf.DUMMYFUNCTION("""COMPUTED_VALUE"""),"4.2025859")</f>
        <v>4.2025859</v>
      </c>
      <c r="AA1299" s="4" t="str">
        <f t="shared" si="1"/>
        <v>Not Neighbor</v>
      </c>
      <c r="AC1299" s="4">
        <f>IFERROR(__xludf.DUMMYFUNCTION("IFERROR(ABS(O1299-AVERAGE(FILTER(O1299:O5367,AA1299:AA5367=""Neighbor""))) / STDEV(FILTER(O1299:O5367, AA1299:AA5367 =""Neighbor"")), """")"),0.28746335777375165)</f>
        <v>0.2874633578</v>
      </c>
      <c r="AD1299" s="4">
        <f>IFERROR(__xludf.DUMMYFUNCTION("IFERROR(ABS(P1299-AVERAGE(FILTER(O1299:P5367,AA1299:AA5367=""Neighbor""))) / STDEV(FILTER(P1299:P5367, AA1299:AA5367 =""Neighbor"")), """")"),1.8065460978763104)</f>
        <v>1.806546098</v>
      </c>
      <c r="AE1299" s="2">
        <f>IFERROR(__xludf.DUMMYFUNCTION("IFERROR(ABS(Q1299-AVERAGE(FILTER(Q1299:Q5367,AA1299:AA5367=""Neighbor""))) / STDEV(FILTER(Q1299:Q5367, AA1299:AA5367 =""Neighbor"")), """")"),0.45441623203984494)</f>
        <v>0.454416232</v>
      </c>
      <c r="AF1299" s="2">
        <f>IFERROR(__xludf.DUMMYFUNCTION("IFERROR(ABS(R1299-AVERAGE(FILTER(R1299:R5367,AA1299:AA5367=""Neighbor""))) / STDEV(FILTER(R1299:R5367, AA1299:AA5367 =""Neighbor"")), """")"),0.34386246069966264)</f>
        <v>0.3438624607</v>
      </c>
    </row>
    <row r="1300">
      <c r="A1300" s="2" t="s">
        <v>28</v>
      </c>
      <c r="B1300" s="2" t="s">
        <v>4981</v>
      </c>
      <c r="C1300" s="2" t="s">
        <v>5318</v>
      </c>
      <c r="D1300" s="2" t="s">
        <v>5319</v>
      </c>
      <c r="E1300" s="2" t="s">
        <v>5320</v>
      </c>
      <c r="F1300" s="2">
        <v>134.0</v>
      </c>
      <c r="G1300" s="2">
        <v>451.0</v>
      </c>
      <c r="H1300" s="2" t="b">
        <v>1</v>
      </c>
      <c r="I1300" s="2">
        <v>-1.0</v>
      </c>
      <c r="J1300" s="2" t="b">
        <v>0</v>
      </c>
      <c r="K1300" s="2" t="b">
        <v>0</v>
      </c>
      <c r="L1300" s="2" t="b">
        <v>0</v>
      </c>
      <c r="M1300" s="2" t="b">
        <v>0</v>
      </c>
      <c r="N1300" s="2" t="s">
        <v>33</v>
      </c>
      <c r="O1300" s="2">
        <v>69.0</v>
      </c>
      <c r="P1300" s="2">
        <v>0.0</v>
      </c>
      <c r="Q1300" s="2">
        <v>64.0</v>
      </c>
      <c r="R1300" s="2">
        <v>0.0</v>
      </c>
      <c r="S1300" s="3" t="s">
        <v>5321</v>
      </c>
      <c r="T1300" s="2" t="s">
        <v>5322</v>
      </c>
      <c r="Y1300" s="4" t="str">
        <f>IFERROR(__xludf.DUMMYFUNCTION("""COMPUTED_VALUE"""),"6.5931989")</f>
        <v>6.5931989</v>
      </c>
      <c r="Z1300" s="4" t="str">
        <f>IFERROR(__xludf.DUMMYFUNCTION("""COMPUTED_VALUE"""),"4.1094859")</f>
        <v>4.1094859</v>
      </c>
      <c r="AA1300" s="4" t="str">
        <f t="shared" si="1"/>
        <v>Not Neighbor</v>
      </c>
      <c r="AC1300" s="4">
        <f>IFERROR(__xludf.DUMMYFUNCTION("IFERROR(ABS(O1300-AVERAGE(FILTER(O1300:O5368,AA1300:AA5368=""Neighbor""))) / STDEV(FILTER(O1300:O5368, AA1300:AA5368 =""Neighbor"")), """")"),0.14284513822305742)</f>
        <v>0.1428451382</v>
      </c>
      <c r="AD1300" s="4">
        <f>IFERROR(__xludf.DUMMYFUNCTION("IFERROR(ABS(P1300-AVERAGE(FILTER(O1300:P5368,AA1300:AA5368=""Neighbor""))) / STDEV(FILTER(P1300:P5368, AA1300:AA5368 =""Neighbor"")), """")"),1.8537873800273679)</f>
        <v>1.85378738</v>
      </c>
      <c r="AE1300" s="2">
        <f>IFERROR(__xludf.DUMMYFUNCTION("IFERROR(ABS(Q1300-AVERAGE(FILTER(Q1300:Q5368,AA1300:AA5368=""Neighbor""))) / STDEV(FILTER(Q1300:Q5368, AA1300:AA5368 =""Neighbor"")), """")"),1.5677015228263849)</f>
        <v>1.567701523</v>
      </c>
      <c r="AF1300" s="2">
        <f>IFERROR(__xludf.DUMMYFUNCTION("IFERROR(ABS(R1300-AVERAGE(FILTER(R1300:R5368,AA1300:AA5368=""Neighbor""))) / STDEV(FILTER(R1300:R5368, AA1300:AA5368 =""Neighbor"")), """")"),0.34386246069966264)</f>
        <v>0.3438624607</v>
      </c>
    </row>
    <row r="1301">
      <c r="A1301" s="2" t="s">
        <v>28</v>
      </c>
      <c r="B1301" s="2" t="s">
        <v>4981</v>
      </c>
      <c r="C1301" s="2" t="s">
        <v>5318</v>
      </c>
      <c r="D1301" s="2" t="s">
        <v>5323</v>
      </c>
      <c r="E1301" s="2" t="s">
        <v>5324</v>
      </c>
      <c r="F1301" s="2">
        <v>225.0</v>
      </c>
      <c r="G1301" s="2">
        <v>832.0</v>
      </c>
      <c r="H1301" s="2" t="b">
        <v>1</v>
      </c>
      <c r="I1301" s="2">
        <v>-1.0</v>
      </c>
      <c r="J1301" s="2" t="b">
        <v>0</v>
      </c>
      <c r="K1301" s="2" t="b">
        <v>1</v>
      </c>
      <c r="L1301" s="2" t="b">
        <v>0</v>
      </c>
      <c r="M1301" s="2" t="b">
        <v>0</v>
      </c>
      <c r="N1301" s="2" t="s">
        <v>33</v>
      </c>
      <c r="O1301" s="2">
        <v>59.0</v>
      </c>
      <c r="P1301" s="2">
        <v>0.0</v>
      </c>
      <c r="Q1301" s="2">
        <v>30.0</v>
      </c>
      <c r="R1301" s="2">
        <v>0.0</v>
      </c>
      <c r="S1301" s="3" t="s">
        <v>5325</v>
      </c>
      <c r="T1301" s="2" t="s">
        <v>5326</v>
      </c>
      <c r="Y1301" s="4" t="str">
        <f>IFERROR(__xludf.DUMMYFUNCTION("""COMPUTED_VALUE"""),"6.6023512")</f>
        <v>6.6023512</v>
      </c>
      <c r="Z1301" s="4" t="str">
        <f>IFERROR(__xludf.DUMMYFUNCTION("""COMPUTED_VALUE"""),"4.1705741")</f>
        <v>4.1705741</v>
      </c>
      <c r="AA1301" s="4" t="str">
        <f t="shared" si="1"/>
        <v>Not Neighbor</v>
      </c>
      <c r="AC1301" s="4">
        <f>IFERROR(__xludf.DUMMYFUNCTION("IFERROR(ABS(O1301-AVERAGE(FILTER(O1301:O5369,AA1301:AA5369=""Neighbor""))) / STDEV(FILTER(O1301:O5369, AA1301:AA5369 =""Neighbor"")), """")"),0.0962151373307254)</f>
        <v>0.09621513733</v>
      </c>
      <c r="AD1301" s="4">
        <f>IFERROR(__xludf.DUMMYFUNCTION("IFERROR(ABS(P1301-AVERAGE(FILTER(O1301:P5369,AA1301:AA5369=""Neighbor""))) / STDEV(FILTER(P1301:P5369, AA1301:AA5369 =""Neighbor"")), """")"),1.8537873800273679)</f>
        <v>1.85378738</v>
      </c>
      <c r="AE1301" s="2">
        <f>IFERROR(__xludf.DUMMYFUNCTION("IFERROR(ABS(Q1301-AVERAGE(FILTER(Q1301:Q5369,AA1301:AA5369=""Neighbor""))) / STDEV(FILTER(Q1301:Q5369, AA1301:AA5369 =""Neighbor"")), """")"),0.1926614495173486)</f>
        <v>0.1926614495</v>
      </c>
      <c r="AF1301" s="2">
        <f>IFERROR(__xludf.DUMMYFUNCTION("IFERROR(ABS(R1301-AVERAGE(FILTER(R1301:R5369,AA1301:AA5369=""Neighbor""))) / STDEV(FILTER(R1301:R5369, AA1301:AA5369 =""Neighbor"")), """")"),0.34386246069966264)</f>
        <v>0.3438624607</v>
      </c>
    </row>
    <row r="1302">
      <c r="A1302" s="2" t="s">
        <v>28</v>
      </c>
      <c r="B1302" s="2" t="s">
        <v>4981</v>
      </c>
      <c r="C1302" s="2" t="s">
        <v>5318</v>
      </c>
      <c r="D1302" s="2" t="s">
        <v>5327</v>
      </c>
      <c r="E1302" s="2" t="s">
        <v>5328</v>
      </c>
      <c r="F1302" s="2">
        <v>149.0</v>
      </c>
      <c r="G1302" s="2">
        <v>447.0</v>
      </c>
      <c r="H1302" s="2" t="b">
        <v>1</v>
      </c>
      <c r="I1302" s="2">
        <v>-1.0</v>
      </c>
      <c r="J1302" s="2" t="b">
        <v>0</v>
      </c>
      <c r="K1302" s="2" t="b">
        <v>0</v>
      </c>
      <c r="L1302" s="2" t="b">
        <v>0</v>
      </c>
      <c r="M1302" s="2" t="b">
        <v>0</v>
      </c>
      <c r="N1302" s="2" t="s">
        <v>33</v>
      </c>
      <c r="O1302" s="2">
        <v>62.0</v>
      </c>
      <c r="P1302" s="2">
        <v>2.0</v>
      </c>
      <c r="Q1302" s="2">
        <v>80.0</v>
      </c>
      <c r="R1302" s="2">
        <v>0.0</v>
      </c>
      <c r="S1302" s="3" t="s">
        <v>5329</v>
      </c>
      <c r="T1302" s="2" t="s">
        <v>5330</v>
      </c>
      <c r="Y1302" s="4" t="str">
        <f>IFERROR(__xludf.DUMMYFUNCTION("""COMPUTED_VALUE"""),"6.6286712")</f>
        <v>6.6286712</v>
      </c>
      <c r="Z1302" s="4" t="str">
        <f>IFERROR(__xludf.DUMMYFUNCTION("""COMPUTED_VALUE"""),"4.165077")</f>
        <v>4.165077</v>
      </c>
      <c r="AA1302" s="4" t="str">
        <f t="shared" si="1"/>
        <v>Not Neighbor</v>
      </c>
      <c r="AC1302" s="4">
        <f>IFERROR(__xludf.DUMMYFUNCTION("IFERROR(ABS(O1302-AVERAGE(FILTER(O1302:O5370,AA1302:AA5370=""Neighbor""))) / STDEV(FILTER(O1302:O5370, AA1302:AA5370 =""Neighbor"")), """")"),0.024497054664590547)</f>
        <v>0.02449705466</v>
      </c>
      <c r="AD1302" s="4">
        <f>IFERROR(__xludf.DUMMYFUNCTION("IFERROR(ABS(P1302-AVERAGE(FILTER(O1302:P5370,AA1302:AA5370=""Neighbor""))) / STDEV(FILTER(P1302:P5370, AA1302:AA5370 =""Neighbor"")), """")"),1.7593048157252527)</f>
        <v>1.759304816</v>
      </c>
      <c r="AE1302" s="2">
        <f>IFERROR(__xludf.DUMMYFUNCTION("IFERROR(ABS(Q1302-AVERAGE(FILTER(Q1302:Q5370,AA1302:AA5370=""Neighbor""))) / STDEV(FILTER(Q1302:Q5370, AA1302:AA5370 =""Neighbor"")), """")"),2.214779204383578)</f>
        <v>2.214779204</v>
      </c>
      <c r="AF1302" s="2">
        <f>IFERROR(__xludf.DUMMYFUNCTION("IFERROR(ABS(R1302-AVERAGE(FILTER(R1302:R5370,AA1302:AA5370=""Neighbor""))) / STDEV(FILTER(R1302:R5370, AA1302:AA5370 =""Neighbor"")), """")"),0.34386246069966264)</f>
        <v>0.3438624607</v>
      </c>
    </row>
    <row r="1303">
      <c r="A1303" s="2" t="s">
        <v>28</v>
      </c>
      <c r="B1303" s="2" t="s">
        <v>4981</v>
      </c>
      <c r="C1303" s="2" t="s">
        <v>5318</v>
      </c>
      <c r="D1303" s="2" t="s">
        <v>5331</v>
      </c>
      <c r="E1303" s="2" t="s">
        <v>5332</v>
      </c>
      <c r="F1303" s="2">
        <v>93.0</v>
      </c>
      <c r="G1303" s="2">
        <v>388.0</v>
      </c>
      <c r="H1303" s="2" t="b">
        <v>1</v>
      </c>
      <c r="I1303" s="2">
        <v>-1.0</v>
      </c>
      <c r="J1303" s="2" t="b">
        <v>0</v>
      </c>
      <c r="K1303" s="2" t="b">
        <v>0</v>
      </c>
      <c r="L1303" s="2" t="b">
        <v>0</v>
      </c>
      <c r="M1303" s="2" t="b">
        <v>0</v>
      </c>
      <c r="N1303" s="2" t="s">
        <v>33</v>
      </c>
      <c r="O1303" s="2">
        <v>61.0</v>
      </c>
      <c r="P1303" s="2">
        <v>1.0</v>
      </c>
      <c r="Q1303" s="2">
        <v>30.0</v>
      </c>
      <c r="R1303" s="2">
        <v>0.0</v>
      </c>
      <c r="S1303" s="3" t="s">
        <v>5333</v>
      </c>
      <c r="T1303" s="2" t="s">
        <v>5334</v>
      </c>
      <c r="Y1303" s="4" t="str">
        <f>IFERROR(__xludf.DUMMYFUNCTION("""COMPUTED_VALUE"""),"6.6246452")</f>
        <v>6.6246452</v>
      </c>
      <c r="Z1303" s="4" t="str">
        <f>IFERROR(__xludf.DUMMYFUNCTION("""COMPUTED_VALUE"""),"4.2128337")</f>
        <v>4.2128337</v>
      </c>
      <c r="AA1303" s="4" t="str">
        <f t="shared" si="1"/>
        <v>Neighbor</v>
      </c>
      <c r="AC1303" s="4">
        <f>IFERROR(__xludf.DUMMYFUNCTION("IFERROR(ABS(O1303-AVERAGE(FILTER(O1303:O5371,AA1303:AA5371=""Neighbor""))) / STDEV(FILTER(O1303:O5371, AA1303:AA5371 =""Neighbor"")), """")"),0.04840308221996883)</f>
        <v>0.04840308222</v>
      </c>
      <c r="AD1303" s="4">
        <f>IFERROR(__xludf.DUMMYFUNCTION("IFERROR(ABS(P1303-AVERAGE(FILTER(O1303:P5371,AA1303:AA5371=""Neighbor""))) / STDEV(FILTER(P1303:P5371, AA1303:AA5371 =""Neighbor"")), """")"),1.8065460978763104)</f>
        <v>1.806546098</v>
      </c>
      <c r="AE1303" s="2">
        <f>IFERROR(__xludf.DUMMYFUNCTION("IFERROR(ABS(Q1303-AVERAGE(FILTER(Q1303:Q5371,AA1303:AA5371=""Neighbor""))) / STDEV(FILTER(Q1303:Q5371, AA1303:AA5371 =""Neighbor"")), """")"),0.1926614495173486)</f>
        <v>0.1926614495</v>
      </c>
      <c r="AF1303" s="2">
        <f>IFERROR(__xludf.DUMMYFUNCTION("IFERROR(ABS(R1303-AVERAGE(FILTER(R1303:R5371,AA1303:AA5371=""Neighbor""))) / STDEV(FILTER(R1303:R5371, AA1303:AA5371 =""Neighbor"")), """")"),0.34386246069966264)</f>
        <v>0.3438624607</v>
      </c>
    </row>
    <row r="1304">
      <c r="A1304" s="2" t="s">
        <v>28</v>
      </c>
      <c r="B1304" s="2" t="s">
        <v>4981</v>
      </c>
      <c r="C1304" s="2" t="s">
        <v>5318</v>
      </c>
      <c r="D1304" s="2" t="s">
        <v>5335</v>
      </c>
      <c r="E1304" s="2" t="s">
        <v>5336</v>
      </c>
      <c r="F1304" s="2">
        <v>111.0</v>
      </c>
      <c r="G1304" s="2">
        <v>293.0</v>
      </c>
      <c r="H1304" s="2" t="b">
        <v>1</v>
      </c>
      <c r="I1304" s="2">
        <v>-1.0</v>
      </c>
      <c r="J1304" s="2" t="b">
        <v>0</v>
      </c>
      <c r="K1304" s="2" t="b">
        <v>1</v>
      </c>
      <c r="L1304" s="2" t="b">
        <v>0</v>
      </c>
      <c r="M1304" s="2" t="b">
        <v>0</v>
      </c>
      <c r="N1304" s="2" t="s">
        <v>33</v>
      </c>
      <c r="O1304" s="2">
        <v>75.0</v>
      </c>
      <c r="P1304" s="2">
        <v>0.0</v>
      </c>
      <c r="Q1304" s="2">
        <v>34.0</v>
      </c>
      <c r="R1304" s="2">
        <v>0.0</v>
      </c>
      <c r="S1304" s="3" t="s">
        <v>5337</v>
      </c>
      <c r="T1304" s="2" t="s">
        <v>5338</v>
      </c>
      <c r="Y1304" s="4" t="str">
        <f>IFERROR(__xludf.DUMMYFUNCTION("""COMPUTED_VALUE"""),"6.6246452")</f>
        <v>6.6246452</v>
      </c>
      <c r="Z1304" s="4" t="str">
        <f>IFERROR(__xludf.DUMMYFUNCTION("""COMPUTED_VALUE"""),"4.2128337")</f>
        <v>4.2128337</v>
      </c>
      <c r="AA1304" s="4" t="str">
        <f t="shared" si="1"/>
        <v>Not Neighbor</v>
      </c>
      <c r="AC1304" s="4">
        <f>IFERROR(__xludf.DUMMYFUNCTION("IFERROR(ABS(O1304-AVERAGE(FILTER(O1304:O5372,AA1304:AA5372=""Neighbor""))) / STDEV(FILTER(O1304:O5372, AA1304:AA5372 =""Neighbor"")), """")"),0.28611814811764347)</f>
        <v>0.2861181481</v>
      </c>
      <c r="AD1304" s="4">
        <f>IFERROR(__xludf.DUMMYFUNCTION("IFERROR(ABS(P1304-AVERAGE(FILTER(O1304:P5372,AA1304:AA5372=""Neighbor""))) / STDEV(FILTER(P1304:P5372, AA1304:AA5372 =""Neighbor"")), """")"),1.853697603700809)</f>
        <v>1.853697604</v>
      </c>
      <c r="AE1304" s="2">
        <f>IFERROR(__xludf.DUMMYFUNCTION("IFERROR(ABS(Q1304-AVERAGE(FILTER(Q1304:Q5372,AA1304:AA5372=""Neighbor""))) / STDEV(FILTER(Q1304:Q5372, AA1304:AA5372 =""Neighbor"")), """")"),0.3544495644091886)</f>
        <v>0.3544495644</v>
      </c>
      <c r="AF1304" s="2">
        <f>IFERROR(__xludf.DUMMYFUNCTION("IFERROR(ABS(R1304-AVERAGE(FILTER(R1304:R5372,AA1304:AA5372=""Neighbor""))) / STDEV(FILTER(R1304:R5372, AA1304:AA5372 =""Neighbor"")), """")"),0.3440263726077398)</f>
        <v>0.3440263726</v>
      </c>
    </row>
    <row r="1305">
      <c r="A1305" s="2" t="s">
        <v>28</v>
      </c>
      <c r="B1305" s="2" t="s">
        <v>4981</v>
      </c>
      <c r="C1305" s="2" t="s">
        <v>5318</v>
      </c>
      <c r="D1305" s="2" t="s">
        <v>5339</v>
      </c>
      <c r="E1305" s="2" t="s">
        <v>5340</v>
      </c>
      <c r="F1305" s="2">
        <v>108.0</v>
      </c>
      <c r="G1305" s="2">
        <v>424.0</v>
      </c>
      <c r="H1305" s="2" t="b">
        <v>1</v>
      </c>
      <c r="I1305" s="2">
        <v>-1.0</v>
      </c>
      <c r="J1305" s="2" t="b">
        <v>0</v>
      </c>
      <c r="K1305" s="2" t="b">
        <v>0</v>
      </c>
      <c r="L1305" s="2" t="b">
        <v>0</v>
      </c>
      <c r="M1305" s="2" t="b">
        <v>0</v>
      </c>
      <c r="N1305" s="2" t="s">
        <v>33</v>
      </c>
      <c r="O1305" s="2">
        <v>57.0</v>
      </c>
      <c r="P1305" s="2">
        <v>7.0</v>
      </c>
      <c r="Q1305" s="2">
        <v>38.0</v>
      </c>
      <c r="R1305" s="2">
        <v>0.0</v>
      </c>
      <c r="S1305" s="3" t="s">
        <v>5341</v>
      </c>
      <c r="T1305" s="2" t="s">
        <v>5342</v>
      </c>
      <c r="Y1305" s="4" t="str">
        <f>IFERROR(__xludf.DUMMYFUNCTION("""COMPUTED_VALUE"""),"6.6233523")</f>
        <v>6.6233523</v>
      </c>
      <c r="Z1305" s="4" t="str">
        <f>IFERROR(__xludf.DUMMYFUNCTION("""COMPUTED_VALUE"""),"4.1883382")</f>
        <v>4.1883382</v>
      </c>
      <c r="AA1305" s="4" t="str">
        <f t="shared" si="1"/>
        <v>Not Neighbor</v>
      </c>
      <c r="AC1305" s="4">
        <f>IFERROR(__xludf.DUMMYFUNCTION("IFERROR(ABS(O1305-AVERAGE(FILTER(O1305:O5373,AA1305:AA5373=""Neighbor""))) / STDEV(FILTER(O1305:O5373, AA1305:AA5373 =""Neighbor"")), """")"),0.14400716027612878)</f>
        <v>0.1440071603</v>
      </c>
      <c r="AD1305" s="4">
        <f>IFERROR(__xludf.DUMMYFUNCTION("IFERROR(ABS(P1305-AVERAGE(FILTER(O1305:P5373,AA1305:AA5373=""Neighbor""))) / STDEV(FILTER(P1305:P5373, AA1305:AA5373 =""Neighbor"")), """")"),1.5230838849760366)</f>
        <v>1.523083885</v>
      </c>
      <c r="AE1305" s="2">
        <f>IFERROR(__xludf.DUMMYFUNCTION("IFERROR(ABS(Q1305-AVERAGE(FILTER(Q1305:Q5373,AA1305:AA5373=""Neighbor""))) / STDEV(FILTER(Q1305:Q5373, AA1305:AA5373 =""Neighbor"")), """")"),0.5161525186667086)</f>
        <v>0.5161525187</v>
      </c>
      <c r="AF1305" s="2">
        <f>IFERROR(__xludf.DUMMYFUNCTION("IFERROR(ABS(R1305-AVERAGE(FILTER(R1305:R5373,AA1305:AA5373=""Neighbor""))) / STDEV(FILTER(R1305:R5373, AA1305:AA5373 =""Neighbor"")), """")"),0.3440263726077398)</f>
        <v>0.3440263726</v>
      </c>
    </row>
    <row r="1306">
      <c r="A1306" s="2" t="s">
        <v>28</v>
      </c>
      <c r="B1306" s="2" t="s">
        <v>4981</v>
      </c>
      <c r="C1306" s="2" t="s">
        <v>5318</v>
      </c>
      <c r="D1306" s="2" t="s">
        <v>5343</v>
      </c>
      <c r="E1306" s="2" t="s">
        <v>5344</v>
      </c>
      <c r="F1306" s="2">
        <v>51.0</v>
      </c>
      <c r="G1306" s="2">
        <v>256.0</v>
      </c>
      <c r="H1306" s="2" t="b">
        <v>1</v>
      </c>
      <c r="I1306" s="2">
        <v>-1.0</v>
      </c>
      <c r="J1306" s="2" t="b">
        <v>0</v>
      </c>
      <c r="K1306" s="2" t="b">
        <v>0</v>
      </c>
      <c r="L1306" s="2" t="b">
        <v>0</v>
      </c>
      <c r="M1306" s="2" t="b">
        <v>0</v>
      </c>
      <c r="N1306" s="2" t="s">
        <v>33</v>
      </c>
      <c r="O1306" s="2">
        <v>33.0</v>
      </c>
      <c r="P1306" s="2">
        <v>0.0</v>
      </c>
      <c r="Q1306" s="2">
        <v>18.0</v>
      </c>
      <c r="R1306" s="2">
        <v>0.0</v>
      </c>
      <c r="S1306" s="3" t="s">
        <v>5345</v>
      </c>
      <c r="T1306" s="2" t="s">
        <v>5346</v>
      </c>
      <c r="Y1306" s="4" t="str">
        <f>IFERROR(__xludf.DUMMYFUNCTION("""COMPUTED_VALUE"""),"6.6246452")</f>
        <v>6.6246452</v>
      </c>
      <c r="Z1306" s="4" t="str">
        <f>IFERROR(__xludf.DUMMYFUNCTION("""COMPUTED_VALUE"""),"4.2128337")</f>
        <v>4.2128337</v>
      </c>
      <c r="AA1306" s="4" t="str">
        <f t="shared" si="1"/>
        <v>Neighbor</v>
      </c>
      <c r="AC1306" s="4">
        <f>IFERROR(__xludf.DUMMYFUNCTION("IFERROR(ABS(O1306-AVERAGE(FILTER(O1306:O5374,AA1306:AA5374=""Neighbor""))) / STDEV(FILTER(O1306:O5374, AA1306:AA5374 =""Neighbor"")), """")"),0.7175075714678252)</f>
        <v>0.7175075715</v>
      </c>
      <c r="AD1306" s="4">
        <f>IFERROR(__xludf.DUMMYFUNCTION("IFERROR(ABS(P1306-AVERAGE(FILTER(O1306:P5374,AA1306:AA5374=""Neighbor""))) / STDEV(FILTER(P1306:P5374, AA1306:AA5374 =""Neighbor"")), """")"),1.853697603700809)</f>
        <v>1.853697604</v>
      </c>
      <c r="AE1306" s="2">
        <f>IFERROR(__xludf.DUMMYFUNCTION("IFERROR(ABS(Q1306-AVERAGE(FILTER(Q1306:Q5374,AA1306:AA5374=""Neighbor""))) / STDEV(FILTER(Q1306:Q5374, AA1306:AA5374 =""Neighbor"")), """")"),0.2923622526208917)</f>
        <v>0.2923622526</v>
      </c>
      <c r="AF1306" s="2">
        <f>IFERROR(__xludf.DUMMYFUNCTION("IFERROR(ABS(R1306-AVERAGE(FILTER(R1306:R5374,AA1306:AA5374=""Neighbor""))) / STDEV(FILTER(R1306:R5374, AA1306:AA5374 =""Neighbor"")), """")"),0.3440263726077398)</f>
        <v>0.3440263726</v>
      </c>
    </row>
    <row r="1307">
      <c r="A1307" s="2" t="s">
        <v>28</v>
      </c>
      <c r="B1307" s="2" t="s">
        <v>4981</v>
      </c>
      <c r="C1307" s="2" t="s">
        <v>5318</v>
      </c>
      <c r="D1307" s="2" t="s">
        <v>5347</v>
      </c>
      <c r="E1307" s="2" t="s">
        <v>5348</v>
      </c>
      <c r="F1307" s="2">
        <v>59.0</v>
      </c>
      <c r="G1307" s="2">
        <v>213.0</v>
      </c>
      <c r="H1307" s="2" t="b">
        <v>1</v>
      </c>
      <c r="I1307" s="2">
        <v>-1.0</v>
      </c>
      <c r="J1307" s="2" t="b">
        <v>0</v>
      </c>
      <c r="K1307" s="2" t="b">
        <v>0</v>
      </c>
      <c r="L1307" s="2" t="b">
        <v>0</v>
      </c>
      <c r="M1307" s="2" t="b">
        <v>0</v>
      </c>
      <c r="N1307" s="2" t="s">
        <v>33</v>
      </c>
      <c r="O1307" s="2">
        <v>32.0</v>
      </c>
      <c r="P1307" s="2">
        <v>0.0</v>
      </c>
      <c r="Q1307" s="2">
        <v>25.0</v>
      </c>
      <c r="R1307" s="2">
        <v>0.0</v>
      </c>
      <c r="S1307" s="3" t="s">
        <v>5349</v>
      </c>
      <c r="T1307" s="2" t="s">
        <v>5350</v>
      </c>
      <c r="Y1307" s="4" t="str">
        <f>IFERROR(__xludf.DUMMYFUNCTION("""COMPUTED_VALUE"""),"6.6246452")</f>
        <v>6.6246452</v>
      </c>
      <c r="Z1307" s="4" t="str">
        <f>IFERROR(__xludf.DUMMYFUNCTION("""COMPUTED_VALUE"""),"4.2128337")</f>
        <v>4.2128337</v>
      </c>
      <c r="AA1307" s="4" t="str">
        <f t="shared" si="1"/>
        <v>Not Neighbor</v>
      </c>
      <c r="AC1307" s="4">
        <f>IFERROR(__xludf.DUMMYFUNCTION("IFERROR(ABS(O1307-AVERAGE(FILTER(O1307:O5375,AA1307:AA5375=""Neighbor""))) / STDEV(FILTER(O1307:O5375, AA1307:AA5375 =""Neighbor"")), """")"),0.7418624877851571)</f>
        <v>0.7418624878</v>
      </c>
      <c r="AD1307" s="4">
        <f>IFERROR(__xludf.DUMMYFUNCTION("IFERROR(ABS(P1307-AVERAGE(FILTER(O1307:P5375,AA1307:AA5375=""Neighbor""))) / STDEV(FILTER(P1307:P5375, AA1307:AA5375 =""Neighbor"")), """")"),1.854246087198014)</f>
        <v>1.854246087</v>
      </c>
      <c r="AE1307" s="2">
        <f>IFERROR(__xludf.DUMMYFUNCTION("IFERROR(ABS(Q1307-AVERAGE(FILTER(Q1307:Q5375,AA1307:AA5375=""Neighbor""))) / STDEV(FILTER(Q1307:Q5375, AA1307:AA5375 =""Neighbor"")), """")"),0.00962798974682063)</f>
        <v>0.009627989747</v>
      </c>
      <c r="AF1307" s="2">
        <f>IFERROR(__xludf.DUMMYFUNCTION("IFERROR(ABS(R1307-AVERAGE(FILTER(R1307:R5375,AA1307:AA5375=""Neighbor""))) / STDEV(FILTER(R1307:R5375, AA1307:AA5375 =""Neighbor"")), """")"),0.34419051916463705)</f>
        <v>0.3441905192</v>
      </c>
    </row>
    <row r="1308">
      <c r="A1308" s="2" t="s">
        <v>28</v>
      </c>
      <c r="B1308" s="2" t="s">
        <v>4981</v>
      </c>
      <c r="C1308" s="2" t="s">
        <v>5351</v>
      </c>
      <c r="D1308" s="2" t="s">
        <v>5352</v>
      </c>
      <c r="E1308" s="2" t="s">
        <v>5353</v>
      </c>
      <c r="F1308" s="2">
        <v>259.0</v>
      </c>
      <c r="G1308" s="2">
        <v>1262.0</v>
      </c>
      <c r="H1308" s="2" t="b">
        <v>1</v>
      </c>
      <c r="I1308" s="2">
        <v>-1.0</v>
      </c>
      <c r="J1308" s="2" t="b">
        <v>0</v>
      </c>
      <c r="K1308" s="2" t="b">
        <v>0</v>
      </c>
      <c r="L1308" s="2" t="b">
        <v>0</v>
      </c>
      <c r="M1308" s="2" t="b">
        <v>0</v>
      </c>
      <c r="N1308" s="2" t="s">
        <v>33</v>
      </c>
      <c r="O1308" s="2">
        <v>116.0</v>
      </c>
      <c r="P1308" s="2">
        <v>56.0</v>
      </c>
      <c r="Q1308" s="2">
        <v>63.0</v>
      </c>
      <c r="R1308" s="2">
        <v>2.0</v>
      </c>
      <c r="S1308" s="3" t="s">
        <v>5354</v>
      </c>
      <c r="T1308" s="2" t="s">
        <v>5355</v>
      </c>
      <c r="Y1308" s="4" t="str">
        <f>IFERROR(__xludf.DUMMYFUNCTION("""COMPUTED_VALUE"""),"6.7102997")</f>
        <v>6.7102997</v>
      </c>
      <c r="Z1308" s="4" t="str">
        <f>IFERROR(__xludf.DUMMYFUNCTION("""COMPUTED_VALUE"""),"4.3217427")</f>
        <v>4.3217427</v>
      </c>
      <c r="AA1308" s="4" t="str">
        <f t="shared" si="1"/>
        <v>Not Neighbor</v>
      </c>
      <c r="AC1308" s="4">
        <f>IFERROR(__xludf.DUMMYFUNCTION("IFERROR(ABS(O1308-AVERAGE(FILTER(O1308:O5376,AA1308:AA5376=""Neighbor""))) / STDEV(FILTER(O1308:O5376, AA1308:AA5376 =""Neighbor"")), """")"),1.264973267907577)</f>
        <v>1.264973268</v>
      </c>
      <c r="AD1308" s="4">
        <f>IFERROR(__xludf.DUMMYFUNCTION("IFERROR(ABS(P1308-AVERAGE(FILTER(O1308:P5376,AA1308:AA5376=""Neighbor""))) / STDEV(FILTER(P1308:P5376, AA1308:AA5376 =""Neighbor"")), """")"),0.7901373979504562)</f>
        <v>0.790137398</v>
      </c>
      <c r="AE1308" s="2">
        <f>IFERROR(__xludf.DUMMYFUNCTION("IFERROR(ABS(Q1308-AVERAGE(FILTER(Q1308:Q5376,AA1308:AA5376=""Neighbor""))) / STDEV(FILTER(Q1308:Q5376, AA1308:AA5376 =""Neighbor"")), """")"),1.5259501025615216)</f>
        <v>1.525950103</v>
      </c>
      <c r="AF1308" s="2">
        <f>IFERROR(__xludf.DUMMYFUNCTION("IFERROR(ABS(R1308-AVERAGE(FILTER(R1308:R5376,AA1308:AA5376=""Neighbor""))) / STDEV(FILTER(R1308:R5376, AA1308:AA5376 =""Neighbor"")), """")"),2.0838040467497603)</f>
        <v>2.083804047</v>
      </c>
    </row>
    <row r="1309">
      <c r="A1309" s="2" t="s">
        <v>28</v>
      </c>
      <c r="B1309" s="2" t="s">
        <v>4981</v>
      </c>
      <c r="C1309" s="2" t="s">
        <v>5351</v>
      </c>
      <c r="D1309" s="2" t="s">
        <v>5356</v>
      </c>
      <c r="E1309" s="2" t="s">
        <v>5357</v>
      </c>
      <c r="F1309" s="2">
        <v>192.0</v>
      </c>
      <c r="G1309" s="2">
        <v>1074.0</v>
      </c>
      <c r="H1309" s="2" t="b">
        <v>1</v>
      </c>
      <c r="I1309" s="2">
        <v>-1.0</v>
      </c>
      <c r="J1309" s="2" t="b">
        <v>0</v>
      </c>
      <c r="K1309" s="2" t="b">
        <v>1</v>
      </c>
      <c r="L1309" s="2" t="b">
        <v>0</v>
      </c>
      <c r="M1309" s="2" t="b">
        <v>0</v>
      </c>
      <c r="N1309" s="2" t="s">
        <v>33</v>
      </c>
      <c r="O1309" s="2">
        <v>58.0</v>
      </c>
      <c r="P1309" s="2">
        <v>59.0</v>
      </c>
      <c r="Q1309" s="2">
        <v>57.0</v>
      </c>
      <c r="R1309" s="2">
        <v>0.0</v>
      </c>
      <c r="S1309" s="3" t="s">
        <v>5358</v>
      </c>
      <c r="T1309" s="2" t="s">
        <v>5359</v>
      </c>
      <c r="Y1309" s="4" t="str">
        <f>IFERROR(__xludf.DUMMYFUNCTION("""COMPUTED_VALUE"""),"6.7383561")</f>
        <v>6.7383561</v>
      </c>
      <c r="Z1309" s="4" t="str">
        <f>IFERROR(__xludf.DUMMYFUNCTION("""COMPUTED_VALUE"""),"4.4008497")</f>
        <v>4.4008497</v>
      </c>
      <c r="AA1309" s="4" t="str">
        <f t="shared" si="1"/>
        <v>Neighbor</v>
      </c>
      <c r="AC1309" s="4">
        <f>IFERROR(__xludf.DUMMYFUNCTION("IFERROR(ABS(O1309-AVERAGE(FILTER(O1309:O5377,AA1309:AA5377=""Neighbor""))) / STDEV(FILTER(O1309:O5377, AA1309:AA5377 =""Neighbor"")), """")"),0.12069903959454895)</f>
        <v>0.1206990396</v>
      </c>
      <c r="AD1309" s="4">
        <f>IFERROR(__xludf.DUMMYFUNCTION("IFERROR(ABS(P1309-AVERAGE(FILTER(O1309:P5377,AA1309:AA5377=""Neighbor""))) / STDEV(FILTER(P1309:P5377, AA1309:AA5377 =""Neighbor"")), """")"),0.9318007989405529)</f>
        <v>0.9318007989</v>
      </c>
      <c r="AE1309" s="2">
        <f>IFERROR(__xludf.DUMMYFUNCTION("IFERROR(ABS(Q1309-AVERAGE(FILTER(Q1309:Q5377,AA1309:AA5377=""Neighbor""))) / STDEV(FILTER(Q1309:Q5377, AA1309:AA5377 =""Neighbor"")), """")"),1.283490403775994)</f>
        <v>1.283490404</v>
      </c>
      <c r="AF1309" s="2">
        <f>IFERROR(__xludf.DUMMYFUNCTION("IFERROR(ABS(R1309-AVERAGE(FILTER(R1309:R5377,AA1309:AA5377=""Neighbor""))) / STDEV(FILTER(R1309:R5377, AA1309:AA5377 =""Neighbor"")), """")"),0.34419051916463705)</f>
        <v>0.3441905192</v>
      </c>
    </row>
    <row r="1310">
      <c r="A1310" s="2" t="s">
        <v>28</v>
      </c>
      <c r="B1310" s="2" t="s">
        <v>4981</v>
      </c>
      <c r="C1310" s="2" t="s">
        <v>5351</v>
      </c>
      <c r="D1310" s="2" t="s">
        <v>5360</v>
      </c>
      <c r="E1310" s="2" t="s">
        <v>5361</v>
      </c>
      <c r="F1310" s="2">
        <v>186.0</v>
      </c>
      <c r="G1310" s="2">
        <v>684.0</v>
      </c>
      <c r="H1310" s="2" t="b">
        <v>1</v>
      </c>
      <c r="I1310" s="2">
        <v>-1.0</v>
      </c>
      <c r="J1310" s="2" t="b">
        <v>1</v>
      </c>
      <c r="K1310" s="2" t="b">
        <v>1</v>
      </c>
      <c r="L1310" s="2" t="b">
        <v>0</v>
      </c>
      <c r="M1310" s="2" t="b">
        <v>0</v>
      </c>
      <c r="N1310" s="2" t="s">
        <v>33</v>
      </c>
      <c r="O1310" s="2">
        <v>139.0</v>
      </c>
      <c r="P1310" s="2">
        <v>1.0</v>
      </c>
      <c r="Q1310" s="2">
        <v>43.0</v>
      </c>
      <c r="R1310" s="2">
        <v>0.0</v>
      </c>
      <c r="S1310" s="3" t="s">
        <v>5362</v>
      </c>
      <c r="T1310" s="2" t="s">
        <v>5363</v>
      </c>
      <c r="Y1310" s="4" t="str">
        <f>IFERROR(__xludf.DUMMYFUNCTION("""COMPUTED_VALUE"""),"6.7383561")</f>
        <v>6.7383561</v>
      </c>
      <c r="Z1310" s="4" t="str">
        <f>IFERROR(__xludf.DUMMYFUNCTION("""COMPUTED_VALUE"""),"4.4008497")</f>
        <v>4.4008497</v>
      </c>
      <c r="AA1310" s="4" t="str">
        <f t="shared" si="1"/>
        <v>Neighbor</v>
      </c>
      <c r="AC1310" s="4">
        <f>IFERROR(__xludf.DUMMYFUNCTION("IFERROR(ABS(O1310-AVERAGE(FILTER(O1310:O5378,AA1310:AA5378=""Neighbor""))) / STDEV(FILTER(O1310:O5378, AA1310:AA5378 =""Neighbor"")), """")"),1.8135966160207377)</f>
        <v>1.813596616</v>
      </c>
      <c r="AD1310" s="4">
        <f>IFERROR(__xludf.DUMMYFUNCTION("IFERROR(ABS(P1310-AVERAGE(FILTER(O1310:P5378,AA1310:AA5378=""Neighbor""))) / STDEV(FILTER(P1310:P5378, AA1310:AA5378 =""Neighbor"")), """")"),1.8087464958960229)</f>
        <v>1.808746496</v>
      </c>
      <c r="AE1310" s="2">
        <f>IFERROR(__xludf.DUMMYFUNCTION("IFERROR(ABS(Q1310-AVERAGE(FILTER(Q1310:Q5378,AA1310:AA5378=""Neighbor""))) / STDEV(FILTER(Q1310:Q5378, AA1310:AA5378 =""Neighbor"")), """")"),0.7190476582543858)</f>
        <v>0.7190476583</v>
      </c>
      <c r="AF1310" s="2">
        <f>IFERROR(__xludf.DUMMYFUNCTION("IFERROR(ABS(R1310-AVERAGE(FILTER(R1310:R5378,AA1310:AA5378=""Neighbor""))) / STDEV(FILTER(R1310:R5378, AA1310:AA5378 =""Neighbor"")), """")"),0.3443549009307961)</f>
        <v>0.3443549009</v>
      </c>
    </row>
    <row r="1311">
      <c r="A1311" s="2" t="s">
        <v>28</v>
      </c>
      <c r="B1311" s="2" t="s">
        <v>4981</v>
      </c>
      <c r="C1311" s="2" t="s">
        <v>5351</v>
      </c>
      <c r="D1311" s="2" t="s">
        <v>5364</v>
      </c>
      <c r="E1311" s="2" t="s">
        <v>5365</v>
      </c>
      <c r="F1311" s="2">
        <v>79.0</v>
      </c>
      <c r="G1311" s="2">
        <v>2326.0</v>
      </c>
      <c r="H1311" s="2" t="b">
        <v>1</v>
      </c>
      <c r="I1311" s="2">
        <v>-1.0</v>
      </c>
      <c r="J1311" s="2" t="b">
        <v>0</v>
      </c>
      <c r="K1311" s="2" t="b">
        <v>0</v>
      </c>
      <c r="L1311" s="2" t="b">
        <v>0</v>
      </c>
      <c r="M1311" s="2" t="b">
        <v>0</v>
      </c>
      <c r="N1311" s="2" t="s">
        <v>33</v>
      </c>
      <c r="O1311" s="2">
        <v>52.0</v>
      </c>
      <c r="P1311" s="2">
        <v>4.0</v>
      </c>
      <c r="Q1311" s="2">
        <v>39.0</v>
      </c>
      <c r="R1311" s="2">
        <v>0.0</v>
      </c>
      <c r="S1311" s="3" t="s">
        <v>5366</v>
      </c>
      <c r="T1311" s="2" t="s">
        <v>5367</v>
      </c>
      <c r="Y1311" s="4" t="str">
        <f>IFERROR(__xludf.DUMMYFUNCTION("""COMPUTED_VALUE"""),"6.7383561")</f>
        <v>6.7383561</v>
      </c>
      <c r="Z1311" s="4" t="str">
        <f>IFERROR(__xludf.DUMMYFUNCTION("""COMPUTED_VALUE"""),"4.4008497")</f>
        <v>4.4008497</v>
      </c>
      <c r="AA1311" s="4" t="str">
        <f t="shared" si="1"/>
        <v>Not Neighbor</v>
      </c>
      <c r="AC1311" s="4">
        <f>IFERROR(__xludf.DUMMYFUNCTION("IFERROR(ABS(O1311-AVERAGE(FILTER(O1311:O5379,AA1311:AA5379=""Neighbor""))) / STDEV(FILTER(O1311:O5379, AA1311:AA5379 =""Neighbor"")), """")"),0.2627428557099923)</f>
        <v>0.2627428557</v>
      </c>
      <c r="AD1311" s="4">
        <f>IFERROR(__xludf.DUMMYFUNCTION("IFERROR(ABS(P1311-AVERAGE(FILTER(O1311:P5379,AA1311:AA5379=""Neighbor""))) / STDEV(FILTER(P1311:P5379, AA1311:AA5379 =""Neighbor"")), """")"),1.6652634514890903)</f>
        <v>1.665263451</v>
      </c>
      <c r="AE1311" s="2">
        <f>IFERROR(__xludf.DUMMYFUNCTION("IFERROR(ABS(Q1311-AVERAGE(FILTER(Q1311:Q5379,AA1311:AA5379=""Neighbor""))) / STDEV(FILTER(Q1311:Q5379, AA1311:AA5379 =""Neighbor"")), """")"),0.5578628632229906)</f>
        <v>0.5578628632</v>
      </c>
      <c r="AF1311" s="2">
        <f>IFERROR(__xludf.DUMMYFUNCTION("IFERROR(ABS(R1311-AVERAGE(FILTER(R1311:R5379,AA1311:AA5379=""Neighbor""))) / STDEV(FILTER(R1311:R5379, AA1311:AA5379 =""Neighbor"")), """")"),0.344519518468535)</f>
        <v>0.3445195185</v>
      </c>
    </row>
    <row r="1312">
      <c r="A1312" s="2" t="s">
        <v>28</v>
      </c>
      <c r="B1312" s="2" t="s">
        <v>4981</v>
      </c>
      <c r="C1312" s="2" t="s">
        <v>5351</v>
      </c>
      <c r="D1312" s="2" t="s">
        <v>5368</v>
      </c>
      <c r="E1312" s="2" t="s">
        <v>5369</v>
      </c>
      <c r="F1312" s="2">
        <v>223.0</v>
      </c>
      <c r="G1312" s="2">
        <v>2818.0</v>
      </c>
      <c r="H1312" s="2" t="b">
        <v>1</v>
      </c>
      <c r="I1312" s="2">
        <v>-1.0</v>
      </c>
      <c r="J1312" s="2" t="b">
        <v>0</v>
      </c>
      <c r="K1312" s="2" t="b">
        <v>0</v>
      </c>
      <c r="L1312" s="2" t="b">
        <v>0</v>
      </c>
      <c r="M1312" s="2" t="b">
        <v>0</v>
      </c>
      <c r="N1312" s="2" t="s">
        <v>33</v>
      </c>
      <c r="O1312" s="2">
        <v>296.0</v>
      </c>
      <c r="P1312" s="2">
        <v>5.0</v>
      </c>
      <c r="Q1312" s="2">
        <v>43.0</v>
      </c>
      <c r="R1312" s="2">
        <v>0.0</v>
      </c>
      <c r="S1312" s="3" t="s">
        <v>5370</v>
      </c>
      <c r="T1312" s="2" t="s">
        <v>5371</v>
      </c>
      <c r="Y1312" s="4" t="str">
        <f>IFERROR(__xludf.DUMMYFUNCTION("""COMPUTED_VALUE"""),"6.779517")</f>
        <v>6.779517</v>
      </c>
      <c r="Z1312" s="4" t="str">
        <f>IFERROR(__xludf.DUMMYFUNCTION("""COMPUTED_VALUE"""),"4.277941")</f>
        <v>4.277941</v>
      </c>
      <c r="AA1312" s="4" t="str">
        <f t="shared" si="1"/>
        <v>Neighbor</v>
      </c>
      <c r="AC1312" s="4">
        <f>IFERROR(__xludf.DUMMYFUNCTION("IFERROR(ABS(O1312-AVERAGE(FILTER(O1312:O5380,AA1312:AA5380=""Neighbor""))) / STDEV(FILTER(O1312:O5380, AA1312:AA5380 =""Neighbor"")), """")"),5.569907248679091)</f>
        <v>5.569907249</v>
      </c>
      <c r="AD1312" s="4">
        <f>IFERROR(__xludf.DUMMYFUNCTION("IFERROR(ABS(P1312-AVERAGE(FILTER(O1312:P5380,AA1312:AA5380=""Neighbor""))) / STDEV(FILTER(P1312:P5380, AA1312:AA5380 =""Neighbor"")), """")"),1.6179878039925024)</f>
        <v>1.617987804</v>
      </c>
      <c r="AE1312" s="2">
        <f>IFERROR(__xludf.DUMMYFUNCTION("IFERROR(ABS(Q1312-AVERAGE(FILTER(Q1312:Q5380,AA1312:AA5380=""Neighbor""))) / STDEV(FILTER(Q1312:Q5380, AA1312:AA5380 =""Neighbor"")), """")"),0.7195141458920558)</f>
        <v>0.7195141459</v>
      </c>
      <c r="AF1312" s="2">
        <f>IFERROR(__xludf.DUMMYFUNCTION("IFERROR(ABS(R1312-AVERAGE(FILTER(R1312:R5380,AA1312:AA5380=""Neighbor""))) / STDEV(FILTER(R1312:R5380, AA1312:AA5380 =""Neighbor"")), """")"),0.344519518468535)</f>
        <v>0.3445195185</v>
      </c>
    </row>
    <row r="1313">
      <c r="A1313" s="2" t="s">
        <v>28</v>
      </c>
      <c r="B1313" s="2" t="s">
        <v>4981</v>
      </c>
      <c r="C1313" s="2" t="s">
        <v>5351</v>
      </c>
      <c r="D1313" s="2" t="s">
        <v>5372</v>
      </c>
      <c r="E1313" s="2" t="s">
        <v>5373</v>
      </c>
      <c r="F1313" s="2">
        <v>84.0</v>
      </c>
      <c r="G1313" s="2">
        <v>498.0</v>
      </c>
      <c r="H1313" s="2" t="b">
        <v>1</v>
      </c>
      <c r="I1313" s="2">
        <v>-1.0</v>
      </c>
      <c r="J1313" s="2" t="b">
        <v>1</v>
      </c>
      <c r="K1313" s="2" t="b">
        <v>0</v>
      </c>
      <c r="L1313" s="2" t="b">
        <v>0</v>
      </c>
      <c r="M1313" s="2" t="b">
        <v>0</v>
      </c>
      <c r="N1313" s="2" t="s">
        <v>33</v>
      </c>
      <c r="O1313" s="2">
        <v>26.0</v>
      </c>
      <c r="P1313" s="2">
        <v>49.0</v>
      </c>
      <c r="Q1313" s="2">
        <v>5.0</v>
      </c>
      <c r="R1313" s="2">
        <v>0.0</v>
      </c>
      <c r="S1313" s="3" t="s">
        <v>5374</v>
      </c>
      <c r="T1313" s="2" t="s">
        <v>5375</v>
      </c>
      <c r="Y1313" s="4" t="str">
        <f>IFERROR(__xludf.DUMMYFUNCTION("""COMPUTED_VALUE"""),"6.779517")</f>
        <v>6.779517</v>
      </c>
      <c r="Z1313" s="4" t="str">
        <f>IFERROR(__xludf.DUMMYFUNCTION("""COMPUTED_VALUE"""),"4.277941")</f>
        <v>4.277941</v>
      </c>
      <c r="AA1313" s="4" t="str">
        <f t="shared" si="1"/>
        <v>Not Neighbor</v>
      </c>
      <c r="AC1313" s="4">
        <f>IFERROR(__xludf.DUMMYFUNCTION("IFERROR(ABS(O1313-AVERAGE(FILTER(O1313:O5381,AA1313:AA5381=""Neighbor""))) / STDEV(FILTER(O1313:O5381, AA1313:AA5381 =""Neighbor"")), """")"),0.891032931559431)</f>
        <v>0.8910329316</v>
      </c>
      <c r="AD1313" s="4">
        <f>IFERROR(__xludf.DUMMYFUNCTION("IFERROR(ABS(P1313-AVERAGE(FILTER(O1313:P5381,AA1313:AA5381=""Neighbor""))) / STDEV(FILTER(P1313:P5381, AA1313:AA5381 =""Neighbor"")), """")"),0.4664936905912253)</f>
        <v>0.4664936906</v>
      </c>
      <c r="AE1313" s="2">
        <f>IFERROR(__xludf.DUMMYFUNCTION("IFERROR(ABS(Q1313-AVERAGE(FILTER(Q1313:Q5381,AA1313:AA5381=""Neighbor""))) / STDEV(FILTER(Q1313:Q5381, AA1313:AA5381 =""Neighbor"")), """")"),0.8153886968067983)</f>
        <v>0.8153886968</v>
      </c>
      <c r="AF1313" s="2">
        <f>IFERROR(__xludf.DUMMYFUNCTION("IFERROR(ABS(R1313-AVERAGE(FILTER(R1313:R5381,AA1313:AA5381=""Neighbor""))) / STDEV(FILTER(R1313:R5381, AA1313:AA5381 =""Neighbor"")), """")"),0.34468437234205573)</f>
        <v>0.3446843723</v>
      </c>
    </row>
    <row r="1314">
      <c r="A1314" s="2" t="s">
        <v>28</v>
      </c>
      <c r="B1314" s="2" t="s">
        <v>4981</v>
      </c>
      <c r="C1314" s="2" t="s">
        <v>5351</v>
      </c>
      <c r="D1314" s="2" t="s">
        <v>5376</v>
      </c>
      <c r="E1314" s="2" t="s">
        <v>5377</v>
      </c>
      <c r="F1314" s="2">
        <v>160.0</v>
      </c>
      <c r="G1314" s="2">
        <v>1212.0</v>
      </c>
      <c r="H1314" s="2" t="b">
        <v>1</v>
      </c>
      <c r="I1314" s="2">
        <v>-1.0</v>
      </c>
      <c r="J1314" s="2" t="b">
        <v>0</v>
      </c>
      <c r="K1314" s="2" t="b">
        <v>1</v>
      </c>
      <c r="L1314" s="2" t="b">
        <v>0</v>
      </c>
      <c r="M1314" s="2" t="b">
        <v>0</v>
      </c>
      <c r="N1314" s="2" t="s">
        <v>33</v>
      </c>
      <c r="O1314" s="2">
        <v>103.0</v>
      </c>
      <c r="P1314" s="2">
        <v>0.0</v>
      </c>
      <c r="Q1314" s="2">
        <v>18.0</v>
      </c>
      <c r="R1314" s="2">
        <v>1.0</v>
      </c>
      <c r="S1314" s="3" t="s">
        <v>5378</v>
      </c>
      <c r="T1314" s="2" t="s">
        <v>5379</v>
      </c>
      <c r="Y1314" s="4" t="str">
        <f>IFERROR(__xludf.DUMMYFUNCTION("""COMPUTED_VALUE"""),"6.7383561")</f>
        <v>6.7383561</v>
      </c>
      <c r="Z1314" s="4" t="str">
        <f>IFERROR(__xludf.DUMMYFUNCTION("""COMPUTED_VALUE"""),"4.4008497")</f>
        <v>4.4008497</v>
      </c>
      <c r="AA1314" s="4" t="str">
        <f t="shared" si="1"/>
        <v>Neighbor</v>
      </c>
      <c r="AC1314" s="4">
        <f>IFERROR(__xludf.DUMMYFUNCTION("IFERROR(ABS(O1314-AVERAGE(FILTER(O1314:O5382,AA1314:AA5382=""Neighbor""))) / STDEV(FILTER(O1314:O5382, AA1314:AA5382 =""Neighbor"")), """")"),0.9737644466252194)</f>
        <v>0.9737644466</v>
      </c>
      <c r="AD1314" s="4">
        <f>IFERROR(__xludf.DUMMYFUNCTION("IFERROR(ABS(P1314-AVERAGE(FILTER(O1314:P5382,AA1314:AA5382=""Neighbor""))) / STDEV(FILTER(P1314:P5382, AA1314:AA5382 =""Neighbor"")), """")"),1.8492636951245358)</f>
        <v>1.849263695</v>
      </c>
      <c r="AE1314" s="2">
        <f>IFERROR(__xludf.DUMMYFUNCTION("IFERROR(ABS(Q1314-AVERAGE(FILTER(Q1314:Q5382,AA1314:AA5382=""Neighbor""))) / STDEV(FILTER(Q1314:Q5382, AA1314:AA5382 =""Neighbor"")), """")"),0.29013045692243083)</f>
        <v>0.2901304569</v>
      </c>
      <c r="AF1314" s="2">
        <f>IFERROR(__xludf.DUMMYFUNCTION("IFERROR(ABS(R1314-AVERAGE(FILTER(R1314:R5382,AA1314:AA5382=""Neighbor""))) / STDEV(FILTER(R1314:R5382, AA1314:AA5382 =""Neighbor"")), """")"),0.8679401664998752)</f>
        <v>0.8679401665</v>
      </c>
    </row>
    <row r="1315">
      <c r="A1315" s="2" t="s">
        <v>28</v>
      </c>
      <c r="B1315" s="2" t="s">
        <v>4981</v>
      </c>
      <c r="C1315" s="2" t="s">
        <v>5351</v>
      </c>
      <c r="D1315" s="2" t="s">
        <v>5380</v>
      </c>
      <c r="E1315" s="2" t="s">
        <v>5381</v>
      </c>
      <c r="F1315" s="2">
        <v>115.0</v>
      </c>
      <c r="G1315" s="2">
        <v>299.0</v>
      </c>
      <c r="H1315" s="2" t="b">
        <v>1</v>
      </c>
      <c r="I1315" s="2">
        <v>-1.0</v>
      </c>
      <c r="J1315" s="2" t="b">
        <v>0</v>
      </c>
      <c r="K1315" s="2" t="b">
        <v>0</v>
      </c>
      <c r="L1315" s="2" t="b">
        <v>0</v>
      </c>
      <c r="M1315" s="2" t="b">
        <v>0</v>
      </c>
      <c r="N1315" s="2" t="s">
        <v>33</v>
      </c>
      <c r="O1315" s="2">
        <v>50.0</v>
      </c>
      <c r="P1315" s="2">
        <v>11.0</v>
      </c>
      <c r="Q1315" s="2">
        <v>44.0</v>
      </c>
      <c r="R1315" s="2">
        <v>0.0</v>
      </c>
      <c r="S1315" s="3" t="s">
        <v>5382</v>
      </c>
      <c r="T1315" s="2" t="s">
        <v>5383</v>
      </c>
      <c r="Y1315" s="4" t="str">
        <f>IFERROR(__xludf.DUMMYFUNCTION("""COMPUTED_VALUE"""),"6.7383561")</f>
        <v>6.7383561</v>
      </c>
      <c r="Z1315" s="4" t="str">
        <f>IFERROR(__xludf.DUMMYFUNCTION("""COMPUTED_VALUE"""),"4.4008497")</f>
        <v>4.4008497</v>
      </c>
      <c r="AA1315" s="4" t="str">
        <f t="shared" si="1"/>
        <v>Not Neighbor</v>
      </c>
      <c r="AC1315" s="4">
        <f>IFERROR(__xludf.DUMMYFUNCTION("IFERROR(ABS(O1315-AVERAGE(FILTER(O1315:O5383,AA1315:AA5383=""Neighbor""))) / STDEV(FILTER(O1315:O5383, AA1315:AA5383 =""Neighbor"")), """")"),0.3089562155276247)</f>
        <v>0.3089562155</v>
      </c>
      <c r="AD1315" s="4">
        <f>IFERROR(__xludf.DUMMYFUNCTION("IFERROR(ABS(P1315-AVERAGE(FILTER(O1315:P5383,AA1315:AA5383=""Neighbor""))) / STDEV(FILTER(P1315:P5383, AA1315:AA5383 =""Neighbor"")), """")"),1.3286337700902422)</f>
        <v>1.32863377</v>
      </c>
      <c r="AE1315" s="2">
        <f>IFERROR(__xludf.DUMMYFUNCTION("IFERROR(ABS(Q1315-AVERAGE(FILTER(Q1315:Q5383,AA1315:AA5383=""Neighbor""))) / STDEV(FILTER(Q1315:Q5383, AA1315:AA5383 =""Neighbor"")), """")"),0.7598390882711961)</f>
        <v>0.7598390883</v>
      </c>
      <c r="AF1315" s="2">
        <f>IFERROR(__xludf.DUMMYFUNCTION("IFERROR(ABS(R1315-AVERAGE(FILTER(R1315:R5383,AA1315:AA5383=""Neighbor""))) / STDEV(FILTER(R1315:R5383, AA1315:AA5383 =""Neighbor"")), """")"),0.3439043548971135)</f>
        <v>0.3439043549</v>
      </c>
    </row>
    <row r="1316">
      <c r="A1316" s="2" t="s">
        <v>28</v>
      </c>
      <c r="B1316" s="2" t="s">
        <v>5384</v>
      </c>
      <c r="C1316" s="2" t="s">
        <v>5385</v>
      </c>
      <c r="D1316" s="2" t="s">
        <v>5386</v>
      </c>
      <c r="E1316" s="2" t="s">
        <v>5387</v>
      </c>
      <c r="F1316" s="2">
        <v>211.0</v>
      </c>
      <c r="G1316" s="2">
        <v>787.0</v>
      </c>
      <c r="H1316" s="2" t="b">
        <v>1</v>
      </c>
      <c r="I1316" s="2">
        <v>-1.0</v>
      </c>
      <c r="J1316" s="2" t="b">
        <v>0</v>
      </c>
      <c r="K1316" s="2" t="b">
        <v>0</v>
      </c>
      <c r="L1316" s="2" t="b">
        <v>0</v>
      </c>
      <c r="M1316" s="2" t="b">
        <v>0</v>
      </c>
      <c r="N1316" s="2" t="s">
        <v>33</v>
      </c>
      <c r="O1316" s="2">
        <v>156.0</v>
      </c>
      <c r="P1316" s="2">
        <v>5.0</v>
      </c>
      <c r="Q1316" s="2">
        <v>22.0</v>
      </c>
      <c r="R1316" s="2">
        <v>0.0</v>
      </c>
      <c r="S1316" s="3" t="s">
        <v>5388</v>
      </c>
      <c r="T1316" s="2" t="s">
        <v>5389</v>
      </c>
      <c r="Y1316" s="4" t="str">
        <f>IFERROR(__xludf.DUMMYFUNCTION("""COMPUTED_VALUE"""),"6.9951883")</f>
        <v>6.9951883</v>
      </c>
      <c r="Z1316" s="4" t="str">
        <f>IFERROR(__xludf.DUMMYFUNCTION("""COMPUTED_VALUE"""),"4.013361")</f>
        <v>4.013361</v>
      </c>
      <c r="AA1316" s="4" t="str">
        <f t="shared" si="1"/>
        <v>Neighbor</v>
      </c>
      <c r="AC1316" s="4">
        <f>IFERROR(__xludf.DUMMYFUNCTION("IFERROR(ABS(O1316-AVERAGE(FILTER(O1316:O5384,AA1316:AA5384=""Neighbor""))) / STDEV(FILTER(O1316:O5384, AA1316:AA5384 =""Neighbor"")), """")"),2.2581113404367916)</f>
        <v>2.25811134</v>
      </c>
      <c r="AD1316" s="4">
        <f>IFERROR(__xludf.DUMMYFUNCTION("IFERROR(ABS(P1316-AVERAGE(FILTER(O1316:P5384,AA1316:AA5384=""Neighbor""))) / STDEV(FILTER(P1316:P5384, AA1316:AA5384 =""Neighbor"")), """")"),1.612139344094779)</f>
        <v>1.612139344</v>
      </c>
      <c r="AE1316" s="2">
        <f>IFERROR(__xludf.DUMMYFUNCTION("IFERROR(ABS(Q1316-AVERAGE(FILTER(Q1316:Q5384,AA1316:AA5384=""Neighbor""))) / STDEV(FILTER(Q1316:Q5384, AA1316:AA5384 =""Neighbor"")), """")"),0.12871061577228782)</f>
        <v>0.1287106158</v>
      </c>
      <c r="AF1316" s="2">
        <f>IFERROR(__xludf.DUMMYFUNCTION("IFERROR(ABS(R1316-AVERAGE(FILTER(R1316:R5384,AA1316:AA5384=""Neighbor""))) / STDEV(FILTER(R1316:R5384, AA1316:AA5384 =""Neighbor"")), """")"),0.3439043548971135)</f>
        <v>0.3439043549</v>
      </c>
    </row>
    <row r="1317">
      <c r="A1317" s="2" t="s">
        <v>28</v>
      </c>
      <c r="B1317" s="2" t="s">
        <v>5384</v>
      </c>
      <c r="C1317" s="2" t="s">
        <v>5385</v>
      </c>
      <c r="D1317" s="2" t="s">
        <v>5390</v>
      </c>
      <c r="E1317" s="2" t="s">
        <v>5391</v>
      </c>
      <c r="F1317" s="2">
        <v>177.0</v>
      </c>
      <c r="G1317" s="2">
        <v>691.0</v>
      </c>
      <c r="H1317" s="2" t="b">
        <v>1</v>
      </c>
      <c r="I1317" s="2">
        <v>-1.0</v>
      </c>
      <c r="J1317" s="2" t="b">
        <v>0</v>
      </c>
      <c r="K1317" s="2" t="b">
        <v>0</v>
      </c>
      <c r="L1317" s="2" t="b">
        <v>0</v>
      </c>
      <c r="M1317" s="2" t="b">
        <v>0</v>
      </c>
      <c r="N1317" s="2" t="s">
        <v>33</v>
      </c>
      <c r="O1317" s="2">
        <v>111.0</v>
      </c>
      <c r="P1317" s="2">
        <v>12.0</v>
      </c>
      <c r="Q1317" s="2">
        <v>38.0</v>
      </c>
      <c r="R1317" s="2">
        <v>0.0</v>
      </c>
      <c r="S1317" s="3" t="s">
        <v>5392</v>
      </c>
      <c r="T1317" s="2" t="s">
        <v>5393</v>
      </c>
      <c r="Y1317" s="4" t="str">
        <f>IFERROR(__xludf.DUMMYFUNCTION("""COMPUTED_VALUE"""),"6.9875649")</f>
        <v>6.9875649</v>
      </c>
      <c r="Z1317" s="4" t="str">
        <f>IFERROR(__xludf.DUMMYFUNCTION("""COMPUTED_VALUE"""),"4.0055529")</f>
        <v>4.0055529</v>
      </c>
      <c r="AA1317" s="4" t="str">
        <f t="shared" si="1"/>
        <v>Neighbor</v>
      </c>
      <c r="AC1317" s="4">
        <f>IFERROR(__xludf.DUMMYFUNCTION("IFERROR(ABS(O1317-AVERAGE(FILTER(O1317:O5385,AA1317:AA5385=""Neighbor""))) / STDEV(FILTER(O1317:O5385, AA1317:AA5385 =""Neighbor"")), """")"),1.1723215762121453)</f>
        <v>1.172321576</v>
      </c>
      <c r="AD1317" s="4">
        <f>IFERROR(__xludf.DUMMYFUNCTION("IFERROR(ABS(P1317-AVERAGE(FILTER(O1317:P5385,AA1317:AA5385=""Neighbor""))) / STDEV(FILTER(P1317:P5385, AA1317:AA5385 =""Neighbor"")), """")"),1.2792916679069701)</f>
        <v>1.279291668</v>
      </c>
      <c r="AE1317" s="2">
        <f>IFERROR(__xludf.DUMMYFUNCTION("IFERROR(ABS(Q1317-AVERAGE(FILTER(Q1317:Q5385,AA1317:AA5385=""Neighbor""))) / STDEV(FILTER(Q1317:Q5385, AA1317:AA5385 =""Neighbor"")), """")"),0.5171787255913255)</f>
        <v>0.5171787256</v>
      </c>
      <c r="AF1317" s="2">
        <f>IFERROR(__xludf.DUMMYFUNCTION("IFERROR(ABS(R1317-AVERAGE(FILTER(R1317:R5385,AA1317:AA5385=""Neighbor""))) / STDEV(FILTER(R1317:R5385, AA1317:AA5385 =""Neighbor"")), """")"),0.34406913390267513)</f>
        <v>0.3440691339</v>
      </c>
    </row>
    <row r="1318">
      <c r="A1318" s="2" t="s">
        <v>28</v>
      </c>
      <c r="B1318" s="2" t="s">
        <v>5384</v>
      </c>
      <c r="C1318" s="2" t="s">
        <v>5385</v>
      </c>
      <c r="D1318" s="2" t="s">
        <v>5394</v>
      </c>
      <c r="E1318" s="2" t="s">
        <v>5395</v>
      </c>
      <c r="F1318" s="2">
        <v>127.0</v>
      </c>
      <c r="G1318" s="2">
        <v>509.0</v>
      </c>
      <c r="H1318" s="2" t="b">
        <v>1</v>
      </c>
      <c r="I1318" s="2">
        <v>-1.0</v>
      </c>
      <c r="J1318" s="2" t="b">
        <v>0</v>
      </c>
      <c r="K1318" s="2" t="b">
        <v>0</v>
      </c>
      <c r="L1318" s="2" t="b">
        <v>0</v>
      </c>
      <c r="M1318" s="2" t="b">
        <v>0</v>
      </c>
      <c r="N1318" s="2" t="s">
        <v>33</v>
      </c>
      <c r="O1318" s="2">
        <v>76.0</v>
      </c>
      <c r="P1318" s="2">
        <v>7.0</v>
      </c>
      <c r="Q1318" s="2">
        <v>28.0</v>
      </c>
      <c r="R1318" s="2">
        <v>0.0</v>
      </c>
      <c r="S1318" s="3" t="s">
        <v>5396</v>
      </c>
      <c r="T1318" s="2" t="s">
        <v>5397</v>
      </c>
      <c r="Y1318" s="4" t="str">
        <f>IFERROR(__xludf.DUMMYFUNCTION("""COMPUTED_VALUE"""),"6.9875649")</f>
        <v>6.9875649</v>
      </c>
      <c r="Z1318" s="4" t="str">
        <f>IFERROR(__xludf.DUMMYFUNCTION("""COMPUTED_VALUE"""),"4.0055529")</f>
        <v>4.0055529</v>
      </c>
      <c r="AA1318" s="4" t="str">
        <f t="shared" si="1"/>
        <v>Neighbor</v>
      </c>
      <c r="AC1318" s="4">
        <f>IFERROR(__xludf.DUMMYFUNCTION("IFERROR(ABS(O1318-AVERAGE(FILTER(O1318:O5386,AA1318:AA5386=""Neighbor""))) / STDEV(FILTER(O1318:O5386, AA1318:AA5386 =""Neighbor"")), """")"),0.32426680428144056)</f>
        <v>0.3242668043</v>
      </c>
      <c r="AD1318" s="4">
        <f>IFERROR(__xludf.DUMMYFUNCTION("IFERROR(ABS(P1318-AVERAGE(FILTER(O1318:P5386,AA1318:AA5386=""Neighbor""))) / STDEV(FILTER(P1318:P5386, AA1318:AA5386 =""Neighbor"")), """")"),1.513928430362403)</f>
        <v>1.51392843</v>
      </c>
      <c r="AE1318" s="2">
        <f>IFERROR(__xludf.DUMMYFUNCTION("IFERROR(ABS(Q1318-AVERAGE(FILTER(Q1318:Q5386,AA1318:AA5386=""Neighbor""))) / STDEV(FILTER(Q1318:Q5386, AA1318:AA5386 =""Neighbor"")), """")"),0.1138709728185788)</f>
        <v>0.1138709728</v>
      </c>
      <c r="AF1318" s="2">
        <f>IFERROR(__xludf.DUMMYFUNCTION("IFERROR(ABS(R1318-AVERAGE(FILTER(R1318:R5386,AA1318:AA5386=""Neighbor""))) / STDEV(FILTER(R1318:R5386, AA1318:AA5386 =""Neighbor"")), """")"),0.34423415001863505)</f>
        <v>0.34423415</v>
      </c>
    </row>
    <row r="1319">
      <c r="A1319" s="2" t="s">
        <v>28</v>
      </c>
      <c r="B1319" s="2" t="s">
        <v>5384</v>
      </c>
      <c r="C1319" s="2" t="s">
        <v>5385</v>
      </c>
      <c r="D1319" s="2" t="s">
        <v>5398</v>
      </c>
      <c r="E1319" s="2" t="s">
        <v>5399</v>
      </c>
      <c r="F1319" s="2">
        <v>255.0</v>
      </c>
      <c r="G1319" s="2">
        <v>908.0</v>
      </c>
      <c r="H1319" s="2" t="b">
        <v>1</v>
      </c>
      <c r="I1319" s="2">
        <v>-1.0</v>
      </c>
      <c r="J1319" s="2" t="b">
        <v>0</v>
      </c>
      <c r="K1319" s="2" t="b">
        <v>0</v>
      </c>
      <c r="L1319" s="2" t="b">
        <v>0</v>
      </c>
      <c r="M1319" s="2" t="b">
        <v>0</v>
      </c>
      <c r="N1319" s="2" t="s">
        <v>33</v>
      </c>
      <c r="O1319" s="2">
        <v>191.0</v>
      </c>
      <c r="P1319" s="2">
        <v>14.0</v>
      </c>
      <c r="Q1319" s="2">
        <v>30.0</v>
      </c>
      <c r="R1319" s="2">
        <v>0.0</v>
      </c>
      <c r="S1319" s="3" t="s">
        <v>5400</v>
      </c>
      <c r="T1319" s="2" t="s">
        <v>5401</v>
      </c>
      <c r="Y1319" s="4" t="str">
        <f>IFERROR(__xludf.DUMMYFUNCTION("""COMPUTED_VALUE"""),"6.9951883")</f>
        <v>6.9951883</v>
      </c>
      <c r="Z1319" s="4" t="str">
        <f>IFERROR(__xludf.DUMMYFUNCTION("""COMPUTED_VALUE"""),"4.013361")</f>
        <v>4.013361</v>
      </c>
      <c r="AA1319" s="4" t="str">
        <f t="shared" si="1"/>
        <v>Neighbor</v>
      </c>
      <c r="AC1319" s="4">
        <f>IFERROR(__xludf.DUMMYFUNCTION("IFERROR(ABS(O1319-AVERAGE(FILTER(O1319:O5387,AA1319:AA5387=""Neighbor""))) / STDEV(FILTER(O1319:O5387, AA1319:AA5387 =""Neighbor"")), """")"),3.1137418856714705)</f>
        <v>3.113741886</v>
      </c>
      <c r="AD1319" s="4">
        <f>IFERROR(__xludf.DUMMYFUNCTION("IFERROR(ABS(P1319-AVERAGE(FILTER(O1319:P5387,AA1319:AA5387=""Neighbor""))) / STDEV(FILTER(P1319:P5387, AA1319:AA5387 =""Neighbor"")), """")"),1.1828916128852416)</f>
        <v>1.182891613</v>
      </c>
      <c r="AE1319" s="2">
        <f>IFERROR(__xludf.DUMMYFUNCTION("IFERROR(ABS(Q1319-AVERAGE(FILTER(Q1319:Q5387,AA1319:AA5387=""Neighbor""))) / STDEV(FILTER(Q1319:Q5387, AA1319:AA5387 =""Neighbor"")), """")"),0.19460402597781085)</f>
        <v>0.194604026</v>
      </c>
      <c r="AF1319" s="2">
        <f>IFERROR(__xludf.DUMMYFUNCTION("IFERROR(ABS(R1319-AVERAGE(FILTER(R1319:R5387,AA1319:AA5387=""Neighbor""))) / STDEV(FILTER(R1319:R5387, AA1319:AA5387 =""Neighbor"")), """")"),0.34439940381424694)</f>
        <v>0.3443994038</v>
      </c>
    </row>
    <row r="1320">
      <c r="A1320" s="2" t="s">
        <v>28</v>
      </c>
      <c r="B1320" s="2" t="s">
        <v>5384</v>
      </c>
      <c r="C1320" s="2" t="s">
        <v>5385</v>
      </c>
      <c r="D1320" s="2" t="s">
        <v>5402</v>
      </c>
      <c r="E1320" s="2" t="s">
        <v>5403</v>
      </c>
      <c r="F1320" s="2">
        <v>79.0</v>
      </c>
      <c r="G1320" s="2">
        <v>258.0</v>
      </c>
      <c r="H1320" s="2" t="b">
        <v>1</v>
      </c>
      <c r="I1320" s="2">
        <v>-1.0</v>
      </c>
      <c r="J1320" s="2" t="b">
        <v>0</v>
      </c>
      <c r="K1320" s="2" t="b">
        <v>0</v>
      </c>
      <c r="L1320" s="2" t="b">
        <v>0</v>
      </c>
      <c r="M1320" s="2" t="b">
        <v>0</v>
      </c>
      <c r="N1320" s="2" t="s">
        <v>33</v>
      </c>
      <c r="O1320" s="2">
        <v>55.0</v>
      </c>
      <c r="P1320" s="2">
        <v>7.0</v>
      </c>
      <c r="Q1320" s="2">
        <v>10.0</v>
      </c>
      <c r="R1320" s="2">
        <v>0.0</v>
      </c>
      <c r="S1320" s="3" t="s">
        <v>5404</v>
      </c>
      <c r="T1320" s="2" t="s">
        <v>5405</v>
      </c>
      <c r="Y1320" s="4" t="str">
        <f>IFERROR(__xludf.DUMMYFUNCTION("""COMPUTED_VALUE"""),"6.9951883")</f>
        <v>6.9951883</v>
      </c>
      <c r="Z1320" s="4" t="str">
        <f>IFERROR(__xludf.DUMMYFUNCTION("""COMPUTED_VALUE"""),"4.013361")</f>
        <v>4.013361</v>
      </c>
      <c r="AA1320" s="4" t="str">
        <f t="shared" si="1"/>
        <v>Neighbor</v>
      </c>
      <c r="AC1320" s="4">
        <f>IFERROR(__xludf.DUMMYFUNCTION("IFERROR(ABS(O1320-AVERAGE(FILTER(O1320:O5388,AA1320:AA5388=""Neighbor""))) / STDEV(FILTER(O1320:O5388, AA1320:AA5388 =""Neighbor"")), """")"),0.18294280892137907)</f>
        <v>0.1829428089</v>
      </c>
      <c r="AD1320" s="4">
        <f>IFERROR(__xludf.DUMMYFUNCTION("IFERROR(ABS(P1320-AVERAGE(FILTER(O1320:P5388,AA1320:AA5388=""Neighbor""))) / STDEV(FILTER(P1320:P5388, AA1320:AA5388 =""Neighbor"")), """")"),1.5100628678866659)</f>
        <v>1.510062868</v>
      </c>
      <c r="AE1320" s="2">
        <f>IFERROR(__xludf.DUMMYFUNCTION("IFERROR(ABS(Q1320-AVERAGE(FILTER(Q1320:Q5388,AA1320:AA5388=""Neighbor""))) / STDEV(FILTER(Q1320:Q5388, AA1320:AA5388 =""Neighbor"")), """")"),0.6118109875385773)</f>
        <v>0.6118109875</v>
      </c>
      <c r="AF1320" s="2">
        <f>IFERROR(__xludf.DUMMYFUNCTION("IFERROR(ABS(R1320-AVERAGE(FILTER(R1320:R5388,AA1320:AA5388=""Neighbor""))) / STDEV(FILTER(R1320:R5388, AA1320:AA5388 =""Neighbor"")), """")"),0.34456489586067957)</f>
        <v>0.3445648959</v>
      </c>
    </row>
    <row r="1321">
      <c r="A1321" s="2" t="s">
        <v>28</v>
      </c>
      <c r="B1321" s="2" t="s">
        <v>5384</v>
      </c>
      <c r="C1321" s="2" t="s">
        <v>5385</v>
      </c>
      <c r="D1321" s="2" t="s">
        <v>5406</v>
      </c>
      <c r="E1321" s="2" t="s">
        <v>5407</v>
      </c>
      <c r="F1321" s="2">
        <v>132.0</v>
      </c>
      <c r="G1321" s="2">
        <v>469.0</v>
      </c>
      <c r="H1321" s="2" t="b">
        <v>1</v>
      </c>
      <c r="I1321" s="2">
        <v>-1.0</v>
      </c>
      <c r="J1321" s="2" t="b">
        <v>0</v>
      </c>
      <c r="K1321" s="2" t="b">
        <v>0</v>
      </c>
      <c r="L1321" s="2" t="b">
        <v>0</v>
      </c>
      <c r="M1321" s="2" t="b">
        <v>0</v>
      </c>
      <c r="N1321" s="2" t="s">
        <v>33</v>
      </c>
      <c r="O1321" s="2">
        <v>79.0</v>
      </c>
      <c r="P1321" s="2">
        <v>9.0</v>
      </c>
      <c r="Q1321" s="2">
        <v>31.0</v>
      </c>
      <c r="R1321" s="2">
        <v>0.0</v>
      </c>
      <c r="S1321" s="3" t="s">
        <v>5408</v>
      </c>
      <c r="T1321" s="2" t="s">
        <v>5409</v>
      </c>
      <c r="Y1321" s="4" t="str">
        <f>IFERROR(__xludf.DUMMYFUNCTION("""COMPUTED_VALUE"""),"6.9951883")</f>
        <v>6.9951883</v>
      </c>
      <c r="Z1321" s="4" t="str">
        <f>IFERROR(__xludf.DUMMYFUNCTION("""COMPUTED_VALUE"""),"4.013361")</f>
        <v>4.013361</v>
      </c>
      <c r="AA1321" s="4" t="str">
        <f t="shared" si="1"/>
        <v>Neighbor</v>
      </c>
      <c r="AC1321" s="4">
        <f>IFERROR(__xludf.DUMMYFUNCTION("IFERROR(ABS(O1321-AVERAGE(FILTER(O1321:O5389,AA1321:AA5389=""Neighbor""))) / STDEV(FILTER(O1321:O5389, AA1321:AA5389 =""Neighbor"")), """")"),0.4010445280468448)</f>
        <v>0.401044528</v>
      </c>
      <c r="AD1321" s="4">
        <f>IFERROR(__xludf.DUMMYFUNCTION("IFERROR(ABS(P1321-AVERAGE(FILTER(O1321:P5389,AA1321:AA5389=""Neighbor""))) / STDEV(FILTER(P1321:P5389, AA1321:AA5389 =""Neighbor"")), """")"),1.4155192065800632)</f>
        <v>1.415519207</v>
      </c>
      <c r="AE1321" s="2">
        <f>IFERROR(__xludf.DUMMYFUNCTION("IFERROR(ABS(Q1321-AVERAGE(FILTER(Q1321:Q5389,AA1321:AA5389=""Neighbor""))) / STDEV(FILTER(Q1321:Q5389, AA1321:AA5389 =""Neighbor"")), """")"),0.2344262182829133)</f>
        <v>0.2344262183</v>
      </c>
      <c r="AF1321" s="2">
        <f>IFERROR(__xludf.DUMMYFUNCTION("IFERROR(ABS(R1321-AVERAGE(FILTER(R1321:R5389,AA1321:AA5389=""Neighbor""))) / STDEV(FILTER(R1321:R5389, AA1321:AA5389 =""Neighbor"")), """")"),0.3447306267310264)</f>
        <v>0.3447306267</v>
      </c>
    </row>
    <row r="1322">
      <c r="A1322" s="2" t="s">
        <v>28</v>
      </c>
      <c r="B1322" s="2" t="s">
        <v>5384</v>
      </c>
      <c r="C1322" s="2" t="s">
        <v>5385</v>
      </c>
      <c r="D1322" s="2" t="s">
        <v>5410</v>
      </c>
      <c r="E1322" s="2" t="s">
        <v>5411</v>
      </c>
      <c r="F1322" s="2">
        <v>175.0</v>
      </c>
      <c r="G1322" s="2">
        <v>581.0</v>
      </c>
      <c r="H1322" s="2" t="b">
        <v>1</v>
      </c>
      <c r="I1322" s="2">
        <v>-1.0</v>
      </c>
      <c r="J1322" s="2" t="b">
        <v>1</v>
      </c>
      <c r="K1322" s="2" t="b">
        <v>0</v>
      </c>
      <c r="L1322" s="2" t="b">
        <v>0</v>
      </c>
      <c r="M1322" s="2" t="b">
        <v>0</v>
      </c>
      <c r="N1322" s="2" t="s">
        <v>33</v>
      </c>
      <c r="O1322" s="2">
        <v>76.0</v>
      </c>
      <c r="P1322" s="2">
        <v>6.0</v>
      </c>
      <c r="Q1322" s="2">
        <v>29.0</v>
      </c>
      <c r="R1322" s="2">
        <v>0.0</v>
      </c>
      <c r="S1322" s="3" t="s">
        <v>5412</v>
      </c>
      <c r="T1322" s="2" t="s">
        <v>5413</v>
      </c>
      <c r="Y1322" s="4" t="str">
        <f>IFERROR(__xludf.DUMMYFUNCTION("""COMPUTED_VALUE"""),"6.9951883")</f>
        <v>6.9951883</v>
      </c>
      <c r="Z1322" s="4" t="str">
        <f>IFERROR(__xludf.DUMMYFUNCTION("""COMPUTED_VALUE"""),"4.013361")</f>
        <v>4.013361</v>
      </c>
      <c r="AA1322" s="4" t="str">
        <f t="shared" si="1"/>
        <v>Neighbor</v>
      </c>
      <c r="AC1322" s="4">
        <f>IFERROR(__xludf.DUMMYFUNCTION("IFERROR(ABS(O1322-AVERAGE(FILTER(O1322:O5390,AA1322:AA5390=""Neighbor""))) / STDEV(FILTER(O1322:O5390, AA1322:AA5390 =""Neighbor"")), """")"),0.3282626878668504)</f>
        <v>0.3282626879</v>
      </c>
      <c r="AD1322" s="4">
        <f>IFERROR(__xludf.DUMMYFUNCTION("IFERROR(ABS(P1322-AVERAGE(FILTER(O1322:P5390,AA1322:AA5390=""Neighbor""))) / STDEV(FILTER(P1322:P5390, AA1322:AA5390 =""Neighbor"")), """")"),1.5561942129757886)</f>
        <v>1.556194213</v>
      </c>
      <c r="AE1322" s="2">
        <f>IFERROR(__xludf.DUMMYFUNCTION("IFERROR(ABS(Q1322-AVERAGE(FILTER(Q1322:Q5390,AA1322:AA5390=""Neighbor""))) / STDEV(FILTER(Q1322:Q5390, AA1322:AA5390 =""Neighbor"")), """")"),0.15393698196132882)</f>
        <v>0.153936982</v>
      </c>
      <c r="AF1322" s="2">
        <f>IFERROR(__xludf.DUMMYFUNCTION("IFERROR(ABS(R1322-AVERAGE(FILTER(R1322:R5390,AA1322:AA5390=""Neighbor""))) / STDEV(FILTER(R1322:R5390, AA1322:AA5390 =""Neighbor"")), """")"),0.34489659700031183)</f>
        <v>0.344896597</v>
      </c>
    </row>
    <row r="1323">
      <c r="A1323" s="2" t="s">
        <v>28</v>
      </c>
      <c r="B1323" s="2" t="s">
        <v>5384</v>
      </c>
      <c r="C1323" s="2" t="s">
        <v>5385</v>
      </c>
      <c r="D1323" s="2" t="s">
        <v>5414</v>
      </c>
      <c r="E1323" s="2" t="s">
        <v>5415</v>
      </c>
      <c r="F1323" s="2">
        <v>156.0</v>
      </c>
      <c r="G1323" s="2">
        <v>567.0</v>
      </c>
      <c r="H1323" s="2" t="b">
        <v>1</v>
      </c>
      <c r="I1323" s="2">
        <v>-1.0</v>
      </c>
      <c r="J1323" s="2" t="b">
        <v>0</v>
      </c>
      <c r="K1323" s="2" t="b">
        <v>0</v>
      </c>
      <c r="L1323" s="2" t="b">
        <v>0</v>
      </c>
      <c r="M1323" s="2" t="b">
        <v>0</v>
      </c>
      <c r="N1323" s="2" t="s">
        <v>33</v>
      </c>
      <c r="O1323" s="2">
        <v>110.0</v>
      </c>
      <c r="P1323" s="2">
        <v>2.0</v>
      </c>
      <c r="Q1323" s="2">
        <v>34.0</v>
      </c>
      <c r="R1323" s="2">
        <v>0.0</v>
      </c>
      <c r="S1323" s="3" t="s">
        <v>5416</v>
      </c>
      <c r="T1323" s="2" t="s">
        <v>5417</v>
      </c>
      <c r="Y1323" s="4" t="str">
        <f>IFERROR(__xludf.DUMMYFUNCTION("""COMPUTED_VALUE"""),"6.9951883")</f>
        <v>6.9951883</v>
      </c>
      <c r="Z1323" s="4" t="str">
        <f>IFERROR(__xludf.DUMMYFUNCTION("""COMPUTED_VALUE"""),"4.013361")</f>
        <v>4.013361</v>
      </c>
      <c r="AA1323" s="4" t="str">
        <f t="shared" si="1"/>
        <v>Neighbor</v>
      </c>
      <c r="AC1323" s="4">
        <f>IFERROR(__xludf.DUMMYFUNCTION("IFERROR(ABS(O1323-AVERAGE(FILTER(O1323:O5391,AA1323:AA5391=""Neighbor""))) / STDEV(FILTER(O1323:O5391, AA1323:AA5391 =""Neighbor"")), """")"),1.1552325859990167)</f>
        <v>1.155232586</v>
      </c>
      <c r="AD1323" s="4">
        <f>IFERROR(__xludf.DUMMYFUNCTION("IFERROR(ABS(P1323-AVERAGE(FILTER(O1323:P5391,AA1323:AA5391=""Neighbor""))) / STDEV(FILTER(P1323:P5391, AA1323:AA5391 =""Neighbor"")), """")"),1.7440855003728435)</f>
        <v>1.7440855</v>
      </c>
      <c r="AE1323" s="2">
        <f>IFERROR(__xludf.DUMMYFUNCTION("IFERROR(ABS(Q1323-AVERAGE(FILTER(Q1323:Q5391,AA1323:AA5391=""Neighbor""))) / STDEV(FILTER(Q1323:Q5391, AA1323:AA5391 =""Neighbor"")), """")"),0.3554091333390938)</f>
        <v>0.3554091333</v>
      </c>
      <c r="AF1323" s="2">
        <f>IFERROR(__xludf.DUMMYFUNCTION("IFERROR(ABS(R1323-AVERAGE(FILTER(R1323:R5391,AA1323:AA5391=""Neighbor""))) / STDEV(FILTER(R1323:R5391, AA1323:AA5391 =""Neighbor"")), """")"),0.34506280724550115)</f>
        <v>0.3450628072</v>
      </c>
    </row>
    <row r="1324">
      <c r="A1324" s="2" t="s">
        <v>28</v>
      </c>
      <c r="B1324" s="2" t="s">
        <v>5384</v>
      </c>
      <c r="C1324" s="2" t="s">
        <v>5385</v>
      </c>
      <c r="D1324" s="2" t="s">
        <v>5418</v>
      </c>
      <c r="E1324" s="2" t="s">
        <v>5419</v>
      </c>
      <c r="F1324" s="2">
        <v>172.0</v>
      </c>
      <c r="G1324" s="2">
        <v>733.0</v>
      </c>
      <c r="H1324" s="2" t="b">
        <v>1</v>
      </c>
      <c r="I1324" s="2">
        <v>-1.0</v>
      </c>
      <c r="J1324" s="2" t="b">
        <v>0</v>
      </c>
      <c r="K1324" s="2" t="b">
        <v>0</v>
      </c>
      <c r="L1324" s="2" t="b">
        <v>0</v>
      </c>
      <c r="M1324" s="2" t="b">
        <v>0</v>
      </c>
      <c r="N1324" s="2" t="s">
        <v>33</v>
      </c>
      <c r="O1324" s="2">
        <v>117.0</v>
      </c>
      <c r="P1324" s="2">
        <v>12.0</v>
      </c>
      <c r="Q1324" s="2">
        <v>34.0</v>
      </c>
      <c r="R1324" s="2">
        <v>0.0</v>
      </c>
      <c r="S1324" s="3" t="s">
        <v>5420</v>
      </c>
      <c r="T1324" s="2" t="s">
        <v>5421</v>
      </c>
      <c r="Y1324" s="4" t="str">
        <f>IFERROR(__xludf.DUMMYFUNCTION("""COMPUTED_VALUE"""),"6.9951883")</f>
        <v>6.9951883</v>
      </c>
      <c r="Z1324" s="4" t="str">
        <f>IFERROR(__xludf.DUMMYFUNCTION("""COMPUTED_VALUE"""),"4.013361")</f>
        <v>4.013361</v>
      </c>
      <c r="AA1324" s="4" t="str">
        <f t="shared" si="1"/>
        <v>Neighbor</v>
      </c>
      <c r="AC1324" s="4">
        <f>IFERROR(__xludf.DUMMYFUNCTION("IFERROR(ABS(O1324-AVERAGE(FILTER(O1324:O5392,AA1324:AA5392=""Neighbor""))) / STDEV(FILTER(O1324:O5392, AA1324:AA5392 =""Neighbor"")), """")"),1.3266479181952147)</f>
        <v>1.326647918</v>
      </c>
      <c r="AD1324" s="4">
        <f>IFERROR(__xludf.DUMMYFUNCTION("IFERROR(ABS(P1324-AVERAGE(FILTER(O1324:P5392,AA1324:AA5392=""Neighbor""))) / STDEV(FILTER(P1324:P5392, AA1324:AA5392 =""Neighbor"")), """")"),1.2717985171096418)</f>
        <v>1.271798517</v>
      </c>
      <c r="AE1324" s="2">
        <f>IFERROR(__xludf.DUMMYFUNCTION("IFERROR(ABS(Q1324-AVERAGE(FILTER(Q1324:Q5392,AA1324:AA5392=""Neighbor""))) / STDEV(FILTER(Q1324:Q5392, AA1324:AA5392 =""Neighbor"")), """")"),0.35558168779641913)</f>
        <v>0.3555816878</v>
      </c>
      <c r="AF1324" s="2">
        <f>IFERROR(__xludf.DUMMYFUNCTION("IFERROR(ABS(R1324-AVERAGE(FILTER(R1324:R5392,AA1324:AA5392=""Neighbor""))) / STDEV(FILTER(R1324:R5392, AA1324:AA5392 =""Neighbor"")), """")"),0.3452292580455081)</f>
        <v>0.345229258</v>
      </c>
    </row>
    <row r="1325">
      <c r="A1325" s="2" t="s">
        <v>28</v>
      </c>
      <c r="B1325" s="2" t="s">
        <v>5384</v>
      </c>
      <c r="C1325" s="2" t="s">
        <v>5385</v>
      </c>
      <c r="D1325" s="2" t="s">
        <v>5422</v>
      </c>
      <c r="E1325" s="2" t="s">
        <v>5423</v>
      </c>
      <c r="F1325" s="2">
        <v>238.0</v>
      </c>
      <c r="G1325" s="2">
        <v>874.0</v>
      </c>
      <c r="H1325" s="2" t="b">
        <v>1</v>
      </c>
      <c r="I1325" s="2">
        <v>-1.0</v>
      </c>
      <c r="J1325" s="2" t="b">
        <v>0</v>
      </c>
      <c r="K1325" s="2" t="b">
        <v>0</v>
      </c>
      <c r="L1325" s="2" t="b">
        <v>0</v>
      </c>
      <c r="M1325" s="2" t="b">
        <v>0</v>
      </c>
      <c r="N1325" s="2" t="s">
        <v>33</v>
      </c>
      <c r="O1325" s="2">
        <v>161.0</v>
      </c>
      <c r="P1325" s="2">
        <v>6.0</v>
      </c>
      <c r="Q1325" s="2">
        <v>60.0</v>
      </c>
      <c r="R1325" s="2">
        <v>0.0</v>
      </c>
      <c r="S1325" s="3" t="s">
        <v>5424</v>
      </c>
      <c r="T1325" s="2" t="s">
        <v>5425</v>
      </c>
      <c r="Y1325" s="4" t="str">
        <f>IFERROR(__xludf.DUMMYFUNCTION("""COMPUTED_VALUE"""),"6.9951883")</f>
        <v>6.9951883</v>
      </c>
      <c r="Z1325" s="4" t="str">
        <f>IFERROR(__xludf.DUMMYFUNCTION("""COMPUTED_VALUE"""),"4.013361")</f>
        <v>4.013361</v>
      </c>
      <c r="AA1325" s="4" t="str">
        <f t="shared" si="1"/>
        <v>Neighbor</v>
      </c>
      <c r="AC1325" s="4">
        <f>IFERROR(__xludf.DUMMYFUNCTION("IFERROR(ABS(O1325-AVERAGE(FILTER(O1325:O5393,AA1325:AA5393=""Neighbor""))) / STDEV(FILTER(O1325:O5393, AA1325:AA5393 =""Neighbor"")), """")"),2.3987318882888125)</f>
        <v>2.398731888</v>
      </c>
      <c r="AD1325" s="4">
        <f>IFERROR(__xludf.DUMMYFUNCTION("IFERROR(ABS(P1325-AVERAGE(FILTER(O1325:P5393,AA1325:AA5393=""Neighbor""))) / STDEV(FILTER(P1325:P5393, AA1325:AA5393 =""Neighbor"")), """")"),1.5527980972949949)</f>
        <v>1.552798097</v>
      </c>
      <c r="AE1325" s="2">
        <f>IFERROR(__xludf.DUMMYFUNCTION("IFERROR(ABS(Q1325-AVERAGE(FILTER(Q1325:Q5393,AA1325:AA5393=""Neighbor""))) / STDEV(FILTER(Q1325:Q5393, AA1325:AA5393 =""Neighbor"")), """")"),1.402267078229773)</f>
        <v>1.402267078</v>
      </c>
      <c r="AF1325" s="2">
        <f>IFERROR(__xludf.DUMMYFUNCTION("IFERROR(ABS(R1325-AVERAGE(FILTER(R1325:R5393,AA1325:AA5393=""Neighbor""))) / STDEV(FILTER(R1325:R5393, AA1325:AA5393 =""Neighbor"")), """")"),0.34539594998120365)</f>
        <v>0.34539595</v>
      </c>
    </row>
    <row r="1326">
      <c r="A1326" s="2" t="s">
        <v>28</v>
      </c>
      <c r="B1326" s="2" t="s">
        <v>5384</v>
      </c>
      <c r="C1326" s="2" t="s">
        <v>5385</v>
      </c>
      <c r="D1326" s="2" t="s">
        <v>5426</v>
      </c>
      <c r="E1326" s="2" t="s">
        <v>5427</v>
      </c>
      <c r="F1326" s="2">
        <v>188.0</v>
      </c>
      <c r="G1326" s="2">
        <v>628.0</v>
      </c>
      <c r="H1326" s="2" t="b">
        <v>1</v>
      </c>
      <c r="I1326" s="2">
        <v>-1.0</v>
      </c>
      <c r="J1326" s="2" t="b">
        <v>0</v>
      </c>
      <c r="K1326" s="2" t="b">
        <v>1</v>
      </c>
      <c r="L1326" s="2" t="b">
        <v>0</v>
      </c>
      <c r="M1326" s="2" t="b">
        <v>0</v>
      </c>
      <c r="N1326" s="2" t="s">
        <v>33</v>
      </c>
      <c r="O1326" s="2">
        <v>140.0</v>
      </c>
      <c r="P1326" s="2">
        <v>10.0</v>
      </c>
      <c r="Q1326" s="2">
        <v>35.0</v>
      </c>
      <c r="R1326" s="2">
        <v>0.0</v>
      </c>
      <c r="S1326" s="3" t="s">
        <v>5428</v>
      </c>
      <c r="T1326" s="2" t="s">
        <v>5429</v>
      </c>
      <c r="Y1326" s="4" t="str">
        <f>IFERROR(__xludf.DUMMYFUNCTION("""COMPUTED_VALUE"""),"6.9951883")</f>
        <v>6.9951883</v>
      </c>
      <c r="Z1326" s="4" t="str">
        <f>IFERROR(__xludf.DUMMYFUNCTION("""COMPUTED_VALUE"""),"4.013361")</f>
        <v>4.013361</v>
      </c>
      <c r="AA1326" s="4" t="str">
        <f t="shared" si="1"/>
        <v>Not Neighbor</v>
      </c>
      <c r="AC1326" s="4">
        <f>IFERROR(__xludf.DUMMYFUNCTION("IFERROR(ABS(O1326-AVERAGE(FILTER(O1326:O5394,AA1326:AA5394=""Neighbor""))) / STDEV(FILTER(O1326:O5394, AA1326:AA5394 =""Neighbor"")), """")"),1.8937861980629778)</f>
        <v>1.893786198</v>
      </c>
      <c r="AD1326" s="4">
        <f>IFERROR(__xludf.DUMMYFUNCTION("IFERROR(ABS(P1326-AVERAGE(FILTER(O1326:P5394,AA1326:AA5394=""Neighbor""))) / STDEV(FILTER(P1326:P5394, AA1326:AA5394 =""Neighbor"")), """")"),1.3621348158419435)</f>
        <v>1.362134816</v>
      </c>
      <c r="AE1326" s="2">
        <f>IFERROR(__xludf.DUMMYFUNCTION("IFERROR(ABS(Q1326-AVERAGE(FILTER(Q1326:Q5394,AA1326:AA5394=""Neighbor""))) / STDEV(FILTER(Q1326:Q5394, AA1326:AA5394 =""Neighbor"")), """")"),0.3973833856266002)</f>
        <v>0.3973833856</v>
      </c>
      <c r="AF1326" s="2">
        <f>IFERROR(__xludf.DUMMYFUNCTION("IFERROR(ABS(R1326-AVERAGE(FILTER(R1326:R5394,AA1326:AA5394=""Neighbor""))) / STDEV(FILTER(R1326:R5394, AA1326:AA5394 =""Neighbor"")), """")"),0.34556288363542464)</f>
        <v>0.3455628836</v>
      </c>
    </row>
    <row r="1327">
      <c r="A1327" s="2" t="s">
        <v>28</v>
      </c>
      <c r="B1327" s="2" t="s">
        <v>5384</v>
      </c>
      <c r="C1327" s="2" t="s">
        <v>5430</v>
      </c>
      <c r="D1327" s="2" t="s">
        <v>5431</v>
      </c>
      <c r="E1327" s="2" t="s">
        <v>5432</v>
      </c>
      <c r="F1327" s="2">
        <v>159.0</v>
      </c>
      <c r="G1327" s="2">
        <v>558.0</v>
      </c>
      <c r="H1327" s="2" t="b">
        <v>1</v>
      </c>
      <c r="I1327" s="2">
        <v>-1.0</v>
      </c>
      <c r="J1327" s="2" t="b">
        <v>0</v>
      </c>
      <c r="K1327" s="2" t="b">
        <v>1</v>
      </c>
      <c r="L1327" s="2" t="b">
        <v>0</v>
      </c>
      <c r="M1327" s="2" t="b">
        <v>0</v>
      </c>
      <c r="N1327" s="2" t="s">
        <v>33</v>
      </c>
      <c r="O1327" s="2">
        <v>126.0</v>
      </c>
      <c r="P1327" s="2">
        <v>3.0</v>
      </c>
      <c r="Q1327" s="2">
        <v>24.0</v>
      </c>
      <c r="R1327" s="2">
        <v>0.0</v>
      </c>
      <c r="S1327" s="3" t="s">
        <v>5433</v>
      </c>
      <c r="T1327" s="2" t="s">
        <v>5434</v>
      </c>
      <c r="Y1327" s="4" t="str">
        <f>IFERROR(__xludf.DUMMYFUNCTION("""COMPUTED_VALUE"""),"6.9873835")</f>
        <v>6.9873835</v>
      </c>
      <c r="Z1327" s="4" t="str">
        <f>IFERROR(__xludf.DUMMYFUNCTION("""COMPUTED_VALUE"""),"3.9852916")</f>
        <v>3.9852916</v>
      </c>
      <c r="AA1327" s="4" t="str">
        <f t="shared" si="1"/>
        <v>Neighbor</v>
      </c>
      <c r="AC1327" s="4">
        <f>IFERROR(__xludf.DUMMYFUNCTION("IFERROR(ABS(O1327-AVERAGE(FILTER(O1327:O5395,AA1327:AA5395=""Neighbor""))) / STDEV(FILTER(O1327:O5395, AA1327:AA5395 =""Neighbor"")), """")"),1.5524689223633972)</f>
        <v>1.552468922</v>
      </c>
      <c r="AD1327" s="4">
        <f>IFERROR(__xludf.DUMMYFUNCTION("IFERROR(ABS(P1327-AVERAGE(FILTER(O1327:P5395,AA1327:AA5395=""Neighbor""))) / STDEV(FILTER(P1327:P5395, AA1327:AA5395 =""Neighbor"")), """")"),1.6916871712512398)</f>
        <v>1.691687171</v>
      </c>
      <c r="AE1327" s="2">
        <f>IFERROR(__xludf.DUMMYFUNCTION("IFERROR(ABS(Q1327-AVERAGE(FILTER(Q1327:Q5395,AA1327:AA5395=""Neighbor""))) / STDEV(FILTER(Q1327:Q5395, AA1327:AA5395 =""Neighbor"")), """")"),0.04555744016335786)</f>
        <v>0.04555744016</v>
      </c>
      <c r="AF1327" s="2">
        <f>IFERROR(__xludf.DUMMYFUNCTION("IFERROR(ABS(R1327-AVERAGE(FILTER(R1327:R5395,AA1327:AA5395=""Neighbor""))) / STDEV(FILTER(R1327:R5395, AA1327:AA5395 =""Neighbor"")), """")"),0.34556288363542464)</f>
        <v>0.3455628836</v>
      </c>
    </row>
    <row r="1328">
      <c r="A1328" s="2" t="s">
        <v>28</v>
      </c>
      <c r="B1328" s="2" t="s">
        <v>5384</v>
      </c>
      <c r="C1328" s="2" t="s">
        <v>5430</v>
      </c>
      <c r="D1328" s="2" t="s">
        <v>5435</v>
      </c>
      <c r="E1328" s="2" t="s">
        <v>5436</v>
      </c>
      <c r="F1328" s="2">
        <v>157.0</v>
      </c>
      <c r="G1328" s="2">
        <v>661.0</v>
      </c>
      <c r="H1328" s="2" t="b">
        <v>1</v>
      </c>
      <c r="I1328" s="2">
        <v>-1.0</v>
      </c>
      <c r="J1328" s="2" t="b">
        <v>0</v>
      </c>
      <c r="K1328" s="2" t="b">
        <v>0</v>
      </c>
      <c r="L1328" s="2" t="b">
        <v>0</v>
      </c>
      <c r="M1328" s="2" t="b">
        <v>0</v>
      </c>
      <c r="N1328" s="2" t="s">
        <v>33</v>
      </c>
      <c r="O1328" s="2">
        <v>126.0</v>
      </c>
      <c r="P1328" s="2">
        <v>2.0</v>
      </c>
      <c r="Q1328" s="2">
        <v>20.0</v>
      </c>
      <c r="R1328" s="2">
        <v>0.0</v>
      </c>
      <c r="S1328" s="3" t="s">
        <v>5437</v>
      </c>
      <c r="T1328" s="2" t="s">
        <v>5438</v>
      </c>
      <c r="Y1328" s="4" t="str">
        <f>IFERROR(__xludf.DUMMYFUNCTION("""COMPUTED_VALUE"""),"6.9873835")</f>
        <v>6.9873835</v>
      </c>
      <c r="Z1328" s="4" t="str">
        <f>IFERROR(__xludf.DUMMYFUNCTION("""COMPUTED_VALUE"""),"3.9852916")</f>
        <v>3.9852916</v>
      </c>
      <c r="AA1328" s="4" t="str">
        <f t="shared" si="1"/>
        <v>Not Neighbor</v>
      </c>
      <c r="AC1328" s="4">
        <f>IFERROR(__xludf.DUMMYFUNCTION("IFERROR(ABS(O1328-AVERAGE(FILTER(O1328:O5396,AA1328:AA5396=""Neighbor""))) / STDEV(FILTER(O1328:O5396, AA1328:AA5396 =""Neighbor"")), """")"),1.5547627010831158)</f>
        <v>1.554762701</v>
      </c>
      <c r="AD1328" s="4">
        <f>IFERROR(__xludf.DUMMYFUNCTION("IFERROR(ABS(P1328-AVERAGE(FILTER(O1328:P5396,AA1328:AA5396=""Neighbor""))) / STDEV(FILTER(P1328:P5396, AA1328:AA5396 =""Neighbor"")), """")"),1.7372353970348624)</f>
        <v>1.737235397</v>
      </c>
      <c r="AE1328" s="2">
        <f>IFERROR(__xludf.DUMMYFUNCTION("IFERROR(ABS(Q1328-AVERAGE(FILTER(Q1328:Q5396,AA1328:AA5396=""Neighbor""))) / STDEV(FILTER(Q1328:Q5396, AA1328:AA5396 =""Neighbor"")), """")"),0.20657701866223355)</f>
        <v>0.2065770187</v>
      </c>
      <c r="AF1328" s="2">
        <f>IFERROR(__xludf.DUMMYFUNCTION("IFERROR(ABS(R1328-AVERAGE(FILTER(R1328:R5396,AA1328:AA5396=""Neighbor""))) / STDEV(FILTER(R1328:R5396, AA1328:AA5396 =""Neighbor"")), """")"),0.34573005959298225)</f>
        <v>0.3457300596</v>
      </c>
    </row>
    <row r="1329">
      <c r="A1329" s="2" t="s">
        <v>28</v>
      </c>
      <c r="B1329" s="2" t="s">
        <v>5384</v>
      </c>
      <c r="C1329" s="2" t="s">
        <v>5430</v>
      </c>
      <c r="D1329" s="2" t="s">
        <v>5439</v>
      </c>
      <c r="E1329" s="2" t="s">
        <v>5440</v>
      </c>
      <c r="F1329" s="2">
        <v>156.0</v>
      </c>
      <c r="G1329" s="2">
        <v>635.0</v>
      </c>
      <c r="H1329" s="2" t="b">
        <v>1</v>
      </c>
      <c r="I1329" s="2">
        <v>-1.0</v>
      </c>
      <c r="J1329" s="2" t="b">
        <v>0</v>
      </c>
      <c r="K1329" s="2" t="b">
        <v>0</v>
      </c>
      <c r="L1329" s="2" t="b">
        <v>0</v>
      </c>
      <c r="M1329" s="2" t="b">
        <v>0</v>
      </c>
      <c r="N1329" s="2" t="s">
        <v>33</v>
      </c>
      <c r="O1329" s="2">
        <v>92.0</v>
      </c>
      <c r="P1329" s="2">
        <v>5.0</v>
      </c>
      <c r="Q1329" s="2">
        <v>44.0</v>
      </c>
      <c r="R1329" s="2">
        <v>0.0</v>
      </c>
      <c r="S1329" s="3" t="s">
        <v>5441</v>
      </c>
      <c r="T1329" s="2" t="s">
        <v>5442</v>
      </c>
      <c r="Y1329" s="4" t="str">
        <f>IFERROR(__xludf.DUMMYFUNCTION("""COMPUTED_VALUE"""),"6.9510258")</f>
        <v>6.9510258</v>
      </c>
      <c r="Z1329" s="4" t="str">
        <f>IFERROR(__xludf.DUMMYFUNCTION("""COMPUTED_VALUE"""),"3.9485488")</f>
        <v>3.9485488</v>
      </c>
      <c r="AA1329" s="4" t="str">
        <f t="shared" si="1"/>
        <v>Not Neighbor</v>
      </c>
      <c r="AC1329" s="4">
        <f>IFERROR(__xludf.DUMMYFUNCTION("IFERROR(ABS(O1329-AVERAGE(FILTER(O1329:O5397,AA1329:AA5397=""Neighbor""))) / STDEV(FILTER(O1329:O5397, AA1329:AA5397 =""Neighbor"")), """")"),0.7253420864545965)</f>
        <v>0.7253420865</v>
      </c>
      <c r="AD1329" s="4">
        <f>IFERROR(__xludf.DUMMYFUNCTION("IFERROR(ABS(P1329-AVERAGE(FILTER(O1329:P5397,AA1329:AA5397=""Neighbor""))) / STDEV(FILTER(P1329:P5397, AA1329:AA5397 =""Neighbor"")), """")"),1.5960384541274377)</f>
        <v>1.596038454</v>
      </c>
      <c r="AE1329" s="2">
        <f>IFERROR(__xludf.DUMMYFUNCTION("IFERROR(ABS(Q1329-AVERAGE(FILTER(Q1329:Q5397,AA1329:AA5397=""Neighbor""))) / STDEV(FILTER(Q1329:Q5397, AA1329:AA5397 =""Neighbor"")), """")"),0.7594221058557181)</f>
        <v>0.7594221059</v>
      </c>
      <c r="AF1329" s="2">
        <f>IFERROR(__xludf.DUMMYFUNCTION("IFERROR(ABS(R1329-AVERAGE(FILTER(R1329:R5397,AA1329:AA5397=""Neighbor""))) / STDEV(FILTER(R1329:R5397, AA1329:AA5397 =""Neighbor"")), """")"),0.34573005959298225)</f>
        <v>0.3457300596</v>
      </c>
    </row>
    <row r="1330">
      <c r="A1330" s="2" t="s">
        <v>28</v>
      </c>
      <c r="B1330" s="2" t="s">
        <v>5384</v>
      </c>
      <c r="C1330" s="2" t="s">
        <v>5430</v>
      </c>
      <c r="D1330" s="2" t="s">
        <v>5443</v>
      </c>
      <c r="E1330" s="2" t="s">
        <v>5444</v>
      </c>
      <c r="F1330" s="2">
        <v>283.0</v>
      </c>
      <c r="G1330" s="2">
        <v>952.0</v>
      </c>
      <c r="H1330" s="2" t="b">
        <v>1</v>
      </c>
      <c r="I1330" s="2">
        <v>-1.0</v>
      </c>
      <c r="J1330" s="2" t="b">
        <v>0</v>
      </c>
      <c r="K1330" s="2" t="b">
        <v>1</v>
      </c>
      <c r="L1330" s="2" t="b">
        <v>0</v>
      </c>
      <c r="M1330" s="2" t="b">
        <v>0</v>
      </c>
      <c r="N1330" s="2" t="s">
        <v>33</v>
      </c>
      <c r="O1330" s="2">
        <v>184.0</v>
      </c>
      <c r="P1330" s="2">
        <v>16.0</v>
      </c>
      <c r="Q1330" s="2">
        <v>33.0</v>
      </c>
      <c r="R1330" s="2">
        <v>0.0</v>
      </c>
      <c r="S1330" s="3" t="s">
        <v>5445</v>
      </c>
      <c r="T1330" s="2" t="s">
        <v>5446</v>
      </c>
      <c r="Y1330" s="4" t="str">
        <f>IFERROR(__xludf.DUMMYFUNCTION("""COMPUTED_VALUE"""),"6.9873835")</f>
        <v>6.9873835</v>
      </c>
      <c r="Z1330" s="4" t="str">
        <f>IFERROR(__xludf.DUMMYFUNCTION("""COMPUTED_VALUE"""),"3.9852916")</f>
        <v>3.9852916</v>
      </c>
      <c r="AA1330" s="4" t="str">
        <f t="shared" si="1"/>
        <v>Neighbor</v>
      </c>
      <c r="AC1330" s="4">
        <f>IFERROR(__xludf.DUMMYFUNCTION("IFERROR(ABS(O1330-AVERAGE(FILTER(O1330:O5398,AA1330:AA5398=""Neighbor""))) / STDEV(FILTER(O1330:O5398, AA1330:AA5398 =""Neighbor"")), """")"),2.969656690743531)</f>
        <v>2.969656691</v>
      </c>
      <c r="AD1330" s="4">
        <f>IFERROR(__xludf.DUMMYFUNCTION("IFERROR(ABS(P1330-AVERAGE(FILTER(O1330:P5398,AA1330:AA5398=""Neighbor""))) / STDEV(FILTER(P1330:P5398, AA1330:AA5398 =""Neighbor"")), """")"),1.0783163301335474)</f>
        <v>1.07831633</v>
      </c>
      <c r="AE1330" s="2">
        <f>IFERROR(__xludf.DUMMYFUNCTION("IFERROR(ABS(Q1330-AVERAGE(FILTER(Q1330:Q5398,AA1330:AA5398=""Neighbor""))) / STDEV(FILTER(Q1330:Q5398, AA1330:AA5398 =""Neighbor"")), """")"),0.3166725071183236)</f>
        <v>0.3166725071</v>
      </c>
      <c r="AF1330" s="2">
        <f>IFERROR(__xludf.DUMMYFUNCTION("IFERROR(ABS(R1330-AVERAGE(FILTER(R1330:R5398,AA1330:AA5398=""Neighbor""))) / STDEV(FILTER(R1330:R5398, AA1330:AA5398 =""Neighbor"")), """")"),0.34573005959298225)</f>
        <v>0.3457300596</v>
      </c>
    </row>
    <row r="1331">
      <c r="A1331" s="2" t="s">
        <v>28</v>
      </c>
      <c r="B1331" s="2" t="s">
        <v>5384</v>
      </c>
      <c r="C1331" s="2" t="s">
        <v>5430</v>
      </c>
      <c r="D1331" s="2" t="s">
        <v>5447</v>
      </c>
      <c r="E1331" s="2" t="s">
        <v>5448</v>
      </c>
      <c r="F1331" s="2">
        <v>232.0</v>
      </c>
      <c r="G1331" s="2">
        <v>670.0</v>
      </c>
      <c r="H1331" s="2" t="b">
        <v>1</v>
      </c>
      <c r="I1331" s="2">
        <v>-1.0</v>
      </c>
      <c r="J1331" s="2" t="b">
        <v>1</v>
      </c>
      <c r="K1331" s="2" t="b">
        <v>1</v>
      </c>
      <c r="L1331" s="2" t="b">
        <v>0</v>
      </c>
      <c r="M1331" s="2" t="b">
        <v>0</v>
      </c>
      <c r="N1331" s="2" t="s">
        <v>33</v>
      </c>
      <c r="O1331" s="2">
        <v>166.0</v>
      </c>
      <c r="P1331" s="2">
        <v>6.0</v>
      </c>
      <c r="Q1331" s="2">
        <v>47.0</v>
      </c>
      <c r="R1331" s="2">
        <v>0.0</v>
      </c>
      <c r="S1331" s="3" t="s">
        <v>5449</v>
      </c>
      <c r="T1331" s="2" t="s">
        <v>5450</v>
      </c>
      <c r="Y1331" s="4" t="str">
        <f>IFERROR(__xludf.DUMMYFUNCTION("""COMPUTED_VALUE"""),"6.9873835")</f>
        <v>6.9873835</v>
      </c>
      <c r="Z1331" s="4" t="str">
        <f>IFERROR(__xludf.DUMMYFUNCTION("""COMPUTED_VALUE"""),"3.9852916")</f>
        <v>3.9852916</v>
      </c>
      <c r="AA1331" s="4" t="str">
        <f t="shared" si="1"/>
        <v>Neighbor</v>
      </c>
      <c r="AC1331" s="4">
        <f>IFERROR(__xludf.DUMMYFUNCTION("IFERROR(ABS(O1331-AVERAGE(FILTER(O1331:O5399,AA1331:AA5399=""Neighbor""))) / STDEV(FILTER(O1331:O5399, AA1331:AA5399 =""Neighbor"")), """")"),2.541756626373771)</f>
        <v>2.541756626</v>
      </c>
      <c r="AD1331" s="4">
        <f>IFERROR(__xludf.DUMMYFUNCTION("IFERROR(ABS(P1331-AVERAGE(FILTER(O1331:P5399,AA1331:AA5399=""Neighbor""))) / STDEV(FILTER(P1331:P5399, AA1331:AA5399 =""Neighbor"")), """")"),1.5458141325022767)</f>
        <v>1.545814133</v>
      </c>
      <c r="AE1331" s="2">
        <f>IFERROR(__xludf.DUMMYFUNCTION("IFERROR(ABS(Q1331-AVERAGE(FILTER(Q1331:Q5399,AA1331:AA5399=""Neighbor""))) / STDEV(FILTER(Q1331:Q5399, AA1331:AA5399 =""Neighbor"")), """")"),0.8801031845448121)</f>
        <v>0.8801031845</v>
      </c>
      <c r="AF1331" s="2">
        <f>IFERROR(__xludf.DUMMYFUNCTION("IFERROR(ABS(R1331-AVERAGE(FILTER(R1331:R5399,AA1331:AA5399=""Neighbor""))) / STDEV(FILTER(R1331:R5399, AA1331:AA5399 =""Neighbor"")), """")"),0.34589747844067065)</f>
        <v>0.3458974784</v>
      </c>
    </row>
    <row r="1332">
      <c r="A1332" s="2" t="s">
        <v>28</v>
      </c>
      <c r="B1332" s="2" t="s">
        <v>5384</v>
      </c>
      <c r="C1332" s="2" t="s">
        <v>5430</v>
      </c>
      <c r="D1332" s="2" t="s">
        <v>5451</v>
      </c>
      <c r="E1332" s="2" t="s">
        <v>5452</v>
      </c>
      <c r="F1332" s="2">
        <v>186.0</v>
      </c>
      <c r="G1332" s="2">
        <v>843.0</v>
      </c>
      <c r="H1332" s="2" t="b">
        <v>1</v>
      </c>
      <c r="I1332" s="2">
        <v>-1.0</v>
      </c>
      <c r="J1332" s="2" t="b">
        <v>0</v>
      </c>
      <c r="K1332" s="2" t="b">
        <v>0</v>
      </c>
      <c r="L1332" s="2" t="b">
        <v>0</v>
      </c>
      <c r="M1332" s="2" t="b">
        <v>0</v>
      </c>
      <c r="N1332" s="2" t="s">
        <v>33</v>
      </c>
      <c r="O1332" s="2">
        <v>127.0</v>
      </c>
      <c r="P1332" s="2">
        <v>20.0</v>
      </c>
      <c r="Q1332" s="2">
        <v>23.0</v>
      </c>
      <c r="R1332" s="2">
        <v>0.0</v>
      </c>
      <c r="S1332" s="3" t="s">
        <v>5453</v>
      </c>
      <c r="T1332" s="2" t="s">
        <v>5454</v>
      </c>
      <c r="Y1332" s="4" t="str">
        <f>IFERROR(__xludf.DUMMYFUNCTION("""COMPUTED_VALUE"""),"6.9873835")</f>
        <v>6.9873835</v>
      </c>
      <c r="Z1332" s="4" t="str">
        <f>IFERROR(__xludf.DUMMYFUNCTION("""COMPUTED_VALUE"""),"3.9852916")</f>
        <v>3.9852916</v>
      </c>
      <c r="AA1332" s="4" t="str">
        <f t="shared" si="1"/>
        <v>Neighbor</v>
      </c>
      <c r="AC1332" s="4">
        <f>IFERROR(__xludf.DUMMYFUNCTION("IFERROR(ABS(O1332-AVERAGE(FILTER(O1332:O5400,AA1332:AA5400=""Neighbor""))) / STDEV(FILTER(O1332:O5400, AA1332:AA5400 =""Neighbor"")), """")"),1.593103010210819)</f>
        <v>1.59310301</v>
      </c>
      <c r="AD1332" s="4">
        <f>IFERROR(__xludf.DUMMYFUNCTION("IFERROR(ABS(P1332-AVERAGE(FILTER(O1332:P5400,AA1332:AA5400=""Neighbor""))) / STDEV(FILTER(P1332:P5400, AA1332:AA5400 =""Neighbor"")), """")"),0.8849523087321463)</f>
        <v>0.8849523087</v>
      </c>
      <c r="AE1332" s="2">
        <f>IFERROR(__xludf.DUMMYFUNCTION("IFERROR(ABS(Q1332-AVERAGE(FILTER(Q1332:Q5400,AA1332:AA5400=""Neighbor""))) / STDEV(FILTER(Q1332:Q5400, AA1332:AA5400 =""Neighbor"")), """")"),0.08474871092548494)</f>
        <v>0.08474871093</v>
      </c>
      <c r="AF1332" s="2">
        <f>IFERROR(__xludf.DUMMYFUNCTION("IFERROR(ABS(R1332-AVERAGE(FILTER(R1332:R5400,AA1332:AA5400=""Neighbor""))) / STDEV(FILTER(R1332:R5400, AA1332:AA5400 =""Neighbor"")), """")"),0.3460651407672755)</f>
        <v>0.3460651408</v>
      </c>
    </row>
    <row r="1333">
      <c r="A1333" s="2" t="s">
        <v>28</v>
      </c>
      <c r="B1333" s="2" t="s">
        <v>5384</v>
      </c>
      <c r="C1333" s="2" t="s">
        <v>5430</v>
      </c>
      <c r="D1333" s="2" t="s">
        <v>5455</v>
      </c>
      <c r="E1333" s="2" t="s">
        <v>5456</v>
      </c>
      <c r="F1333" s="2">
        <v>119.0</v>
      </c>
      <c r="G1333" s="2">
        <v>461.0</v>
      </c>
      <c r="H1333" s="2" t="b">
        <v>1</v>
      </c>
      <c r="I1333" s="2">
        <v>-1.0</v>
      </c>
      <c r="J1333" s="2" t="b">
        <v>0</v>
      </c>
      <c r="K1333" s="2" t="b">
        <v>0</v>
      </c>
      <c r="L1333" s="2" t="b">
        <v>0</v>
      </c>
      <c r="M1333" s="2" t="b">
        <v>0</v>
      </c>
      <c r="N1333" s="2" t="s">
        <v>33</v>
      </c>
      <c r="O1333" s="2">
        <v>92.0</v>
      </c>
      <c r="P1333" s="2">
        <v>16.0</v>
      </c>
      <c r="Q1333" s="2">
        <v>9.0</v>
      </c>
      <c r="R1333" s="2">
        <v>0.0</v>
      </c>
      <c r="S1333" s="3" t="s">
        <v>5457</v>
      </c>
      <c r="T1333" s="2" t="s">
        <v>5458</v>
      </c>
      <c r="Y1333" s="4" t="str">
        <f>IFERROR(__xludf.DUMMYFUNCTION("""COMPUTED_VALUE"""),"6.9798177")</f>
        <v>6.9798177</v>
      </c>
      <c r="Z1333" s="4" t="str">
        <f>IFERROR(__xludf.DUMMYFUNCTION("""COMPUTED_VALUE"""),"3.9848537")</f>
        <v>3.9848537</v>
      </c>
      <c r="AA1333" s="4" t="str">
        <f t="shared" si="1"/>
        <v>Neighbor</v>
      </c>
      <c r="AC1333" s="4">
        <f>IFERROR(__xludf.DUMMYFUNCTION("IFERROR(ABS(O1333-AVERAGE(FILTER(O1333:O5401,AA1333:AA5401=""Neighbor""))) / STDEV(FILTER(O1333:O5401, AA1333:AA5401 =""Neighbor"")), """")"),0.7362135341344093)</f>
        <v>0.7362135341</v>
      </c>
      <c r="AD1333" s="4">
        <f>IFERROR(__xludf.DUMMYFUNCTION("IFERROR(ABS(P1333-AVERAGE(FILTER(O1333:P5401,AA1333:AA5401=""Neighbor""))) / STDEV(FILTER(P1333:P5401, AA1333:AA5401 =""Neighbor"")), """")"),1.0712091109883979)</f>
        <v>1.071209111</v>
      </c>
      <c r="AE1333" s="2">
        <f>IFERROR(__xludf.DUMMYFUNCTION("IFERROR(ABS(Q1333-AVERAGE(FILTER(Q1333:Q5401,AA1333:AA5401=""Neighbor""))) / STDEV(FILTER(Q1333:Q5401, AA1333:AA5401 =""Neighbor"")), """")"),0.6477682272235277)</f>
        <v>0.6477682272</v>
      </c>
      <c r="AF1333" s="2">
        <f>IFERROR(__xludf.DUMMYFUNCTION("IFERROR(ABS(R1333-AVERAGE(FILTER(R1333:R5401,AA1333:AA5401=""Neighbor""))) / STDEV(FILTER(R1333:R5401, AA1333:AA5401 =""Neighbor"")), """")"),0.34623304716358266)</f>
        <v>0.3462330472</v>
      </c>
    </row>
    <row r="1334">
      <c r="A1334" s="2" t="s">
        <v>28</v>
      </c>
      <c r="B1334" s="2" t="s">
        <v>5384</v>
      </c>
      <c r="C1334" s="2" t="s">
        <v>5430</v>
      </c>
      <c r="D1334" s="2" t="s">
        <v>5459</v>
      </c>
      <c r="E1334" s="2" t="s">
        <v>5460</v>
      </c>
      <c r="F1334" s="2">
        <v>117.0</v>
      </c>
      <c r="G1334" s="2">
        <v>558.0</v>
      </c>
      <c r="H1334" s="2" t="b">
        <v>1</v>
      </c>
      <c r="I1334" s="2">
        <v>-1.0</v>
      </c>
      <c r="J1334" s="2" t="b">
        <v>0</v>
      </c>
      <c r="K1334" s="2" t="b">
        <v>0</v>
      </c>
      <c r="L1334" s="2" t="b">
        <v>0</v>
      </c>
      <c r="M1334" s="2" t="b">
        <v>0</v>
      </c>
      <c r="N1334" s="2" t="s">
        <v>33</v>
      </c>
      <c r="O1334" s="2">
        <v>93.0</v>
      </c>
      <c r="P1334" s="2">
        <v>3.0</v>
      </c>
      <c r="Q1334" s="2">
        <v>19.0</v>
      </c>
      <c r="R1334" s="2">
        <v>0.0</v>
      </c>
      <c r="S1334" s="3" t="s">
        <v>5461</v>
      </c>
      <c r="T1334" s="2" t="s">
        <v>5462</v>
      </c>
      <c r="Y1334" s="4" t="str">
        <f>IFERROR(__xludf.DUMMYFUNCTION("""COMPUTED_VALUE"""),"6.9873835")</f>
        <v>6.9873835</v>
      </c>
      <c r="Z1334" s="4" t="str">
        <f>IFERROR(__xludf.DUMMYFUNCTION("""COMPUTED_VALUE"""),"3.9852916")</f>
        <v>3.9852916</v>
      </c>
      <c r="AA1334" s="4" t="str">
        <f t="shared" si="1"/>
        <v>Neighbor</v>
      </c>
      <c r="AC1334" s="4">
        <f>IFERROR(__xludf.DUMMYFUNCTION("IFERROR(ABS(O1334-AVERAGE(FILTER(O1334:O5402,AA1334:AA5402=""Neighbor""))) / STDEV(FILTER(O1334:O5402, AA1334:AA5402 =""Neighbor"")), """")"),0.7612538433269248)</f>
        <v>0.7612538433</v>
      </c>
      <c r="AD1334" s="4">
        <f>IFERROR(__xludf.DUMMYFUNCTION("IFERROR(ABS(P1334-AVERAGE(FILTER(O1334:P5402,AA1334:AA5402=""Neighbor""))) / STDEV(FILTER(P1334:P5402, AA1334:AA5402 =""Neighbor"")), """")"),1.680982067874543)</f>
        <v>1.680982068</v>
      </c>
      <c r="AE1334" s="2">
        <f>IFERROR(__xludf.DUMMYFUNCTION("IFERROR(ABS(Q1334-AVERAGE(FILTER(Q1334:Q5402,AA1334:AA5402=""Neighbor""))) / STDEV(FILTER(Q1334:Q5402, AA1334:AA5402 =""Neighbor"")), """")"),0.24613812868620072)</f>
        <v>0.2461381287</v>
      </c>
      <c r="AF1334" s="2">
        <f>IFERROR(__xludf.DUMMYFUNCTION("IFERROR(ABS(R1334-AVERAGE(FILTER(R1334:R5402,AA1334:AA5402=""Neighbor""))) / STDEV(FILTER(R1334:R5402, AA1334:AA5402 =""Neighbor"")), """")"),0.3464011982223871)</f>
        <v>0.3464011982</v>
      </c>
    </row>
    <row r="1335">
      <c r="A1335" s="2" t="s">
        <v>28</v>
      </c>
      <c r="B1335" s="2" t="s">
        <v>5384</v>
      </c>
      <c r="C1335" s="2" t="s">
        <v>5430</v>
      </c>
      <c r="D1335" s="2" t="s">
        <v>5463</v>
      </c>
      <c r="E1335" s="2" t="s">
        <v>5464</v>
      </c>
      <c r="F1335" s="2">
        <v>151.0</v>
      </c>
      <c r="G1335" s="2">
        <v>645.0</v>
      </c>
      <c r="H1335" s="2" t="b">
        <v>1</v>
      </c>
      <c r="I1335" s="2">
        <v>-1.0</v>
      </c>
      <c r="J1335" s="2" t="b">
        <v>0</v>
      </c>
      <c r="K1335" s="2" t="b">
        <v>0</v>
      </c>
      <c r="L1335" s="2" t="b">
        <v>0</v>
      </c>
      <c r="M1335" s="2" t="b">
        <v>0</v>
      </c>
      <c r="N1335" s="2" t="s">
        <v>33</v>
      </c>
      <c r="O1335" s="2">
        <v>96.0</v>
      </c>
      <c r="P1335" s="2">
        <v>11.0</v>
      </c>
      <c r="Q1335" s="2">
        <v>30.0</v>
      </c>
      <c r="R1335" s="2">
        <v>0.0</v>
      </c>
      <c r="S1335" s="3" t="s">
        <v>5465</v>
      </c>
      <c r="T1335" s="2" t="s">
        <v>5466</v>
      </c>
      <c r="Y1335" s="4" t="str">
        <f>IFERROR(__xludf.DUMMYFUNCTION("""COMPUTED_VALUE"""),"6.9798177")</f>
        <v>6.9798177</v>
      </c>
      <c r="Z1335" s="4" t="str">
        <f>IFERROR(__xludf.DUMMYFUNCTION("""COMPUTED_VALUE"""),"3.9848537")</f>
        <v>3.9848537</v>
      </c>
      <c r="AA1335" s="4" t="str">
        <f t="shared" si="1"/>
        <v>Not Neighbor</v>
      </c>
      <c r="AC1335" s="4">
        <f>IFERROR(__xludf.DUMMYFUNCTION("IFERROR(ABS(O1335-AVERAGE(FILTER(O1335:O5403,AA1335:AA5403=""Neighbor""))) / STDEV(FILTER(O1335:O5403, AA1335:AA5403 =""Neighbor"")), """")"),0.8354056126625414)</f>
        <v>0.8354056127</v>
      </c>
      <c r="AD1335" s="4">
        <f>IFERROR(__xludf.DUMMYFUNCTION("IFERROR(ABS(P1335-AVERAGE(FILTER(O1335:P5403,AA1335:AA5403=""Neighbor""))) / STDEV(FILTER(P1335:P5403, AA1335:AA5403 =""Neighbor"")), """")"),1.3043232310414732)</f>
        <v>1.304323231</v>
      </c>
      <c r="AE1335" s="2">
        <f>IFERROR(__xludf.DUMMYFUNCTION("IFERROR(ABS(Q1335-AVERAGE(FILTER(Q1335:Q5403,AA1335:AA5403=""Neighbor""))) / STDEV(FILTER(Q1335:Q5403, AA1335:AA5403 =""Neighbor"")), """")"),0.1958000820149555)</f>
        <v>0.195800082</v>
      </c>
      <c r="AF1335" s="2">
        <f>IFERROR(__xludf.DUMMYFUNCTION("IFERROR(ABS(R1335-AVERAGE(FILTER(R1335:R5403,AA1335:AA5403=""Neighbor""))) / STDEV(FILTER(R1335:R5403, AA1335:AA5403 =""Neighbor"")), """")"),0.34656959453850134)</f>
        <v>0.3465695945</v>
      </c>
    </row>
    <row r="1336">
      <c r="A1336" s="2" t="s">
        <v>28</v>
      </c>
      <c r="B1336" s="2" t="s">
        <v>5384</v>
      </c>
      <c r="C1336" s="2" t="s">
        <v>5430</v>
      </c>
      <c r="D1336" s="2" t="s">
        <v>5467</v>
      </c>
      <c r="E1336" s="2" t="s">
        <v>5468</v>
      </c>
      <c r="F1336" s="2">
        <v>140.0</v>
      </c>
      <c r="G1336" s="2">
        <v>506.0</v>
      </c>
      <c r="H1336" s="2" t="b">
        <v>1</v>
      </c>
      <c r="I1336" s="2">
        <v>-1.0</v>
      </c>
      <c r="J1336" s="2" t="b">
        <v>0</v>
      </c>
      <c r="K1336" s="2" t="b">
        <v>0</v>
      </c>
      <c r="L1336" s="2" t="b">
        <v>0</v>
      </c>
      <c r="M1336" s="2" t="b">
        <v>0</v>
      </c>
      <c r="N1336" s="2" t="s">
        <v>33</v>
      </c>
      <c r="O1336" s="2">
        <v>103.0</v>
      </c>
      <c r="P1336" s="2">
        <v>7.0</v>
      </c>
      <c r="Q1336" s="2">
        <v>16.0</v>
      </c>
      <c r="R1336" s="2">
        <v>0.0</v>
      </c>
      <c r="S1336" s="3" t="s">
        <v>5469</v>
      </c>
      <c r="T1336" s="2" t="s">
        <v>5470</v>
      </c>
      <c r="Y1336" s="4" t="str">
        <f>IFERROR(__xludf.DUMMYFUNCTION("""COMPUTED_VALUE"""),"6.9792351")</f>
        <v>6.9792351</v>
      </c>
      <c r="Z1336" s="4" t="str">
        <f>IFERROR(__xludf.DUMMYFUNCTION("""COMPUTED_VALUE"""),"3.9980485")</f>
        <v>3.9980485</v>
      </c>
      <c r="AA1336" s="4" t="str">
        <f t="shared" si="1"/>
        <v>Not Neighbor</v>
      </c>
      <c r="AC1336" s="4">
        <f>IFERROR(__xludf.DUMMYFUNCTION("IFERROR(ABS(O1336-AVERAGE(FILTER(O1336:O5404,AA1336:AA5404=""Neighbor""))) / STDEV(FILTER(O1336:O5404, AA1336:AA5404 =""Neighbor"")), """")"),1.0072077215303268)</f>
        <v>1.007207722</v>
      </c>
      <c r="AD1336" s="4">
        <f>IFERROR(__xludf.DUMMYFUNCTION("IFERROR(ABS(P1336-AVERAGE(FILTER(O1336:P5404,AA1336:AA5404=""Neighbor""))) / STDEV(FILTER(P1336:P5404, AA1336:AA5404 =""Neighbor"")), """")"),1.4922264228594542)</f>
        <v>1.492226423</v>
      </c>
      <c r="AE1336" s="2">
        <f>IFERROR(__xludf.DUMMYFUNCTION("IFERROR(ABS(Q1336-AVERAGE(FILTER(Q1336:Q5404,AA1336:AA5404=""Neighbor""))) / STDEV(FILTER(Q1336:Q5404, AA1336:AA5404 =""Neighbor"")), """")"),0.3668109239745224)</f>
        <v>0.366810924</v>
      </c>
      <c r="AF1336" s="2">
        <f>IFERROR(__xludf.DUMMYFUNCTION("IFERROR(ABS(R1336-AVERAGE(FILTER(R1336:R5404,AA1336:AA5404=""Neighbor""))) / STDEV(FILTER(R1336:R5404, AA1336:AA5404 =""Neighbor"")), """")"),0.34656959453850134)</f>
        <v>0.3465695945</v>
      </c>
    </row>
    <row r="1337">
      <c r="A1337" s="2" t="s">
        <v>28</v>
      </c>
      <c r="B1337" s="2" t="s">
        <v>5384</v>
      </c>
      <c r="C1337" s="2" t="s">
        <v>5430</v>
      </c>
      <c r="D1337" s="2" t="s">
        <v>5471</v>
      </c>
      <c r="E1337" s="2" t="s">
        <v>5472</v>
      </c>
      <c r="F1337" s="2">
        <v>127.0</v>
      </c>
      <c r="G1337" s="2">
        <v>479.0</v>
      </c>
      <c r="H1337" s="2" t="b">
        <v>1</v>
      </c>
      <c r="I1337" s="2">
        <v>-1.0</v>
      </c>
      <c r="J1337" s="2" t="b">
        <v>0</v>
      </c>
      <c r="K1337" s="2" t="b">
        <v>0</v>
      </c>
      <c r="L1337" s="2" t="b">
        <v>0</v>
      </c>
      <c r="M1337" s="2" t="b">
        <v>0</v>
      </c>
      <c r="N1337" s="2" t="s">
        <v>33</v>
      </c>
      <c r="O1337" s="2">
        <v>75.0</v>
      </c>
      <c r="P1337" s="2">
        <v>5.0</v>
      </c>
      <c r="Q1337" s="2">
        <v>41.0</v>
      </c>
      <c r="R1337" s="2">
        <v>1.0</v>
      </c>
      <c r="S1337" s="3" t="s">
        <v>5473</v>
      </c>
      <c r="T1337" s="2" t="s">
        <v>5474</v>
      </c>
      <c r="Y1337" s="4" t="str">
        <f>IFERROR(__xludf.DUMMYFUNCTION("""COMPUTED_VALUE"""),"6.9873835")</f>
        <v>6.9873835</v>
      </c>
      <c r="Z1337" s="4" t="str">
        <f>IFERROR(__xludf.DUMMYFUNCTION("""COMPUTED_VALUE"""),"3.9852916")</f>
        <v>3.9852916</v>
      </c>
      <c r="AA1337" s="4" t="str">
        <f t="shared" si="1"/>
        <v>Neighbor</v>
      </c>
      <c r="AC1337" s="4">
        <f>IFERROR(__xludf.DUMMYFUNCTION("IFERROR(ABS(O1337-AVERAGE(FILTER(O1337:O5405,AA1337:AA5405=""Neighbor""))) / STDEV(FILTER(O1337:O5405, AA1337:AA5405 =""Neighbor"")), """")"),0.3199992860591852)</f>
        <v>0.3199992861</v>
      </c>
      <c r="AD1337" s="4">
        <f>IFERROR(__xludf.DUMMYFUNCTION("IFERROR(ABS(P1337-AVERAGE(FILTER(O1337:P5405,AA1337:AA5405=""Neighbor""))) / STDEV(FILTER(P1337:P5405, AA1337:AA5405 =""Neighbor"")), """")"),1.5861780187684447)</f>
        <v>1.586178019</v>
      </c>
      <c r="AE1337" s="2">
        <f>IFERROR(__xludf.DUMMYFUNCTION("IFERROR(ABS(Q1337-AVERAGE(FILTER(Q1337:Q5405,AA1337:AA5405=""Neighbor""))) / STDEV(FILTER(Q1337:Q5405, AA1337:AA5405 =""Neighbor"")), """")"),0.6378515867209739)</f>
        <v>0.6378515867</v>
      </c>
      <c r="AF1337" s="2">
        <f>IFERROR(__xludf.DUMMYFUNCTION("IFERROR(ABS(R1337-AVERAGE(FILTER(R1337:R5405,AA1337:AA5405=""Neighbor""))) / STDEV(FILTER(R1337:R5405, AA1337:AA5405 =""Neighbor"")), """")"),0.858571200971514)</f>
        <v>0.858571201</v>
      </c>
    </row>
    <row r="1338">
      <c r="A1338" s="2" t="s">
        <v>28</v>
      </c>
      <c r="B1338" s="2" t="s">
        <v>5384</v>
      </c>
      <c r="C1338" s="2" t="s">
        <v>5430</v>
      </c>
      <c r="D1338" s="2" t="s">
        <v>5475</v>
      </c>
      <c r="E1338" s="2" t="s">
        <v>5476</v>
      </c>
      <c r="F1338" s="2">
        <v>84.0</v>
      </c>
      <c r="G1338" s="2">
        <v>548.0</v>
      </c>
      <c r="H1338" s="2" t="b">
        <v>1</v>
      </c>
      <c r="I1338" s="2">
        <v>-1.0</v>
      </c>
      <c r="J1338" s="2" t="b">
        <v>0</v>
      </c>
      <c r="K1338" s="2" t="b">
        <v>0</v>
      </c>
      <c r="L1338" s="2" t="b">
        <v>0</v>
      </c>
      <c r="M1338" s="2" t="b">
        <v>0</v>
      </c>
      <c r="N1338" s="2" t="s">
        <v>33</v>
      </c>
      <c r="O1338" s="2">
        <v>61.0</v>
      </c>
      <c r="P1338" s="2">
        <v>7.0</v>
      </c>
      <c r="Q1338" s="2">
        <v>16.0</v>
      </c>
      <c r="R1338" s="2">
        <v>0.0</v>
      </c>
      <c r="S1338" s="3" t="s">
        <v>5477</v>
      </c>
      <c r="T1338" s="2" t="s">
        <v>5478</v>
      </c>
      <c r="Y1338" s="4" t="str">
        <f>IFERROR(__xludf.DUMMYFUNCTION("""COMPUTED_VALUE"""),"6.9873835")</f>
        <v>6.9873835</v>
      </c>
      <c r="Z1338" s="4" t="str">
        <f>IFERROR(__xludf.DUMMYFUNCTION("""COMPUTED_VALUE"""),"3.9852916")</f>
        <v>3.9852916</v>
      </c>
      <c r="AA1338" s="4" t="str">
        <f t="shared" si="1"/>
        <v>Neighbor</v>
      </c>
      <c r="AC1338" s="4">
        <f>IFERROR(__xludf.DUMMYFUNCTION("IFERROR(ABS(O1338-AVERAGE(FILTER(O1338:O5406,AA1338:AA5406=""Neighbor""))) / STDEV(FILTER(O1338:O5406, AA1338:AA5406 =""Neighbor"")), """")"),0.02331756625068004)</f>
        <v>0.02331756625</v>
      </c>
      <c r="AD1338" s="4">
        <f>IFERROR(__xludf.DUMMYFUNCTION("IFERROR(ABS(P1338-AVERAGE(FILTER(O1338:P5406,AA1338:AA5406=""Neighbor""))) / STDEV(FILTER(P1338:P5406, AA1338:AA5406 =""Neighbor"")), """")"),1.491687142314218)</f>
        <v>1.491687142</v>
      </c>
      <c r="AE1338" s="2">
        <f>IFERROR(__xludf.DUMMYFUNCTION("IFERROR(ABS(Q1338-AVERAGE(FILTER(Q1338:Q5406,AA1338:AA5406=""Neighbor""))) / STDEV(FILTER(Q1338:Q5406, AA1338:AA5406 =""Neighbor"")), """")"),0.36616182757726096)</f>
        <v>0.3661618276</v>
      </c>
      <c r="AF1338" s="2">
        <f>IFERROR(__xludf.DUMMYFUNCTION("IFERROR(ABS(R1338-AVERAGE(FILTER(R1338:R5406,AA1338:AA5406=""Neighbor""))) / STDEV(FILTER(R1338:R5406, AA1338:AA5406 =""Neighbor"")), """")"),0.34578355732176574)</f>
        <v>0.3457835573</v>
      </c>
    </row>
    <row r="1339">
      <c r="A1339" s="2" t="s">
        <v>28</v>
      </c>
      <c r="B1339" s="2" t="s">
        <v>5384</v>
      </c>
      <c r="C1339" s="2" t="s">
        <v>5430</v>
      </c>
      <c r="D1339" s="2" t="s">
        <v>5479</v>
      </c>
      <c r="E1339" s="2" t="s">
        <v>5480</v>
      </c>
      <c r="F1339" s="2">
        <v>140.0</v>
      </c>
      <c r="G1339" s="2">
        <v>463.0</v>
      </c>
      <c r="H1339" s="2" t="b">
        <v>1</v>
      </c>
      <c r="I1339" s="2">
        <v>-1.0</v>
      </c>
      <c r="J1339" s="2" t="b">
        <v>0</v>
      </c>
      <c r="K1339" s="2" t="b">
        <v>0</v>
      </c>
      <c r="L1339" s="2" t="b">
        <v>0</v>
      </c>
      <c r="M1339" s="2" t="b">
        <v>0</v>
      </c>
      <c r="N1339" s="2" t="s">
        <v>33</v>
      </c>
      <c r="O1339" s="2">
        <v>101.0</v>
      </c>
      <c r="P1339" s="2">
        <v>4.0</v>
      </c>
      <c r="Q1339" s="2">
        <v>27.0</v>
      </c>
      <c r="R1339" s="2">
        <v>1.0</v>
      </c>
      <c r="S1339" s="3" t="s">
        <v>5481</v>
      </c>
      <c r="T1339" s="2" t="s">
        <v>5482</v>
      </c>
      <c r="Y1339" s="4" t="str">
        <f>IFERROR(__xludf.DUMMYFUNCTION("""COMPUTED_VALUE"""),"6.9873835")</f>
        <v>6.9873835</v>
      </c>
      <c r="Z1339" s="4" t="str">
        <f>IFERROR(__xludf.DUMMYFUNCTION("""COMPUTED_VALUE"""),"3.9852916")</f>
        <v>3.9852916</v>
      </c>
      <c r="AA1339" s="4" t="str">
        <f t="shared" si="1"/>
        <v>Neighbor</v>
      </c>
      <c r="AC1339" s="4">
        <f>IFERROR(__xludf.DUMMYFUNCTION("IFERROR(ABS(O1339-AVERAGE(FILTER(O1339:O5407,AA1339:AA5407=""Neighbor""))) / STDEV(FILTER(O1339:O5407, AA1339:AA5407 =""Neighbor"")), """")"),0.9575885253258279)</f>
        <v>0.9575885253</v>
      </c>
      <c r="AD1339" s="4">
        <f>IFERROR(__xludf.DUMMYFUNCTION("IFERROR(ABS(P1339-AVERAGE(FILTER(O1339:P5407,AA1339:AA5407=""Neighbor""))) / STDEV(FILTER(P1339:P5407, AA1339:AA5407 =""Neighbor"")), """")"),1.6321678232025494)</f>
        <v>1.632167823</v>
      </c>
      <c r="AE1339" s="2">
        <f>IFERROR(__xludf.DUMMYFUNCTION("IFERROR(ABS(Q1339-AVERAGE(FILTER(Q1339:Q5407,AA1339:AA5407=""Neighbor""))) / STDEV(FILTER(Q1339:Q5407, AA1339:AA5407 =""Neighbor"")), """")"),0.0754285726903727)</f>
        <v>0.07542857269</v>
      </c>
      <c r="AF1339" s="2">
        <f>IFERROR(__xludf.DUMMYFUNCTION("IFERROR(ABS(R1339-AVERAGE(FILTER(R1339:R5407,AA1339:AA5407=""Neighbor""))) / STDEV(FILTER(R1339:R5407, AA1339:AA5407 =""Neighbor"")), """")"),0.8585896690790913)</f>
        <v>0.8585896691</v>
      </c>
    </row>
    <row r="1340">
      <c r="A1340" s="2" t="s">
        <v>28</v>
      </c>
      <c r="B1340" s="2" t="s">
        <v>5384</v>
      </c>
      <c r="C1340" s="2" t="s">
        <v>5430</v>
      </c>
      <c r="D1340" s="2" t="s">
        <v>5483</v>
      </c>
      <c r="E1340" s="2" t="s">
        <v>5484</v>
      </c>
      <c r="F1340" s="2">
        <v>205.0</v>
      </c>
      <c r="G1340" s="2">
        <v>985.0</v>
      </c>
      <c r="H1340" s="2" t="b">
        <v>1</v>
      </c>
      <c r="I1340" s="2">
        <v>-1.0</v>
      </c>
      <c r="J1340" s="2" t="b">
        <v>0</v>
      </c>
      <c r="K1340" s="2" t="b">
        <v>0</v>
      </c>
      <c r="L1340" s="2" t="b">
        <v>0</v>
      </c>
      <c r="M1340" s="2" t="b">
        <v>0</v>
      </c>
      <c r="N1340" s="2" t="s">
        <v>33</v>
      </c>
      <c r="O1340" s="2">
        <v>173.0</v>
      </c>
      <c r="P1340" s="2">
        <v>3.0</v>
      </c>
      <c r="Q1340" s="2">
        <v>25.0</v>
      </c>
      <c r="R1340" s="2">
        <v>0.0</v>
      </c>
      <c r="S1340" s="3" t="s">
        <v>5485</v>
      </c>
      <c r="T1340" s="2" t="s">
        <v>5486</v>
      </c>
      <c r="Y1340" s="4" t="str">
        <f>IFERROR(__xludf.DUMMYFUNCTION("""COMPUTED_VALUE"""),"6.9873835")</f>
        <v>6.9873835</v>
      </c>
      <c r="Z1340" s="4" t="str">
        <f>IFERROR(__xludf.DUMMYFUNCTION("""COMPUTED_VALUE"""),"3.9852916")</f>
        <v>3.9852916</v>
      </c>
      <c r="AA1340" s="4" t="str">
        <f t="shared" si="1"/>
        <v>Neighbor</v>
      </c>
      <c r="AC1340" s="4">
        <f>IFERROR(__xludf.DUMMYFUNCTION("IFERROR(ABS(O1340-AVERAGE(FILTER(O1340:O5408,AA1340:AA5408=""Neighbor""))) / STDEV(FILTER(O1340:O5408, AA1340:AA5408 =""Neighbor"")), """")"),2.7239742454137175)</f>
        <v>2.723974245</v>
      </c>
      <c r="AD1340" s="4">
        <f>IFERROR(__xludf.DUMMYFUNCTION("IFERROR(ABS(P1340-AVERAGE(FILTER(O1340:P5408,AA1340:AA5408=""Neighbor""))) / STDEV(FILTER(P1340:P5408, AA1340:AA5408 =""Neighbor"")), """")"),1.678034811035001)</f>
        <v>1.678034811</v>
      </c>
      <c r="AE1340" s="2">
        <f>IFERROR(__xludf.DUMMYFUNCTION("IFERROR(ABS(Q1340-AVERAGE(FILTER(Q1340:Q5408,AA1340:AA5408=""Neighbor""))) / STDEV(FILTER(Q1340:Q5408, AA1340:AA5408 =""Neighbor"")), """")"),0.004825624430037682)</f>
        <v>0.00482562443</v>
      </c>
      <c r="AF1340" s="2">
        <f>IFERROR(__xludf.DUMMYFUNCTION("IFERROR(ABS(R1340-AVERAGE(FILTER(R1340:R5408,AA1340:AA5408=""Neighbor""))) / STDEV(FILTER(R1340:R5408, AA1340:AA5408 =""Neighbor"")), """")"),0.3451645342474838)</f>
        <v>0.3451645342</v>
      </c>
    </row>
    <row r="1341">
      <c r="A1341" s="2" t="s">
        <v>28</v>
      </c>
      <c r="B1341" s="2" t="s">
        <v>5384</v>
      </c>
      <c r="C1341" s="2" t="s">
        <v>5430</v>
      </c>
      <c r="D1341" s="2" t="s">
        <v>5487</v>
      </c>
      <c r="E1341" s="2" t="s">
        <v>5488</v>
      </c>
      <c r="F1341" s="2">
        <v>151.0</v>
      </c>
      <c r="G1341" s="2">
        <v>593.0</v>
      </c>
      <c r="H1341" s="2" t="b">
        <v>1</v>
      </c>
      <c r="I1341" s="2">
        <v>-1.0</v>
      </c>
      <c r="J1341" s="2" t="b">
        <v>0</v>
      </c>
      <c r="K1341" s="2" t="b">
        <v>0</v>
      </c>
      <c r="L1341" s="2" t="b">
        <v>0</v>
      </c>
      <c r="M1341" s="2" t="b">
        <v>0</v>
      </c>
      <c r="N1341" s="2" t="s">
        <v>33</v>
      </c>
      <c r="O1341" s="2">
        <v>104.0</v>
      </c>
      <c r="P1341" s="2">
        <v>9.0</v>
      </c>
      <c r="Q1341" s="2">
        <v>7.0</v>
      </c>
      <c r="R1341" s="2">
        <v>0.0</v>
      </c>
      <c r="S1341" s="3" t="s">
        <v>5489</v>
      </c>
      <c r="T1341" s="2" t="s">
        <v>5490</v>
      </c>
      <c r="Y1341" s="4" t="str">
        <f>IFERROR(__xludf.DUMMYFUNCTION("""COMPUTED_VALUE"""),"6.9873835")</f>
        <v>6.9873835</v>
      </c>
      <c r="Z1341" s="4" t="str">
        <f>IFERROR(__xludf.DUMMYFUNCTION("""COMPUTED_VALUE"""),"3.9852916")</f>
        <v>3.9852916</v>
      </c>
      <c r="AA1341" s="4" t="str">
        <f t="shared" si="1"/>
        <v>Neighbor</v>
      </c>
      <c r="AC1341" s="4">
        <f>IFERROR(__xludf.DUMMYFUNCTION("IFERROR(ABS(O1341-AVERAGE(FILTER(O1341:O5409,AA1341:AA5409=""Neighbor""))) / STDEV(FILTER(O1341:O5409, AA1341:AA5409 =""Neighbor"")), """")"),1.0372416545312186)</f>
        <v>1.037241655</v>
      </c>
      <c r="AD1341" s="4">
        <f>IFERROR(__xludf.DUMMYFUNCTION("IFERROR(ABS(P1341-AVERAGE(FILTER(O1341:P5409,AA1341:AA5409=""Neighbor""))) / STDEV(FILTER(P1341:P5409, AA1341:AA5409 =""Neighbor"")), """")"),1.3940512899072153)</f>
        <v>1.39405129</v>
      </c>
      <c r="AE1341" s="2">
        <f>IFERROR(__xludf.DUMMYFUNCTION("IFERROR(ABS(Q1341-AVERAGE(FILTER(Q1341:Q5409,AA1341:AA5409=""Neighbor""))) / STDEV(FILTER(Q1341:Q5409, AA1341:AA5409 =""Neighbor"")), """")"),0.7270974813657767)</f>
        <v>0.7270974814</v>
      </c>
      <c r="AF1341" s="2">
        <f>IFERROR(__xludf.DUMMYFUNCTION("IFERROR(ABS(R1341-AVERAGE(FILTER(R1341:R5409,AA1341:AA5409=""Neighbor""))) / STDEV(FILTER(R1341:R5409, AA1341:AA5409 =""Neighbor"")), """")"),0.3453327851911848)</f>
        <v>0.3453327852</v>
      </c>
    </row>
    <row r="1342">
      <c r="A1342" s="2" t="s">
        <v>28</v>
      </c>
      <c r="B1342" s="2" t="s">
        <v>5384</v>
      </c>
      <c r="C1342" s="2" t="s">
        <v>5430</v>
      </c>
      <c r="D1342" s="2" t="s">
        <v>5491</v>
      </c>
      <c r="E1342" s="2" t="s">
        <v>5492</v>
      </c>
      <c r="F1342" s="2">
        <v>130.0</v>
      </c>
      <c r="G1342" s="2">
        <v>473.0</v>
      </c>
      <c r="H1342" s="2" t="b">
        <v>1</v>
      </c>
      <c r="I1342" s="2">
        <v>-1.0</v>
      </c>
      <c r="J1342" s="2" t="b">
        <v>0</v>
      </c>
      <c r="K1342" s="2" t="b">
        <v>0</v>
      </c>
      <c r="L1342" s="2" t="b">
        <v>0</v>
      </c>
      <c r="M1342" s="2" t="b">
        <v>0</v>
      </c>
      <c r="N1342" s="2" t="s">
        <v>33</v>
      </c>
      <c r="O1342" s="2">
        <v>107.0</v>
      </c>
      <c r="P1342" s="2">
        <v>0.0</v>
      </c>
      <c r="Q1342" s="2">
        <v>21.0</v>
      </c>
      <c r="R1342" s="2">
        <v>0.0</v>
      </c>
      <c r="S1342" s="3" t="s">
        <v>5493</v>
      </c>
      <c r="T1342" s="2" t="s">
        <v>5494</v>
      </c>
      <c r="Y1342" s="4" t="str">
        <f>IFERROR(__xludf.DUMMYFUNCTION("""COMPUTED_VALUE"""),"6.9873835")</f>
        <v>6.9873835</v>
      </c>
      <c r="Z1342" s="4" t="str">
        <f>IFERROR(__xludf.DUMMYFUNCTION("""COMPUTED_VALUE"""),"3.9852916")</f>
        <v>3.9852916</v>
      </c>
      <c r="AA1342" s="4" t="str">
        <f t="shared" si="1"/>
        <v>Not Neighbor</v>
      </c>
      <c r="AC1342" s="4">
        <f>IFERROR(__xludf.DUMMYFUNCTION("IFERROR(ABS(O1342-AVERAGE(FILTER(O1342:O5410,AA1342:AA5410=""Neighbor""))) / STDEV(FILTER(O1342:O5410, AA1342:AA5410 =""Neighbor"")), """")"),1.111957271918361)</f>
        <v>1.111957272</v>
      </c>
      <c r="AD1342" s="4">
        <f>IFERROR(__xludf.DUMMYFUNCTION("IFERROR(ABS(P1342-AVERAGE(FILTER(O1342:P5410,AA1342:AA5410=""Neighbor""))) / STDEV(FILTER(P1342:P5410, AA1342:AA5410 =""Neighbor"")), """")"),1.8148472463437253)</f>
        <v>1.814847246</v>
      </c>
      <c r="AE1342" s="2">
        <f>IFERROR(__xludf.DUMMYFUNCTION("IFERROR(ABS(Q1342-AVERAGE(FILTER(Q1342:Q5410,AA1342:AA5410=""Neighbor""))) / STDEV(FILTER(Q1342:Q5410, AA1342:AA5410 =""Neighbor"")), """")"),0.1659324660279003)</f>
        <v>0.165932466</v>
      </c>
      <c r="AF1342" s="2">
        <f>IFERROR(__xludf.DUMMYFUNCTION("IFERROR(ABS(R1342-AVERAGE(FILTER(R1342:R5410,AA1342:AA5410=""Neighbor""))) / STDEV(FILTER(R1342:R5410, AA1342:AA5410 =""Neighbor"")), """")"),0.34550128244466194)</f>
        <v>0.3455012824</v>
      </c>
    </row>
    <row r="1343">
      <c r="A1343" s="2" t="s">
        <v>28</v>
      </c>
      <c r="B1343" s="2" t="s">
        <v>5384</v>
      </c>
      <c r="C1343" s="2" t="s">
        <v>5495</v>
      </c>
      <c r="D1343" s="2" t="s">
        <v>5496</v>
      </c>
      <c r="E1343" s="2" t="s">
        <v>5497</v>
      </c>
      <c r="F1343" s="2">
        <v>63.0</v>
      </c>
      <c r="G1343" s="2">
        <v>213.0</v>
      </c>
      <c r="H1343" s="2" t="b">
        <v>1</v>
      </c>
      <c r="I1343" s="2">
        <v>-1.0</v>
      </c>
      <c r="J1343" s="2" t="b">
        <v>0</v>
      </c>
      <c r="K1343" s="2" t="b">
        <v>0</v>
      </c>
      <c r="L1343" s="2" t="b">
        <v>0</v>
      </c>
      <c r="M1343" s="2" t="b">
        <v>0</v>
      </c>
      <c r="N1343" s="2" t="s">
        <v>33</v>
      </c>
      <c r="O1343" s="2">
        <v>45.0</v>
      </c>
      <c r="P1343" s="2">
        <v>1.0</v>
      </c>
      <c r="Q1343" s="2">
        <v>11.0</v>
      </c>
      <c r="R1343" s="2">
        <v>0.0</v>
      </c>
      <c r="S1343" s="3" t="s">
        <v>5498</v>
      </c>
      <c r="T1343" s="2" t="s">
        <v>5499</v>
      </c>
      <c r="Y1343" s="4" t="str">
        <f>IFERROR(__xludf.DUMMYFUNCTION("""COMPUTED_VALUE"""),"7.0332904")</f>
        <v>7.0332904</v>
      </c>
      <c r="Z1343" s="4" t="str">
        <f>IFERROR(__xludf.DUMMYFUNCTION("""COMPUTED_VALUE"""),"3.9470396")</f>
        <v>3.9470396</v>
      </c>
      <c r="AA1343" s="4" t="str">
        <f t="shared" si="1"/>
        <v>Not Neighbor</v>
      </c>
      <c r="AC1343" s="4">
        <f>IFERROR(__xludf.DUMMYFUNCTION("IFERROR(ABS(O1343-AVERAGE(FILTER(O1343:O5411,AA1343:AA5411=""Neighbor""))) / STDEV(FILTER(O1343:O5411, AA1343:AA5411 =""Neighbor"")), """")"),0.4127404795259902)</f>
        <v>0.4127404795</v>
      </c>
      <c r="AD1343" s="4">
        <f>IFERROR(__xludf.DUMMYFUNCTION("IFERROR(ABS(P1343-AVERAGE(FILTER(O1343:P5411,AA1343:AA5411=""Neighbor""))) / STDEV(FILTER(P1343:P5411, AA1343:AA5411 =""Neighbor"")), """")"),1.7679501710354306)</f>
        <v>1.767950171</v>
      </c>
      <c r="AE1343" s="2">
        <f>IFERROR(__xludf.DUMMYFUNCTION("IFERROR(ABS(Q1343-AVERAGE(FILTER(Q1343:Q5411,AA1343:AA5411=""Neighbor""))) / STDEV(FILTER(Q1343:Q5411, AA1343:AA5411 =""Neighbor"")), """")"),0.567110959842191)</f>
        <v>0.5671109598</v>
      </c>
      <c r="AF1343" s="2">
        <f>IFERROR(__xludf.DUMMYFUNCTION("IFERROR(ABS(R1343-AVERAGE(FILTER(R1343:R5411,AA1343:AA5411=""Neighbor""))) / STDEV(FILTER(R1343:R5411, AA1343:AA5411 =""Neighbor"")), """")"),0.34550128244466194)</f>
        <v>0.3455012824</v>
      </c>
    </row>
    <row r="1344">
      <c r="A1344" s="2" t="s">
        <v>28</v>
      </c>
      <c r="B1344" s="2" t="s">
        <v>5384</v>
      </c>
      <c r="C1344" s="2" t="s">
        <v>5495</v>
      </c>
      <c r="D1344" s="2" t="s">
        <v>5500</v>
      </c>
      <c r="E1344" s="2" t="s">
        <v>5501</v>
      </c>
      <c r="F1344" s="2">
        <v>63.0</v>
      </c>
      <c r="G1344" s="2">
        <v>453.0</v>
      </c>
      <c r="H1344" s="2" t="b">
        <v>1</v>
      </c>
      <c r="I1344" s="2">
        <v>-1.0</v>
      </c>
      <c r="J1344" s="2" t="b">
        <v>0</v>
      </c>
      <c r="K1344" s="2" t="b">
        <v>0</v>
      </c>
      <c r="L1344" s="2" t="b">
        <v>0</v>
      </c>
      <c r="M1344" s="2" t="b">
        <v>0</v>
      </c>
      <c r="N1344" s="2" t="s">
        <v>33</v>
      </c>
      <c r="O1344" s="2">
        <v>45.0</v>
      </c>
      <c r="P1344" s="2">
        <v>2.0</v>
      </c>
      <c r="Q1344" s="2">
        <v>9.0</v>
      </c>
      <c r="R1344" s="2">
        <v>0.0</v>
      </c>
      <c r="S1344" s="3" t="s">
        <v>5502</v>
      </c>
      <c r="T1344" s="2" t="s">
        <v>5503</v>
      </c>
      <c r="Y1344" s="4" t="str">
        <f>IFERROR(__xludf.DUMMYFUNCTION("""COMPUTED_VALUE"""),"7.0575722")</f>
        <v>7.0575722</v>
      </c>
      <c r="Z1344" s="4" t="str">
        <f>IFERROR(__xludf.DUMMYFUNCTION("""COMPUTED_VALUE"""),"4.029795")</f>
        <v>4.029795</v>
      </c>
      <c r="AA1344" s="4" t="str">
        <f t="shared" si="1"/>
        <v>Not Neighbor</v>
      </c>
      <c r="AC1344" s="4">
        <f>IFERROR(__xludf.DUMMYFUNCTION("IFERROR(ABS(O1344-AVERAGE(FILTER(O1344:O5412,AA1344:AA5412=""Neighbor""))) / STDEV(FILTER(O1344:O5412, AA1344:AA5412 =""Neighbor"")), """")"),0.4127404795259902)</f>
        <v>0.4127404795</v>
      </c>
      <c r="AD1344" s="4">
        <f>IFERROR(__xludf.DUMMYFUNCTION("IFERROR(ABS(P1344-AVERAGE(FILTER(O1344:P5412,AA1344:AA5412=""Neighbor""))) / STDEV(FILTER(P1344:P5412, AA1344:AA5412 =""Neighbor"")), """")"),1.721053095727136)</f>
        <v>1.721053096</v>
      </c>
      <c r="AE1344" s="2">
        <f>IFERROR(__xludf.DUMMYFUNCTION("IFERROR(ABS(Q1344-AVERAGE(FILTER(Q1344:Q5412,AA1344:AA5412=""Neighbor""))) / STDEV(FILTER(Q1344:Q5412, AA1344:AA5412 =""Neighbor"")), """")"),0.647346658605049)</f>
        <v>0.6473466586</v>
      </c>
      <c r="AF1344" s="2">
        <f>IFERROR(__xludf.DUMMYFUNCTION("IFERROR(ABS(R1344-AVERAGE(FILTER(R1344:R5412,AA1344:AA5412=""Neighbor""))) / STDEV(FILTER(R1344:R5412, AA1344:AA5412 =""Neighbor"")), """")"),0.34550128244466194)</f>
        <v>0.3455012824</v>
      </c>
    </row>
    <row r="1345">
      <c r="A1345" s="2" t="s">
        <v>28</v>
      </c>
      <c r="B1345" s="2" t="s">
        <v>5384</v>
      </c>
      <c r="C1345" s="2" t="s">
        <v>5495</v>
      </c>
      <c r="D1345" s="2" t="s">
        <v>5504</v>
      </c>
      <c r="E1345" s="2" t="s">
        <v>5505</v>
      </c>
      <c r="F1345" s="2">
        <v>125.0</v>
      </c>
      <c r="G1345" s="2">
        <v>425.0</v>
      </c>
      <c r="H1345" s="2" t="b">
        <v>1</v>
      </c>
      <c r="I1345" s="2">
        <v>-1.0</v>
      </c>
      <c r="J1345" s="2" t="b">
        <v>0</v>
      </c>
      <c r="K1345" s="2" t="b">
        <v>0</v>
      </c>
      <c r="L1345" s="2" t="b">
        <v>0</v>
      </c>
      <c r="M1345" s="2" t="b">
        <v>0</v>
      </c>
      <c r="N1345" s="2" t="s">
        <v>33</v>
      </c>
      <c r="O1345" s="2">
        <v>50.0</v>
      </c>
      <c r="P1345" s="2">
        <v>22.0</v>
      </c>
      <c r="Q1345" s="2">
        <v>42.0</v>
      </c>
      <c r="R1345" s="2">
        <v>1.0</v>
      </c>
      <c r="S1345" s="3" t="s">
        <v>5506</v>
      </c>
      <c r="T1345" s="2" t="s">
        <v>5507</v>
      </c>
      <c r="Y1345" s="4" t="str">
        <f>IFERROR(__xludf.DUMMYFUNCTION("""COMPUTED_VALUE"""),"7.0991673")</f>
        <v>7.0991673</v>
      </c>
      <c r="Z1345" s="4" t="str">
        <f>IFERROR(__xludf.DUMMYFUNCTION("""COMPUTED_VALUE"""),"4.0307525")</f>
        <v>4.0307525</v>
      </c>
      <c r="AA1345" s="4" t="str">
        <f t="shared" si="1"/>
        <v>Neighbor</v>
      </c>
      <c r="AC1345" s="4">
        <f>IFERROR(__xludf.DUMMYFUNCTION("IFERROR(ABS(O1345-AVERAGE(FILTER(O1345:O5413,AA1345:AA5413=""Neighbor""))) / STDEV(FILTER(O1345:O5413, AA1345:AA5413 =""Neighbor"")), """")"),0.2897809834417683)</f>
        <v>0.2897809834</v>
      </c>
      <c r="AD1345" s="4">
        <f>IFERROR(__xludf.DUMMYFUNCTION("IFERROR(ABS(P1345-AVERAGE(FILTER(O1345:P5413,AA1345:AA5413=""Neighbor""))) / STDEV(FILTER(P1345:P5413, AA1345:AA5413 =""Neighbor"")), """")"),0.783111589561241)</f>
        <v>0.7831115896</v>
      </c>
      <c r="AE1345" s="2">
        <f>IFERROR(__xludf.DUMMYFUNCTION("IFERROR(ABS(Q1345-AVERAGE(FILTER(Q1345:Q5413,AA1345:AA5413=""Neighbor""))) / STDEV(FILTER(Q1345:Q5413, AA1345:AA5413 =""Neighbor"")), """")"),0.6765423709821101)</f>
        <v>0.676542371</v>
      </c>
      <c r="AF1345" s="2">
        <f>IFERROR(__xludf.DUMMYFUNCTION("IFERROR(ABS(R1345-AVERAGE(FILTER(R1345:R5413,AA1345:AA5413=""Neighbor""))) / STDEV(FILTER(R1345:R5413, AA1345:AA5413 =""Neighbor"")), """")"),0.857977348806349)</f>
        <v>0.8579773488</v>
      </c>
    </row>
    <row r="1346">
      <c r="A1346" s="2" t="s">
        <v>28</v>
      </c>
      <c r="B1346" s="2" t="s">
        <v>5384</v>
      </c>
      <c r="C1346" s="2" t="s">
        <v>5495</v>
      </c>
      <c r="D1346" s="2" t="s">
        <v>5508</v>
      </c>
      <c r="E1346" s="2" t="s">
        <v>5509</v>
      </c>
      <c r="F1346" s="2">
        <v>66.0</v>
      </c>
      <c r="G1346" s="2">
        <v>286.0</v>
      </c>
      <c r="H1346" s="2" t="b">
        <v>1</v>
      </c>
      <c r="I1346" s="2">
        <v>-1.0</v>
      </c>
      <c r="J1346" s="2" t="b">
        <v>0</v>
      </c>
      <c r="K1346" s="2" t="b">
        <v>0</v>
      </c>
      <c r="L1346" s="2" t="b">
        <v>0</v>
      </c>
      <c r="M1346" s="2" t="b">
        <v>0</v>
      </c>
      <c r="N1346" s="2" t="s">
        <v>33</v>
      </c>
      <c r="O1346" s="2">
        <v>58.0</v>
      </c>
      <c r="P1346" s="2">
        <v>0.0</v>
      </c>
      <c r="Q1346" s="2">
        <v>4.0</v>
      </c>
      <c r="R1346" s="2">
        <v>0.0</v>
      </c>
      <c r="S1346" s="3" t="s">
        <v>5510</v>
      </c>
      <c r="T1346" s="2" t="s">
        <v>5511</v>
      </c>
      <c r="Y1346" s="4" t="str">
        <f>IFERROR(__xludf.DUMMYFUNCTION("""COMPUTED_VALUE"""),"7.0991673")</f>
        <v>7.0991673</v>
      </c>
      <c r="Z1346" s="4" t="str">
        <f>IFERROR(__xludf.DUMMYFUNCTION("""COMPUTED_VALUE"""),"4.0307525")</f>
        <v>4.0307525</v>
      </c>
      <c r="AA1346" s="4" t="str">
        <f t="shared" si="1"/>
        <v>Not Neighbor</v>
      </c>
      <c r="AC1346" s="4">
        <f>IFERROR(__xludf.DUMMYFUNCTION("IFERROR(ABS(O1346-AVERAGE(FILTER(O1346:O5414,AA1346:AA5414=""Neighbor""))) / STDEV(FILTER(O1346:O5414, AA1346:AA5414 =""Neighbor"")), """")"),0.09326154566794902)</f>
        <v>0.09326154567</v>
      </c>
      <c r="AD1346" s="4">
        <f>IFERROR(__xludf.DUMMYFUNCTION("IFERROR(ABS(P1346-AVERAGE(FILTER(O1346:P5414,AA1346:AA5414=""Neighbor""))) / STDEV(FILTER(P1346:P5414, AA1346:AA5414 =""Neighbor"")), """")"),1.8142361745772373)</f>
        <v>1.814236175</v>
      </c>
      <c r="AE1346" s="2">
        <f>IFERROR(__xludf.DUMMYFUNCTION("IFERROR(ABS(Q1346-AVERAGE(FILTER(Q1346:Q5414,AA1346:AA5414=""Neighbor""))) / STDEV(FILTER(Q1346:Q5414, AA1346:AA5414 =""Neighbor"")), """")"),0.8471444246019385)</f>
        <v>0.8471444246</v>
      </c>
      <c r="AF1346" s="2">
        <f>IFERROR(__xludf.DUMMYFUNCTION("IFERROR(ABS(R1346-AVERAGE(FILTER(R1346:R5414,AA1346:AA5414=""Neighbor""))) / STDEV(FILTER(R1346:R5414, AA1346:AA5414 =""Neighbor"")), """")"),0.3447123007469606)</f>
        <v>0.3447123007</v>
      </c>
    </row>
    <row r="1347">
      <c r="A1347" s="2" t="s">
        <v>28</v>
      </c>
      <c r="B1347" s="2" t="s">
        <v>5384</v>
      </c>
      <c r="C1347" s="2" t="s">
        <v>5495</v>
      </c>
      <c r="D1347" s="2" t="s">
        <v>5512</v>
      </c>
      <c r="E1347" s="2" t="s">
        <v>5513</v>
      </c>
      <c r="F1347" s="2">
        <v>115.0</v>
      </c>
      <c r="G1347" s="2">
        <v>577.0</v>
      </c>
      <c r="H1347" s="2" t="b">
        <v>1</v>
      </c>
      <c r="I1347" s="2">
        <v>-1.0</v>
      </c>
      <c r="J1347" s="2" t="b">
        <v>0</v>
      </c>
      <c r="K1347" s="2" t="b">
        <v>0</v>
      </c>
      <c r="L1347" s="2" t="b">
        <v>0</v>
      </c>
      <c r="M1347" s="2" t="b">
        <v>0</v>
      </c>
      <c r="N1347" s="2" t="s">
        <v>33</v>
      </c>
      <c r="O1347" s="2">
        <v>72.0</v>
      </c>
      <c r="P1347" s="2">
        <v>4.0</v>
      </c>
      <c r="Q1347" s="2">
        <v>26.0</v>
      </c>
      <c r="R1347" s="2">
        <v>0.0</v>
      </c>
      <c r="S1347" s="3" t="s">
        <v>5514</v>
      </c>
      <c r="T1347" s="2" t="s">
        <v>5515</v>
      </c>
      <c r="Y1347" s="4" t="str">
        <f>IFERROR(__xludf.DUMMYFUNCTION("""COMPUTED_VALUE"""),"7.0181967")</f>
        <v>7.0181967</v>
      </c>
      <c r="Z1347" s="4" t="str">
        <f>IFERROR(__xludf.DUMMYFUNCTION("""COMPUTED_VALUE"""),"3.9901348")</f>
        <v>3.9901348</v>
      </c>
      <c r="AA1347" s="4" t="str">
        <f t="shared" si="1"/>
        <v>Not Neighbor</v>
      </c>
      <c r="AC1347" s="4">
        <f>IFERROR(__xludf.DUMMYFUNCTION("IFERROR(ABS(O1347-AVERAGE(FILTER(O1347:O5415,AA1347:AA5415=""Neighbor""))) / STDEV(FILTER(O1347:O5415, AA1347:AA5415 =""Neighbor"")), """")"),0.25088729803767285)</f>
        <v>0.250887298</v>
      </c>
      <c r="AD1347" s="4">
        <f>IFERROR(__xludf.DUMMYFUNCTION("IFERROR(ABS(P1347-AVERAGE(FILTER(O1347:P5415,AA1347:AA5415=""Neighbor""))) / STDEV(FILTER(P1347:P5415, AA1347:AA5415 =""Neighbor"")), """")"),1.6267224554333446)</f>
        <v>1.626722455</v>
      </c>
      <c r="AE1347" s="2">
        <f>IFERROR(__xludf.DUMMYFUNCTION("IFERROR(ABS(Q1347-AVERAGE(FILTER(Q1347:Q5415,AA1347:AA5415=""Neighbor""))) / STDEV(FILTER(Q1347:Q5415, AA1347:AA5415 =""Neighbor"")), """")"),0.03523930247889303)</f>
        <v>0.03523930248</v>
      </c>
      <c r="AF1347" s="2">
        <f>IFERROR(__xludf.DUMMYFUNCTION("IFERROR(ABS(R1347-AVERAGE(FILTER(R1347:R5415,AA1347:AA5415=""Neighbor""))) / STDEV(FILTER(R1347:R5415, AA1347:AA5415 =""Neighbor"")), """")"),0.3447123007469606)</f>
        <v>0.3447123007</v>
      </c>
    </row>
    <row r="1348">
      <c r="A1348" s="2" t="s">
        <v>28</v>
      </c>
      <c r="B1348" s="2" t="s">
        <v>5384</v>
      </c>
      <c r="C1348" s="2" t="s">
        <v>5495</v>
      </c>
      <c r="D1348" s="2" t="s">
        <v>5516</v>
      </c>
      <c r="E1348" s="2" t="s">
        <v>5517</v>
      </c>
      <c r="F1348" s="2">
        <v>55.0</v>
      </c>
      <c r="G1348" s="2">
        <v>155.0</v>
      </c>
      <c r="H1348" s="2" t="b">
        <v>1</v>
      </c>
      <c r="I1348" s="2">
        <v>-1.0</v>
      </c>
      <c r="J1348" s="2" t="b">
        <v>0</v>
      </c>
      <c r="K1348" s="2" t="b">
        <v>0</v>
      </c>
      <c r="L1348" s="2" t="b">
        <v>0</v>
      </c>
      <c r="M1348" s="2" t="b">
        <v>0</v>
      </c>
      <c r="N1348" s="2" t="s">
        <v>33</v>
      </c>
      <c r="O1348" s="2">
        <v>45.0</v>
      </c>
      <c r="P1348" s="2">
        <v>0.0</v>
      </c>
      <c r="Q1348" s="2">
        <v>5.0</v>
      </c>
      <c r="R1348" s="2">
        <v>0.0</v>
      </c>
      <c r="S1348" s="3" t="s">
        <v>5518</v>
      </c>
      <c r="T1348" s="2" t="s">
        <v>5519</v>
      </c>
      <c r="Y1348" s="4" t="str">
        <f>IFERROR(__xludf.DUMMYFUNCTION("""COMPUTED_VALUE"""),"7.0498662")</f>
        <v>7.0498662</v>
      </c>
      <c r="Z1348" s="4" t="str">
        <f>IFERROR(__xludf.DUMMYFUNCTION("""COMPUTED_VALUE"""),"3.9895967")</f>
        <v>3.9895967</v>
      </c>
      <c r="AA1348" s="4" t="str">
        <f t="shared" si="1"/>
        <v>Not Neighbor</v>
      </c>
      <c r="AC1348" s="4">
        <f>IFERROR(__xludf.DUMMYFUNCTION("IFERROR(ABS(O1348-AVERAGE(FILTER(O1348:O5416,AA1348:AA5416=""Neighbor""))) / STDEV(FILTER(O1348:O5416, AA1348:AA5416 =""Neighbor"")), """")"),0.4128283291088836)</f>
        <v>0.4128283291</v>
      </c>
      <c r="AD1348" s="4">
        <f>IFERROR(__xludf.DUMMYFUNCTION("IFERROR(ABS(P1348-AVERAGE(FILTER(O1348:P5416,AA1348:AA5416=""Neighbor""))) / STDEV(FILTER(P1348:P5416, AA1348:AA5416 =""Neighbor"")), """")"),1.8142361745772373)</f>
        <v>1.814236175</v>
      </c>
      <c r="AE1348" s="2">
        <f>IFERROR(__xludf.DUMMYFUNCTION("IFERROR(ABS(Q1348-AVERAGE(FILTER(Q1348:Q5416,AA1348:AA5416=""Neighbor""))) / STDEV(FILTER(Q1348:Q5416, AA1348:AA5416 =""Neighbor"")), """")"),0.8070360733709916)</f>
        <v>0.8070360734</v>
      </c>
      <c r="AF1348" s="2">
        <f>IFERROR(__xludf.DUMMYFUNCTION("IFERROR(ABS(R1348-AVERAGE(FILTER(R1348:R5416,AA1348:AA5416=""Neighbor""))) / STDEV(FILTER(R1348:R5416, AA1348:AA5416 =""Neighbor"")), """")"),0.3447123007469606)</f>
        <v>0.3447123007</v>
      </c>
    </row>
    <row r="1349">
      <c r="A1349" s="2" t="s">
        <v>28</v>
      </c>
      <c r="B1349" s="2" t="s">
        <v>5384</v>
      </c>
      <c r="C1349" s="2" t="s">
        <v>5495</v>
      </c>
      <c r="D1349" s="2" t="s">
        <v>5520</v>
      </c>
      <c r="E1349" s="2" t="s">
        <v>5521</v>
      </c>
      <c r="F1349" s="2">
        <v>84.0</v>
      </c>
      <c r="G1349" s="2">
        <v>443.0</v>
      </c>
      <c r="H1349" s="2" t="b">
        <v>1</v>
      </c>
      <c r="I1349" s="2">
        <v>-1.0</v>
      </c>
      <c r="J1349" s="2" t="b">
        <v>0</v>
      </c>
      <c r="K1349" s="2" t="b">
        <v>0</v>
      </c>
      <c r="L1349" s="2" t="b">
        <v>0</v>
      </c>
      <c r="M1349" s="2" t="b">
        <v>0</v>
      </c>
      <c r="N1349" s="2" t="s">
        <v>33</v>
      </c>
      <c r="O1349" s="2">
        <v>41.0</v>
      </c>
      <c r="P1349" s="2">
        <v>3.0</v>
      </c>
      <c r="Q1349" s="2">
        <v>30.0</v>
      </c>
      <c r="R1349" s="2">
        <v>0.0</v>
      </c>
      <c r="S1349" s="3" t="s">
        <v>5522</v>
      </c>
      <c r="T1349" s="2" t="s">
        <v>5523</v>
      </c>
      <c r="Y1349" s="4" t="str">
        <f>IFERROR(__xludf.DUMMYFUNCTION("""COMPUTED_VALUE"""),"6.9852975")</f>
        <v>6.9852975</v>
      </c>
      <c r="Z1349" s="4" t="str">
        <f>IFERROR(__xludf.DUMMYFUNCTION("""COMPUTED_VALUE"""),"3.9764733")</f>
        <v>3.9764733</v>
      </c>
      <c r="AA1349" s="4" t="str">
        <f t="shared" si="1"/>
        <v>Not Neighbor</v>
      </c>
      <c r="AC1349" s="4">
        <f>IFERROR(__xludf.DUMMYFUNCTION("IFERROR(ABS(O1349-AVERAGE(FILTER(O1349:O5417,AA1349:AA5417=""Neighbor""))) / STDEV(FILTER(O1349:O5417, AA1349:AA5417 =""Neighbor"")), """")"),0.5111565701676327)</f>
        <v>0.5111565702</v>
      </c>
      <c r="AD1349" s="4">
        <f>IFERROR(__xludf.DUMMYFUNCTION("IFERROR(ABS(P1349-AVERAGE(FILTER(O1349:P5417,AA1349:AA5417=""Neighbor""))) / STDEV(FILTER(P1349:P5417, AA1349:AA5417 =""Neighbor"")), """")"),1.6736008852193178)</f>
        <v>1.673600885</v>
      </c>
      <c r="AE1349" s="2">
        <f>IFERROR(__xludf.DUMMYFUNCTION("IFERROR(ABS(Q1349-AVERAGE(FILTER(Q1349:Q5417,AA1349:AA5417=""Neighbor""))) / STDEV(FILTER(Q1349:Q5417, AA1349:AA5417 =""Neighbor"")), """")"),0.19567270740268058)</f>
        <v>0.1956727074</v>
      </c>
      <c r="AF1349" s="2">
        <f>IFERROR(__xludf.DUMMYFUNCTION("IFERROR(ABS(R1349-AVERAGE(FILTER(R1349:R5417,AA1349:AA5417=""Neighbor""))) / STDEV(FILTER(R1349:R5417, AA1349:AA5417 =""Neighbor"")), """")"),0.3447123007469606)</f>
        <v>0.3447123007</v>
      </c>
    </row>
    <row r="1350">
      <c r="A1350" s="2" t="s">
        <v>28</v>
      </c>
      <c r="B1350" s="2" t="s">
        <v>5384</v>
      </c>
      <c r="C1350" s="2" t="s">
        <v>5495</v>
      </c>
      <c r="D1350" s="2" t="s">
        <v>5524</v>
      </c>
      <c r="E1350" s="2" t="s">
        <v>5525</v>
      </c>
      <c r="F1350" s="2">
        <v>58.0</v>
      </c>
      <c r="G1350" s="2">
        <v>220.0</v>
      </c>
      <c r="H1350" s="2" t="b">
        <v>1</v>
      </c>
      <c r="I1350" s="2">
        <v>-1.0</v>
      </c>
      <c r="J1350" s="2" t="b">
        <v>0</v>
      </c>
      <c r="K1350" s="2" t="b">
        <v>1</v>
      </c>
      <c r="L1350" s="2" t="b">
        <v>0</v>
      </c>
      <c r="M1350" s="2" t="b">
        <v>0</v>
      </c>
      <c r="N1350" s="2" t="s">
        <v>33</v>
      </c>
      <c r="O1350" s="2">
        <v>0.0</v>
      </c>
      <c r="P1350" s="2">
        <v>0.0</v>
      </c>
      <c r="Q1350" s="2">
        <v>0.0</v>
      </c>
      <c r="R1350" s="2">
        <v>0.0</v>
      </c>
      <c r="S1350" s="3" t="s">
        <v>5526</v>
      </c>
      <c r="T1350" s="2" t="s">
        <v>5527</v>
      </c>
      <c r="Y1350" s="4" t="str">
        <f>IFERROR(__xludf.DUMMYFUNCTION("""COMPUTED_VALUE"""),"6.7383561")</f>
        <v>6.7383561</v>
      </c>
      <c r="Z1350" s="4" t="str">
        <f>IFERROR(__xludf.DUMMYFUNCTION("""COMPUTED_VALUE"""),"4.4008497")</f>
        <v>4.4008497</v>
      </c>
      <c r="AA1350" s="4" t="str">
        <f t="shared" si="1"/>
        <v>Not Neighbor</v>
      </c>
      <c r="AC1350" s="4">
        <f>IFERROR(__xludf.DUMMYFUNCTION("IFERROR(ABS(O1350-AVERAGE(FILTER(O1350:O5418,AA1350:AA5418=""Neighbor""))) / STDEV(FILTER(O1350:O5418, AA1350:AA5418 =""Neighbor"")), """")"),1.519021041019811)</f>
        <v>1.519021041</v>
      </c>
      <c r="AD1350" s="4">
        <f>IFERROR(__xludf.DUMMYFUNCTION("IFERROR(ABS(P1350-AVERAGE(FILTER(O1350:P5418,AA1350:AA5418=""Neighbor""))) / STDEV(FILTER(P1350:P5418, AA1350:AA5418 =""Neighbor"")), """")"),1.8142361745772373)</f>
        <v>1.814236175</v>
      </c>
      <c r="AE1350" s="2">
        <f>IFERROR(__xludf.DUMMYFUNCTION("IFERROR(ABS(Q1350-AVERAGE(FILTER(Q1350:Q5418,AA1350:AA5418=""Neighbor""))) / STDEV(FILTER(Q1350:Q5418, AA1350:AA5418 =""Neighbor"")), """")"),1.007577829525726)</f>
        <v>1.00757783</v>
      </c>
      <c r="AF1350" s="2">
        <f>IFERROR(__xludf.DUMMYFUNCTION("IFERROR(ABS(R1350-AVERAGE(FILTER(R1350:R5418,AA1350:AA5418=""Neighbor""))) / STDEV(FILTER(R1350:R5418, AA1350:AA5418 =""Neighbor"")), """")"),0.3447123007469606)</f>
        <v>0.3447123007</v>
      </c>
    </row>
    <row r="1351">
      <c r="A1351" s="2" t="s">
        <v>28</v>
      </c>
      <c r="B1351" s="2" t="s">
        <v>5384</v>
      </c>
      <c r="C1351" s="2" t="s">
        <v>5495</v>
      </c>
      <c r="D1351" s="2" t="s">
        <v>5528</v>
      </c>
      <c r="E1351" s="2" t="s">
        <v>5529</v>
      </c>
      <c r="F1351" s="2">
        <v>42.0</v>
      </c>
      <c r="G1351" s="2">
        <v>176.0</v>
      </c>
      <c r="H1351" s="2" t="b">
        <v>1</v>
      </c>
      <c r="I1351" s="2">
        <v>-1.0</v>
      </c>
      <c r="J1351" s="2" t="b">
        <v>0</v>
      </c>
      <c r="K1351" s="2" t="b">
        <v>1</v>
      </c>
      <c r="L1351" s="2" t="b">
        <v>0</v>
      </c>
      <c r="M1351" s="2" t="b">
        <v>0</v>
      </c>
      <c r="N1351" s="2" t="s">
        <v>33</v>
      </c>
      <c r="O1351" s="2">
        <v>16.0</v>
      </c>
      <c r="P1351" s="2">
        <v>0.0</v>
      </c>
      <c r="Q1351" s="2">
        <v>25.0</v>
      </c>
      <c r="R1351" s="2">
        <v>0.0</v>
      </c>
      <c r="S1351" s="3" t="s">
        <v>5530</v>
      </c>
      <c r="T1351" s="2" t="s">
        <v>5531</v>
      </c>
      <c r="Y1351" s="4" t="str">
        <f>IFERROR(__xludf.DUMMYFUNCTION("""COMPUTED_VALUE"""),"7.054235")</f>
        <v>7.054235</v>
      </c>
      <c r="Z1351" s="4" t="str">
        <f>IFERROR(__xludf.DUMMYFUNCTION("""COMPUTED_VALUE"""),"4.0082563")</f>
        <v>4.0082563</v>
      </c>
      <c r="AA1351" s="4" t="str">
        <f t="shared" si="1"/>
        <v>Not Neighbor</v>
      </c>
      <c r="AC1351" s="4">
        <f>IFERROR(__xludf.DUMMYFUNCTION("IFERROR(ABS(O1351-AVERAGE(FILTER(O1351:O5419,AA1351:AA5419=""Neighbor""))) / STDEV(FILTER(O1351:O5419, AA1351:AA5419 =""Neighbor"")), """")"),1.1257080767848147)</f>
        <v>1.125708077</v>
      </c>
      <c r="AD1351" s="4">
        <f>IFERROR(__xludf.DUMMYFUNCTION("IFERROR(ABS(P1351-AVERAGE(FILTER(O1351:P5419,AA1351:AA5419=""Neighbor""))) / STDEV(FILTER(P1351:P5419, AA1351:AA5419 =""Neighbor"")), """")"),1.8142361745772373)</f>
        <v>1.814236175</v>
      </c>
      <c r="AE1351" s="2">
        <f>IFERROR(__xludf.DUMMYFUNCTION("IFERROR(ABS(Q1351-AVERAGE(FILTER(Q1351:Q5419,AA1351:AA5419=""Neighbor""))) / STDEV(FILTER(Q1351:Q5419, AA1351:AA5419 =""Neighbor"")), """")"),0.004869048752053858)</f>
        <v>0.004869048752</v>
      </c>
      <c r="AF1351" s="2">
        <f>IFERROR(__xludf.DUMMYFUNCTION("IFERROR(ABS(R1351-AVERAGE(FILTER(R1351:R5419,AA1351:AA5419=""Neighbor""))) / STDEV(FILTER(R1351:R5419, AA1351:AA5419 =""Neighbor"")), """")"),0.3447123007469606)</f>
        <v>0.3447123007</v>
      </c>
    </row>
    <row r="1352">
      <c r="A1352" s="2" t="s">
        <v>28</v>
      </c>
      <c r="B1352" s="2" t="s">
        <v>5384</v>
      </c>
      <c r="C1352" s="2" t="s">
        <v>5495</v>
      </c>
      <c r="D1352" s="2" t="s">
        <v>5532</v>
      </c>
      <c r="E1352" s="2" t="s">
        <v>5533</v>
      </c>
      <c r="F1352" s="2">
        <v>80.0</v>
      </c>
      <c r="G1352" s="2">
        <v>261.0</v>
      </c>
      <c r="H1352" s="2" t="b">
        <v>1</v>
      </c>
      <c r="I1352" s="2">
        <v>-1.0</v>
      </c>
      <c r="J1352" s="2" t="b">
        <v>0</v>
      </c>
      <c r="K1352" s="2" t="b">
        <v>1</v>
      </c>
      <c r="L1352" s="2" t="b">
        <v>0</v>
      </c>
      <c r="M1352" s="2" t="b">
        <v>0</v>
      </c>
      <c r="N1352" s="2" t="s">
        <v>33</v>
      </c>
      <c r="O1352" s="2">
        <v>60.0</v>
      </c>
      <c r="P1352" s="2">
        <v>2.0</v>
      </c>
      <c r="Q1352" s="2">
        <v>14.0</v>
      </c>
      <c r="R1352" s="2">
        <v>0.0</v>
      </c>
      <c r="S1352" s="3" t="s">
        <v>5534</v>
      </c>
      <c r="T1352" s="2" t="s">
        <v>5535</v>
      </c>
      <c r="Y1352" s="4" t="str">
        <f>IFERROR(__xludf.DUMMYFUNCTION("""COMPUTED_VALUE"""),"7.0332904")</f>
        <v>7.0332904</v>
      </c>
      <c r="Z1352" s="4" t="str">
        <f>IFERROR(__xludf.DUMMYFUNCTION("""COMPUTED_VALUE"""),"3.9470396")</f>
        <v>3.9470396</v>
      </c>
      <c r="AA1352" s="4" t="str">
        <f t="shared" si="1"/>
        <v>Not Neighbor</v>
      </c>
      <c r="AC1352" s="4">
        <f>IFERROR(__xludf.DUMMYFUNCTION("IFERROR(ABS(O1352-AVERAGE(FILTER(O1352:O5420,AA1352:AA5420=""Neighbor""))) / STDEV(FILTER(O1352:O5420, AA1352:AA5420 =""Neighbor"")), """")"),0.04409742513857447)</f>
        <v>0.04409742514</v>
      </c>
      <c r="AD1352" s="4">
        <f>IFERROR(__xludf.DUMMYFUNCTION("IFERROR(ABS(P1352-AVERAGE(FILTER(O1352:P5420,AA1352:AA5420=""Neighbor""))) / STDEV(FILTER(P1352:P5420, AA1352:AA5420 =""Neighbor"")), """")"),1.720479315005291)</f>
        <v>1.720479315</v>
      </c>
      <c r="AE1352" s="2">
        <f>IFERROR(__xludf.DUMMYFUNCTION("IFERROR(ABS(Q1352-AVERAGE(FILTER(Q1352:Q5420,AA1352:AA5420=""Neighbor""))) / STDEV(FILTER(Q1352:Q5420, AA1352:AA5420 =""Neighbor"")), """")"),0.44606091229246964)</f>
        <v>0.4460609123</v>
      </c>
      <c r="AF1352" s="2">
        <f>IFERROR(__xludf.DUMMYFUNCTION("IFERROR(ABS(R1352-AVERAGE(FILTER(R1352:R5420,AA1352:AA5420=""Neighbor""))) / STDEV(FILTER(R1352:R5420, AA1352:AA5420 =""Neighbor"")), """")"),0.3447123007469606)</f>
        <v>0.3447123007</v>
      </c>
    </row>
    <row r="1353">
      <c r="A1353" s="2" t="s">
        <v>28</v>
      </c>
      <c r="B1353" s="2" t="s">
        <v>5384</v>
      </c>
      <c r="C1353" s="2" t="s">
        <v>5495</v>
      </c>
      <c r="D1353" s="2" t="s">
        <v>5536</v>
      </c>
      <c r="E1353" s="2" t="s">
        <v>5537</v>
      </c>
      <c r="F1353" s="2">
        <v>48.0</v>
      </c>
      <c r="G1353" s="2">
        <v>150.0</v>
      </c>
      <c r="H1353" s="2" t="b">
        <v>1</v>
      </c>
      <c r="I1353" s="2">
        <v>-1.0</v>
      </c>
      <c r="J1353" s="2" t="b">
        <v>0</v>
      </c>
      <c r="K1353" s="2" t="b">
        <v>0</v>
      </c>
      <c r="L1353" s="2" t="b">
        <v>0</v>
      </c>
      <c r="M1353" s="2" t="b">
        <v>0</v>
      </c>
      <c r="N1353" s="2" t="s">
        <v>33</v>
      </c>
      <c r="O1353" s="2">
        <v>35.0</v>
      </c>
      <c r="P1353" s="2">
        <v>1.0</v>
      </c>
      <c r="Q1353" s="2">
        <v>9.0</v>
      </c>
      <c r="R1353" s="2">
        <v>0.0</v>
      </c>
      <c r="S1353" s="3" t="s">
        <v>5538</v>
      </c>
      <c r="T1353" s="2" t="s">
        <v>5539</v>
      </c>
      <c r="Y1353" s="4" t="str">
        <f>IFERROR(__xludf.DUMMYFUNCTION("""COMPUTED_VALUE"""),"7.054235")</f>
        <v>7.054235</v>
      </c>
      <c r="Z1353" s="4" t="str">
        <f>IFERROR(__xludf.DUMMYFUNCTION("""COMPUTED_VALUE"""),"4.0082563")</f>
        <v>4.0082563</v>
      </c>
      <c r="AA1353" s="4" t="str">
        <f t="shared" si="1"/>
        <v>Neighbor</v>
      </c>
      <c r="AC1353" s="4">
        <f>IFERROR(__xludf.DUMMYFUNCTION("IFERROR(ABS(O1353-AVERAGE(FILTER(O1353:O5421,AA1353:AA5421=""Neighbor""))) / STDEV(FILTER(O1353:O5421, AA1353:AA5421 =""Neighbor"")), """")"),0.6586489317557563)</f>
        <v>0.6586489318</v>
      </c>
      <c r="AD1353" s="4">
        <f>IFERROR(__xludf.DUMMYFUNCTION("IFERROR(ABS(P1353-AVERAGE(FILTER(O1353:P5421,AA1353:AA5421=""Neighbor""))) / STDEV(FILTER(P1353:P5421, AA1353:AA5421 =""Neighbor"")), """")"),1.767357744791264)</f>
        <v>1.767357745</v>
      </c>
      <c r="AE1353" s="2">
        <f>IFERROR(__xludf.DUMMYFUNCTION("IFERROR(ABS(Q1353-AVERAGE(FILTER(Q1353:Q5421,AA1353:AA5421=""Neighbor""))) / STDEV(FILTER(Q1353:Q5421, AA1353:AA5421 =""Neighbor"")), """")"),0.646602668447204)</f>
        <v>0.6466026684</v>
      </c>
      <c r="AF1353" s="2">
        <f>IFERROR(__xludf.DUMMYFUNCTION("IFERROR(ABS(R1353-AVERAGE(FILTER(R1353:R5421,AA1353:AA5421=""Neighbor""))) / STDEV(FILTER(R1353:R5421, AA1353:AA5421 =""Neighbor"")), """")"),0.3447123007469606)</f>
        <v>0.3447123007</v>
      </c>
    </row>
    <row r="1354">
      <c r="A1354" s="2" t="s">
        <v>28</v>
      </c>
      <c r="B1354" s="2" t="s">
        <v>5384</v>
      </c>
      <c r="C1354" s="2" t="s">
        <v>5495</v>
      </c>
      <c r="D1354" s="2" t="s">
        <v>5540</v>
      </c>
      <c r="E1354" s="2" t="s">
        <v>5541</v>
      </c>
      <c r="F1354" s="2">
        <v>60.0</v>
      </c>
      <c r="G1354" s="2">
        <v>185.0</v>
      </c>
      <c r="H1354" s="2" t="b">
        <v>1</v>
      </c>
      <c r="I1354" s="2">
        <v>-1.0</v>
      </c>
      <c r="J1354" s="2" t="b">
        <v>0</v>
      </c>
      <c r="K1354" s="2" t="b">
        <v>0</v>
      </c>
      <c r="L1354" s="2" t="b">
        <v>0</v>
      </c>
      <c r="M1354" s="2" t="b">
        <v>0</v>
      </c>
      <c r="N1354" s="2" t="s">
        <v>33</v>
      </c>
      <c r="O1354" s="2">
        <v>20.0</v>
      </c>
      <c r="P1354" s="2">
        <v>0.0</v>
      </c>
      <c r="Q1354" s="2">
        <v>39.0</v>
      </c>
      <c r="R1354" s="2">
        <v>0.0</v>
      </c>
      <c r="S1354" s="3" t="s">
        <v>5542</v>
      </c>
      <c r="T1354" s="2" t="s">
        <v>5543</v>
      </c>
      <c r="Y1354" s="4" t="str">
        <f>IFERROR(__xludf.DUMMYFUNCTION("""COMPUTED_VALUE"""),"7.054235")</f>
        <v>7.054235</v>
      </c>
      <c r="Z1354" s="4" t="str">
        <f>IFERROR(__xludf.DUMMYFUNCTION("""COMPUTED_VALUE"""),"4.0082563")</f>
        <v>4.0082563</v>
      </c>
      <c r="AA1354" s="4" t="str">
        <f t="shared" si="1"/>
        <v>Not Neighbor</v>
      </c>
      <c r="AC1354" s="4">
        <f>IFERROR(__xludf.DUMMYFUNCTION("IFERROR(ABS(O1354-AVERAGE(FILTER(O1354:O5422,AA1354:AA5422=""Neighbor""))) / STDEV(FILTER(O1354:O5422, AA1354:AA5422 =""Neighbor"")), """")"),1.0277012454015797)</f>
        <v>1.027701245</v>
      </c>
      <c r="AD1354" s="4">
        <f>IFERROR(__xludf.DUMMYFUNCTION("IFERROR(ABS(P1354-AVERAGE(FILTER(O1354:P5422,AA1354:AA5422=""Neighbor""))) / STDEV(FILTER(P1354:P5422, AA1354:AA5422 =""Neighbor"")), """")"),1.8146632598188523)</f>
        <v>1.81466326</v>
      </c>
      <c r="AE1354" s="2">
        <f>IFERROR(__xludf.DUMMYFUNCTION("IFERROR(ABS(Q1354-AVERAGE(FILTER(Q1354:Q5422,AA1354:AA5422=""Neighbor""))) / STDEV(FILTER(Q1354:Q5422, AA1354:AA5422 =""Neighbor"")), """")"),0.5559412474805521)</f>
        <v>0.5559412475</v>
      </c>
      <c r="AF1354" s="2">
        <f>IFERROR(__xludf.DUMMYFUNCTION("IFERROR(ABS(R1354-AVERAGE(FILTER(R1354:R5422,AA1354:AA5422=""Neighbor""))) / STDEV(FILTER(R1354:R5422, AA1354:AA5422 =""Neighbor"")), """")"),0.3448807244496602)</f>
        <v>0.3448807244</v>
      </c>
    </row>
    <row r="1355">
      <c r="A1355" s="2" t="s">
        <v>28</v>
      </c>
      <c r="B1355" s="2" t="s">
        <v>5384</v>
      </c>
      <c r="C1355" s="2" t="s">
        <v>5495</v>
      </c>
      <c r="D1355" s="2" t="s">
        <v>5544</v>
      </c>
      <c r="E1355" s="2" t="s">
        <v>5545</v>
      </c>
      <c r="F1355" s="2">
        <v>43.0</v>
      </c>
      <c r="G1355" s="2">
        <v>187.0</v>
      </c>
      <c r="H1355" s="2" t="b">
        <v>1</v>
      </c>
      <c r="I1355" s="2">
        <v>-1.0</v>
      </c>
      <c r="J1355" s="2" t="b">
        <v>0</v>
      </c>
      <c r="K1355" s="2" t="b">
        <v>0</v>
      </c>
      <c r="L1355" s="2" t="b">
        <v>0</v>
      </c>
      <c r="M1355" s="2" t="b">
        <v>0</v>
      </c>
      <c r="N1355" s="2" t="s">
        <v>33</v>
      </c>
      <c r="O1355" s="2">
        <v>31.0</v>
      </c>
      <c r="P1355" s="2">
        <v>0.0</v>
      </c>
      <c r="Q1355" s="2">
        <v>12.0</v>
      </c>
      <c r="R1355" s="2">
        <v>0.0</v>
      </c>
      <c r="S1355" s="3" t="s">
        <v>5546</v>
      </c>
      <c r="T1355" s="2" t="s">
        <v>5547</v>
      </c>
      <c r="Y1355" s="4" t="str">
        <f>IFERROR(__xludf.DUMMYFUNCTION("""COMPUTED_VALUE"""),"7.0982168")</f>
        <v>7.0982168</v>
      </c>
      <c r="Z1355" s="4" t="str">
        <f>IFERROR(__xludf.DUMMYFUNCTION("""COMPUTED_VALUE"""),"3.9851321")</f>
        <v>3.9851321</v>
      </c>
      <c r="AA1355" s="4" t="str">
        <f t="shared" si="1"/>
        <v>Not Neighbor</v>
      </c>
      <c r="AC1355" s="4">
        <f>IFERROR(__xludf.DUMMYFUNCTION("IFERROR(ABS(O1355-AVERAGE(FILTER(O1355:O5423,AA1355:AA5423=""Neighbor""))) / STDEV(FILTER(O1355:O5423, AA1355:AA5423 =""Neighbor"")), """")"),0.7573654843669954)</f>
        <v>0.7573654844</v>
      </c>
      <c r="AD1355" s="4">
        <f>IFERROR(__xludf.DUMMYFUNCTION("IFERROR(ABS(P1355-AVERAGE(FILTER(O1355:P5423,AA1355:AA5423=""Neighbor""))) / STDEV(FILTER(P1355:P5423, AA1355:AA5423 =""Neighbor"")), """")"),1.8146632598188523)</f>
        <v>1.81466326</v>
      </c>
      <c r="AE1355" s="2">
        <f>IFERROR(__xludf.DUMMYFUNCTION("IFERROR(ABS(Q1355-AVERAGE(FILTER(Q1355:Q5423,AA1355:AA5423=""Neighbor""))) / STDEV(FILTER(Q1355:Q5423, AA1355:AA5423 =""Neighbor"")), """")"),0.5267088535332107)</f>
        <v>0.5267088535</v>
      </c>
      <c r="AF1355" s="2">
        <f>IFERROR(__xludf.DUMMYFUNCTION("IFERROR(ABS(R1355-AVERAGE(FILTER(R1355:R5423,AA1355:AA5423=""Neighbor""))) / STDEV(FILTER(R1355:R5423, AA1355:AA5423 =""Neighbor"")), """")"),0.3448807244496602)</f>
        <v>0.3448807244</v>
      </c>
    </row>
    <row r="1356">
      <c r="A1356" s="2" t="s">
        <v>28</v>
      </c>
      <c r="B1356" s="2" t="s">
        <v>5384</v>
      </c>
      <c r="C1356" s="2" t="s">
        <v>5495</v>
      </c>
      <c r="D1356" s="2" t="s">
        <v>5548</v>
      </c>
      <c r="E1356" s="2" t="s">
        <v>5549</v>
      </c>
      <c r="F1356" s="2">
        <v>63.0</v>
      </c>
      <c r="G1356" s="2">
        <v>233.0</v>
      </c>
      <c r="H1356" s="2" t="b">
        <v>1</v>
      </c>
      <c r="I1356" s="2">
        <v>-1.0</v>
      </c>
      <c r="J1356" s="2" t="b">
        <v>0</v>
      </c>
      <c r="K1356" s="2" t="b">
        <v>0</v>
      </c>
      <c r="L1356" s="2" t="b">
        <v>0</v>
      </c>
      <c r="M1356" s="2" t="b">
        <v>0</v>
      </c>
      <c r="N1356" s="2" t="s">
        <v>33</v>
      </c>
      <c r="O1356" s="2">
        <v>52.0</v>
      </c>
      <c r="P1356" s="2">
        <v>0.0</v>
      </c>
      <c r="Q1356" s="2">
        <v>10.0</v>
      </c>
      <c r="R1356" s="2">
        <v>0.0</v>
      </c>
      <c r="S1356" s="3" t="s">
        <v>5550</v>
      </c>
      <c r="T1356" s="2" t="s">
        <v>5551</v>
      </c>
      <c r="Y1356" s="4" t="str">
        <f>IFERROR(__xludf.DUMMYFUNCTION("""COMPUTED_VALUE"""),"8.2774419")</f>
        <v>8.2774419</v>
      </c>
      <c r="Z1356" s="4" t="str">
        <f>IFERROR(__xludf.DUMMYFUNCTION("""COMPUTED_VALUE"""),"8.5628309")</f>
        <v>8.5628309</v>
      </c>
      <c r="AA1356" s="4" t="str">
        <f t="shared" si="1"/>
        <v>Not Neighbor</v>
      </c>
      <c r="AC1356" s="4">
        <f>IFERROR(__xludf.DUMMYFUNCTION("IFERROR(ABS(O1356-AVERAGE(FILTER(O1356:O5424,AA1356:AA5424=""Neighbor""))) / STDEV(FILTER(O1356:O5424, AA1356:AA5424 =""Neighbor"")), """")"),0.24126994057369805)</f>
        <v>0.2412699406</v>
      </c>
      <c r="AD1356" s="4">
        <f>IFERROR(__xludf.DUMMYFUNCTION("IFERROR(ABS(P1356-AVERAGE(FILTER(O1356:P5424,AA1356:AA5424=""Neighbor""))) / STDEV(FILTER(P1356:P5424, AA1356:AA5424 =""Neighbor"")), """")"),1.8146632598188523)</f>
        <v>1.81466326</v>
      </c>
      <c r="AE1356" s="2">
        <f>IFERROR(__xludf.DUMMYFUNCTION("IFERROR(ABS(Q1356-AVERAGE(FILTER(Q1356:Q5424,AA1356:AA5424=""Neighbor""))) / STDEV(FILTER(Q1356:Q5424, AA1356:AA5424 =""Neighbor"")), """")"),0.606905157312008)</f>
        <v>0.6069051573</v>
      </c>
      <c r="AF1356" s="2">
        <f>IFERROR(__xludf.DUMMYFUNCTION("IFERROR(ABS(R1356-AVERAGE(FILTER(R1356:R5424,AA1356:AA5424=""Neighbor""))) / STDEV(FILTER(R1356:R5424, AA1356:AA5424 =""Neighbor"")), """")"),0.3448807244496602)</f>
        <v>0.3448807244</v>
      </c>
    </row>
    <row r="1357">
      <c r="A1357" s="2" t="s">
        <v>28</v>
      </c>
      <c r="B1357" s="2" t="s">
        <v>5384</v>
      </c>
      <c r="C1357" s="2" t="s">
        <v>5495</v>
      </c>
      <c r="D1357" s="2" t="s">
        <v>5552</v>
      </c>
      <c r="E1357" s="2" t="s">
        <v>5553</v>
      </c>
      <c r="F1357" s="2">
        <v>74.0</v>
      </c>
      <c r="G1357" s="2">
        <v>383.0</v>
      </c>
      <c r="H1357" s="2" t="b">
        <v>1</v>
      </c>
      <c r="I1357" s="2">
        <v>-1.0</v>
      </c>
      <c r="J1357" s="2" t="b">
        <v>0</v>
      </c>
      <c r="K1357" s="2" t="b">
        <v>1</v>
      </c>
      <c r="L1357" s="2" t="b">
        <v>0</v>
      </c>
      <c r="M1357" s="2" t="b">
        <v>0</v>
      </c>
      <c r="N1357" s="2" t="s">
        <v>33</v>
      </c>
      <c r="O1357" s="2">
        <v>43.0</v>
      </c>
      <c r="P1357" s="2">
        <v>4.0</v>
      </c>
      <c r="Q1357" s="2">
        <v>16.0</v>
      </c>
      <c r="R1357" s="2">
        <v>1.0</v>
      </c>
      <c r="S1357" s="3" t="s">
        <v>5554</v>
      </c>
      <c r="T1357" s="2" t="s">
        <v>5555</v>
      </c>
      <c r="Y1357" s="4" t="str">
        <f>IFERROR(__xludf.DUMMYFUNCTION("""COMPUTED_VALUE"""),"7.0332904")</f>
        <v>7.0332904</v>
      </c>
      <c r="Z1357" s="4" t="str">
        <f>IFERROR(__xludf.DUMMYFUNCTION("""COMPUTED_VALUE"""),"3.9470396")</f>
        <v>3.9470396</v>
      </c>
      <c r="AA1357" s="4" t="str">
        <f t="shared" si="1"/>
        <v>Not Neighbor</v>
      </c>
      <c r="AC1357" s="4">
        <f>IFERROR(__xludf.DUMMYFUNCTION("IFERROR(ABS(O1357-AVERAGE(FILTER(O1357:O5425,AA1357:AA5425=""Neighbor""))) / STDEV(FILTER(O1357:O5425, AA1357:AA5425 =""Neighbor"")), """")"),0.46245374505653974)</f>
        <v>0.4624537451</v>
      </c>
      <c r="AD1357" s="4">
        <f>IFERROR(__xludf.DUMMYFUNCTION("IFERROR(ABS(P1357-AVERAGE(FILTER(O1357:P5425,AA1357:AA5425=""Neighbor""))) / STDEV(FILTER(P1357:P5425, AA1357:AA5425 =""Neighbor"")), """")"),1.6271930529775724)</f>
        <v>1.627193053</v>
      </c>
      <c r="AE1357" s="2">
        <f>IFERROR(__xludf.DUMMYFUNCTION("IFERROR(ABS(Q1357-AVERAGE(FILTER(Q1357:Q5425,AA1357:AA5425=""Neighbor""))) / STDEV(FILTER(Q1357:Q5425, AA1357:AA5425 =""Neighbor"")), """")"),0.36631624597561624)</f>
        <v>0.366316246</v>
      </c>
      <c r="AF1357" s="2">
        <f>IFERROR(__xludf.DUMMYFUNCTION("IFERROR(ABS(R1357-AVERAGE(FILTER(R1357:R5425,AA1357:AA5425=""Neighbor""))) / STDEV(FILTER(R1357:R5425, AA1357:AA5425 =""Neighbor"")), """")"),0.857995948630862)</f>
        <v>0.8579959486</v>
      </c>
    </row>
    <row r="1358">
      <c r="A1358" s="2" t="s">
        <v>28</v>
      </c>
      <c r="B1358" s="2" t="s">
        <v>5384</v>
      </c>
      <c r="C1358" s="2" t="s">
        <v>5495</v>
      </c>
      <c r="D1358" s="2" t="s">
        <v>5556</v>
      </c>
      <c r="E1358" s="2" t="s">
        <v>5557</v>
      </c>
      <c r="F1358" s="2">
        <v>44.0</v>
      </c>
      <c r="G1358" s="2">
        <v>237.0</v>
      </c>
      <c r="H1358" s="2" t="b">
        <v>1</v>
      </c>
      <c r="I1358" s="2">
        <v>-1.0</v>
      </c>
      <c r="J1358" s="2" t="b">
        <v>0</v>
      </c>
      <c r="K1358" s="2" t="b">
        <v>1</v>
      </c>
      <c r="L1358" s="2" t="b">
        <v>0</v>
      </c>
      <c r="M1358" s="2" t="b">
        <v>0</v>
      </c>
      <c r="N1358" s="2" t="s">
        <v>33</v>
      </c>
      <c r="O1358" s="2">
        <v>22.0</v>
      </c>
      <c r="P1358" s="2">
        <v>10.0</v>
      </c>
      <c r="Q1358" s="2">
        <v>10.0</v>
      </c>
      <c r="R1358" s="2">
        <v>0.0</v>
      </c>
      <c r="S1358" s="3" t="s">
        <v>5558</v>
      </c>
      <c r="T1358" s="2" t="s">
        <v>5559</v>
      </c>
      <c r="Y1358" s="4" t="str">
        <f>IFERROR(__xludf.DUMMYFUNCTION("""COMPUTED_VALUE"""),"7.7851366")</f>
        <v>7.7851366</v>
      </c>
      <c r="Z1358" s="4" t="str">
        <f>IFERROR(__xludf.DUMMYFUNCTION("""COMPUTED_VALUE"""),"3.6700879")</f>
        <v>3.6700879</v>
      </c>
      <c r="AA1358" s="4" t="str">
        <f t="shared" si="1"/>
        <v>Neighbor</v>
      </c>
      <c r="AC1358" s="4">
        <f>IFERROR(__xludf.DUMMYFUNCTION("IFERROR(ABS(O1358-AVERAGE(FILTER(O1358:O5426,AA1358:AA5426=""Neighbor""))) / STDEV(FILTER(O1358:O5426, AA1358:AA5426 =""Neighbor"")), """")"),0.9785492888498369)</f>
        <v>0.9785492888</v>
      </c>
      <c r="AD1358" s="4">
        <f>IFERROR(__xludf.DUMMYFUNCTION("IFERROR(ABS(P1358-AVERAGE(FILTER(O1358:P5426,AA1358:AA5426=""Neighbor""))) / STDEV(FILTER(P1358:P5426, AA1358:AA5426 =""Neighbor"")), """")"),1.3459877427156528)</f>
        <v>1.345987743</v>
      </c>
      <c r="AE1358" s="2">
        <f>IFERROR(__xludf.DUMMYFUNCTION("IFERROR(ABS(Q1358-AVERAGE(FILTER(Q1358:Q5426,AA1358:AA5426=""Neighbor""))) / STDEV(FILTER(Q1358:Q5426, AA1358:AA5426 =""Neighbor"")), """")"),0.606905157312008)</f>
        <v>0.6069051573</v>
      </c>
      <c r="AF1358" s="2">
        <f>IFERROR(__xludf.DUMMYFUNCTION("IFERROR(ABS(R1358-AVERAGE(FILTER(R1358:R5426,AA1358:AA5426=""Neighbor""))) / STDEV(FILTER(R1358:R5426, AA1358:AA5426 =""Neighbor"")), """")"),0.3448807244496602)</f>
        <v>0.3448807244</v>
      </c>
    </row>
    <row r="1359">
      <c r="A1359" s="2" t="s">
        <v>28</v>
      </c>
      <c r="B1359" s="2" t="s">
        <v>5384</v>
      </c>
      <c r="C1359" s="2" t="s">
        <v>5495</v>
      </c>
      <c r="D1359" s="2" t="s">
        <v>5560</v>
      </c>
      <c r="E1359" s="2" t="s">
        <v>5561</v>
      </c>
      <c r="F1359" s="2">
        <v>53.0</v>
      </c>
      <c r="G1359" s="2">
        <v>176.0</v>
      </c>
      <c r="H1359" s="2" t="b">
        <v>1</v>
      </c>
      <c r="I1359" s="2">
        <v>-1.0</v>
      </c>
      <c r="J1359" s="2" t="b">
        <v>0</v>
      </c>
      <c r="K1359" s="2" t="b">
        <v>0</v>
      </c>
      <c r="L1359" s="2" t="b">
        <v>0</v>
      </c>
      <c r="M1359" s="2" t="b">
        <v>0</v>
      </c>
      <c r="N1359" s="2" t="s">
        <v>33</v>
      </c>
      <c r="O1359" s="2">
        <v>37.0</v>
      </c>
      <c r="P1359" s="2">
        <v>0.0</v>
      </c>
      <c r="Q1359" s="2">
        <v>6.0</v>
      </c>
      <c r="R1359" s="2">
        <v>0.0</v>
      </c>
      <c r="S1359" s="3" t="s">
        <v>5562</v>
      </c>
      <c r="T1359" s="2" t="s">
        <v>5563</v>
      </c>
      <c r="Y1359" s="4" t="str">
        <f>IFERROR(__xludf.DUMMYFUNCTION("""COMPUTED_VALUE"""),"7.7851366")</f>
        <v>7.7851366</v>
      </c>
      <c r="Z1359" s="4" t="str">
        <f>IFERROR(__xludf.DUMMYFUNCTION("""COMPUTED_VALUE"""),"3.6700879")</f>
        <v>3.6700879</v>
      </c>
      <c r="AA1359" s="4" t="str">
        <f t="shared" si="1"/>
        <v>Not Neighbor</v>
      </c>
      <c r="AC1359" s="4">
        <f>IFERROR(__xludf.DUMMYFUNCTION("IFERROR(ABS(O1359-AVERAGE(FILTER(O1359:O5427,AA1359:AA5427=""Neighbor""))) / STDEV(FILTER(O1359:O5427, AA1359:AA5427 =""Neighbor"")), """")"),0.610754613404379)</f>
        <v>0.6107546134</v>
      </c>
      <c r="AD1359" s="4">
        <f>IFERROR(__xludf.DUMMYFUNCTION("IFERROR(ABS(P1359-AVERAGE(FILTER(O1359:P5427,AA1359:AA5427=""Neighbor""))) / STDEV(FILTER(P1359:P5427, AA1359:AA5427 =""Neighbor"")), """")"),1.8148555707390246)</f>
        <v>1.814855571</v>
      </c>
      <c r="AE1359" s="2">
        <f>IFERROR(__xludf.DUMMYFUNCTION("IFERROR(ABS(Q1359-AVERAGE(FILTER(Q1359:Q5427,AA1359:AA5427=""Neighbor""))) / STDEV(FILTER(Q1359:Q5427, AA1359:AA5427 =""Neighbor"")), """")"),0.7676165850508018)</f>
        <v>0.7676165851</v>
      </c>
      <c r="AF1359" s="2">
        <f>IFERROR(__xludf.DUMMYFUNCTION("IFERROR(ABS(R1359-AVERAGE(FILTER(R1359:R5427,AA1359:AA5427=""Neighbor""))) / STDEV(FILTER(R1359:R5427, AA1359:AA5427 =""Neighbor"")), """")"),0.34504939529259493)</f>
        <v>0.3450493953</v>
      </c>
    </row>
    <row r="1360">
      <c r="A1360" s="2" t="s">
        <v>28</v>
      </c>
      <c r="B1360" s="2" t="s">
        <v>5384</v>
      </c>
      <c r="C1360" s="2" t="s">
        <v>5495</v>
      </c>
      <c r="D1360" s="2" t="s">
        <v>5564</v>
      </c>
      <c r="E1360" s="2" t="s">
        <v>5565</v>
      </c>
      <c r="F1360" s="2">
        <v>70.0</v>
      </c>
      <c r="G1360" s="2">
        <v>452.0</v>
      </c>
      <c r="H1360" s="2" t="b">
        <v>1</v>
      </c>
      <c r="I1360" s="2">
        <v>-1.0</v>
      </c>
      <c r="J1360" s="2" t="b">
        <v>0</v>
      </c>
      <c r="K1360" s="2" t="b">
        <v>0</v>
      </c>
      <c r="L1360" s="2" t="b">
        <v>0</v>
      </c>
      <c r="M1360" s="2" t="b">
        <v>0</v>
      </c>
      <c r="N1360" s="2" t="s">
        <v>33</v>
      </c>
      <c r="O1360" s="2">
        <v>44.0</v>
      </c>
      <c r="P1360" s="2">
        <v>5.0</v>
      </c>
      <c r="Q1360" s="2">
        <v>15.0</v>
      </c>
      <c r="R1360" s="2">
        <v>0.0</v>
      </c>
      <c r="S1360" s="3" t="s">
        <v>5566</v>
      </c>
      <c r="T1360" s="2" t="s">
        <v>5567</v>
      </c>
      <c r="Y1360" s="4" t="str">
        <f>IFERROR(__xludf.DUMMYFUNCTION("""COMPUTED_VALUE"""),"7.054235")</f>
        <v>7.054235</v>
      </c>
      <c r="Z1360" s="4" t="str">
        <f>IFERROR(__xludf.DUMMYFUNCTION("""COMPUTED_VALUE"""),"4.0082563")</f>
        <v>4.0082563</v>
      </c>
      <c r="AA1360" s="4" t="str">
        <f t="shared" si="1"/>
        <v>Neighbor</v>
      </c>
      <c r="AC1360" s="4">
        <f>IFERROR(__xludf.DUMMYFUNCTION("IFERROR(ABS(O1360-AVERAGE(FILTER(O1360:O5428,AA1360:AA5428=""Neighbor""))) / STDEV(FILTER(O1360:O5428, AA1360:AA5428 =""Neighbor"")), """")"),0.438725898983185)</f>
        <v>0.438725899</v>
      </c>
      <c r="AD1360" s="4">
        <f>IFERROR(__xludf.DUMMYFUNCTION("IFERROR(ABS(P1360-AVERAGE(FILTER(O1360:P5428,AA1360:AA5428=""Neighbor""))) / STDEV(FILTER(P1360:P5428, AA1360:AA5428 =""Neighbor"")), """")"),1.5806132276882545)</f>
        <v>1.580613228</v>
      </c>
      <c r="AE1360" s="2">
        <f>IFERROR(__xludf.DUMMYFUNCTION("IFERROR(ABS(Q1360-AVERAGE(FILTER(Q1360:Q5428,AA1360:AA5428=""Neighbor""))) / STDEV(FILTER(Q1360:Q5428, AA1360:AA5428 =""Neighbor"")), """")"),0.4068329321784302)</f>
        <v>0.4068329322</v>
      </c>
      <c r="AF1360" s="2">
        <f>IFERROR(__xludf.DUMMYFUNCTION("IFERROR(ABS(R1360-AVERAGE(FILTER(R1360:R5428,AA1360:AA5428=""Neighbor""))) / STDEV(FILTER(R1360:R5428, AA1360:AA5428 =""Neighbor"")), """")"),0.34504939529259493)</f>
        <v>0.3450493953</v>
      </c>
    </row>
    <row r="1361">
      <c r="A1361" s="2" t="s">
        <v>28</v>
      </c>
      <c r="B1361" s="2" t="s">
        <v>5384</v>
      </c>
      <c r="C1361" s="2" t="s">
        <v>5495</v>
      </c>
      <c r="D1361" s="2" t="s">
        <v>5568</v>
      </c>
      <c r="E1361" s="2" t="s">
        <v>5569</v>
      </c>
      <c r="F1361" s="2">
        <v>71.0</v>
      </c>
      <c r="G1361" s="2">
        <v>329.0</v>
      </c>
      <c r="H1361" s="2" t="b">
        <v>1</v>
      </c>
      <c r="I1361" s="2">
        <v>-1.0</v>
      </c>
      <c r="J1361" s="2" t="b">
        <v>0</v>
      </c>
      <c r="K1361" s="2" t="b">
        <v>0</v>
      </c>
      <c r="L1361" s="2" t="b">
        <v>0</v>
      </c>
      <c r="M1361" s="2" t="b">
        <v>0</v>
      </c>
      <c r="N1361" s="2" t="s">
        <v>33</v>
      </c>
      <c r="O1361" s="2">
        <v>53.0</v>
      </c>
      <c r="P1361" s="2">
        <v>0.0</v>
      </c>
      <c r="Q1361" s="2">
        <v>16.0</v>
      </c>
      <c r="R1361" s="2">
        <v>0.0</v>
      </c>
      <c r="S1361" s="3" t="s">
        <v>5570</v>
      </c>
      <c r="T1361" s="2" t="s">
        <v>5571</v>
      </c>
      <c r="Y1361" s="4" t="str">
        <f>IFERROR(__xludf.DUMMYFUNCTION("""COMPUTED_VALUE"""),"7.054235")</f>
        <v>7.054235</v>
      </c>
      <c r="Z1361" s="4" t="str">
        <f>IFERROR(__xludf.DUMMYFUNCTION("""COMPUTED_VALUE"""),"4.0082563")</f>
        <v>4.0082563</v>
      </c>
      <c r="AA1361" s="4" t="str">
        <f t="shared" si="1"/>
        <v>Neighbor</v>
      </c>
      <c r="AC1361" s="4">
        <f>IFERROR(__xludf.DUMMYFUNCTION("IFERROR(ABS(O1361-AVERAGE(FILTER(O1361:O5429,AA1361:AA5429=""Neighbor""))) / STDEV(FILTER(O1361:O5429, AA1361:AA5429 =""Neighbor"")), """")"),0.2178532357077858)</f>
        <v>0.2178532357</v>
      </c>
      <c r="AD1361" s="4">
        <f>IFERROR(__xludf.DUMMYFUNCTION("IFERROR(ABS(P1361-AVERAGE(FILTER(O1361:P5429,AA1361:AA5429=""Neighbor""))) / STDEV(FILTER(P1361:P5429, AA1361:AA5429 =""Neighbor"")), """")"),1.8148417470505005)</f>
        <v>1.814841747</v>
      </c>
      <c r="AE1361" s="2">
        <f>IFERROR(__xludf.DUMMYFUNCTION("IFERROR(ABS(Q1361-AVERAGE(FILTER(Q1361:Q5429,AA1361:AA5429=""Neighbor""))) / STDEV(FILTER(Q1361:Q5429, AA1361:AA5429 =""Neighbor"")), """")"),0.36696795978183905)</f>
        <v>0.3669679598</v>
      </c>
      <c r="AF1361" s="2">
        <f>IFERROR(__xludf.DUMMYFUNCTION("IFERROR(ABS(R1361-AVERAGE(FILTER(R1361:R5429,AA1361:AA5429=""Neighbor""))) / STDEV(FILTER(R1361:R5429, AA1361:AA5429 =""Neighbor"")), """")"),0.34521831388082624)</f>
        <v>0.3452183139</v>
      </c>
    </row>
    <row r="1362">
      <c r="A1362" s="2" t="s">
        <v>28</v>
      </c>
      <c r="B1362" s="2" t="s">
        <v>5384</v>
      </c>
      <c r="C1362" s="2" t="s">
        <v>5495</v>
      </c>
      <c r="D1362" s="2" t="s">
        <v>5572</v>
      </c>
      <c r="E1362" s="2" t="s">
        <v>5573</v>
      </c>
      <c r="F1362" s="2">
        <v>43.0</v>
      </c>
      <c r="G1362" s="2">
        <v>158.0</v>
      </c>
      <c r="H1362" s="2" t="b">
        <v>1</v>
      </c>
      <c r="I1362" s="2">
        <v>-1.0</v>
      </c>
      <c r="J1362" s="2" t="b">
        <v>0</v>
      </c>
      <c r="K1362" s="2" t="b">
        <v>0</v>
      </c>
      <c r="L1362" s="2" t="b">
        <v>0</v>
      </c>
      <c r="M1362" s="2" t="b">
        <v>0</v>
      </c>
      <c r="N1362" s="2" t="s">
        <v>33</v>
      </c>
      <c r="O1362" s="2">
        <v>28.0</v>
      </c>
      <c r="P1362" s="2">
        <v>0.0</v>
      </c>
      <c r="Q1362" s="2">
        <v>14.0</v>
      </c>
      <c r="R1362" s="2">
        <v>0.0</v>
      </c>
      <c r="S1362" s="3" t="s">
        <v>5574</v>
      </c>
      <c r="T1362" s="2" t="s">
        <v>5575</v>
      </c>
      <c r="Y1362" s="4" t="str">
        <f>IFERROR(__xludf.DUMMYFUNCTION("""COMPUTED_VALUE"""),"7.054235")</f>
        <v>7.054235</v>
      </c>
      <c r="Z1362" s="4" t="str">
        <f>IFERROR(__xludf.DUMMYFUNCTION("""COMPUTED_VALUE"""),"4.0082563")</f>
        <v>4.0082563</v>
      </c>
      <c r="AA1362" s="4" t="str">
        <f t="shared" si="1"/>
        <v>Not Neighbor</v>
      </c>
      <c r="AC1362" s="4">
        <f>IFERROR(__xludf.DUMMYFUNCTION("IFERROR(ABS(O1362-AVERAGE(FILTER(O1362:O5430,AA1362:AA5430=""Neighbor""))) / STDEV(FILTER(O1362:O5430, AA1362:AA5430 =""Neighbor"")), """")"),0.8318677330586745)</f>
        <v>0.8318677331</v>
      </c>
      <c r="AD1362" s="4">
        <f>IFERROR(__xludf.DUMMYFUNCTION("IFERROR(ABS(P1362-AVERAGE(FILTER(O1362:P5430,AA1362:AA5430=""Neighbor""))) / STDEV(FILTER(P1362:P5430, AA1362:AA5430 =""Neighbor"")), """")"),1.8149757828625113)</f>
        <v>1.814975783</v>
      </c>
      <c r="AE1362" s="2">
        <f>IFERROR(__xludf.DUMMYFUNCTION("IFERROR(ABS(Q1362-AVERAGE(FILTER(Q1362:Q5430,AA1362:AA5430=""Neighbor""))) / STDEV(FILTER(Q1362:Q5430, AA1362:AA5430 =""Neighbor"")), """")"),0.4472647311168324)</f>
        <v>0.4472647311</v>
      </c>
      <c r="AF1362" s="2">
        <f>IFERROR(__xludf.DUMMYFUNCTION("IFERROR(ABS(R1362-AVERAGE(FILTER(R1362:R5430,AA1362:AA5430=""Neighbor""))) / STDEV(FILTER(R1362:R5430, AA1362:AA5430 =""Neighbor"")), """")"),0.34538748082149184)</f>
        <v>0.3453874808</v>
      </c>
    </row>
    <row r="1363">
      <c r="A1363" s="2" t="s">
        <v>28</v>
      </c>
      <c r="B1363" s="2" t="s">
        <v>5384</v>
      </c>
      <c r="C1363" s="2" t="s">
        <v>5495</v>
      </c>
      <c r="D1363" s="2" t="s">
        <v>5576</v>
      </c>
      <c r="E1363" s="2" t="s">
        <v>5577</v>
      </c>
      <c r="F1363" s="2">
        <v>86.0</v>
      </c>
      <c r="G1363" s="2">
        <v>223.0</v>
      </c>
      <c r="H1363" s="2" t="b">
        <v>1</v>
      </c>
      <c r="I1363" s="2">
        <v>-1.0</v>
      </c>
      <c r="J1363" s="2" t="b">
        <v>0</v>
      </c>
      <c r="K1363" s="2" t="b">
        <v>0</v>
      </c>
      <c r="L1363" s="2" t="b">
        <v>0</v>
      </c>
      <c r="M1363" s="2" t="b">
        <v>0</v>
      </c>
      <c r="N1363" s="2" t="s">
        <v>33</v>
      </c>
      <c r="O1363" s="2">
        <v>57.0</v>
      </c>
      <c r="P1363" s="2">
        <v>0.0</v>
      </c>
      <c r="Q1363" s="2">
        <v>26.0</v>
      </c>
      <c r="R1363" s="2">
        <v>0.0</v>
      </c>
      <c r="S1363" s="3" t="s">
        <v>5578</v>
      </c>
      <c r="T1363" s="2" t="s">
        <v>5579</v>
      </c>
      <c r="Y1363" s="4" t="str">
        <f>IFERROR(__xludf.DUMMYFUNCTION("""COMPUTED_VALUE"""),"7.0332904")</f>
        <v>7.0332904</v>
      </c>
      <c r="Z1363" s="4" t="str">
        <f>IFERROR(__xludf.DUMMYFUNCTION("""COMPUTED_VALUE"""),"3.9470396")</f>
        <v>3.9470396</v>
      </c>
      <c r="AA1363" s="4" t="str">
        <f t="shared" si="1"/>
        <v>Not Neighbor</v>
      </c>
      <c r="AC1363" s="4">
        <f>IFERROR(__xludf.DUMMYFUNCTION("IFERROR(ABS(O1363-AVERAGE(FILTER(O1363:O5431,AA1363:AA5431=""Neighbor""))) / STDEV(FILTER(O1363:O5431, AA1363:AA5431 =""Neighbor"")), """")"),0.11972679807009748)</f>
        <v>0.1197267981</v>
      </c>
      <c r="AD1363" s="4">
        <f>IFERROR(__xludf.DUMMYFUNCTION("IFERROR(ABS(P1363-AVERAGE(FILTER(O1363:P5431,AA1363:AA5431=""Neighbor""))) / STDEV(FILTER(P1363:P5431, AA1363:AA5431 =""Neighbor"")), """")"),1.8149757828625113)</f>
        <v>1.814975783</v>
      </c>
      <c r="AE1363" s="2">
        <f>IFERROR(__xludf.DUMMYFUNCTION("IFERROR(ABS(Q1363-AVERAGE(FILTER(Q1363:Q5431,AA1363:AA5431=""Neighbor""))) / STDEV(FILTER(Q1363:Q5431, AA1363:AA5431 =""Neighbor"")), """")"),0.03342197990763138)</f>
        <v>0.03342197991</v>
      </c>
      <c r="AF1363" s="2">
        <f>IFERROR(__xludf.DUMMYFUNCTION("IFERROR(ABS(R1363-AVERAGE(FILTER(R1363:R5431,AA1363:AA5431=""Neighbor""))) / STDEV(FILTER(R1363:R5431, AA1363:AA5431 =""Neighbor"")), """")"),0.34538748082149184)</f>
        <v>0.3453874808</v>
      </c>
    </row>
    <row r="1364">
      <c r="A1364" s="2" t="s">
        <v>28</v>
      </c>
      <c r="B1364" s="2" t="s">
        <v>5384</v>
      </c>
      <c r="C1364" s="2" t="s">
        <v>5495</v>
      </c>
      <c r="D1364" s="2" t="s">
        <v>5580</v>
      </c>
      <c r="E1364" s="2" t="s">
        <v>5581</v>
      </c>
      <c r="F1364" s="2">
        <v>66.0</v>
      </c>
      <c r="G1364" s="2">
        <v>280.0</v>
      </c>
      <c r="H1364" s="2" t="b">
        <v>1</v>
      </c>
      <c r="I1364" s="2">
        <v>-1.0</v>
      </c>
      <c r="J1364" s="2" t="b">
        <v>0</v>
      </c>
      <c r="K1364" s="2" t="b">
        <v>0</v>
      </c>
      <c r="L1364" s="2" t="b">
        <v>0</v>
      </c>
      <c r="M1364" s="2" t="b">
        <v>0</v>
      </c>
      <c r="N1364" s="2" t="s">
        <v>33</v>
      </c>
      <c r="O1364" s="2">
        <v>31.0</v>
      </c>
      <c r="P1364" s="2">
        <v>0.0</v>
      </c>
      <c r="Q1364" s="2">
        <v>27.0</v>
      </c>
      <c r="R1364" s="2">
        <v>0.0</v>
      </c>
      <c r="S1364" s="3" t="s">
        <v>5582</v>
      </c>
      <c r="T1364" s="2" t="s">
        <v>5583</v>
      </c>
      <c r="Y1364" s="4" t="str">
        <f>IFERROR(__xludf.DUMMYFUNCTION("""COMPUTED_VALUE"""),"7.054235")</f>
        <v>7.054235</v>
      </c>
      <c r="Z1364" s="4" t="str">
        <f>IFERROR(__xludf.DUMMYFUNCTION("""COMPUTED_VALUE"""),"4.0082563")</f>
        <v>4.0082563</v>
      </c>
      <c r="AA1364" s="4" t="str">
        <f t="shared" si="1"/>
        <v>Not Neighbor</v>
      </c>
      <c r="AC1364" s="4">
        <f>IFERROR(__xludf.DUMMYFUNCTION("IFERROR(ABS(O1364-AVERAGE(FILTER(O1364:O5432,AA1364:AA5432=""Neighbor""))) / STDEV(FILTER(O1364:O5432, AA1364:AA5432 =""Neighbor"")), """")"),0.7581979811633044)</f>
        <v>0.7581979812</v>
      </c>
      <c r="AD1364" s="4">
        <f>IFERROR(__xludf.DUMMYFUNCTION("IFERROR(ABS(P1364-AVERAGE(FILTER(O1364:P5432,AA1364:AA5432=""Neighbor""))) / STDEV(FILTER(P1364:P5432, AA1364:AA5432 =""Neighbor"")), """")"),1.8149757828625113)</f>
        <v>1.814975783</v>
      </c>
      <c r="AE1364" s="2">
        <f>IFERROR(__xludf.DUMMYFUNCTION("IFERROR(ABS(Q1364-AVERAGE(FILTER(Q1364:Q5432,AA1364:AA5432=""Neighbor""))) / STDEV(FILTER(Q1364:Q5432, AA1364:AA5432 =""Neighbor"")), """")"),0.07347920582633669)</f>
        <v>0.07347920583</v>
      </c>
      <c r="AF1364" s="2">
        <f>IFERROR(__xludf.DUMMYFUNCTION("IFERROR(ABS(R1364-AVERAGE(FILTER(R1364:R5432,AA1364:AA5432=""Neighbor""))) / STDEV(FILTER(R1364:R5432, AA1364:AA5432 =""Neighbor"")), """")"),0.34538748082149184)</f>
        <v>0.3453874808</v>
      </c>
    </row>
    <row r="1365">
      <c r="A1365" s="2" t="s">
        <v>28</v>
      </c>
      <c r="B1365" s="2" t="s">
        <v>5384</v>
      </c>
      <c r="C1365" s="2" t="s">
        <v>5584</v>
      </c>
      <c r="D1365" s="2" t="s">
        <v>5585</v>
      </c>
      <c r="E1365" s="2" t="s">
        <v>5586</v>
      </c>
      <c r="F1365" s="2">
        <v>134.0</v>
      </c>
      <c r="G1365" s="2">
        <v>476.0</v>
      </c>
      <c r="H1365" s="2" t="b">
        <v>1</v>
      </c>
      <c r="I1365" s="2">
        <v>-1.0</v>
      </c>
      <c r="J1365" s="2" t="b">
        <v>0</v>
      </c>
      <c r="K1365" s="2" t="b">
        <v>0</v>
      </c>
      <c r="L1365" s="2" t="b">
        <v>0</v>
      </c>
      <c r="M1365" s="2" t="b">
        <v>0</v>
      </c>
      <c r="N1365" s="2" t="s">
        <v>33</v>
      </c>
      <c r="O1365" s="2">
        <v>83.0</v>
      </c>
      <c r="P1365" s="2">
        <v>3.0</v>
      </c>
      <c r="Q1365" s="2">
        <v>43.0</v>
      </c>
      <c r="R1365" s="2">
        <v>0.0</v>
      </c>
      <c r="S1365" s="3" t="s">
        <v>5587</v>
      </c>
      <c r="T1365" s="2" t="s">
        <v>5588</v>
      </c>
      <c r="Y1365" s="4" t="str">
        <f>IFERROR(__xludf.DUMMYFUNCTION("""COMPUTED_VALUE"""),"7.0332904")</f>
        <v>7.0332904</v>
      </c>
      <c r="Z1365" s="4" t="str">
        <f>IFERROR(__xludf.DUMMYFUNCTION("""COMPUTED_VALUE"""),"3.9470396")</f>
        <v>3.9470396</v>
      </c>
      <c r="AA1365" s="4" t="str">
        <f t="shared" si="1"/>
        <v>Neighbor</v>
      </c>
      <c r="AC1365" s="4">
        <f>IFERROR(__xludf.DUMMYFUNCTION("IFERROR(ABS(O1365-AVERAGE(FILTER(O1365:O5433,AA1365:AA5433=""Neighbor""))) / STDEV(FILTER(O1365:O5433, AA1365:AA5433 =""Neighbor"")), """")"),0.5187443850231094)</f>
        <v>0.518744385</v>
      </c>
      <c r="AD1365" s="4">
        <f>IFERROR(__xludf.DUMMYFUNCTION("IFERROR(ABS(P1365-AVERAGE(FILTER(O1365:P5433,AA1365:AA5433=""Neighbor""))) / STDEV(FILTER(P1365:P5433, AA1365:AA5433 =""Neighbor"")), """")"),1.6745052135393894)</f>
        <v>1.674505214</v>
      </c>
      <c r="AE1365" s="2">
        <f>IFERROR(__xludf.DUMMYFUNCTION("IFERROR(ABS(Q1365-AVERAGE(FILTER(Q1365:Q5433,AA1365:AA5433=""Neighbor""))) / STDEV(FILTER(Q1365:Q5433, AA1365:AA5433 =""Neighbor"")), """")"),0.7143948205256218)</f>
        <v>0.7143948205</v>
      </c>
      <c r="AF1365" s="2">
        <f>IFERROR(__xludf.DUMMYFUNCTION("IFERROR(ABS(R1365-AVERAGE(FILTER(R1365:R5433,AA1365:AA5433=""Neighbor""))) / STDEV(FILTER(R1365:R5433, AA1365:AA5433 =""Neighbor"")), """")"),0.34538748082149184)</f>
        <v>0.3453874808</v>
      </c>
    </row>
    <row r="1366">
      <c r="A1366" s="2" t="s">
        <v>28</v>
      </c>
      <c r="B1366" s="2" t="s">
        <v>5384</v>
      </c>
      <c r="C1366" s="2" t="s">
        <v>5584</v>
      </c>
      <c r="D1366" s="2" t="s">
        <v>5589</v>
      </c>
      <c r="E1366" s="2" t="s">
        <v>5590</v>
      </c>
      <c r="F1366" s="2">
        <v>52.0</v>
      </c>
      <c r="G1366" s="2">
        <v>306.0</v>
      </c>
      <c r="H1366" s="2" t="b">
        <v>1</v>
      </c>
      <c r="I1366" s="2">
        <v>-1.0</v>
      </c>
      <c r="J1366" s="2" t="b">
        <v>0</v>
      </c>
      <c r="K1366" s="2" t="b">
        <v>0</v>
      </c>
      <c r="L1366" s="2" t="b">
        <v>0</v>
      </c>
      <c r="M1366" s="2" t="b">
        <v>0</v>
      </c>
      <c r="N1366" s="2" t="s">
        <v>33</v>
      </c>
      <c r="O1366" s="2">
        <v>29.0</v>
      </c>
      <c r="P1366" s="2">
        <v>5.0</v>
      </c>
      <c r="Q1366" s="2">
        <v>12.0</v>
      </c>
      <c r="R1366" s="2">
        <v>0.0</v>
      </c>
      <c r="S1366" s="3" t="s">
        <v>5591</v>
      </c>
      <c r="T1366" s="2" t="s">
        <v>5592</v>
      </c>
      <c r="Y1366" s="4" t="str">
        <f>IFERROR(__xludf.DUMMYFUNCTION("""COMPUTED_VALUE"""),"7.0332904")</f>
        <v>7.0332904</v>
      </c>
      <c r="Z1366" s="4" t="str">
        <f>IFERROR(__xludf.DUMMYFUNCTION("""COMPUTED_VALUE"""),"3.9470396")</f>
        <v>3.9470396</v>
      </c>
      <c r="AA1366" s="4" t="str">
        <f t="shared" si="1"/>
        <v>Neighbor</v>
      </c>
      <c r="AC1366" s="4">
        <f>IFERROR(__xludf.DUMMYFUNCTION("IFERROR(ABS(O1366-AVERAGE(FILTER(O1366:O5434,AA1366:AA5434=""Neighbor""))) / STDEV(FILTER(O1366:O5434, AA1366:AA5434 =""Neighbor"")), """")"),0.8065974356113379)</f>
        <v>0.8065974356</v>
      </c>
      <c r="AD1366" s="4">
        <f>IFERROR(__xludf.DUMMYFUNCTION("IFERROR(ABS(P1366-AVERAGE(FILTER(O1366:P5434,AA1366:AA5434=""Neighbor""))) / STDEV(FILTER(P1366:P5434, AA1366:AA5434 =""Neighbor"")), """")"),1.5802340047462926)</f>
        <v>1.580234005</v>
      </c>
      <c r="AE1366" s="2">
        <f>IFERROR(__xludf.DUMMYFUNCTION("IFERROR(ABS(Q1366-AVERAGE(FILTER(Q1366:Q5434,AA1366:AA5434=""Neighbor""))) / STDEV(FILTER(Q1366:Q5434, AA1366:AA5434 =""Neighbor"")), """")"),0.5266394390348115)</f>
        <v>0.526639439</v>
      </c>
      <c r="AF1366" s="2">
        <f>IFERROR(__xludf.DUMMYFUNCTION("IFERROR(ABS(R1366-AVERAGE(FILTER(R1366:R5434,AA1366:AA5434=""Neighbor""))) / STDEV(FILTER(R1366:R5434, AA1366:AA5434 =""Neighbor"")), """")"),0.34555689672381457)</f>
        <v>0.3455568967</v>
      </c>
    </row>
    <row r="1367">
      <c r="A1367" s="2" t="s">
        <v>28</v>
      </c>
      <c r="B1367" s="2" t="s">
        <v>5384</v>
      </c>
      <c r="C1367" s="2" t="s">
        <v>5584</v>
      </c>
      <c r="D1367" s="2" t="s">
        <v>5593</v>
      </c>
      <c r="E1367" s="2" t="s">
        <v>5594</v>
      </c>
      <c r="F1367" s="2">
        <v>41.0</v>
      </c>
      <c r="G1367" s="2">
        <v>222.0</v>
      </c>
      <c r="H1367" s="2" t="b">
        <v>1</v>
      </c>
      <c r="I1367" s="2">
        <v>-1.0</v>
      </c>
      <c r="J1367" s="2" t="b">
        <v>0</v>
      </c>
      <c r="K1367" s="2" t="b">
        <v>0</v>
      </c>
      <c r="L1367" s="2" t="b">
        <v>0</v>
      </c>
      <c r="M1367" s="2" t="b">
        <v>0</v>
      </c>
      <c r="N1367" s="2" t="s">
        <v>33</v>
      </c>
      <c r="O1367" s="2">
        <v>27.0</v>
      </c>
      <c r="P1367" s="2">
        <v>0.0</v>
      </c>
      <c r="Q1367" s="2">
        <v>10.0</v>
      </c>
      <c r="R1367" s="2">
        <v>1.0</v>
      </c>
      <c r="S1367" s="3" t="s">
        <v>5595</v>
      </c>
      <c r="T1367" s="2" t="s">
        <v>5596</v>
      </c>
      <c r="Y1367" s="4" t="str">
        <f>IFERROR(__xludf.DUMMYFUNCTION("""COMPUTED_VALUE"""),"7.0332904")</f>
        <v>7.0332904</v>
      </c>
      <c r="Z1367" s="4" t="str">
        <f>IFERROR(__xludf.DUMMYFUNCTION("""COMPUTED_VALUE"""),"3.9470396")</f>
        <v>3.9470396</v>
      </c>
      <c r="AA1367" s="4" t="str">
        <f t="shared" si="1"/>
        <v>Not Neighbor</v>
      </c>
      <c r="AC1367" s="4">
        <f>IFERROR(__xludf.DUMMYFUNCTION("IFERROR(ABS(O1367-AVERAGE(FILTER(O1367:O5435,AA1367:AA5435=""Neighbor""))) / STDEV(FILTER(O1367:O5435, AA1367:AA5435 =""Neighbor"")), """")"),0.8562717951027444)</f>
        <v>0.8562717951</v>
      </c>
      <c r="AD1367" s="4">
        <f>IFERROR(__xludf.DUMMYFUNCTION("IFERROR(ABS(P1367-AVERAGE(FILTER(O1367:P5435,AA1367:AA5435=""Neighbor""))) / STDEV(FILTER(P1367:P5435, AA1367:AA5435 =""Neighbor"")), """")"),1.814580681746508)</f>
        <v>1.814580682</v>
      </c>
      <c r="AE1367" s="2">
        <f>IFERROR(__xludf.DUMMYFUNCTION("IFERROR(ABS(Q1367-AVERAGE(FILTER(Q1367:Q5435,AA1367:AA5435=""Neighbor""))) / STDEV(FILTER(Q1367:Q5435, AA1367:AA5435 =""Neighbor"")), """")"),0.6070064275210442)</f>
        <v>0.6070064275</v>
      </c>
      <c r="AF1367" s="2">
        <f>IFERROR(__xludf.DUMMYFUNCTION("IFERROR(ABS(R1367-AVERAGE(FILTER(R1367:R5435,AA1367:AA5435=""Neighbor""))) / STDEV(FILTER(R1367:R5435, AA1367:AA5435 =""Neighbor"")), """")"),0.8548300059252418)</f>
        <v>0.8548300059</v>
      </c>
    </row>
    <row r="1368">
      <c r="A1368" s="2" t="s">
        <v>28</v>
      </c>
      <c r="B1368" s="2" t="s">
        <v>5384</v>
      </c>
      <c r="C1368" s="2" t="s">
        <v>5584</v>
      </c>
      <c r="D1368" s="2" t="s">
        <v>5597</v>
      </c>
      <c r="E1368" s="2" t="s">
        <v>5598</v>
      </c>
      <c r="F1368" s="2">
        <v>83.0</v>
      </c>
      <c r="G1368" s="2">
        <v>297.0</v>
      </c>
      <c r="H1368" s="2" t="b">
        <v>1</v>
      </c>
      <c r="I1368" s="2">
        <v>-1.0</v>
      </c>
      <c r="J1368" s="2" t="b">
        <v>0</v>
      </c>
      <c r="K1368" s="2" t="b">
        <v>0</v>
      </c>
      <c r="L1368" s="2" t="b">
        <v>0</v>
      </c>
      <c r="M1368" s="2" t="b">
        <v>0</v>
      </c>
      <c r="N1368" s="2" t="s">
        <v>33</v>
      </c>
      <c r="O1368" s="2">
        <v>39.0</v>
      </c>
      <c r="P1368" s="2">
        <v>6.0</v>
      </c>
      <c r="Q1368" s="2">
        <v>28.0</v>
      </c>
      <c r="R1368" s="2">
        <v>0.0</v>
      </c>
      <c r="S1368" s="3" t="s">
        <v>5599</v>
      </c>
      <c r="T1368" s="2" t="s">
        <v>5600</v>
      </c>
      <c r="Y1368" s="4" t="str">
        <f>IFERROR(__xludf.DUMMYFUNCTION("""COMPUTED_VALUE"""),"6.9106085")</f>
        <v>6.9106085</v>
      </c>
      <c r="Z1368" s="4" t="str">
        <f>IFERROR(__xludf.DUMMYFUNCTION("""COMPUTED_VALUE"""),"3.976866")</f>
        <v>3.976866</v>
      </c>
      <c r="AA1368" s="4" t="str">
        <f t="shared" si="1"/>
        <v>Not Neighbor</v>
      </c>
      <c r="AC1368" s="4">
        <f>IFERROR(__xludf.DUMMYFUNCTION("IFERROR(ABS(O1368-AVERAGE(FILTER(O1368:O5436,AA1368:AA5436=""Neighbor""))) / STDEV(FILTER(O1368:O5436, AA1368:AA5436 =""Neighbor"")), """")"),0.5617323992184029)</f>
        <v>0.5617323992</v>
      </c>
      <c r="AD1368" s="4">
        <f>IFERROR(__xludf.DUMMYFUNCTION("IFERROR(ABS(P1368-AVERAGE(FILTER(O1368:P5436,AA1368:AA5436=""Neighbor""))) / STDEV(FILTER(P1368:P5436, AA1368:AA5436 =""Neighbor"")), """")"),1.533812144268597)</f>
        <v>1.533812144</v>
      </c>
      <c r="AE1368" s="2">
        <f>IFERROR(__xludf.DUMMYFUNCTION("IFERROR(ABS(Q1368-AVERAGE(FILTER(Q1368:Q5436,AA1368:AA5436=""Neighbor""))) / STDEV(FILTER(Q1368:Q5436, AA1368:AA5436 =""Neighbor"")), """")"),0.11364015172711428)</f>
        <v>0.1136401517</v>
      </c>
      <c r="AF1368" s="2">
        <f>IFERROR(__xludf.DUMMYFUNCTION("IFERROR(ABS(R1368-AVERAGE(FILTER(R1368:R5436,AA1368:AA5436=""Neighbor""))) / STDEV(FILTER(R1368:R5436, AA1368:AA5436 =""Neighbor"")), """")"),0.3457265621991114)</f>
        <v>0.3457265622</v>
      </c>
    </row>
    <row r="1369">
      <c r="A1369" s="2" t="s">
        <v>28</v>
      </c>
      <c r="B1369" s="2" t="s">
        <v>5384</v>
      </c>
      <c r="C1369" s="2" t="s">
        <v>5584</v>
      </c>
      <c r="D1369" s="2" t="s">
        <v>5601</v>
      </c>
      <c r="E1369" s="2" t="s">
        <v>5602</v>
      </c>
      <c r="F1369" s="2">
        <v>72.0</v>
      </c>
      <c r="G1369" s="2">
        <v>263.0</v>
      </c>
      <c r="H1369" s="2" t="b">
        <v>1</v>
      </c>
      <c r="I1369" s="2">
        <v>-1.0</v>
      </c>
      <c r="J1369" s="2" t="b">
        <v>0</v>
      </c>
      <c r="K1369" s="2" t="b">
        <v>0</v>
      </c>
      <c r="L1369" s="2" t="b">
        <v>0</v>
      </c>
      <c r="M1369" s="2" t="b">
        <v>0</v>
      </c>
      <c r="N1369" s="2" t="s">
        <v>33</v>
      </c>
      <c r="O1369" s="2">
        <v>33.0</v>
      </c>
      <c r="P1369" s="2">
        <v>7.0</v>
      </c>
      <c r="Q1369" s="2">
        <v>23.0</v>
      </c>
      <c r="R1369" s="2">
        <v>0.0</v>
      </c>
      <c r="S1369" s="3" t="s">
        <v>5603</v>
      </c>
      <c r="T1369" s="2" t="s">
        <v>5604</v>
      </c>
      <c r="Y1369" s="4" t="str">
        <f>IFERROR(__xludf.DUMMYFUNCTION("""COMPUTED_VALUE"""),"7.0332904")</f>
        <v>7.0332904</v>
      </c>
      <c r="Z1369" s="4" t="str">
        <f>IFERROR(__xludf.DUMMYFUNCTION("""COMPUTED_VALUE"""),"3.9470396")</f>
        <v>3.9470396</v>
      </c>
      <c r="AA1369" s="4" t="str">
        <f t="shared" si="1"/>
        <v>Neighbor</v>
      </c>
      <c r="AC1369" s="4">
        <f>IFERROR(__xludf.DUMMYFUNCTION("IFERROR(ABS(O1369-AVERAGE(FILTER(O1369:O5437,AA1369:AA5437=""Neighbor""))) / STDEV(FILTER(O1369:O5437, AA1369:AA5437 =""Neighbor"")), """")"),0.7090020971605736)</f>
        <v>0.7090020972</v>
      </c>
      <c r="AD1369" s="4">
        <f>IFERROR(__xludf.DUMMYFUNCTION("IFERROR(ABS(P1369-AVERAGE(FILTER(O1369:P5437,AA1369:AA5437=""Neighbor""))) / STDEV(FILTER(P1369:P5437, AA1369:AA5437 =""Neighbor"")), """")"),1.4870173880222786)</f>
        <v>1.487017388</v>
      </c>
      <c r="AE1369" s="2">
        <f>IFERROR(__xludf.DUMMYFUNCTION("IFERROR(ABS(Q1369-AVERAGE(FILTER(Q1369:Q5437,AA1369:AA5437=""Neighbor""))) / STDEV(FILTER(Q1369:Q5437, AA1369:AA5437 =""Neighbor"")), """")"),0.08653945361959639)</f>
        <v>0.08653945362</v>
      </c>
      <c r="AF1369" s="2">
        <f>IFERROR(__xludf.DUMMYFUNCTION("IFERROR(ABS(R1369-AVERAGE(FILTER(R1369:R5437,AA1369:AA5437=""Neighbor""))) / STDEV(FILTER(R1369:R5437, AA1369:AA5437 =""Neighbor"")), """")"),0.3457265621991114)</f>
        <v>0.3457265622</v>
      </c>
    </row>
    <row r="1370">
      <c r="A1370" s="2" t="s">
        <v>28</v>
      </c>
      <c r="B1370" s="2" t="s">
        <v>5384</v>
      </c>
      <c r="C1370" s="2" t="s">
        <v>5584</v>
      </c>
      <c r="D1370" s="2" t="s">
        <v>5605</v>
      </c>
      <c r="E1370" s="2" t="s">
        <v>5606</v>
      </c>
      <c r="F1370" s="2">
        <v>38.0</v>
      </c>
      <c r="G1370" s="2">
        <v>219.0</v>
      </c>
      <c r="H1370" s="2" t="b">
        <v>1</v>
      </c>
      <c r="I1370" s="2">
        <v>-1.0</v>
      </c>
      <c r="J1370" s="2" t="b">
        <v>0</v>
      </c>
      <c r="K1370" s="2" t="b">
        <v>0</v>
      </c>
      <c r="L1370" s="2" t="b">
        <v>0</v>
      </c>
      <c r="M1370" s="2" t="b">
        <v>0</v>
      </c>
      <c r="N1370" s="2" t="s">
        <v>33</v>
      </c>
      <c r="O1370" s="2">
        <v>20.0</v>
      </c>
      <c r="P1370" s="2">
        <v>5.0</v>
      </c>
      <c r="Q1370" s="2">
        <v>6.0</v>
      </c>
      <c r="R1370" s="2">
        <v>0.0</v>
      </c>
      <c r="S1370" s="3" t="s">
        <v>5607</v>
      </c>
      <c r="T1370" s="2" t="s">
        <v>5608</v>
      </c>
      <c r="Y1370" s="4" t="str">
        <f>IFERROR(__xludf.DUMMYFUNCTION("""COMPUTED_VALUE"""),"7.0332904")</f>
        <v>7.0332904</v>
      </c>
      <c r="Z1370" s="4" t="str">
        <f>IFERROR(__xludf.DUMMYFUNCTION("""COMPUTED_VALUE"""),"3.9470396")</f>
        <v>3.9470396</v>
      </c>
      <c r="AA1370" s="4" t="str">
        <f t="shared" si="1"/>
        <v>Not Neighbor</v>
      </c>
      <c r="AC1370" s="4">
        <f>IFERROR(__xludf.DUMMYFUNCTION("IFERROR(ABS(O1370-AVERAGE(FILTER(O1370:O5438,AA1370:AA5438=""Neighbor""))) / STDEV(FILTER(O1370:O5438, AA1370:AA5438 =""Neighbor"")), """")"),1.0284847656195824)</f>
        <v>1.028484766</v>
      </c>
      <c r="AD1370" s="4">
        <f>IFERROR(__xludf.DUMMYFUNCTION("IFERROR(ABS(P1370-AVERAGE(FILTER(O1370:P5438,AA1370:AA5438=""Neighbor""))) / STDEV(FILTER(P1370:P5438, AA1370:AA5438 =""Neighbor"")), """")"),1.5807984752380138)</f>
        <v>1.580798475</v>
      </c>
      <c r="AE1370" s="2">
        <f>IFERROR(__xludf.DUMMYFUNCTION("IFERROR(ABS(Q1370-AVERAGE(FILTER(Q1370:Q5438,AA1370:AA5438=""Neighbor""))) / STDEV(FILTER(Q1370:Q5438, AA1370:AA5438 =""Neighbor"")), """")"),0.7668915144763672)</f>
        <v>0.7668915145</v>
      </c>
      <c r="AF1370" s="2">
        <f>IFERROR(__xludf.DUMMYFUNCTION("IFERROR(ABS(R1370-AVERAGE(FILTER(R1370:R5438,AA1370:AA5438=""Neighbor""))) / STDEV(FILTER(R1370:R5438, AA1370:AA5438 =""Neighbor"")), """")"),0.3458964778608036)</f>
        <v>0.3458964779</v>
      </c>
    </row>
    <row r="1371">
      <c r="A1371" s="2" t="s">
        <v>28</v>
      </c>
      <c r="B1371" s="2" t="s">
        <v>5384</v>
      </c>
      <c r="C1371" s="2" t="s">
        <v>5584</v>
      </c>
      <c r="D1371" s="2" t="s">
        <v>5609</v>
      </c>
      <c r="E1371" s="2" t="s">
        <v>5610</v>
      </c>
      <c r="F1371" s="2">
        <v>124.0</v>
      </c>
      <c r="G1371" s="2">
        <v>471.0</v>
      </c>
      <c r="H1371" s="2" t="b">
        <v>1</v>
      </c>
      <c r="I1371" s="2">
        <v>-1.0</v>
      </c>
      <c r="J1371" s="2" t="b">
        <v>0</v>
      </c>
      <c r="K1371" s="2" t="b">
        <v>0</v>
      </c>
      <c r="L1371" s="2" t="b">
        <v>0</v>
      </c>
      <c r="M1371" s="2" t="b">
        <v>0</v>
      </c>
      <c r="N1371" s="2" t="s">
        <v>33</v>
      </c>
      <c r="O1371" s="2">
        <v>0.0</v>
      </c>
      <c r="P1371" s="2">
        <v>0.0</v>
      </c>
      <c r="Q1371" s="2">
        <v>0.0</v>
      </c>
      <c r="R1371" s="2">
        <v>0.0</v>
      </c>
      <c r="S1371" s="3" t="s">
        <v>5611</v>
      </c>
      <c r="T1371" s="2" t="s">
        <v>5612</v>
      </c>
      <c r="Y1371" s="4" t="str">
        <f>IFERROR(__xludf.DUMMYFUNCTION("""COMPUTED_VALUE"""),"6.9792362")</f>
        <v>6.9792362</v>
      </c>
      <c r="Z1371" s="4" t="str">
        <f>IFERROR(__xludf.DUMMYFUNCTION("""COMPUTED_VALUE"""),"3.9981772")</f>
        <v>3.9981772</v>
      </c>
      <c r="AA1371" s="4" t="str">
        <f t="shared" si="1"/>
        <v>Not Neighbor</v>
      </c>
      <c r="AC1371" s="4">
        <f>IFERROR(__xludf.DUMMYFUNCTION("IFERROR(ABS(O1371-AVERAGE(FILTER(O1371:O5439,AA1371:AA5439=""Neighbor""))) / STDEV(FILTER(O1371:O5439, AA1371:AA5439 =""Neighbor"")), """")"),1.5192765313288115)</f>
        <v>1.519276531</v>
      </c>
      <c r="AD1371" s="4">
        <f>IFERROR(__xludf.DUMMYFUNCTION("IFERROR(ABS(P1371-AVERAGE(FILTER(O1371:P5439,AA1371:AA5439=""Neighbor""))) / STDEV(FILTER(P1371:P5439, AA1371:AA5439 =""Neighbor"")), """")"),1.8146863598926142)</f>
        <v>1.81468636</v>
      </c>
      <c r="AE1371" s="2">
        <f>IFERROR(__xludf.DUMMYFUNCTION("IFERROR(ABS(Q1371-AVERAGE(FILTER(Q1371:Q5439,AA1371:AA5439=""Neighbor""))) / STDEV(FILTER(Q1371:Q5439, AA1371:AA5439 =""Neighbor"")), """")"),1.0070022656156112)</f>
        <v>1.007002266</v>
      </c>
      <c r="AF1371" s="2">
        <f>IFERROR(__xludf.DUMMYFUNCTION("IFERROR(ABS(R1371-AVERAGE(FILTER(R1371:R5439,AA1371:AA5439=""Neighbor""))) / STDEV(FILTER(R1371:R5439, AA1371:AA5439 =""Neighbor"")), """")"),0.3458964778608036)</f>
        <v>0.3458964779</v>
      </c>
    </row>
    <row r="1372">
      <c r="A1372" s="2" t="s">
        <v>28</v>
      </c>
      <c r="B1372" s="2" t="s">
        <v>5384</v>
      </c>
      <c r="C1372" s="2" t="s">
        <v>5584</v>
      </c>
      <c r="D1372" s="2" t="s">
        <v>5613</v>
      </c>
      <c r="E1372" s="2" t="s">
        <v>5614</v>
      </c>
      <c r="F1372" s="2">
        <v>127.0</v>
      </c>
      <c r="G1372" s="2">
        <v>619.0</v>
      </c>
      <c r="H1372" s="2" t="b">
        <v>1</v>
      </c>
      <c r="I1372" s="2">
        <v>-1.0</v>
      </c>
      <c r="J1372" s="2" t="b">
        <v>0</v>
      </c>
      <c r="K1372" s="2" t="b">
        <v>0</v>
      </c>
      <c r="L1372" s="2" t="b">
        <v>0</v>
      </c>
      <c r="M1372" s="2" t="b">
        <v>0</v>
      </c>
      <c r="N1372" s="2" t="s">
        <v>33</v>
      </c>
      <c r="O1372" s="2">
        <v>76.0</v>
      </c>
      <c r="P1372" s="2">
        <v>8.0</v>
      </c>
      <c r="Q1372" s="2">
        <v>28.0</v>
      </c>
      <c r="R1372" s="2">
        <v>0.0</v>
      </c>
      <c r="S1372" s="3" t="s">
        <v>5615</v>
      </c>
      <c r="T1372" s="2" t="s">
        <v>5616</v>
      </c>
      <c r="Y1372" s="4" t="str">
        <f>IFERROR(__xludf.DUMMYFUNCTION("""COMPUTED_VALUE"""),"6.9333899")</f>
        <v>6.9333899</v>
      </c>
      <c r="Z1372" s="4" t="str">
        <f>IFERROR(__xludf.DUMMYFUNCTION("""COMPUTED_VALUE"""),"4.0237792")</f>
        <v>4.0237792</v>
      </c>
      <c r="AA1372" s="4" t="str">
        <f t="shared" si="1"/>
        <v>Not Neighbor</v>
      </c>
      <c r="AC1372" s="4">
        <f>IFERROR(__xludf.DUMMYFUNCTION("IFERROR(ABS(O1372-AVERAGE(FILTER(O1372:O5440,AA1372:AA5440=""Neighbor""))) / STDEV(FILTER(O1372:O5440, AA1372:AA5440 =""Neighbor"")), """")"),0.3457321783662597)</f>
        <v>0.3457321784</v>
      </c>
      <c r="AD1372" s="4">
        <f>IFERROR(__xludf.DUMMYFUNCTION("IFERROR(ABS(P1372-AVERAGE(FILTER(O1372:P5440,AA1372:AA5440=""Neighbor""))) / STDEV(FILTER(P1372:P5440, AA1372:AA5440 =""Neighbor"")), """")"),1.4404657444452535)</f>
        <v>1.440465744</v>
      </c>
      <c r="AE1372" s="2">
        <f>IFERROR(__xludf.DUMMYFUNCTION("IFERROR(ABS(Q1372-AVERAGE(FILTER(Q1372:Q5440,AA1372:AA5440=""Neighbor""))) / STDEV(FILTER(Q1372:Q5440, AA1372:AA5440 =""Neighbor"")), """")"),0.11351457303419452)</f>
        <v>0.113514573</v>
      </c>
      <c r="AF1372" s="2">
        <f>IFERROR(__xludf.DUMMYFUNCTION("IFERROR(ABS(R1372-AVERAGE(FILTER(R1372:R5440,AA1372:AA5440=""Neighbor""))) / STDEV(FILTER(R1372:R5440, AA1372:AA5440 =""Neighbor"")), """")"),0.3458964778608036)</f>
        <v>0.3458964779</v>
      </c>
    </row>
    <row r="1373">
      <c r="A1373" s="2" t="s">
        <v>28</v>
      </c>
      <c r="B1373" s="2" t="s">
        <v>5384</v>
      </c>
      <c r="C1373" s="2" t="s">
        <v>5584</v>
      </c>
      <c r="D1373" s="2" t="s">
        <v>5617</v>
      </c>
      <c r="E1373" s="2" t="s">
        <v>5618</v>
      </c>
      <c r="F1373" s="2">
        <v>39.0</v>
      </c>
      <c r="G1373" s="2">
        <v>241.0</v>
      </c>
      <c r="H1373" s="2" t="b">
        <v>1</v>
      </c>
      <c r="I1373" s="2">
        <v>-1.0</v>
      </c>
      <c r="J1373" s="2" t="b">
        <v>0</v>
      </c>
      <c r="K1373" s="2" t="b">
        <v>0</v>
      </c>
      <c r="L1373" s="2" t="b">
        <v>0</v>
      </c>
      <c r="M1373" s="2" t="b">
        <v>0</v>
      </c>
      <c r="N1373" s="2" t="s">
        <v>33</v>
      </c>
      <c r="O1373" s="2">
        <v>23.0</v>
      </c>
      <c r="P1373" s="2">
        <v>1.0</v>
      </c>
      <c r="Q1373" s="2">
        <v>11.0</v>
      </c>
      <c r="R1373" s="2">
        <v>0.0</v>
      </c>
      <c r="S1373" s="3" t="s">
        <v>5619</v>
      </c>
      <c r="T1373" s="2" t="s">
        <v>5620</v>
      </c>
      <c r="Y1373" s="4" t="str">
        <f>IFERROR(__xludf.DUMMYFUNCTION("""COMPUTED_VALUE"""),"7.0332904")</f>
        <v>7.0332904</v>
      </c>
      <c r="Z1373" s="4" t="str">
        <f>IFERROR(__xludf.DUMMYFUNCTION("""COMPUTED_VALUE"""),"3.9470396")</f>
        <v>3.9470396</v>
      </c>
      <c r="AA1373" s="4" t="str">
        <f t="shared" si="1"/>
        <v>Neighbor</v>
      </c>
      <c r="AC1373" s="4">
        <f>IFERROR(__xludf.DUMMYFUNCTION("IFERROR(ABS(O1373-AVERAGE(FILTER(O1373:O5441,AA1373:AA5441=""Neighbor""))) / STDEV(FILTER(O1373:O5441, AA1373:AA5441 =""Neighbor"")), """")"),0.9548660007631978)</f>
        <v>0.9548660008</v>
      </c>
      <c r="AD1373" s="4">
        <f>IFERROR(__xludf.DUMMYFUNCTION("IFERROR(ABS(P1373-AVERAGE(FILTER(O1373:P5441,AA1373:AA5441=""Neighbor""))) / STDEV(FILTER(P1373:P5441, AA1373:AA5441 =""Neighbor"")), """")"),1.7679087829616942)</f>
        <v>1.767908783</v>
      </c>
      <c r="AE1373" s="2">
        <f>IFERROR(__xludf.DUMMYFUNCTION("IFERROR(ABS(Q1373-AVERAGE(FILTER(Q1373:Q5441,AA1373:AA5441=""Neighbor""))) / STDEV(FILTER(Q1373:Q5441, AA1373:AA5441 =""Neighbor"")), """")"),0.5667992218603305)</f>
        <v>0.5667992219</v>
      </c>
      <c r="AF1373" s="2">
        <f>IFERROR(__xludf.DUMMYFUNCTION("IFERROR(ABS(R1373-AVERAGE(FILTER(R1373:R5441,AA1373:AA5441=""Neighbor""))) / STDEV(FILTER(R1373:R5441, AA1373:AA5441 =""Neighbor"")), """")"),0.3458964778608036)</f>
        <v>0.3458964779</v>
      </c>
    </row>
    <row r="1374">
      <c r="A1374" s="2" t="s">
        <v>28</v>
      </c>
      <c r="B1374" s="2" t="s">
        <v>5384</v>
      </c>
      <c r="C1374" s="2" t="s">
        <v>5584</v>
      </c>
      <c r="D1374" s="2" t="s">
        <v>5621</v>
      </c>
      <c r="E1374" s="2" t="s">
        <v>5622</v>
      </c>
      <c r="F1374" s="2">
        <v>103.0</v>
      </c>
      <c r="G1374" s="2">
        <v>451.0</v>
      </c>
      <c r="H1374" s="2" t="b">
        <v>1</v>
      </c>
      <c r="I1374" s="2">
        <v>-1.0</v>
      </c>
      <c r="J1374" s="2" t="b">
        <v>0</v>
      </c>
      <c r="K1374" s="2" t="b">
        <v>0</v>
      </c>
      <c r="L1374" s="2" t="b">
        <v>0</v>
      </c>
      <c r="M1374" s="2" t="b">
        <v>0</v>
      </c>
      <c r="N1374" s="2" t="s">
        <v>33</v>
      </c>
      <c r="O1374" s="2">
        <v>82.0</v>
      </c>
      <c r="P1374" s="2">
        <v>11.0</v>
      </c>
      <c r="Q1374" s="2">
        <v>5.0</v>
      </c>
      <c r="R1374" s="2">
        <v>3.0</v>
      </c>
      <c r="S1374" s="3" t="s">
        <v>5623</v>
      </c>
      <c r="T1374" s="2" t="s">
        <v>5624</v>
      </c>
      <c r="Y1374" s="4" t="str">
        <f>IFERROR(__xludf.DUMMYFUNCTION("""COMPUTED_VALUE"""),"7.0332904")</f>
        <v>7.0332904</v>
      </c>
      <c r="Z1374" s="4" t="str">
        <f>IFERROR(__xludf.DUMMYFUNCTION("""COMPUTED_VALUE"""),"3.9470396")</f>
        <v>3.9470396</v>
      </c>
      <c r="AA1374" s="4" t="str">
        <f t="shared" si="1"/>
        <v>Neighbor</v>
      </c>
      <c r="AC1374" s="4">
        <f>IFERROR(__xludf.DUMMYFUNCTION("IFERROR(ABS(O1374-AVERAGE(FILTER(O1374:O5442,AA1374:AA5442=""Neighbor""))) / STDEV(FILTER(O1374:O5442, AA1374:AA5442 =""Neighbor"")), """")"),0.4921109596962856)</f>
        <v>0.4921109597</v>
      </c>
      <c r="AD1374" s="4">
        <f>IFERROR(__xludf.DUMMYFUNCTION("IFERROR(ABS(P1374-AVERAGE(FILTER(O1374:P5442,AA1374:AA5442=""Neighbor""))) / STDEV(FILTER(P1374:P5442, AA1374:AA5442 =""Neighbor"")), """")"),1.3009329102674376)</f>
        <v>1.30093291</v>
      </c>
      <c r="AE1374" s="2">
        <f>IFERROR(__xludf.DUMMYFUNCTION("IFERROR(ABS(Q1374-AVERAGE(FILTER(Q1374:Q5442,AA1374:AA5442=""Neighbor""))) / STDEV(FILTER(Q1374:Q5442, AA1374:AA5442 =""Neighbor"")), """")"),0.8071674798145713)</f>
        <v>0.8071674798</v>
      </c>
      <c r="AF1374" s="2">
        <f>IFERROR(__xludf.DUMMYFUNCTION("IFERROR(ABS(R1374-AVERAGE(FILTER(R1374:R5442,AA1374:AA5442=""Neighbor""))) / STDEV(FILTER(R1374:R5442, AA1374:AA5442 =""Neighbor"")), """")"),3.252815440403058)</f>
        <v>3.25281544</v>
      </c>
    </row>
    <row r="1375">
      <c r="A1375" s="2" t="s">
        <v>28</v>
      </c>
      <c r="B1375" s="2" t="s">
        <v>5384</v>
      </c>
      <c r="C1375" s="2" t="s">
        <v>5584</v>
      </c>
      <c r="D1375" s="2" t="s">
        <v>5625</v>
      </c>
      <c r="E1375" s="2" t="s">
        <v>5626</v>
      </c>
      <c r="F1375" s="2">
        <v>138.0</v>
      </c>
      <c r="G1375" s="2">
        <v>482.0</v>
      </c>
      <c r="H1375" s="2" t="b">
        <v>1</v>
      </c>
      <c r="I1375" s="2">
        <v>-1.0</v>
      </c>
      <c r="J1375" s="2" t="b">
        <v>0</v>
      </c>
      <c r="K1375" s="2" t="b">
        <v>1</v>
      </c>
      <c r="L1375" s="2" t="b">
        <v>0</v>
      </c>
      <c r="M1375" s="2" t="b">
        <v>0</v>
      </c>
      <c r="N1375" s="2" t="s">
        <v>33</v>
      </c>
      <c r="O1375" s="2">
        <v>95.0</v>
      </c>
      <c r="P1375" s="2">
        <v>7.0</v>
      </c>
      <c r="Q1375" s="2">
        <v>17.0</v>
      </c>
      <c r="R1375" s="2">
        <v>2.0</v>
      </c>
      <c r="S1375" s="3" t="s">
        <v>5627</v>
      </c>
      <c r="T1375" s="2" t="s">
        <v>5628</v>
      </c>
      <c r="Y1375" s="4" t="str">
        <f>IFERROR(__xludf.DUMMYFUNCTION("""COMPUTED_VALUE"""),"7.0332904")</f>
        <v>7.0332904</v>
      </c>
      <c r="Z1375" s="4" t="str">
        <f>IFERROR(__xludf.DUMMYFUNCTION("""COMPUTED_VALUE"""),"3.9470396")</f>
        <v>3.9470396</v>
      </c>
      <c r="AA1375" s="4" t="str">
        <f t="shared" si="1"/>
        <v>Neighbor</v>
      </c>
      <c r="AC1375" s="4">
        <f>IFERROR(__xludf.DUMMYFUNCTION("IFERROR(ABS(O1375-AVERAGE(FILTER(O1375:O5443,AA1375:AA5443=""Neighbor""))) / STDEV(FILTER(O1375:O5443, AA1375:AA5443 =""Neighbor"")), """")"),0.811275809821027)</f>
        <v>0.8112758098</v>
      </c>
      <c r="AD1375" s="4">
        <f>IFERROR(__xludf.DUMMYFUNCTION("IFERROR(ABS(P1375-AVERAGE(FILTER(O1375:P5443,AA1375:AA5443=""Neighbor""))) / STDEV(FILTER(P1375:P5443, AA1375:AA5443 =""Neighbor"")), """")"),1.4870600318459537)</f>
        <v>1.487060032</v>
      </c>
      <c r="AE1375" s="2">
        <f>IFERROR(__xludf.DUMMYFUNCTION("IFERROR(ABS(Q1375-AVERAGE(FILTER(Q1375:Q5443,AA1375:AA5443=""Neighbor""))) / STDEV(FILTER(Q1375:Q5443, AA1375:AA5443 =""Neighbor"")), """")"),0.32774962196590324)</f>
        <v>0.327749622</v>
      </c>
      <c r="AF1375" s="2">
        <f>IFERROR(__xludf.DUMMYFUNCTION("IFERROR(ABS(R1375-AVERAGE(FILTER(R1375:R5443,AA1375:AA5443=""Neighbor""))) / STDEV(FILTER(R1375:R5443, AA1375:AA5443 =""Neighbor"")), """")"),2.0647931576823373)</f>
        <v>2.064793158</v>
      </c>
    </row>
    <row r="1376">
      <c r="A1376" s="2" t="s">
        <v>28</v>
      </c>
      <c r="B1376" s="2" t="s">
        <v>5384</v>
      </c>
      <c r="C1376" s="2" t="s">
        <v>5584</v>
      </c>
      <c r="D1376" s="2" t="s">
        <v>5629</v>
      </c>
      <c r="E1376" s="2" t="s">
        <v>5630</v>
      </c>
      <c r="F1376" s="2">
        <v>57.0</v>
      </c>
      <c r="G1376" s="2">
        <v>376.0</v>
      </c>
      <c r="H1376" s="2" t="b">
        <v>1</v>
      </c>
      <c r="I1376" s="2">
        <v>-1.0</v>
      </c>
      <c r="J1376" s="2" t="b">
        <v>0</v>
      </c>
      <c r="K1376" s="2" t="b">
        <v>0</v>
      </c>
      <c r="L1376" s="2" t="b">
        <v>0</v>
      </c>
      <c r="M1376" s="2" t="b">
        <v>0</v>
      </c>
      <c r="N1376" s="2" t="s">
        <v>33</v>
      </c>
      <c r="O1376" s="2">
        <v>0.0</v>
      </c>
      <c r="P1376" s="2">
        <v>0.0</v>
      </c>
      <c r="Q1376" s="2">
        <v>0.0</v>
      </c>
      <c r="R1376" s="2">
        <v>0.0</v>
      </c>
      <c r="S1376" s="3" t="s">
        <v>5631</v>
      </c>
      <c r="T1376" s="2" t="s">
        <v>5632</v>
      </c>
      <c r="Y1376" s="4" t="str">
        <f>IFERROR(__xludf.DUMMYFUNCTION("""COMPUTED_VALUE"""),"7.0332904")</f>
        <v>7.0332904</v>
      </c>
      <c r="Z1376" s="4" t="str">
        <f>IFERROR(__xludf.DUMMYFUNCTION("""COMPUTED_VALUE"""),"3.9470396")</f>
        <v>3.9470396</v>
      </c>
      <c r="AA1376" s="4" t="str">
        <f t="shared" si="1"/>
        <v>Neighbor</v>
      </c>
      <c r="AC1376" s="4">
        <f>IFERROR(__xludf.DUMMYFUNCTION("IFERROR(ABS(O1376-AVERAGE(FILTER(O1376:O5444,AA1376:AA5444=""Neighbor""))) / STDEV(FILTER(O1376:O5444, AA1376:AA5444 =""Neighbor"")), """")"),1.5181745393615704)</f>
        <v>1.518174539</v>
      </c>
      <c r="AD1376" s="4">
        <f>IFERROR(__xludf.DUMMYFUNCTION("IFERROR(ABS(P1376-AVERAGE(FILTER(O1376:P5444,AA1376:AA5444=""Neighbor""))) / STDEV(FILTER(P1376:P5444, AA1376:AA5444 =""Neighbor"")), """")"),1.8131205825145351)</f>
        <v>1.813120583</v>
      </c>
      <c r="AE1376" s="2">
        <f>IFERROR(__xludf.DUMMYFUNCTION("IFERROR(ABS(Q1376-AVERAGE(FILTER(Q1376:Q5444,AA1376:AA5444=""Neighbor""))) / STDEV(FILTER(Q1376:Q5444, AA1376:AA5444 =""Neighbor"")), """")"),1.0076484654403228)</f>
        <v>1.007648465</v>
      </c>
      <c r="AF1376" s="2">
        <f>IFERROR(__xludf.DUMMYFUNCTION("IFERROR(ABS(R1376-AVERAGE(FILTER(R1376:R5444,AA1376:AA5444=""Neighbor""))) / STDEV(FILTER(R1376:R5444, AA1376:AA5444 =""Neighbor"")), """")"),0.3433381883094933)</f>
        <v>0.3433381883</v>
      </c>
    </row>
    <row r="1377">
      <c r="A1377" s="2" t="s">
        <v>28</v>
      </c>
      <c r="B1377" s="2" t="s">
        <v>5384</v>
      </c>
      <c r="C1377" s="2" t="s">
        <v>5584</v>
      </c>
      <c r="D1377" s="2" t="s">
        <v>5633</v>
      </c>
      <c r="E1377" s="2" t="s">
        <v>5634</v>
      </c>
      <c r="F1377" s="2">
        <v>56.0</v>
      </c>
      <c r="G1377" s="2">
        <v>222.0</v>
      </c>
      <c r="H1377" s="2" t="b">
        <v>1</v>
      </c>
      <c r="I1377" s="2">
        <v>-1.0</v>
      </c>
      <c r="J1377" s="2" t="b">
        <v>0</v>
      </c>
      <c r="K1377" s="2" t="b">
        <v>0</v>
      </c>
      <c r="L1377" s="2" t="b">
        <v>0</v>
      </c>
      <c r="M1377" s="2" t="b">
        <v>0</v>
      </c>
      <c r="N1377" s="2" t="s">
        <v>33</v>
      </c>
      <c r="O1377" s="2">
        <v>44.0</v>
      </c>
      <c r="P1377" s="2">
        <v>2.0</v>
      </c>
      <c r="Q1377" s="2">
        <v>8.0</v>
      </c>
      <c r="R1377" s="2">
        <v>0.0</v>
      </c>
      <c r="S1377" s="3" t="s">
        <v>5635</v>
      </c>
      <c r="T1377" s="2" t="s">
        <v>5636</v>
      </c>
      <c r="Y1377" s="4" t="str">
        <f>IFERROR(__xludf.DUMMYFUNCTION("""COMPUTED_VALUE"""),"7.0332904")</f>
        <v>7.0332904</v>
      </c>
      <c r="Z1377" s="4" t="str">
        <f>IFERROR(__xludf.DUMMYFUNCTION("""COMPUTED_VALUE"""),"3.9470396")</f>
        <v>3.9470396</v>
      </c>
      <c r="AA1377" s="4" t="str">
        <f t="shared" si="1"/>
        <v>Not Neighbor</v>
      </c>
      <c r="AC1377" s="4">
        <f>IFERROR(__xludf.DUMMYFUNCTION("IFERROR(ABS(O1377-AVERAGE(FILTER(O1377:O5445,AA1377:AA5445=""Neighbor""))) / STDEV(FILTER(O1377:O5445, AA1377:AA5445 =""Neighbor"")), """")"),0.4405896931558251)</f>
        <v>0.4405896932</v>
      </c>
      <c r="AD1377" s="4">
        <f>IFERROR(__xludf.DUMMYFUNCTION("IFERROR(ABS(P1377-AVERAGE(FILTER(O1377:P5445,AA1377:AA5445=""Neighbor""))) / STDEV(FILTER(P1377:P5445, AA1377:AA5445 =""Neighbor"")), """")"),1.7209094251502586)</f>
        <v>1.720909425</v>
      </c>
      <c r="AE1377" s="2">
        <f>IFERROR(__xludf.DUMMYFUNCTION("IFERROR(ABS(Q1377-AVERAGE(FILTER(Q1377:Q5445,AA1377:AA5445=""Neighbor""))) / STDEV(FILTER(Q1377:Q5445, AA1377:AA5445 =""Neighbor"")), """")"),0.6886647651765742)</f>
        <v>0.6886647652</v>
      </c>
      <c r="AF1377" s="2">
        <f>IFERROR(__xludf.DUMMYFUNCTION("IFERROR(ABS(R1377-AVERAGE(FILTER(R1377:R5445,AA1377:AA5445=""Neighbor""))) / STDEV(FILTER(R1377:R5445, AA1377:AA5445 =""Neighbor"")), """")"),0.3435072753512713)</f>
        <v>0.3435072754</v>
      </c>
    </row>
    <row r="1378">
      <c r="A1378" s="2" t="s">
        <v>28</v>
      </c>
      <c r="B1378" s="2" t="s">
        <v>5384</v>
      </c>
      <c r="C1378" s="2" t="s">
        <v>5584</v>
      </c>
      <c r="D1378" s="2" t="s">
        <v>5637</v>
      </c>
      <c r="E1378" s="2" t="s">
        <v>5638</v>
      </c>
      <c r="F1378" s="2">
        <v>199.0</v>
      </c>
      <c r="G1378" s="2">
        <v>807.0</v>
      </c>
      <c r="H1378" s="2" t="b">
        <v>1</v>
      </c>
      <c r="I1378" s="2">
        <v>-1.0</v>
      </c>
      <c r="J1378" s="2" t="b">
        <v>1</v>
      </c>
      <c r="K1378" s="2" t="b">
        <v>1</v>
      </c>
      <c r="L1378" s="2" t="b">
        <v>0</v>
      </c>
      <c r="M1378" s="2" t="b">
        <v>0</v>
      </c>
      <c r="N1378" s="2" t="s">
        <v>33</v>
      </c>
      <c r="O1378" s="2">
        <v>160.0</v>
      </c>
      <c r="P1378" s="2">
        <v>5.0</v>
      </c>
      <c r="Q1378" s="2">
        <v>27.0</v>
      </c>
      <c r="R1378" s="2">
        <v>2.0</v>
      </c>
      <c r="S1378" s="3" t="s">
        <v>5639</v>
      </c>
      <c r="T1378" s="2" t="s">
        <v>5640</v>
      </c>
      <c r="Y1378" s="4" t="str">
        <f>IFERROR(__xludf.DUMMYFUNCTION("""COMPUTED_VALUE"""),"6.9641107")</f>
        <v>6.9641107</v>
      </c>
      <c r="Z1378" s="4" t="str">
        <f>IFERROR(__xludf.DUMMYFUNCTION("""COMPUTED_VALUE"""),"4.1070487")</f>
        <v>4.1070487</v>
      </c>
      <c r="AA1378" s="4" t="str">
        <f t="shared" si="1"/>
        <v>Not Neighbor</v>
      </c>
      <c r="AC1378" s="4">
        <f>IFERROR(__xludf.DUMMYFUNCTION("IFERROR(ABS(O1378-AVERAGE(FILTER(O1378:O5446,AA1378:AA5446=""Neighbor""))) / STDEV(FILTER(O1378:O5446, AA1378:AA5446 =""Neighbor"")), """")"),2.406157720591896)</f>
        <v>2.406157721</v>
      </c>
      <c r="AD1378" s="4">
        <f>IFERROR(__xludf.DUMMYFUNCTION("IFERROR(ABS(P1378-AVERAGE(FILTER(O1378:P5446,AA1378:AA5446=""Neighbor""))) / STDEV(FILTER(P1378:P5446, AA1378:AA5446 =""Neighbor"")), """")"),1.580748212213673)</f>
        <v>1.580748212</v>
      </c>
      <c r="AE1378" s="2">
        <f>IFERROR(__xludf.DUMMYFUNCTION("IFERROR(ABS(Q1378-AVERAGE(FILTER(Q1378:Q5446,AA1378:AA5446=""Neighbor""))) / STDEV(FILTER(Q1378:Q5446, AA1378:AA5446 =""Neighbor"")), """")"),0.07104907592190862)</f>
        <v>0.07104907592</v>
      </c>
      <c r="AF1378" s="2">
        <f>IFERROR(__xludf.DUMMYFUNCTION("IFERROR(ABS(R1378-AVERAGE(FILTER(R1378:R5446,AA1378:AA5446=""Neighbor""))) / STDEV(FILTER(R1378:R5446, AA1378:AA5446 =""Neighbor"")), """")"),2.0684880822235994)</f>
        <v>2.068488082</v>
      </c>
    </row>
    <row r="1379">
      <c r="A1379" s="2" t="s">
        <v>28</v>
      </c>
      <c r="B1379" s="2" t="s">
        <v>5384</v>
      </c>
      <c r="C1379" s="2" t="s">
        <v>5584</v>
      </c>
      <c r="D1379" s="2" t="s">
        <v>5641</v>
      </c>
      <c r="E1379" s="2" t="s">
        <v>5642</v>
      </c>
      <c r="F1379" s="2">
        <v>70.0</v>
      </c>
      <c r="G1379" s="2">
        <v>300.0</v>
      </c>
      <c r="H1379" s="2" t="b">
        <v>1</v>
      </c>
      <c r="I1379" s="2">
        <v>-1.0</v>
      </c>
      <c r="J1379" s="2" t="b">
        <v>0</v>
      </c>
      <c r="K1379" s="2" t="b">
        <v>0</v>
      </c>
      <c r="L1379" s="2" t="b">
        <v>0</v>
      </c>
      <c r="M1379" s="2" t="b">
        <v>0</v>
      </c>
      <c r="N1379" s="2" t="s">
        <v>33</v>
      </c>
      <c r="O1379" s="2">
        <v>21.0</v>
      </c>
      <c r="P1379" s="2">
        <v>14.0</v>
      </c>
      <c r="Q1379" s="2">
        <v>24.0</v>
      </c>
      <c r="R1379" s="2">
        <v>1.0</v>
      </c>
      <c r="S1379" s="3" t="s">
        <v>5643</v>
      </c>
      <c r="T1379" s="2" t="s">
        <v>5644</v>
      </c>
      <c r="Y1379" s="4" t="str">
        <f>IFERROR(__xludf.DUMMYFUNCTION("""COMPUTED_VALUE"""),"7.0218632")</f>
        <v>7.0218632</v>
      </c>
      <c r="Z1379" s="4" t="str">
        <f>IFERROR(__xludf.DUMMYFUNCTION("""COMPUTED_VALUE"""),"4.1072485")</f>
        <v>4.1072485</v>
      </c>
      <c r="AA1379" s="4" t="str">
        <f t="shared" si="1"/>
        <v>Not Neighbor</v>
      </c>
      <c r="AC1379" s="4">
        <f>IFERROR(__xludf.DUMMYFUNCTION("IFERROR(ABS(O1379-AVERAGE(FILTER(O1379:O5447,AA1379:AA5447=""Neighbor""))) / STDEV(FILTER(O1379:O5447, AA1379:AA5447 =""Neighbor"")), """")"),1.0050309907092525)</f>
        <v>1.005030991</v>
      </c>
      <c r="AD1379" s="4">
        <f>IFERROR(__xludf.DUMMYFUNCTION("IFERROR(ABS(P1379-AVERAGE(FILTER(O1379:P5447,AA1379:AA5447=""Neighbor""))) / STDEV(FILTER(P1379:P5447, AA1379:AA5447 =""Neighbor"")), """")"),1.1602645734039163)</f>
        <v>1.160264573</v>
      </c>
      <c r="AE1379" s="2">
        <f>IFERROR(__xludf.DUMMYFUNCTION("IFERROR(ABS(Q1379-AVERAGE(FILTER(Q1379:Q5447,AA1379:AA5447=""Neighbor""))) / STDEV(FILTER(Q1379:Q5447, AA1379:AA5447 =""Neighbor"")), """")"),0.04890574109364128)</f>
        <v>0.04890574109</v>
      </c>
      <c r="AF1379" s="2">
        <f>IFERROR(__xludf.DUMMYFUNCTION("IFERROR(ABS(R1379-AVERAGE(FILTER(R1379:R5447,AA1379:AA5447=""Neighbor""))) / STDEV(FILTER(R1379:R5447, AA1379:AA5447 =""Neighbor"")), """")"),0.862490403436164)</f>
        <v>0.8624904034</v>
      </c>
    </row>
    <row r="1380">
      <c r="A1380" s="2" t="s">
        <v>28</v>
      </c>
      <c r="B1380" s="2" t="s">
        <v>5384</v>
      </c>
      <c r="C1380" s="2" t="s">
        <v>5584</v>
      </c>
      <c r="D1380" s="2" t="s">
        <v>5645</v>
      </c>
      <c r="E1380" s="2" t="s">
        <v>5646</v>
      </c>
      <c r="F1380" s="2">
        <v>47.0</v>
      </c>
      <c r="G1380" s="2">
        <v>411.0</v>
      </c>
      <c r="H1380" s="2" t="b">
        <v>1</v>
      </c>
      <c r="I1380" s="2">
        <v>-1.0</v>
      </c>
      <c r="J1380" s="2" t="b">
        <v>0</v>
      </c>
      <c r="K1380" s="2" t="b">
        <v>0</v>
      </c>
      <c r="L1380" s="2" t="b">
        <v>0</v>
      </c>
      <c r="M1380" s="2" t="b">
        <v>0</v>
      </c>
      <c r="N1380" s="2" t="s">
        <v>33</v>
      </c>
      <c r="O1380" s="2">
        <v>28.0</v>
      </c>
      <c r="P1380" s="2">
        <v>2.0</v>
      </c>
      <c r="Q1380" s="2">
        <v>9.0</v>
      </c>
      <c r="R1380" s="2">
        <v>0.0</v>
      </c>
      <c r="S1380" s="3" t="s">
        <v>5647</v>
      </c>
      <c r="T1380" s="2" t="s">
        <v>5648</v>
      </c>
      <c r="Y1380" s="4" t="str">
        <f>IFERROR(__xludf.DUMMYFUNCTION("""COMPUTED_VALUE"""),"7.0332904")</f>
        <v>7.0332904</v>
      </c>
      <c r="Z1380" s="4" t="str">
        <f>IFERROR(__xludf.DUMMYFUNCTION("""COMPUTED_VALUE"""),"3.9470396")</f>
        <v>3.9470396</v>
      </c>
      <c r="AA1380" s="4" t="str">
        <f t="shared" si="1"/>
        <v>Neighbor</v>
      </c>
      <c r="AC1380" s="4">
        <f>IFERROR(__xludf.DUMMYFUNCTION("IFERROR(ABS(O1380-AVERAGE(FILTER(O1380:O5448,AA1380:AA5448=""Neighbor""))) / STDEV(FILTER(O1380:O5448, AA1380:AA5448 =""Neighbor"")), """")"),0.833244508845166)</f>
        <v>0.8332445088</v>
      </c>
      <c r="AD1380" s="4">
        <f>IFERROR(__xludf.DUMMYFUNCTION("IFERROR(ABS(P1380-AVERAGE(FILTER(O1380:P5448,AA1380:AA5448=""Neighbor""))) / STDEV(FILTER(P1380:P5448, AA1380:AA5448 =""Neighbor"")), """")"),1.7209094251502586)</f>
        <v>1.720909425</v>
      </c>
      <c r="AE1380" s="2">
        <f>IFERROR(__xludf.DUMMYFUNCTION("IFERROR(ABS(Q1380-AVERAGE(FILTER(Q1380:Q5448,AA1380:AA5448=""Neighbor""))) / STDEV(FILTER(Q1380:Q5448, AA1380:AA5448 =""Neighbor"")), """")"),0.6486798261713907)</f>
        <v>0.6486798262</v>
      </c>
      <c r="AF1380" s="2">
        <f>IFERROR(__xludf.DUMMYFUNCTION("IFERROR(ABS(R1380-AVERAGE(FILTER(R1380:R5448,AA1380:AA5448=""Neighbor""))) / STDEV(FILTER(R1380:R5448, AA1380:AA5448 =""Neighbor"")), """")"),0.3435072753512713)</f>
        <v>0.3435072754</v>
      </c>
    </row>
    <row r="1381">
      <c r="A1381" s="2" t="s">
        <v>28</v>
      </c>
      <c r="B1381" s="2" t="s">
        <v>5384</v>
      </c>
      <c r="C1381" s="2" t="s">
        <v>5584</v>
      </c>
      <c r="D1381" s="2" t="s">
        <v>5649</v>
      </c>
      <c r="E1381" s="2" t="s">
        <v>5650</v>
      </c>
      <c r="F1381" s="2">
        <v>2.0</v>
      </c>
      <c r="G1381" s="2">
        <v>388.0</v>
      </c>
      <c r="H1381" s="2" t="b">
        <v>1</v>
      </c>
      <c r="I1381" s="2">
        <v>-1.0</v>
      </c>
      <c r="J1381" s="2" t="b">
        <v>1</v>
      </c>
      <c r="K1381" s="2" t="b">
        <v>1</v>
      </c>
      <c r="L1381" s="2" t="b">
        <v>0</v>
      </c>
      <c r="M1381" s="2" t="b">
        <v>0</v>
      </c>
      <c r="N1381" s="2" t="s">
        <v>33</v>
      </c>
      <c r="O1381" s="2">
        <v>131.0</v>
      </c>
      <c r="P1381" s="2">
        <v>0.0</v>
      </c>
      <c r="Q1381" s="2">
        <v>109.0</v>
      </c>
      <c r="R1381" s="2">
        <v>0.0</v>
      </c>
      <c r="S1381" s="3" t="s">
        <v>5651</v>
      </c>
      <c r="T1381" s="2" t="s">
        <v>5652</v>
      </c>
      <c r="Y1381" s="4" t="str">
        <f>IFERROR(__xludf.DUMMYFUNCTION("""COMPUTED_VALUE"""),"7.0332904")</f>
        <v>7.0332904</v>
      </c>
      <c r="Z1381" s="4" t="str">
        <f>IFERROR(__xludf.DUMMYFUNCTION("""COMPUTED_VALUE"""),"3.9470396")</f>
        <v>3.9470396</v>
      </c>
      <c r="AA1381" s="4" t="str">
        <f t="shared" si="1"/>
        <v>Not Neighbor</v>
      </c>
      <c r="AC1381" s="4">
        <f>IFERROR(__xludf.DUMMYFUNCTION("IFERROR(ABS(O1381-AVERAGE(FILTER(O1381:O5449,AA1381:AA5449=""Neighbor""))) / STDEV(FILTER(O1381:O5449, AA1381:AA5449 =""Neighbor"")), """")"),1.6935072378206326)</f>
        <v>1.693507238</v>
      </c>
      <c r="AD1381" s="4">
        <f>IFERROR(__xludf.DUMMYFUNCTION("IFERROR(ABS(P1381-AVERAGE(FILTER(O1381:P5449,AA1381:AA5449=""Neighbor""))) / STDEV(FILTER(P1381:P5449, AA1381:AA5449 =""Neighbor"")), """")"),1.8148609379840475)</f>
        <v>1.814860938</v>
      </c>
      <c r="AE1381" s="2">
        <f>IFERROR(__xludf.DUMMYFUNCTION("IFERROR(ABS(Q1381-AVERAGE(FILTER(Q1381:Q5449,AA1381:AA5449=""Neighbor""))) / STDEV(FILTER(Q1381:Q5449, AA1381:AA5449 =""Neighbor"")), """")"),3.3483855598897216)</f>
        <v>3.34838556</v>
      </c>
      <c r="AF1381" s="2">
        <f>IFERROR(__xludf.DUMMYFUNCTION("IFERROR(ABS(R1381-AVERAGE(FILTER(R1381:R5449,AA1381:AA5449=""Neighbor""))) / STDEV(FILTER(R1381:R5449, AA1381:AA5449 =""Neighbor"")), """")"),0.3436766124827759)</f>
        <v>0.3436766125</v>
      </c>
    </row>
    <row r="1382">
      <c r="A1382" s="2" t="s">
        <v>28</v>
      </c>
      <c r="B1382" s="2" t="s">
        <v>5384</v>
      </c>
      <c r="C1382" s="2" t="s">
        <v>5584</v>
      </c>
      <c r="D1382" s="2" t="s">
        <v>5653</v>
      </c>
      <c r="E1382" s="2" t="s">
        <v>5654</v>
      </c>
      <c r="F1382" s="2">
        <v>67.0</v>
      </c>
      <c r="G1382" s="2">
        <v>735.0</v>
      </c>
      <c r="H1382" s="2" t="b">
        <v>1</v>
      </c>
      <c r="I1382" s="2">
        <v>-1.0</v>
      </c>
      <c r="J1382" s="2" t="b">
        <v>0</v>
      </c>
      <c r="K1382" s="2" t="b">
        <v>0</v>
      </c>
      <c r="L1382" s="2" t="b">
        <v>0</v>
      </c>
      <c r="M1382" s="2" t="b">
        <v>0</v>
      </c>
      <c r="N1382" s="2" t="s">
        <v>33</v>
      </c>
      <c r="O1382" s="2">
        <v>52.0</v>
      </c>
      <c r="P1382" s="2">
        <v>4.0</v>
      </c>
      <c r="Q1382" s="2">
        <v>9.0</v>
      </c>
      <c r="R1382" s="2">
        <v>0.0</v>
      </c>
      <c r="S1382" s="3" t="s">
        <v>5655</v>
      </c>
      <c r="T1382" s="2" t="s">
        <v>5656</v>
      </c>
      <c r="Y1382" s="4" t="str">
        <f>IFERROR(__xludf.DUMMYFUNCTION("""COMPUTED_VALUE"""),"6.8738342")</f>
        <v>6.8738342</v>
      </c>
      <c r="Z1382" s="4" t="str">
        <f>IFERROR(__xludf.DUMMYFUNCTION("""COMPUTED_VALUE"""),"4.1697283")</f>
        <v>4.1697283</v>
      </c>
      <c r="AA1382" s="4" t="str">
        <f t="shared" si="1"/>
        <v>Not Neighbor</v>
      </c>
      <c r="AC1382" s="4">
        <f>IFERROR(__xludf.DUMMYFUNCTION("IFERROR(ABS(O1382-AVERAGE(FILTER(O1382:O5450,AA1382:AA5450=""Neighbor""))) / STDEV(FILTER(O1382:O5450, AA1382:AA5450 =""Neighbor"")), """")"),0.2449647087701311)</f>
        <v>0.2449647088</v>
      </c>
      <c r="AD1382" s="4">
        <f>IFERROR(__xludf.DUMMYFUNCTION("IFERROR(ABS(P1382-AVERAGE(FILTER(O1382:P5450,AA1382:AA5450=""Neighbor""))) / STDEV(FILTER(P1382:P5450, AA1382:AA5450 =""Neighbor"")), """")"),1.6280279240835023)</f>
        <v>1.628027924</v>
      </c>
      <c r="AE1382" s="2">
        <f>IFERROR(__xludf.DUMMYFUNCTION("IFERROR(ABS(Q1382-AVERAGE(FILTER(Q1382:Q5450,AA1382:AA5450=""Neighbor""))) / STDEV(FILTER(Q1382:Q5450, AA1382:AA5450 =""Neighbor"")), """")"),0.6490864266176116)</f>
        <v>0.6490864266</v>
      </c>
      <c r="AF1382" s="2">
        <f>IFERROR(__xludf.DUMMYFUNCTION("IFERROR(ABS(R1382-AVERAGE(FILTER(R1382:R5450,AA1382:AA5450=""Neighbor""))) / STDEV(FILTER(R1382:R5450, AA1382:AA5450 =""Neighbor"")), """")"),0.3436766124827759)</f>
        <v>0.3436766125</v>
      </c>
    </row>
    <row r="1383">
      <c r="A1383" s="2" t="s">
        <v>28</v>
      </c>
      <c r="B1383" s="2" t="s">
        <v>5384</v>
      </c>
      <c r="C1383" s="2" t="s">
        <v>5584</v>
      </c>
      <c r="D1383" s="2" t="s">
        <v>5657</v>
      </c>
      <c r="E1383" s="2" t="s">
        <v>5658</v>
      </c>
      <c r="F1383" s="2">
        <v>117.0</v>
      </c>
      <c r="G1383" s="2">
        <v>799.0</v>
      </c>
      <c r="H1383" s="2" t="b">
        <v>1</v>
      </c>
      <c r="I1383" s="2">
        <v>-1.0</v>
      </c>
      <c r="J1383" s="2" t="b">
        <v>0</v>
      </c>
      <c r="K1383" s="2" t="b">
        <v>0</v>
      </c>
      <c r="L1383" s="2" t="b">
        <v>0</v>
      </c>
      <c r="M1383" s="2" t="b">
        <v>0</v>
      </c>
      <c r="N1383" s="2" t="s">
        <v>33</v>
      </c>
      <c r="O1383" s="2">
        <v>90.0</v>
      </c>
      <c r="P1383" s="2">
        <v>2.0</v>
      </c>
      <c r="Q1383" s="2">
        <v>20.0</v>
      </c>
      <c r="R1383" s="2">
        <v>0.0</v>
      </c>
      <c r="S1383" s="3" t="s">
        <v>5659</v>
      </c>
      <c r="T1383" s="2" t="s">
        <v>5660</v>
      </c>
      <c r="Y1383" s="4" t="str">
        <f>IFERROR(__xludf.DUMMYFUNCTION("""COMPUTED_VALUE"""),"7.0851124")</f>
        <v>7.0851124</v>
      </c>
      <c r="Z1383" s="4" t="str">
        <f>IFERROR(__xludf.DUMMYFUNCTION("""COMPUTED_VALUE"""),"4.0455957")</f>
        <v>4.0455957</v>
      </c>
      <c r="AA1383" s="4" t="str">
        <f t="shared" si="1"/>
        <v>Neighbor</v>
      </c>
      <c r="AC1383" s="4">
        <f>IFERROR(__xludf.DUMMYFUNCTION("IFERROR(ABS(O1383-AVERAGE(FILTER(O1383:O5451,AA1383:AA5451=""Neighbor""))) / STDEV(FILTER(O1383:O5451, AA1383:AA5451 =""Neighbor"")), """")"),0.6874648351596034)</f>
        <v>0.6874648352</v>
      </c>
      <c r="AD1383" s="4">
        <f>IFERROR(__xludf.DUMMYFUNCTION("IFERROR(ABS(P1383-AVERAGE(FILTER(O1383:P5451,AA1383:AA5451=""Neighbor""))) / STDEV(FILTER(P1383:P5451, AA1383:AA5451 =""Neighbor"")), """")"),1.7214444310337749)</f>
        <v>1.721444431</v>
      </c>
      <c r="AE1383" s="2">
        <f>IFERROR(__xludf.DUMMYFUNCTION("IFERROR(ABS(Q1383-AVERAGE(FILTER(Q1383:Q5451,AA1383:AA5451=""Neighbor""))) / STDEV(FILTER(Q1383:Q5451, AA1383:AA5451 =""Neighbor"")), """")"),0.20936450810180499)</f>
        <v>0.2093645081</v>
      </c>
      <c r="AF1383" s="2">
        <f>IFERROR(__xludf.DUMMYFUNCTION("IFERROR(ABS(R1383-AVERAGE(FILTER(R1383:R5451,AA1383:AA5451=""Neighbor""))) / STDEV(FILTER(R1383:R5451, AA1383:AA5451 =""Neighbor"")), """")"),0.3436766124827759)</f>
        <v>0.3436766125</v>
      </c>
    </row>
    <row r="1384">
      <c r="A1384" s="2" t="s">
        <v>28</v>
      </c>
      <c r="B1384" s="2" t="s">
        <v>5384</v>
      </c>
      <c r="C1384" s="2" t="s">
        <v>5584</v>
      </c>
      <c r="D1384" s="2" t="s">
        <v>5661</v>
      </c>
      <c r="E1384" s="2" t="s">
        <v>5662</v>
      </c>
      <c r="F1384" s="2">
        <v>123.0</v>
      </c>
      <c r="G1384" s="2">
        <v>728.0</v>
      </c>
      <c r="H1384" s="2" t="b">
        <v>1</v>
      </c>
      <c r="I1384" s="2">
        <v>-1.0</v>
      </c>
      <c r="J1384" s="2" t="b">
        <v>0</v>
      </c>
      <c r="K1384" s="2" t="b">
        <v>0</v>
      </c>
      <c r="L1384" s="2" t="b">
        <v>0</v>
      </c>
      <c r="M1384" s="2" t="b">
        <v>0</v>
      </c>
      <c r="N1384" s="2" t="s">
        <v>33</v>
      </c>
      <c r="O1384" s="2">
        <v>98.0</v>
      </c>
      <c r="P1384" s="2">
        <v>1.0</v>
      </c>
      <c r="Q1384" s="2">
        <v>16.0</v>
      </c>
      <c r="R1384" s="2">
        <v>0.0</v>
      </c>
      <c r="S1384" s="3" t="s">
        <v>5663</v>
      </c>
      <c r="T1384" s="2" t="s">
        <v>5664</v>
      </c>
      <c r="Y1384" s="4" t="str">
        <f>IFERROR(__xludf.DUMMYFUNCTION("""COMPUTED_VALUE"""),"7.0851124")</f>
        <v>7.0851124</v>
      </c>
      <c r="Z1384" s="4" t="str">
        <f>IFERROR(__xludf.DUMMYFUNCTION("""COMPUTED_VALUE"""),"4.0455957")</f>
        <v>4.0455957</v>
      </c>
      <c r="AA1384" s="4" t="str">
        <f t="shared" si="1"/>
        <v>Not Neighbor</v>
      </c>
      <c r="AC1384" s="4">
        <f>IFERROR(__xludf.DUMMYFUNCTION("IFERROR(ABS(O1384-AVERAGE(FILTER(O1384:O5452,AA1384:AA5452=""Neighbor""))) / STDEV(FILTER(O1384:O5452, AA1384:AA5452 =""Neighbor"")), """")"),0.884167133821359)</f>
        <v>0.8841671338</v>
      </c>
      <c r="AD1384" s="4">
        <f>IFERROR(__xludf.DUMMYFUNCTION("IFERROR(ABS(P1384-AVERAGE(FILTER(O1384:P5452,AA1384:AA5452=""Neighbor""))) / STDEV(FILTER(P1384:P5452, AA1384:AA5452 =""Neighbor"")), """")"),1.7673980967390674)</f>
        <v>1.767398097</v>
      </c>
      <c r="AE1384" s="2">
        <f>IFERROR(__xludf.DUMMYFUNCTION("IFERROR(ABS(Q1384-AVERAGE(FILTER(Q1384:Q5452,AA1384:AA5452=""Neighbor""))) / STDEV(FILTER(Q1384:Q5452, AA1384:AA5452 =""Neighbor"")), """")"),0.3692922748758586)</f>
        <v>0.3692922749</v>
      </c>
      <c r="AF1384" s="2">
        <f>IFERROR(__xludf.DUMMYFUNCTION("IFERROR(ABS(R1384-AVERAGE(FILTER(R1384:R5452,AA1384:AA5452=""Neighbor""))) / STDEV(FILTER(R1384:R5452, AA1384:AA5452 =""Neighbor"")), """")"),0.34384620032117136)</f>
        <v>0.3438462003</v>
      </c>
    </row>
    <row r="1385">
      <c r="A1385" s="2" t="s">
        <v>28</v>
      </c>
      <c r="B1385" s="2" t="s">
        <v>5384</v>
      </c>
      <c r="C1385" s="2" t="s">
        <v>5584</v>
      </c>
      <c r="D1385" s="2" t="s">
        <v>5665</v>
      </c>
      <c r="E1385" s="2" t="s">
        <v>5666</v>
      </c>
      <c r="F1385" s="2">
        <v>99.0</v>
      </c>
      <c r="G1385" s="2">
        <v>366.0</v>
      </c>
      <c r="H1385" s="2" t="b">
        <v>1</v>
      </c>
      <c r="I1385" s="2">
        <v>-1.0</v>
      </c>
      <c r="J1385" s="2" t="b">
        <v>0</v>
      </c>
      <c r="K1385" s="2" t="b">
        <v>0</v>
      </c>
      <c r="L1385" s="2" t="b">
        <v>0</v>
      </c>
      <c r="M1385" s="2" t="b">
        <v>0</v>
      </c>
      <c r="N1385" s="2" t="s">
        <v>33</v>
      </c>
      <c r="O1385" s="2">
        <v>64.0</v>
      </c>
      <c r="P1385" s="2">
        <v>2.0</v>
      </c>
      <c r="Q1385" s="2">
        <v>23.0</v>
      </c>
      <c r="R1385" s="2">
        <v>0.0</v>
      </c>
      <c r="S1385" s="3" t="s">
        <v>5667</v>
      </c>
      <c r="T1385" s="2" t="s">
        <v>5668</v>
      </c>
      <c r="Y1385" s="4" t="str">
        <f>IFERROR(__xludf.DUMMYFUNCTION("""COMPUTED_VALUE"""),"7.0677131")</f>
        <v>7.0677131</v>
      </c>
      <c r="Z1385" s="4" t="str">
        <f>IFERROR(__xludf.DUMMYFUNCTION("""COMPUTED_VALUE"""),"4.0981397")</f>
        <v>4.0981397</v>
      </c>
      <c r="AA1385" s="4" t="str">
        <f t="shared" si="1"/>
        <v>Not Neighbor</v>
      </c>
      <c r="AC1385" s="4">
        <f>IFERROR(__xludf.DUMMYFUNCTION("IFERROR(ABS(O1385-AVERAGE(FILTER(O1385:O5453,AA1385:AA5453=""Neighbor""))) / STDEV(FILTER(O1385:O5453, AA1385:AA5453 =""Neighbor"")), """")"),0.050082360995641055)</f>
        <v>0.050082361</v>
      </c>
      <c r="AD1385" s="4">
        <f>IFERROR(__xludf.DUMMYFUNCTION("IFERROR(ABS(P1385-AVERAGE(FILTER(O1385:P5453,AA1385:AA5453=""Neighbor""))) / STDEV(FILTER(P1385:P5453, AA1385:AA5453 =""Neighbor"")), """")"),1.720701991113939)</f>
        <v>1.720701991</v>
      </c>
      <c r="AE1385" s="2">
        <f>IFERROR(__xludf.DUMMYFUNCTION("IFERROR(ABS(Q1385-AVERAGE(FILTER(Q1385:Q5453,AA1385:AA5453=""Neighbor""))) / STDEV(FILTER(Q1385:Q5453, AA1385:AA5453 =""Neighbor"")), """")"),0.08958743965158954)</f>
        <v>0.08958743965</v>
      </c>
      <c r="AF1385" s="2">
        <f>IFERROR(__xludf.DUMMYFUNCTION("IFERROR(ABS(R1385-AVERAGE(FILTER(R1385:R5453,AA1385:AA5453=""Neighbor""))) / STDEV(FILTER(R1385:R5453, AA1385:AA5453 =""Neighbor"")), """")"),0.34384620032117136)</f>
        <v>0.3438462003</v>
      </c>
    </row>
    <row r="1386">
      <c r="A1386" s="2" t="s">
        <v>28</v>
      </c>
      <c r="B1386" s="2" t="s">
        <v>5384</v>
      </c>
      <c r="C1386" s="2" t="s">
        <v>5584</v>
      </c>
      <c r="D1386" s="2" t="s">
        <v>5669</v>
      </c>
      <c r="E1386" s="2" t="s">
        <v>5670</v>
      </c>
      <c r="F1386" s="2">
        <v>79.0</v>
      </c>
      <c r="G1386" s="2">
        <v>242.0</v>
      </c>
      <c r="H1386" s="2" t="b">
        <v>1</v>
      </c>
      <c r="I1386" s="2">
        <v>-1.0</v>
      </c>
      <c r="J1386" s="2" t="b">
        <v>0</v>
      </c>
      <c r="K1386" s="2" t="b">
        <v>0</v>
      </c>
      <c r="L1386" s="2" t="b">
        <v>0</v>
      </c>
      <c r="M1386" s="2" t="b">
        <v>0</v>
      </c>
      <c r="N1386" s="2" t="s">
        <v>33</v>
      </c>
      <c r="O1386" s="2">
        <v>42.0</v>
      </c>
      <c r="P1386" s="2">
        <v>10.0</v>
      </c>
      <c r="Q1386" s="2">
        <v>18.0</v>
      </c>
      <c r="R1386" s="2">
        <v>1.0</v>
      </c>
      <c r="S1386" s="3" t="s">
        <v>5671</v>
      </c>
      <c r="T1386" s="2" t="s">
        <v>5672</v>
      </c>
      <c r="Y1386" s="4" t="str">
        <f>IFERROR(__xludf.DUMMYFUNCTION("""COMPUTED_VALUE"""),"7.0332904")</f>
        <v>7.0332904</v>
      </c>
      <c r="Z1386" s="4" t="str">
        <f>IFERROR(__xludf.DUMMYFUNCTION("""COMPUTED_VALUE"""),"3.9470396")</f>
        <v>3.9470396</v>
      </c>
      <c r="AA1386" s="4" t="str">
        <f t="shared" si="1"/>
        <v>Not Neighbor</v>
      </c>
      <c r="AC1386" s="4">
        <f>IFERROR(__xludf.DUMMYFUNCTION("IFERROR(ABS(O1386-AVERAGE(FILTER(O1386:O5454,AA1386:AA5454=""Neighbor""))) / STDEV(FILTER(O1386:O5454, AA1386:AA5454 =""Neighbor"")), """")"),0.4896195508327647)</f>
        <v>0.4896195508</v>
      </c>
      <c r="AD1386" s="4">
        <f>IFERROR(__xludf.DUMMYFUNCTION("IFERROR(ABS(P1386-AVERAGE(FILTER(O1386:P5454,AA1386:AA5454=""Neighbor""))) / STDEV(FILTER(P1386:P5454, AA1386:AA5454 =""Neighbor"")), """")"),1.3471331461129121)</f>
        <v>1.347133146</v>
      </c>
      <c r="AE1386" s="2">
        <f>IFERROR(__xludf.DUMMYFUNCTION("IFERROR(ABS(Q1386-AVERAGE(FILTER(Q1386:Q5454,AA1386:AA5454=""Neighbor""))) / STDEV(FILTER(Q1386:Q5454, AA1386:AA5454 =""Neighbor"")), """")"),0.2893766076689246)</f>
        <v>0.2893766077</v>
      </c>
      <c r="AF1386" s="2">
        <f>IFERROR(__xludf.DUMMYFUNCTION("IFERROR(ABS(R1386-AVERAGE(FILTER(R1386:R5454,AA1386:AA5454=""Neighbor""))) / STDEV(FILTER(R1386:R5454, AA1386:AA5454 =""Neighbor"")), """")"),0.8612123097827482)</f>
        <v>0.8612123098</v>
      </c>
    </row>
    <row r="1387">
      <c r="A1387" s="2" t="s">
        <v>28</v>
      </c>
      <c r="B1387" s="2" t="s">
        <v>5384</v>
      </c>
      <c r="C1387" s="2" t="s">
        <v>5584</v>
      </c>
      <c r="D1387" s="2" t="s">
        <v>5673</v>
      </c>
      <c r="E1387" s="2" t="s">
        <v>5674</v>
      </c>
      <c r="F1387" s="2">
        <v>174.0</v>
      </c>
      <c r="G1387" s="2">
        <v>750.0</v>
      </c>
      <c r="H1387" s="2" t="b">
        <v>1</v>
      </c>
      <c r="I1387" s="2">
        <v>-1.0</v>
      </c>
      <c r="J1387" s="2" t="b">
        <v>1</v>
      </c>
      <c r="K1387" s="2" t="b">
        <v>0</v>
      </c>
      <c r="L1387" s="2" t="b">
        <v>0</v>
      </c>
      <c r="M1387" s="2" t="b">
        <v>0</v>
      </c>
      <c r="N1387" s="2" t="s">
        <v>33</v>
      </c>
      <c r="O1387" s="2">
        <v>156.0</v>
      </c>
      <c r="P1387" s="2">
        <v>4.0</v>
      </c>
      <c r="Q1387" s="2">
        <v>8.0</v>
      </c>
      <c r="R1387" s="2">
        <v>0.0</v>
      </c>
      <c r="S1387" s="3" t="s">
        <v>5675</v>
      </c>
      <c r="T1387" s="2" t="s">
        <v>5676</v>
      </c>
      <c r="Y1387" s="4" t="str">
        <f>IFERROR(__xludf.DUMMYFUNCTION("""COMPUTED_VALUE"""),"7.5628964")</f>
        <v>7.5628964</v>
      </c>
      <c r="Z1387" s="4" t="str">
        <f>IFERROR(__xludf.DUMMYFUNCTION("""COMPUTED_VALUE"""),"4.5199593")</f>
        <v>4.5199593</v>
      </c>
      <c r="AA1387" s="4" t="str">
        <f t="shared" si="1"/>
        <v>Not Neighbor</v>
      </c>
      <c r="AC1387" s="4">
        <f>IFERROR(__xludf.DUMMYFUNCTION("IFERROR(ABS(O1387-AVERAGE(FILTER(O1387:O5455,AA1387:AA5455=""Neighbor""))) / STDEV(FILTER(O1387:O5455, AA1387:AA5455 =""Neighbor"")), """")"),2.3070176286417015)</f>
        <v>2.307017629</v>
      </c>
      <c r="AD1387" s="4">
        <f>IFERROR(__xludf.DUMMYFUNCTION("IFERROR(ABS(P1387-AVERAGE(FILTER(O1387:P5455,AA1387:AA5455=""Neighbor""))) / STDEV(FILTER(P1387:P5455, AA1387:AA5455 =""Neighbor"")), """")"),1.6273097798636822)</f>
        <v>1.62730978</v>
      </c>
      <c r="AE1387" s="2">
        <f>IFERROR(__xludf.DUMMYFUNCTION("IFERROR(ABS(Q1387-AVERAGE(FILTER(Q1387:Q5455,AA1387:AA5455=""Neighbor""))) / STDEV(FILTER(Q1387:Q5455, AA1387:AA5455 =""Neighbor"")), """")"),0.6889549437035947)</f>
        <v>0.6889549437</v>
      </c>
      <c r="AF1387" s="2">
        <f>IFERROR(__xludf.DUMMYFUNCTION("IFERROR(ABS(R1387-AVERAGE(FILTER(R1387:R5455,AA1387:AA5455=""Neighbor""))) / STDEV(FILTER(R1387:R5455, AA1387:AA5455 =""Neighbor"")), """")"),0.34384620032117136)</f>
        <v>0.3438462003</v>
      </c>
    </row>
    <row r="1388">
      <c r="A1388" s="2" t="s">
        <v>28</v>
      </c>
      <c r="B1388" s="2" t="s">
        <v>5384</v>
      </c>
      <c r="C1388" s="2" t="s">
        <v>5584</v>
      </c>
      <c r="D1388" s="2" t="s">
        <v>5677</v>
      </c>
      <c r="E1388" s="2" t="s">
        <v>5678</v>
      </c>
      <c r="F1388" s="2">
        <v>90.0</v>
      </c>
      <c r="G1388" s="2">
        <v>731.0</v>
      </c>
      <c r="H1388" s="2" t="b">
        <v>1</v>
      </c>
      <c r="I1388" s="2">
        <v>-1.0</v>
      </c>
      <c r="J1388" s="2" t="b">
        <v>0</v>
      </c>
      <c r="K1388" s="2" t="b">
        <v>0</v>
      </c>
      <c r="L1388" s="2" t="b">
        <v>0</v>
      </c>
      <c r="M1388" s="2" t="b">
        <v>0</v>
      </c>
      <c r="N1388" s="2" t="s">
        <v>33</v>
      </c>
      <c r="O1388" s="2">
        <v>76.0</v>
      </c>
      <c r="P1388" s="2">
        <v>5.0</v>
      </c>
      <c r="Q1388" s="2">
        <v>3.0</v>
      </c>
      <c r="R1388" s="2">
        <v>0.0</v>
      </c>
      <c r="S1388" s="3" t="s">
        <v>5679</v>
      </c>
      <c r="T1388" s="2" t="s">
        <v>5680</v>
      </c>
      <c r="Y1388" s="4" t="str">
        <f>IFERROR(__xludf.DUMMYFUNCTION("""COMPUTED_VALUE"""),"7.147502")</f>
        <v>7.147502</v>
      </c>
      <c r="Z1388" s="4" t="str">
        <f>IFERROR(__xludf.DUMMYFUNCTION("""COMPUTED_VALUE"""),"3.3619356")</f>
        <v>3.3619356</v>
      </c>
      <c r="AA1388" s="4" t="str">
        <f t="shared" si="1"/>
        <v>Not Neighbor</v>
      </c>
      <c r="AC1388" s="4">
        <f>IFERROR(__xludf.DUMMYFUNCTION("IFERROR(ABS(O1388-AVERAGE(FILTER(O1388:O5456,AA1388:AA5456=""Neighbor""))) / STDEV(FILTER(O1388:O5456, AA1388:AA5456 =""Neighbor"")), """")"),0.34446522199295326)</f>
        <v>0.344465222</v>
      </c>
      <c r="AD1388" s="4">
        <f>IFERROR(__xludf.DUMMYFUNCTION("IFERROR(ABS(P1388-AVERAGE(FILTER(O1388:P5456,AA1388:AA5456=""Neighbor""))) / STDEV(FILTER(P1388:P5456, AA1388:AA5456 =""Neighbor"")), """")"),1.580613674238554)</f>
        <v>1.580613674</v>
      </c>
      <c r="AE1388" s="2">
        <f>IFERROR(__xludf.DUMMYFUNCTION("IFERROR(ABS(Q1388-AVERAGE(FILTER(Q1388:Q5456,AA1388:AA5456=""Neighbor""))) / STDEV(FILTER(Q1388:Q5456, AA1388:AA5456 =""Neighbor"")), """")"),0.8887441117209297)</f>
        <v>0.8887441117</v>
      </c>
      <c r="AF1388" s="2">
        <f>IFERROR(__xludf.DUMMYFUNCTION("IFERROR(ABS(R1388-AVERAGE(FILTER(R1388:R5456,AA1388:AA5456=""Neighbor""))) / STDEV(FILTER(R1388:R5456, AA1388:AA5456 =""Neighbor"")), """")"),0.34384620032117136)</f>
        <v>0.3438462003</v>
      </c>
    </row>
    <row r="1389">
      <c r="A1389" s="2" t="s">
        <v>28</v>
      </c>
      <c r="B1389" s="2" t="s">
        <v>5384</v>
      </c>
      <c r="C1389" s="2" t="s">
        <v>5584</v>
      </c>
      <c r="D1389" s="2" t="s">
        <v>5681</v>
      </c>
      <c r="E1389" s="2" t="s">
        <v>5682</v>
      </c>
      <c r="F1389" s="2">
        <v>134.0</v>
      </c>
      <c r="G1389" s="2">
        <v>750.0</v>
      </c>
      <c r="H1389" s="2" t="b">
        <v>1</v>
      </c>
      <c r="I1389" s="2">
        <v>-1.0</v>
      </c>
      <c r="J1389" s="2" t="b">
        <v>0</v>
      </c>
      <c r="K1389" s="2" t="b">
        <v>0</v>
      </c>
      <c r="L1389" s="2" t="b">
        <v>0</v>
      </c>
      <c r="M1389" s="2" t="b">
        <v>0</v>
      </c>
      <c r="N1389" s="2" t="s">
        <v>33</v>
      </c>
      <c r="O1389" s="2">
        <v>113.0</v>
      </c>
      <c r="P1389" s="2">
        <v>4.0</v>
      </c>
      <c r="Q1389" s="2">
        <v>7.0</v>
      </c>
      <c r="R1389" s="2">
        <v>0.0</v>
      </c>
      <c r="S1389" s="3" t="s">
        <v>5683</v>
      </c>
      <c r="T1389" s="2" t="s">
        <v>5684</v>
      </c>
      <c r="Y1389" s="4" t="str">
        <f>IFERROR(__xludf.DUMMYFUNCTION("""COMPUTED_VALUE"""),"7.0332904")</f>
        <v>7.0332904</v>
      </c>
      <c r="Z1389" s="4" t="str">
        <f>IFERROR(__xludf.DUMMYFUNCTION("""COMPUTED_VALUE"""),"3.9470396")</f>
        <v>3.9470396</v>
      </c>
      <c r="AA1389" s="4" t="str">
        <f t="shared" si="1"/>
        <v>Not Neighbor</v>
      </c>
      <c r="AC1389" s="4">
        <f>IFERROR(__xludf.DUMMYFUNCTION("IFERROR(ABS(O1389-AVERAGE(FILTER(O1389:O5457,AA1389:AA5457=""Neighbor""))) / STDEV(FILTER(O1389:O5457, AA1389:AA5457 =""Neighbor"")), """")"),1.2521457100679994)</f>
        <v>1.25214571</v>
      </c>
      <c r="AD1389" s="4">
        <f>IFERROR(__xludf.DUMMYFUNCTION("IFERROR(ABS(P1389-AVERAGE(FILTER(O1389:P5457,AA1389:AA5457=""Neighbor""))) / STDEV(FILTER(P1389:P5457, AA1389:AA5457 =""Neighbor"")), """")"),1.6273097798636822)</f>
        <v>1.62730978</v>
      </c>
      <c r="AE1389" s="2">
        <f>IFERROR(__xludf.DUMMYFUNCTION("IFERROR(ABS(Q1389-AVERAGE(FILTER(Q1389:Q5457,AA1389:AA5457=""Neighbor""))) / STDEV(FILTER(Q1389:Q5457, AA1389:AA5457 =""Neighbor"")), """")"),0.7289127773070617)</f>
        <v>0.7289127773</v>
      </c>
      <c r="AF1389" s="2">
        <f>IFERROR(__xludf.DUMMYFUNCTION("IFERROR(ABS(R1389-AVERAGE(FILTER(R1389:R5457,AA1389:AA5457=""Neighbor""))) / STDEV(FILTER(R1389:R5457, AA1389:AA5457 =""Neighbor"")), """")"),0.34384620032117136)</f>
        <v>0.3438462003</v>
      </c>
    </row>
    <row r="1390">
      <c r="A1390" s="2" t="s">
        <v>28</v>
      </c>
      <c r="B1390" s="2" t="s">
        <v>5384</v>
      </c>
      <c r="C1390" s="2" t="s">
        <v>5685</v>
      </c>
      <c r="D1390" s="2" t="s">
        <v>5686</v>
      </c>
      <c r="E1390" s="2" t="s">
        <v>5687</v>
      </c>
      <c r="F1390" s="2">
        <v>79.0</v>
      </c>
      <c r="G1390" s="2">
        <v>219.0</v>
      </c>
      <c r="H1390" s="2" t="b">
        <v>1</v>
      </c>
      <c r="I1390" s="2">
        <v>-1.0</v>
      </c>
      <c r="J1390" s="2" t="b">
        <v>0</v>
      </c>
      <c r="K1390" s="2" t="b">
        <v>0</v>
      </c>
      <c r="L1390" s="2" t="b">
        <v>0</v>
      </c>
      <c r="M1390" s="2" t="b">
        <v>0</v>
      </c>
      <c r="N1390" s="2" t="s">
        <v>33</v>
      </c>
      <c r="O1390" s="2">
        <v>51.0</v>
      </c>
      <c r="P1390" s="2">
        <v>4.0</v>
      </c>
      <c r="Q1390" s="2">
        <v>20.0</v>
      </c>
      <c r="R1390" s="2">
        <v>0.0</v>
      </c>
      <c r="S1390" s="3" t="s">
        <v>5688</v>
      </c>
      <c r="T1390" s="2" t="s">
        <v>5689</v>
      </c>
      <c r="Y1390" s="4" t="str">
        <f>IFERROR(__xludf.DUMMYFUNCTION("""COMPUTED_VALUE"""),"6.9523961")</f>
        <v>6.9523961</v>
      </c>
      <c r="Z1390" s="4" t="str">
        <f>IFERROR(__xludf.DUMMYFUNCTION("""COMPUTED_VALUE"""),"4.0031521")</f>
        <v>4.0031521</v>
      </c>
      <c r="AA1390" s="4" t="str">
        <f t="shared" si="1"/>
        <v>Neighbor</v>
      </c>
      <c r="AC1390" s="4">
        <f>IFERROR(__xludf.DUMMYFUNCTION("IFERROR(ABS(O1390-AVERAGE(FILTER(O1390:O5458,AA1390:AA5458=""Neighbor""))) / STDEV(FILTER(O1390:O5458, AA1390:AA5458 =""Neighbor"")), """")"),0.2688324050847805)</f>
        <v>0.2688324051</v>
      </c>
      <c r="AD1390" s="4">
        <f>IFERROR(__xludf.DUMMYFUNCTION("IFERROR(ABS(P1390-AVERAGE(FILTER(O1390:P5458,AA1390:AA5458=""Neighbor""))) / STDEV(FILTER(P1390:P5458, AA1390:AA5458 =""Neighbor"")), """")"),1.6273097798636822)</f>
        <v>1.62730978</v>
      </c>
      <c r="AE1390" s="2">
        <f>IFERROR(__xludf.DUMMYFUNCTION("IFERROR(ABS(Q1390-AVERAGE(FILTER(Q1390:Q5458,AA1390:AA5458=""Neighbor""))) / STDEV(FILTER(Q1390:Q5458, AA1390:AA5458 =""Neighbor"")), """")"),0.20946094046199057)</f>
        <v>0.2094609405</v>
      </c>
      <c r="AF1390" s="2">
        <f>IFERROR(__xludf.DUMMYFUNCTION("IFERROR(ABS(R1390-AVERAGE(FILTER(R1390:R5458,AA1390:AA5458=""Neighbor""))) / STDEV(FILTER(R1390:R5458, AA1390:AA5458 =""Neighbor"")), """")"),0.34384620032117136)</f>
        <v>0.3438462003</v>
      </c>
    </row>
    <row r="1391">
      <c r="A1391" s="2" t="s">
        <v>28</v>
      </c>
      <c r="B1391" s="2" t="s">
        <v>5384</v>
      </c>
      <c r="C1391" s="2" t="s">
        <v>5685</v>
      </c>
      <c r="D1391" s="2" t="s">
        <v>5690</v>
      </c>
      <c r="E1391" s="2" t="s">
        <v>5691</v>
      </c>
      <c r="F1391" s="2">
        <v>163.0</v>
      </c>
      <c r="G1391" s="2">
        <v>596.0</v>
      </c>
      <c r="H1391" s="2" t="b">
        <v>1</v>
      </c>
      <c r="I1391" s="2">
        <v>-1.0</v>
      </c>
      <c r="J1391" s="2" t="b">
        <v>1</v>
      </c>
      <c r="K1391" s="2" t="b">
        <v>0</v>
      </c>
      <c r="L1391" s="2" t="b">
        <v>0</v>
      </c>
      <c r="M1391" s="2" t="b">
        <v>0</v>
      </c>
      <c r="N1391" s="2" t="s">
        <v>33</v>
      </c>
      <c r="O1391" s="2">
        <v>109.0</v>
      </c>
      <c r="P1391" s="2">
        <v>6.0</v>
      </c>
      <c r="Q1391" s="2">
        <v>38.0</v>
      </c>
      <c r="R1391" s="2">
        <v>0.0</v>
      </c>
      <c r="S1391" s="3" t="s">
        <v>5692</v>
      </c>
      <c r="T1391" s="2" t="s">
        <v>5693</v>
      </c>
      <c r="Y1391" s="4" t="str">
        <f>IFERROR(__xludf.DUMMYFUNCTION("""COMPUTED_VALUE"""),"6.9523961")</f>
        <v>6.9523961</v>
      </c>
      <c r="Z1391" s="4" t="str">
        <f>IFERROR(__xludf.DUMMYFUNCTION("""COMPUTED_VALUE"""),"4.0031521")</f>
        <v>4.0031521</v>
      </c>
      <c r="AA1391" s="4" t="str">
        <f t="shared" si="1"/>
        <v>Neighbor</v>
      </c>
      <c r="AC1391" s="4">
        <f>IFERROR(__xludf.DUMMYFUNCTION("IFERROR(ABS(O1391-AVERAGE(FILTER(O1391:O5459,AA1391:AA5459=""Neighbor""))) / STDEV(FILTER(O1391:O5459, AA1391:AA5459 =""Neighbor"")), """")"),1.1533070929072036)</f>
        <v>1.153307093</v>
      </c>
      <c r="AD1391" s="4">
        <f>IFERROR(__xludf.DUMMYFUNCTION("IFERROR(ABS(P1391-AVERAGE(FILTER(O1391:P5459,AA1391:AA5459=""Neighbor""))) / STDEV(FILTER(P1391:P5459, AA1391:AA5459 =""Neighbor"")), """")"),1.5339116291565165)</f>
        <v>1.533911629</v>
      </c>
      <c r="AE1391" s="2">
        <f>IFERROR(__xludf.DUMMYFUNCTION("IFERROR(ABS(Q1391-AVERAGE(FILTER(Q1391:Q5459,AA1391:AA5459=""Neighbor""))) / STDEV(FILTER(Q1391:Q5459, AA1391:AA5459 =""Neighbor"")), """")"),0.5093794185089177)</f>
        <v>0.5093794185</v>
      </c>
      <c r="AF1391" s="2">
        <f>IFERROR(__xludf.DUMMYFUNCTION("IFERROR(ABS(R1391-AVERAGE(FILTER(R1391:R5459,AA1391:AA5459=""Neighbor""))) / STDEV(FILTER(R1391:R5459, AA1391:AA5459 =""Neighbor"")), """")"),0.34401603948575626)</f>
        <v>0.3440160395</v>
      </c>
    </row>
    <row r="1392">
      <c r="A1392" s="2" t="s">
        <v>28</v>
      </c>
      <c r="B1392" s="2" t="s">
        <v>5384</v>
      </c>
      <c r="C1392" s="2" t="s">
        <v>5685</v>
      </c>
      <c r="D1392" s="2" t="s">
        <v>5694</v>
      </c>
      <c r="E1392" s="2" t="s">
        <v>5695</v>
      </c>
      <c r="F1392" s="2">
        <v>155.0</v>
      </c>
      <c r="G1392" s="2">
        <v>644.0</v>
      </c>
      <c r="H1392" s="2" t="b">
        <v>1</v>
      </c>
      <c r="I1392" s="2">
        <v>-1.0</v>
      </c>
      <c r="J1392" s="2" t="b">
        <v>0</v>
      </c>
      <c r="K1392" s="2" t="b">
        <v>0</v>
      </c>
      <c r="L1392" s="2" t="b">
        <v>0</v>
      </c>
      <c r="M1392" s="2" t="b">
        <v>0</v>
      </c>
      <c r="N1392" s="2" t="s">
        <v>33</v>
      </c>
      <c r="O1392" s="2">
        <v>92.0</v>
      </c>
      <c r="P1392" s="2">
        <v>6.0</v>
      </c>
      <c r="Q1392" s="2">
        <v>41.0</v>
      </c>
      <c r="R1392" s="2">
        <v>0.0</v>
      </c>
      <c r="S1392" s="3" t="s">
        <v>5696</v>
      </c>
      <c r="T1392" s="2" t="s">
        <v>5697</v>
      </c>
      <c r="Y1392" s="4" t="str">
        <f>IFERROR(__xludf.DUMMYFUNCTION("""COMPUTED_VALUE"""),"6.9523961")</f>
        <v>6.9523961</v>
      </c>
      <c r="Z1392" s="4" t="str">
        <f>IFERROR(__xludf.DUMMYFUNCTION("""COMPUTED_VALUE"""),"4.0031521")</f>
        <v>4.0031521</v>
      </c>
      <c r="AA1392" s="4" t="str">
        <f t="shared" si="1"/>
        <v>Neighbor</v>
      </c>
      <c r="AC1392" s="4">
        <f>IFERROR(__xludf.DUMMYFUNCTION("IFERROR(ABS(O1392-AVERAGE(FILTER(O1392:O5460,AA1392:AA5460=""Neighbor""))) / STDEV(FILTER(O1392:O5460, AA1392:AA5460 =""Neighbor"")), """")"),0.7375646344764253)</f>
        <v>0.7375646345</v>
      </c>
      <c r="AD1392" s="4">
        <f>IFERROR(__xludf.DUMMYFUNCTION("IFERROR(ABS(P1392-AVERAGE(FILTER(O1392:P5460,AA1392:AA5460=""Neighbor""))) / STDEV(FILTER(P1392:P5460, AA1392:AA5460 =""Neighbor"")), """")"),1.5326036217526997)</f>
        <v>1.532603622</v>
      </c>
      <c r="AE1392" s="2">
        <f>IFERROR(__xludf.DUMMYFUNCTION("IFERROR(ABS(Q1392-AVERAGE(FILTER(Q1392:Q5460,AA1392:AA5460=""Neighbor""))) / STDEV(FILTER(Q1392:Q5460, AA1392:AA5460 =""Neighbor"")), """")"),0.6294466823326534)</f>
        <v>0.6294466823</v>
      </c>
      <c r="AF1392" s="2">
        <f>IFERROR(__xludf.DUMMYFUNCTION("IFERROR(ABS(R1392-AVERAGE(FILTER(R1392:R5460,AA1392:AA5460=""Neighbor""))) / STDEV(FILTER(R1392:R5460, AA1392:AA5460 =""Neighbor"")), """")"),0.3441861305979733)</f>
        <v>0.3441861306</v>
      </c>
    </row>
    <row r="1393">
      <c r="A1393" s="2" t="s">
        <v>28</v>
      </c>
      <c r="B1393" s="2" t="s">
        <v>5384</v>
      </c>
      <c r="C1393" s="2" t="s">
        <v>5685</v>
      </c>
      <c r="D1393" s="2" t="s">
        <v>5698</v>
      </c>
      <c r="E1393" s="2" t="s">
        <v>5699</v>
      </c>
      <c r="F1393" s="2">
        <v>162.0</v>
      </c>
      <c r="G1393" s="2">
        <v>632.0</v>
      </c>
      <c r="H1393" s="2" t="b">
        <v>1</v>
      </c>
      <c r="I1393" s="2">
        <v>-1.0</v>
      </c>
      <c r="J1393" s="2" t="b">
        <v>0</v>
      </c>
      <c r="K1393" s="2" t="b">
        <v>0</v>
      </c>
      <c r="L1393" s="2" t="b">
        <v>0</v>
      </c>
      <c r="M1393" s="2" t="b">
        <v>0</v>
      </c>
      <c r="N1393" s="2" t="s">
        <v>33</v>
      </c>
      <c r="O1393" s="2">
        <v>125.0</v>
      </c>
      <c r="P1393" s="2">
        <v>4.0</v>
      </c>
      <c r="Q1393" s="2">
        <v>19.0</v>
      </c>
      <c r="R1393" s="2">
        <v>0.0</v>
      </c>
      <c r="S1393" s="3" t="s">
        <v>5700</v>
      </c>
      <c r="T1393" s="2" t="s">
        <v>5701</v>
      </c>
      <c r="Y1393" s="4" t="str">
        <f>IFERROR(__xludf.DUMMYFUNCTION("""COMPUTED_VALUE"""),"6.9523961")</f>
        <v>6.9523961</v>
      </c>
      <c r="Z1393" s="4" t="str">
        <f>IFERROR(__xludf.DUMMYFUNCTION("""COMPUTED_VALUE"""),"4.0031521")</f>
        <v>4.0031521</v>
      </c>
      <c r="AA1393" s="4" t="str">
        <f t="shared" si="1"/>
        <v>Neighbor</v>
      </c>
      <c r="AC1393" s="4">
        <f>IFERROR(__xludf.DUMMYFUNCTION("IFERROR(ABS(O1393-AVERAGE(FILTER(O1393:O5461,AA1393:AA5461=""Neighbor""))) / STDEV(FILTER(O1393:O5461, AA1393:AA5461 =""Neighbor"")), """")"),1.547245075904161)</f>
        <v>1.547245076</v>
      </c>
      <c r="AD1393" s="4">
        <f>IFERROR(__xludf.DUMMYFUNCTION("IFERROR(ABS(P1393-AVERAGE(FILTER(O1393:P5461,AA1393:AA5461=""Neighbor""))) / STDEV(FILTER(P1393:P5461, AA1393:AA5461 =""Neighbor"")), """")"),1.6249436695700352)</f>
        <v>1.62494367</v>
      </c>
      <c r="AE1393" s="2">
        <f>IFERROR(__xludf.DUMMYFUNCTION("IFERROR(ABS(Q1393-AVERAGE(FILTER(Q1393:Q5461,AA1393:AA5461=""Neighbor""))) / STDEV(FILTER(Q1393:Q5461, AA1393:AA5461 =""Neighbor"")), """")"),0.24834211138797277)</f>
        <v>0.2483421114</v>
      </c>
      <c r="AF1393" s="2">
        <f>IFERROR(__xludf.DUMMYFUNCTION("IFERROR(ABS(R1393-AVERAGE(FILTER(R1393:R5461,AA1393:AA5461=""Neighbor""))) / STDEV(FILTER(R1393:R5461, AA1393:AA5461 =""Neighbor"")), """")"),0.34435647428141886)</f>
        <v>0.3443564743</v>
      </c>
    </row>
    <row r="1394">
      <c r="A1394" s="2" t="s">
        <v>28</v>
      </c>
      <c r="B1394" s="2" t="s">
        <v>5384</v>
      </c>
      <c r="C1394" s="2" t="s">
        <v>5685</v>
      </c>
      <c r="D1394" s="2" t="s">
        <v>5702</v>
      </c>
      <c r="E1394" s="2" t="s">
        <v>5703</v>
      </c>
      <c r="F1394" s="2">
        <v>144.0</v>
      </c>
      <c r="G1394" s="2">
        <v>396.0</v>
      </c>
      <c r="H1394" s="2" t="b">
        <v>1</v>
      </c>
      <c r="I1394" s="2">
        <v>-1.0</v>
      </c>
      <c r="J1394" s="2" t="b">
        <v>0</v>
      </c>
      <c r="K1394" s="2" t="b">
        <v>0</v>
      </c>
      <c r="L1394" s="2" t="b">
        <v>0</v>
      </c>
      <c r="M1394" s="2" t="b">
        <v>0</v>
      </c>
      <c r="N1394" s="2" t="s">
        <v>33</v>
      </c>
      <c r="O1394" s="2">
        <v>98.0</v>
      </c>
      <c r="P1394" s="2">
        <v>15.0</v>
      </c>
      <c r="Q1394" s="2">
        <v>13.0</v>
      </c>
      <c r="R1394" s="2">
        <v>0.0</v>
      </c>
      <c r="S1394" s="3" t="s">
        <v>5704</v>
      </c>
      <c r="T1394" s="2" t="s">
        <v>5705</v>
      </c>
      <c r="Y1394" s="4" t="str">
        <f>IFERROR(__xludf.DUMMYFUNCTION("""COMPUTED_VALUE"""),"6.9523961")</f>
        <v>6.9523961</v>
      </c>
      <c r="Z1394" s="4" t="str">
        <f>IFERROR(__xludf.DUMMYFUNCTION("""COMPUTED_VALUE"""),"4.0031521")</f>
        <v>4.0031521</v>
      </c>
      <c r="AA1394" s="4" t="str">
        <f t="shared" si="1"/>
        <v>Neighbor</v>
      </c>
      <c r="AC1394" s="4">
        <f>IFERROR(__xludf.DUMMYFUNCTION("IFERROR(ABS(O1394-AVERAGE(FILTER(O1394:O5462,AA1394:AA5462=""Neighbor""))) / STDEV(FILTER(O1394:O5462, AA1394:AA5462 =""Neighbor"")), """")"),0.8871131566947746)</f>
        <v>0.8871131567</v>
      </c>
      <c r="AD1394" s="4">
        <f>IFERROR(__xludf.DUMMYFUNCTION("IFERROR(ABS(P1394-AVERAGE(FILTER(O1394:P5462,AA1394:AA5462=""Neighbor""))) / STDEV(FILTER(P1394:P5462, AA1394:AA5462 =""Neighbor"")), """")"),1.1104002756220956)</f>
        <v>1.110400276</v>
      </c>
      <c r="AE1394" s="2">
        <f>IFERROR(__xludf.DUMMYFUNCTION("IFERROR(ABS(Q1394-AVERAGE(FILTER(Q1394:Q5462,AA1394:AA5462=""Neighbor""))) / STDEV(FILTER(Q1394:Q5462, AA1394:AA5462 =""Neighbor"")), """")"),0.487862288480747)</f>
        <v>0.4878622885</v>
      </c>
      <c r="AF1394" s="2">
        <f>IFERROR(__xludf.DUMMYFUNCTION("IFERROR(ABS(R1394-AVERAGE(FILTER(R1394:R5462,AA1394:AA5462=""Neighbor""))) / STDEV(FILTER(R1394:R5462, AA1394:AA5462 =""Neighbor"")), """")"),0.3445270711618522)</f>
        <v>0.3445270712</v>
      </c>
    </row>
    <row r="1395">
      <c r="A1395" s="2" t="s">
        <v>28</v>
      </c>
      <c r="B1395" s="2" t="s">
        <v>5384</v>
      </c>
      <c r="C1395" s="2" t="s">
        <v>5685</v>
      </c>
      <c r="D1395" s="2" t="s">
        <v>5706</v>
      </c>
      <c r="E1395" s="2" t="s">
        <v>5707</v>
      </c>
      <c r="F1395" s="2">
        <v>161.0</v>
      </c>
      <c r="G1395" s="2">
        <v>499.0</v>
      </c>
      <c r="H1395" s="2" t="b">
        <v>1</v>
      </c>
      <c r="I1395" s="2">
        <v>-1.0</v>
      </c>
      <c r="J1395" s="2" t="b">
        <v>0</v>
      </c>
      <c r="K1395" s="2" t="b">
        <v>0</v>
      </c>
      <c r="L1395" s="2" t="b">
        <v>0</v>
      </c>
      <c r="M1395" s="2" t="b">
        <v>0</v>
      </c>
      <c r="N1395" s="2" t="s">
        <v>33</v>
      </c>
      <c r="O1395" s="2">
        <v>128.0</v>
      </c>
      <c r="P1395" s="2">
        <v>12.0</v>
      </c>
      <c r="Q1395" s="2">
        <v>19.0</v>
      </c>
      <c r="R1395" s="2">
        <v>0.0</v>
      </c>
      <c r="S1395" s="3" t="s">
        <v>5708</v>
      </c>
      <c r="T1395" s="2" t="s">
        <v>5709</v>
      </c>
      <c r="Y1395" s="4" t="str">
        <f>IFERROR(__xludf.DUMMYFUNCTION("""COMPUTED_VALUE"""),"6.9523961")</f>
        <v>6.9523961</v>
      </c>
      <c r="Z1395" s="4" t="str">
        <f>IFERROR(__xludf.DUMMYFUNCTION("""COMPUTED_VALUE"""),"4.0031521")</f>
        <v>4.0031521</v>
      </c>
      <c r="AA1395" s="4" t="str">
        <f t="shared" si="1"/>
        <v>Neighbor</v>
      </c>
      <c r="AC1395" s="4">
        <f>IFERROR(__xludf.DUMMYFUNCTION("IFERROR(ABS(O1395-AVERAGE(FILTER(O1395:O5463,AA1395:AA5463=""Neighbor""))) / STDEV(FILTER(O1395:O5463, AA1395:AA5463 =""Neighbor"")), """")"),1.6238179503332155)</f>
        <v>1.62381795</v>
      </c>
      <c r="AD1395" s="4">
        <f>IFERROR(__xludf.DUMMYFUNCTION("IFERROR(ABS(P1395-AVERAGE(FILTER(O1395:P5463,AA1395:AA5463=""Neighbor""))) / STDEV(FILTER(P1395:P5463, AA1395:AA5463 =""Neighbor"")), """")"),1.249017897739323)</f>
        <v>1.249017898</v>
      </c>
      <c r="AE1395" s="2">
        <f>IFERROR(__xludf.DUMMYFUNCTION("IFERROR(ABS(Q1395-AVERAGE(FILTER(Q1395:Q5463,AA1395:AA5463=""Neighbor""))) / STDEV(FILTER(Q1395:Q5463, AA1395:AA5463 =""Neighbor"")), """")"),0.24880760490467632)</f>
        <v>0.2488076049</v>
      </c>
      <c r="AF1395" s="2">
        <f>IFERROR(__xludf.DUMMYFUNCTION("IFERROR(ABS(R1395-AVERAGE(FILTER(R1395:R5463,AA1395:AA5463=""Neighbor""))) / STDEV(FILTER(R1395:R5463, AA1395:AA5463 =""Neighbor"")), """")"),0.34469792186720594)</f>
        <v>0.3446979219</v>
      </c>
    </row>
    <row r="1396">
      <c r="A1396" s="2" t="s">
        <v>28</v>
      </c>
      <c r="B1396" s="2" t="s">
        <v>5384</v>
      </c>
      <c r="C1396" s="2" t="s">
        <v>5685</v>
      </c>
      <c r="D1396" s="2" t="s">
        <v>5710</v>
      </c>
      <c r="E1396" s="2" t="s">
        <v>5711</v>
      </c>
      <c r="F1396" s="2">
        <v>163.0</v>
      </c>
      <c r="G1396" s="2">
        <v>663.0</v>
      </c>
      <c r="H1396" s="2" t="b">
        <v>1</v>
      </c>
      <c r="I1396" s="2">
        <v>-1.0</v>
      </c>
      <c r="J1396" s="2" t="b">
        <v>0</v>
      </c>
      <c r="K1396" s="2" t="b">
        <v>0</v>
      </c>
      <c r="L1396" s="2" t="b">
        <v>0</v>
      </c>
      <c r="M1396" s="2" t="b">
        <v>0</v>
      </c>
      <c r="N1396" s="2" t="s">
        <v>33</v>
      </c>
      <c r="O1396" s="2">
        <v>111.0</v>
      </c>
      <c r="P1396" s="2">
        <v>6.0</v>
      </c>
      <c r="Q1396" s="2">
        <v>24.0</v>
      </c>
      <c r="R1396" s="2">
        <v>0.0</v>
      </c>
      <c r="S1396" s="3" t="s">
        <v>5712</v>
      </c>
      <c r="T1396" s="2" t="s">
        <v>5713</v>
      </c>
      <c r="Y1396" s="4" t="str">
        <f>IFERROR(__xludf.DUMMYFUNCTION("""COMPUTED_VALUE"""),"6.9523961")</f>
        <v>6.9523961</v>
      </c>
      <c r="Z1396" s="4" t="str">
        <f>IFERROR(__xludf.DUMMYFUNCTION("""COMPUTED_VALUE"""),"4.0031521")</f>
        <v>4.0031521</v>
      </c>
      <c r="AA1396" s="4" t="str">
        <f t="shared" si="1"/>
        <v>Neighbor</v>
      </c>
      <c r="AC1396" s="4">
        <f>IFERROR(__xludf.DUMMYFUNCTION("IFERROR(ABS(O1396-AVERAGE(FILTER(O1396:O5464,AA1396:AA5464=""Neighbor""))) / STDEV(FILTER(O1396:O5464, AA1396:AA5464 =""Neighbor"")), """")"),1.2090737611029936)</f>
        <v>1.209073761</v>
      </c>
      <c r="AD1396" s="4">
        <f>IFERROR(__xludf.DUMMYFUNCTION("IFERROR(ABS(P1396-AVERAGE(FILTER(O1396:P5464,AA1396:AA5464=""Neighbor""))) / STDEV(FILTER(P1396:P5464, AA1396:AA5464 =""Neighbor"")), """")"),1.5267514629673336)</f>
        <v>1.526751463</v>
      </c>
      <c r="AE1396" s="2">
        <f>IFERROR(__xludf.DUMMYFUNCTION("IFERROR(ABS(Q1396-AVERAGE(FILTER(Q1396:Q5464,AA1396:AA5464=""Neighbor""))) / STDEV(FILTER(Q1396:Q5464, AA1396:AA5464 =""Neighbor"")), """")"),0.0495725091967269)</f>
        <v>0.0495725092</v>
      </c>
      <c r="AF1396" s="2">
        <f>IFERROR(__xludf.DUMMYFUNCTION("IFERROR(ABS(R1396-AVERAGE(FILTER(R1396:R5464,AA1396:AA5464=""Neighbor""))) / STDEV(FILTER(R1396:R5464, AA1396:AA5464 =""Neighbor"")), """")"),0.34486902702759487)</f>
        <v>0.344869027</v>
      </c>
    </row>
    <row r="1397">
      <c r="A1397" s="2" t="s">
        <v>28</v>
      </c>
      <c r="B1397" s="2" t="s">
        <v>5384</v>
      </c>
      <c r="C1397" s="2" t="s">
        <v>5685</v>
      </c>
      <c r="D1397" s="2" t="s">
        <v>5714</v>
      </c>
      <c r="E1397" s="2" t="s">
        <v>5715</v>
      </c>
      <c r="F1397" s="2">
        <v>207.0</v>
      </c>
      <c r="G1397" s="2">
        <v>876.0</v>
      </c>
      <c r="H1397" s="2" t="b">
        <v>1</v>
      </c>
      <c r="I1397" s="2">
        <v>-1.0</v>
      </c>
      <c r="J1397" s="2" t="b">
        <v>0</v>
      </c>
      <c r="K1397" s="2" t="b">
        <v>0</v>
      </c>
      <c r="L1397" s="2" t="b">
        <v>0</v>
      </c>
      <c r="M1397" s="2" t="b">
        <v>0</v>
      </c>
      <c r="N1397" s="2" t="s">
        <v>33</v>
      </c>
      <c r="O1397" s="2">
        <v>112.0</v>
      </c>
      <c r="P1397" s="2">
        <v>13.0</v>
      </c>
      <c r="Q1397" s="2">
        <v>46.0</v>
      </c>
      <c r="R1397" s="2">
        <v>0.0</v>
      </c>
      <c r="S1397" s="3" t="s">
        <v>5716</v>
      </c>
      <c r="T1397" s="2" t="s">
        <v>5717</v>
      </c>
      <c r="Y1397" s="4" t="str">
        <f>IFERROR(__xludf.DUMMYFUNCTION("""COMPUTED_VALUE"""),"6.9523961")</f>
        <v>6.9523961</v>
      </c>
      <c r="Z1397" s="4" t="str">
        <f>IFERROR(__xludf.DUMMYFUNCTION("""COMPUTED_VALUE"""),"4.0031521")</f>
        <v>4.0031521</v>
      </c>
      <c r="AA1397" s="4" t="str">
        <f t="shared" si="1"/>
        <v>Neighbor</v>
      </c>
      <c r="AC1397" s="4">
        <f>IFERROR(__xludf.DUMMYFUNCTION("IFERROR(ABS(O1397-AVERAGE(FILTER(O1397:O5465,AA1397:AA5465=""Neighbor""))) / STDEV(FILTER(O1397:O5465, AA1397:AA5465 =""Neighbor"")), """")"),1.2349542295705576)</f>
        <v>1.23495423</v>
      </c>
      <c r="AD1397" s="4">
        <f>IFERROR(__xludf.DUMMYFUNCTION("IFERROR(ABS(P1397-AVERAGE(FILTER(O1397:P5465,AA1397:AA5465=""Neighbor""))) / STDEV(FILTER(P1397:P5465, AA1397:AA5465 =""Neighbor"")), """")"),1.1993555854521587)</f>
        <v>1.199355585</v>
      </c>
      <c r="AE1397" s="2">
        <f>IFERROR(__xludf.DUMMYFUNCTION("IFERROR(ABS(Q1397-AVERAGE(FILTER(Q1397:Q5465,AA1397:AA5465=""Neighbor""))) / STDEV(FILTER(Q1397:Q5465, AA1397:AA5465 =""Neighbor"")), """")"),0.8271665974156998)</f>
        <v>0.8271665974</v>
      </c>
      <c r="AF1397" s="2">
        <f>IFERROR(__xludf.DUMMYFUNCTION("IFERROR(ABS(R1397-AVERAGE(FILTER(R1397:R5465,AA1397:AA5465=""Neighbor""))) / STDEV(FILTER(R1397:R5465, AA1397:AA5465 =""Neighbor"")), """")"),0.3450403872753256)</f>
        <v>0.3450403873</v>
      </c>
    </row>
    <row r="1398">
      <c r="A1398" s="2" t="s">
        <v>28</v>
      </c>
      <c r="B1398" s="2" t="s">
        <v>5384</v>
      </c>
      <c r="C1398" s="2" t="s">
        <v>5685</v>
      </c>
      <c r="D1398" s="2" t="s">
        <v>5718</v>
      </c>
      <c r="E1398" s="2" t="s">
        <v>5719</v>
      </c>
      <c r="F1398" s="2">
        <v>199.0</v>
      </c>
      <c r="G1398" s="2">
        <v>805.0</v>
      </c>
      <c r="H1398" s="2" t="b">
        <v>1</v>
      </c>
      <c r="I1398" s="2">
        <v>-1.0</v>
      </c>
      <c r="J1398" s="2" t="b">
        <v>0</v>
      </c>
      <c r="K1398" s="2" t="b">
        <v>1</v>
      </c>
      <c r="L1398" s="2" t="b">
        <v>0</v>
      </c>
      <c r="M1398" s="2" t="b">
        <v>0</v>
      </c>
      <c r="N1398" s="2" t="s">
        <v>33</v>
      </c>
      <c r="O1398" s="2">
        <v>0.0</v>
      </c>
      <c r="P1398" s="2">
        <v>0.0</v>
      </c>
      <c r="Q1398" s="2">
        <v>0.0</v>
      </c>
      <c r="R1398" s="2">
        <v>0.0</v>
      </c>
      <c r="S1398" s="3" t="s">
        <v>5720</v>
      </c>
      <c r="T1398" s="2" t="s">
        <v>5721</v>
      </c>
      <c r="Y1398" s="4" t="str">
        <f>IFERROR(__xludf.DUMMYFUNCTION("""COMPUTED_VALUE"""),"6.9523961")</f>
        <v>6.9523961</v>
      </c>
      <c r="Z1398" s="4" t="str">
        <f>IFERROR(__xludf.DUMMYFUNCTION("""COMPUTED_VALUE"""),"4.0031521")</f>
        <v>4.0031521</v>
      </c>
      <c r="AA1398" s="4" t="str">
        <f t="shared" si="1"/>
        <v>Neighbor</v>
      </c>
      <c r="AC1398" s="4">
        <f>IFERROR(__xludf.DUMMYFUNCTION("IFERROR(ABS(O1398-AVERAGE(FILTER(O1398:O5466,AA1398:AA5466=""Neighbor""))) / STDEV(FILTER(O1398:O5466, AA1398:AA5466 =""Neighbor"")), """")"),1.5146111386818542)</f>
        <v>1.514611139</v>
      </c>
      <c r="AD1398" s="4">
        <f>IFERROR(__xludf.DUMMYFUNCTION("IFERROR(ABS(P1398-AVERAGE(FILTER(O1398:P5466,AA1398:AA5466=""Neighbor""))) / STDEV(FILTER(P1398:P5466, AA1398:AA5466 =""Neighbor"")), """")"),1.8030874796970988)</f>
        <v>1.80308748</v>
      </c>
      <c r="AE1398" s="2">
        <f>IFERROR(__xludf.DUMMYFUNCTION("IFERROR(ABS(Q1398-AVERAGE(FILTER(Q1398:Q5466,AA1398:AA5466=""Neighbor""))) / STDEV(FILTER(Q1398:Q5466, AA1398:AA5466 =""Neighbor"")), """")"),1.005184337063197)</f>
        <v>1.005184337</v>
      </c>
      <c r="AF1398" s="2">
        <f>IFERROR(__xludf.DUMMYFUNCTION("IFERROR(ABS(R1398-AVERAGE(FILTER(R1398:R5466,AA1398:AA5466=""Neighbor""))) / STDEV(FILTER(R1398:R5466, AA1398:AA5466 =""Neighbor"")), """")"),0.34521200324490803)</f>
        <v>0.3452120032</v>
      </c>
    </row>
    <row r="1399">
      <c r="A1399" s="2" t="s">
        <v>28</v>
      </c>
      <c r="B1399" s="2" t="s">
        <v>5384</v>
      </c>
      <c r="C1399" s="2" t="s">
        <v>5685</v>
      </c>
      <c r="D1399" s="2" t="s">
        <v>5722</v>
      </c>
      <c r="E1399" s="2" t="s">
        <v>5723</v>
      </c>
      <c r="F1399" s="2">
        <v>95.0</v>
      </c>
      <c r="G1399" s="2">
        <v>408.0</v>
      </c>
      <c r="H1399" s="2" t="b">
        <v>1</v>
      </c>
      <c r="I1399" s="2">
        <v>-1.0</v>
      </c>
      <c r="J1399" s="2" t="b">
        <v>0</v>
      </c>
      <c r="K1399" s="2" t="b">
        <v>0</v>
      </c>
      <c r="L1399" s="2" t="b">
        <v>0</v>
      </c>
      <c r="M1399" s="2" t="b">
        <v>0</v>
      </c>
      <c r="N1399" s="2" t="s">
        <v>33</v>
      </c>
      <c r="O1399" s="2">
        <v>67.0</v>
      </c>
      <c r="P1399" s="2">
        <v>5.0</v>
      </c>
      <c r="Q1399" s="2">
        <v>8.0</v>
      </c>
      <c r="R1399" s="2">
        <v>0.0</v>
      </c>
      <c r="S1399" s="3" t="s">
        <v>5724</v>
      </c>
      <c r="T1399" s="2" t="s">
        <v>5725</v>
      </c>
      <c r="Y1399" s="4" t="str">
        <f>IFERROR(__xludf.DUMMYFUNCTION("""COMPUTED_VALUE"""),"6.9523961")</f>
        <v>6.9523961</v>
      </c>
      <c r="Z1399" s="4" t="str">
        <f>IFERROR(__xludf.DUMMYFUNCTION("""COMPUTED_VALUE"""),"4.0031521")</f>
        <v>4.0031521</v>
      </c>
      <c r="AA1399" s="4" t="str">
        <f t="shared" si="1"/>
        <v>Neighbor</v>
      </c>
      <c r="AC1399" s="4">
        <f>IFERROR(__xludf.DUMMYFUNCTION("IFERROR(ABS(O1399-AVERAGE(FILTER(O1399:O5467,AA1399:AA5467=""Neighbor""))) / STDEV(FILTER(O1399:O5467, AA1399:AA5467 =""Neighbor"")), """")"),0.12977505295374628)</f>
        <v>0.129775053</v>
      </c>
      <c r="AD1399" s="4">
        <f>IFERROR(__xludf.DUMMYFUNCTION("IFERROR(ABS(P1399-AVERAGE(FILTER(O1399:P5467,AA1399:AA5467=""Neighbor""))) / STDEV(FILTER(P1399:P5467, AA1399:AA5467 =""Neighbor"")), """")"),1.571586992803743)</f>
        <v>1.571586993</v>
      </c>
      <c r="AE1399" s="2">
        <f>IFERROR(__xludf.DUMMYFUNCTION("IFERROR(ABS(Q1399-AVERAGE(FILTER(Q1399:Q5467,AA1399:AA5467=""Neighbor""))) / STDEV(FILTER(Q1399:Q5467, AA1399:AA5467 =""Neighbor"")), """")"),0.6873053736904987)</f>
        <v>0.6873053737</v>
      </c>
      <c r="AF1399" s="2">
        <f>IFERROR(__xludf.DUMMYFUNCTION("IFERROR(ABS(R1399-AVERAGE(FILTER(R1399:R5467,AA1399:AA5467=""Neighbor""))) / STDEV(FILTER(R1399:R5467, AA1399:AA5467 =""Neighbor"")), """")"),0.345383875573063)</f>
        <v>0.3453838756</v>
      </c>
    </row>
    <row r="1400">
      <c r="A1400" s="2" t="s">
        <v>28</v>
      </c>
      <c r="B1400" s="2" t="s">
        <v>5384</v>
      </c>
      <c r="C1400" s="2" t="s">
        <v>5685</v>
      </c>
      <c r="D1400" s="2" t="s">
        <v>5726</v>
      </c>
      <c r="E1400" s="2" t="s">
        <v>5727</v>
      </c>
      <c r="F1400" s="2">
        <v>153.0</v>
      </c>
      <c r="G1400" s="2">
        <v>561.0</v>
      </c>
      <c r="H1400" s="2" t="b">
        <v>1</v>
      </c>
      <c r="I1400" s="2">
        <v>-1.0</v>
      </c>
      <c r="J1400" s="2" t="b">
        <v>0</v>
      </c>
      <c r="K1400" s="2" t="b">
        <v>0</v>
      </c>
      <c r="L1400" s="2" t="b">
        <v>0</v>
      </c>
      <c r="M1400" s="2" t="b">
        <v>0</v>
      </c>
      <c r="N1400" s="2" t="s">
        <v>33</v>
      </c>
      <c r="O1400" s="2">
        <v>92.0</v>
      </c>
      <c r="P1400" s="2">
        <v>13.0</v>
      </c>
      <c r="Q1400" s="2">
        <v>28.0</v>
      </c>
      <c r="R1400" s="2">
        <v>1.0</v>
      </c>
      <c r="S1400" s="3" t="s">
        <v>5728</v>
      </c>
      <c r="T1400" s="2" t="s">
        <v>5729</v>
      </c>
      <c r="Y1400" s="4" t="str">
        <f>IFERROR(__xludf.DUMMYFUNCTION("""COMPUTED_VALUE"""),"6.9523961")</f>
        <v>6.9523961</v>
      </c>
      <c r="Z1400" s="4" t="str">
        <f>IFERROR(__xludf.DUMMYFUNCTION("""COMPUTED_VALUE"""),"4.0031521")</f>
        <v>4.0031521</v>
      </c>
      <c r="AA1400" s="4" t="str">
        <f t="shared" si="1"/>
        <v>Neighbor</v>
      </c>
      <c r="AC1400" s="4">
        <f>IFERROR(__xludf.DUMMYFUNCTION("IFERROR(ABS(O1400-AVERAGE(FILTER(O1400:O5468,AA1400:AA5468=""Neighbor""))) / STDEV(FILTER(O1400:O5468, AA1400:AA5468 =""Neighbor"")), """")"),0.7439717338986256)</f>
        <v>0.7439717339</v>
      </c>
      <c r="AD1400" s="4">
        <f>IFERROR(__xludf.DUMMYFUNCTION("IFERROR(ABS(P1400-AVERAGE(FILTER(O1400:P5468,AA1400:AA5468=""Neighbor""))) / STDEV(FILTER(P1400:P5468, AA1400:AA5468 =""Neighbor"")), """")"),1.198922962707504)</f>
        <v>1.198922963</v>
      </c>
      <c r="AE1400" s="2">
        <f>IFERROR(__xludf.DUMMYFUNCTION("IFERROR(ABS(Q1400-AVERAGE(FILTER(Q1400:Q5468,AA1400:AA5468=""Neighbor""))) / STDEV(FILTER(Q1400:Q5468, AA1400:AA5468 =""Neighbor"")), """")"),0.10900421616523852)</f>
        <v>0.1090042162</v>
      </c>
      <c r="AF1400" s="2">
        <f>IFERROR(__xludf.DUMMYFUNCTION("IFERROR(ABS(R1400-AVERAGE(FILTER(R1400:R5468,AA1400:AA5468=""Neighbor""))) / STDEV(FILTER(R1400:R5468, AA1400:AA5468 =""Neighbor"")), """")"),0.8547964331705528)</f>
        <v>0.8547964332</v>
      </c>
    </row>
    <row r="1401">
      <c r="A1401" s="2" t="s">
        <v>28</v>
      </c>
      <c r="B1401" s="2" t="s">
        <v>5384</v>
      </c>
      <c r="C1401" s="2" t="s">
        <v>5685</v>
      </c>
      <c r="D1401" s="2" t="s">
        <v>5730</v>
      </c>
      <c r="E1401" s="2" t="s">
        <v>5731</v>
      </c>
      <c r="F1401" s="2">
        <v>68.0</v>
      </c>
      <c r="G1401" s="2">
        <v>190.0</v>
      </c>
      <c r="H1401" s="2" t="b">
        <v>1</v>
      </c>
      <c r="I1401" s="2">
        <v>-1.0</v>
      </c>
      <c r="J1401" s="2" t="b">
        <v>0</v>
      </c>
      <c r="K1401" s="2" t="b">
        <v>0</v>
      </c>
      <c r="L1401" s="2" t="b">
        <v>0</v>
      </c>
      <c r="M1401" s="2" t="b">
        <v>0</v>
      </c>
      <c r="N1401" s="2" t="s">
        <v>33</v>
      </c>
      <c r="O1401" s="2">
        <v>44.0</v>
      </c>
      <c r="P1401" s="2">
        <v>4.0</v>
      </c>
      <c r="Q1401" s="2">
        <v>15.0</v>
      </c>
      <c r="R1401" s="2">
        <v>0.0</v>
      </c>
      <c r="S1401" s="3" t="s">
        <v>5732</v>
      </c>
      <c r="T1401" s="2" t="s">
        <v>5733</v>
      </c>
      <c r="Y1401" s="4" t="str">
        <f>IFERROR(__xludf.DUMMYFUNCTION("""COMPUTED_VALUE"""),"6.9523961")</f>
        <v>6.9523961</v>
      </c>
      <c r="Z1401" s="4" t="str">
        <f>IFERROR(__xludf.DUMMYFUNCTION("""COMPUTED_VALUE"""),"4.0031521")</f>
        <v>4.0031521</v>
      </c>
      <c r="AA1401" s="4" t="str">
        <f t="shared" si="1"/>
        <v>Not Neighbor</v>
      </c>
      <c r="AC1401" s="4">
        <f>IFERROR(__xludf.DUMMYFUNCTION("IFERROR(ABS(O1401-AVERAGE(FILTER(O1401:O5469,AA1401:AA5469=""Neighbor""))) / STDEV(FILTER(O1401:O5469, AA1401:AA5469 =""Neighbor"")), """")"),0.434422948803657)</f>
        <v>0.4344229488</v>
      </c>
      <c r="AD1401" s="4">
        <f>IFERROR(__xludf.DUMMYFUNCTION("IFERROR(ABS(P1401-AVERAGE(FILTER(O1401:P5469,AA1401:AA5469=""Neighbor""))) / STDEV(FILTER(P1401:P5469, AA1401:AA5469 =""Neighbor"")), """")"),1.616431166318621)</f>
        <v>1.616431166</v>
      </c>
      <c r="AE1401" s="2">
        <f>IFERROR(__xludf.DUMMYFUNCTION("IFERROR(ABS(Q1401-AVERAGE(FILTER(Q1401:Q5469,AA1401:AA5469=""Neighbor""))) / STDEV(FILTER(Q1401:Q5469, AA1401:AA5469 =""Neighbor"")), """")"),0.408612636926109)</f>
        <v>0.4086126369</v>
      </c>
      <c r="AF1401" s="2">
        <f>IFERROR(__xludf.DUMMYFUNCTION("IFERROR(ABS(R1401-AVERAGE(FILTER(R1401:R5469,AA1401:AA5469=""Neighbor""))) / STDEV(FILTER(R1401:R5469, AA1401:AA5469 =""Neighbor"")), """")"),0.34475212666822863)</f>
        <v>0.3447521267</v>
      </c>
    </row>
    <row r="1402">
      <c r="A1402" s="2" t="s">
        <v>28</v>
      </c>
      <c r="B1402" s="2" t="s">
        <v>5384</v>
      </c>
      <c r="C1402" s="2" t="s">
        <v>5685</v>
      </c>
      <c r="D1402" s="2" t="s">
        <v>5734</v>
      </c>
      <c r="E1402" s="2" t="s">
        <v>5735</v>
      </c>
      <c r="F1402" s="2">
        <v>128.0</v>
      </c>
      <c r="G1402" s="2">
        <v>483.0</v>
      </c>
      <c r="H1402" s="2" t="b">
        <v>1</v>
      </c>
      <c r="I1402" s="2">
        <v>-1.0</v>
      </c>
      <c r="J1402" s="2" t="b">
        <v>0</v>
      </c>
      <c r="K1402" s="2" t="b">
        <v>0</v>
      </c>
      <c r="L1402" s="2" t="b">
        <v>0</v>
      </c>
      <c r="M1402" s="2" t="b">
        <v>0</v>
      </c>
      <c r="N1402" s="2" t="s">
        <v>33</v>
      </c>
      <c r="O1402" s="2">
        <v>85.0</v>
      </c>
      <c r="P1402" s="2">
        <v>2.0</v>
      </c>
      <c r="Q1402" s="2">
        <v>36.0</v>
      </c>
      <c r="R1402" s="2">
        <v>0.0</v>
      </c>
      <c r="S1402" s="3" t="s">
        <v>5736</v>
      </c>
      <c r="T1402" s="2" t="s">
        <v>5737</v>
      </c>
      <c r="Y1402" s="4" t="str">
        <f>IFERROR(__xludf.DUMMYFUNCTION("""COMPUTED_VALUE"""),"6.9830946")</f>
        <v>6.9830946</v>
      </c>
      <c r="Z1402" s="4" t="str">
        <f>IFERROR(__xludf.DUMMYFUNCTION("""COMPUTED_VALUE"""),"3.9956734")</f>
        <v>3.9956734</v>
      </c>
      <c r="AA1402" s="4" t="str">
        <f t="shared" si="1"/>
        <v>Not Neighbor</v>
      </c>
      <c r="AC1402" s="4">
        <f>IFERROR(__xludf.DUMMYFUNCTION("IFERROR(ABS(O1402-AVERAGE(FILTER(O1402:O5470,AA1402:AA5470=""Neighbor""))) / STDEV(FILTER(O1402:O5470, AA1402:AA5470 =""Neighbor"")), """")"),0.5725627860140188)</f>
        <v>0.572562786</v>
      </c>
      <c r="AD1402" s="4">
        <f>IFERROR(__xludf.DUMMYFUNCTION("IFERROR(ABS(P1402-AVERAGE(FILTER(O1402:P5470,AA1402:AA5470=""Neighbor""))) / STDEV(FILTER(P1402:P5470, AA1402:AA5470 =""Neighbor"")), """")"),1.7094542209764325)</f>
        <v>1.709454221</v>
      </c>
      <c r="AE1402" s="2">
        <f>IFERROR(__xludf.DUMMYFUNCTION("IFERROR(ABS(Q1402-AVERAGE(FILTER(Q1402:Q5470,AA1402:AA5470=""Neighbor""))) / STDEV(FILTER(Q1402:Q5470, AA1402:AA5470 =""Neighbor"")), """")"),0.4276170497536728)</f>
        <v>0.4276170498</v>
      </c>
      <c r="AF1402" s="2">
        <f>IFERROR(__xludf.DUMMYFUNCTION("IFERROR(ABS(R1402-AVERAGE(FILTER(R1402:R5470,AA1402:AA5470=""Neighbor""))) / STDEV(FILTER(R1402:R5470, AA1402:AA5470 =""Neighbor"")), """")"),0.34475212666822863)</f>
        <v>0.3447521267</v>
      </c>
    </row>
    <row r="1403">
      <c r="A1403" s="2" t="s">
        <v>28</v>
      </c>
      <c r="B1403" s="2" t="s">
        <v>5384</v>
      </c>
      <c r="C1403" s="2" t="s">
        <v>5685</v>
      </c>
      <c r="D1403" s="2" t="s">
        <v>5738</v>
      </c>
      <c r="E1403" s="2" t="s">
        <v>5739</v>
      </c>
      <c r="F1403" s="2">
        <v>187.0</v>
      </c>
      <c r="G1403" s="2">
        <v>707.0</v>
      </c>
      <c r="H1403" s="2" t="b">
        <v>1</v>
      </c>
      <c r="I1403" s="2">
        <v>-1.0</v>
      </c>
      <c r="J1403" s="2" t="b">
        <v>0</v>
      </c>
      <c r="K1403" s="2" t="b">
        <v>0</v>
      </c>
      <c r="L1403" s="2" t="b">
        <v>0</v>
      </c>
      <c r="M1403" s="2" t="b">
        <v>0</v>
      </c>
      <c r="N1403" s="2" t="s">
        <v>33</v>
      </c>
      <c r="O1403" s="2">
        <v>135.0</v>
      </c>
      <c r="P1403" s="2">
        <v>6.0</v>
      </c>
      <c r="Q1403" s="2">
        <v>39.0</v>
      </c>
      <c r="R1403" s="2">
        <v>0.0</v>
      </c>
      <c r="S1403" s="3" t="s">
        <v>5740</v>
      </c>
      <c r="T1403" s="2" t="s">
        <v>5741</v>
      </c>
      <c r="Y1403" s="4" t="str">
        <f>IFERROR(__xludf.DUMMYFUNCTION("""COMPUTED_VALUE"""),"6.9523961")</f>
        <v>6.9523961</v>
      </c>
      <c r="Z1403" s="4" t="str">
        <f>IFERROR(__xludf.DUMMYFUNCTION("""COMPUTED_VALUE"""),"4.0031521")</f>
        <v>4.0031521</v>
      </c>
      <c r="AA1403" s="4" t="str">
        <f t="shared" si="1"/>
        <v>Neighbor</v>
      </c>
      <c r="AC1403" s="4">
        <f>IFERROR(__xludf.DUMMYFUNCTION("IFERROR(ABS(O1403-AVERAGE(FILTER(O1403:O5471,AA1403:AA5471=""Neighbor""))) / STDEV(FILTER(O1403:O5471, AA1403:AA5471 =""Neighbor"")), """")"),1.8005941699380137)</f>
        <v>1.80059417</v>
      </c>
      <c r="AD1403" s="4">
        <f>IFERROR(__xludf.DUMMYFUNCTION("IFERROR(ABS(P1403-AVERAGE(FILTER(O1403:P5471,AA1403:AA5471=""Neighbor""))) / STDEV(FILTER(P1403:P5471, AA1403:AA5471 =""Neighbor"")), """")"),1.5234081116608096)</f>
        <v>1.523408112</v>
      </c>
      <c r="AE1403" s="2">
        <f>IFERROR(__xludf.DUMMYFUNCTION("IFERROR(ABS(Q1403-AVERAGE(FILTER(Q1403:Q5471,AA1403:AA5471=""Neighbor""))) / STDEV(FILTER(Q1403:Q5471, AA1403:AA5471 =""Neighbor"")), """")"),0.5470784335650702)</f>
        <v>0.5470784336</v>
      </c>
      <c r="AF1403" s="2">
        <f>IFERROR(__xludf.DUMMYFUNCTION("IFERROR(ABS(R1403-AVERAGE(FILTER(R1403:R5471,AA1403:AA5471=""Neighbor""))) / STDEV(FILTER(R1403:R5471, AA1403:AA5471 =""Neighbor"")), """")"),0.34475212666822863)</f>
        <v>0.3447521267</v>
      </c>
    </row>
    <row r="1404">
      <c r="A1404" s="2" t="s">
        <v>28</v>
      </c>
      <c r="B1404" s="2" t="s">
        <v>5384</v>
      </c>
      <c r="C1404" s="2" t="s">
        <v>5685</v>
      </c>
      <c r="D1404" s="2" t="s">
        <v>5742</v>
      </c>
      <c r="E1404" s="2" t="s">
        <v>5743</v>
      </c>
      <c r="F1404" s="2">
        <v>101.0</v>
      </c>
      <c r="G1404" s="2">
        <v>343.0</v>
      </c>
      <c r="H1404" s="2" t="b">
        <v>1</v>
      </c>
      <c r="I1404" s="2">
        <v>-1.0</v>
      </c>
      <c r="J1404" s="2" t="b">
        <v>0</v>
      </c>
      <c r="K1404" s="2" t="b">
        <v>0</v>
      </c>
      <c r="L1404" s="2" t="b">
        <v>0</v>
      </c>
      <c r="M1404" s="2" t="b">
        <v>0</v>
      </c>
      <c r="N1404" s="2" t="s">
        <v>33</v>
      </c>
      <c r="O1404" s="2">
        <v>59.0</v>
      </c>
      <c r="P1404" s="2">
        <v>11.0</v>
      </c>
      <c r="Q1404" s="2">
        <v>26.0</v>
      </c>
      <c r="R1404" s="2">
        <v>0.0</v>
      </c>
      <c r="S1404" s="3" t="s">
        <v>5744</v>
      </c>
      <c r="T1404" s="2" t="s">
        <v>5745</v>
      </c>
      <c r="Y1404" s="4" t="str">
        <f>IFERROR(__xludf.DUMMYFUNCTION("""COMPUTED_VALUE"""),"6.9523961")</f>
        <v>6.9523961</v>
      </c>
      <c r="Z1404" s="4" t="str">
        <f>IFERROR(__xludf.DUMMYFUNCTION("""COMPUTED_VALUE"""),"4.0031521")</f>
        <v>4.0031521</v>
      </c>
      <c r="AA1404" s="4" t="str">
        <f t="shared" si="1"/>
        <v>Neighbor</v>
      </c>
      <c r="AC1404" s="4">
        <f>IFERROR(__xludf.DUMMYFUNCTION("IFERROR(ABS(O1404-AVERAGE(FILTER(O1404:O5472,AA1404:AA5472=""Neighbor""))) / STDEV(FILTER(O1404:O5472, AA1404:AA5472 =""Neighbor"")), """")"),0.0644705659310046)</f>
        <v>0.06447056593</v>
      </c>
      <c r="AD1404" s="4">
        <f>IFERROR(__xludf.DUMMYFUNCTION("IFERROR(ABS(P1404-AVERAGE(FILTER(O1404:P5472,AA1404:AA5472=""Neighbor""))) / STDEV(FILTER(P1404:P5472, AA1404:AA5472 =""Neighbor"")), """")"),1.289076422320684)</f>
        <v>1.289076422</v>
      </c>
      <c r="AE1404" s="2">
        <f>IFERROR(__xludf.DUMMYFUNCTION("IFERROR(ABS(Q1404-AVERAGE(FILTER(Q1404:Q5472,AA1404:AA5472=""Neighbor""))) / STDEV(FILTER(Q1404:Q5472, AA1404:AA5472 =""Neighbor"")), """")"),0.02989154609421973)</f>
        <v>0.02989154609</v>
      </c>
      <c r="AF1404" s="2">
        <f>IFERROR(__xludf.DUMMYFUNCTION("IFERROR(ABS(R1404-AVERAGE(FILTER(R1404:R5472,AA1404:AA5472=""Neighbor""))) / STDEV(FILTER(R1404:R5472, AA1404:AA5472 =""Neighbor"")), """")"),0.34492418049720414)</f>
        <v>0.3449241805</v>
      </c>
    </row>
    <row r="1405">
      <c r="A1405" s="2" t="s">
        <v>28</v>
      </c>
      <c r="B1405" s="2" t="s">
        <v>5384</v>
      </c>
      <c r="C1405" s="2" t="s">
        <v>5685</v>
      </c>
      <c r="D1405" s="2" t="s">
        <v>5746</v>
      </c>
      <c r="E1405" s="2" t="s">
        <v>5747</v>
      </c>
      <c r="F1405" s="2">
        <v>92.0</v>
      </c>
      <c r="G1405" s="2">
        <v>363.0</v>
      </c>
      <c r="H1405" s="2" t="b">
        <v>1</v>
      </c>
      <c r="I1405" s="2">
        <v>-1.0</v>
      </c>
      <c r="J1405" s="2" t="b">
        <v>0</v>
      </c>
      <c r="K1405" s="2" t="b">
        <v>0</v>
      </c>
      <c r="L1405" s="2" t="b">
        <v>0</v>
      </c>
      <c r="M1405" s="2" t="b">
        <v>0</v>
      </c>
      <c r="N1405" s="2" t="s">
        <v>33</v>
      </c>
      <c r="O1405" s="2">
        <v>60.0</v>
      </c>
      <c r="P1405" s="2">
        <v>7.0</v>
      </c>
      <c r="Q1405" s="2">
        <v>7.0</v>
      </c>
      <c r="R1405" s="2">
        <v>0.0</v>
      </c>
      <c r="S1405" s="3" t="s">
        <v>5748</v>
      </c>
      <c r="T1405" s="2" t="s">
        <v>5749</v>
      </c>
      <c r="Y1405" s="4" t="str">
        <f>IFERROR(__xludf.DUMMYFUNCTION("""COMPUTED_VALUE"""),"6.9523961")</f>
        <v>6.9523961</v>
      </c>
      <c r="Z1405" s="4" t="str">
        <f>IFERROR(__xludf.DUMMYFUNCTION("""COMPUTED_VALUE"""),"4.0031521")</f>
        <v>4.0031521</v>
      </c>
      <c r="AA1405" s="4" t="str">
        <f t="shared" si="1"/>
        <v>Neighbor</v>
      </c>
      <c r="AC1405" s="4">
        <f>IFERROR(__xludf.DUMMYFUNCTION("IFERROR(ABS(O1405-AVERAGE(FILTER(O1405:O5473,AA1405:AA5473=""Neighbor""))) / STDEV(FILTER(O1405:O5473, AA1405:AA5473 =""Neighbor"")), """")"),0.03992510039108567)</f>
        <v>0.03992510039</v>
      </c>
      <c r="AD1405" s="4">
        <f>IFERROR(__xludf.DUMMYFUNCTION("IFERROR(ABS(P1405-AVERAGE(FILTER(O1405:P5473,AA1405:AA5473=""Neighbor""))) / STDEV(FILTER(P1405:P5473, AA1405:AA5473 =""Neighbor"")), """")"),1.4745854804453045)</f>
        <v>1.47458548</v>
      </c>
      <c r="AE1405" s="2">
        <f>IFERROR(__xludf.DUMMYFUNCTION("IFERROR(ABS(Q1405-AVERAGE(FILTER(Q1405:Q5473,AA1405:AA5473=""Neighbor""))) / STDEV(FILTER(Q1405:Q5473, AA1405:AA5473 =""Neighbor"")), """")"),0.7261094500585665)</f>
        <v>0.7261094501</v>
      </c>
      <c r="AF1405" s="2">
        <f>IFERROR(__xludf.DUMMYFUNCTION("IFERROR(ABS(R1405-AVERAGE(FILTER(R1405:R5473,AA1405:AA5473=""Neighbor""))) / STDEV(FILTER(R1405:R5473, AA1405:AA5473 =""Neighbor"")), """")"),0.3450964922109449)</f>
        <v>0.3450964922</v>
      </c>
    </row>
    <row r="1406">
      <c r="A1406" s="2" t="s">
        <v>28</v>
      </c>
      <c r="B1406" s="2" t="s">
        <v>5384</v>
      </c>
      <c r="C1406" s="2" t="s">
        <v>5685</v>
      </c>
      <c r="D1406" s="2" t="s">
        <v>5750</v>
      </c>
      <c r="E1406" s="2" t="s">
        <v>5751</v>
      </c>
      <c r="F1406" s="2">
        <v>152.0</v>
      </c>
      <c r="G1406" s="2">
        <v>703.0</v>
      </c>
      <c r="H1406" s="2" t="b">
        <v>1</v>
      </c>
      <c r="I1406" s="2">
        <v>-1.0</v>
      </c>
      <c r="J1406" s="2" t="b">
        <v>0</v>
      </c>
      <c r="K1406" s="2" t="b">
        <v>0</v>
      </c>
      <c r="L1406" s="2" t="b">
        <v>0</v>
      </c>
      <c r="M1406" s="2" t="b">
        <v>0</v>
      </c>
      <c r="N1406" s="2" t="s">
        <v>33</v>
      </c>
      <c r="O1406" s="2">
        <v>112.0</v>
      </c>
      <c r="P1406" s="2">
        <v>14.0</v>
      </c>
      <c r="Q1406" s="2">
        <v>22.0</v>
      </c>
      <c r="R1406" s="2">
        <v>0.0</v>
      </c>
      <c r="S1406" s="3" t="s">
        <v>5752</v>
      </c>
      <c r="T1406" s="2" t="s">
        <v>5753</v>
      </c>
      <c r="Y1406" s="4" t="str">
        <f>IFERROR(__xludf.DUMMYFUNCTION("""COMPUTED_VALUE"""),"6.9523961")</f>
        <v>6.9523961</v>
      </c>
      <c r="Z1406" s="4" t="str">
        <f>IFERROR(__xludf.DUMMYFUNCTION("""COMPUTED_VALUE"""),"4.0031521")</f>
        <v>4.0031521</v>
      </c>
      <c r="AA1406" s="4" t="str">
        <f t="shared" si="1"/>
        <v>Neighbor</v>
      </c>
      <c r="AC1406" s="4">
        <f>IFERROR(__xludf.DUMMYFUNCTION("IFERROR(ABS(O1406-AVERAGE(FILTER(O1406:O5474,AA1406:AA5474=""Neighbor""))) / STDEV(FILTER(O1406:O5474, AA1406:AA5474 =""Neighbor"")), """")"),1.2373530667925476)</f>
        <v>1.237353067</v>
      </c>
      <c r="AD1406" s="4">
        <f>IFERROR(__xludf.DUMMYFUNCTION("IFERROR(ABS(P1406-AVERAGE(FILTER(O1406:P5474,AA1406:AA5474=""Neighbor""))) / STDEV(FILTER(P1406:P5474, AA1406:AA5474 =""Neighbor"")), """")"),1.1490477796345084)</f>
        <v>1.14904778</v>
      </c>
      <c r="AE1406" s="2">
        <f>IFERROR(__xludf.DUMMYFUNCTION("IFERROR(ABS(Q1406-AVERAGE(FILTER(Q1406:Q5474,AA1406:AA5474=""Neighbor""))) / STDEV(FILTER(Q1406:Q5474, AA1406:AA5474 =""Neighbor"")), """")"),0.129878033168889)</f>
        <v>0.1298780332</v>
      </c>
      <c r="AF1406" s="2">
        <f>IFERROR(__xludf.DUMMYFUNCTION("IFERROR(ABS(R1406-AVERAGE(FILTER(R1406:R5474,AA1406:AA5474=""Neighbor""))) / STDEV(FILTER(R1406:R5474, AA1406:AA5474 =""Neighbor"")), """")"),0.34526906245438127)</f>
        <v>0.3452690625</v>
      </c>
    </row>
    <row r="1407">
      <c r="A1407" s="2" t="s">
        <v>28</v>
      </c>
      <c r="B1407" s="2" t="s">
        <v>5384</v>
      </c>
      <c r="C1407" s="2" t="s">
        <v>5685</v>
      </c>
      <c r="D1407" s="2" t="s">
        <v>5754</v>
      </c>
      <c r="E1407" s="2" t="s">
        <v>5755</v>
      </c>
      <c r="F1407" s="2">
        <v>130.0</v>
      </c>
      <c r="G1407" s="2">
        <v>646.0</v>
      </c>
      <c r="H1407" s="2" t="b">
        <v>1</v>
      </c>
      <c r="I1407" s="2">
        <v>-1.0</v>
      </c>
      <c r="J1407" s="2" t="b">
        <v>0</v>
      </c>
      <c r="K1407" s="2" t="b">
        <v>0</v>
      </c>
      <c r="L1407" s="2" t="b">
        <v>0</v>
      </c>
      <c r="M1407" s="2" t="b">
        <v>0</v>
      </c>
      <c r="N1407" s="2" t="s">
        <v>33</v>
      </c>
      <c r="O1407" s="2">
        <v>100.0</v>
      </c>
      <c r="P1407" s="2">
        <v>2.0</v>
      </c>
      <c r="Q1407" s="2">
        <v>20.0</v>
      </c>
      <c r="R1407" s="2">
        <v>0.0</v>
      </c>
      <c r="S1407" s="3" t="s">
        <v>5756</v>
      </c>
      <c r="T1407" s="2" t="s">
        <v>5757</v>
      </c>
      <c r="Y1407" s="4" t="str">
        <f>IFERROR(__xludf.DUMMYFUNCTION("""COMPUTED_VALUE"""),"6.9523961")</f>
        <v>6.9523961</v>
      </c>
      <c r="Z1407" s="4" t="str">
        <f>IFERROR(__xludf.DUMMYFUNCTION("""COMPUTED_VALUE"""),"4.0031521")</f>
        <v>4.0031521</v>
      </c>
      <c r="AA1407" s="4" t="str">
        <f t="shared" si="1"/>
        <v>Neighbor</v>
      </c>
      <c r="AC1407" s="4">
        <f>IFERROR(__xludf.DUMMYFUNCTION("IFERROR(ABS(O1407-AVERAGE(FILTER(O1407:O5475,AA1407:AA5475=""Neighbor""))) / STDEV(FILTER(O1407:O5475, AA1407:AA5475 =""Neighbor"")), """")"),0.9439253783260336)</f>
        <v>0.9439253783</v>
      </c>
      <c r="AD1407" s="4">
        <f>IFERROR(__xludf.DUMMYFUNCTION("IFERROR(ABS(P1407-AVERAGE(FILTER(O1407:P5475,AA1407:AA5475=""Neighbor""))) / STDEV(FILTER(P1407:P5475, AA1407:AA5475 =""Neighbor"")), """")"),1.7047773171787337)</f>
        <v>1.704777317</v>
      </c>
      <c r="AE1407" s="2">
        <f>IFERROR(__xludf.DUMMYFUNCTION("IFERROR(ABS(Q1407-AVERAGE(FILTER(Q1407:Q5475,AA1407:AA5475=""Neighbor""))) / STDEV(FILTER(Q1407:Q5475, AA1407:AA5475 =""Neighbor"")), """")"),0.20946570421548888)</f>
        <v>0.2094657042</v>
      </c>
      <c r="AF1407" s="2">
        <f>IFERROR(__xludf.DUMMYFUNCTION("IFERROR(ABS(R1407-AVERAGE(FILTER(R1407:R5475,AA1407:AA5475=""Neighbor""))) / STDEV(FILTER(R1407:R5475, AA1407:AA5475 =""Neighbor"")), """")"),0.34544189187470364)</f>
        <v>0.3454418919</v>
      </c>
    </row>
    <row r="1408">
      <c r="A1408" s="2" t="s">
        <v>28</v>
      </c>
      <c r="B1408" s="2" t="s">
        <v>5384</v>
      </c>
      <c r="C1408" s="2" t="s">
        <v>5685</v>
      </c>
      <c r="D1408" s="2" t="s">
        <v>5758</v>
      </c>
      <c r="E1408" s="2" t="s">
        <v>5759</v>
      </c>
      <c r="F1408" s="2">
        <v>129.0</v>
      </c>
      <c r="G1408" s="2">
        <v>547.0</v>
      </c>
      <c r="H1408" s="2" t="b">
        <v>1</v>
      </c>
      <c r="I1408" s="2">
        <v>-1.0</v>
      </c>
      <c r="J1408" s="2" t="b">
        <v>0</v>
      </c>
      <c r="K1408" s="2" t="b">
        <v>0</v>
      </c>
      <c r="L1408" s="2" t="b">
        <v>0</v>
      </c>
      <c r="M1408" s="2" t="b">
        <v>0</v>
      </c>
      <c r="N1408" s="2" t="s">
        <v>33</v>
      </c>
      <c r="O1408" s="2">
        <v>91.0</v>
      </c>
      <c r="P1408" s="2">
        <v>4.0</v>
      </c>
      <c r="Q1408" s="2">
        <v>22.0</v>
      </c>
      <c r="R1408" s="2">
        <v>0.0</v>
      </c>
      <c r="S1408" s="3" t="s">
        <v>5760</v>
      </c>
      <c r="T1408" s="2" t="s">
        <v>5761</v>
      </c>
      <c r="Y1408" s="4" t="str">
        <f>IFERROR(__xludf.DUMMYFUNCTION("""COMPUTED_VALUE"""),"6.9523961")</f>
        <v>6.9523961</v>
      </c>
      <c r="Z1408" s="4" t="str">
        <f>IFERROR(__xludf.DUMMYFUNCTION("""COMPUTED_VALUE"""),"4.0031521")</f>
        <v>4.0031521</v>
      </c>
      <c r="AA1408" s="4" t="str">
        <f t="shared" si="1"/>
        <v>Neighbor</v>
      </c>
      <c r="AC1408" s="4">
        <f>IFERROR(__xludf.DUMMYFUNCTION("IFERROR(ABS(O1408-AVERAGE(FILTER(O1408:O5476,AA1408:AA5476=""Neighbor""))) / STDEV(FILTER(O1408:O5476, AA1408:AA5476 =""Neighbor"")), """")"),0.7236128593248694)</f>
        <v>0.7236128593</v>
      </c>
      <c r="AD1408" s="4">
        <f>IFERROR(__xludf.DUMMYFUNCTION("IFERROR(ABS(P1408-AVERAGE(FILTER(O1408:P5476,AA1408:AA5476=""Neighbor""))) / STDEV(FILTER(P1408:P5476, AA1408:AA5476 =""Neighbor"")), """")"),1.61096750324034)</f>
        <v>1.610967503</v>
      </c>
      <c r="AE1408" s="2">
        <f>IFERROR(__xludf.DUMMYFUNCTION("IFERROR(ABS(Q1408-AVERAGE(FILTER(Q1408:Q5476,AA1408:AA5476=""Neighbor""))) / STDEV(FILTER(Q1408:Q5476, AA1408:AA5476 =""Neighbor"")), """")"),0.13006902683413019)</f>
        <v>0.1300690268</v>
      </c>
      <c r="AF1408" s="2">
        <f>IFERROR(__xludf.DUMMYFUNCTION("IFERROR(ABS(R1408-AVERAGE(FILTER(R1408:R5476,AA1408:AA5476=""Neighbor""))) / STDEV(FILTER(R1408:R5476, AA1408:AA5476 =""Neighbor"")), """")"),0.34561498112137445)</f>
        <v>0.3456149811</v>
      </c>
    </row>
    <row r="1409">
      <c r="A1409" s="2" t="s">
        <v>28</v>
      </c>
      <c r="B1409" s="2" t="s">
        <v>5384</v>
      </c>
      <c r="C1409" s="2" t="s">
        <v>5685</v>
      </c>
      <c r="D1409" s="2" t="s">
        <v>5762</v>
      </c>
      <c r="E1409" s="2" t="s">
        <v>5763</v>
      </c>
      <c r="F1409" s="2">
        <v>221.0</v>
      </c>
      <c r="G1409" s="2">
        <v>954.0</v>
      </c>
      <c r="H1409" s="2" t="b">
        <v>1</v>
      </c>
      <c r="I1409" s="2">
        <v>-1.0</v>
      </c>
      <c r="J1409" s="2" t="b">
        <v>0</v>
      </c>
      <c r="K1409" s="2" t="b">
        <v>0</v>
      </c>
      <c r="L1409" s="2" t="b">
        <v>0</v>
      </c>
      <c r="M1409" s="2" t="b">
        <v>0</v>
      </c>
      <c r="N1409" s="2" t="s">
        <v>33</v>
      </c>
      <c r="O1409" s="2">
        <v>155.0</v>
      </c>
      <c r="P1409" s="2">
        <v>12.0</v>
      </c>
      <c r="Q1409" s="2">
        <v>33.0</v>
      </c>
      <c r="R1409" s="2">
        <v>0.0</v>
      </c>
      <c r="S1409" s="3" t="s">
        <v>5764</v>
      </c>
      <c r="T1409" s="2" t="s">
        <v>5765</v>
      </c>
      <c r="Y1409" s="4" t="str">
        <f>IFERROR(__xludf.DUMMYFUNCTION("""COMPUTED_VALUE"""),"6.9523961")</f>
        <v>6.9523961</v>
      </c>
      <c r="Z1409" s="4" t="str">
        <f>IFERROR(__xludf.DUMMYFUNCTION("""COMPUTED_VALUE"""),"4.0031521")</f>
        <v>4.0031521</v>
      </c>
      <c r="AA1409" s="4" t="str">
        <f t="shared" si="1"/>
        <v>Neighbor</v>
      </c>
      <c r="AC1409" s="4">
        <f>IFERROR(__xludf.DUMMYFUNCTION("IFERROR(ABS(O1409-AVERAGE(FILTER(O1409:O5477,AA1409:AA5477=""Neighbor""))) / STDEV(FILTER(O1409:O5477, AA1409:AA5477 =""Neighbor"")), """")"),2.2961269118882393)</f>
        <v>2.296126912</v>
      </c>
      <c r="AD1409" s="4">
        <f>IFERROR(__xludf.DUMMYFUNCTION("IFERROR(ABS(P1409-AVERAGE(FILTER(O1409:P5477,AA1409:AA5477=""Neighbor""))) / STDEV(FILTER(P1409:P5477, AA1409:AA5477 =""Neighbor"")), """")"),1.2388119594003104)</f>
        <v>1.238811959</v>
      </c>
      <c r="AE1409" s="2">
        <f>IFERROR(__xludf.DUMMYFUNCTION("IFERROR(ABS(Q1409-AVERAGE(FILTER(Q1409:Q5477,AA1409:AA5477=""Neighbor""))) / STDEV(FILTER(Q1409:Q5477, AA1409:AA5477 =""Neighbor"")), """")"),0.306898917063639)</f>
        <v>0.3068989171</v>
      </c>
      <c r="AF1409" s="2">
        <f>IFERROR(__xludf.DUMMYFUNCTION("IFERROR(ABS(R1409-AVERAGE(FILTER(R1409:R5477,AA1409:AA5477=""Neighbor""))) / STDEV(FILTER(R1409:R5477, AA1409:AA5477 =""Neighbor"")), """")"),0.3457883308461353)</f>
        <v>0.3457883308</v>
      </c>
    </row>
    <row r="1410">
      <c r="A1410" s="2" t="s">
        <v>28</v>
      </c>
      <c r="B1410" s="2" t="s">
        <v>5384</v>
      </c>
      <c r="C1410" s="2" t="s">
        <v>5685</v>
      </c>
      <c r="D1410" s="2" t="s">
        <v>5766</v>
      </c>
      <c r="E1410" s="2" t="s">
        <v>5767</v>
      </c>
      <c r="F1410" s="2">
        <v>115.0</v>
      </c>
      <c r="G1410" s="2">
        <v>483.0</v>
      </c>
      <c r="H1410" s="2" t="b">
        <v>1</v>
      </c>
      <c r="I1410" s="2">
        <v>-1.0</v>
      </c>
      <c r="J1410" s="2" t="b">
        <v>0</v>
      </c>
      <c r="K1410" s="2" t="b">
        <v>0</v>
      </c>
      <c r="L1410" s="2" t="b">
        <v>0</v>
      </c>
      <c r="M1410" s="2" t="b">
        <v>0</v>
      </c>
      <c r="N1410" s="2" t="s">
        <v>33</v>
      </c>
      <c r="O1410" s="2">
        <v>84.0</v>
      </c>
      <c r="P1410" s="2">
        <v>11.0</v>
      </c>
      <c r="Q1410" s="2">
        <v>14.0</v>
      </c>
      <c r="R1410" s="2">
        <v>0.0</v>
      </c>
      <c r="S1410" s="3" t="s">
        <v>5768</v>
      </c>
      <c r="T1410" s="2" t="s">
        <v>5769</v>
      </c>
      <c r="Y1410" s="4" t="str">
        <f>IFERROR(__xludf.DUMMYFUNCTION("""COMPUTED_VALUE"""),"6.9523961")</f>
        <v>6.9523961</v>
      </c>
      <c r="Z1410" s="4" t="str">
        <f>IFERROR(__xludf.DUMMYFUNCTION("""COMPUTED_VALUE"""),"4.0031521")</f>
        <v>4.0031521</v>
      </c>
      <c r="AA1410" s="4" t="str">
        <f t="shared" si="1"/>
        <v>Neighbor</v>
      </c>
      <c r="AC1410" s="4">
        <f>IFERROR(__xludf.DUMMYFUNCTION("IFERROR(ABS(O1410-AVERAGE(FILTER(O1410:O5478,AA1410:AA5478=""Neighbor""))) / STDEV(FILTER(O1410:O5478, AA1410:AA5478 =""Neighbor"")), """")"),0.5552966271117382)</f>
        <v>0.5552966271</v>
      </c>
      <c r="AD1410" s="4">
        <f>IFERROR(__xludf.DUMMYFUNCTION("IFERROR(ABS(P1410-AVERAGE(FILTER(O1410:P5478,AA1410:AA5478=""Neighbor""))) / STDEV(FILTER(P1410:P5478, AA1410:AA5478 =""Neighbor"")), """")"),1.282798314396938)</f>
        <v>1.282798314</v>
      </c>
      <c r="AE1410" s="2">
        <f>IFERROR(__xludf.DUMMYFUNCTION("IFERROR(ABS(Q1410-AVERAGE(FILTER(Q1410:Q5478,AA1410:AA5478=""Neighbor""))) / STDEV(FILTER(Q1410:Q5478, AA1410:AA5478 =""Neighbor"")), """")"),0.4475086945871655)</f>
        <v>0.4475086946</v>
      </c>
      <c r="AF1410" s="2">
        <f>IFERROR(__xludf.DUMMYFUNCTION("IFERROR(ABS(R1410-AVERAGE(FILTER(R1410:R5478,AA1410:AA5478=""Neighbor""))) / STDEV(FILTER(R1410:R5478, AA1410:AA5478 =""Neighbor"")), """")"),0.3459619417030204)</f>
        <v>0.3459619417</v>
      </c>
    </row>
    <row r="1411">
      <c r="A1411" s="2" t="s">
        <v>28</v>
      </c>
      <c r="B1411" s="2" t="s">
        <v>5384</v>
      </c>
      <c r="C1411" s="2" t="s">
        <v>5685</v>
      </c>
      <c r="D1411" s="2" t="s">
        <v>5770</v>
      </c>
      <c r="E1411" s="2" t="s">
        <v>5771</v>
      </c>
      <c r="F1411" s="2">
        <v>140.0</v>
      </c>
      <c r="G1411" s="2">
        <v>624.0</v>
      </c>
      <c r="H1411" s="2" t="b">
        <v>1</v>
      </c>
      <c r="I1411" s="2">
        <v>-1.0</v>
      </c>
      <c r="J1411" s="2" t="b">
        <v>0</v>
      </c>
      <c r="K1411" s="2" t="b">
        <v>0</v>
      </c>
      <c r="L1411" s="2" t="b">
        <v>0</v>
      </c>
      <c r="M1411" s="2" t="b">
        <v>0</v>
      </c>
      <c r="N1411" s="2" t="s">
        <v>33</v>
      </c>
      <c r="O1411" s="2">
        <v>84.0</v>
      </c>
      <c r="P1411" s="2">
        <v>12.0</v>
      </c>
      <c r="Q1411" s="2">
        <v>33.0</v>
      </c>
      <c r="R1411" s="2">
        <v>0.0</v>
      </c>
      <c r="S1411" s="3" t="s">
        <v>5772</v>
      </c>
      <c r="T1411" s="2" t="s">
        <v>5773</v>
      </c>
      <c r="Y1411" s="4" t="str">
        <f>IFERROR(__xludf.DUMMYFUNCTION("""COMPUTED_VALUE"""),"6.9523961")</f>
        <v>6.9523961</v>
      </c>
      <c r="Z1411" s="4" t="str">
        <f>IFERROR(__xludf.DUMMYFUNCTION("""COMPUTED_VALUE"""),"4.0031521")</f>
        <v>4.0031521</v>
      </c>
      <c r="AA1411" s="4" t="str">
        <f t="shared" si="1"/>
        <v>Not Neighbor</v>
      </c>
      <c r="AC1411" s="4">
        <f>IFERROR(__xludf.DUMMYFUNCTION("IFERROR(ABS(O1411-AVERAGE(FILTER(O1411:O5479,AA1411:AA5479=""Neighbor""))) / STDEV(FILTER(O1411:O5479, AA1411:AA5479 =""Neighbor"")), """")"),0.5556228478453138)</f>
        <v>0.5556228478</v>
      </c>
      <c r="AD1411" s="4">
        <f>IFERROR(__xludf.DUMMYFUNCTION("IFERROR(ABS(P1411-AVERAGE(FILTER(O1411:P5479,AA1411:AA5479=""Neighbor""))) / STDEV(FILTER(P1411:P5479, AA1411:AA5479 =""Neighbor"")), """")"),1.235511926933422)</f>
        <v>1.235511927</v>
      </c>
      <c r="AE1411" s="2">
        <f>IFERROR(__xludf.DUMMYFUNCTION("IFERROR(ABS(Q1411-AVERAGE(FILTER(Q1411:Q5479,AA1411:AA5479=""Neighbor""))) / STDEV(FILTER(Q1411:Q5479, AA1411:AA5479 =""Neighbor"")), """")"),0.30653724253487447)</f>
        <v>0.3065372425</v>
      </c>
      <c r="AF1411" s="2">
        <f>IFERROR(__xludf.DUMMYFUNCTION("IFERROR(ABS(R1411-AVERAGE(FILTER(R1411:R5479,AA1411:AA5479=""Neighbor""))) / STDEV(FILTER(R1411:R5479, AA1411:AA5479 =""Neighbor"")), """")"),0.3461358143483651)</f>
        <v>0.3461358143</v>
      </c>
    </row>
    <row r="1412">
      <c r="A1412" s="2" t="s">
        <v>28</v>
      </c>
      <c r="B1412" s="2" t="s">
        <v>5384</v>
      </c>
      <c r="C1412" s="2" t="s">
        <v>5774</v>
      </c>
      <c r="D1412" s="2" t="s">
        <v>5775</v>
      </c>
      <c r="E1412" s="2" t="s">
        <v>5776</v>
      </c>
      <c r="F1412" s="2">
        <v>168.0</v>
      </c>
      <c r="G1412" s="2">
        <v>594.0</v>
      </c>
      <c r="H1412" s="2" t="b">
        <v>1</v>
      </c>
      <c r="I1412" s="2">
        <v>-1.0</v>
      </c>
      <c r="J1412" s="2" t="b">
        <v>0</v>
      </c>
      <c r="K1412" s="2" t="b">
        <v>0</v>
      </c>
      <c r="L1412" s="2" t="b">
        <v>0</v>
      </c>
      <c r="M1412" s="2" t="b">
        <v>0</v>
      </c>
      <c r="N1412" s="2" t="s">
        <v>33</v>
      </c>
      <c r="O1412" s="2">
        <v>128.0</v>
      </c>
      <c r="P1412" s="2">
        <v>2.0</v>
      </c>
      <c r="Q1412" s="2">
        <v>28.0</v>
      </c>
      <c r="R1412" s="2">
        <v>0.0</v>
      </c>
      <c r="S1412" s="3" t="s">
        <v>5777</v>
      </c>
      <c r="T1412" s="2" t="s">
        <v>5778</v>
      </c>
      <c r="Y1412" s="4" t="str">
        <f>IFERROR(__xludf.DUMMYFUNCTION("""COMPUTED_VALUE"""),"6.9525673")</f>
        <v>6.9525673</v>
      </c>
      <c r="Z1412" s="4" t="str">
        <f>IFERROR(__xludf.DUMMYFUNCTION("""COMPUTED_VALUE"""),"3.9827405")</f>
        <v>3.9827405</v>
      </c>
      <c r="AA1412" s="4" t="str">
        <f t="shared" si="1"/>
        <v>Neighbor</v>
      </c>
      <c r="AC1412" s="4">
        <f>IFERROR(__xludf.DUMMYFUNCTION("IFERROR(ABS(O1412-AVERAGE(FILTER(O1412:O5480,AA1412:AA5480=""Neighbor""))) / STDEV(FILTER(O1412:O5480, AA1412:AA5480 =""Neighbor"")), """")"),1.6381324796356032)</f>
        <v>1.63813248</v>
      </c>
      <c r="AD1412" s="4">
        <f>IFERROR(__xludf.DUMMYFUNCTION("IFERROR(ABS(P1412-AVERAGE(FILTER(O1412:P5480,AA1412:AA5480=""Neighbor""))) / STDEV(FILTER(P1412:P5480, AA1412:AA5480 =""Neighbor"")), """")"),1.699219488787038)</f>
        <v>1.699219489</v>
      </c>
      <c r="AE1412" s="2">
        <f>IFERROR(__xludf.DUMMYFUNCTION("IFERROR(ABS(Q1412-AVERAGE(FILTER(Q1412:Q5480,AA1412:AA5480=""Neighbor""))) / STDEV(FILTER(Q1412:Q5480, AA1412:AA5480 =""Neighbor"")), """")"),0.1080406455245677)</f>
        <v>0.1080406455</v>
      </c>
      <c r="AF1412" s="2">
        <f>IFERROR(__xludf.DUMMYFUNCTION("IFERROR(ABS(R1412-AVERAGE(FILTER(R1412:R5480,AA1412:AA5480=""Neighbor""))) / STDEV(FILTER(R1412:R5480, AA1412:AA5480 =""Neighbor"")), """")"),0.3461358143483651)</f>
        <v>0.3461358143</v>
      </c>
    </row>
    <row r="1413">
      <c r="A1413" s="2" t="s">
        <v>28</v>
      </c>
      <c r="B1413" s="2" t="s">
        <v>5384</v>
      </c>
      <c r="C1413" s="2" t="s">
        <v>5774</v>
      </c>
      <c r="D1413" s="2" t="s">
        <v>5779</v>
      </c>
      <c r="E1413" s="2" t="s">
        <v>5780</v>
      </c>
      <c r="F1413" s="2">
        <v>158.0</v>
      </c>
      <c r="G1413" s="2">
        <v>650.0</v>
      </c>
      <c r="H1413" s="2" t="b">
        <v>1</v>
      </c>
      <c r="I1413" s="2">
        <v>-1.0</v>
      </c>
      <c r="J1413" s="2" t="b">
        <v>0</v>
      </c>
      <c r="K1413" s="2" t="b">
        <v>1</v>
      </c>
      <c r="L1413" s="2" t="b">
        <v>0</v>
      </c>
      <c r="M1413" s="2" t="b">
        <v>0</v>
      </c>
      <c r="N1413" s="2" t="s">
        <v>33</v>
      </c>
      <c r="O1413" s="2">
        <v>111.0</v>
      </c>
      <c r="P1413" s="2">
        <v>8.0</v>
      </c>
      <c r="Q1413" s="2">
        <v>32.0</v>
      </c>
      <c r="R1413" s="2">
        <v>0.0</v>
      </c>
      <c r="S1413" s="3" t="s">
        <v>5781</v>
      </c>
      <c r="T1413" s="2" t="s">
        <v>5782</v>
      </c>
      <c r="Y1413" s="4" t="str">
        <f>IFERROR(__xludf.DUMMYFUNCTION("""COMPUTED_VALUE"""),"6.9525673")</f>
        <v>6.9525673</v>
      </c>
      <c r="Z1413" s="4" t="str">
        <f>IFERROR(__xludf.DUMMYFUNCTION("""COMPUTED_VALUE"""),"3.9827405")</f>
        <v>3.9827405</v>
      </c>
      <c r="AA1413" s="4" t="str">
        <f t="shared" si="1"/>
        <v>Neighbor</v>
      </c>
      <c r="AC1413" s="4">
        <f>IFERROR(__xludf.DUMMYFUNCTION("IFERROR(ABS(O1413-AVERAGE(FILTER(O1413:O5481,AA1413:AA5481=""Neighbor""))) / STDEV(FILTER(O1413:O5481, AA1413:AA5481 =""Neighbor"")), """")"),1.2222909997886997)</f>
        <v>1.222291</v>
      </c>
      <c r="AD1413" s="4">
        <f>IFERROR(__xludf.DUMMYFUNCTION("IFERROR(ABS(P1413-AVERAGE(FILTER(O1413:P5481,AA1413:AA5481=""Neighbor""))) / STDEV(FILTER(P1413:P5481, AA1413:AA5481 =""Neighbor"")), """")"),1.4195217018483217)</f>
        <v>1.419521702</v>
      </c>
      <c r="AE1413" s="2">
        <f>IFERROR(__xludf.DUMMYFUNCTION("IFERROR(ABS(Q1413-AVERAGE(FILTER(Q1413:Q5481,AA1413:AA5481=""Neighbor""))) / STDEV(FILTER(Q1413:Q5481, AA1413:AA5481 =""Neighbor"")), """")"),0.2668164318866207)</f>
        <v>0.2668164319</v>
      </c>
      <c r="AF1413" s="2">
        <f>IFERROR(__xludf.DUMMYFUNCTION("IFERROR(ABS(R1413-AVERAGE(FILTER(R1413:R5481,AA1413:AA5481=""Neighbor""))) / STDEV(FILTER(R1413:R5481, AA1413:AA5481 =""Neighbor"")), """")"),0.34630994944081667)</f>
        <v>0.3463099494</v>
      </c>
    </row>
    <row r="1414">
      <c r="A1414" s="2" t="s">
        <v>28</v>
      </c>
      <c r="B1414" s="2" t="s">
        <v>5384</v>
      </c>
      <c r="C1414" s="2" t="s">
        <v>5774</v>
      </c>
      <c r="D1414" s="2" t="s">
        <v>5783</v>
      </c>
      <c r="E1414" s="2" t="s">
        <v>5784</v>
      </c>
      <c r="F1414" s="2">
        <v>136.0</v>
      </c>
      <c r="G1414" s="2">
        <v>566.0</v>
      </c>
      <c r="H1414" s="2" t="b">
        <v>1</v>
      </c>
      <c r="I1414" s="2">
        <v>-1.0</v>
      </c>
      <c r="J1414" s="2" t="b">
        <v>0</v>
      </c>
      <c r="K1414" s="2" t="b">
        <v>0</v>
      </c>
      <c r="L1414" s="2" t="b">
        <v>0</v>
      </c>
      <c r="M1414" s="2" t="b">
        <v>0</v>
      </c>
      <c r="N1414" s="2" t="s">
        <v>33</v>
      </c>
      <c r="O1414" s="2">
        <v>52.0</v>
      </c>
      <c r="P1414" s="2">
        <v>0.0</v>
      </c>
      <c r="Q1414" s="2">
        <v>45.0</v>
      </c>
      <c r="R1414" s="2">
        <v>0.0</v>
      </c>
      <c r="S1414" s="3" t="s">
        <v>5785</v>
      </c>
      <c r="T1414" s="2" t="s">
        <v>5786</v>
      </c>
      <c r="Y1414" s="4" t="str">
        <f>IFERROR(__xludf.DUMMYFUNCTION("""COMPUTED_VALUE"""),"6.9525673")</f>
        <v>6.9525673</v>
      </c>
      <c r="Z1414" s="4" t="str">
        <f>IFERROR(__xludf.DUMMYFUNCTION("""COMPUTED_VALUE"""),"3.9827405")</f>
        <v>3.9827405</v>
      </c>
      <c r="AA1414" s="4" t="str">
        <f t="shared" si="1"/>
        <v>Neighbor</v>
      </c>
      <c r="AC1414" s="4">
        <f>IFERROR(__xludf.DUMMYFUNCTION("IFERROR(ABS(O1414-AVERAGE(FILTER(O1414:O5482,AA1414:AA5482=""Neighbor""))) / STDEV(FILTER(O1414:O5482, AA1414:AA5482 =""Neighbor"")), """")"),0.22930958801965143)</f>
        <v>0.229309588</v>
      </c>
      <c r="AD1414" s="4">
        <f>IFERROR(__xludf.DUMMYFUNCTION("IFERROR(ABS(P1414-AVERAGE(FILTER(O1414:P5482,AA1414:AA5482=""Neighbor""))) / STDEV(FILTER(P1414:P5482, AA1414:AA5482 =""Neighbor"")), """")"),1.788820870284754)</f>
        <v>1.78882087</v>
      </c>
      <c r="AE1414" s="2">
        <f>IFERROR(__xludf.DUMMYFUNCTION("IFERROR(ABS(Q1414-AVERAGE(FILTER(Q1414:Q5482,AA1414:AA5482=""Neighbor""))) / STDEV(FILTER(Q1414:Q5482, AA1414:AA5482 =""Neighbor"")), """")"),0.7825910140345851)</f>
        <v>0.782591014</v>
      </c>
      <c r="AF1414" s="2">
        <f>IFERROR(__xludf.DUMMYFUNCTION("IFERROR(ABS(R1414-AVERAGE(FILTER(R1414:R5482,AA1414:AA5482=""Neighbor""))) / STDEV(FILTER(R1414:R5482, AA1414:AA5482 =""Neighbor"")), """")"),0.34648434764134506)</f>
        <v>0.3464843476</v>
      </c>
    </row>
    <row r="1415">
      <c r="A1415" s="2" t="s">
        <v>28</v>
      </c>
      <c r="B1415" s="2" t="s">
        <v>5384</v>
      </c>
      <c r="C1415" s="2" t="s">
        <v>5774</v>
      </c>
      <c r="D1415" s="2" t="s">
        <v>5787</v>
      </c>
      <c r="E1415" s="2" t="s">
        <v>5788</v>
      </c>
      <c r="F1415" s="2">
        <v>185.0</v>
      </c>
      <c r="G1415" s="2">
        <v>771.0</v>
      </c>
      <c r="H1415" s="2" t="b">
        <v>1</v>
      </c>
      <c r="I1415" s="2">
        <v>-1.0</v>
      </c>
      <c r="J1415" s="2" t="b">
        <v>0</v>
      </c>
      <c r="K1415" s="2" t="b">
        <v>0</v>
      </c>
      <c r="L1415" s="2" t="b">
        <v>0</v>
      </c>
      <c r="M1415" s="2" t="b">
        <v>0</v>
      </c>
      <c r="N1415" s="2" t="s">
        <v>33</v>
      </c>
      <c r="O1415" s="2">
        <v>134.0</v>
      </c>
      <c r="P1415" s="2">
        <v>4.0</v>
      </c>
      <c r="Q1415" s="2">
        <v>34.0</v>
      </c>
      <c r="R1415" s="2">
        <v>0.0</v>
      </c>
      <c r="S1415" s="3" t="s">
        <v>5789</v>
      </c>
      <c r="T1415" s="2" t="s">
        <v>5790</v>
      </c>
      <c r="Y1415" s="4" t="str">
        <f>IFERROR(__xludf.DUMMYFUNCTION("""COMPUTED_VALUE"""),"6.9525673")</f>
        <v>6.9525673</v>
      </c>
      <c r="Z1415" s="4" t="str">
        <f>IFERROR(__xludf.DUMMYFUNCTION("""COMPUTED_VALUE"""),"3.9827405")</f>
        <v>3.9827405</v>
      </c>
      <c r="AA1415" s="4" t="str">
        <f t="shared" si="1"/>
        <v>Neighbor</v>
      </c>
      <c r="AC1415" s="4">
        <f>IFERROR(__xludf.DUMMYFUNCTION("IFERROR(ABS(O1415-AVERAGE(FILTER(O1415:O5483,AA1415:AA5483=""Neighbor""))) / STDEV(FILTER(O1415:O5483, AA1415:AA5483 =""Neighbor"")), """")"),1.7891071576282627)</f>
        <v>1.789107158</v>
      </c>
      <c r="AD1415" s="4">
        <f>IFERROR(__xludf.DUMMYFUNCTION("IFERROR(ABS(P1415-AVERAGE(FILTER(O1415:P5483,AA1415:AA5483=""Neighbor""))) / STDEV(FILTER(P1415:P5483, AA1415:AA5483 =""Neighbor"")), """")"),1.6036546382854413)</f>
        <v>1.603654638</v>
      </c>
      <c r="AE1415" s="2">
        <f>IFERROR(__xludf.DUMMYFUNCTION("IFERROR(ABS(Q1415-AVERAGE(FILTER(Q1415:Q5483,AA1415:AA5483=""Neighbor""))) / STDEV(FILTER(Q1415:Q5483, AA1415:AA5483 =""Neighbor"")), """")"),0.34691961366362706)</f>
        <v>0.3469196137</v>
      </c>
      <c r="AF1415" s="2">
        <f>IFERROR(__xludf.DUMMYFUNCTION("IFERROR(ABS(R1415-AVERAGE(FILTER(R1415:R5483,AA1415:AA5483=""Neighbor""))) / STDEV(FILTER(R1415:R5483, AA1415:AA5483 =""Neighbor"")), """")"),0.34665900961325324)</f>
        <v>0.3466590096</v>
      </c>
    </row>
    <row r="1416">
      <c r="A1416" s="2" t="s">
        <v>28</v>
      </c>
      <c r="B1416" s="2" t="s">
        <v>5384</v>
      </c>
      <c r="C1416" s="2" t="s">
        <v>5774</v>
      </c>
      <c r="D1416" s="2" t="s">
        <v>5791</v>
      </c>
      <c r="E1416" s="2" t="s">
        <v>5792</v>
      </c>
      <c r="F1416" s="2">
        <v>161.0</v>
      </c>
      <c r="G1416" s="2">
        <v>595.0</v>
      </c>
      <c r="H1416" s="2" t="b">
        <v>1</v>
      </c>
      <c r="I1416" s="2">
        <v>-1.0</v>
      </c>
      <c r="J1416" s="2" t="b">
        <v>0</v>
      </c>
      <c r="K1416" s="2" t="b">
        <v>0</v>
      </c>
      <c r="L1416" s="2" t="b">
        <v>0</v>
      </c>
      <c r="M1416" s="2" t="b">
        <v>0</v>
      </c>
      <c r="N1416" s="2" t="s">
        <v>33</v>
      </c>
      <c r="O1416" s="2">
        <v>119.0</v>
      </c>
      <c r="P1416" s="2">
        <v>14.0</v>
      </c>
      <c r="Q1416" s="2">
        <v>19.0</v>
      </c>
      <c r="R1416" s="2">
        <v>0.0</v>
      </c>
      <c r="S1416" s="3" t="s">
        <v>5793</v>
      </c>
      <c r="T1416" s="2" t="s">
        <v>5794</v>
      </c>
      <c r="Y1416" s="4" t="str">
        <f>IFERROR(__xludf.DUMMYFUNCTION("""COMPUTED_VALUE"""),"6.9463696")</f>
        <v>6.9463696</v>
      </c>
      <c r="Z1416" s="4" t="str">
        <f>IFERROR(__xludf.DUMMYFUNCTION("""COMPUTED_VALUE"""),"3.9863044")</f>
        <v>3.9863044</v>
      </c>
      <c r="AA1416" s="4" t="str">
        <f t="shared" si="1"/>
        <v>Neighbor</v>
      </c>
      <c r="AC1416" s="4">
        <f>IFERROR(__xludf.DUMMYFUNCTION("IFERROR(ABS(O1416-AVERAGE(FILTER(O1416:O5484,AA1416:AA5484=""Neighbor""))) / STDEV(FILTER(O1416:O5484, AA1416:AA5484 =""Neighbor"")), """")"),1.4228937336910157)</f>
        <v>1.422893734</v>
      </c>
      <c r="AD1416" s="4">
        <f>IFERROR(__xludf.DUMMYFUNCTION("IFERROR(ABS(P1416-AVERAGE(FILTER(O1416:P5484,AA1416:AA5484=""Neighbor""))) / STDEV(FILTER(P1416:P5484, AA1416:AA5484 =""Neighbor"")), """")"),1.13871877876754)</f>
        <v>1.138718779</v>
      </c>
      <c r="AE1416" s="2">
        <f>IFERROR(__xludf.DUMMYFUNCTION("IFERROR(ABS(Q1416-AVERAGE(FILTER(Q1416:Q5484,AA1416:AA5484=""Neighbor""))) / STDEV(FILTER(Q1416:Q5484, AA1416:AA5484 =""Neighbor"")), """")"),0.24754179163049653)</f>
        <v>0.2475417916</v>
      </c>
      <c r="AF1416" s="2">
        <f>IFERROR(__xludf.DUMMYFUNCTION("IFERROR(ABS(R1416-AVERAGE(FILTER(R1416:R5484,AA1416:AA5484=""Neighbor""))) / STDEV(FILTER(R1416:R5484, AA1416:AA5484 =""Neighbor"")), """")"),0.3468339360221877)</f>
        <v>0.346833936</v>
      </c>
    </row>
    <row r="1417">
      <c r="A1417" s="2" t="s">
        <v>28</v>
      </c>
      <c r="B1417" s="2" t="s">
        <v>5384</v>
      </c>
      <c r="C1417" s="2" t="s">
        <v>5774</v>
      </c>
      <c r="D1417" s="2" t="s">
        <v>5795</v>
      </c>
      <c r="E1417" s="2" t="s">
        <v>5796</v>
      </c>
      <c r="F1417" s="2">
        <v>136.0</v>
      </c>
      <c r="G1417" s="2">
        <v>464.0</v>
      </c>
      <c r="H1417" s="2" t="b">
        <v>1</v>
      </c>
      <c r="I1417" s="2">
        <v>-1.0</v>
      </c>
      <c r="J1417" s="2" t="b">
        <v>0</v>
      </c>
      <c r="K1417" s="2" t="b">
        <v>0</v>
      </c>
      <c r="L1417" s="2" t="b">
        <v>0</v>
      </c>
      <c r="M1417" s="2" t="b">
        <v>0</v>
      </c>
      <c r="N1417" s="2" t="s">
        <v>33</v>
      </c>
      <c r="O1417" s="2">
        <v>83.0</v>
      </c>
      <c r="P1417" s="2">
        <v>2.0</v>
      </c>
      <c r="Q1417" s="2">
        <v>48.0</v>
      </c>
      <c r="R1417" s="2">
        <v>0.0</v>
      </c>
      <c r="S1417" s="3" t="s">
        <v>5797</v>
      </c>
      <c r="T1417" s="2" t="s">
        <v>5798</v>
      </c>
      <c r="Y1417" s="4" t="str">
        <f>IFERROR(__xludf.DUMMYFUNCTION("""COMPUTED_VALUE"""),"6.9525673")</f>
        <v>6.9525673</v>
      </c>
      <c r="Z1417" s="4" t="str">
        <f>IFERROR(__xludf.DUMMYFUNCTION("""COMPUTED_VALUE"""),"3.9827405")</f>
        <v>3.9827405</v>
      </c>
      <c r="AA1417" s="4" t="str">
        <f t="shared" si="1"/>
        <v>Neighbor</v>
      </c>
      <c r="AC1417" s="4">
        <f>IFERROR(__xludf.DUMMYFUNCTION("IFERROR(ABS(O1417-AVERAGE(FILTER(O1417:O5485,AA1417:AA5485=""Neighbor""))) / STDEV(FILTER(O1417:O5485, AA1417:AA5485 =""Neighbor"")), """")"),0.5373626415110387)</f>
        <v>0.5373626415</v>
      </c>
      <c r="AD1417" s="4">
        <f>IFERROR(__xludf.DUMMYFUNCTION("IFERROR(ABS(P1417-AVERAGE(FILTER(O1417:P5485,AA1417:AA5485=""Neighbor""))) / STDEV(FILTER(P1417:P5485, AA1417:AA5485 =""Neighbor"")), """")"),1.6925901192655908)</f>
        <v>1.692590119</v>
      </c>
      <c r="AE1417" s="2">
        <f>IFERROR(__xludf.DUMMYFUNCTION("IFERROR(ABS(Q1417-AVERAGE(FILTER(Q1417:Q5485,AA1417:AA5485=""Neighbor""))) / STDEV(FILTER(Q1417:Q5485, AA1417:AA5485 =""Neighbor"")), """")"),0.9014832253569248)</f>
        <v>0.9014832254</v>
      </c>
      <c r="AF1417" s="2">
        <f>IFERROR(__xludf.DUMMYFUNCTION("IFERROR(ABS(R1417-AVERAGE(FILTER(R1417:R5485,AA1417:AA5485=""Neighbor""))) / STDEV(FILTER(R1417:R5485, AA1417:AA5485 =""Neighbor"")), """")"),0.3470091275361496)</f>
        <v>0.3470091275</v>
      </c>
    </row>
    <row r="1418">
      <c r="A1418" s="2" t="s">
        <v>28</v>
      </c>
      <c r="B1418" s="2" t="s">
        <v>5384</v>
      </c>
      <c r="C1418" s="2" t="s">
        <v>5774</v>
      </c>
      <c r="D1418" s="2" t="s">
        <v>5799</v>
      </c>
      <c r="E1418" s="2" t="s">
        <v>5800</v>
      </c>
      <c r="F1418" s="2">
        <v>128.0</v>
      </c>
      <c r="G1418" s="2">
        <v>547.0</v>
      </c>
      <c r="H1418" s="2" t="b">
        <v>1</v>
      </c>
      <c r="I1418" s="2">
        <v>-1.0</v>
      </c>
      <c r="J1418" s="2" t="b">
        <v>0</v>
      </c>
      <c r="K1418" s="2" t="b">
        <v>0</v>
      </c>
      <c r="L1418" s="2" t="b">
        <v>0</v>
      </c>
      <c r="M1418" s="2" t="b">
        <v>0</v>
      </c>
      <c r="N1418" s="2" t="s">
        <v>33</v>
      </c>
      <c r="O1418" s="2">
        <v>107.0</v>
      </c>
      <c r="P1418" s="2">
        <v>3.0</v>
      </c>
      <c r="Q1418" s="2">
        <v>10.0</v>
      </c>
      <c r="R1418" s="2">
        <v>0.0</v>
      </c>
      <c r="S1418" s="3" t="s">
        <v>5801</v>
      </c>
      <c r="T1418" s="2" t="s">
        <v>5802</v>
      </c>
      <c r="Y1418" s="4" t="str">
        <f>IFERROR(__xludf.DUMMYFUNCTION("""COMPUTED_VALUE"""),"6.9525673")</f>
        <v>6.9525673</v>
      </c>
      <c r="Z1418" s="4" t="str">
        <f>IFERROR(__xludf.DUMMYFUNCTION("""COMPUTED_VALUE"""),"3.9827405")</f>
        <v>3.9827405</v>
      </c>
      <c r="AA1418" s="4" t="str">
        <f t="shared" si="1"/>
        <v>Neighbor</v>
      </c>
      <c r="AC1418" s="4">
        <f>IFERROR(__xludf.DUMMYFUNCTION("IFERROR(ABS(O1418-AVERAGE(FILTER(O1418:O5486,AA1418:AA5486=""Neighbor""))) / STDEV(FILTER(O1418:O5486, AA1418:AA5486 =""Neighbor"")), """")"),1.1291358814412134)</f>
        <v>1.129135881</v>
      </c>
      <c r="AD1418" s="4">
        <f>IFERROR(__xludf.DUMMYFUNCTION("IFERROR(ABS(P1418-AVERAGE(FILTER(O1418:P5486,AA1418:AA5486=""Neighbor""))) / STDEV(FILTER(P1418:P5486, AA1418:AA5486 =""Neighbor"")), """")"),1.6456950020620678)</f>
        <v>1.645695002</v>
      </c>
      <c r="AE1418" s="2">
        <f>IFERROR(__xludf.DUMMYFUNCTION("IFERROR(ABS(Q1418-AVERAGE(FILTER(Q1418:Q5486,AA1418:AA5486=""Neighbor""))) / STDEV(FILTER(Q1418:Q5486, AA1418:AA5486 =""Neighbor"")), """")"),0.6034257052749137)</f>
        <v>0.6034257053</v>
      </c>
      <c r="AF1418" s="2">
        <f>IFERROR(__xludf.DUMMYFUNCTION("IFERROR(ABS(R1418-AVERAGE(FILTER(R1418:R5486,AA1418:AA5486=""Neighbor""))) / STDEV(FILTER(R1418:R5486, AA1418:AA5486 =""Neighbor"")), """")"),0.3471845848255047)</f>
        <v>0.3471845848</v>
      </c>
    </row>
    <row r="1419">
      <c r="A1419" s="2" t="s">
        <v>28</v>
      </c>
      <c r="B1419" s="2" t="s">
        <v>5384</v>
      </c>
      <c r="C1419" s="2" t="s">
        <v>5774</v>
      </c>
      <c r="D1419" s="2" t="s">
        <v>5803</v>
      </c>
      <c r="E1419" s="2" t="s">
        <v>5804</v>
      </c>
      <c r="F1419" s="2">
        <v>215.0</v>
      </c>
      <c r="G1419" s="2">
        <v>917.0</v>
      </c>
      <c r="H1419" s="2" t="b">
        <v>1</v>
      </c>
      <c r="I1419" s="2">
        <v>-1.0</v>
      </c>
      <c r="J1419" s="2" t="b">
        <v>1</v>
      </c>
      <c r="K1419" s="2" t="b">
        <v>1</v>
      </c>
      <c r="L1419" s="2" t="b">
        <v>0</v>
      </c>
      <c r="M1419" s="2" t="b">
        <v>0</v>
      </c>
      <c r="N1419" s="2" t="s">
        <v>33</v>
      </c>
      <c r="O1419" s="2">
        <v>171.0</v>
      </c>
      <c r="P1419" s="2">
        <v>7.0</v>
      </c>
      <c r="Q1419" s="2">
        <v>27.0</v>
      </c>
      <c r="R1419" s="2">
        <v>0.0</v>
      </c>
      <c r="S1419" s="3" t="s">
        <v>5805</v>
      </c>
      <c r="T1419" s="2" t="s">
        <v>5806</v>
      </c>
      <c r="Y1419" s="4" t="str">
        <f>IFERROR(__xludf.DUMMYFUNCTION("""COMPUTED_VALUE"""),"6.9525673")</f>
        <v>6.9525673</v>
      </c>
      <c r="Z1419" s="4" t="str">
        <f>IFERROR(__xludf.DUMMYFUNCTION("""COMPUTED_VALUE"""),"3.9827405")</f>
        <v>3.9827405</v>
      </c>
      <c r="AA1419" s="4" t="str">
        <f t="shared" si="1"/>
        <v>Not Neighbor</v>
      </c>
      <c r="AC1419" s="4">
        <f>IFERROR(__xludf.DUMMYFUNCTION("IFERROR(ABS(O1419-AVERAGE(FILTER(O1419:O5487,AA1419:AA5487=""Neighbor""))) / STDEV(FILTER(O1419:O5487, AA1419:AA5487 =""Neighbor"")), """")"),2.7077233946381614)</f>
        <v>2.707723395</v>
      </c>
      <c r="AD1419" s="4">
        <f>IFERROR(__xludf.DUMMYFUNCTION("IFERROR(ABS(P1419-AVERAGE(FILTER(O1419:P5487,AA1419:AA5487=""Neighbor""))) / STDEV(FILTER(P1419:P5487, AA1419:AA5487 =""Neighbor"")), """")"),1.4594497138702514)</f>
        <v>1.459449714</v>
      </c>
      <c r="AE1419" s="2">
        <f>IFERROR(__xludf.DUMMYFUNCTION("IFERROR(ABS(Q1419-AVERAGE(FILTER(Q1419:Q5487,AA1419:AA5487=""Neighbor""))) / STDEV(FILTER(Q1419:Q5487, AA1419:AA5487 =""Neighbor"")), """")"),0.06958769202824157)</f>
        <v>0.06958769203</v>
      </c>
      <c r="AF1419" s="2">
        <f>IFERROR(__xludf.DUMMYFUNCTION("IFERROR(ABS(R1419-AVERAGE(FILTER(R1419:R5487,AA1419:AA5487=""Neighbor""))) / STDEV(FILTER(R1419:R5487, AA1419:AA5487 =""Neighbor"")), """")"),0.34736030856299444)</f>
        <v>0.3473603086</v>
      </c>
    </row>
    <row r="1420">
      <c r="A1420" s="2" t="s">
        <v>28</v>
      </c>
      <c r="B1420" s="2" t="s">
        <v>5384</v>
      </c>
      <c r="C1420" s="2" t="s">
        <v>5774</v>
      </c>
      <c r="D1420" s="2" t="s">
        <v>5807</v>
      </c>
      <c r="E1420" s="2" t="s">
        <v>5808</v>
      </c>
      <c r="F1420" s="2">
        <v>175.0</v>
      </c>
      <c r="G1420" s="2">
        <v>723.0</v>
      </c>
      <c r="H1420" s="2" t="b">
        <v>1</v>
      </c>
      <c r="I1420" s="2">
        <v>-1.0</v>
      </c>
      <c r="J1420" s="2" t="b">
        <v>0</v>
      </c>
      <c r="K1420" s="2" t="b">
        <v>0</v>
      </c>
      <c r="L1420" s="2" t="b">
        <v>0</v>
      </c>
      <c r="M1420" s="2" t="b">
        <v>0</v>
      </c>
      <c r="N1420" s="2" t="s">
        <v>33</v>
      </c>
      <c r="O1420" s="2">
        <v>124.0</v>
      </c>
      <c r="P1420" s="2">
        <v>20.0</v>
      </c>
      <c r="Q1420" s="2">
        <v>19.0</v>
      </c>
      <c r="R1420" s="2">
        <v>0.0</v>
      </c>
      <c r="S1420" s="3" t="s">
        <v>5809</v>
      </c>
      <c r="T1420" s="2" t="s">
        <v>5810</v>
      </c>
      <c r="Y1420" s="4" t="str">
        <f>IFERROR(__xludf.DUMMYFUNCTION("""COMPUTED_VALUE"""),"6.964338")</f>
        <v>6.964338</v>
      </c>
      <c r="Z1420" s="4" t="str">
        <f>IFERROR(__xludf.DUMMYFUNCTION("""COMPUTED_VALUE"""),"3.935831")</f>
        <v>3.935831</v>
      </c>
      <c r="AA1420" s="4" t="str">
        <f t="shared" si="1"/>
        <v>Neighbor</v>
      </c>
      <c r="AC1420" s="4">
        <f>IFERROR(__xludf.DUMMYFUNCTION("IFERROR(ABS(O1420-AVERAGE(FILTER(O1420:O5488,AA1420:AA5488=""Neighbor""))) / STDEV(FILTER(O1420:O5488, AA1420:AA5488 =""Neighbor"")), """")"),1.5493016348600397)</f>
        <v>1.549301635</v>
      </c>
      <c r="AD1420" s="4">
        <f>IFERROR(__xludf.DUMMYFUNCTION("IFERROR(ABS(P1420-AVERAGE(FILTER(O1420:P5488,AA1420:AA5488=""Neighbor""))) / STDEV(FILTER(P1420:P5488, AA1420:AA5488 =""Neighbor"")), """")"),0.8579399752674945)</f>
        <v>0.8579399753</v>
      </c>
      <c r="AE1420" s="2">
        <f>IFERROR(__xludf.DUMMYFUNCTION("IFERROR(ABS(Q1420-AVERAGE(FILTER(Q1420:Q5488,AA1420:AA5488=""Neighbor""))) / STDEV(FILTER(Q1420:Q5488, AA1420:AA5488 =""Neighbor"")), """")"),0.2472995437236277)</f>
        <v>0.2472995437</v>
      </c>
      <c r="AF1420" s="2">
        <f>IFERROR(__xludf.DUMMYFUNCTION("IFERROR(ABS(R1420-AVERAGE(FILTER(R1420:R5488,AA1420:AA5488=""Neighbor""))) / STDEV(FILTER(R1420:R5488, AA1420:AA5488 =""Neighbor"")), """")"),0.34736030856299444)</f>
        <v>0.3473603086</v>
      </c>
    </row>
    <row r="1421">
      <c r="A1421" s="2" t="s">
        <v>28</v>
      </c>
      <c r="B1421" s="2" t="s">
        <v>5384</v>
      </c>
      <c r="C1421" s="2" t="s">
        <v>5774</v>
      </c>
      <c r="D1421" s="2" t="s">
        <v>5811</v>
      </c>
      <c r="E1421" s="2" t="s">
        <v>5812</v>
      </c>
      <c r="F1421" s="2">
        <v>179.0</v>
      </c>
      <c r="G1421" s="2">
        <v>607.0</v>
      </c>
      <c r="H1421" s="2" t="b">
        <v>1</v>
      </c>
      <c r="I1421" s="2">
        <v>-1.0</v>
      </c>
      <c r="J1421" s="2" t="b">
        <v>1</v>
      </c>
      <c r="K1421" s="2" t="b">
        <v>0</v>
      </c>
      <c r="L1421" s="2" t="b">
        <v>0</v>
      </c>
      <c r="M1421" s="2" t="b">
        <v>0</v>
      </c>
      <c r="N1421" s="2" t="s">
        <v>33</v>
      </c>
      <c r="O1421" s="2">
        <v>129.0</v>
      </c>
      <c r="P1421" s="2">
        <v>23.0</v>
      </c>
      <c r="Q1421" s="2">
        <v>19.0</v>
      </c>
      <c r="R1421" s="2">
        <v>0.0</v>
      </c>
      <c r="S1421" s="3" t="s">
        <v>5813</v>
      </c>
      <c r="T1421" s="2" t="s">
        <v>5814</v>
      </c>
      <c r="Y1421" s="4" t="str">
        <f>IFERROR(__xludf.DUMMYFUNCTION("""COMPUTED_VALUE"""),"6.964338")</f>
        <v>6.964338</v>
      </c>
      <c r="Z1421" s="4" t="str">
        <f>IFERROR(__xludf.DUMMYFUNCTION("""COMPUTED_VALUE"""),"3.935831")</f>
        <v>3.935831</v>
      </c>
      <c r="AA1421" s="4" t="str">
        <f t="shared" si="1"/>
        <v>Not Neighbor</v>
      </c>
      <c r="AC1421" s="4">
        <f>IFERROR(__xludf.DUMMYFUNCTION("IFERROR(ABS(O1421-AVERAGE(FILTER(O1421:O5489,AA1421:AA5489=""Neighbor""))) / STDEV(FILTER(O1421:O5489, AA1421:AA5489 =""Neighbor"")), """")"),1.6750043656416418)</f>
        <v>1.675004366</v>
      </c>
      <c r="AD1421" s="4">
        <f>IFERROR(__xludf.DUMMYFUNCTION("IFERROR(ABS(P1421-AVERAGE(FILTER(O1421:P5489,AA1421:AA5489=""Neighbor""))) / STDEV(FILTER(P1421:P5489, AA1421:AA5489 =""Neighbor"")), """")"),0.7174156524640438)</f>
        <v>0.7174156525</v>
      </c>
      <c r="AE1421" s="2">
        <f>IFERROR(__xludf.DUMMYFUNCTION("IFERROR(ABS(Q1421-AVERAGE(FILTER(Q1421:Q5489,AA1421:AA5489=""Neighbor""))) / STDEV(FILTER(Q1421:Q5489, AA1421:AA5489 =""Neighbor"")), """")"),0.24741817041565464)</f>
        <v>0.2474181704</v>
      </c>
      <c r="AF1421" s="2">
        <f>IFERROR(__xludf.DUMMYFUNCTION("IFERROR(ABS(R1421-AVERAGE(FILTER(R1421:R5489,AA1421:AA5489=""Neighbor""))) / STDEV(FILTER(R1421:R5489, AA1421:AA5489 =""Neighbor"")), """")"),0.3475362994237479)</f>
        <v>0.3475362994</v>
      </c>
    </row>
    <row r="1422">
      <c r="A1422" s="2" t="s">
        <v>28</v>
      </c>
      <c r="B1422" s="2" t="s">
        <v>5384</v>
      </c>
      <c r="C1422" s="2" t="s">
        <v>5774</v>
      </c>
      <c r="D1422" s="2" t="s">
        <v>5815</v>
      </c>
      <c r="E1422" s="2" t="s">
        <v>5816</v>
      </c>
      <c r="F1422" s="2">
        <v>136.0</v>
      </c>
      <c r="G1422" s="2">
        <v>602.0</v>
      </c>
      <c r="H1422" s="2" t="b">
        <v>1</v>
      </c>
      <c r="I1422" s="2">
        <v>-1.0</v>
      </c>
      <c r="J1422" s="2" t="b">
        <v>0</v>
      </c>
      <c r="K1422" s="2" t="b">
        <v>0</v>
      </c>
      <c r="L1422" s="2" t="b">
        <v>0</v>
      </c>
      <c r="M1422" s="2" t="b">
        <v>0</v>
      </c>
      <c r="N1422" s="2" t="s">
        <v>33</v>
      </c>
      <c r="O1422" s="2">
        <v>67.0</v>
      </c>
      <c r="P1422" s="2">
        <v>17.0</v>
      </c>
      <c r="Q1422" s="2">
        <v>49.0</v>
      </c>
      <c r="R1422" s="2">
        <v>0.0</v>
      </c>
      <c r="S1422" s="3" t="s">
        <v>5817</v>
      </c>
      <c r="T1422" s="2" t="s">
        <v>5818</v>
      </c>
      <c r="Y1422" s="4" t="str">
        <f>IFERROR(__xludf.DUMMYFUNCTION("""COMPUTED_VALUE"""),"6.9525673")</f>
        <v>6.9525673</v>
      </c>
      <c r="Z1422" s="4" t="str">
        <f>IFERROR(__xludf.DUMMYFUNCTION("""COMPUTED_VALUE"""),"3.9827405")</f>
        <v>3.9827405</v>
      </c>
      <c r="AA1422" s="4" t="str">
        <f t="shared" si="1"/>
        <v>Neighbor</v>
      </c>
      <c r="AC1422" s="4">
        <f>IFERROR(__xludf.DUMMYFUNCTION("IFERROR(ABS(O1422-AVERAGE(FILTER(O1422:O5490,AA1422:AA5490=""Neighbor""))) / STDEV(FILTER(O1422:O5490, AA1422:AA5490 =""Neighbor"")), """")"),0.1459019486215226)</f>
        <v>0.1459019486</v>
      </c>
      <c r="AD1422" s="4">
        <f>IFERROR(__xludf.DUMMYFUNCTION("IFERROR(ABS(P1422-AVERAGE(FILTER(O1422:P5490,AA1422:AA5490=""Neighbor""))) / STDEV(FILTER(P1422:P5490, AA1422:AA5490 =""Neighbor"")), """")"),0.9949143121202154)</f>
        <v>0.9949143121</v>
      </c>
      <c r="AE1422" s="2">
        <f>IFERROR(__xludf.DUMMYFUNCTION("IFERROR(ABS(Q1422-AVERAGE(FILTER(Q1422:Q5490,AA1422:AA5490=""Neighbor""))) / STDEV(FILTER(Q1422:Q5490, AA1422:AA5490 =""Neighbor"")), """")"),0.9404040380244543)</f>
        <v>0.940404038</v>
      </c>
      <c r="AF1422" s="2">
        <f>IFERROR(__xludf.DUMMYFUNCTION("IFERROR(ABS(R1422-AVERAGE(FILTER(R1422:R5490,AA1422:AA5490=""Neighbor""))) / STDEV(FILTER(R1422:R5490, AA1422:AA5490 =""Neighbor"")), """")"),0.3475362994237479)</f>
        <v>0.3475362994</v>
      </c>
    </row>
    <row r="1423">
      <c r="A1423" s="2" t="s">
        <v>28</v>
      </c>
      <c r="B1423" s="2" t="s">
        <v>5384</v>
      </c>
      <c r="C1423" s="2" t="s">
        <v>5774</v>
      </c>
      <c r="D1423" s="2" t="s">
        <v>5819</v>
      </c>
      <c r="E1423" s="2" t="s">
        <v>5820</v>
      </c>
      <c r="F1423" s="2">
        <v>157.0</v>
      </c>
      <c r="G1423" s="2">
        <v>647.0</v>
      </c>
      <c r="H1423" s="2" t="b">
        <v>1</v>
      </c>
      <c r="I1423" s="2">
        <v>-1.0</v>
      </c>
      <c r="J1423" s="2" t="b">
        <v>0</v>
      </c>
      <c r="K1423" s="2" t="b">
        <v>0</v>
      </c>
      <c r="L1423" s="2" t="b">
        <v>0</v>
      </c>
      <c r="M1423" s="2" t="b">
        <v>0</v>
      </c>
      <c r="N1423" s="2" t="s">
        <v>33</v>
      </c>
      <c r="O1423" s="2">
        <v>105.0</v>
      </c>
      <c r="P1423" s="2">
        <v>8.0</v>
      </c>
      <c r="Q1423" s="2">
        <v>23.0</v>
      </c>
      <c r="R1423" s="2">
        <v>0.0</v>
      </c>
      <c r="S1423" s="3" t="s">
        <v>5821</v>
      </c>
      <c r="T1423" s="2" t="s">
        <v>5822</v>
      </c>
      <c r="Y1423" s="4" t="str">
        <f>IFERROR(__xludf.DUMMYFUNCTION("""COMPUTED_VALUE"""),"6.9525673")</f>
        <v>6.9525673</v>
      </c>
      <c r="Z1423" s="4" t="str">
        <f>IFERROR(__xludf.DUMMYFUNCTION("""COMPUTED_VALUE"""),"3.9827405")</f>
        <v>3.9827405</v>
      </c>
      <c r="AA1423" s="4" t="str">
        <f t="shared" si="1"/>
        <v>Neighbor</v>
      </c>
      <c r="AC1423" s="4">
        <f>IFERROR(__xludf.DUMMYFUNCTION("IFERROR(ABS(O1423-AVERAGE(FILTER(O1423:O5491,AA1423:AA5491=""Neighbor""))) / STDEV(FILTER(O1423:O5491, AA1423:AA5491 =""Neighbor"")), """")"),1.0827456558560236)</f>
        <v>1.082745656</v>
      </c>
      <c r="AD1423" s="4">
        <f>IFERROR(__xludf.DUMMYFUNCTION("IFERROR(ABS(P1423-AVERAGE(FILTER(O1423:P5491,AA1423:AA5491=""Neighbor""))) / STDEV(FILTER(P1423:P5491, AA1423:AA5491 =""Neighbor"")), """")"),1.410378515747252)</f>
        <v>1.410378516</v>
      </c>
      <c r="AE1423" s="2">
        <f>IFERROR(__xludf.DUMMYFUNCTION("IFERROR(ABS(Q1423-AVERAGE(FILTER(Q1423:Q5491,AA1423:AA5491=""Neighbor""))) / STDEV(FILTER(Q1423:Q5491, AA1423:AA5491 =""Neighbor"")), """")"),0.08818547009553353)</f>
        <v>0.0881854701</v>
      </c>
      <c r="AF1423" s="2">
        <f>IFERROR(__xludf.DUMMYFUNCTION("IFERROR(ABS(R1423-AVERAGE(FILTER(R1423:R5491,AA1423:AA5491=""Neighbor""))) / STDEV(FILTER(R1423:R5491, AA1423:AA5491 =""Neighbor"")), """")"),0.3477125580852908)</f>
        <v>0.3477125581</v>
      </c>
    </row>
    <row r="1424">
      <c r="A1424" s="2" t="s">
        <v>28</v>
      </c>
      <c r="B1424" s="2" t="s">
        <v>5384</v>
      </c>
      <c r="C1424" s="2" t="s">
        <v>5774</v>
      </c>
      <c r="D1424" s="2" t="s">
        <v>5823</v>
      </c>
      <c r="E1424" s="2" t="s">
        <v>5824</v>
      </c>
      <c r="F1424" s="2">
        <v>137.0</v>
      </c>
      <c r="G1424" s="2">
        <v>530.0</v>
      </c>
      <c r="H1424" s="2" t="b">
        <v>1</v>
      </c>
      <c r="I1424" s="2">
        <v>-1.0</v>
      </c>
      <c r="J1424" s="2" t="b">
        <v>0</v>
      </c>
      <c r="K1424" s="2" t="b">
        <v>0</v>
      </c>
      <c r="L1424" s="2" t="b">
        <v>0</v>
      </c>
      <c r="M1424" s="2" t="b">
        <v>0</v>
      </c>
      <c r="N1424" s="2" t="s">
        <v>33</v>
      </c>
      <c r="O1424" s="2">
        <v>93.0</v>
      </c>
      <c r="P1424" s="2">
        <v>10.0</v>
      </c>
      <c r="Q1424" s="2">
        <v>29.0</v>
      </c>
      <c r="R1424" s="2">
        <v>0.0</v>
      </c>
      <c r="S1424" s="3" t="s">
        <v>5825</v>
      </c>
      <c r="T1424" s="2" t="s">
        <v>5826</v>
      </c>
      <c r="Y1424" s="4" t="str">
        <f>IFERROR(__xludf.DUMMYFUNCTION("""COMPUTED_VALUE"""),"6.9525673")</f>
        <v>6.9525673</v>
      </c>
      <c r="Z1424" s="4" t="str">
        <f>IFERROR(__xludf.DUMMYFUNCTION("""COMPUTED_VALUE"""),"3.9827405")</f>
        <v>3.9827405</v>
      </c>
      <c r="AA1424" s="4" t="str">
        <f t="shared" si="1"/>
        <v>Neighbor</v>
      </c>
      <c r="AC1424" s="4">
        <f>IFERROR(__xludf.DUMMYFUNCTION("IFERROR(ABS(O1424-AVERAGE(FILTER(O1424:O5492,AA1424:AA5492=""Neighbor""))) / STDEV(FILTER(O1424:O5492, AA1424:AA5492 =""Neighbor"")), """")"),0.7879651959006233)</f>
        <v>0.7879651959</v>
      </c>
      <c r="AD1424" s="4">
        <f>IFERROR(__xludf.DUMMYFUNCTION("IFERROR(ABS(P1424-AVERAGE(FILTER(O1424:P5492,AA1424:AA5492=""Neighbor""))) / STDEV(FILTER(P1424:P5492, AA1424:AA5492 =""Neighbor"")), """")"),1.3166499477919709)</f>
        <v>1.316649948</v>
      </c>
      <c r="AE1424" s="2">
        <f>IFERROR(__xludf.DUMMYFUNCTION("IFERROR(ABS(Q1424-AVERAGE(FILTER(Q1424:Q5492,AA1424:AA5492=""Neighbor""))) / STDEV(FILTER(Q1424:Q5492, AA1424:AA5492 =""Neighbor"")), """")"),0.1492194931064999)</f>
        <v>0.1492194931</v>
      </c>
      <c r="AF1424" s="2">
        <f>IFERROR(__xludf.DUMMYFUNCTION("IFERROR(ABS(R1424-AVERAGE(FILTER(R1424:R5492,AA1424:AA5492=""Neighbor""))) / STDEV(FILTER(R1424:R5492, AA1424:AA5492 =""Neighbor"")), """")"),0.3478890852275573)</f>
        <v>0.3478890852</v>
      </c>
    </row>
    <row r="1425">
      <c r="A1425" s="2" t="s">
        <v>28</v>
      </c>
      <c r="B1425" s="2" t="s">
        <v>5384</v>
      </c>
      <c r="C1425" s="2" t="s">
        <v>5774</v>
      </c>
      <c r="D1425" s="2" t="s">
        <v>5827</v>
      </c>
      <c r="E1425" s="2" t="s">
        <v>5828</v>
      </c>
      <c r="F1425" s="2">
        <v>187.0</v>
      </c>
      <c r="G1425" s="2">
        <v>699.0</v>
      </c>
      <c r="H1425" s="2" t="b">
        <v>1</v>
      </c>
      <c r="I1425" s="2">
        <v>-1.0</v>
      </c>
      <c r="J1425" s="2" t="b">
        <v>0</v>
      </c>
      <c r="K1425" s="2" t="b">
        <v>1</v>
      </c>
      <c r="L1425" s="2" t="b">
        <v>0</v>
      </c>
      <c r="M1425" s="2" t="b">
        <v>0</v>
      </c>
      <c r="N1425" s="2" t="s">
        <v>33</v>
      </c>
      <c r="O1425" s="2">
        <v>0.0</v>
      </c>
      <c r="P1425" s="2">
        <v>0.0</v>
      </c>
      <c r="Q1425" s="2">
        <v>0.0</v>
      </c>
      <c r="R1425" s="2">
        <v>0.0</v>
      </c>
      <c r="S1425" s="3" t="s">
        <v>5829</v>
      </c>
      <c r="T1425" s="2" t="s">
        <v>5830</v>
      </c>
      <c r="Y1425" s="4" t="str">
        <f>IFERROR(__xludf.DUMMYFUNCTION("""COMPUTED_VALUE"""),"6.9525673")</f>
        <v>6.9525673</v>
      </c>
      <c r="Z1425" s="4" t="str">
        <f>IFERROR(__xludf.DUMMYFUNCTION("""COMPUTED_VALUE"""),"3.9827405")</f>
        <v>3.9827405</v>
      </c>
      <c r="AA1425" s="4" t="str">
        <f t="shared" si="1"/>
        <v>Neighbor</v>
      </c>
      <c r="AC1425" s="4">
        <f>IFERROR(__xludf.DUMMYFUNCTION("IFERROR(ABS(O1425-AVERAGE(FILTER(O1425:O5493,AA1425:AA5493=""Neighbor""))) / STDEV(FILTER(O1425:O5493, AA1425:AA5493 =""Neighbor"")), """")"),1.5038783786811627)</f>
        <v>1.503878379</v>
      </c>
      <c r="AD1425" s="4">
        <f>IFERROR(__xludf.DUMMYFUNCTION("IFERROR(ABS(P1425-AVERAGE(FILTER(O1425:P5493,AA1425:AA5493=""Neighbor""))) / STDEV(FILTER(P1425:P5493, AA1425:AA5493 =""Neighbor"")), """")"),1.7774658191471349)</f>
        <v>1.777465819</v>
      </c>
      <c r="AE1425" s="2">
        <f>IFERROR(__xludf.DUMMYFUNCTION("IFERROR(ABS(Q1425-AVERAGE(FILTER(Q1425:Q5493,AA1425:AA5493=""Neighbor""))) / STDEV(FILTER(Q1425:Q5493, AA1425:AA5493 =""Neighbor"")), """")"),0.9978539602738896)</f>
        <v>0.9978539603</v>
      </c>
      <c r="AF1425" s="2">
        <f>IFERROR(__xludf.DUMMYFUNCTION("IFERROR(ABS(R1425-AVERAGE(FILTER(R1425:R5493,AA1425:AA5493=""Neighbor""))) / STDEV(FILTER(R1425:R5493, AA1425:AA5493 =""Neighbor"")), """")"),0.3480658815329015)</f>
        <v>0.3480658815</v>
      </c>
    </row>
    <row r="1426">
      <c r="A1426" s="2" t="s">
        <v>28</v>
      </c>
      <c r="B1426" s="2" t="s">
        <v>5384</v>
      </c>
      <c r="C1426" s="2" t="s">
        <v>5774</v>
      </c>
      <c r="D1426" s="2" t="s">
        <v>5831</v>
      </c>
      <c r="E1426" s="2" t="s">
        <v>5832</v>
      </c>
      <c r="F1426" s="2">
        <v>196.0</v>
      </c>
      <c r="G1426" s="2">
        <v>750.0</v>
      </c>
      <c r="H1426" s="2" t="b">
        <v>1</v>
      </c>
      <c r="I1426" s="2">
        <v>-1.0</v>
      </c>
      <c r="J1426" s="2" t="b">
        <v>0</v>
      </c>
      <c r="K1426" s="2" t="b">
        <v>0</v>
      </c>
      <c r="L1426" s="2" t="b">
        <v>0</v>
      </c>
      <c r="M1426" s="2" t="b">
        <v>0</v>
      </c>
      <c r="N1426" s="2" t="s">
        <v>33</v>
      </c>
      <c r="O1426" s="2">
        <v>145.0</v>
      </c>
      <c r="P1426" s="2">
        <v>13.0</v>
      </c>
      <c r="Q1426" s="2">
        <v>24.0</v>
      </c>
      <c r="R1426" s="2">
        <v>0.0</v>
      </c>
      <c r="S1426" s="3" t="s">
        <v>5833</v>
      </c>
      <c r="T1426" s="2" t="s">
        <v>5834</v>
      </c>
      <c r="Y1426" s="4" t="str">
        <f>IFERROR(__xludf.DUMMYFUNCTION("""COMPUTED_VALUE"""),"6.9525673")</f>
        <v>6.9525673</v>
      </c>
      <c r="Z1426" s="4" t="str">
        <f>IFERROR(__xludf.DUMMYFUNCTION("""COMPUTED_VALUE"""),"3.9827405")</f>
        <v>3.9827405</v>
      </c>
      <c r="AA1426" s="4" t="str">
        <f t="shared" si="1"/>
        <v>Neighbor</v>
      </c>
      <c r="AC1426" s="4">
        <f>IFERROR(__xludf.DUMMYFUNCTION("IFERROR(ABS(O1426-AVERAGE(FILTER(O1426:O5494,AA1426:AA5494=""Neighbor""))) / STDEV(FILTER(O1426:O5494, AA1426:AA5494 =""Neighbor"")), """")"),2.0701531565359246)</f>
        <v>2.070153157</v>
      </c>
      <c r="AD1426" s="4">
        <f>IFERROR(__xludf.DUMMYFUNCTION("IFERROR(ABS(P1426-AVERAGE(FILTER(O1426:P5494,AA1426:AA5494=""Neighbor""))) / STDEV(FILTER(P1426:P5494, AA1426:AA5494 =""Neighbor"")), """")"),1.1783481127900073)</f>
        <v>1.178348113</v>
      </c>
      <c r="AE1426" s="2">
        <f>IFERROR(__xludf.DUMMYFUNCTION("IFERROR(ABS(Q1426-AVERAGE(FILTER(Q1426:Q5494,AA1426:AA5494=""Neighbor""))) / STDEV(FILTER(Q1426:Q5494, AA1426:AA5494 =""Neighbor"")), """")"),0.049400815429287405)</f>
        <v>0.04940081543</v>
      </c>
      <c r="AF1426" s="2">
        <f>IFERROR(__xludf.DUMMYFUNCTION("IFERROR(ABS(R1426-AVERAGE(FILTER(R1426:R5494,AA1426:AA5494=""Neighbor""))) / STDEV(FILTER(R1426:R5494, AA1426:AA5494 =""Neighbor"")), """")"),0.3482429476861081)</f>
        <v>0.3482429477</v>
      </c>
    </row>
    <row r="1427">
      <c r="A1427" s="2" t="s">
        <v>28</v>
      </c>
      <c r="B1427" s="2" t="s">
        <v>5384</v>
      </c>
      <c r="C1427" s="2" t="s">
        <v>5774</v>
      </c>
      <c r="D1427" s="2" t="s">
        <v>5835</v>
      </c>
      <c r="E1427" s="2" t="s">
        <v>5836</v>
      </c>
      <c r="F1427" s="2">
        <v>148.0</v>
      </c>
      <c r="G1427" s="2">
        <v>601.0</v>
      </c>
      <c r="H1427" s="2" t="b">
        <v>1</v>
      </c>
      <c r="I1427" s="2">
        <v>-1.0</v>
      </c>
      <c r="J1427" s="2" t="b">
        <v>0</v>
      </c>
      <c r="K1427" s="2" t="b">
        <v>0</v>
      </c>
      <c r="L1427" s="2" t="b">
        <v>0</v>
      </c>
      <c r="M1427" s="2" t="b">
        <v>0</v>
      </c>
      <c r="N1427" s="2" t="s">
        <v>33</v>
      </c>
      <c r="O1427" s="2">
        <v>107.0</v>
      </c>
      <c r="P1427" s="2">
        <v>13.0</v>
      </c>
      <c r="Q1427" s="2">
        <v>17.0</v>
      </c>
      <c r="R1427" s="2">
        <v>1.0</v>
      </c>
      <c r="S1427" s="3" t="s">
        <v>5837</v>
      </c>
      <c r="T1427" s="2" t="s">
        <v>5838</v>
      </c>
      <c r="Y1427" s="4" t="str">
        <f>IFERROR(__xludf.DUMMYFUNCTION("""COMPUTED_VALUE"""),"6.9525673")</f>
        <v>6.9525673</v>
      </c>
      <c r="Z1427" s="4" t="str">
        <f>IFERROR(__xludf.DUMMYFUNCTION("""COMPUTED_VALUE"""),"3.9827405")</f>
        <v>3.9827405</v>
      </c>
      <c r="AA1427" s="4" t="str">
        <f t="shared" si="1"/>
        <v>Neighbor</v>
      </c>
      <c r="AC1427" s="4">
        <f>IFERROR(__xludf.DUMMYFUNCTION("IFERROR(ABS(O1427-AVERAGE(FILTER(O1427:O5495,AA1427:AA5495=""Neighbor""))) / STDEV(FILTER(O1427:O5495, AA1427:AA5495 =""Neighbor"")), """")"),1.136509738648701)</f>
        <v>1.136509739</v>
      </c>
      <c r="AD1427" s="4">
        <f>IFERROR(__xludf.DUMMYFUNCTION("IFERROR(ABS(P1427-AVERAGE(FILTER(O1427:P5495,AA1427:AA5495=""Neighbor""))) / STDEV(FILTER(P1427:P5495, AA1427:AA5495 =""Neighbor"")), """")"),1.1761235065320663)</f>
        <v>1.176123507</v>
      </c>
      <c r="AE1427" s="2">
        <f>IFERROR(__xludf.DUMMYFUNCTION("IFERROR(ABS(Q1427-AVERAGE(FILTER(Q1427:Q5495,AA1427:AA5495=""Neighbor""))) / STDEV(FILTER(Q1427:Q5495, AA1427:AA5495 =""Neighbor"")), """")"),0.32619377799478755)</f>
        <v>0.326193778</v>
      </c>
      <c r="AF1427" s="2">
        <f>IFERROR(__xludf.DUMMYFUNCTION("IFERROR(ABS(R1427-AVERAGE(FILTER(R1427:R5495,AA1427:AA5495=""Neighbor""))) / STDEV(FILTER(R1427:R5495, AA1427:AA5495 =""Neighbor"")), """")"),0.8418353454760433)</f>
        <v>0.8418353455</v>
      </c>
    </row>
    <row r="1428">
      <c r="A1428" s="2" t="s">
        <v>28</v>
      </c>
      <c r="B1428" s="2" t="s">
        <v>5384</v>
      </c>
      <c r="C1428" s="2" t="s">
        <v>5774</v>
      </c>
      <c r="D1428" s="2" t="s">
        <v>5839</v>
      </c>
      <c r="E1428" s="2" t="s">
        <v>5840</v>
      </c>
      <c r="F1428" s="2">
        <v>166.0</v>
      </c>
      <c r="G1428" s="2">
        <v>626.0</v>
      </c>
      <c r="H1428" s="2" t="b">
        <v>1</v>
      </c>
      <c r="I1428" s="2">
        <v>-1.0</v>
      </c>
      <c r="J1428" s="2" t="b">
        <v>0</v>
      </c>
      <c r="K1428" s="2" t="b">
        <v>0</v>
      </c>
      <c r="L1428" s="2" t="b">
        <v>0</v>
      </c>
      <c r="M1428" s="2" t="b">
        <v>0</v>
      </c>
      <c r="N1428" s="2" t="s">
        <v>33</v>
      </c>
      <c r="O1428" s="2">
        <v>137.0</v>
      </c>
      <c r="P1428" s="2">
        <v>9.0</v>
      </c>
      <c r="Q1428" s="2">
        <v>12.0</v>
      </c>
      <c r="R1428" s="2">
        <v>0.0</v>
      </c>
      <c r="S1428" s="3" t="s">
        <v>5841</v>
      </c>
      <c r="T1428" s="2" t="s">
        <v>5842</v>
      </c>
      <c r="Y1428" s="4" t="str">
        <f>IFERROR(__xludf.DUMMYFUNCTION("""COMPUTED_VALUE"""),"6.9525673")</f>
        <v>6.9525673</v>
      </c>
      <c r="Z1428" s="4" t="str">
        <f>IFERROR(__xludf.DUMMYFUNCTION("""COMPUTED_VALUE"""),"3.9827405")</f>
        <v>3.9827405</v>
      </c>
      <c r="AA1428" s="4" t="str">
        <f t="shared" si="1"/>
        <v>Neighbor</v>
      </c>
      <c r="AC1428" s="4">
        <f>IFERROR(__xludf.DUMMYFUNCTION("IFERROR(ABS(O1428-AVERAGE(FILTER(O1428:O5496,AA1428:AA5496=""Neighbor""))) / STDEV(FILTER(O1428:O5496, AA1428:AA5496 =""Neighbor"")), """")"),1.8788206869805228)</f>
        <v>1.878820687</v>
      </c>
      <c r="AD1428" s="4">
        <f>IFERROR(__xludf.DUMMYFUNCTION("IFERROR(ABS(P1428-AVERAGE(FILTER(O1428:P5496,AA1428:AA5496=""Neighbor""))) / STDEV(FILTER(P1428:P5496, AA1428:AA5496 =""Neighbor"")), """")"),1.3592569991396173)</f>
        <v>1.359256999</v>
      </c>
      <c r="AE1428" s="2">
        <f>IFERROR(__xludf.DUMMYFUNCTION("IFERROR(ABS(Q1428-AVERAGE(FILTER(Q1428:Q5496,AA1428:AA5496=""Neighbor""))) / STDEV(FILTER(Q1428:Q5496, AA1428:AA5496 =""Neighbor"")), """")"),0.5239706384169421)</f>
        <v>0.5239706384</v>
      </c>
      <c r="AF1428" s="2">
        <f>IFERROR(__xludf.DUMMYFUNCTION("IFERROR(ABS(R1428-AVERAGE(FILTER(R1428:R5496,AA1428:AA5496=""Neighbor""))) / STDEV(FILTER(R1428:R5496, AA1428:AA5496 =""Neighbor"")), """")"),0.34760827583827614)</f>
        <v>0.3476082758</v>
      </c>
    </row>
    <row r="1429">
      <c r="A1429" s="2" t="s">
        <v>28</v>
      </c>
      <c r="B1429" s="2" t="s">
        <v>5384</v>
      </c>
      <c r="C1429" s="2" t="s">
        <v>5774</v>
      </c>
      <c r="D1429" s="2" t="s">
        <v>5843</v>
      </c>
      <c r="E1429" s="2" t="s">
        <v>5844</v>
      </c>
      <c r="F1429" s="2">
        <v>116.0</v>
      </c>
      <c r="G1429" s="2">
        <v>526.0</v>
      </c>
      <c r="H1429" s="2" t="b">
        <v>1</v>
      </c>
      <c r="I1429" s="2">
        <v>-1.0</v>
      </c>
      <c r="J1429" s="2" t="b">
        <v>0</v>
      </c>
      <c r="K1429" s="2" t="b">
        <v>0</v>
      </c>
      <c r="L1429" s="2" t="b">
        <v>0</v>
      </c>
      <c r="M1429" s="2" t="b">
        <v>0</v>
      </c>
      <c r="N1429" s="2" t="s">
        <v>33</v>
      </c>
      <c r="O1429" s="2">
        <v>85.0</v>
      </c>
      <c r="P1429" s="2">
        <v>10.0</v>
      </c>
      <c r="Q1429" s="2">
        <v>14.0</v>
      </c>
      <c r="R1429" s="2">
        <v>0.0</v>
      </c>
      <c r="S1429" s="3" t="s">
        <v>5845</v>
      </c>
      <c r="T1429" s="2" t="s">
        <v>5846</v>
      </c>
      <c r="Y1429" s="4" t="str">
        <f>IFERROR(__xludf.DUMMYFUNCTION("""COMPUTED_VALUE"""),"6.9525673")</f>
        <v>6.9525673</v>
      </c>
      <c r="Z1429" s="4" t="str">
        <f>IFERROR(__xludf.DUMMYFUNCTION("""COMPUTED_VALUE"""),"3.9827405")</f>
        <v>3.9827405</v>
      </c>
      <c r="AA1429" s="4" t="str">
        <f t="shared" si="1"/>
        <v>Neighbor</v>
      </c>
      <c r="AC1429" s="4">
        <f>IFERROR(__xludf.DUMMYFUNCTION("IFERROR(ABS(O1429-AVERAGE(FILTER(O1429:O5497,AA1429:AA5497=""Neighbor""))) / STDEV(FILTER(O1429:O5497, AA1429:AA5497 =""Neighbor"")), """")"),0.5966042126856173)</f>
        <v>0.5966042127</v>
      </c>
      <c r="AD1429" s="4">
        <f>IFERROR(__xludf.DUMMYFUNCTION("IFERROR(ABS(P1429-AVERAGE(FILTER(O1429:P5497,AA1429:AA5497=""Neighbor""))) / STDEV(FILTER(P1429:P5497, AA1429:AA5497 =""Neighbor"")), """")"),1.3111293460137932)</f>
        <v>1.311129346</v>
      </c>
      <c r="AE1429" s="2">
        <f>IFERROR(__xludf.DUMMYFUNCTION("IFERROR(ABS(Q1429-AVERAGE(FILTER(Q1429:Q5497,AA1429:AA5497=""Neighbor""))) / STDEV(FILTER(Q1429:Q5497, AA1429:AA5497 =""Neighbor"")), """")"),0.4452555681017652)</f>
        <v>0.4452555681</v>
      </c>
      <c r="AF1429" s="2">
        <f>IFERROR(__xludf.DUMMYFUNCTION("IFERROR(ABS(R1429-AVERAGE(FILTER(R1429:R5497,AA1429:AA5497=""Neighbor""))) / STDEV(FILTER(R1429:R5497, AA1429:AA5497 =""Neighbor"")), """")"),0.347785541468108)</f>
        <v>0.3477855415</v>
      </c>
    </row>
    <row r="1430">
      <c r="A1430" s="2" t="s">
        <v>28</v>
      </c>
      <c r="B1430" s="2" t="s">
        <v>5384</v>
      </c>
      <c r="C1430" s="2" t="s">
        <v>5774</v>
      </c>
      <c r="D1430" s="2" t="s">
        <v>5847</v>
      </c>
      <c r="E1430" s="2" t="s">
        <v>5848</v>
      </c>
      <c r="F1430" s="2">
        <v>187.0</v>
      </c>
      <c r="G1430" s="2">
        <v>860.0</v>
      </c>
      <c r="H1430" s="2" t="b">
        <v>1</v>
      </c>
      <c r="I1430" s="2">
        <v>-1.0</v>
      </c>
      <c r="J1430" s="2" t="b">
        <v>0</v>
      </c>
      <c r="K1430" s="2" t="b">
        <v>0</v>
      </c>
      <c r="L1430" s="2" t="b">
        <v>0</v>
      </c>
      <c r="M1430" s="2" t="b">
        <v>0</v>
      </c>
      <c r="N1430" s="2" t="s">
        <v>33</v>
      </c>
      <c r="O1430" s="2">
        <v>134.0</v>
      </c>
      <c r="P1430" s="2">
        <v>17.0</v>
      </c>
      <c r="Q1430" s="2">
        <v>19.0</v>
      </c>
      <c r="R1430" s="2">
        <v>0.0</v>
      </c>
      <c r="S1430" s="3" t="s">
        <v>5849</v>
      </c>
      <c r="T1430" s="2" t="s">
        <v>5850</v>
      </c>
      <c r="Y1430" s="4" t="str">
        <f>IFERROR(__xludf.DUMMYFUNCTION("""COMPUTED_VALUE"""),"6.9525673")</f>
        <v>6.9525673</v>
      </c>
      <c r="Z1430" s="4" t="str">
        <f>IFERROR(__xludf.DUMMYFUNCTION("""COMPUTED_VALUE"""),"3.9827405")</f>
        <v>3.9827405</v>
      </c>
      <c r="AA1430" s="4" t="str">
        <f t="shared" si="1"/>
        <v>Not Neighbor</v>
      </c>
      <c r="AC1430" s="4">
        <f>IFERROR(__xludf.DUMMYFUNCTION("IFERROR(ABS(O1430-AVERAGE(FILTER(O1430:O5498,AA1430:AA5498=""Neighbor""))) / STDEV(FILTER(O1430:O5498, AA1430:AA5498 =""Neighbor"")), """")"),1.808521417752434)</f>
        <v>1.808521418</v>
      </c>
      <c r="AD1430" s="4">
        <f>IFERROR(__xludf.DUMMYFUNCTION("IFERROR(ABS(P1430-AVERAGE(FILTER(O1430:P5498,AA1430:AA5498=""Neighbor""))) / STDEV(FILTER(P1430:P5498, AA1430:AA5498 =""Neighbor"")), """")"),0.9874797979468187)</f>
        <v>0.9874797979</v>
      </c>
      <c r="AE1430" s="2">
        <f>IFERROR(__xludf.DUMMYFUNCTION("IFERROR(ABS(Q1430-AVERAGE(FILTER(Q1430:Q5498,AA1430:AA5498=""Neighbor""))) / STDEV(FILTER(Q1430:Q5498, AA1430:AA5498 =""Neighbor"")), """")"),0.24802324815732202)</f>
        <v>0.2480232482</v>
      </c>
      <c r="AF1430" s="2">
        <f>IFERROR(__xludf.DUMMYFUNCTION("IFERROR(ABS(R1430-AVERAGE(FILTER(R1430:R5498,AA1430:AA5498=""Neighbor""))) / STDEV(FILTER(R1430:R5498, AA1430:AA5498 =""Neighbor"")), """")"),0.34796307860056525)</f>
        <v>0.3479630786</v>
      </c>
    </row>
    <row r="1431">
      <c r="A1431" s="2" t="s">
        <v>28</v>
      </c>
      <c r="B1431" s="2" t="s">
        <v>5384</v>
      </c>
      <c r="C1431" s="2" t="s">
        <v>5774</v>
      </c>
      <c r="D1431" s="2" t="s">
        <v>5851</v>
      </c>
      <c r="E1431" s="2" t="s">
        <v>5852</v>
      </c>
      <c r="F1431" s="2">
        <v>159.0</v>
      </c>
      <c r="G1431" s="2">
        <v>750.0</v>
      </c>
      <c r="H1431" s="2" t="b">
        <v>1</v>
      </c>
      <c r="I1431" s="2">
        <v>-1.0</v>
      </c>
      <c r="J1431" s="2" t="b">
        <v>0</v>
      </c>
      <c r="K1431" s="2" t="b">
        <v>0</v>
      </c>
      <c r="L1431" s="2" t="b">
        <v>0</v>
      </c>
      <c r="M1431" s="2" t="b">
        <v>0</v>
      </c>
      <c r="N1431" s="2" t="s">
        <v>33</v>
      </c>
      <c r="O1431" s="2">
        <v>92.0</v>
      </c>
      <c r="P1431" s="2">
        <v>29.0</v>
      </c>
      <c r="Q1431" s="2">
        <v>23.0</v>
      </c>
      <c r="R1431" s="2">
        <v>0.0</v>
      </c>
      <c r="S1431" s="3" t="s">
        <v>5853</v>
      </c>
      <c r="T1431" s="2" t="s">
        <v>5854</v>
      </c>
      <c r="Y1431" s="4" t="str">
        <f>IFERROR(__xludf.DUMMYFUNCTION("""COMPUTED_VALUE"""),"6.966844")</f>
        <v>6.966844</v>
      </c>
      <c r="Z1431" s="4" t="str">
        <f>IFERROR(__xludf.DUMMYFUNCTION("""COMPUTED_VALUE"""),"3.995192")</f>
        <v>3.995192</v>
      </c>
      <c r="AA1431" s="4" t="str">
        <f t="shared" si="1"/>
        <v>Not Neighbor</v>
      </c>
      <c r="AC1431" s="4">
        <f>IFERROR(__xludf.DUMMYFUNCTION("IFERROR(ABS(O1431-AVERAGE(FILTER(O1431:O5499,AA1431:AA5499=""Neighbor""))) / STDEV(FILTER(O1431:O5499, AA1431:AA5499 =""Neighbor"")), """")"),0.7700511501578025)</f>
        <v>0.7700511502</v>
      </c>
      <c r="AD1431" s="4">
        <f>IFERROR(__xludf.DUMMYFUNCTION("IFERROR(ABS(P1431-AVERAGE(FILTER(O1431:P5499,AA1431:AA5499=""Neighbor""))) / STDEV(FILTER(P1431:P5499, AA1431:AA5499 =""Neighbor"")), """")"),0.4342524046552529)</f>
        <v>0.4342524047</v>
      </c>
      <c r="AE1431" s="2">
        <f>IFERROR(__xludf.DUMMYFUNCTION("IFERROR(ABS(Q1431-AVERAGE(FILTER(Q1431:Q5499,AA1431:AA5499=""Neighbor""))) / STDEV(FILTER(Q1431:Q5499, AA1431:AA5499 =""Neighbor"")), """")"),0.0900429878997623)</f>
        <v>0.0900429879</v>
      </c>
      <c r="AF1431" s="2">
        <f>IFERROR(__xludf.DUMMYFUNCTION("IFERROR(ABS(R1431-AVERAGE(FILTER(R1431:R5499,AA1431:AA5499=""Neighbor""))) / STDEV(FILTER(R1431:R5499, AA1431:AA5499 =""Neighbor"")), """")"),0.34796307860056525)</f>
        <v>0.3479630786</v>
      </c>
    </row>
    <row r="1432">
      <c r="A1432" s="2" t="s">
        <v>28</v>
      </c>
      <c r="B1432" s="2" t="s">
        <v>5384</v>
      </c>
      <c r="C1432" s="2" t="s">
        <v>5774</v>
      </c>
      <c r="D1432" s="2" t="s">
        <v>5855</v>
      </c>
      <c r="E1432" s="2" t="s">
        <v>5856</v>
      </c>
      <c r="F1432" s="2">
        <v>218.0</v>
      </c>
      <c r="G1432" s="2">
        <v>849.0</v>
      </c>
      <c r="H1432" s="2" t="b">
        <v>1</v>
      </c>
      <c r="I1432" s="2">
        <v>-1.0</v>
      </c>
      <c r="J1432" s="2" t="b">
        <v>0</v>
      </c>
      <c r="K1432" s="2" t="b">
        <v>0</v>
      </c>
      <c r="L1432" s="2" t="b">
        <v>0</v>
      </c>
      <c r="M1432" s="2" t="b">
        <v>0</v>
      </c>
      <c r="N1432" s="2" t="s">
        <v>33</v>
      </c>
      <c r="O1432" s="2">
        <v>148.0</v>
      </c>
      <c r="P1432" s="2">
        <v>16.0</v>
      </c>
      <c r="Q1432" s="2">
        <v>38.0</v>
      </c>
      <c r="R1432" s="2">
        <v>0.0</v>
      </c>
      <c r="S1432" s="3" t="s">
        <v>5857</v>
      </c>
      <c r="T1432" s="2" t="s">
        <v>5858</v>
      </c>
      <c r="Y1432" s="4" t="str">
        <f>IFERROR(__xludf.DUMMYFUNCTION("""COMPUTED_VALUE"""),"6.9525673")</f>
        <v>6.9525673</v>
      </c>
      <c r="Z1432" s="4" t="str">
        <f>IFERROR(__xludf.DUMMYFUNCTION("""COMPUTED_VALUE"""),"3.9827405")</f>
        <v>3.9827405</v>
      </c>
      <c r="AA1432" s="4" t="str">
        <f t="shared" si="1"/>
        <v>Neighbor</v>
      </c>
      <c r="AC1432" s="4">
        <f>IFERROR(__xludf.DUMMYFUNCTION("IFERROR(ABS(O1432-AVERAGE(FILTER(O1432:O5500,AA1432:AA5500=""Neighbor""))) / STDEV(FILTER(O1432:O5500, AA1432:AA5500 =""Neighbor"")), """")"),2.1546781736173113)</f>
        <v>2.154678174</v>
      </c>
      <c r="AD1432" s="4">
        <f>IFERROR(__xludf.DUMMYFUNCTION("IFERROR(ABS(P1432-AVERAGE(FILTER(O1432:P5500,AA1432:AA5500=""Neighbor""))) / STDEV(FILTER(P1432:P5500, AA1432:AA5500 =""Neighbor"")), """")"),1.0335820807211158)</f>
        <v>1.033582081</v>
      </c>
      <c r="AE1432" s="2">
        <f>IFERROR(__xludf.DUMMYFUNCTION("IFERROR(ABS(Q1432-AVERAGE(FILTER(Q1432:Q5500,AA1432:AA5500=""Neighbor""))) / STDEV(FILTER(Q1432:Q5500, AA1432:AA5500 =""Neighbor"")), """")"),0.5023829880660866)</f>
        <v>0.5023829881</v>
      </c>
      <c r="AF1432" s="2">
        <f>IFERROR(__xludf.DUMMYFUNCTION("IFERROR(ABS(R1432-AVERAGE(FILTER(R1432:R5500,AA1432:AA5500=""Neighbor""))) / STDEV(FILTER(R1432:R5500, AA1432:AA5500 =""Neighbor"")), """")"),0.34796307860056525)</f>
        <v>0.3479630786</v>
      </c>
    </row>
    <row r="1433">
      <c r="A1433" s="2" t="s">
        <v>28</v>
      </c>
      <c r="B1433" s="2" t="s">
        <v>5384</v>
      </c>
      <c r="C1433" s="2" t="s">
        <v>5774</v>
      </c>
      <c r="D1433" s="2" t="s">
        <v>5859</v>
      </c>
      <c r="E1433" s="2" t="s">
        <v>5860</v>
      </c>
      <c r="F1433" s="2">
        <v>134.0</v>
      </c>
      <c r="G1433" s="2">
        <v>475.0</v>
      </c>
      <c r="H1433" s="2" t="b">
        <v>1</v>
      </c>
      <c r="I1433" s="2">
        <v>-1.0</v>
      </c>
      <c r="J1433" s="2" t="b">
        <v>0</v>
      </c>
      <c r="K1433" s="2" t="b">
        <v>0</v>
      </c>
      <c r="L1433" s="2" t="b">
        <v>0</v>
      </c>
      <c r="M1433" s="2" t="b">
        <v>0</v>
      </c>
      <c r="N1433" s="2" t="s">
        <v>33</v>
      </c>
      <c r="O1433" s="2">
        <v>83.0</v>
      </c>
      <c r="P1433" s="2">
        <v>2.0</v>
      </c>
      <c r="Q1433" s="2">
        <v>31.0</v>
      </c>
      <c r="R1433" s="2">
        <v>0.0</v>
      </c>
      <c r="S1433" s="3" t="s">
        <v>5861</v>
      </c>
      <c r="T1433" s="2" t="s">
        <v>5862</v>
      </c>
      <c r="Y1433" s="4" t="str">
        <f>IFERROR(__xludf.DUMMYFUNCTION("""COMPUTED_VALUE"""),"6.9525673")</f>
        <v>6.9525673</v>
      </c>
      <c r="Z1433" s="4" t="str">
        <f>IFERROR(__xludf.DUMMYFUNCTION("""COMPUTED_VALUE"""),"3.9827405")</f>
        <v>3.9827405</v>
      </c>
      <c r="AA1433" s="4" t="str">
        <f t="shared" si="1"/>
        <v>Neighbor</v>
      </c>
      <c r="AC1433" s="4">
        <f>IFERROR(__xludf.DUMMYFUNCTION("IFERROR(ABS(O1433-AVERAGE(FILTER(O1433:O5501,AA1433:AA5501=""Neighbor""))) / STDEV(FILTER(O1433:O5501, AA1433:AA5501 =""Neighbor"")), """")"),0.5504050749053285)</f>
        <v>0.5504050749</v>
      </c>
      <c r="AD1433" s="4">
        <f>IFERROR(__xludf.DUMMYFUNCTION("IFERROR(ABS(P1433-AVERAGE(FILTER(O1433:P5501,AA1433:AA5501=""Neighbor""))) / STDEV(FILTER(P1433:P5501, AA1433:AA5501 =""Neighbor"")), """")"),1.676415545174993)</f>
        <v>1.676415545</v>
      </c>
      <c r="AE1433" s="2">
        <f>IFERROR(__xludf.DUMMYFUNCTION("IFERROR(ABS(Q1433-AVERAGE(FILTER(Q1433:Q5501,AA1433:AA5501=""Neighbor""))) / STDEV(FILTER(Q1433:Q5501, AA1433:AA5501 =""Neighbor"")), """")"),0.22629869549741038)</f>
        <v>0.2262986955</v>
      </c>
      <c r="AF1433" s="2">
        <f>IFERROR(__xludf.DUMMYFUNCTION("IFERROR(ABS(R1433-AVERAGE(FILTER(R1433:R5501,AA1433:AA5501=""Neighbor""))) / STDEV(FILTER(R1433:R5501, AA1433:AA5501 =""Neighbor"")), """")"),0.3481408879294897)</f>
        <v>0.3481408879</v>
      </c>
    </row>
    <row r="1434">
      <c r="A1434" s="2" t="s">
        <v>28</v>
      </c>
      <c r="B1434" s="2" t="s">
        <v>5384</v>
      </c>
      <c r="C1434" s="2" t="s">
        <v>5774</v>
      </c>
      <c r="D1434" s="2" t="s">
        <v>5863</v>
      </c>
      <c r="E1434" s="2" t="s">
        <v>5864</v>
      </c>
      <c r="F1434" s="2">
        <v>123.0</v>
      </c>
      <c r="G1434" s="2">
        <v>573.0</v>
      </c>
      <c r="H1434" s="2" t="b">
        <v>1</v>
      </c>
      <c r="I1434" s="2">
        <v>-1.0</v>
      </c>
      <c r="J1434" s="2" t="b">
        <v>0</v>
      </c>
      <c r="K1434" s="2" t="b">
        <v>0</v>
      </c>
      <c r="L1434" s="2" t="b">
        <v>0</v>
      </c>
      <c r="M1434" s="2" t="b">
        <v>0</v>
      </c>
      <c r="N1434" s="2" t="s">
        <v>33</v>
      </c>
      <c r="O1434" s="2">
        <v>74.0</v>
      </c>
      <c r="P1434" s="2">
        <v>11.0</v>
      </c>
      <c r="Q1434" s="2">
        <v>31.0</v>
      </c>
      <c r="R1434" s="2">
        <v>0.0</v>
      </c>
      <c r="S1434" s="3" t="s">
        <v>5865</v>
      </c>
      <c r="T1434" s="2" t="s">
        <v>5866</v>
      </c>
      <c r="Y1434" s="4" t="str">
        <f>IFERROR(__xludf.DUMMYFUNCTION("""COMPUTED_VALUE"""),"6.9525673")</f>
        <v>6.9525673</v>
      </c>
      <c r="Z1434" s="4" t="str">
        <f>IFERROR(__xludf.DUMMYFUNCTION("""COMPUTED_VALUE"""),"3.9827405")</f>
        <v>3.9827405</v>
      </c>
      <c r="AA1434" s="4" t="str">
        <f t="shared" si="1"/>
        <v>Neighbor</v>
      </c>
      <c r="AC1434" s="4">
        <f>IFERROR(__xludf.DUMMYFUNCTION("IFERROR(ABS(O1434-AVERAGE(FILTER(O1434:O5502,AA1434:AA5502=""Neighbor""))) / STDEV(FILTER(O1434:O5502, AA1434:AA5502 =""Neighbor"")), """")"),0.3279024868161748)</f>
        <v>0.3279024868</v>
      </c>
      <c r="AD1434" s="4">
        <f>IFERROR(__xludf.DUMMYFUNCTION("IFERROR(ABS(P1434-AVERAGE(FILTER(O1434:P5502,AA1434:AA5502=""Neighbor""))) / STDEV(FILTER(P1434:P5502, AA1434:AA5502 =""Neighbor"")), """")"),1.2611740959836906)</f>
        <v>1.261174096</v>
      </c>
      <c r="AE1434" s="2">
        <f>IFERROR(__xludf.DUMMYFUNCTION("IFERROR(ABS(Q1434-AVERAGE(FILTER(Q1434:Q5502,AA1434:AA5502=""Neighbor""))) / STDEV(FILTER(Q1434:Q5502, AA1434:AA5502 =""Neighbor"")), """")"),0.22640720946062912)</f>
        <v>0.2264072095</v>
      </c>
      <c r="AF1434" s="2">
        <f>IFERROR(__xludf.DUMMYFUNCTION("IFERROR(ABS(R1434-AVERAGE(FILTER(R1434:R5502,AA1434:AA5502=""Neighbor""))) / STDEV(FILTER(R1434:R5502, AA1434:AA5502 =""Neighbor"")), """")"),0.34831897015120766)</f>
        <v>0.3483189702</v>
      </c>
    </row>
    <row r="1435">
      <c r="A1435" s="2" t="s">
        <v>28</v>
      </c>
      <c r="B1435" s="2" t="s">
        <v>5384</v>
      </c>
      <c r="C1435" s="2" t="s">
        <v>5774</v>
      </c>
      <c r="D1435" s="2" t="s">
        <v>5867</v>
      </c>
      <c r="E1435" s="2" t="s">
        <v>5868</v>
      </c>
      <c r="F1435" s="2">
        <v>125.0</v>
      </c>
      <c r="G1435" s="2">
        <v>669.0</v>
      </c>
      <c r="H1435" s="2" t="b">
        <v>1</v>
      </c>
      <c r="I1435" s="2">
        <v>-1.0</v>
      </c>
      <c r="J1435" s="2" t="b">
        <v>0</v>
      </c>
      <c r="K1435" s="2" t="b">
        <v>1</v>
      </c>
      <c r="L1435" s="2" t="b">
        <v>0</v>
      </c>
      <c r="M1435" s="2" t="b">
        <v>0</v>
      </c>
      <c r="N1435" s="2" t="s">
        <v>33</v>
      </c>
      <c r="O1435" s="2">
        <v>105.0</v>
      </c>
      <c r="P1435" s="2">
        <v>6.0</v>
      </c>
      <c r="Q1435" s="2">
        <v>11.0</v>
      </c>
      <c r="R1435" s="2">
        <v>0.0</v>
      </c>
      <c r="S1435" s="3" t="s">
        <v>5869</v>
      </c>
      <c r="T1435" s="2" t="s">
        <v>5870</v>
      </c>
      <c r="Y1435" s="4" t="str">
        <f>IFERROR(__xludf.DUMMYFUNCTION("""COMPUTED_VALUE"""),"6.9525673")</f>
        <v>6.9525673</v>
      </c>
      <c r="Z1435" s="4" t="str">
        <f>IFERROR(__xludf.DUMMYFUNCTION("""COMPUTED_VALUE"""),"3.9827405")</f>
        <v>3.9827405</v>
      </c>
      <c r="AA1435" s="4" t="str">
        <f t="shared" si="1"/>
        <v>Neighbor</v>
      </c>
      <c r="AC1435" s="4">
        <f>IFERROR(__xludf.DUMMYFUNCTION("IFERROR(ABS(O1435-AVERAGE(FILTER(O1435:O5503,AA1435:AA5503=""Neighbor""))) / STDEV(FILTER(O1435:O5503, AA1435:AA5503 =""Neighbor"")), """")"),1.0952803474360786)</f>
        <v>1.095280347</v>
      </c>
      <c r="AD1435" s="4">
        <f>IFERROR(__xludf.DUMMYFUNCTION("IFERROR(ABS(P1435-AVERAGE(FILTER(O1435:P5503,AA1435:AA5503=""Neighbor""))) / STDEV(FILTER(P1435:P5503, AA1435:AA5503 =""Neighbor"")), """")"),1.4906994916822687)</f>
        <v>1.490699492</v>
      </c>
      <c r="AE1435" s="2">
        <f>IFERROR(__xludf.DUMMYFUNCTION("IFERROR(ABS(Q1435-AVERAGE(FILTER(Q1435:Q5503,AA1435:AA5503=""Neighbor""))) / STDEV(FILTER(Q1435:Q5503, AA1435:AA5503 =""Neighbor"")), """")"),0.5624315013257962)</f>
        <v>0.5624315013</v>
      </c>
      <c r="AF1435" s="2">
        <f>IFERROR(__xludf.DUMMYFUNCTION("IFERROR(ABS(R1435-AVERAGE(FILTER(R1435:R5503,AA1435:AA5503=""Neighbor""))) / STDEV(FILTER(R1435:R5503, AA1435:AA5503 =""Neighbor"")), """")"),0.3484973259645426)</f>
        <v>0.348497326</v>
      </c>
    </row>
    <row r="1436">
      <c r="A1436" s="2" t="s">
        <v>28</v>
      </c>
      <c r="B1436" s="2" t="s">
        <v>5384</v>
      </c>
      <c r="C1436" s="2" t="s">
        <v>5774</v>
      </c>
      <c r="D1436" s="2" t="s">
        <v>5871</v>
      </c>
      <c r="E1436" s="2" t="s">
        <v>5872</v>
      </c>
      <c r="F1436" s="2">
        <v>108.0</v>
      </c>
      <c r="G1436" s="2">
        <v>570.0</v>
      </c>
      <c r="H1436" s="2" t="b">
        <v>1</v>
      </c>
      <c r="I1436" s="2">
        <v>-1.0</v>
      </c>
      <c r="J1436" s="2" t="b">
        <v>0</v>
      </c>
      <c r="K1436" s="2" t="b">
        <v>0</v>
      </c>
      <c r="L1436" s="2" t="b">
        <v>0</v>
      </c>
      <c r="M1436" s="2" t="b">
        <v>0</v>
      </c>
      <c r="N1436" s="2" t="s">
        <v>33</v>
      </c>
      <c r="O1436" s="2">
        <v>70.0</v>
      </c>
      <c r="P1436" s="2">
        <v>0.0</v>
      </c>
      <c r="Q1436" s="2">
        <v>29.0</v>
      </c>
      <c r="R1436" s="2">
        <v>0.0</v>
      </c>
      <c r="S1436" s="3" t="s">
        <v>5873</v>
      </c>
      <c r="T1436" s="2" t="s">
        <v>5874</v>
      </c>
      <c r="Y1436" s="4" t="str">
        <f>IFERROR(__xludf.DUMMYFUNCTION("""COMPUTED_VALUE"""),"6.9525673")</f>
        <v>6.9525673</v>
      </c>
      <c r="Z1436" s="4" t="str">
        <f>IFERROR(__xludf.DUMMYFUNCTION("""COMPUTED_VALUE"""),"3.9827405")</f>
        <v>3.9827405</v>
      </c>
      <c r="AA1436" s="4" t="str">
        <f t="shared" si="1"/>
        <v>Not Neighbor</v>
      </c>
      <c r="AC1436" s="4">
        <f>IFERROR(__xludf.DUMMYFUNCTION("IFERROR(ABS(O1436-AVERAGE(FILTER(O1436:O5504,AA1436:AA5504=""Neighbor""))) / STDEV(FILTER(O1436:O5504, AA1436:AA5504 =""Neighbor"")), """")"),0.23009645142820948)</f>
        <v>0.2300964514</v>
      </c>
      <c r="AD1436" s="4">
        <f>IFERROR(__xludf.DUMMYFUNCTION("IFERROR(ABS(P1436-AVERAGE(FILTER(O1436:P5504,AA1436:AA5504=""Neighbor""))) / STDEV(FILTER(P1436:P5504, AA1436:AA5504 =""Neighbor"")), """")"),1.7656351220215774)</f>
        <v>1.765635122</v>
      </c>
      <c r="AE1436" s="2">
        <f>IFERROR(__xludf.DUMMYFUNCTION("IFERROR(ABS(Q1436-AVERAGE(FILTER(Q1436:Q5504,AA1436:AA5504=""Neighbor""))) / STDEV(FILTER(Q1436:Q5504, AA1436:AA5504 =""Neighbor"")), """")"),0.1470605570690114)</f>
        <v>0.1470605571</v>
      </c>
      <c r="AF1436" s="2">
        <f>IFERROR(__xludf.DUMMYFUNCTION("IFERROR(ABS(R1436-AVERAGE(FILTER(R1436:R5504,AA1436:AA5504=""Neighbor""))) / STDEV(FILTER(R1436:R5504, AA1436:AA5504 =""Neighbor"")), """")"),0.34867595607082524)</f>
        <v>0.3486759561</v>
      </c>
    </row>
    <row r="1437">
      <c r="A1437" s="2" t="s">
        <v>28</v>
      </c>
      <c r="B1437" s="2" t="s">
        <v>5384</v>
      </c>
      <c r="C1437" s="2" t="s">
        <v>5875</v>
      </c>
      <c r="D1437" s="2" t="s">
        <v>5876</v>
      </c>
      <c r="E1437" s="2" t="s">
        <v>5877</v>
      </c>
      <c r="F1437" s="2">
        <v>188.0</v>
      </c>
      <c r="G1437" s="2">
        <v>750.0</v>
      </c>
      <c r="H1437" s="2" t="b">
        <v>1</v>
      </c>
      <c r="I1437" s="2">
        <v>-1.0</v>
      </c>
      <c r="J1437" s="2" t="b">
        <v>0</v>
      </c>
      <c r="K1437" s="2" t="b">
        <v>0</v>
      </c>
      <c r="L1437" s="2" t="b">
        <v>0</v>
      </c>
      <c r="M1437" s="2" t="b">
        <v>0</v>
      </c>
      <c r="N1437" s="2" t="s">
        <v>33</v>
      </c>
      <c r="O1437" s="2">
        <v>115.0</v>
      </c>
      <c r="P1437" s="2">
        <v>27.0</v>
      </c>
      <c r="Q1437" s="2">
        <v>40.0</v>
      </c>
      <c r="R1437" s="2">
        <v>1.0</v>
      </c>
      <c r="S1437" s="3" t="s">
        <v>5878</v>
      </c>
      <c r="T1437" s="2" t="s">
        <v>5879</v>
      </c>
      <c r="Y1437" s="4" t="str">
        <f>IFERROR(__xludf.DUMMYFUNCTION("""COMPUTED_VALUE"""),"6.9528224")</f>
        <v>6.9528224</v>
      </c>
      <c r="Z1437" s="4" t="str">
        <f>IFERROR(__xludf.DUMMYFUNCTION("""COMPUTED_VALUE"""),"3.9521382")</f>
        <v>3.9521382</v>
      </c>
      <c r="AA1437" s="4" t="str">
        <f t="shared" si="1"/>
        <v>Neighbor</v>
      </c>
      <c r="AC1437" s="4">
        <f>IFERROR(__xludf.DUMMYFUNCTION("IFERROR(ABS(O1437-AVERAGE(FILTER(O1437:O5505,AA1437:AA5505=""Neighbor""))) / STDEV(FILTER(O1437:O5505, AA1437:AA5505 =""Neighbor"")), """")"),1.3438937118845116)</f>
        <v>1.343893712</v>
      </c>
      <c r="AD1437" s="4">
        <f>IFERROR(__xludf.DUMMYFUNCTION("IFERROR(ABS(P1437-AVERAGE(FILTER(O1437:P5505,AA1437:AA5505=""Neighbor""))) / STDEV(FILTER(P1437:P5505, AA1437:AA5505 =""Neighbor"")), """")"),0.5227604076971825)</f>
        <v>0.5227604077</v>
      </c>
      <c r="AE1437" s="2">
        <f>IFERROR(__xludf.DUMMYFUNCTION("IFERROR(ABS(Q1437-AVERAGE(FILTER(Q1437:Q5505,AA1437:AA5505=""Neighbor""))) / STDEV(FILTER(Q1437:Q5505, AA1437:AA5505 =""Neighbor"")), """")"),0.5808459048709556)</f>
        <v>0.5808459049</v>
      </c>
      <c r="AF1437" s="2">
        <f>IFERROR(__xludf.DUMMYFUNCTION("IFERROR(ABS(R1437-AVERAGE(FILTER(R1437:R5505,AA1437:AA5505=""Neighbor""))) / STDEV(FILTER(R1437:R5505, AA1437:AA5505 =""Neighbor"")), """")"),0.8385602432606762)</f>
        <v>0.8385602433</v>
      </c>
    </row>
    <row r="1438">
      <c r="A1438" s="2" t="s">
        <v>28</v>
      </c>
      <c r="B1438" s="2" t="s">
        <v>5384</v>
      </c>
      <c r="C1438" s="2" t="s">
        <v>5875</v>
      </c>
      <c r="D1438" s="2" t="s">
        <v>5880</v>
      </c>
      <c r="E1438" s="2" t="s">
        <v>5881</v>
      </c>
      <c r="F1438" s="2">
        <v>161.0</v>
      </c>
      <c r="G1438" s="2">
        <v>469.0</v>
      </c>
      <c r="H1438" s="2" t="b">
        <v>1</v>
      </c>
      <c r="I1438" s="2">
        <v>-1.0</v>
      </c>
      <c r="J1438" s="2" t="b">
        <v>0</v>
      </c>
      <c r="K1438" s="2" t="b">
        <v>0</v>
      </c>
      <c r="L1438" s="2" t="b">
        <v>0</v>
      </c>
      <c r="M1438" s="2" t="b">
        <v>0</v>
      </c>
      <c r="N1438" s="2" t="s">
        <v>33</v>
      </c>
      <c r="O1438" s="2">
        <v>118.0</v>
      </c>
      <c r="P1438" s="2">
        <v>11.0</v>
      </c>
      <c r="Q1438" s="2">
        <v>12.0</v>
      </c>
      <c r="R1438" s="2">
        <v>0.0</v>
      </c>
      <c r="S1438" s="3" t="s">
        <v>5882</v>
      </c>
      <c r="T1438" s="2" t="s">
        <v>5883</v>
      </c>
      <c r="Y1438" s="4" t="str">
        <f>IFERROR(__xludf.DUMMYFUNCTION("""COMPUTED_VALUE"""),"6.9621082")</f>
        <v>6.9621082</v>
      </c>
      <c r="Z1438" s="4" t="str">
        <f>IFERROR(__xludf.DUMMYFUNCTION("""COMPUTED_VALUE"""),"3.9430567")</f>
        <v>3.9430567</v>
      </c>
      <c r="AA1438" s="4" t="str">
        <f t="shared" si="1"/>
        <v>Neighbor</v>
      </c>
      <c r="AC1438" s="4">
        <f>IFERROR(__xludf.DUMMYFUNCTION("IFERROR(ABS(O1438-AVERAGE(FILTER(O1438:O5506,AA1438:AA5506=""Neighbor""))) / STDEV(FILTER(O1438:O5506, AA1438:AA5506 =""Neighbor"")), """")"),1.4199032329895371)</f>
        <v>1.419903233</v>
      </c>
      <c r="AD1438" s="4">
        <f>IFERROR(__xludf.DUMMYFUNCTION("IFERROR(ABS(P1438-AVERAGE(FILTER(O1438:P5506,AA1438:AA5506=""Neighbor""))) / STDEV(FILTER(P1438:P5506, AA1438:AA5506 =""Neighbor"")), """")"),1.257474118165623)</f>
        <v>1.257474118</v>
      </c>
      <c r="AE1438" s="2">
        <f>IFERROR(__xludf.DUMMYFUNCTION("IFERROR(ABS(Q1438-AVERAGE(FILTER(Q1438:Q5506,AA1438:AA5506=""Neighbor""))) / STDEV(FILTER(Q1438:Q5506, AA1438:AA5506 =""Neighbor"")), """")"),0.5226444544865033)</f>
        <v>0.5226444545</v>
      </c>
      <c r="AF1438" s="2">
        <f>IFERROR(__xludf.DUMMYFUNCTION("IFERROR(ABS(R1438-AVERAGE(FILTER(R1438:R5506,AA1438:AA5506=""Neighbor""))) / STDEV(FILTER(R1438:R5506, AA1438:AA5506 =""Neighbor"")), """")"),0.3478608302325885)</f>
        <v>0.3478608302</v>
      </c>
    </row>
    <row r="1439">
      <c r="A1439" s="2" t="s">
        <v>28</v>
      </c>
      <c r="B1439" s="2" t="s">
        <v>5384</v>
      </c>
      <c r="C1439" s="2" t="s">
        <v>5875</v>
      </c>
      <c r="D1439" s="2" t="s">
        <v>5884</v>
      </c>
      <c r="E1439" s="2" t="s">
        <v>5885</v>
      </c>
      <c r="F1439" s="2">
        <v>210.0</v>
      </c>
      <c r="G1439" s="2">
        <v>767.0</v>
      </c>
      <c r="H1439" s="2" t="b">
        <v>1</v>
      </c>
      <c r="I1439" s="2">
        <v>-1.0</v>
      </c>
      <c r="J1439" s="2" t="b">
        <v>0</v>
      </c>
      <c r="K1439" s="2" t="b">
        <v>0</v>
      </c>
      <c r="L1439" s="2" t="b">
        <v>0</v>
      </c>
      <c r="M1439" s="2" t="b">
        <v>0</v>
      </c>
      <c r="N1439" s="2" t="s">
        <v>33</v>
      </c>
      <c r="O1439" s="2">
        <v>132.0</v>
      </c>
      <c r="P1439" s="2">
        <v>21.0</v>
      </c>
      <c r="Q1439" s="2">
        <v>47.0</v>
      </c>
      <c r="R1439" s="2">
        <v>2.0</v>
      </c>
      <c r="S1439" s="3" t="s">
        <v>5886</v>
      </c>
      <c r="T1439" s="2" t="s">
        <v>5887</v>
      </c>
      <c r="Y1439" s="4" t="str">
        <f>IFERROR(__xludf.DUMMYFUNCTION("""COMPUTED_VALUE"""),"6.964338")</f>
        <v>6.964338</v>
      </c>
      <c r="Z1439" s="4" t="str">
        <f>IFERROR(__xludf.DUMMYFUNCTION("""COMPUTED_VALUE"""),"3.935831")</f>
        <v>3.935831</v>
      </c>
      <c r="AA1439" s="4" t="str">
        <f t="shared" si="1"/>
        <v>Not Neighbor</v>
      </c>
      <c r="AC1439" s="4">
        <f>IFERROR(__xludf.DUMMYFUNCTION("IFERROR(ABS(O1439-AVERAGE(FILTER(O1439:O5507,AA1439:AA5507=""Neighbor""))) / STDEV(FILTER(O1439:O5507, AA1439:AA5507 =""Neighbor"")), """")"),1.7686738384352672)</f>
        <v>1.768673838</v>
      </c>
      <c r="AD1439" s="4">
        <f>IFERROR(__xludf.DUMMYFUNCTION("IFERROR(ABS(P1439-AVERAGE(FILTER(O1439:P5507,AA1439:AA5507=""Neighbor""))) / STDEV(FILTER(P1439:P5507, AA1439:AA5507 =""Neighbor"")), """")"),0.7958573640364424)</f>
        <v>0.795857364</v>
      </c>
      <c r="AE1439" s="2">
        <f>IFERROR(__xludf.DUMMYFUNCTION("IFERROR(ABS(Q1439-AVERAGE(FILTER(Q1439:Q5507,AA1439:AA5507=""Neighbor""))) / STDEV(FILTER(Q1439:Q5507, AA1439:AA5507 =""Neighbor"")), """")"),0.8563984583341014)</f>
        <v>0.8563984583</v>
      </c>
      <c r="AF1439" s="2">
        <f>IFERROR(__xludf.DUMMYFUNCTION("IFERROR(ABS(R1439-AVERAGE(FILTER(R1439:R5507,AA1439:AA5507=""Neighbor""))) / STDEV(FILTER(R1439:R5507, AA1439:AA5507 =""Neighbor"")), """")"),2.0251541999768228)</f>
        <v>2.0251542</v>
      </c>
    </row>
    <row r="1440">
      <c r="A1440" s="2" t="s">
        <v>28</v>
      </c>
      <c r="B1440" s="2" t="s">
        <v>5384</v>
      </c>
      <c r="C1440" s="2" t="s">
        <v>5875</v>
      </c>
      <c r="D1440" s="2" t="s">
        <v>5888</v>
      </c>
      <c r="E1440" s="2" t="s">
        <v>5889</v>
      </c>
      <c r="F1440" s="2">
        <v>126.0</v>
      </c>
      <c r="G1440" s="2">
        <v>384.0</v>
      </c>
      <c r="H1440" s="2" t="b">
        <v>1</v>
      </c>
      <c r="I1440" s="2">
        <v>-1.0</v>
      </c>
      <c r="J1440" s="2" t="b">
        <v>1</v>
      </c>
      <c r="K1440" s="2" t="b">
        <v>0</v>
      </c>
      <c r="L1440" s="2" t="b">
        <v>0</v>
      </c>
      <c r="M1440" s="2" t="b">
        <v>0</v>
      </c>
      <c r="N1440" s="2" t="s">
        <v>33</v>
      </c>
      <c r="O1440" s="2">
        <v>67.0</v>
      </c>
      <c r="P1440" s="2">
        <v>8.0</v>
      </c>
      <c r="Q1440" s="2">
        <v>39.0</v>
      </c>
      <c r="R1440" s="2">
        <v>0.0</v>
      </c>
      <c r="S1440" s="3" t="s">
        <v>5890</v>
      </c>
      <c r="T1440" s="2" t="s">
        <v>5891</v>
      </c>
      <c r="Y1440" s="4" t="str">
        <f>IFERROR(__xludf.DUMMYFUNCTION("""COMPUTED_VALUE"""),"6.9528224")</f>
        <v>6.9528224</v>
      </c>
      <c r="Z1440" s="4" t="str">
        <f>IFERROR(__xludf.DUMMYFUNCTION("""COMPUTED_VALUE"""),"3.9521382")</f>
        <v>3.9521382</v>
      </c>
      <c r="AA1440" s="4" t="str">
        <f t="shared" si="1"/>
        <v>Neighbor</v>
      </c>
      <c r="AC1440" s="4">
        <f>IFERROR(__xludf.DUMMYFUNCTION("IFERROR(ABS(O1440-AVERAGE(FILTER(O1440:O5508,AA1440:AA5508=""Neighbor""))) / STDEV(FILTER(O1440:O5508, AA1440:AA5508 =""Neighbor"")), """")"),0.1585076520760579)</f>
        <v>0.1585076521</v>
      </c>
      <c r="AD1440" s="4">
        <f>IFERROR(__xludf.DUMMYFUNCTION("IFERROR(ABS(P1440-AVERAGE(FILTER(O1440:P5508,AA1440:AA5508=""Neighbor""))) / STDEV(FILTER(P1440:P5508, AA1440:AA5508 =""Neighbor"")), """")"),1.3938149311354973)</f>
        <v>1.393814931</v>
      </c>
      <c r="AE1440" s="2">
        <f>IFERROR(__xludf.DUMMYFUNCTION("IFERROR(ABS(Q1440-AVERAGE(FILTER(Q1440:Q5508,AA1440:AA5508=""Neighbor""))) / STDEV(FILTER(Q1440:Q5508, AA1440:AA5508 =""Neighbor"")), """")"),0.5411189853992255)</f>
        <v>0.5411189854</v>
      </c>
      <c r="AF1440" s="2">
        <f>IFERROR(__xludf.DUMMYFUNCTION("IFERROR(ABS(R1440-AVERAGE(FILTER(R1440:R5508,AA1440:AA5508=""Neighbor""))) / STDEV(FILTER(R1440:R5508, AA1440:AA5508 =""Neighbor"")), """")"),0.3480393898993466)</f>
        <v>0.3480393899</v>
      </c>
    </row>
    <row r="1441">
      <c r="A1441" s="2" t="s">
        <v>28</v>
      </c>
      <c r="B1441" s="2" t="s">
        <v>5384</v>
      </c>
      <c r="C1441" s="2" t="s">
        <v>5875</v>
      </c>
      <c r="D1441" s="2" t="s">
        <v>5892</v>
      </c>
      <c r="E1441" s="2" t="s">
        <v>5893</v>
      </c>
      <c r="F1441" s="2">
        <v>217.0</v>
      </c>
      <c r="G1441" s="2">
        <v>787.0</v>
      </c>
      <c r="H1441" s="2" t="b">
        <v>1</v>
      </c>
      <c r="I1441" s="2">
        <v>-1.0</v>
      </c>
      <c r="J1441" s="2" t="b">
        <v>0</v>
      </c>
      <c r="K1441" s="2" t="b">
        <v>1</v>
      </c>
      <c r="L1441" s="2" t="b">
        <v>0</v>
      </c>
      <c r="M1441" s="2" t="b">
        <v>0</v>
      </c>
      <c r="N1441" s="2" t="s">
        <v>33</v>
      </c>
      <c r="O1441" s="2">
        <v>164.0</v>
      </c>
      <c r="P1441" s="2">
        <v>21.0</v>
      </c>
      <c r="Q1441" s="2">
        <v>13.0</v>
      </c>
      <c r="R1441" s="2">
        <v>0.0</v>
      </c>
      <c r="S1441" s="3" t="s">
        <v>5894</v>
      </c>
      <c r="T1441" s="2" t="s">
        <v>5895</v>
      </c>
      <c r="Y1441" s="4" t="str">
        <f>IFERROR(__xludf.DUMMYFUNCTION("""COMPUTED_VALUE"""),"6.9621082")</f>
        <v>6.9621082</v>
      </c>
      <c r="Z1441" s="4" t="str">
        <f>IFERROR(__xludf.DUMMYFUNCTION("""COMPUTED_VALUE"""),"3.9430567")</f>
        <v>3.9430567</v>
      </c>
      <c r="AA1441" s="4" t="str">
        <f t="shared" si="1"/>
        <v>Neighbor</v>
      </c>
      <c r="AC1441" s="4">
        <f>IFERROR(__xludf.DUMMYFUNCTION("IFERROR(ABS(O1441-AVERAGE(FILTER(O1441:O5509,AA1441:AA5509=""Neighbor""))) / STDEV(FILTER(O1441:O5509, AA1441:AA5509 =""Neighbor"")), """")"),2.5603707162889724)</f>
        <v>2.560370716</v>
      </c>
      <c r="AD1441" s="4">
        <f>IFERROR(__xludf.DUMMYFUNCTION("IFERROR(ABS(P1441-AVERAGE(FILTER(O1441:P5509,AA1441:AA5509=""Neighbor""))) / STDEV(FILTER(P1441:P5509, AA1441:AA5509 =""Neighbor"")), """")"),0.7955755632857464)</f>
        <v>0.7955755633</v>
      </c>
      <c r="AE1441" s="2">
        <f>IFERROR(__xludf.DUMMYFUNCTION("IFERROR(ABS(Q1441-AVERAGE(FILTER(Q1441:Q5509,AA1441:AA5509=""Neighbor""))) / STDEV(FILTER(Q1441:Q5509, AA1441:AA5509 =""Neighbor"")), """")"),0.4828861554636881)</f>
        <v>0.4828861555</v>
      </c>
      <c r="AF1441" s="2">
        <f>IFERROR(__xludf.DUMMYFUNCTION("IFERROR(ABS(R1441-AVERAGE(FILTER(R1441:R5509,AA1441:AA5509=""Neighbor""))) / STDEV(FILTER(R1441:R5509, AA1441:AA5509 =""Neighbor"")), """")"),0.34821822484921416)</f>
        <v>0.3482182248</v>
      </c>
    </row>
    <row r="1442">
      <c r="A1442" s="2" t="s">
        <v>28</v>
      </c>
      <c r="B1442" s="2" t="s">
        <v>5384</v>
      </c>
      <c r="C1442" s="2" t="s">
        <v>5875</v>
      </c>
      <c r="D1442" s="2" t="s">
        <v>5896</v>
      </c>
      <c r="E1442" s="2" t="s">
        <v>5897</v>
      </c>
      <c r="F1442" s="2">
        <v>139.0</v>
      </c>
      <c r="G1442" s="2">
        <v>311.0</v>
      </c>
      <c r="H1442" s="2" t="b">
        <v>1</v>
      </c>
      <c r="I1442" s="2">
        <v>-1.0</v>
      </c>
      <c r="J1442" s="2" t="b">
        <v>0</v>
      </c>
      <c r="K1442" s="2" t="b">
        <v>1</v>
      </c>
      <c r="L1442" s="2" t="b">
        <v>0</v>
      </c>
      <c r="M1442" s="2" t="b">
        <v>0</v>
      </c>
      <c r="N1442" s="2" t="s">
        <v>33</v>
      </c>
      <c r="O1442" s="2">
        <v>93.0</v>
      </c>
      <c r="P1442" s="2">
        <v>24.0</v>
      </c>
      <c r="Q1442" s="2">
        <v>14.0</v>
      </c>
      <c r="R1442" s="2">
        <v>0.0</v>
      </c>
      <c r="S1442" s="3" t="s">
        <v>5898</v>
      </c>
      <c r="T1442" s="2" t="s">
        <v>5899</v>
      </c>
      <c r="Y1442" s="4" t="str">
        <f>IFERROR(__xludf.DUMMYFUNCTION("""COMPUTED_VALUE"""),"6.9621082")</f>
        <v>6.9621082</v>
      </c>
      <c r="Z1442" s="4" t="str">
        <f>IFERROR(__xludf.DUMMYFUNCTION("""COMPUTED_VALUE"""),"3.9430567")</f>
        <v>3.9430567</v>
      </c>
      <c r="AA1442" s="4" t="str">
        <f t="shared" si="1"/>
        <v>Neighbor</v>
      </c>
      <c r="AC1442" s="4">
        <f>IFERROR(__xludf.DUMMYFUNCTION("IFERROR(ABS(O1442-AVERAGE(FILTER(O1442:O5510,AA1442:AA5510=""Neighbor""))) / STDEV(FILTER(O1442:O5510, AA1442:AA5510 =""Neighbor"")), """")"),0.8067762553708707)</f>
        <v>0.8067762554</v>
      </c>
      <c r="AD1442" s="4">
        <f>IFERROR(__xludf.DUMMYFUNCTION("IFERROR(ABS(P1442-AVERAGE(FILTER(O1442:P5510,AA1442:AA5510=""Neighbor""))) / STDEV(FILTER(P1442:P5510, AA1442:AA5510 =""Neighbor"")), """")"),0.6550667260765094)</f>
        <v>0.6550667261</v>
      </c>
      <c r="AE1442" s="2">
        <f>IFERROR(__xludf.DUMMYFUNCTION("IFERROR(ABS(Q1442-AVERAGE(FILTER(Q1442:Q5510,AA1442:AA5510=""Neighbor""))) / STDEV(FILTER(Q1442:Q5510, AA1442:AA5510 =""Neighbor"")), """")"),0.44377611297249075)</f>
        <v>0.443776113</v>
      </c>
      <c r="AF1442" s="2">
        <f>IFERROR(__xludf.DUMMYFUNCTION("IFERROR(ABS(R1442-AVERAGE(FILTER(R1442:R5510,AA1442:AA5510=""Neighbor""))) / STDEV(FILTER(R1442:R5510, AA1442:AA5510 =""Neighbor"")), """")"),0.3483973357903255)</f>
        <v>0.3483973358</v>
      </c>
    </row>
    <row r="1443">
      <c r="A1443" s="2" t="s">
        <v>28</v>
      </c>
      <c r="B1443" s="2" t="s">
        <v>5384</v>
      </c>
      <c r="C1443" s="2" t="s">
        <v>5875</v>
      </c>
      <c r="D1443" s="2" t="s">
        <v>5900</v>
      </c>
      <c r="E1443" s="2" t="s">
        <v>5901</v>
      </c>
      <c r="F1443" s="2">
        <v>133.0</v>
      </c>
      <c r="G1443" s="2">
        <v>498.0</v>
      </c>
      <c r="H1443" s="2" t="b">
        <v>1</v>
      </c>
      <c r="I1443" s="2">
        <v>-1.0</v>
      </c>
      <c r="J1443" s="2" t="b">
        <v>0</v>
      </c>
      <c r="K1443" s="2" t="b">
        <v>1</v>
      </c>
      <c r="L1443" s="2" t="b">
        <v>0</v>
      </c>
      <c r="M1443" s="2" t="b">
        <v>0</v>
      </c>
      <c r="N1443" s="2" t="s">
        <v>33</v>
      </c>
      <c r="O1443" s="2">
        <v>98.0</v>
      </c>
      <c r="P1443" s="2">
        <v>26.0</v>
      </c>
      <c r="Q1443" s="2">
        <v>3.0</v>
      </c>
      <c r="R1443" s="2">
        <v>0.0</v>
      </c>
      <c r="S1443" s="3" t="s">
        <v>5902</v>
      </c>
      <c r="T1443" s="2" t="s">
        <v>5903</v>
      </c>
      <c r="Y1443" s="4" t="str">
        <f>IFERROR(__xludf.DUMMYFUNCTION("""COMPUTED_VALUE"""),"6.9528224")</f>
        <v>6.9528224</v>
      </c>
      <c r="Z1443" s="4" t="str">
        <f>IFERROR(__xludf.DUMMYFUNCTION("""COMPUTED_VALUE"""),"3.9521382")</f>
        <v>3.9521382</v>
      </c>
      <c r="AA1443" s="4" t="str">
        <f t="shared" si="1"/>
        <v>Neighbor</v>
      </c>
      <c r="AC1443" s="4">
        <f>IFERROR(__xludf.DUMMYFUNCTION("IFERROR(ABS(O1443-AVERAGE(FILTER(O1443:O5511,AA1443:AA5511=""Neighbor""))) / STDEV(FILTER(O1443:O5511, AA1443:AA5511 =""Neighbor"")), """")"),0.9314896399729242)</f>
        <v>0.93148964</v>
      </c>
      <c r="AD1443" s="4">
        <f>IFERROR(__xludf.DUMMYFUNCTION("IFERROR(ABS(P1443-AVERAGE(FILTER(O1443:P5511,AA1443:AA5511=""Neighbor""))) / STDEV(FILTER(P1443:P5511, AA1443:AA5511 =""Neighbor"")), """")"),0.56207093603174)</f>
        <v>0.562070936</v>
      </c>
      <c r="AE1443" s="2">
        <f>IFERROR(__xludf.DUMMYFUNCTION("IFERROR(ABS(Q1443-AVERAGE(FILTER(Q1443:Q5511,AA1443:AA5511=""Neighbor""))) / STDEV(FILTER(Q1443:Q5511, AA1443:AA5511 =""Neighbor"")), """")"),0.8770761839647223)</f>
        <v>0.877076184</v>
      </c>
      <c r="AF1443" s="2">
        <f>IFERROR(__xludf.DUMMYFUNCTION("IFERROR(ABS(R1443-AVERAGE(FILTER(R1443:R5511,AA1443:AA5511=""Neighbor""))) / STDEV(FILTER(R1443:R5511, AA1443:AA5511 =""Neighbor"")), """")"),0.3485767234333683)</f>
        <v>0.3485767234</v>
      </c>
    </row>
    <row r="1444">
      <c r="A1444" s="2" t="s">
        <v>28</v>
      </c>
      <c r="B1444" s="2" t="s">
        <v>5384</v>
      </c>
      <c r="C1444" s="2" t="s">
        <v>5875</v>
      </c>
      <c r="D1444" s="2" t="s">
        <v>5904</v>
      </c>
      <c r="E1444" s="2" t="s">
        <v>5905</v>
      </c>
      <c r="F1444" s="2">
        <v>241.0</v>
      </c>
      <c r="G1444" s="2">
        <v>842.0</v>
      </c>
      <c r="H1444" s="2" t="b">
        <v>1</v>
      </c>
      <c r="I1444" s="2">
        <v>-1.0</v>
      </c>
      <c r="J1444" s="2" t="b">
        <v>0</v>
      </c>
      <c r="K1444" s="2" t="b">
        <v>0</v>
      </c>
      <c r="L1444" s="2" t="b">
        <v>0</v>
      </c>
      <c r="M1444" s="2" t="b">
        <v>0</v>
      </c>
      <c r="N1444" s="2" t="s">
        <v>33</v>
      </c>
      <c r="O1444" s="2">
        <v>140.0</v>
      </c>
      <c r="P1444" s="2">
        <v>17.0</v>
      </c>
      <c r="Q1444" s="2">
        <v>58.0</v>
      </c>
      <c r="R1444" s="2">
        <v>3.0</v>
      </c>
      <c r="S1444" s="3" t="s">
        <v>5906</v>
      </c>
      <c r="T1444" s="2" t="s">
        <v>5907</v>
      </c>
      <c r="Y1444" s="4" t="str">
        <f>IFERROR(__xludf.DUMMYFUNCTION("""COMPUTED_VALUE"""),"6.9528224")</f>
        <v>6.9528224</v>
      </c>
      <c r="Z1444" s="4" t="str">
        <f>IFERROR(__xludf.DUMMYFUNCTION("""COMPUTED_VALUE"""),"3.9521382")</f>
        <v>3.9521382</v>
      </c>
      <c r="AA1444" s="4" t="str">
        <f t="shared" si="1"/>
        <v>Neighbor</v>
      </c>
      <c r="AC1444" s="4">
        <f>IFERROR(__xludf.DUMMYFUNCTION("IFERROR(ABS(O1444-AVERAGE(FILTER(O1444:O5512,AA1444:AA5512=""Neighbor""))) / STDEV(FILTER(O1444:O5512, AA1444:AA5512 =""Neighbor"")), """")"),1.9746777884216011)</f>
        <v>1.974677788</v>
      </c>
      <c r="AD1444" s="4">
        <f>IFERROR(__xludf.DUMMYFUNCTION("IFERROR(ABS(P1444-AVERAGE(FILTER(O1444:P5512,AA1444:AA5512=""Neighbor""))) / STDEV(FILTER(P1444:P5512, AA1444:AA5512 =""Neighbor"")), """")"),0.9741747937506616)</f>
        <v>0.9741747938</v>
      </c>
      <c r="AE1444" s="2">
        <f>IFERROR(__xludf.DUMMYFUNCTION("IFERROR(ABS(Q1444-AVERAGE(FILTER(Q1444:Q5512,AA1444:AA5512=""Neighbor""))) / STDEV(FILTER(Q1444:Q5512, AA1444:AA5512 =""Neighbor"")), """")"),1.2872613140481464)</f>
        <v>1.287261314</v>
      </c>
      <c r="AF1444" s="2">
        <f>IFERROR(__xludf.DUMMYFUNCTION("IFERROR(ABS(R1444-AVERAGE(FILTER(R1444:R5512,AA1444:AA5512=""Neighbor""))) / STDEV(FILTER(R1444:R5512, AA1444:AA5512 =""Neighbor"")), """")"),3.2052891829805596)</f>
        <v>3.205289183</v>
      </c>
    </row>
    <row r="1445">
      <c r="A1445" s="2" t="s">
        <v>28</v>
      </c>
      <c r="B1445" s="2" t="s">
        <v>5384</v>
      </c>
      <c r="C1445" s="2" t="s">
        <v>5875</v>
      </c>
      <c r="D1445" s="2" t="s">
        <v>5908</v>
      </c>
      <c r="E1445" s="2" t="s">
        <v>5909</v>
      </c>
      <c r="F1445" s="2">
        <v>54.0</v>
      </c>
      <c r="G1445" s="2">
        <v>217.0</v>
      </c>
      <c r="H1445" s="2" t="b">
        <v>1</v>
      </c>
      <c r="I1445" s="2">
        <v>-1.0</v>
      </c>
      <c r="J1445" s="2" t="b">
        <v>0</v>
      </c>
      <c r="K1445" s="2" t="b">
        <v>1</v>
      </c>
      <c r="L1445" s="2" t="b">
        <v>0</v>
      </c>
      <c r="M1445" s="2" t="b">
        <v>0</v>
      </c>
      <c r="N1445" s="2" t="s">
        <v>33</v>
      </c>
      <c r="O1445" s="2">
        <v>34.0</v>
      </c>
      <c r="P1445" s="2">
        <v>1.0</v>
      </c>
      <c r="Q1445" s="2">
        <v>14.0</v>
      </c>
      <c r="R1445" s="2">
        <v>0.0</v>
      </c>
      <c r="S1445" s="3" t="s">
        <v>5910</v>
      </c>
      <c r="T1445" s="2" t="s">
        <v>5911</v>
      </c>
      <c r="Y1445" s="4" t="str">
        <f>IFERROR(__xludf.DUMMYFUNCTION("""COMPUTED_VALUE"""),"6.9621082")</f>
        <v>6.9621082</v>
      </c>
      <c r="Z1445" s="4" t="str">
        <f>IFERROR(__xludf.DUMMYFUNCTION("""COMPUTED_VALUE"""),"3.9430567")</f>
        <v>3.9430567</v>
      </c>
      <c r="AA1445" s="4" t="str">
        <f t="shared" si="1"/>
        <v>Not Neighbor</v>
      </c>
      <c r="AC1445" s="4">
        <f>IFERROR(__xludf.DUMMYFUNCTION("IFERROR(ABS(O1445-AVERAGE(FILTER(O1445:O5513,AA1445:AA5513=""Neighbor""))) / STDEV(FILTER(O1445:O5513, AA1445:AA5513 =""Neighbor"")), """")"),0.6551688758027147)</f>
        <v>0.6551688758</v>
      </c>
      <c r="AD1445" s="4">
        <f>IFERROR(__xludf.DUMMYFUNCTION("IFERROR(ABS(P1445-AVERAGE(FILTER(O1445:P5513,AA1445:AA5513=""Neighbor""))) / STDEV(FILTER(P1445:P5513, AA1445:AA5513 =""Neighbor"")), """")"),1.7064633440911896)</f>
        <v>1.706463344</v>
      </c>
      <c r="AE1445" s="2">
        <f>IFERROR(__xludf.DUMMYFUNCTION("IFERROR(ABS(Q1445-AVERAGE(FILTER(Q1445:Q5513,AA1445:AA5513=""Neighbor""))) / STDEV(FILTER(Q1445:Q5513, AA1445:AA5513 =""Neighbor"")), """")"),0.4437291824980833)</f>
        <v>0.4437291825</v>
      </c>
      <c r="AF1445" s="2">
        <f>IFERROR(__xludf.DUMMYFUNCTION("IFERROR(ABS(R1445-AVERAGE(FILTER(R1445:R5513,AA1445:AA5513=""Neighbor""))) / STDEV(FILTER(R1445:R5513, AA1445:AA5513 =""Neighbor"")), """")"),0.34729385259136597)</f>
        <v>0.3472938526</v>
      </c>
    </row>
    <row r="1446">
      <c r="A1446" s="2" t="s">
        <v>28</v>
      </c>
      <c r="B1446" s="2" t="s">
        <v>5384</v>
      </c>
      <c r="C1446" s="2" t="s">
        <v>5875</v>
      </c>
      <c r="D1446" s="2" t="s">
        <v>5912</v>
      </c>
      <c r="E1446" s="2" t="s">
        <v>5913</v>
      </c>
      <c r="F1446" s="2">
        <v>236.0</v>
      </c>
      <c r="G1446" s="2">
        <v>737.0</v>
      </c>
      <c r="H1446" s="2" t="b">
        <v>1</v>
      </c>
      <c r="I1446" s="2">
        <v>-1.0</v>
      </c>
      <c r="J1446" s="2" t="b">
        <v>1</v>
      </c>
      <c r="K1446" s="2" t="b">
        <v>0</v>
      </c>
      <c r="L1446" s="2" t="b">
        <v>0</v>
      </c>
      <c r="M1446" s="2" t="b">
        <v>0</v>
      </c>
      <c r="N1446" s="2" t="s">
        <v>33</v>
      </c>
      <c r="O1446" s="2">
        <v>157.0</v>
      </c>
      <c r="P1446" s="2">
        <v>10.0</v>
      </c>
      <c r="Q1446" s="2">
        <v>65.0</v>
      </c>
      <c r="R1446" s="2">
        <v>0.0</v>
      </c>
      <c r="S1446" s="3" t="s">
        <v>5914</v>
      </c>
      <c r="T1446" s="2" t="s">
        <v>5915</v>
      </c>
      <c r="Y1446" s="4" t="str">
        <f>IFERROR(__xludf.DUMMYFUNCTION("""COMPUTED_VALUE"""),"6.9875649")</f>
        <v>6.9875649</v>
      </c>
      <c r="Z1446" s="4" t="str">
        <f>IFERROR(__xludf.DUMMYFUNCTION("""COMPUTED_VALUE"""),"4.0055529")</f>
        <v>4.0055529</v>
      </c>
      <c r="AA1446" s="4" t="str">
        <f t="shared" si="1"/>
        <v>Not Neighbor</v>
      </c>
      <c r="AC1446" s="4">
        <f>IFERROR(__xludf.DUMMYFUNCTION("IFERROR(ABS(O1446-AVERAGE(FILTER(O1446:O5514,AA1446:AA5514=""Neighbor""))) / STDEV(FILTER(O1446:O5514, AA1446:AA5514 =""Neighbor"")), """")"),2.4016298699875414)</f>
        <v>2.40162987</v>
      </c>
      <c r="AD1446" s="4">
        <f>IFERROR(__xludf.DUMMYFUNCTION("IFERROR(ABS(P1446-AVERAGE(FILTER(O1446:P5514,AA1446:AA5514=""Neighbor""))) / STDEV(FILTER(P1446:P5514, AA1446:AA5514 =""Neighbor"")), """")"),1.2933413882011817)</f>
        <v>1.293341388</v>
      </c>
      <c r="AE1446" s="2">
        <f>IFERROR(__xludf.DUMMYFUNCTION("IFERROR(ABS(Q1446-AVERAGE(FILTER(Q1446:Q5514,AA1446:AA5514=""Neighbor""))) / STDEV(FILTER(Q1446:Q5514, AA1446:AA5514 =""Neighbor"")), """")"),1.5644735059999424)</f>
        <v>1.564473506</v>
      </c>
      <c r="AF1446" s="2">
        <f>IFERROR(__xludf.DUMMYFUNCTION("IFERROR(ABS(R1446-AVERAGE(FILTER(R1446:R5514,AA1446:AA5514=""Neighbor""))) / STDEV(FILTER(R1446:R5514, AA1446:AA5514 =""Neighbor"")), """")"),0.34729385259136597)</f>
        <v>0.3472938526</v>
      </c>
    </row>
    <row r="1447">
      <c r="A1447" s="2" t="s">
        <v>28</v>
      </c>
      <c r="B1447" s="2" t="s">
        <v>5384</v>
      </c>
      <c r="C1447" s="2" t="s">
        <v>5875</v>
      </c>
      <c r="D1447" s="2" t="s">
        <v>5916</v>
      </c>
      <c r="E1447" s="2" t="s">
        <v>5917</v>
      </c>
      <c r="F1447" s="2">
        <v>267.0</v>
      </c>
      <c r="G1447" s="2">
        <v>878.0</v>
      </c>
      <c r="H1447" s="2" t="b">
        <v>1</v>
      </c>
      <c r="I1447" s="2">
        <v>-1.0</v>
      </c>
      <c r="J1447" s="2" t="b">
        <v>0</v>
      </c>
      <c r="K1447" s="2" t="b">
        <v>0</v>
      </c>
      <c r="L1447" s="2" t="b">
        <v>0</v>
      </c>
      <c r="M1447" s="2" t="b">
        <v>0</v>
      </c>
      <c r="N1447" s="2" t="s">
        <v>33</v>
      </c>
      <c r="O1447" s="2">
        <v>185.0</v>
      </c>
      <c r="P1447" s="2">
        <v>37.0</v>
      </c>
      <c r="Q1447" s="2">
        <v>33.0</v>
      </c>
      <c r="R1447" s="2">
        <v>1.0</v>
      </c>
      <c r="S1447" s="3" t="s">
        <v>5918</v>
      </c>
      <c r="T1447" s="2" t="s">
        <v>5919</v>
      </c>
      <c r="Y1447" s="4" t="str">
        <f>IFERROR(__xludf.DUMMYFUNCTION("""COMPUTED_VALUE"""),"6.9621082")</f>
        <v>6.9621082</v>
      </c>
      <c r="Z1447" s="4" t="str">
        <f>IFERROR(__xludf.DUMMYFUNCTION("""COMPUTED_VALUE"""),"3.9430567")</f>
        <v>3.9430567</v>
      </c>
      <c r="AA1447" s="4" t="str">
        <f t="shared" si="1"/>
        <v>Not Neighbor</v>
      </c>
      <c r="AC1447" s="4">
        <f>IFERROR(__xludf.DUMMYFUNCTION("IFERROR(ABS(O1447-AVERAGE(FILTER(O1447:O5515,AA1447:AA5515=""Neighbor""))) / STDEV(FILTER(O1447:O5515, AA1447:AA5515 =""Neighbor"")), """")"),3.097486495045486)</f>
        <v>3.097486495</v>
      </c>
      <c r="AD1447" s="4">
        <f>IFERROR(__xludf.DUMMYFUNCTION("IFERROR(ABS(P1447-AVERAGE(FILTER(O1447:P5515,AA1447:AA5515=""Neighbor""))) / STDEV(FILTER(P1447:P5515, AA1447:AA5515 =""Neighbor"")), """")"),0.0539755205311583)</f>
        <v>0.05397552053</v>
      </c>
      <c r="AE1447" s="2">
        <f>IFERROR(__xludf.DUMMYFUNCTION("IFERROR(ABS(Q1447-AVERAGE(FILTER(Q1447:Q5515,AA1447:AA5515=""Neighbor""))) / STDEV(FILTER(Q1447:Q5515, AA1447:AA5515 =""Neighbor"")), """")"),0.3044247602756911)</f>
        <v>0.3044247603</v>
      </c>
      <c r="AF1447" s="2">
        <f>IFERROR(__xludf.DUMMYFUNCTION("IFERROR(ABS(R1447-AVERAGE(FILTER(R1447:R5515,AA1447:AA5515=""Neighbor""))) / STDEV(FILTER(R1447:R5515, AA1447:AA5515 =""Neighbor"")), """")"),0.8424888726900961)</f>
        <v>0.8424888727</v>
      </c>
    </row>
    <row r="1448">
      <c r="A1448" s="2" t="s">
        <v>28</v>
      </c>
      <c r="B1448" s="2" t="s">
        <v>5384</v>
      </c>
      <c r="C1448" s="2" t="s">
        <v>5875</v>
      </c>
      <c r="D1448" s="2" t="s">
        <v>5920</v>
      </c>
      <c r="E1448" s="2" t="s">
        <v>5921</v>
      </c>
      <c r="F1448" s="2">
        <v>223.0</v>
      </c>
      <c r="G1448" s="2">
        <v>631.0</v>
      </c>
      <c r="H1448" s="2" t="b">
        <v>1</v>
      </c>
      <c r="I1448" s="2">
        <v>-1.0</v>
      </c>
      <c r="J1448" s="2" t="b">
        <v>0</v>
      </c>
      <c r="K1448" s="2" t="b">
        <v>0</v>
      </c>
      <c r="L1448" s="2" t="b">
        <v>0</v>
      </c>
      <c r="M1448" s="2" t="b">
        <v>0</v>
      </c>
      <c r="N1448" s="2" t="s">
        <v>33</v>
      </c>
      <c r="O1448" s="2">
        <v>147.0</v>
      </c>
      <c r="P1448" s="2">
        <v>33.0</v>
      </c>
      <c r="Q1448" s="2">
        <v>34.0</v>
      </c>
      <c r="R1448" s="2">
        <v>0.0</v>
      </c>
      <c r="S1448" s="3" t="s">
        <v>5922</v>
      </c>
      <c r="T1448" s="2" t="s">
        <v>5923</v>
      </c>
      <c r="Y1448" s="4" t="str">
        <f>IFERROR(__xludf.DUMMYFUNCTION("""COMPUTED_VALUE"""),"6.9495738")</f>
        <v>6.9495738</v>
      </c>
      <c r="Z1448" s="4" t="str">
        <f>IFERROR(__xludf.DUMMYFUNCTION("""COMPUTED_VALUE"""),"3.9400298")</f>
        <v>3.9400298</v>
      </c>
      <c r="AA1448" s="4" t="str">
        <f t="shared" si="1"/>
        <v>Not Neighbor</v>
      </c>
      <c r="AC1448" s="4">
        <f>IFERROR(__xludf.DUMMYFUNCTION("IFERROR(ABS(O1448-AVERAGE(FILTER(O1448:O5516,AA1448:AA5516=""Neighbor""))) / STDEV(FILTER(O1448:O5516, AA1448:AA5516 =""Neighbor"")), """")"),2.153109646752561)</f>
        <v>2.153109647</v>
      </c>
      <c r="AD1448" s="4">
        <f>IFERROR(__xludf.DUMMYFUNCTION("IFERROR(ABS(P1448-AVERAGE(FILTER(O1448:P5516,AA1448:AA5516=""Neighbor""))) / STDEV(FILTER(P1448:P5516, AA1448:AA5516 =""Neighbor"")), """")"),0.2375852787044951)</f>
        <v>0.2375852787</v>
      </c>
      <c r="AE1448" s="2">
        <f>IFERROR(__xludf.DUMMYFUNCTION("IFERROR(ABS(Q1448-AVERAGE(FILTER(Q1448:Q5516,AA1448:AA5516=""Neighbor""))) / STDEV(FILTER(Q1448:Q5516, AA1448:AA5516 =""Neighbor"")), """")"),0.34380128357957396)</f>
        <v>0.3438012836</v>
      </c>
      <c r="AF1448" s="2">
        <f>IFERROR(__xludf.DUMMYFUNCTION("IFERROR(ABS(R1448-AVERAGE(FILTER(R1448:R5516,AA1448:AA5516=""Neighbor""))) / STDEV(FILTER(R1448:R5516, AA1448:AA5516 =""Neighbor"")), """")"),0.34729385259136597)</f>
        <v>0.3472938526</v>
      </c>
    </row>
    <row r="1449">
      <c r="A1449" s="2" t="s">
        <v>28</v>
      </c>
      <c r="B1449" s="2" t="s">
        <v>5384</v>
      </c>
      <c r="C1449" s="2" t="s">
        <v>5875</v>
      </c>
      <c r="D1449" s="2" t="s">
        <v>5924</v>
      </c>
      <c r="E1449" s="2" t="s">
        <v>5925</v>
      </c>
      <c r="F1449" s="2">
        <v>180.0</v>
      </c>
      <c r="G1449" s="2">
        <v>668.0</v>
      </c>
      <c r="H1449" s="2" t="b">
        <v>1</v>
      </c>
      <c r="I1449" s="2">
        <v>-1.0</v>
      </c>
      <c r="J1449" s="2" t="b">
        <v>0</v>
      </c>
      <c r="K1449" s="2" t="b">
        <v>0</v>
      </c>
      <c r="L1449" s="2" t="b">
        <v>0</v>
      </c>
      <c r="M1449" s="2" t="b">
        <v>0</v>
      </c>
      <c r="N1449" s="2" t="s">
        <v>33</v>
      </c>
      <c r="O1449" s="2">
        <v>98.0</v>
      </c>
      <c r="P1449" s="2">
        <v>28.0</v>
      </c>
      <c r="Q1449" s="2">
        <v>45.0</v>
      </c>
      <c r="R1449" s="2">
        <v>1.0</v>
      </c>
      <c r="S1449" s="3" t="s">
        <v>5926</v>
      </c>
      <c r="T1449" s="2" t="s">
        <v>5927</v>
      </c>
      <c r="Y1449" s="4" t="str">
        <f>IFERROR(__xludf.DUMMYFUNCTION("""COMPUTED_VALUE"""),"6.9744289")</f>
        <v>6.9744289</v>
      </c>
      <c r="Z1449" s="4" t="str">
        <f>IFERROR(__xludf.DUMMYFUNCTION("""COMPUTED_VALUE"""),"3.9317468")</f>
        <v>3.9317468</v>
      </c>
      <c r="AA1449" s="4" t="str">
        <f t="shared" si="1"/>
        <v>Neighbor</v>
      </c>
      <c r="AC1449" s="4">
        <f>IFERROR(__xludf.DUMMYFUNCTION("IFERROR(ABS(O1449-AVERAGE(FILTER(O1449:O5517,AA1449:AA5517=""Neighbor""))) / STDEV(FILTER(O1449:O5517, AA1449:AA5517 =""Neighbor"")), """")"),0.9353605529011584)</f>
        <v>0.9353605529</v>
      </c>
      <c r="AD1449" s="4">
        <f>IFERROR(__xludf.DUMMYFUNCTION("IFERROR(ABS(P1449-AVERAGE(FILTER(O1449:P5517,AA1449:AA5517=""Neighbor""))) / STDEV(FILTER(P1449:P5517, AA1449:AA5517 =""Neighbor"")), """")"),0.4670974764211661)</f>
        <v>0.4670974764</v>
      </c>
      <c r="AE1449" s="2">
        <f>IFERROR(__xludf.DUMMYFUNCTION("IFERROR(ABS(Q1449-AVERAGE(FILTER(Q1449:Q5517,AA1449:AA5517=""Neighbor""))) / STDEV(FILTER(Q1449:Q5517, AA1449:AA5517 =""Neighbor"")), """")"),0.7769430399222854)</f>
        <v>0.7769430399</v>
      </c>
      <c r="AF1449" s="2">
        <f>IFERROR(__xludf.DUMMYFUNCTION("IFERROR(ABS(R1449-AVERAGE(FILTER(R1449:R5517,AA1449:AA5517=""Neighbor""))) / STDEV(FILTER(R1449:R5517, AA1449:AA5517 =""Neighbor"")), """")"),0.8424888726900961)</f>
        <v>0.8424888727</v>
      </c>
    </row>
    <row r="1450">
      <c r="A1450" s="2" t="s">
        <v>28</v>
      </c>
      <c r="B1450" s="2" t="s">
        <v>5384</v>
      </c>
      <c r="C1450" s="2" t="s">
        <v>5875</v>
      </c>
      <c r="D1450" s="2" t="s">
        <v>5928</v>
      </c>
      <c r="E1450" s="2" t="s">
        <v>5929</v>
      </c>
      <c r="F1450" s="2">
        <v>197.0</v>
      </c>
      <c r="G1450" s="2">
        <v>760.0</v>
      </c>
      <c r="H1450" s="2" t="b">
        <v>1</v>
      </c>
      <c r="I1450" s="2">
        <v>-1.0</v>
      </c>
      <c r="J1450" s="2" t="b">
        <v>0</v>
      </c>
      <c r="K1450" s="2" t="b">
        <v>1</v>
      </c>
      <c r="L1450" s="2" t="b">
        <v>0</v>
      </c>
      <c r="M1450" s="2" t="b">
        <v>0</v>
      </c>
      <c r="N1450" s="2" t="s">
        <v>33</v>
      </c>
      <c r="O1450" s="2">
        <v>130.0</v>
      </c>
      <c r="P1450" s="2">
        <v>13.0</v>
      </c>
      <c r="Q1450" s="2">
        <v>45.0</v>
      </c>
      <c r="R1450" s="2">
        <v>1.0</v>
      </c>
      <c r="S1450" s="3" t="s">
        <v>5930</v>
      </c>
      <c r="T1450" s="2" t="s">
        <v>5931</v>
      </c>
      <c r="Y1450" s="4" t="str">
        <f>IFERROR(__xludf.DUMMYFUNCTION("""COMPUTED_VALUE"""),"6.9744289")</f>
        <v>6.9744289</v>
      </c>
      <c r="Z1450" s="4" t="str">
        <f>IFERROR(__xludf.DUMMYFUNCTION("""COMPUTED_VALUE"""),"3.9317468")</f>
        <v>3.9317468</v>
      </c>
      <c r="AA1450" s="4" t="str">
        <f t="shared" si="1"/>
        <v>Neighbor</v>
      </c>
      <c r="AC1450" s="4">
        <f>IFERROR(__xludf.DUMMYFUNCTION("IFERROR(ABS(O1450-AVERAGE(FILTER(O1450:O5518,AA1450:AA5518=""Neighbor""))) / STDEV(FILTER(O1450:O5518, AA1450:AA5518 =""Neighbor"")), """")"),1.7313880908121817)</f>
        <v>1.731388091</v>
      </c>
      <c r="AD1450" s="4">
        <f>IFERROR(__xludf.DUMMYFUNCTION("IFERROR(ABS(P1450-AVERAGE(FILTER(O1450:P5518,AA1450:AA5518=""Neighbor""))) / STDEV(FILTER(P1450:P5518, AA1450:AA5518 =""Neighbor"")), """")"),1.1542135030532759)</f>
        <v>1.154213503</v>
      </c>
      <c r="AE1450" s="2">
        <f>IFERROR(__xludf.DUMMYFUNCTION("IFERROR(ABS(Q1450-AVERAGE(FILTER(Q1450:Q5518,AA1450:AA5518=""Neighbor""))) / STDEV(FILTER(Q1450:Q5518, AA1450:AA5518 =""Neighbor"")), """")"),0.7775171811836206)</f>
        <v>0.7775171812</v>
      </c>
      <c r="AF1450" s="2">
        <f>IFERROR(__xludf.DUMMYFUNCTION("IFERROR(ABS(R1450-AVERAGE(FILTER(R1450:R5518,AA1450:AA5518=""Neighbor""))) / STDEV(FILTER(R1450:R5518, AA1450:AA5518 =""Neighbor"")), """")"),0.843152756075153)</f>
        <v>0.8431527561</v>
      </c>
    </row>
    <row r="1451">
      <c r="A1451" s="2" t="s">
        <v>28</v>
      </c>
      <c r="B1451" s="2" t="s">
        <v>5384</v>
      </c>
      <c r="C1451" s="2" t="s">
        <v>5875</v>
      </c>
      <c r="D1451" s="2" t="s">
        <v>5932</v>
      </c>
      <c r="E1451" s="2" t="s">
        <v>5933</v>
      </c>
      <c r="F1451" s="2">
        <v>285.0</v>
      </c>
      <c r="G1451" s="2">
        <v>904.0</v>
      </c>
      <c r="H1451" s="2" t="b">
        <v>1</v>
      </c>
      <c r="I1451" s="2">
        <v>-1.0</v>
      </c>
      <c r="J1451" s="2" t="b">
        <v>0</v>
      </c>
      <c r="K1451" s="2" t="b">
        <v>0</v>
      </c>
      <c r="L1451" s="2" t="b">
        <v>0</v>
      </c>
      <c r="M1451" s="2" t="b">
        <v>0</v>
      </c>
      <c r="N1451" s="2" t="s">
        <v>33</v>
      </c>
      <c r="O1451" s="2">
        <v>198.0</v>
      </c>
      <c r="P1451" s="2">
        <v>26.0</v>
      </c>
      <c r="Q1451" s="2">
        <v>42.0</v>
      </c>
      <c r="R1451" s="2">
        <v>1.0</v>
      </c>
      <c r="S1451" s="3" t="s">
        <v>5934</v>
      </c>
      <c r="T1451" s="2" t="s">
        <v>5935</v>
      </c>
      <c r="Y1451" s="4" t="str">
        <f>IFERROR(__xludf.DUMMYFUNCTION("""COMPUTED_VALUE"""),"6.9744289")</f>
        <v>6.9744289</v>
      </c>
      <c r="Z1451" s="4" t="str">
        <f>IFERROR(__xludf.DUMMYFUNCTION("""COMPUTED_VALUE"""),"3.9317468")</f>
        <v>3.9317468</v>
      </c>
      <c r="AA1451" s="4" t="str">
        <f t="shared" si="1"/>
        <v>Not Neighbor</v>
      </c>
      <c r="AC1451" s="4">
        <f>IFERROR(__xludf.DUMMYFUNCTION("IFERROR(ABS(O1451-AVERAGE(FILTER(O1451:O5519,AA1451:AA5519=""Neighbor""))) / STDEV(FILTER(O1451:O5519, AA1451:AA5519 =""Neighbor"")), """")"),3.4259915855746224)</f>
        <v>3.425991586</v>
      </c>
      <c r="AD1451" s="4">
        <f>IFERROR(__xludf.DUMMYFUNCTION("IFERROR(ABS(P1451-AVERAGE(FILTER(O1451:P5519,AA1451:AA5519=""Neighbor""))) / STDEV(FILTER(P1451:P5519, AA1451:AA5519 =""Neighbor"")), """")"),0.5560097139383733)</f>
        <v>0.5560097139</v>
      </c>
      <c r="AE1451" s="2">
        <f>IFERROR(__xludf.DUMMYFUNCTION("IFERROR(ABS(Q1451-AVERAGE(FILTER(Q1451:Q5519,AA1451:AA5519=""Neighbor""))) / STDEV(FILTER(Q1451:Q5519, AA1451:AA5519 =""Neighbor"")), """")"),0.6600061159522617)</f>
        <v>0.660006116</v>
      </c>
      <c r="AF1451" s="2">
        <f>IFERROR(__xludf.DUMMYFUNCTION("IFERROR(ABS(R1451-AVERAGE(FILTER(R1451:R5519,AA1451:AA5519=""Neighbor""))) / STDEV(FILTER(R1451:R5519, AA1451:AA5519 =""Neighbor"")), """")"),0.8438182118337578)</f>
        <v>0.8438182118</v>
      </c>
    </row>
    <row r="1452">
      <c r="A1452" s="2" t="s">
        <v>28</v>
      </c>
      <c r="B1452" s="2" t="s">
        <v>5384</v>
      </c>
      <c r="C1452" s="2" t="s">
        <v>5936</v>
      </c>
      <c r="D1452" s="2" t="s">
        <v>5937</v>
      </c>
      <c r="E1452" s="2" t="s">
        <v>5938</v>
      </c>
      <c r="F1452" s="2">
        <v>169.0</v>
      </c>
      <c r="G1452" s="2">
        <v>833.0</v>
      </c>
      <c r="H1452" s="2" t="b">
        <v>1</v>
      </c>
      <c r="I1452" s="2">
        <v>-1.0</v>
      </c>
      <c r="J1452" s="2" t="b">
        <v>0</v>
      </c>
      <c r="K1452" s="2" t="b">
        <v>0</v>
      </c>
      <c r="L1452" s="2" t="b">
        <v>0</v>
      </c>
      <c r="M1452" s="2" t="b">
        <v>0</v>
      </c>
      <c r="N1452" s="2" t="s">
        <v>33</v>
      </c>
      <c r="O1452" s="2">
        <v>96.0</v>
      </c>
      <c r="P1452" s="2">
        <v>10.0</v>
      </c>
      <c r="Q1452" s="2">
        <v>49.0</v>
      </c>
      <c r="R1452" s="2">
        <v>0.0</v>
      </c>
      <c r="S1452" s="3" t="s">
        <v>5939</v>
      </c>
      <c r="T1452" s="2" t="s">
        <v>5940</v>
      </c>
      <c r="Y1452" s="4" t="str">
        <f>IFERROR(__xludf.DUMMYFUNCTION("""COMPUTED_VALUE"""),"6.9157838")</f>
        <v>6.9157838</v>
      </c>
      <c r="Z1452" s="4" t="str">
        <f>IFERROR(__xludf.DUMMYFUNCTION("""COMPUTED_VALUE"""),"3.8960811")</f>
        <v>3.8960811</v>
      </c>
      <c r="AA1452" s="4" t="str">
        <f t="shared" si="1"/>
        <v>Not Neighbor</v>
      </c>
      <c r="AC1452" s="4">
        <f>IFERROR(__xludf.DUMMYFUNCTION("IFERROR(ABS(O1452-AVERAGE(FILTER(O1452:O5520,AA1452:AA5520=""Neighbor""))) / STDEV(FILTER(O1452:O5520, AA1452:AA5520 =""Neighbor"")), """")"),0.8888863276893744)</f>
        <v>0.8888863277</v>
      </c>
      <c r="AD1452" s="4">
        <f>IFERROR(__xludf.DUMMYFUNCTION("IFERROR(ABS(P1452-AVERAGE(FILTER(O1452:P5520,AA1452:AA5520=""Neighbor""))) / STDEV(FILTER(P1452:P5520, AA1452:AA5520 =""Neighbor"")), """")"),1.289880759830626)</f>
        <v>1.28988076</v>
      </c>
      <c r="AE1452" s="2">
        <f>IFERROR(__xludf.DUMMYFUNCTION("IFERROR(ABS(Q1452-AVERAGE(FILTER(Q1452:Q5520,AA1452:AA5520=""Neighbor""))) / STDEV(FILTER(Q1452:Q5520, AA1452:AA5520 =""Neighbor"")), """")"),0.9355412396233533)</f>
        <v>0.9355412396</v>
      </c>
      <c r="AF1452" s="2">
        <f>IFERROR(__xludf.DUMMYFUNCTION("IFERROR(ABS(R1452-AVERAGE(FILTER(R1452:R5520,AA1452:AA5520=""Neighbor""))) / STDEV(FILTER(R1452:R5520, AA1452:AA5520 =""Neighbor"")), """")"),0.34564725192150025)</f>
        <v>0.3456472519</v>
      </c>
    </row>
    <row r="1453">
      <c r="A1453" s="2" t="s">
        <v>28</v>
      </c>
      <c r="B1453" s="2" t="s">
        <v>5384</v>
      </c>
      <c r="C1453" s="2" t="s">
        <v>5936</v>
      </c>
      <c r="D1453" s="2" t="s">
        <v>5941</v>
      </c>
      <c r="E1453" s="2" t="s">
        <v>5942</v>
      </c>
      <c r="F1453" s="2">
        <v>166.0</v>
      </c>
      <c r="G1453" s="2">
        <v>750.0</v>
      </c>
      <c r="H1453" s="2" t="b">
        <v>1</v>
      </c>
      <c r="I1453" s="2">
        <v>-1.0</v>
      </c>
      <c r="J1453" s="2" t="b">
        <v>0</v>
      </c>
      <c r="K1453" s="2" t="b">
        <v>0</v>
      </c>
      <c r="L1453" s="2" t="b">
        <v>0</v>
      </c>
      <c r="M1453" s="2" t="b">
        <v>0</v>
      </c>
      <c r="N1453" s="2" t="s">
        <v>33</v>
      </c>
      <c r="O1453" s="2">
        <v>92.0</v>
      </c>
      <c r="P1453" s="2">
        <v>18.0</v>
      </c>
      <c r="Q1453" s="2">
        <v>41.0</v>
      </c>
      <c r="R1453" s="2">
        <v>0.0</v>
      </c>
      <c r="S1453" s="3" t="s">
        <v>5943</v>
      </c>
      <c r="T1453" s="2" t="s">
        <v>5944</v>
      </c>
      <c r="Y1453" s="4" t="str">
        <f>IFERROR(__xludf.DUMMYFUNCTION("""COMPUTED_VALUE"""),"6.9377788")</f>
        <v>6.9377788</v>
      </c>
      <c r="Z1453" s="4" t="str">
        <f>IFERROR(__xludf.DUMMYFUNCTION("""COMPUTED_VALUE"""),"3.9160947")</f>
        <v>3.9160947</v>
      </c>
      <c r="AA1453" s="4" t="str">
        <f t="shared" si="1"/>
        <v>Neighbor</v>
      </c>
      <c r="AC1453" s="4">
        <f>IFERROR(__xludf.DUMMYFUNCTION("IFERROR(ABS(O1453-AVERAGE(FILTER(O1453:O5521,AA1453:AA5521=""Neighbor""))) / STDEV(FILTER(O1453:O5521, AA1453:AA5521 =""Neighbor"")), """")"),0.7893920038507372)</f>
        <v>0.7893920039</v>
      </c>
      <c r="AD1453" s="4">
        <f>IFERROR(__xludf.DUMMYFUNCTION("IFERROR(ABS(P1453-AVERAGE(FILTER(O1453:P5521,AA1453:AA5521=""Neighbor""))) / STDEV(FILTER(P1453:P5521, AA1453:AA5521 =""Neighbor"")), """")"),0.9229452368844996)</f>
        <v>0.9229452369</v>
      </c>
      <c r="AE1453" s="2">
        <f>IFERROR(__xludf.DUMMYFUNCTION("IFERROR(ABS(Q1453-AVERAGE(FILTER(Q1453:Q5521,AA1453:AA5521=""Neighbor""))) / STDEV(FILTER(Q1453:Q5521, AA1453:AA5521 =""Neighbor"")), """")"),0.62064395542782)</f>
        <v>0.6206439554</v>
      </c>
      <c r="AF1453" s="2">
        <f>IFERROR(__xludf.DUMMYFUNCTION("IFERROR(ABS(R1453-AVERAGE(FILTER(R1453:R5521,AA1453:AA5521=""Neighbor""))) / STDEV(FILTER(R1453:R5521, AA1453:AA5521 =""Neighbor"")), """")"),0.34564725192150025)</f>
        <v>0.3456472519</v>
      </c>
    </row>
    <row r="1454">
      <c r="A1454" s="2" t="s">
        <v>28</v>
      </c>
      <c r="B1454" s="2" t="s">
        <v>5384</v>
      </c>
      <c r="C1454" s="2" t="s">
        <v>5936</v>
      </c>
      <c r="D1454" s="2" t="s">
        <v>5945</v>
      </c>
      <c r="E1454" s="2" t="s">
        <v>5946</v>
      </c>
      <c r="F1454" s="2">
        <v>232.0</v>
      </c>
      <c r="G1454" s="2">
        <v>987.0</v>
      </c>
      <c r="H1454" s="2" t="b">
        <v>1</v>
      </c>
      <c r="I1454" s="2">
        <v>-1.0</v>
      </c>
      <c r="J1454" s="2" t="b">
        <v>0</v>
      </c>
      <c r="K1454" s="2" t="b">
        <v>1</v>
      </c>
      <c r="L1454" s="2" t="b">
        <v>0</v>
      </c>
      <c r="M1454" s="2" t="b">
        <v>0</v>
      </c>
      <c r="N1454" s="2" t="s">
        <v>33</v>
      </c>
      <c r="O1454" s="2">
        <v>145.0</v>
      </c>
      <c r="P1454" s="2">
        <v>25.0</v>
      </c>
      <c r="Q1454" s="2">
        <v>52.0</v>
      </c>
      <c r="R1454" s="2">
        <v>0.0</v>
      </c>
      <c r="S1454" s="3" t="s">
        <v>5947</v>
      </c>
      <c r="T1454" s="2" t="s">
        <v>5948</v>
      </c>
      <c r="Y1454" s="4" t="str">
        <f>IFERROR(__xludf.DUMMYFUNCTION("""COMPUTED_VALUE"""),"6.9377788")</f>
        <v>6.9377788</v>
      </c>
      <c r="Z1454" s="4" t="str">
        <f>IFERROR(__xludf.DUMMYFUNCTION("""COMPUTED_VALUE"""),"3.9160947")</f>
        <v>3.9160947</v>
      </c>
      <c r="AA1454" s="4" t="str">
        <f t="shared" si="1"/>
        <v>Not Neighbor</v>
      </c>
      <c r="AC1454" s="4">
        <f>IFERROR(__xludf.DUMMYFUNCTION("IFERROR(ABS(O1454-AVERAGE(FILTER(O1454:O5522,AA1454:AA5522=""Neighbor""))) / STDEV(FILTER(O1454:O5522, AA1454:AA5522 =""Neighbor"")), """")"),2.1080541635954124)</f>
        <v>2.108054164</v>
      </c>
      <c r="AD1454" s="4">
        <f>IFERROR(__xludf.DUMMYFUNCTION("IFERROR(ABS(P1454-AVERAGE(FILTER(O1454:P5522,AA1454:AA5522=""Neighbor""))) / STDEV(FILTER(P1454:P5522, AA1454:AA5522 =""Neighbor"")), """")"),0.6008866247247654)</f>
        <v>0.6008866247</v>
      </c>
      <c r="AE1454" s="2">
        <f>IFERROR(__xludf.DUMMYFUNCTION("IFERROR(ABS(Q1454-AVERAGE(FILTER(Q1454:Q5522,AA1454:AA5522=""Neighbor""))) / STDEV(FILTER(Q1454:Q5522, AA1454:AA5522 =""Neighbor"")), """")"),1.0539015976619042)</f>
        <v>1.053901598</v>
      </c>
      <c r="AF1454" s="2">
        <f>IFERROR(__xludf.DUMMYFUNCTION("IFERROR(ABS(R1454-AVERAGE(FILTER(R1454:R5522,AA1454:AA5522=""Neighbor""))) / STDEV(FILTER(R1454:R5522, AA1454:AA5522 =""Neighbor"")), """")"),0.34582573945019124)</f>
        <v>0.3458257395</v>
      </c>
    </row>
    <row r="1455">
      <c r="A1455" s="2" t="s">
        <v>28</v>
      </c>
      <c r="B1455" s="2" t="s">
        <v>5384</v>
      </c>
      <c r="C1455" s="2" t="s">
        <v>5936</v>
      </c>
      <c r="D1455" s="2" t="s">
        <v>5949</v>
      </c>
      <c r="E1455" s="2" t="s">
        <v>5950</v>
      </c>
      <c r="F1455" s="2">
        <v>171.0</v>
      </c>
      <c r="G1455" s="2">
        <v>707.0</v>
      </c>
      <c r="H1455" s="2" t="b">
        <v>1</v>
      </c>
      <c r="I1455" s="2">
        <v>-1.0</v>
      </c>
      <c r="J1455" s="2" t="b">
        <v>0</v>
      </c>
      <c r="K1455" s="2" t="b">
        <v>0</v>
      </c>
      <c r="L1455" s="2" t="b">
        <v>0</v>
      </c>
      <c r="M1455" s="2" t="b">
        <v>0</v>
      </c>
      <c r="N1455" s="2" t="s">
        <v>33</v>
      </c>
      <c r="O1455" s="2">
        <v>109.0</v>
      </c>
      <c r="P1455" s="2">
        <v>7.0</v>
      </c>
      <c r="Q1455" s="2">
        <v>36.0</v>
      </c>
      <c r="R1455" s="2">
        <v>1.0</v>
      </c>
      <c r="S1455" s="3" t="s">
        <v>5951</v>
      </c>
      <c r="T1455" s="2" t="s">
        <v>5952</v>
      </c>
      <c r="Y1455" s="4" t="str">
        <f>IFERROR(__xludf.DUMMYFUNCTION("""COMPUTED_VALUE"""),"6.9157838")</f>
        <v>6.9157838</v>
      </c>
      <c r="Z1455" s="4" t="str">
        <f>IFERROR(__xludf.DUMMYFUNCTION("""COMPUTED_VALUE"""),"3.8960811")</f>
        <v>3.8960811</v>
      </c>
      <c r="AA1455" s="4" t="str">
        <f t="shared" si="1"/>
        <v>Not Neighbor</v>
      </c>
      <c r="AC1455" s="4">
        <f>IFERROR(__xludf.DUMMYFUNCTION("IFERROR(ABS(O1455-AVERAGE(FILTER(O1455:O5523,AA1455:AA5523=""Neighbor""))) / STDEV(FILTER(O1455:O5523, AA1455:AA5523 =""Neighbor"")), """")"),1.2127609126476238)</f>
        <v>1.212760913</v>
      </c>
      <c r="AD1455" s="4">
        <f>IFERROR(__xludf.DUMMYFUNCTION("IFERROR(ABS(P1455-AVERAGE(FILTER(O1455:P5523,AA1455:AA5523=""Neighbor""))) / STDEV(FILTER(P1455:P5523, AA1455:AA5523 =""Neighbor"")), """")"),1.426113569131724)</f>
        <v>1.426113569</v>
      </c>
      <c r="AE1455" s="2">
        <f>IFERROR(__xludf.DUMMYFUNCTION("IFERROR(ABS(Q1455-AVERAGE(FILTER(Q1455:Q5523,AA1455:AA5523=""Neighbor""))) / STDEV(FILTER(Q1455:Q5523, AA1455:AA5523 =""Neighbor"")), """")"),0.4242857767935892)</f>
        <v>0.4242857768</v>
      </c>
      <c r="AF1455" s="2">
        <f>IFERROR(__xludf.DUMMYFUNCTION("IFERROR(ABS(R1455-AVERAGE(FILTER(R1455:R5523,AA1455:AA5523=""Neighbor""))) / STDEV(FILTER(R1455:R5523, AA1455:AA5523 =""Neighbor"")), """")"),0.8431560885642757)</f>
        <v>0.8431560886</v>
      </c>
    </row>
    <row r="1456">
      <c r="A1456" s="2" t="s">
        <v>28</v>
      </c>
      <c r="B1456" s="2" t="s">
        <v>5384</v>
      </c>
      <c r="C1456" s="2" t="s">
        <v>5936</v>
      </c>
      <c r="D1456" s="2" t="s">
        <v>5953</v>
      </c>
      <c r="E1456" s="2" t="s">
        <v>5954</v>
      </c>
      <c r="F1456" s="2">
        <v>184.0</v>
      </c>
      <c r="G1456" s="2">
        <v>750.0</v>
      </c>
      <c r="H1456" s="2" t="b">
        <v>1</v>
      </c>
      <c r="I1456" s="2">
        <v>-1.0</v>
      </c>
      <c r="J1456" s="2" t="b">
        <v>0</v>
      </c>
      <c r="K1456" s="2" t="b">
        <v>0</v>
      </c>
      <c r="L1456" s="2" t="b">
        <v>0</v>
      </c>
      <c r="M1456" s="2" t="b">
        <v>0</v>
      </c>
      <c r="N1456" s="2" t="s">
        <v>33</v>
      </c>
      <c r="O1456" s="2">
        <v>103.0</v>
      </c>
      <c r="P1456" s="2">
        <v>26.0</v>
      </c>
      <c r="Q1456" s="2">
        <v>47.0</v>
      </c>
      <c r="R1456" s="2">
        <v>0.0</v>
      </c>
      <c r="S1456" s="3" t="s">
        <v>5955</v>
      </c>
      <c r="T1456" s="2" t="s">
        <v>5956</v>
      </c>
      <c r="Y1456" s="4" t="str">
        <f>IFERROR(__xludf.DUMMYFUNCTION("""COMPUTED_VALUE"""),"6.9413072")</f>
        <v>6.9413072</v>
      </c>
      <c r="Z1456" s="4" t="str">
        <f>IFERROR(__xludf.DUMMYFUNCTION("""COMPUTED_VALUE"""),"3.9201316")</f>
        <v>3.9201316</v>
      </c>
      <c r="AA1456" s="4" t="str">
        <f t="shared" si="1"/>
        <v>Neighbor</v>
      </c>
      <c r="AC1456" s="4">
        <f>IFERROR(__xludf.DUMMYFUNCTION("IFERROR(ABS(O1456-AVERAGE(FILTER(O1456:O5524,AA1456:AA5524=""Neighbor""))) / STDEV(FILTER(O1456:O5524, AA1456:AA5524 =""Neighbor"")), """")"),1.0635453708229923)</f>
        <v>1.063545371</v>
      </c>
      <c r="AD1456" s="4">
        <f>IFERROR(__xludf.DUMMYFUNCTION("IFERROR(ABS(P1456-AVERAGE(FILTER(O1456:P5524,AA1456:AA5524=""Neighbor""))) / STDEV(FILTER(P1456:P5524, AA1456:AA5524 =""Neighbor"")), """")"),0.5550406833688232)</f>
        <v>0.5550406834</v>
      </c>
      <c r="AE1456" s="2">
        <f>IFERROR(__xludf.DUMMYFUNCTION("IFERROR(ABS(Q1456-AVERAGE(FILTER(Q1456:Q5524,AA1456:AA5524=""Neighbor""))) / STDEV(FILTER(Q1456:Q5524, AA1456:AA5524 =""Neighbor"")), """")"),0.8571466536405558)</f>
        <v>0.8571466536</v>
      </c>
      <c r="AF1456" s="2">
        <f>IFERROR(__xludf.DUMMYFUNCTION("IFERROR(ABS(R1456-AVERAGE(FILTER(R1456:R5524,AA1456:AA5524=""Neighbor""))) / STDEV(FILTER(R1456:R5524, AA1456:AA5524 =""Neighbor"")), """")"),0.34582573945019124)</f>
        <v>0.3458257395</v>
      </c>
    </row>
    <row r="1457">
      <c r="A1457" s="2" t="s">
        <v>28</v>
      </c>
      <c r="B1457" s="2" t="s">
        <v>5384</v>
      </c>
      <c r="C1457" s="2" t="s">
        <v>5936</v>
      </c>
      <c r="D1457" s="2" t="s">
        <v>5957</v>
      </c>
      <c r="E1457" s="2" t="s">
        <v>5958</v>
      </c>
      <c r="F1457" s="2">
        <v>157.0</v>
      </c>
      <c r="G1457" s="2">
        <v>735.0</v>
      </c>
      <c r="H1457" s="2" t="b">
        <v>1</v>
      </c>
      <c r="I1457" s="2">
        <v>-1.0</v>
      </c>
      <c r="J1457" s="2" t="b">
        <v>0</v>
      </c>
      <c r="K1457" s="2" t="b">
        <v>0</v>
      </c>
      <c r="L1457" s="2" t="b">
        <v>0</v>
      </c>
      <c r="M1457" s="2" t="b">
        <v>0</v>
      </c>
      <c r="N1457" s="2" t="s">
        <v>33</v>
      </c>
      <c r="O1457" s="2">
        <v>82.0</v>
      </c>
      <c r="P1457" s="2">
        <v>8.0</v>
      </c>
      <c r="Q1457" s="2">
        <v>59.0</v>
      </c>
      <c r="R1457" s="2">
        <v>0.0</v>
      </c>
      <c r="S1457" s="3" t="s">
        <v>5959</v>
      </c>
      <c r="T1457" s="2" t="s">
        <v>5960</v>
      </c>
      <c r="Y1457" s="4" t="str">
        <f>IFERROR(__xludf.DUMMYFUNCTION("""COMPUTED_VALUE"""),"6.9466069")</f>
        <v>6.9466069</v>
      </c>
      <c r="Z1457" s="4" t="str">
        <f>IFERROR(__xludf.DUMMYFUNCTION("""COMPUTED_VALUE"""),"3.9218465")</f>
        <v>3.9218465</v>
      </c>
      <c r="AA1457" s="4" t="str">
        <f t="shared" si="1"/>
        <v>Not Neighbor</v>
      </c>
      <c r="AC1457" s="4">
        <f>IFERROR(__xludf.DUMMYFUNCTION("IFERROR(ABS(O1457-AVERAGE(FILTER(O1457:O5525,AA1457:AA5525=""Neighbor""))) / STDEV(FILTER(O1457:O5525, AA1457:AA5525 =""Neighbor"")), """")"),0.5423070734319264)</f>
        <v>0.5423070734</v>
      </c>
      <c r="AD1457" s="4">
        <f>IFERROR(__xludf.DUMMYFUNCTION("IFERROR(ABS(P1457-AVERAGE(FILTER(O1457:P5525,AA1457:AA5525=""Neighbor""))) / STDEV(FILTER(P1457:P5525, AA1457:AA5525 =""Neighbor"")), """")"),1.3786464456553686)</f>
        <v>1.378646446</v>
      </c>
      <c r="AE1457" s="2">
        <f>IFERROR(__xludf.DUMMYFUNCTION("IFERROR(ABS(Q1457-AVERAGE(FILTER(Q1457:Q5525,AA1457:AA5525=""Neighbor""))) / STDEV(FILTER(Q1457:Q5525, AA1457:AA5525 =""Neighbor"")), """")"),1.3299879310737666)</f>
        <v>1.329987931</v>
      </c>
      <c r="AF1457" s="2">
        <f>IFERROR(__xludf.DUMMYFUNCTION("IFERROR(ABS(R1457-AVERAGE(FILTER(R1457:R5525,AA1457:AA5525=""Neighbor""))) / STDEV(FILTER(R1457:R5525, AA1457:AA5525 =""Neighbor"")), """")"),0.3460045038027562)</f>
        <v>0.3460045038</v>
      </c>
    </row>
    <row r="1458">
      <c r="A1458" s="2" t="s">
        <v>28</v>
      </c>
      <c r="B1458" s="2" t="s">
        <v>5384</v>
      </c>
      <c r="C1458" s="2" t="s">
        <v>5936</v>
      </c>
      <c r="D1458" s="2" t="s">
        <v>5961</v>
      </c>
      <c r="E1458" s="2" t="s">
        <v>5962</v>
      </c>
      <c r="F1458" s="2">
        <v>211.0</v>
      </c>
      <c r="G1458" s="2">
        <v>887.0</v>
      </c>
      <c r="H1458" s="2" t="b">
        <v>1</v>
      </c>
      <c r="I1458" s="2">
        <v>-1.0</v>
      </c>
      <c r="J1458" s="2" t="b">
        <v>0</v>
      </c>
      <c r="K1458" s="2" t="b">
        <v>0</v>
      </c>
      <c r="L1458" s="2" t="b">
        <v>0</v>
      </c>
      <c r="M1458" s="2" t="b">
        <v>0</v>
      </c>
      <c r="N1458" s="2" t="s">
        <v>33</v>
      </c>
      <c r="O1458" s="2">
        <v>140.0</v>
      </c>
      <c r="P1458" s="2">
        <v>20.0</v>
      </c>
      <c r="Q1458" s="2">
        <v>39.0</v>
      </c>
      <c r="R1458" s="2">
        <v>0.0</v>
      </c>
      <c r="S1458" s="3" t="s">
        <v>5963</v>
      </c>
      <c r="T1458" s="2" t="s">
        <v>5964</v>
      </c>
      <c r="Y1458" s="4" t="str">
        <f>IFERROR(__xludf.DUMMYFUNCTION("""COMPUTED_VALUE"""),"6.9157838")</f>
        <v>6.9157838</v>
      </c>
      <c r="Z1458" s="4" t="str">
        <f>IFERROR(__xludf.DUMMYFUNCTION("""COMPUTED_VALUE"""),"3.8960811")</f>
        <v>3.8960811</v>
      </c>
      <c r="AA1458" s="4" t="str">
        <f t="shared" si="1"/>
        <v>Not Neighbor</v>
      </c>
      <c r="AC1458" s="4">
        <f>IFERROR(__xludf.DUMMYFUNCTION("IFERROR(ABS(O1458-AVERAGE(FILTER(O1458:O5526,AA1458:AA5526=""Neighbor""))) / STDEV(FILTER(O1458:O5526, AA1458:AA5526 =""Neighbor"")), """")"),1.9848121681758748)</f>
        <v>1.984812168</v>
      </c>
      <c r="AD1458" s="4">
        <f>IFERROR(__xludf.DUMMYFUNCTION("IFERROR(ABS(P1458-AVERAGE(FILTER(O1458:P5526,AA1458:AA5526=""Neighbor""))) / STDEV(FILTER(P1458:P5526, AA1458:AA5526 =""Neighbor"")), """")"),0.8286957420887674)</f>
        <v>0.8286957421</v>
      </c>
      <c r="AE1458" s="2">
        <f>IFERROR(__xludf.DUMMYFUNCTION("IFERROR(ABS(Q1458-AVERAGE(FILTER(Q1458:Q5526,AA1458:AA5526=""Neighbor""))) / STDEV(FILTER(Q1458:Q5526, AA1458:AA5526 =""Neighbor"")), """")"),0.5430644655398816)</f>
        <v>0.5430644655</v>
      </c>
      <c r="AF1458" s="2">
        <f>IFERROR(__xludf.DUMMYFUNCTION("IFERROR(ABS(R1458-AVERAGE(FILTER(R1458:R5526,AA1458:AA5526=""Neighbor""))) / STDEV(FILTER(R1458:R5526, AA1458:AA5526 =""Neighbor"")), """")"),0.3460045038027562)</f>
        <v>0.3460045038</v>
      </c>
    </row>
    <row r="1459">
      <c r="A1459" s="2" t="s">
        <v>28</v>
      </c>
      <c r="B1459" s="2" t="s">
        <v>5384</v>
      </c>
      <c r="C1459" s="2" t="s">
        <v>5936</v>
      </c>
      <c r="D1459" s="2" t="s">
        <v>5965</v>
      </c>
      <c r="E1459" s="2" t="s">
        <v>5966</v>
      </c>
      <c r="F1459" s="2">
        <v>129.0</v>
      </c>
      <c r="G1459" s="2">
        <v>801.0</v>
      </c>
      <c r="H1459" s="2" t="b">
        <v>1</v>
      </c>
      <c r="I1459" s="2">
        <v>-1.0</v>
      </c>
      <c r="J1459" s="2" t="b">
        <v>0</v>
      </c>
      <c r="K1459" s="2" t="b">
        <v>0</v>
      </c>
      <c r="L1459" s="2" t="b">
        <v>0</v>
      </c>
      <c r="M1459" s="2" t="b">
        <v>0</v>
      </c>
      <c r="N1459" s="2" t="s">
        <v>33</v>
      </c>
      <c r="O1459" s="2">
        <v>79.0</v>
      </c>
      <c r="P1459" s="2">
        <v>23.0</v>
      </c>
      <c r="Q1459" s="2">
        <v>19.0</v>
      </c>
      <c r="R1459" s="2">
        <v>0.0</v>
      </c>
      <c r="S1459" s="3" t="s">
        <v>5967</v>
      </c>
      <c r="T1459" s="2" t="s">
        <v>5968</v>
      </c>
      <c r="Y1459" s="4" t="str">
        <f>IFERROR(__xludf.DUMMYFUNCTION("""COMPUTED_VALUE"""),"6.947933")</f>
        <v>6.947933</v>
      </c>
      <c r="Z1459" s="4" t="str">
        <f>IFERROR(__xludf.DUMMYFUNCTION("""COMPUTED_VALUE"""),"3.9120935")</f>
        <v>3.9120935</v>
      </c>
      <c r="AA1459" s="4" t="str">
        <f t="shared" si="1"/>
        <v>Not Neighbor</v>
      </c>
      <c r="AC1459" s="4">
        <f>IFERROR(__xludf.DUMMYFUNCTION("IFERROR(ABS(O1459-AVERAGE(FILTER(O1459:O5527,AA1459:AA5527=""Neighbor""))) / STDEV(FILTER(O1459:O5527, AA1459:AA5527 =""Neighbor"")), """")"),0.4676947409451704)</f>
        <v>0.4676947409</v>
      </c>
      <c r="AD1459" s="4">
        <f>IFERROR(__xludf.DUMMYFUNCTION("IFERROR(ABS(P1459-AVERAGE(FILTER(O1459:P5527,AA1459:AA5527=""Neighbor""))) / STDEV(FILTER(P1459:P5527, AA1459:AA5527 =""Neighbor"")), """")"),0.691208066197117)</f>
        <v>0.6912080662</v>
      </c>
      <c r="AE1459" s="2">
        <f>IFERROR(__xludf.DUMMYFUNCTION("IFERROR(ABS(Q1459-AVERAGE(FILTER(Q1459:Q5527,AA1459:AA5527=""Neighbor""))) / STDEV(FILTER(Q1459:Q5527, AA1459:AA5527 =""Neighbor"")), """")"),0.24385899999400332)</f>
        <v>0.243859</v>
      </c>
      <c r="AF1459" s="2">
        <f>IFERROR(__xludf.DUMMYFUNCTION("IFERROR(ABS(R1459-AVERAGE(FILTER(R1459:R5527,AA1459:AA5527=""Neighbor""))) / STDEV(FILTER(R1459:R5527, AA1459:AA5527 =""Neighbor"")), """")"),0.3460045038027562)</f>
        <v>0.3460045038</v>
      </c>
    </row>
    <row r="1460">
      <c r="A1460" s="2" t="s">
        <v>28</v>
      </c>
      <c r="B1460" s="2" t="s">
        <v>5384</v>
      </c>
      <c r="C1460" s="2" t="s">
        <v>5936</v>
      </c>
      <c r="D1460" s="2" t="s">
        <v>5969</v>
      </c>
      <c r="E1460" s="2" t="s">
        <v>5970</v>
      </c>
      <c r="F1460" s="2">
        <v>159.0</v>
      </c>
      <c r="G1460" s="2">
        <v>621.0</v>
      </c>
      <c r="H1460" s="2" t="b">
        <v>1</v>
      </c>
      <c r="I1460" s="2">
        <v>-1.0</v>
      </c>
      <c r="J1460" s="2" t="b">
        <v>0</v>
      </c>
      <c r="K1460" s="2" t="b">
        <v>0</v>
      </c>
      <c r="L1460" s="2" t="b">
        <v>0</v>
      </c>
      <c r="M1460" s="2" t="b">
        <v>0</v>
      </c>
      <c r="N1460" s="2" t="s">
        <v>33</v>
      </c>
      <c r="O1460" s="2">
        <v>100.0</v>
      </c>
      <c r="P1460" s="2">
        <v>13.0</v>
      </c>
      <c r="Q1460" s="2">
        <v>32.0</v>
      </c>
      <c r="R1460" s="2">
        <v>1.0</v>
      </c>
      <c r="S1460" s="3" t="s">
        <v>5971</v>
      </c>
      <c r="T1460" s="2" t="s">
        <v>5972</v>
      </c>
      <c r="Y1460" s="4" t="str">
        <f>IFERROR(__xludf.DUMMYFUNCTION("""COMPUTED_VALUE"""),"6.9157838")</f>
        <v>6.9157838</v>
      </c>
      <c r="Z1460" s="4" t="str">
        <f>IFERROR(__xludf.DUMMYFUNCTION("""COMPUTED_VALUE"""),"3.8960811")</f>
        <v>3.8960811</v>
      </c>
      <c r="AA1460" s="4" t="str">
        <f t="shared" si="1"/>
        <v>Not Neighbor</v>
      </c>
      <c r="AC1460" s="4">
        <f>IFERROR(__xludf.DUMMYFUNCTION("IFERROR(ABS(O1460-AVERAGE(FILTER(O1460:O5528,AA1460:AA5528=""Neighbor""))) / STDEV(FILTER(O1460:O5528, AA1460:AA5528 =""Neighbor"")), """")"),0.9899810683524621)</f>
        <v>0.9899810684</v>
      </c>
      <c r="AD1460" s="4">
        <f>IFERROR(__xludf.DUMMYFUNCTION("IFERROR(ABS(P1460-AVERAGE(FILTER(O1460:P5528,AA1460:AA5528=""Neighbor""))) / STDEV(FILTER(P1460:P5528, AA1460:AA5528 =""Neighbor"")), """")"),1.1495003191692847)</f>
        <v>1.149500319</v>
      </c>
      <c r="AE1460" s="2">
        <f>IFERROR(__xludf.DUMMYFUNCTION("IFERROR(ABS(Q1460-AVERAGE(FILTER(Q1460:Q5528,AA1460:AA5528=""Neighbor""))) / STDEV(FILTER(Q1460:Q5528, AA1460:AA5528 =""Neighbor"")), """")"),0.2676412526030219)</f>
        <v>0.2676412526</v>
      </c>
      <c r="AF1460" s="2">
        <f>IFERROR(__xludf.DUMMYFUNCTION("IFERROR(ABS(R1460-AVERAGE(FILTER(R1460:R5528,AA1460:AA5528=""Neighbor""))) / STDEV(FILTER(R1460:R5528, AA1460:AA5528 =""Neighbor"")), """")"),0.8424935060848063)</f>
        <v>0.8424935061</v>
      </c>
    </row>
    <row r="1461">
      <c r="A1461" s="2" t="s">
        <v>28</v>
      </c>
      <c r="B1461" s="2" t="s">
        <v>5384</v>
      </c>
      <c r="C1461" s="2" t="s">
        <v>5936</v>
      </c>
      <c r="D1461" s="2" t="s">
        <v>5973</v>
      </c>
      <c r="E1461" s="2" t="s">
        <v>5974</v>
      </c>
      <c r="F1461" s="2">
        <v>123.0</v>
      </c>
      <c r="G1461" s="2">
        <v>613.0</v>
      </c>
      <c r="H1461" s="2" t="b">
        <v>1</v>
      </c>
      <c r="I1461" s="2">
        <v>-1.0</v>
      </c>
      <c r="J1461" s="2" t="b">
        <v>0</v>
      </c>
      <c r="K1461" s="2" t="b">
        <v>0</v>
      </c>
      <c r="L1461" s="2" t="b">
        <v>0</v>
      </c>
      <c r="M1461" s="2" t="b">
        <v>0</v>
      </c>
      <c r="N1461" s="2" t="s">
        <v>33</v>
      </c>
      <c r="O1461" s="2">
        <v>65.0</v>
      </c>
      <c r="P1461" s="2">
        <v>10.0</v>
      </c>
      <c r="Q1461" s="2">
        <v>42.0</v>
      </c>
      <c r="R1461" s="2">
        <v>0.0</v>
      </c>
      <c r="S1461" s="3" t="s">
        <v>5975</v>
      </c>
      <c r="T1461" s="2" t="s">
        <v>5976</v>
      </c>
      <c r="Y1461" s="4" t="str">
        <f>IFERROR(__xludf.DUMMYFUNCTION("""COMPUTED_VALUE"""),"6.9421894")</f>
        <v>6.9421894</v>
      </c>
      <c r="Z1461" s="4" t="str">
        <f>IFERROR(__xludf.DUMMYFUNCTION("""COMPUTED_VALUE"""),"3.9170122")</f>
        <v>3.9170122</v>
      </c>
      <c r="AA1461" s="4" t="str">
        <f t="shared" si="1"/>
        <v>Not Neighbor</v>
      </c>
      <c r="AC1461" s="4">
        <f>IFERROR(__xludf.DUMMYFUNCTION("IFERROR(ABS(O1461-AVERAGE(FILTER(O1461:O5529,AA1461:AA5529=""Neighbor""))) / STDEV(FILTER(O1461:O5529, AA1461:AA5529 =""Neighbor"")), """")"),0.11950385600697595)</f>
        <v>0.119503856</v>
      </c>
      <c r="AD1461" s="4">
        <f>IFERROR(__xludf.DUMMYFUNCTION("IFERROR(ABS(P1461-AVERAGE(FILTER(O1461:P5529,AA1461:AA5529=""Neighbor""))) / STDEV(FILTER(P1461:P5529, AA1461:AA5529 =""Neighbor"")), """")"),1.286987995060935)</f>
        <v>1.286987995</v>
      </c>
      <c r="AE1461" s="2">
        <f>IFERROR(__xludf.DUMMYFUNCTION("IFERROR(ABS(Q1461-AVERAGE(FILTER(Q1461:Q5529,AA1461:AA5529=""Neighbor""))) / STDEV(FILTER(Q1461:Q5529, AA1461:AA5529 =""Neighbor"")), """")"),0.6611029853699644)</f>
        <v>0.6611029854</v>
      </c>
      <c r="AF1461" s="2">
        <f>IFERROR(__xludf.DUMMYFUNCTION("IFERROR(ABS(R1461-AVERAGE(FILTER(R1461:R5529,AA1461:AA5529=""Neighbor""))) / STDEV(FILTER(R1461:R5529, AA1461:AA5529 =""Neighbor"")), """")"),0.3460045038027562)</f>
        <v>0.3460045038</v>
      </c>
    </row>
    <row r="1462">
      <c r="A1462" s="2" t="s">
        <v>28</v>
      </c>
      <c r="B1462" s="2" t="s">
        <v>5384</v>
      </c>
      <c r="C1462" s="2" t="s">
        <v>5936</v>
      </c>
      <c r="D1462" s="2" t="s">
        <v>5977</v>
      </c>
      <c r="E1462" s="2" t="s">
        <v>5978</v>
      </c>
      <c r="F1462" s="2">
        <v>74.0</v>
      </c>
      <c r="G1462" s="2">
        <v>235.0</v>
      </c>
      <c r="H1462" s="2" t="b">
        <v>1</v>
      </c>
      <c r="I1462" s="2">
        <v>-1.0</v>
      </c>
      <c r="J1462" s="2" t="b">
        <v>0</v>
      </c>
      <c r="K1462" s="2" t="b">
        <v>0</v>
      </c>
      <c r="L1462" s="2" t="b">
        <v>0</v>
      </c>
      <c r="M1462" s="2" t="b">
        <v>0</v>
      </c>
      <c r="N1462" s="2" t="s">
        <v>33</v>
      </c>
      <c r="O1462" s="2">
        <v>49.0</v>
      </c>
      <c r="P1462" s="2">
        <v>7.0</v>
      </c>
      <c r="Q1462" s="2">
        <v>14.0</v>
      </c>
      <c r="R1462" s="2">
        <v>0.0</v>
      </c>
      <c r="S1462" s="3" t="s">
        <v>5979</v>
      </c>
      <c r="T1462" s="2" t="s">
        <v>5980</v>
      </c>
      <c r="Y1462" s="4" t="str">
        <f>IFERROR(__xludf.DUMMYFUNCTION("""COMPUTED_VALUE"""),"6.9157838")</f>
        <v>6.9157838</v>
      </c>
      <c r="Z1462" s="4" t="str">
        <f>IFERROR(__xludf.DUMMYFUNCTION("""COMPUTED_VALUE"""),"3.8960811")</f>
        <v>3.8960811</v>
      </c>
      <c r="AA1462" s="4" t="str">
        <f t="shared" si="1"/>
        <v>Neighbor</v>
      </c>
      <c r="AC1462" s="4">
        <f>IFERROR(__xludf.DUMMYFUNCTION("IFERROR(ABS(O1462-AVERAGE(FILTER(O1462:O5530,AA1462:AA5530=""Neighbor""))) / STDEV(FILTER(O1462:O5530, AA1462:AA5530 =""Neighbor"")), """")"),0.2784285839223892)</f>
        <v>0.2784285839</v>
      </c>
      <c r="AD1462" s="4">
        <f>IFERROR(__xludf.DUMMYFUNCTION("IFERROR(ABS(P1462-AVERAGE(FILTER(O1462:P5530,AA1462:AA5530=""Neighbor""))) / STDEV(FILTER(P1462:P5530, AA1462:AA5530 =""Neighbor"")), """")"),1.4244756709525854)</f>
        <v>1.424475671</v>
      </c>
      <c r="AE1462" s="2">
        <f>IFERROR(__xludf.DUMMYFUNCTION("IFERROR(ABS(Q1462-AVERAGE(FILTER(Q1462:Q5530,AA1462:AA5530=""Neighbor""))) / STDEV(FILTER(Q1462:Q5530, AA1462:AA5530 =""Neighbor"")), """")"),0.44058986637747455)</f>
        <v>0.4405898664</v>
      </c>
      <c r="AF1462" s="2">
        <f>IFERROR(__xludf.DUMMYFUNCTION("IFERROR(ABS(R1462-AVERAGE(FILTER(R1462:R5530,AA1462:AA5530=""Neighbor""))) / STDEV(FILTER(R1462:R5530, AA1462:AA5530 =""Neighbor"")), """")"),0.3460045038027562)</f>
        <v>0.3460045038</v>
      </c>
    </row>
    <row r="1463">
      <c r="A1463" s="2" t="s">
        <v>28</v>
      </c>
      <c r="B1463" s="2" t="s">
        <v>5384</v>
      </c>
      <c r="C1463" s="2" t="s">
        <v>5936</v>
      </c>
      <c r="D1463" s="2" t="s">
        <v>5981</v>
      </c>
      <c r="E1463" s="2" t="s">
        <v>5982</v>
      </c>
      <c r="F1463" s="2">
        <v>119.0</v>
      </c>
      <c r="G1463" s="2">
        <v>574.0</v>
      </c>
      <c r="H1463" s="2" t="b">
        <v>1</v>
      </c>
      <c r="I1463" s="2">
        <v>-1.0</v>
      </c>
      <c r="J1463" s="2" t="b">
        <v>0</v>
      </c>
      <c r="K1463" s="2" t="b">
        <v>0</v>
      </c>
      <c r="L1463" s="2" t="b">
        <v>0</v>
      </c>
      <c r="M1463" s="2" t="b">
        <v>0</v>
      </c>
      <c r="N1463" s="2" t="s">
        <v>33</v>
      </c>
      <c r="O1463" s="2">
        <v>76.0</v>
      </c>
      <c r="P1463" s="2">
        <v>6.0</v>
      </c>
      <c r="Q1463" s="2">
        <v>29.0</v>
      </c>
      <c r="R1463" s="2">
        <v>0.0</v>
      </c>
      <c r="S1463" s="3" t="s">
        <v>5983</v>
      </c>
      <c r="T1463" s="2" t="s">
        <v>5984</v>
      </c>
      <c r="Y1463" s="4" t="str">
        <f>IFERROR(__xludf.DUMMYFUNCTION("""COMPUTED_VALUE"""),"6.9157838")</f>
        <v>6.9157838</v>
      </c>
      <c r="Z1463" s="4" t="str">
        <f>IFERROR(__xludf.DUMMYFUNCTION("""COMPUTED_VALUE"""),"3.8960811")</f>
        <v>3.8960811</v>
      </c>
      <c r="AA1463" s="4" t="str">
        <f t="shared" si="1"/>
        <v>Not Neighbor</v>
      </c>
      <c r="AC1463" s="4">
        <f>IFERROR(__xludf.DUMMYFUNCTION("IFERROR(ABS(O1463-AVERAGE(FILTER(O1463:O5531,AA1463:AA5531=""Neighbor""))) / STDEV(FILTER(O1463:O5531, AA1463:AA5531 =""Neighbor"")), """")"),0.3926571982659402)</f>
        <v>0.3926571983</v>
      </c>
      <c r="AD1463" s="4">
        <f>IFERROR(__xludf.DUMMYFUNCTION("IFERROR(ABS(P1463-AVERAGE(FILTER(O1463:P5531,AA1463:AA5531=""Neighbor""))) / STDEV(FILTER(P1463:P5531, AA1463:AA5531 =""Neighbor"")), """")"),1.4701669275860116)</f>
        <v>1.470166928</v>
      </c>
      <c r="AE1463" s="2">
        <f>IFERROR(__xludf.DUMMYFUNCTION("IFERROR(ABS(Q1463-AVERAGE(FILTER(Q1463:Q5531,AA1463:AA5531=""Neighbor""))) / STDEV(FILTER(Q1463:Q5531, AA1463:AA5531 =""Neighbor"")), """")"),0.14913953645304687)</f>
        <v>0.1491395365</v>
      </c>
      <c r="AF1463" s="2">
        <f>IFERROR(__xludf.DUMMYFUNCTION("IFERROR(ABS(R1463-AVERAGE(FILTER(R1463:R5531,AA1463:AA5531=""Neighbor""))) / STDEV(FILTER(R1463:R5531, AA1463:AA5531 =""Neighbor"")), """")"),0.34618354569557125)</f>
        <v>0.3461835457</v>
      </c>
    </row>
    <row r="1464">
      <c r="A1464" s="2" t="s">
        <v>28</v>
      </c>
      <c r="B1464" s="2" t="s">
        <v>5384</v>
      </c>
      <c r="C1464" s="2" t="s">
        <v>5936</v>
      </c>
      <c r="D1464" s="2" t="s">
        <v>5985</v>
      </c>
      <c r="E1464" s="2" t="s">
        <v>5986</v>
      </c>
      <c r="F1464" s="2">
        <v>149.0</v>
      </c>
      <c r="G1464" s="2">
        <v>753.0</v>
      </c>
      <c r="H1464" s="2" t="b">
        <v>1</v>
      </c>
      <c r="I1464" s="2">
        <v>-1.0</v>
      </c>
      <c r="J1464" s="2" t="b">
        <v>0</v>
      </c>
      <c r="K1464" s="2" t="b">
        <v>0</v>
      </c>
      <c r="L1464" s="2" t="b">
        <v>0</v>
      </c>
      <c r="M1464" s="2" t="b">
        <v>0</v>
      </c>
      <c r="N1464" s="2" t="s">
        <v>33</v>
      </c>
      <c r="O1464" s="2">
        <v>0.0</v>
      </c>
      <c r="P1464" s="2">
        <v>0.0</v>
      </c>
      <c r="Q1464" s="2">
        <v>0.0</v>
      </c>
      <c r="R1464" s="2">
        <v>0.0</v>
      </c>
      <c r="S1464" s="3" t="s">
        <v>5987</v>
      </c>
      <c r="T1464" s="2" t="s">
        <v>5988</v>
      </c>
      <c r="Y1464" s="4" t="str">
        <f>IFERROR(__xludf.DUMMYFUNCTION("""COMPUTED_VALUE"""),"6.964338")</f>
        <v>6.964338</v>
      </c>
      <c r="Z1464" s="4" t="str">
        <f>IFERROR(__xludf.DUMMYFUNCTION("""COMPUTED_VALUE"""),"3.935831")</f>
        <v>3.935831</v>
      </c>
      <c r="AA1464" s="4" t="str">
        <f t="shared" si="1"/>
        <v>Not Neighbor</v>
      </c>
      <c r="AC1464" s="4">
        <f>IFERROR(__xludf.DUMMYFUNCTION("IFERROR(ABS(O1464-AVERAGE(FILTER(O1464:O5532,AA1464:AA5532=""Neighbor""))) / STDEV(FILTER(O1464:O5532, AA1464:AA5532 =""Neighbor"")), """")"),1.49671522651657)</f>
        <v>1.496715227</v>
      </c>
      <c r="AD1464" s="4">
        <f>IFERROR(__xludf.DUMMYFUNCTION("IFERROR(ABS(P1464-AVERAGE(FILTER(O1464:P5532,AA1464:AA5532=""Neighbor""))) / STDEV(FILTER(P1464:P5532, AA1464:AA5532 =""Neighbor"")), """")"),1.7450365679054856)</f>
        <v>1.745036568</v>
      </c>
      <c r="AE1464" s="2">
        <f>IFERROR(__xludf.DUMMYFUNCTION("IFERROR(ABS(Q1464-AVERAGE(FILTER(Q1464:Q5532,AA1464:AA5532=""Neighbor""))) / STDEV(FILTER(Q1464:Q5532, AA1464:AA5532 =""Neighbor"")), """")"),0.9914741079154736)</f>
        <v>0.9914741079</v>
      </c>
      <c r="AF1464" s="2">
        <f>IFERROR(__xludf.DUMMYFUNCTION("IFERROR(ABS(R1464-AVERAGE(FILTER(R1464:R5532,AA1464:AA5532=""Neighbor""))) / STDEV(FILTER(R1464:R5532, AA1464:AA5532 =""Neighbor"")), """")"),0.34618354569557125)</f>
        <v>0.3461835457</v>
      </c>
    </row>
    <row r="1465">
      <c r="A1465" s="2" t="s">
        <v>28</v>
      </c>
      <c r="B1465" s="2" t="s">
        <v>5384</v>
      </c>
      <c r="C1465" s="2" t="s">
        <v>5936</v>
      </c>
      <c r="D1465" s="2" t="s">
        <v>5989</v>
      </c>
      <c r="E1465" s="2" t="s">
        <v>5990</v>
      </c>
      <c r="F1465" s="2">
        <v>169.0</v>
      </c>
      <c r="G1465" s="2">
        <v>616.0</v>
      </c>
      <c r="H1465" s="2" t="b">
        <v>1</v>
      </c>
      <c r="I1465" s="2">
        <v>-1.0</v>
      </c>
      <c r="J1465" s="2" t="b">
        <v>0</v>
      </c>
      <c r="K1465" s="2" t="b">
        <v>0</v>
      </c>
      <c r="L1465" s="2" t="b">
        <v>0</v>
      </c>
      <c r="M1465" s="2" t="b">
        <v>0</v>
      </c>
      <c r="N1465" s="2" t="s">
        <v>33</v>
      </c>
      <c r="O1465" s="2">
        <v>80.0</v>
      </c>
      <c r="P1465" s="2">
        <v>38.0</v>
      </c>
      <c r="Q1465" s="2">
        <v>45.0</v>
      </c>
      <c r="R1465" s="2">
        <v>2.0</v>
      </c>
      <c r="S1465" s="3" t="s">
        <v>5991</v>
      </c>
      <c r="T1465" s="2" t="s">
        <v>5992</v>
      </c>
      <c r="Y1465" s="4" t="str">
        <f>IFERROR(__xludf.DUMMYFUNCTION("""COMPUTED_VALUE"""),"6.9157838")</f>
        <v>6.9157838</v>
      </c>
      <c r="Z1465" s="4" t="str">
        <f>IFERROR(__xludf.DUMMYFUNCTION("""COMPUTED_VALUE"""),"3.8960811")</f>
        <v>3.8960811</v>
      </c>
      <c r="AA1465" s="4" t="str">
        <f t="shared" si="1"/>
        <v>Neighbor</v>
      </c>
      <c r="AC1465" s="4">
        <f>IFERROR(__xludf.DUMMYFUNCTION("IFERROR(ABS(O1465-AVERAGE(FILTER(O1465:O5533,AA1465:AA5533=""Neighbor""))) / STDEV(FILTER(O1465:O5533, AA1465:AA5533 =""Neighbor"")), """")"),0.4920978522018618)</f>
        <v>0.4920978522</v>
      </c>
      <c r="AD1465" s="4">
        <f>IFERROR(__xludf.DUMMYFUNCTION("IFERROR(ABS(P1465-AVERAGE(FILTER(O1465:P5533,AA1465:AA5533=""Neighbor""))) / STDEV(FILTER(P1465:P5533, AA1465:AA5533 =""Neighbor"")), """")"),0.00419551254881713)</f>
        <v>0.004195512549</v>
      </c>
      <c r="AE1465" s="2">
        <f>IFERROR(__xludf.DUMMYFUNCTION("IFERROR(ABS(Q1465-AVERAGE(FILTER(Q1465:Q5533,AA1465:AA5533=""Neighbor""))) / STDEV(FILTER(Q1465:Q5533, AA1465:AA5533 =""Neighbor"")), """")"),0.7784436161046444)</f>
        <v>0.7784436161</v>
      </c>
      <c r="AF1465" s="2">
        <f>IFERROR(__xludf.DUMMYFUNCTION("IFERROR(ABS(R1465-AVERAGE(FILTER(R1465:R5533,AA1465:AA5533=""Neighbor""))) / STDEV(FILTER(R1465:R5533, AA1465:AA5533 =""Neighbor"")), """")"),2.0298444726975244)</f>
        <v>2.029844473</v>
      </c>
    </row>
    <row r="1466">
      <c r="A1466" s="2" t="s">
        <v>28</v>
      </c>
      <c r="B1466" s="2" t="s">
        <v>5384</v>
      </c>
      <c r="C1466" s="2" t="s">
        <v>5936</v>
      </c>
      <c r="D1466" s="2" t="s">
        <v>5993</v>
      </c>
      <c r="E1466" s="2" t="s">
        <v>5994</v>
      </c>
      <c r="F1466" s="2">
        <v>113.0</v>
      </c>
      <c r="G1466" s="2">
        <v>541.0</v>
      </c>
      <c r="H1466" s="2" t="b">
        <v>1</v>
      </c>
      <c r="I1466" s="2">
        <v>-1.0</v>
      </c>
      <c r="J1466" s="2" t="b">
        <v>0</v>
      </c>
      <c r="K1466" s="2" t="b">
        <v>0</v>
      </c>
      <c r="L1466" s="2" t="b">
        <v>0</v>
      </c>
      <c r="M1466" s="2" t="b">
        <v>0</v>
      </c>
      <c r="N1466" s="2" t="s">
        <v>33</v>
      </c>
      <c r="O1466" s="2">
        <v>75.0</v>
      </c>
      <c r="P1466" s="2">
        <v>7.0</v>
      </c>
      <c r="Q1466" s="2">
        <v>26.0</v>
      </c>
      <c r="R1466" s="2">
        <v>0.0</v>
      </c>
      <c r="S1466" s="3" t="s">
        <v>5995</v>
      </c>
      <c r="T1466" s="2" t="s">
        <v>5996</v>
      </c>
      <c r="Y1466" s="4" t="str">
        <f>IFERROR(__xludf.DUMMYFUNCTION("""COMPUTED_VALUE"""),"6.9157838")</f>
        <v>6.9157838</v>
      </c>
      <c r="Z1466" s="4" t="str">
        <f>IFERROR(__xludf.DUMMYFUNCTION("""COMPUTED_VALUE"""),"3.8960811")</f>
        <v>3.8960811</v>
      </c>
      <c r="AA1466" s="4" t="str">
        <f t="shared" si="1"/>
        <v>Neighbor</v>
      </c>
      <c r="AC1466" s="4">
        <f>IFERROR(__xludf.DUMMYFUNCTION("IFERROR(ABS(O1466-AVERAGE(FILTER(O1466:O5534,AA1466:AA5534=""Neighbor""))) / STDEV(FILTER(O1466:O5534, AA1466:AA5534 =""Neighbor"")), """")"),0.3681234654190691)</f>
        <v>0.3681234654</v>
      </c>
      <c r="AD1466" s="4">
        <f>IFERROR(__xludf.DUMMYFUNCTION("IFERROR(ABS(P1466-AVERAGE(FILTER(O1466:P5534,AA1466:AA5534=""Neighbor""))) / STDEV(FILTER(P1466:P5534, AA1466:AA5534 =""Neighbor"")), """")"),1.423480803043969)</f>
        <v>1.423480803</v>
      </c>
      <c r="AE1466" s="2">
        <f>IFERROR(__xludf.DUMMYFUNCTION("IFERROR(ABS(Q1466-AVERAGE(FILTER(Q1466:Q5534,AA1466:AA5534=""Neighbor""))) / STDEV(FILTER(Q1466:Q5534, AA1466:AA5534 =""Neighbor"")), """")"),0.03185999419561905)</f>
        <v>0.0318599942</v>
      </c>
      <c r="AF1466" s="2">
        <f>IFERROR(__xludf.DUMMYFUNCTION("IFERROR(ABS(R1466-AVERAGE(FILTER(R1466:R5534,AA1466:AA5534=""Neighbor""))) / STDEV(FILTER(R1466:R5534, AA1466:AA5534 =""Neighbor"")), """")"),0.34480358560028795)</f>
        <v>0.3448035856</v>
      </c>
    </row>
    <row r="1467">
      <c r="A1467" s="2" t="s">
        <v>28</v>
      </c>
      <c r="B1467" s="2" t="s">
        <v>5384</v>
      </c>
      <c r="C1467" s="2" t="s">
        <v>5936</v>
      </c>
      <c r="D1467" s="2" t="s">
        <v>5997</v>
      </c>
      <c r="E1467" s="2" t="s">
        <v>5998</v>
      </c>
      <c r="F1467" s="2">
        <v>101.0</v>
      </c>
      <c r="G1467" s="2">
        <v>534.0</v>
      </c>
      <c r="H1467" s="2" t="b">
        <v>1</v>
      </c>
      <c r="I1467" s="2">
        <v>-1.0</v>
      </c>
      <c r="J1467" s="2" t="b">
        <v>0</v>
      </c>
      <c r="K1467" s="2" t="b">
        <v>0</v>
      </c>
      <c r="L1467" s="2" t="b">
        <v>0</v>
      </c>
      <c r="M1467" s="2" t="b">
        <v>0</v>
      </c>
      <c r="N1467" s="2" t="s">
        <v>33</v>
      </c>
      <c r="O1467" s="2">
        <v>69.0</v>
      </c>
      <c r="P1467" s="2">
        <v>25.0</v>
      </c>
      <c r="Q1467" s="2">
        <v>3.0</v>
      </c>
      <c r="R1467" s="2">
        <v>0.0</v>
      </c>
      <c r="S1467" s="3" t="s">
        <v>5999</v>
      </c>
      <c r="T1467" s="2" t="s">
        <v>6000</v>
      </c>
      <c r="Y1467" s="4" t="str">
        <f>IFERROR(__xludf.DUMMYFUNCTION("""COMPUTED_VALUE"""),"6.9157838")</f>
        <v>6.9157838</v>
      </c>
      <c r="Z1467" s="4" t="str">
        <f>IFERROR(__xludf.DUMMYFUNCTION("""COMPUTED_VALUE"""),"3.8960811")</f>
        <v>3.8960811</v>
      </c>
      <c r="AA1467" s="4" t="str">
        <f t="shared" si="1"/>
        <v>Neighbor</v>
      </c>
      <c r="AC1467" s="4">
        <f>IFERROR(__xludf.DUMMYFUNCTION("IFERROR(ABS(O1467-AVERAGE(FILTER(O1467:O5535,AA1467:AA5535=""Neighbor""))) / STDEV(FILTER(O1467:O5535, AA1467:AA5535 =""Neighbor"")), """")"),0.2192681053897891)</f>
        <v>0.2192681054</v>
      </c>
      <c r="AD1467" s="4">
        <f>IFERROR(__xludf.DUMMYFUNCTION("IFERROR(ABS(P1467-AVERAGE(FILTER(O1467:P5535,AA1467:AA5535=""Neighbor""))) / STDEV(FILTER(P1467:P5535, AA1467:AA5535 =""Neighbor"")), """")"),0.5985096361275811)</f>
        <v>0.5985096361</v>
      </c>
      <c r="AE1467" s="2">
        <f>IFERROR(__xludf.DUMMYFUNCTION("IFERROR(ABS(Q1467-AVERAGE(FILTER(Q1467:Q5535,AA1467:AA5535=""Neighbor""))) / STDEV(FILTER(Q1467:Q5535, AA1467:AA5535 =""Neighbor"")), """")"),0.8721661742236407)</f>
        <v>0.8721661742</v>
      </c>
      <c r="AF1467" s="2">
        <f>IFERROR(__xludf.DUMMYFUNCTION("IFERROR(ABS(R1467-AVERAGE(FILTER(R1467:R5535,AA1467:AA5535=""Neighbor""))) / STDEV(FILTER(R1467:R5535, AA1467:AA5535 =""Neighbor"")), """")"),0.3449822037357206)</f>
        <v>0.3449822037</v>
      </c>
    </row>
    <row r="1468">
      <c r="A1468" s="2" t="s">
        <v>28</v>
      </c>
      <c r="B1468" s="2" t="s">
        <v>5384</v>
      </c>
      <c r="C1468" s="2" t="s">
        <v>5936</v>
      </c>
      <c r="D1468" s="2" t="s">
        <v>6001</v>
      </c>
      <c r="E1468" s="2" t="s">
        <v>6002</v>
      </c>
      <c r="F1468" s="2">
        <v>114.0</v>
      </c>
      <c r="G1468" s="2">
        <v>519.0</v>
      </c>
      <c r="H1468" s="2" t="b">
        <v>1</v>
      </c>
      <c r="I1468" s="2">
        <v>-1.0</v>
      </c>
      <c r="J1468" s="2" t="b">
        <v>1</v>
      </c>
      <c r="K1468" s="2" t="b">
        <v>0</v>
      </c>
      <c r="L1468" s="2" t="b">
        <v>0</v>
      </c>
      <c r="M1468" s="2" t="b">
        <v>0</v>
      </c>
      <c r="N1468" s="2" t="s">
        <v>33</v>
      </c>
      <c r="O1468" s="2">
        <v>79.0</v>
      </c>
      <c r="P1468" s="2">
        <v>2.0</v>
      </c>
      <c r="Q1468" s="2">
        <v>26.0</v>
      </c>
      <c r="R1468" s="2">
        <v>0.0</v>
      </c>
      <c r="S1468" s="3" t="s">
        <v>6003</v>
      </c>
      <c r="T1468" s="2" t="s">
        <v>6004</v>
      </c>
      <c r="Y1468" s="4" t="str">
        <f>IFERROR(__xludf.DUMMYFUNCTION("""COMPUTED_VALUE"""),"6.9157838")</f>
        <v>6.9157838</v>
      </c>
      <c r="Z1468" s="4" t="str">
        <f>IFERROR(__xludf.DUMMYFUNCTION("""COMPUTED_VALUE"""),"3.8960811")</f>
        <v>3.8960811</v>
      </c>
      <c r="AA1468" s="4" t="str">
        <f t="shared" si="1"/>
        <v>Neighbor</v>
      </c>
      <c r="AC1468" s="4">
        <f>IFERROR(__xludf.DUMMYFUNCTION("IFERROR(ABS(O1468-AVERAGE(FILTER(O1468:O5536,AA1468:AA5536=""Neighbor""))) / STDEV(FILTER(O1468:O5536, AA1468:AA5536 =""Neighbor"")), """")"),0.46767971249444573)</f>
        <v>0.4676797125</v>
      </c>
      <c r="AD1468" s="4">
        <f>IFERROR(__xludf.DUMMYFUNCTION("IFERROR(ABS(P1468-AVERAGE(FILTER(O1468:P5536,AA1468:AA5536=""Neighbor""))) / STDEV(FILTER(P1468:P5536, AA1468:AA5536 =""Neighbor"")), """")"),1.6507653153439144)</f>
        <v>1.650765315</v>
      </c>
      <c r="AE1468" s="2">
        <f>IFERROR(__xludf.DUMMYFUNCTION("IFERROR(ABS(Q1468-AVERAGE(FILTER(Q1468:Q5536,AA1468:AA5536=""Neighbor""))) / STDEV(FILTER(Q1468:Q5536, AA1468:AA5536 =""Neighbor"")), """")"),0.03106225533886035)</f>
        <v>0.03106225534</v>
      </c>
      <c r="AF1468" s="2">
        <f>IFERROR(__xludf.DUMMYFUNCTION("IFERROR(ABS(R1468-AVERAGE(FILTER(R1468:R5536,AA1468:AA5536=""Neighbor""))) / STDEV(FILTER(R1468:R5536, AA1468:AA5536 =""Neighbor"")), """")"),0.3451610997795345)</f>
        <v>0.3451610998</v>
      </c>
    </row>
    <row r="1469">
      <c r="A1469" s="2" t="s">
        <v>28</v>
      </c>
      <c r="B1469" s="2" t="s">
        <v>5384</v>
      </c>
      <c r="C1469" s="2" t="s">
        <v>5936</v>
      </c>
      <c r="D1469" s="2" t="s">
        <v>6005</v>
      </c>
      <c r="E1469" s="2" t="s">
        <v>6006</v>
      </c>
      <c r="F1469" s="2">
        <v>56.0</v>
      </c>
      <c r="G1469" s="2">
        <v>261.0</v>
      </c>
      <c r="H1469" s="2" t="b">
        <v>1</v>
      </c>
      <c r="I1469" s="2">
        <v>-1.0</v>
      </c>
      <c r="J1469" s="2" t="b">
        <v>0</v>
      </c>
      <c r="K1469" s="2" t="b">
        <v>0</v>
      </c>
      <c r="L1469" s="2" t="b">
        <v>0</v>
      </c>
      <c r="M1469" s="2" t="b">
        <v>0</v>
      </c>
      <c r="N1469" s="2" t="s">
        <v>33</v>
      </c>
      <c r="O1469" s="2">
        <v>38.0</v>
      </c>
      <c r="P1469" s="2">
        <v>3.0</v>
      </c>
      <c r="Q1469" s="2">
        <v>15.0</v>
      </c>
      <c r="R1469" s="2">
        <v>0.0</v>
      </c>
      <c r="S1469" s="3" t="s">
        <v>6007</v>
      </c>
      <c r="T1469" s="2" t="s">
        <v>6008</v>
      </c>
      <c r="Y1469" s="4" t="str">
        <f>IFERROR(__xludf.DUMMYFUNCTION("""COMPUTED_VALUE"""),"6.9157838")</f>
        <v>6.9157838</v>
      </c>
      <c r="Z1469" s="4" t="str">
        <f>IFERROR(__xludf.DUMMYFUNCTION("""COMPUTED_VALUE"""),"3.8960811")</f>
        <v>3.8960811</v>
      </c>
      <c r="AA1469" s="4" t="str">
        <f t="shared" si="1"/>
        <v>Not Neighbor</v>
      </c>
      <c r="AC1469" s="4">
        <f>IFERROR(__xludf.DUMMYFUNCTION("IFERROR(ABS(O1469-AVERAGE(FILTER(O1469:O5537,AA1469:AA5537=""Neighbor""))) / STDEV(FILTER(O1469:O5537, AA1469:AA5537 =""Neighbor"")), """")"),0.5497375734958955)</f>
        <v>0.5497375735</v>
      </c>
      <c r="AD1469" s="4">
        <f>IFERROR(__xludf.DUMMYFUNCTION("IFERROR(ABS(P1469-AVERAGE(FILTER(O1469:P5537,AA1469:AA5537=""Neighbor""))) / STDEV(FILTER(P1469:P5537, AA1469:AA5537 =""Neighbor"")), """")"),1.6044440532804285)</f>
        <v>1.604444053</v>
      </c>
      <c r="AE1469" s="2">
        <f>IFERROR(__xludf.DUMMYFUNCTION("IFERROR(ABS(Q1469-AVERAGE(FILTER(Q1469:Q5537,AA1469:AA5537=""Neighbor""))) / STDEV(FILTER(Q1469:Q5537, AA1469:AA5537 =""Neighbor"")), """")"),0.4010422799457304)</f>
        <v>0.4010422799</v>
      </c>
      <c r="AF1469" s="2">
        <f>IFERROR(__xludf.DUMMYFUNCTION("IFERROR(ABS(R1469-AVERAGE(FILTER(R1469:R5537,AA1469:AA5537=""Neighbor""))) / STDEV(FILTER(R1469:R5537, AA1469:AA5537 =""Neighbor"")), """")"),0.3453402744532056)</f>
        <v>0.3453402745</v>
      </c>
    </row>
    <row r="1470">
      <c r="A1470" s="2" t="s">
        <v>28</v>
      </c>
      <c r="B1470" s="2" t="s">
        <v>5384</v>
      </c>
      <c r="C1470" s="2" t="s">
        <v>6009</v>
      </c>
      <c r="D1470" s="2" t="s">
        <v>6010</v>
      </c>
      <c r="E1470" s="2" t="s">
        <v>6011</v>
      </c>
      <c r="F1470" s="2">
        <v>165.0</v>
      </c>
      <c r="G1470" s="2">
        <v>648.0</v>
      </c>
      <c r="H1470" s="2" t="b">
        <v>1</v>
      </c>
      <c r="I1470" s="2">
        <v>-1.0</v>
      </c>
      <c r="J1470" s="2" t="b">
        <v>0</v>
      </c>
      <c r="K1470" s="2" t="b">
        <v>0</v>
      </c>
      <c r="L1470" s="2" t="b">
        <v>0</v>
      </c>
      <c r="M1470" s="2" t="b">
        <v>0</v>
      </c>
      <c r="N1470" s="2" t="s">
        <v>33</v>
      </c>
      <c r="O1470" s="2">
        <v>113.0</v>
      </c>
      <c r="P1470" s="2">
        <v>8.0</v>
      </c>
      <c r="Q1470" s="2">
        <v>29.0</v>
      </c>
      <c r="R1470" s="2">
        <v>1.0</v>
      </c>
      <c r="S1470" s="3" t="s">
        <v>6012</v>
      </c>
      <c r="T1470" s="2" t="s">
        <v>6013</v>
      </c>
      <c r="Y1470" s="4" t="str">
        <f>IFERROR(__xludf.DUMMYFUNCTION("""COMPUTED_VALUE"""),"6.9289869")</f>
        <v>6.9289869</v>
      </c>
      <c r="Z1470" s="4" t="str">
        <f>IFERROR(__xludf.DUMMYFUNCTION("""COMPUTED_VALUE"""),"3.9190062")</f>
        <v>3.9190062</v>
      </c>
      <c r="AA1470" s="4" t="str">
        <f t="shared" si="1"/>
        <v>Neighbor</v>
      </c>
      <c r="AC1470" s="4">
        <f>IFERROR(__xludf.DUMMYFUNCTION("IFERROR(ABS(O1470-AVERAGE(FILTER(O1470:O5538,AA1470:AA5538=""Neighbor""))) / STDEV(FILTER(O1470:O5538, AA1470:AA5538 =""Neighbor"")), """")"),1.3118753263125544)</f>
        <v>1.311875326</v>
      </c>
      <c r="AD1470" s="4">
        <f>IFERROR(__xludf.DUMMYFUNCTION("IFERROR(ABS(P1470-AVERAGE(FILTER(O1470:P5538,AA1470:AA5538=""Neighbor""))) / STDEV(FILTER(P1470:P5538, AA1470:AA5538 =""Neighbor"")), """")"),1.375623225469072)</f>
        <v>1.375623225</v>
      </c>
      <c r="AE1470" s="2">
        <f>IFERROR(__xludf.DUMMYFUNCTION("IFERROR(ABS(Q1470-AVERAGE(FILTER(Q1470:Q5538,AA1470:AA5538=""Neighbor""))) / STDEV(FILTER(Q1470:Q5538, AA1470:AA5538 =""Neighbor"")), """")"),0.14892729686388506)</f>
        <v>0.1489272969</v>
      </c>
      <c r="AF1470" s="2">
        <f>IFERROR(__xludf.DUMMYFUNCTION("IFERROR(ABS(R1470-AVERAGE(FILTER(R1470:R5538,AA1470:AA5538=""Neighbor""))) / STDEV(FILTER(R1470:R5538, AA1470:AA5538 =""Neighbor"")), """")"),0.8429392002627766)</f>
        <v>0.8429392003</v>
      </c>
    </row>
    <row r="1471">
      <c r="A1471" s="2" t="s">
        <v>28</v>
      </c>
      <c r="B1471" s="2" t="s">
        <v>5384</v>
      </c>
      <c r="C1471" s="2" t="s">
        <v>6009</v>
      </c>
      <c r="D1471" s="2" t="s">
        <v>6014</v>
      </c>
      <c r="E1471" s="2" t="s">
        <v>6015</v>
      </c>
      <c r="F1471" s="2">
        <v>139.0</v>
      </c>
      <c r="G1471" s="2">
        <v>507.0</v>
      </c>
      <c r="H1471" s="2" t="b">
        <v>1</v>
      </c>
      <c r="I1471" s="2">
        <v>-1.0</v>
      </c>
      <c r="J1471" s="2" t="b">
        <v>0</v>
      </c>
      <c r="K1471" s="2" t="b">
        <v>1</v>
      </c>
      <c r="L1471" s="2" t="b">
        <v>0</v>
      </c>
      <c r="M1471" s="2" t="b">
        <v>0</v>
      </c>
      <c r="N1471" s="2" t="s">
        <v>33</v>
      </c>
      <c r="O1471" s="2">
        <v>77.0</v>
      </c>
      <c r="P1471" s="2">
        <v>3.0</v>
      </c>
      <c r="Q1471" s="2">
        <v>50.0</v>
      </c>
      <c r="R1471" s="2">
        <v>0.0</v>
      </c>
      <c r="S1471" s="3" t="s">
        <v>6016</v>
      </c>
      <c r="T1471" s="2" t="s">
        <v>6017</v>
      </c>
      <c r="Y1471" s="4" t="str">
        <f>IFERROR(__xludf.DUMMYFUNCTION("""COMPUTED_VALUE"""),"6.9377788")</f>
        <v>6.9377788</v>
      </c>
      <c r="Z1471" s="4" t="str">
        <f>IFERROR(__xludf.DUMMYFUNCTION("""COMPUTED_VALUE"""),"3.9160947")</f>
        <v>3.9160947</v>
      </c>
      <c r="AA1471" s="4" t="str">
        <f t="shared" si="1"/>
        <v>Neighbor</v>
      </c>
      <c r="AC1471" s="4">
        <f>IFERROR(__xludf.DUMMYFUNCTION("IFERROR(ABS(O1471-AVERAGE(FILTER(O1471:O5539,AA1471:AA5539=""Neighbor""))) / STDEV(FILTER(O1471:O5539, AA1471:AA5539 =""Neighbor"")), """")"),0.41966142156634917)</f>
        <v>0.4196614216</v>
      </c>
      <c r="AD1471" s="4">
        <f>IFERROR(__xludf.DUMMYFUNCTION("IFERROR(ABS(P1471-AVERAGE(FILTER(O1471:P5539,AA1471:AA5539=""Neighbor""))) / STDEV(FILTER(P1471:P5539, AA1471:AA5539 =""Neighbor"")), """")"),1.6028434966424172)</f>
        <v>1.602843497</v>
      </c>
      <c r="AE1471" s="2">
        <f>IFERROR(__xludf.DUMMYFUNCTION("IFERROR(ABS(Q1471-AVERAGE(FILTER(Q1471:Q5539,AA1471:AA5539=""Neighbor""))) / STDEV(FILTER(Q1471:Q5539, AA1471:AA5539 =""Neighbor"")), """")"),0.9735773970206176)</f>
        <v>0.973577397</v>
      </c>
      <c r="AF1471" s="2">
        <f>IFERROR(__xludf.DUMMYFUNCTION("IFERROR(ABS(R1471-AVERAGE(FILTER(R1471:R5539,AA1471:AA5539=""Neighbor""))) / STDEV(FILTER(R1471:R5539, AA1471:AA5539 =""Neighbor"")), """")"),0.3445106013285003)</f>
        <v>0.3445106013</v>
      </c>
    </row>
    <row r="1472">
      <c r="A1472" s="2" t="s">
        <v>28</v>
      </c>
      <c r="B1472" s="2" t="s">
        <v>5384</v>
      </c>
      <c r="C1472" s="2" t="s">
        <v>6009</v>
      </c>
      <c r="D1472" s="2" t="s">
        <v>6018</v>
      </c>
      <c r="E1472" s="2" t="s">
        <v>6019</v>
      </c>
      <c r="F1472" s="2">
        <v>188.0</v>
      </c>
      <c r="G1472" s="2">
        <v>509.0</v>
      </c>
      <c r="H1472" s="2" t="b">
        <v>1</v>
      </c>
      <c r="I1472" s="2">
        <v>-1.0</v>
      </c>
      <c r="J1472" s="2" t="b">
        <v>0</v>
      </c>
      <c r="K1472" s="2" t="b">
        <v>0</v>
      </c>
      <c r="L1472" s="2" t="b">
        <v>0</v>
      </c>
      <c r="M1472" s="2" t="b">
        <v>0</v>
      </c>
      <c r="N1472" s="2" t="s">
        <v>33</v>
      </c>
      <c r="O1472" s="2">
        <v>95.0</v>
      </c>
      <c r="P1472" s="2">
        <v>7.0</v>
      </c>
      <c r="Q1472" s="2">
        <v>70.0</v>
      </c>
      <c r="R1472" s="2">
        <v>0.0</v>
      </c>
      <c r="S1472" s="3" t="s">
        <v>6020</v>
      </c>
      <c r="T1472" s="2" t="s">
        <v>6021</v>
      </c>
      <c r="Y1472" s="4" t="str">
        <f>IFERROR(__xludf.DUMMYFUNCTION("""COMPUTED_VALUE"""),"6.9289869")</f>
        <v>6.9289869</v>
      </c>
      <c r="Z1472" s="4" t="str">
        <f>IFERROR(__xludf.DUMMYFUNCTION("""COMPUTED_VALUE"""),"3.9190062")</f>
        <v>3.9190062</v>
      </c>
      <c r="AA1472" s="4" t="str">
        <f t="shared" si="1"/>
        <v>Neighbor</v>
      </c>
      <c r="AC1472" s="4">
        <f>IFERROR(__xludf.DUMMYFUNCTION("IFERROR(ABS(O1472-AVERAGE(FILTER(O1472:O5540,AA1472:AA5540=""Neighbor""))) / STDEV(FILTER(O1472:O5540, AA1472:AA5540 =""Neighbor"")), """")"),0.8666568573466843)</f>
        <v>0.8666568573</v>
      </c>
      <c r="AD1472" s="4">
        <f>IFERROR(__xludf.DUMMYFUNCTION("IFERROR(ABS(P1472-AVERAGE(FILTER(O1472:P5540,AA1472:AA5540=""Neighbor""))) / STDEV(FILTER(P1472:P5540, AA1472:AA5540 =""Neighbor"")), """")"),1.4193495012792399)</f>
        <v>1.419349501</v>
      </c>
      <c r="AE1472" s="2">
        <f>IFERROR(__xludf.DUMMYFUNCTION("IFERROR(ABS(Q1472-AVERAGE(FILTER(Q1472:Q5540,AA1472:AA5540=""Neighbor""))) / STDEV(FILTER(Q1472:Q5540, AA1472:AA5540 =""Neighbor"")), """")"),1.7597548034410628)</f>
        <v>1.759754803</v>
      </c>
      <c r="AF1472" s="2">
        <f>IFERROR(__xludf.DUMMYFUNCTION("IFERROR(ABS(R1472-AVERAGE(FILTER(R1472:R5540,AA1472:AA5540=""Neighbor""))) / STDEV(FILTER(R1472:R5540, AA1472:AA5540 =""Neighbor"")), """")"),0.34468969875206523)</f>
        <v>0.3446896988</v>
      </c>
    </row>
    <row r="1473">
      <c r="A1473" s="2" t="s">
        <v>28</v>
      </c>
      <c r="B1473" s="2" t="s">
        <v>5384</v>
      </c>
      <c r="C1473" s="2" t="s">
        <v>6009</v>
      </c>
      <c r="D1473" s="2" t="s">
        <v>6022</v>
      </c>
      <c r="E1473" s="2" t="s">
        <v>6023</v>
      </c>
      <c r="F1473" s="2">
        <v>116.0</v>
      </c>
      <c r="G1473" s="2">
        <v>327.0</v>
      </c>
      <c r="H1473" s="2" t="b">
        <v>1</v>
      </c>
      <c r="I1473" s="2">
        <v>-1.0</v>
      </c>
      <c r="J1473" s="2" t="b">
        <v>0</v>
      </c>
      <c r="K1473" s="2" t="b">
        <v>0</v>
      </c>
      <c r="L1473" s="2" t="b">
        <v>0</v>
      </c>
      <c r="M1473" s="2" t="b">
        <v>0</v>
      </c>
      <c r="N1473" s="2" t="s">
        <v>33</v>
      </c>
      <c r="O1473" s="2">
        <v>74.0</v>
      </c>
      <c r="P1473" s="2">
        <v>7.0</v>
      </c>
      <c r="Q1473" s="2">
        <v>30.0</v>
      </c>
      <c r="R1473" s="2">
        <v>0.0</v>
      </c>
      <c r="S1473" s="3" t="s">
        <v>6024</v>
      </c>
      <c r="T1473" s="2" t="s">
        <v>6025</v>
      </c>
      <c r="Y1473" s="4" t="str">
        <f>IFERROR(__xludf.DUMMYFUNCTION("""COMPUTED_VALUE"""),"6.9289869")</f>
        <v>6.9289869</v>
      </c>
      <c r="Z1473" s="4" t="str">
        <f>IFERROR(__xludf.DUMMYFUNCTION("""COMPUTED_VALUE"""),"3.9190062")</f>
        <v>3.9190062</v>
      </c>
      <c r="AA1473" s="4" t="str">
        <f t="shared" si="1"/>
        <v>Neighbor</v>
      </c>
      <c r="AC1473" s="4">
        <f>IFERROR(__xludf.DUMMYFUNCTION("IFERROR(ABS(O1473-AVERAGE(FILTER(O1473:O5541,AA1473:AA5541=""Neighbor""))) / STDEV(FILTER(O1473:O5541, AA1473:AA5541 =""Neighbor"")), """")"),0.34619671143548386)</f>
        <v>0.3461967114</v>
      </c>
      <c r="AD1473" s="4">
        <f>IFERROR(__xludf.DUMMYFUNCTION("IFERROR(ABS(P1473-AVERAGE(FILTER(O1473:P5541,AA1473:AA5541=""Neighbor""))) / STDEV(FILTER(P1473:P5541, AA1473:AA5541 =""Neighbor"")), """")"),1.4182485253462673)</f>
        <v>1.418248525</v>
      </c>
      <c r="AE1473" s="2">
        <f>IFERROR(__xludf.DUMMYFUNCTION("IFERROR(ABS(Q1473-AVERAGE(FILTER(Q1473:Q5541,AA1473:AA5541=""Neighbor""))) / STDEV(FILTER(Q1473:Q5541, AA1473:AA5541 =""Neighbor"")), """")"),0.19099024341235385)</f>
        <v>0.1909902434</v>
      </c>
      <c r="AF1473" s="2">
        <f>IFERROR(__xludf.DUMMYFUNCTION("IFERROR(ABS(R1473-AVERAGE(FILTER(R1473:R5541,AA1473:AA5541=""Neighbor""))) / STDEV(FILTER(R1473:R5541, AA1473:AA5541 =""Neighbor"")), """")"),0.3448690758161584)</f>
        <v>0.3448690758</v>
      </c>
    </row>
    <row r="1474">
      <c r="A1474" s="2" t="s">
        <v>28</v>
      </c>
      <c r="B1474" s="2" t="s">
        <v>5384</v>
      </c>
      <c r="C1474" s="2" t="s">
        <v>6009</v>
      </c>
      <c r="D1474" s="2" t="s">
        <v>6026</v>
      </c>
      <c r="E1474" s="2" t="s">
        <v>6027</v>
      </c>
      <c r="F1474" s="2">
        <v>187.0</v>
      </c>
      <c r="G1474" s="2">
        <v>644.0</v>
      </c>
      <c r="H1474" s="2" t="b">
        <v>1</v>
      </c>
      <c r="I1474" s="2">
        <v>-1.0</v>
      </c>
      <c r="J1474" s="2" t="b">
        <v>0</v>
      </c>
      <c r="K1474" s="2" t="b">
        <v>0</v>
      </c>
      <c r="L1474" s="2" t="b">
        <v>0</v>
      </c>
      <c r="M1474" s="2" t="b">
        <v>0</v>
      </c>
      <c r="N1474" s="2" t="s">
        <v>33</v>
      </c>
      <c r="O1474" s="2">
        <v>80.0</v>
      </c>
      <c r="P1474" s="2">
        <v>13.0</v>
      </c>
      <c r="Q1474" s="2">
        <v>87.0</v>
      </c>
      <c r="R1474" s="2">
        <v>0.0</v>
      </c>
      <c r="S1474" s="3" t="s">
        <v>6028</v>
      </c>
      <c r="T1474" s="2" t="s">
        <v>6029</v>
      </c>
      <c r="Y1474" s="4" t="str">
        <f>IFERROR(__xludf.DUMMYFUNCTION("""COMPUTED_VALUE"""),"6.9289869")</f>
        <v>6.9289869</v>
      </c>
      <c r="Z1474" s="4" t="str">
        <f>IFERROR(__xludf.DUMMYFUNCTION("""COMPUTED_VALUE"""),"3.9190062")</f>
        <v>3.9190062</v>
      </c>
      <c r="AA1474" s="4" t="str">
        <f t="shared" si="1"/>
        <v>Not Neighbor</v>
      </c>
      <c r="AC1474" s="4">
        <f>IFERROR(__xludf.DUMMYFUNCTION("IFERROR(ABS(O1474-AVERAGE(FILTER(O1474:O5542,AA1474:AA5542=""Neighbor""))) / STDEV(FILTER(O1474:O5542, AA1474:AA5542 =""Neighbor"")), """")"),0.4952209191753184)</f>
        <v>0.4952209192</v>
      </c>
      <c r="AD1474" s="4">
        <f>IFERROR(__xludf.DUMMYFUNCTION("IFERROR(ABS(P1474-AVERAGE(FILTER(O1474:P5542,AA1474:AA5542=""Neighbor""))) / STDEV(FILTER(P1474:P5542, AA1474:AA5542 =""Neighbor"")), """")"),1.143414625637999)</f>
        <v>1.143414626</v>
      </c>
      <c r="AE1474" s="2">
        <f>IFERROR(__xludf.DUMMYFUNCTION("IFERROR(ABS(Q1474-AVERAGE(FILTER(Q1474:Q5542,AA1474:AA5542=""Neighbor""))) / STDEV(FILTER(Q1474:Q5542, AA1474:AA5542 =""Neighbor"")), """")"),2.430360027021203)</f>
        <v>2.430360027</v>
      </c>
      <c r="AF1474" s="2">
        <f>IFERROR(__xludf.DUMMYFUNCTION("IFERROR(ABS(R1474-AVERAGE(FILTER(R1474:R5542,AA1474:AA5542=""Neighbor""))) / STDEV(FILTER(R1474:R5542, AA1474:AA5542 =""Neighbor"")), """")"),0.3450487332493246)</f>
        <v>0.3450487332</v>
      </c>
    </row>
    <row r="1475">
      <c r="A1475" s="2" t="s">
        <v>28</v>
      </c>
      <c r="B1475" s="2" t="s">
        <v>5384</v>
      </c>
      <c r="C1475" s="2" t="s">
        <v>6009</v>
      </c>
      <c r="D1475" s="2" t="s">
        <v>6030</v>
      </c>
      <c r="E1475" s="2" t="s">
        <v>6031</v>
      </c>
      <c r="F1475" s="2">
        <v>196.0</v>
      </c>
      <c r="G1475" s="2">
        <v>750.0</v>
      </c>
      <c r="H1475" s="2" t="b">
        <v>1</v>
      </c>
      <c r="I1475" s="2">
        <v>-1.0</v>
      </c>
      <c r="J1475" s="2" t="b">
        <v>0</v>
      </c>
      <c r="K1475" s="2" t="b">
        <v>0</v>
      </c>
      <c r="L1475" s="2" t="b">
        <v>0</v>
      </c>
      <c r="M1475" s="2" t="b">
        <v>0</v>
      </c>
      <c r="N1475" s="2" t="s">
        <v>33</v>
      </c>
      <c r="O1475" s="2">
        <v>95.0</v>
      </c>
      <c r="P1475" s="2">
        <v>19.0</v>
      </c>
      <c r="Q1475" s="2">
        <v>64.0</v>
      </c>
      <c r="R1475" s="2">
        <v>0.0</v>
      </c>
      <c r="S1475" s="3" t="s">
        <v>6032</v>
      </c>
      <c r="T1475" s="2" t="s">
        <v>6033</v>
      </c>
      <c r="Y1475" s="4" t="str">
        <f>IFERROR(__xludf.DUMMYFUNCTION("""COMPUTED_VALUE"""),"6.9413072")</f>
        <v>6.9413072</v>
      </c>
      <c r="Z1475" s="4" t="str">
        <f>IFERROR(__xludf.DUMMYFUNCTION("""COMPUTED_VALUE"""),"3.9201316")</f>
        <v>3.9201316</v>
      </c>
      <c r="AA1475" s="4" t="str">
        <f t="shared" si="1"/>
        <v>Not Neighbor</v>
      </c>
      <c r="AC1475" s="4">
        <f>IFERROR(__xludf.DUMMYFUNCTION("IFERROR(ABS(O1475-AVERAGE(FILTER(O1475:O5543,AA1475:AA5543=""Neighbor""))) / STDEV(FILTER(O1475:O5543, AA1475:AA5543 =""Neighbor"")), """")"),0.8673301952783413)</f>
        <v>0.8673301953</v>
      </c>
      <c r="AD1475" s="4">
        <f>IFERROR(__xludf.DUMMYFUNCTION("IFERROR(ABS(P1475-AVERAGE(FILTER(O1475:P5543,AA1475:AA5543=""Neighbor""))) / STDEV(FILTER(P1475:P5543, AA1475:AA5543 =""Neighbor"")), """")"),0.869235309852855)</f>
        <v>0.8692353099</v>
      </c>
      <c r="AE1475" s="2">
        <f>IFERROR(__xludf.DUMMYFUNCTION("IFERROR(ABS(Q1475-AVERAGE(FILTER(Q1475:Q5543,AA1475:AA5543=""Neighbor""))) / STDEV(FILTER(Q1475:Q5543, AA1475:AA5543 =""Neighbor"")), """")"),1.5267918572885082)</f>
        <v>1.526791857</v>
      </c>
      <c r="AF1475" s="2">
        <f>IFERROR(__xludf.DUMMYFUNCTION("IFERROR(ABS(R1475-AVERAGE(FILTER(R1475:R5543,AA1475:AA5543=""Neighbor""))) / STDEV(FILTER(R1475:R5543, AA1475:AA5543 =""Neighbor"")), """")"),0.3450487332493246)</f>
        <v>0.3450487332</v>
      </c>
    </row>
    <row r="1476">
      <c r="A1476" s="2" t="s">
        <v>28</v>
      </c>
      <c r="B1476" s="2" t="s">
        <v>5384</v>
      </c>
      <c r="C1476" s="2" t="s">
        <v>6009</v>
      </c>
      <c r="D1476" s="2" t="s">
        <v>6034</v>
      </c>
      <c r="E1476" s="2" t="s">
        <v>6035</v>
      </c>
      <c r="F1476" s="2">
        <v>147.0</v>
      </c>
      <c r="G1476" s="2">
        <v>535.0</v>
      </c>
      <c r="H1476" s="2" t="b">
        <v>1</v>
      </c>
      <c r="I1476" s="2">
        <v>-1.0</v>
      </c>
      <c r="J1476" s="2" t="b">
        <v>0</v>
      </c>
      <c r="K1476" s="2" t="b">
        <v>0</v>
      </c>
      <c r="L1476" s="2" t="b">
        <v>0</v>
      </c>
      <c r="M1476" s="2" t="b">
        <v>0</v>
      </c>
      <c r="N1476" s="2" t="s">
        <v>33</v>
      </c>
      <c r="O1476" s="2">
        <v>85.0</v>
      </c>
      <c r="P1476" s="2">
        <v>7.0</v>
      </c>
      <c r="Q1476" s="2">
        <v>48.0</v>
      </c>
      <c r="R1476" s="2">
        <v>0.0</v>
      </c>
      <c r="S1476" s="3" t="s">
        <v>6036</v>
      </c>
      <c r="T1476" s="2" t="s">
        <v>6037</v>
      </c>
      <c r="Y1476" s="4" t="str">
        <f>IFERROR(__xludf.DUMMYFUNCTION("""COMPUTED_VALUE"""),"6.9289869")</f>
        <v>6.9289869</v>
      </c>
      <c r="Z1476" s="4" t="str">
        <f>IFERROR(__xludf.DUMMYFUNCTION("""COMPUTED_VALUE"""),"3.9190062")</f>
        <v>3.9190062</v>
      </c>
      <c r="AA1476" s="4" t="str">
        <f t="shared" si="1"/>
        <v>Neighbor</v>
      </c>
      <c r="AC1476" s="4">
        <f>IFERROR(__xludf.DUMMYFUNCTION("IFERROR(ABS(O1476-AVERAGE(FILTER(O1476:O5544,AA1476:AA5544=""Neighbor""))) / STDEV(FILTER(O1476:O5544, AA1476:AA5544 =""Neighbor"")), """")"),0.6192573445429927)</f>
        <v>0.6192573445</v>
      </c>
      <c r="AD1476" s="4">
        <f>IFERROR(__xludf.DUMMYFUNCTION("IFERROR(ABS(P1476-AVERAGE(FILTER(O1476:P5544,AA1476:AA5544=""Neighbor""))) / STDEV(FILTER(P1476:P5544, AA1476:AA5544 =""Neighbor"")), """")"),1.4175939414231429)</f>
        <v>1.417593941</v>
      </c>
      <c r="AE1476" s="2">
        <f>IFERROR(__xludf.DUMMYFUNCTION("IFERROR(ABS(Q1476-AVERAGE(FILTER(Q1476:Q5544,AA1476:AA5544=""Neighbor""))) / STDEV(FILTER(Q1476:Q5544, AA1476:AA5544 =""Neighbor"")), """")"),0.8982226957353295)</f>
        <v>0.8982226957</v>
      </c>
      <c r="AF1476" s="2">
        <f>IFERROR(__xludf.DUMMYFUNCTION("IFERROR(ABS(R1476-AVERAGE(FILTER(R1476:R5544,AA1476:AA5544=""Neighbor""))) / STDEV(FILTER(R1476:R5544, AA1476:AA5544 =""Neighbor"")), """")"),0.3450487332493246)</f>
        <v>0.3450487332</v>
      </c>
    </row>
    <row r="1477">
      <c r="A1477" s="2" t="s">
        <v>28</v>
      </c>
      <c r="B1477" s="2" t="s">
        <v>5384</v>
      </c>
      <c r="C1477" s="2" t="s">
        <v>6009</v>
      </c>
      <c r="D1477" s="2" t="s">
        <v>6038</v>
      </c>
      <c r="E1477" s="2" t="s">
        <v>6039</v>
      </c>
      <c r="F1477" s="2">
        <v>220.0</v>
      </c>
      <c r="G1477" s="2">
        <v>658.0</v>
      </c>
      <c r="H1477" s="2" t="b">
        <v>1</v>
      </c>
      <c r="I1477" s="2">
        <v>-1.0</v>
      </c>
      <c r="J1477" s="2" t="b">
        <v>0</v>
      </c>
      <c r="K1477" s="2" t="b">
        <v>0</v>
      </c>
      <c r="L1477" s="2" t="b">
        <v>0</v>
      </c>
      <c r="M1477" s="2" t="b">
        <v>0</v>
      </c>
      <c r="N1477" s="2" t="s">
        <v>33</v>
      </c>
      <c r="O1477" s="2">
        <v>152.0</v>
      </c>
      <c r="P1477" s="2">
        <v>11.0</v>
      </c>
      <c r="Q1477" s="2">
        <v>39.0</v>
      </c>
      <c r="R1477" s="2">
        <v>0.0</v>
      </c>
      <c r="S1477" s="3" t="s">
        <v>6040</v>
      </c>
      <c r="T1477" s="2" t="s">
        <v>6041</v>
      </c>
      <c r="Y1477" s="4" t="str">
        <f>IFERROR(__xludf.DUMMYFUNCTION("""COMPUTED_VALUE"""),"6.9289869")</f>
        <v>6.9289869</v>
      </c>
      <c r="Z1477" s="4" t="str">
        <f>IFERROR(__xludf.DUMMYFUNCTION("""COMPUTED_VALUE"""),"3.9190062")</f>
        <v>3.9190062</v>
      </c>
      <c r="AA1477" s="4" t="str">
        <f t="shared" si="1"/>
        <v>Not Neighbor</v>
      </c>
      <c r="AC1477" s="4">
        <f>IFERROR(__xludf.DUMMYFUNCTION("IFERROR(ABS(O1477-AVERAGE(FILTER(O1477:O5545,AA1477:AA5545=""Neighbor""))) / STDEV(FILTER(O1477:O5545, AA1477:AA5545 =""Neighbor"")), """")"),2.2812669804344)</f>
        <v>2.28126698</v>
      </c>
      <c r="AD1477" s="4">
        <f>IFERROR(__xludf.DUMMYFUNCTION("IFERROR(ABS(P1477-AVERAGE(FILTER(O1477:P5545,AA1477:AA5545=""Neighbor""))) / STDEV(FILTER(P1477:P5545, AA1477:AA5545 =""Neighbor"")), """")"),1.233989319841426)</f>
        <v>1.23398932</v>
      </c>
      <c r="AE1477" s="2">
        <f>IFERROR(__xludf.DUMMYFUNCTION("IFERROR(ABS(Q1477-AVERAGE(FILTER(Q1477:Q5545,AA1477:AA5545=""Neighbor""))) / STDEV(FILTER(Q1477:Q5545, AA1477:AA5545 =""Neighbor"")), """")"),0.5454414348584379)</f>
        <v>0.5454414349</v>
      </c>
      <c r="AF1477" s="2">
        <f>IFERROR(__xludf.DUMMYFUNCTION("IFERROR(ABS(R1477-AVERAGE(FILTER(R1477:R5545,AA1477:AA5545=""Neighbor""))) / STDEV(FILTER(R1477:R5545, AA1477:AA5545 =""Neighbor"")), """")"),0.34522867178277)</f>
        <v>0.3452286718</v>
      </c>
    </row>
    <row r="1478">
      <c r="A1478" s="2" t="s">
        <v>28</v>
      </c>
      <c r="B1478" s="2" t="s">
        <v>5384</v>
      </c>
      <c r="C1478" s="2" t="s">
        <v>6009</v>
      </c>
      <c r="D1478" s="2" t="s">
        <v>6042</v>
      </c>
      <c r="E1478" s="2" t="s">
        <v>6043</v>
      </c>
      <c r="F1478" s="2">
        <v>165.0</v>
      </c>
      <c r="G1478" s="2">
        <v>695.0</v>
      </c>
      <c r="H1478" s="2" t="b">
        <v>1</v>
      </c>
      <c r="I1478" s="2">
        <v>-1.0</v>
      </c>
      <c r="J1478" s="2" t="b">
        <v>0</v>
      </c>
      <c r="K1478" s="2" t="b">
        <v>1</v>
      </c>
      <c r="L1478" s="2" t="b">
        <v>0</v>
      </c>
      <c r="M1478" s="2" t="b">
        <v>0</v>
      </c>
      <c r="N1478" s="2" t="s">
        <v>33</v>
      </c>
      <c r="O1478" s="2">
        <v>73.0</v>
      </c>
      <c r="P1478" s="2">
        <v>16.0</v>
      </c>
      <c r="Q1478" s="2">
        <v>66.0</v>
      </c>
      <c r="R1478" s="2">
        <v>0.0</v>
      </c>
      <c r="S1478" s="3" t="s">
        <v>6044</v>
      </c>
      <c r="T1478" s="2" t="s">
        <v>6045</v>
      </c>
      <c r="Y1478" s="4" t="str">
        <f>IFERROR(__xludf.DUMMYFUNCTION("""COMPUTED_VALUE"""),"6.9407835")</f>
        <v>6.9407835</v>
      </c>
      <c r="Z1478" s="4" t="str">
        <f>IFERROR(__xludf.DUMMYFUNCTION("""COMPUTED_VALUE"""),"3.9153814")</f>
        <v>3.9153814</v>
      </c>
      <c r="AA1478" s="4" t="str">
        <f t="shared" si="1"/>
        <v>Not Neighbor</v>
      </c>
      <c r="AC1478" s="4">
        <f>IFERROR(__xludf.DUMMYFUNCTION("IFERROR(ABS(O1478-AVERAGE(FILTER(O1478:O5546,AA1478:AA5546=""Neighbor""))) / STDEV(FILTER(O1478:O5546, AA1478:AA5546 =""Neighbor"")), """")"),0.32205496085172025)</f>
        <v>0.3220549609</v>
      </c>
      <c r="AD1478" s="4">
        <f>IFERROR(__xludf.DUMMYFUNCTION("IFERROR(ABS(P1478-AVERAGE(FILTER(O1478:P5546,AA1478:AA5546=""Neighbor""))) / STDEV(FILTER(P1478:P5546, AA1478:AA5546 =""Neighbor"")), """")"),1.0055950880919122)</f>
        <v>1.005595088</v>
      </c>
      <c r="AE1478" s="2">
        <f>IFERROR(__xludf.DUMMYFUNCTION("IFERROR(ABS(Q1478-AVERAGE(FILTER(Q1478:Q5546,AA1478:AA5546=""Neighbor""))) / STDEV(FILTER(Q1478:Q5546, AA1478:AA5546 =""Neighbor"")), """")"),1.6060566105751073)</f>
        <v>1.606056611</v>
      </c>
      <c r="AF1478" s="2">
        <f>IFERROR(__xludf.DUMMYFUNCTION("IFERROR(ABS(R1478-AVERAGE(FILTER(R1478:R5546,AA1478:AA5546=""Neighbor""))) / STDEV(FILTER(R1478:R5546, AA1478:AA5546 =""Neighbor"")), """")"),0.34522867178277)</f>
        <v>0.3452286718</v>
      </c>
    </row>
    <row r="1479">
      <c r="A1479" s="2" t="s">
        <v>28</v>
      </c>
      <c r="B1479" s="2" t="s">
        <v>5384</v>
      </c>
      <c r="C1479" s="2" t="s">
        <v>6009</v>
      </c>
      <c r="D1479" s="2" t="s">
        <v>6046</v>
      </c>
      <c r="E1479" s="2" t="s">
        <v>6047</v>
      </c>
      <c r="F1479" s="2">
        <v>69.0</v>
      </c>
      <c r="G1479" s="2">
        <v>547.0</v>
      </c>
      <c r="H1479" s="2" t="b">
        <v>1</v>
      </c>
      <c r="I1479" s="2">
        <v>-1.0</v>
      </c>
      <c r="J1479" s="2" t="b">
        <v>0</v>
      </c>
      <c r="K1479" s="2" t="b">
        <v>0</v>
      </c>
      <c r="L1479" s="2" t="b">
        <v>0</v>
      </c>
      <c r="M1479" s="2" t="b">
        <v>0</v>
      </c>
      <c r="N1479" s="2" t="s">
        <v>33</v>
      </c>
      <c r="O1479" s="2">
        <v>45.0</v>
      </c>
      <c r="P1479" s="2">
        <v>2.0</v>
      </c>
      <c r="Q1479" s="2">
        <v>16.0</v>
      </c>
      <c r="R1479" s="2">
        <v>0.0</v>
      </c>
      <c r="S1479" s="3" t="s">
        <v>6048</v>
      </c>
      <c r="T1479" s="2" t="s">
        <v>6049</v>
      </c>
      <c r="Y1479" s="4" t="str">
        <f>IFERROR(__xludf.DUMMYFUNCTION("""COMPUTED_VALUE"""),"6.9291168")</f>
        <v>6.9291168</v>
      </c>
      <c r="Z1479" s="4" t="str">
        <f>IFERROR(__xludf.DUMMYFUNCTION("""COMPUTED_VALUE"""),"3.9051314")</f>
        <v>3.9051314</v>
      </c>
      <c r="AA1479" s="4" t="str">
        <f t="shared" si="1"/>
        <v>Not Neighbor</v>
      </c>
      <c r="AC1479" s="4">
        <f>IFERROR(__xludf.DUMMYFUNCTION("IFERROR(ABS(O1479-AVERAGE(FILTER(O1479:O5547,AA1479:AA5547=""Neighbor""))) / STDEV(FILTER(O1479:O5547, AA1479:AA5547 =""Neighbor"")), """")"),0.37234929925353344)</f>
        <v>0.3723492993</v>
      </c>
      <c r="AD1479" s="4">
        <f>IFERROR(__xludf.DUMMYFUNCTION("IFERROR(ABS(P1479-AVERAGE(FILTER(O1479:P5547,AA1479:AA5547=""Neighbor""))) / STDEV(FILTER(P1479:P5547, AA1479:AA5547 =""Neighbor"")), """")"),1.6450989369905507)</f>
        <v>1.645098937</v>
      </c>
      <c r="AE1479" s="2">
        <f>IFERROR(__xludf.DUMMYFUNCTION("IFERROR(ABS(Q1479-AVERAGE(FILTER(Q1479:Q5547,AA1479:AA5547=""Neighbor""))) / STDEV(FILTER(Q1479:Q5547, AA1479:AA5547 =""Neighbor"")), """")"),0.35804556667798426)</f>
        <v>0.3580455667</v>
      </c>
      <c r="AF1479" s="2">
        <f>IFERROR(__xludf.DUMMYFUNCTION("IFERROR(ABS(R1479-AVERAGE(FILTER(R1479:R5547,AA1479:AA5547=""Neighbor""))) / STDEV(FILTER(R1479:R5547, AA1479:AA5547 =""Neighbor"")), """")"),0.34522867178277)</f>
        <v>0.3452286718</v>
      </c>
    </row>
    <row r="1480">
      <c r="A1480" s="2" t="s">
        <v>28</v>
      </c>
      <c r="B1480" s="2" t="s">
        <v>5384</v>
      </c>
      <c r="C1480" s="2" t="s">
        <v>6009</v>
      </c>
      <c r="D1480" s="2" t="s">
        <v>6050</v>
      </c>
      <c r="E1480" s="2" t="s">
        <v>6051</v>
      </c>
      <c r="F1480" s="2">
        <v>124.0</v>
      </c>
      <c r="G1480" s="2">
        <v>550.0</v>
      </c>
      <c r="H1480" s="2" t="b">
        <v>1</v>
      </c>
      <c r="I1480" s="2">
        <v>-1.0</v>
      </c>
      <c r="J1480" s="2" t="b">
        <v>0</v>
      </c>
      <c r="K1480" s="2" t="b">
        <v>1</v>
      </c>
      <c r="L1480" s="2" t="b">
        <v>0</v>
      </c>
      <c r="M1480" s="2" t="b">
        <v>0</v>
      </c>
      <c r="N1480" s="2" t="s">
        <v>33</v>
      </c>
      <c r="O1480" s="2">
        <v>74.0</v>
      </c>
      <c r="P1480" s="2">
        <v>4.0</v>
      </c>
      <c r="Q1480" s="2">
        <v>42.0</v>
      </c>
      <c r="R1480" s="2">
        <v>0.0</v>
      </c>
      <c r="S1480" s="3" t="s">
        <v>6052</v>
      </c>
      <c r="T1480" s="2" t="s">
        <v>6053</v>
      </c>
      <c r="Y1480" s="4" t="str">
        <f>IFERROR(__xludf.DUMMYFUNCTION("""COMPUTED_VALUE"""),"6.9289869")</f>
        <v>6.9289869</v>
      </c>
      <c r="Z1480" s="4" t="str">
        <f>IFERROR(__xludf.DUMMYFUNCTION("""COMPUTED_VALUE"""),"3.9190062")</f>
        <v>3.9190062</v>
      </c>
      <c r="AA1480" s="4" t="str">
        <f t="shared" si="1"/>
        <v>Neighbor</v>
      </c>
      <c r="AC1480" s="4">
        <f>IFERROR(__xludf.DUMMYFUNCTION("IFERROR(ABS(O1480-AVERAGE(FILTER(O1480:O5548,AA1480:AA5548=""Neighbor""))) / STDEV(FILTER(O1480:O5548, AA1480:AA5548 =""Neighbor"")), """")"),0.34685511299833643)</f>
        <v>0.346855113</v>
      </c>
      <c r="AD1480" s="4">
        <f>IFERROR(__xludf.DUMMYFUNCTION("IFERROR(ABS(P1480-AVERAGE(FILTER(O1480:P5548,AA1480:AA5548=""Neighbor""))) / STDEV(FILTER(P1480:P5548, AA1480:AA5548 =""Neighbor"")), """")"),1.5537412442907452)</f>
        <v>1.553741244</v>
      </c>
      <c r="AE1480" s="2">
        <f>IFERROR(__xludf.DUMMYFUNCTION("IFERROR(ABS(Q1480-AVERAGE(FILTER(Q1480:Q5548,AA1480:AA5548=""Neighbor""))) / STDEV(FILTER(Q1480:Q5548, AA1480:AA5548 =""Neighbor"")), """")"),0.6632875654936233)</f>
        <v>0.6632875655</v>
      </c>
      <c r="AF1480" s="2">
        <f>IFERROR(__xludf.DUMMYFUNCTION("IFERROR(ABS(R1480-AVERAGE(FILTER(R1480:R5548,AA1480:AA5548=""Neighbor""))) / STDEV(FILTER(R1480:R5548, AA1480:AA5548 =""Neighbor"")), """")"),0.34522867178277)</f>
        <v>0.3452286718</v>
      </c>
    </row>
    <row r="1481">
      <c r="A1481" s="2" t="s">
        <v>28</v>
      </c>
      <c r="B1481" s="2" t="s">
        <v>5384</v>
      </c>
      <c r="C1481" s="2" t="s">
        <v>6009</v>
      </c>
      <c r="D1481" s="2" t="s">
        <v>6054</v>
      </c>
      <c r="E1481" s="2" t="s">
        <v>6055</v>
      </c>
      <c r="F1481" s="2">
        <v>103.0</v>
      </c>
      <c r="G1481" s="2">
        <v>392.0</v>
      </c>
      <c r="H1481" s="2" t="b">
        <v>1</v>
      </c>
      <c r="I1481" s="2">
        <v>-1.0</v>
      </c>
      <c r="J1481" s="2" t="b">
        <v>0</v>
      </c>
      <c r="K1481" s="2" t="b">
        <v>0</v>
      </c>
      <c r="L1481" s="2" t="b">
        <v>0</v>
      </c>
      <c r="M1481" s="2" t="b">
        <v>0</v>
      </c>
      <c r="N1481" s="2" t="s">
        <v>33</v>
      </c>
      <c r="O1481" s="2">
        <v>53.0</v>
      </c>
      <c r="P1481" s="2">
        <v>4.0</v>
      </c>
      <c r="Q1481" s="2">
        <v>41.0</v>
      </c>
      <c r="R1481" s="2">
        <v>0.0</v>
      </c>
      <c r="S1481" s="3" t="s">
        <v>6056</v>
      </c>
      <c r="T1481" s="2" t="s">
        <v>6057</v>
      </c>
      <c r="Y1481" s="4" t="str">
        <f>IFERROR(__xludf.DUMMYFUNCTION("""COMPUTED_VALUE"""),"6.9289869")</f>
        <v>6.9289869</v>
      </c>
      <c r="Z1481" s="4" t="str">
        <f>IFERROR(__xludf.DUMMYFUNCTION("""COMPUTED_VALUE"""),"3.9190062")</f>
        <v>3.9190062</v>
      </c>
      <c r="AA1481" s="4" t="str">
        <f t="shared" si="1"/>
        <v>Not Neighbor</v>
      </c>
      <c r="AC1481" s="4">
        <f>IFERROR(__xludf.DUMMYFUNCTION("IFERROR(ABS(O1481-AVERAGE(FILTER(O1481:O5549,AA1481:AA5549=""Neighbor""))) / STDEV(FILTER(O1481:O5549, AA1481:AA5549 =""Neighbor"")), """")"),0.1735529023292866)</f>
        <v>0.1735529023</v>
      </c>
      <c r="AD1481" s="4">
        <f>IFERROR(__xludf.DUMMYFUNCTION("IFERROR(ABS(P1481-AVERAGE(FILTER(O1481:P5549,AA1481:AA5549=""Neighbor""))) / STDEV(FILTER(P1481:P5549, AA1481:AA5549 =""Neighbor"")), """")"),1.5531923233252698)</f>
        <v>1.553192323</v>
      </c>
      <c r="AE1481" s="2">
        <f>IFERROR(__xludf.DUMMYFUNCTION("IFERROR(ABS(Q1481-AVERAGE(FILTER(Q1481:Q5549,AA1481:AA5549=""Neighbor""))) / STDEV(FILTER(Q1481:Q5549, AA1481:AA5549 =""Neighbor"")), """")"),0.6244615543106451)</f>
        <v>0.6244615543</v>
      </c>
      <c r="AF1481" s="2">
        <f>IFERROR(__xludf.DUMMYFUNCTION("IFERROR(ABS(R1481-AVERAGE(FILTER(R1481:R5549,AA1481:AA5549=""Neighbor""))) / STDEV(FILTER(R1481:R5549, AA1481:AA5549 =""Neighbor"")), """")"),0.34540889215037296)</f>
        <v>0.3454088922</v>
      </c>
    </row>
    <row r="1482">
      <c r="A1482" s="2" t="s">
        <v>28</v>
      </c>
      <c r="B1482" s="2" t="s">
        <v>5384</v>
      </c>
      <c r="C1482" s="2" t="s">
        <v>6058</v>
      </c>
      <c r="D1482" s="2" t="s">
        <v>6059</v>
      </c>
      <c r="E1482" s="2" t="s">
        <v>6060</v>
      </c>
      <c r="F1482" s="2">
        <v>84.0</v>
      </c>
      <c r="G1482" s="2">
        <v>270.0</v>
      </c>
      <c r="H1482" s="2" t="b">
        <v>1</v>
      </c>
      <c r="I1482" s="2">
        <v>-1.0</v>
      </c>
      <c r="J1482" s="2" t="b">
        <v>0</v>
      </c>
      <c r="K1482" s="2" t="b">
        <v>0</v>
      </c>
      <c r="L1482" s="2" t="b">
        <v>0</v>
      </c>
      <c r="M1482" s="2" t="b">
        <v>0</v>
      </c>
      <c r="N1482" s="2" t="s">
        <v>33</v>
      </c>
      <c r="O1482" s="2">
        <v>31.0</v>
      </c>
      <c r="P1482" s="2">
        <v>1.0</v>
      </c>
      <c r="Q1482" s="2">
        <v>49.0</v>
      </c>
      <c r="R1482" s="2">
        <v>0.0</v>
      </c>
      <c r="S1482" s="3" t="s">
        <v>6061</v>
      </c>
      <c r="T1482" s="2" t="s">
        <v>6062</v>
      </c>
      <c r="Y1482" s="4" t="str">
        <f>IFERROR(__xludf.DUMMYFUNCTION("""COMPUTED_VALUE"""),"6.9269085")</f>
        <v>6.9269085</v>
      </c>
      <c r="Z1482" s="4" t="str">
        <f>IFERROR(__xludf.DUMMYFUNCTION("""COMPUTED_VALUE"""),"3.8451731")</f>
        <v>3.8451731</v>
      </c>
      <c r="AA1482" s="4" t="str">
        <f t="shared" si="1"/>
        <v>Neighbor</v>
      </c>
      <c r="AC1482" s="4">
        <f>IFERROR(__xludf.DUMMYFUNCTION("IFERROR(ABS(O1482-AVERAGE(FILTER(O1482:O5550,AA1482:AA5550=""Neighbor""))) / STDEV(FILTER(O1482:O5550, AA1482:AA5550 =""Neighbor"")), """")"),0.7189321347489517)</f>
        <v>0.7189321347</v>
      </c>
      <c r="AD1482" s="4">
        <f>IFERROR(__xludf.DUMMYFUNCTION("IFERROR(ABS(P1482-AVERAGE(FILTER(O1482:P5550,AA1482:AA5550=""Neighbor""))) / STDEV(FILTER(P1482:P5550, AA1482:AA5550 =""Neighbor"")), """")"),1.690184154853993)</f>
        <v>1.690184155</v>
      </c>
      <c r="AE1482" s="2">
        <f>IFERROR(__xludf.DUMMYFUNCTION("IFERROR(ABS(Q1482-AVERAGE(FILTER(Q1482:Q5550,AA1482:AA5550=""Neighbor""))) / STDEV(FILTER(Q1482:Q5550, AA1482:AA5550 =""Neighbor"")), """")"),0.9386357526273573)</f>
        <v>0.9386357526</v>
      </c>
      <c r="AF1482" s="2">
        <f>IFERROR(__xludf.DUMMYFUNCTION("IFERROR(ABS(R1482-AVERAGE(FILTER(R1482:R5550,AA1482:AA5550=""Neighbor""))) / STDEV(FILTER(R1482:R5550, AA1482:AA5550 =""Neighbor"")), """")"),0.34540889215037296)</f>
        <v>0.3454088922</v>
      </c>
    </row>
    <row r="1483">
      <c r="A1483" s="2" t="s">
        <v>28</v>
      </c>
      <c r="B1483" s="2" t="s">
        <v>5384</v>
      </c>
      <c r="C1483" s="2" t="s">
        <v>6058</v>
      </c>
      <c r="D1483" s="2" t="s">
        <v>6063</v>
      </c>
      <c r="E1483" s="2" t="s">
        <v>6064</v>
      </c>
      <c r="F1483" s="2">
        <v>99.0</v>
      </c>
      <c r="G1483" s="2">
        <v>387.0</v>
      </c>
      <c r="H1483" s="2" t="b">
        <v>1</v>
      </c>
      <c r="I1483" s="2">
        <v>-1.0</v>
      </c>
      <c r="J1483" s="2" t="b">
        <v>0</v>
      </c>
      <c r="K1483" s="2" t="b">
        <v>0</v>
      </c>
      <c r="L1483" s="2" t="b">
        <v>0</v>
      </c>
      <c r="M1483" s="2" t="b">
        <v>0</v>
      </c>
      <c r="N1483" s="2" t="s">
        <v>33</v>
      </c>
      <c r="O1483" s="2">
        <v>60.0</v>
      </c>
      <c r="P1483" s="2">
        <v>2.0</v>
      </c>
      <c r="Q1483" s="2">
        <v>35.0</v>
      </c>
      <c r="R1483" s="2">
        <v>0.0</v>
      </c>
      <c r="S1483" s="3" t="s">
        <v>6065</v>
      </c>
      <c r="T1483" s="2" t="s">
        <v>6066</v>
      </c>
      <c r="Y1483" s="4" t="str">
        <f>IFERROR(__xludf.DUMMYFUNCTION("""COMPUTED_VALUE"""),"6.9269085")</f>
        <v>6.9269085</v>
      </c>
      <c r="Z1483" s="4" t="str">
        <f>IFERROR(__xludf.DUMMYFUNCTION("""COMPUTED_VALUE"""),"3.8451731")</f>
        <v>3.8451731</v>
      </c>
      <c r="AA1483" s="4" t="str">
        <f t="shared" si="1"/>
        <v>Neighbor</v>
      </c>
      <c r="AC1483" s="4">
        <f>IFERROR(__xludf.DUMMYFUNCTION("IFERROR(ABS(O1483-AVERAGE(FILTER(O1483:O5551,AA1483:AA5551=""Neighbor""))) / STDEV(FILTER(O1483:O5551, AA1483:AA5551 =""Neighbor"")), """")"),6.948888972698887E-4)</f>
        <v>0.0006948888973</v>
      </c>
      <c r="AD1483" s="4">
        <f>IFERROR(__xludf.DUMMYFUNCTION("IFERROR(ABS(P1483-AVERAGE(FILTER(O1483:P5551,AA1483:AA5551=""Neighbor""))) / STDEV(FILTER(P1483:P5551, AA1483:AA5551 =""Neighbor"")), """")"),1.645052881819879)</f>
        <v>1.645052882</v>
      </c>
      <c r="AE1483" s="2">
        <f>IFERROR(__xludf.DUMMYFUNCTION("IFERROR(ABS(Q1483-AVERAGE(FILTER(Q1483:Q5551,AA1483:AA5551=""Neighbor""))) / STDEV(FILTER(Q1483:Q5551, AA1483:AA5551 =""Neighbor"")), """")"),0.389686602920028)</f>
        <v>0.3896866029</v>
      </c>
      <c r="AF1483" s="2">
        <f>IFERROR(__xludf.DUMMYFUNCTION("IFERROR(ABS(R1483-AVERAGE(FILTER(R1483:R5551,AA1483:AA5551=""Neighbor""))) / STDEV(FILTER(R1483:R5551, AA1483:AA5551 =""Neighbor"")), """")"),0.34558939508869735)</f>
        <v>0.3455893951</v>
      </c>
    </row>
    <row r="1484">
      <c r="A1484" s="2" t="s">
        <v>28</v>
      </c>
      <c r="B1484" s="2" t="s">
        <v>5384</v>
      </c>
      <c r="C1484" s="2" t="s">
        <v>6058</v>
      </c>
      <c r="D1484" s="2" t="s">
        <v>6067</v>
      </c>
      <c r="E1484" s="2" t="s">
        <v>6068</v>
      </c>
      <c r="F1484" s="2">
        <v>97.0</v>
      </c>
      <c r="G1484" s="2">
        <v>400.0</v>
      </c>
      <c r="H1484" s="2" t="b">
        <v>1</v>
      </c>
      <c r="I1484" s="2">
        <v>-1.0</v>
      </c>
      <c r="J1484" s="2" t="b">
        <v>0</v>
      </c>
      <c r="K1484" s="2" t="b">
        <v>0</v>
      </c>
      <c r="L1484" s="2" t="b">
        <v>0</v>
      </c>
      <c r="M1484" s="2" t="b">
        <v>0</v>
      </c>
      <c r="N1484" s="2" t="s">
        <v>33</v>
      </c>
      <c r="O1484" s="2">
        <v>44.0</v>
      </c>
      <c r="P1484" s="2">
        <v>6.0</v>
      </c>
      <c r="Q1484" s="2">
        <v>43.0</v>
      </c>
      <c r="R1484" s="2">
        <v>0.0</v>
      </c>
      <c r="S1484" s="3" t="s">
        <v>6069</v>
      </c>
      <c r="T1484" s="2" t="s">
        <v>6070</v>
      </c>
      <c r="Y1484" s="4" t="str">
        <f>IFERROR(__xludf.DUMMYFUNCTION("""COMPUTED_VALUE"""),"6.9269085")</f>
        <v>6.9269085</v>
      </c>
      <c r="Z1484" s="4" t="str">
        <f>IFERROR(__xludf.DUMMYFUNCTION("""COMPUTED_VALUE"""),"3.8451731")</f>
        <v>3.8451731</v>
      </c>
      <c r="AA1484" s="4" t="str">
        <f t="shared" si="1"/>
        <v>Neighbor</v>
      </c>
      <c r="AC1484" s="4">
        <f>IFERROR(__xludf.DUMMYFUNCTION("IFERROR(ABS(O1484-AVERAGE(FILTER(O1484:O5552,AA1484:AA5552=""Neighbor""))) / STDEV(FILTER(O1484:O5552, AA1484:AA5552 =""Neighbor"")), """")"),0.3970596238881915)</f>
        <v>0.3970596239</v>
      </c>
      <c r="AD1484" s="4">
        <f>IFERROR(__xludf.DUMMYFUNCTION("IFERROR(ABS(P1484-AVERAGE(FILTER(O1484:P5552,AA1484:AA5552=""Neighbor""))) / STDEV(FILTER(P1484:P5552, AA1484:AA5552 =""Neighbor"")), """")"),1.4623396348079454)</f>
        <v>1.462339635</v>
      </c>
      <c r="AE1484" s="2">
        <f>IFERROR(__xludf.DUMMYFUNCTION("IFERROR(ABS(Q1484-AVERAGE(FILTER(Q1484:Q5552,AA1484:AA5552=""Neighbor""))) / STDEV(FILTER(Q1484:Q5552, AA1484:AA5552 =""Neighbor"")), """")"),0.7039285685325815)</f>
        <v>0.7039285685</v>
      </c>
      <c r="AF1484" s="2">
        <f>IFERROR(__xludf.DUMMYFUNCTION("IFERROR(ABS(R1484-AVERAGE(FILTER(R1484:R5552,AA1484:AA5552=""Neighbor""))) / STDEV(FILTER(R1484:R5552, AA1484:AA5552 =""Neighbor"")), """")"),0.3457701813370048)</f>
        <v>0.3457701813</v>
      </c>
    </row>
    <row r="1485">
      <c r="A1485" s="2" t="s">
        <v>28</v>
      </c>
      <c r="B1485" s="2" t="s">
        <v>5384</v>
      </c>
      <c r="C1485" s="2" t="s">
        <v>6058</v>
      </c>
      <c r="D1485" s="2" t="s">
        <v>6071</v>
      </c>
      <c r="E1485" s="2" t="s">
        <v>6072</v>
      </c>
      <c r="F1485" s="2">
        <v>103.0</v>
      </c>
      <c r="G1485" s="2">
        <v>427.0</v>
      </c>
      <c r="H1485" s="2" t="b">
        <v>1</v>
      </c>
      <c r="I1485" s="2">
        <v>-1.0</v>
      </c>
      <c r="J1485" s="2" t="b">
        <v>0</v>
      </c>
      <c r="K1485" s="2" t="b">
        <v>0</v>
      </c>
      <c r="L1485" s="2" t="b">
        <v>0</v>
      </c>
      <c r="M1485" s="2" t="b">
        <v>0</v>
      </c>
      <c r="N1485" s="2" t="s">
        <v>33</v>
      </c>
      <c r="O1485" s="2">
        <v>56.0</v>
      </c>
      <c r="P1485" s="2">
        <v>2.0</v>
      </c>
      <c r="Q1485" s="2">
        <v>41.0</v>
      </c>
      <c r="R1485" s="2">
        <v>0.0</v>
      </c>
      <c r="S1485" s="3" t="s">
        <v>6073</v>
      </c>
      <c r="T1485" s="2" t="s">
        <v>6074</v>
      </c>
      <c r="Y1485" s="4" t="str">
        <f>IFERROR(__xludf.DUMMYFUNCTION("""COMPUTED_VALUE"""),"6.9269085")</f>
        <v>6.9269085</v>
      </c>
      <c r="Z1485" s="4" t="str">
        <f>IFERROR(__xludf.DUMMYFUNCTION("""COMPUTED_VALUE"""),"3.8451731")</f>
        <v>3.8451731</v>
      </c>
      <c r="AA1485" s="4" t="str">
        <f t="shared" si="1"/>
        <v>Neighbor</v>
      </c>
      <c r="AC1485" s="4">
        <f>IFERROR(__xludf.DUMMYFUNCTION("IFERROR(ABS(O1485-AVERAGE(FILTER(O1485:O5553,AA1485:AA5553=""Neighbor""))) / STDEV(FILTER(O1485:O5553, AA1485:AA5553 =""Neighbor"")), """")"),0.10011859018297226)</f>
        <v>0.1001185902</v>
      </c>
      <c r="AD1485" s="4">
        <f>IFERROR(__xludf.DUMMYFUNCTION("IFERROR(ABS(P1485-AVERAGE(FILTER(O1485:P5553,AA1485:AA5553=""Neighbor""))) / STDEV(FILTER(P1485:P5553, AA1485:AA5553 =""Neighbor"")), """")"),1.6448489767638879)</f>
        <v>1.644848977</v>
      </c>
      <c r="AE1485" s="2">
        <f>IFERROR(__xludf.DUMMYFUNCTION("IFERROR(ABS(Q1485-AVERAGE(FILTER(Q1485:Q5553,AA1485:AA5553=""Neighbor""))) / STDEV(FILTER(Q1485:Q5553, AA1485:AA5553 =""Neighbor"")), """")"),0.6259318109296603)</f>
        <v>0.6259318109</v>
      </c>
      <c r="AF1485" s="2">
        <f>IFERROR(__xludf.DUMMYFUNCTION("IFERROR(ABS(R1485-AVERAGE(FILTER(R1485:R5553,AA1485:AA5553=""Neighbor""))) / STDEV(FILTER(R1485:R5553, AA1485:AA5553 =""Neighbor"")), """")"),0.34595125163726825)</f>
        <v>0.3459512516</v>
      </c>
    </row>
    <row r="1486">
      <c r="A1486" s="2" t="s">
        <v>28</v>
      </c>
      <c r="B1486" s="2" t="s">
        <v>5384</v>
      </c>
      <c r="C1486" s="2" t="s">
        <v>6058</v>
      </c>
      <c r="D1486" s="2" t="s">
        <v>6075</v>
      </c>
      <c r="E1486" s="2" t="s">
        <v>6076</v>
      </c>
      <c r="F1486" s="2">
        <v>70.0</v>
      </c>
      <c r="G1486" s="2">
        <v>196.0</v>
      </c>
      <c r="H1486" s="2" t="b">
        <v>1</v>
      </c>
      <c r="I1486" s="2">
        <v>-1.0</v>
      </c>
      <c r="J1486" s="2" t="b">
        <v>0</v>
      </c>
      <c r="K1486" s="2" t="b">
        <v>0</v>
      </c>
      <c r="L1486" s="2" t="b">
        <v>0</v>
      </c>
      <c r="M1486" s="2" t="b">
        <v>0</v>
      </c>
      <c r="N1486" s="2" t="s">
        <v>33</v>
      </c>
      <c r="O1486" s="2">
        <v>32.0</v>
      </c>
      <c r="P1486" s="2">
        <v>4.0</v>
      </c>
      <c r="Q1486" s="2">
        <v>25.0</v>
      </c>
      <c r="R1486" s="2">
        <v>1.0</v>
      </c>
      <c r="S1486" s="3" t="s">
        <v>6077</v>
      </c>
      <c r="T1486" s="2" t="s">
        <v>6078</v>
      </c>
      <c r="Y1486" s="4" t="str">
        <f>IFERROR(__xludf.DUMMYFUNCTION("""COMPUTED_VALUE"""),"6.9269085")</f>
        <v>6.9269085</v>
      </c>
      <c r="Z1486" s="4" t="str">
        <f>IFERROR(__xludf.DUMMYFUNCTION("""COMPUTED_VALUE"""),"3.8451731")</f>
        <v>3.8451731</v>
      </c>
      <c r="AA1486" s="4" t="str">
        <f t="shared" si="1"/>
        <v>Not Neighbor</v>
      </c>
      <c r="AC1486" s="4">
        <f>IFERROR(__xludf.DUMMYFUNCTION("IFERROR(ABS(O1486-AVERAGE(FILTER(O1486:O5554,AA1486:AA5554=""Neighbor""))) / STDEV(FILTER(O1486:O5554, AA1486:AA5554 =""Neighbor"")), """")"),0.6942022658335445)</f>
        <v>0.6942022658</v>
      </c>
      <c r="AD1486" s="4">
        <f>IFERROR(__xludf.DUMMYFUNCTION("IFERROR(ABS(P1486-AVERAGE(FILTER(O1486:P5554,AA1486:AA5554=""Neighbor""))) / STDEV(FILTER(P1486:P5554, AA1486:AA5554 =""Neighbor"")), """")"),1.553561259081663)</f>
        <v>1.553561259</v>
      </c>
      <c r="AE1486" s="2">
        <f>IFERROR(__xludf.DUMMYFUNCTION("IFERROR(ABS(Q1486-AVERAGE(FILTER(Q1486:Q5554,AA1486:AA5554=""Neighbor""))) / STDEV(FILTER(Q1486:Q5554, AA1486:AA5554 =""Neighbor"")), """")"),0.0013972593574951605)</f>
        <v>0.001397259357</v>
      </c>
      <c r="AF1486" s="2">
        <f>IFERROR(__xludf.DUMMYFUNCTION("IFERROR(ABS(R1486-AVERAGE(FILTER(R1486:R5554,AA1486:AA5554=""Neighbor""))) / STDEV(FILTER(R1486:R5554, AA1486:AA5554 =""Neighbor"")), """")"),0.8375965323215033)</f>
        <v>0.8375965323</v>
      </c>
    </row>
    <row r="1487">
      <c r="A1487" s="2" t="s">
        <v>28</v>
      </c>
      <c r="B1487" s="2" t="s">
        <v>5384</v>
      </c>
      <c r="C1487" s="2" t="s">
        <v>6058</v>
      </c>
      <c r="D1487" s="2" t="s">
        <v>6079</v>
      </c>
      <c r="E1487" s="2" t="s">
        <v>6080</v>
      </c>
      <c r="F1487" s="2">
        <v>101.0</v>
      </c>
      <c r="G1487" s="2">
        <v>457.0</v>
      </c>
      <c r="H1487" s="2" t="b">
        <v>1</v>
      </c>
      <c r="I1487" s="2">
        <v>-1.0</v>
      </c>
      <c r="J1487" s="2" t="b">
        <v>0</v>
      </c>
      <c r="K1487" s="2" t="b">
        <v>0</v>
      </c>
      <c r="L1487" s="2" t="b">
        <v>0</v>
      </c>
      <c r="M1487" s="2" t="b">
        <v>0</v>
      </c>
      <c r="N1487" s="2" t="s">
        <v>33</v>
      </c>
      <c r="O1487" s="2">
        <v>48.0</v>
      </c>
      <c r="P1487" s="2">
        <v>5.0</v>
      </c>
      <c r="Q1487" s="2">
        <v>33.0</v>
      </c>
      <c r="R1487" s="2">
        <v>0.0</v>
      </c>
      <c r="S1487" s="3" t="s">
        <v>6081</v>
      </c>
      <c r="T1487" s="2" t="s">
        <v>6082</v>
      </c>
      <c r="Y1487" s="4" t="str">
        <f>IFERROR(__xludf.DUMMYFUNCTION("""COMPUTED_VALUE"""),"6.9944149")</f>
        <v>6.9944149</v>
      </c>
      <c r="Z1487" s="4" t="str">
        <f>IFERROR(__xludf.DUMMYFUNCTION("""COMPUTED_VALUE"""),"3.7963772")</f>
        <v>3.7963772</v>
      </c>
      <c r="AA1487" s="4" t="str">
        <f t="shared" si="1"/>
        <v>Not Neighbor</v>
      </c>
      <c r="AC1487" s="4">
        <f>IFERROR(__xludf.DUMMYFUNCTION("IFERROR(ABS(O1487-AVERAGE(FILTER(O1487:O5555,AA1487:AA5555=""Neighbor""))) / STDEV(FILTER(O1487:O5555, AA1487:AA5555 =""Neighbor"")), """")"),0.2981780366579022)</f>
        <v>0.2981780367</v>
      </c>
      <c r="AD1487" s="4">
        <f>IFERROR(__xludf.DUMMYFUNCTION("IFERROR(ABS(P1487-AVERAGE(FILTER(O1487:P5555,AA1487:AA5555=""Neighbor""))) / STDEV(FILTER(P1487:P5555, AA1487:AA5555 =""Neighbor"")), """")"),1.5079506309517323)</f>
        <v>1.507950631</v>
      </c>
      <c r="AE1487" s="2">
        <f>IFERROR(__xludf.DUMMYFUNCTION("IFERROR(ABS(Q1487-AVERAGE(FILTER(Q1487:Q5555,AA1487:AA5555=""Neighbor""))) / STDEV(FILTER(Q1487:Q5555, AA1487:AA5555 =""Neighbor"")), """")"),0.31247131631561514)</f>
        <v>0.3124713163</v>
      </c>
      <c r="AF1487" s="2">
        <f>IFERROR(__xludf.DUMMYFUNCTION("IFERROR(ABS(R1487-AVERAGE(FILTER(R1487:R5555,AA1487:AA5555=""Neighbor""))) / STDEV(FILTER(R1487:R5555, AA1487:AA5555 =""Neighbor"")), """")"),0.34613260673418417)</f>
        <v>0.3461326067</v>
      </c>
    </row>
    <row r="1488">
      <c r="A1488" s="2" t="s">
        <v>28</v>
      </c>
      <c r="B1488" s="2" t="s">
        <v>5384</v>
      </c>
      <c r="C1488" s="2" t="s">
        <v>6058</v>
      </c>
      <c r="D1488" s="2" t="s">
        <v>6083</v>
      </c>
      <c r="E1488" s="2" t="s">
        <v>6084</v>
      </c>
      <c r="F1488" s="2">
        <v>69.0</v>
      </c>
      <c r="G1488" s="2">
        <v>222.0</v>
      </c>
      <c r="H1488" s="2" t="b">
        <v>1</v>
      </c>
      <c r="I1488" s="2">
        <v>-1.0</v>
      </c>
      <c r="J1488" s="2" t="b">
        <v>0</v>
      </c>
      <c r="K1488" s="2" t="b">
        <v>0</v>
      </c>
      <c r="L1488" s="2" t="b">
        <v>0</v>
      </c>
      <c r="M1488" s="2" t="b">
        <v>0</v>
      </c>
      <c r="N1488" s="2" t="s">
        <v>33</v>
      </c>
      <c r="O1488" s="2">
        <v>25.0</v>
      </c>
      <c r="P1488" s="2">
        <v>11.0</v>
      </c>
      <c r="Q1488" s="2">
        <v>27.0</v>
      </c>
      <c r="R1488" s="2">
        <v>0.0</v>
      </c>
      <c r="S1488" s="3" t="s">
        <v>6085</v>
      </c>
      <c r="T1488" s="2" t="s">
        <v>6086</v>
      </c>
      <c r="Y1488" s="4" t="str">
        <f>IFERROR(__xludf.DUMMYFUNCTION("""COMPUTED_VALUE"""),"6.9269085")</f>
        <v>6.9269085</v>
      </c>
      <c r="Z1488" s="4" t="str">
        <f>IFERROR(__xludf.DUMMYFUNCTION("""COMPUTED_VALUE"""),"3.8451731")</f>
        <v>3.8451731</v>
      </c>
      <c r="AA1488" s="4" t="str">
        <f t="shared" si="1"/>
        <v>Neighbor</v>
      </c>
      <c r="AC1488" s="4">
        <f>IFERROR(__xludf.DUMMYFUNCTION("IFERROR(ABS(O1488-AVERAGE(FILTER(O1488:O5556,AA1488:AA5556=""Neighbor""))) / STDEV(FILTER(O1488:O5556, AA1488:AA5556 =""Neighbor"")), """")"),0.867462866097888)</f>
        <v>0.8674628661</v>
      </c>
      <c r="AD1488" s="4">
        <f>IFERROR(__xludf.DUMMYFUNCTION("IFERROR(ABS(P1488-AVERAGE(FILTER(O1488:P5556,AA1488:AA5556=""Neighbor""))) / STDEV(FILTER(P1488:P5556, AA1488:AA5556 =""Neighbor"")), """")"),1.2342868621721486)</f>
        <v>1.234286862</v>
      </c>
      <c r="AE1488" s="2">
        <f>IFERROR(__xludf.DUMMYFUNCTION("IFERROR(ABS(Q1488-AVERAGE(FILTER(Q1488:Q5556,AA1488:AA5556=""Neighbor""))) / STDEV(FILTER(Q1488:Q5556, AA1488:AA5556 =""Neighbor"")), """")"),0.07706988456078241)</f>
        <v>0.07706988456</v>
      </c>
      <c r="AF1488" s="2">
        <f>IFERROR(__xludf.DUMMYFUNCTION("IFERROR(ABS(R1488-AVERAGE(FILTER(R1488:R5556,AA1488:AA5556=""Neighbor""))) / STDEV(FILTER(R1488:R5556, AA1488:AA5556 =""Neighbor"")), """")"),0.34613260673418417)</f>
        <v>0.3461326067</v>
      </c>
    </row>
    <row r="1489">
      <c r="A1489" s="2" t="s">
        <v>28</v>
      </c>
      <c r="B1489" s="2" t="s">
        <v>5384</v>
      </c>
      <c r="C1489" s="2" t="s">
        <v>6058</v>
      </c>
      <c r="D1489" s="2" t="s">
        <v>6087</v>
      </c>
      <c r="E1489" s="2" t="s">
        <v>6088</v>
      </c>
      <c r="F1489" s="2">
        <v>114.0</v>
      </c>
      <c r="G1489" s="2">
        <v>448.0</v>
      </c>
      <c r="H1489" s="2" t="b">
        <v>1</v>
      </c>
      <c r="I1489" s="2">
        <v>-1.0</v>
      </c>
      <c r="J1489" s="2" t="b">
        <v>0</v>
      </c>
      <c r="K1489" s="2" t="b">
        <v>0</v>
      </c>
      <c r="L1489" s="2" t="b">
        <v>0</v>
      </c>
      <c r="M1489" s="2" t="b">
        <v>0</v>
      </c>
      <c r="N1489" s="2" t="s">
        <v>33</v>
      </c>
      <c r="O1489" s="2">
        <v>64.0</v>
      </c>
      <c r="P1489" s="2">
        <v>13.0</v>
      </c>
      <c r="Q1489" s="2">
        <v>28.0</v>
      </c>
      <c r="R1489" s="2">
        <v>0.0</v>
      </c>
      <c r="S1489" s="3" t="s">
        <v>6089</v>
      </c>
      <c r="T1489" s="2" t="s">
        <v>6090</v>
      </c>
      <c r="Y1489" s="4" t="str">
        <f>IFERROR(__xludf.DUMMYFUNCTION("""COMPUTED_VALUE"""),"6.9269085")</f>
        <v>6.9269085</v>
      </c>
      <c r="Z1489" s="4" t="str">
        <f>IFERROR(__xludf.DUMMYFUNCTION("""COMPUTED_VALUE"""),"3.8451731")</f>
        <v>3.8451731</v>
      </c>
      <c r="AA1489" s="4" t="str">
        <f t="shared" si="1"/>
        <v>Not Neighbor</v>
      </c>
      <c r="AC1489" s="4">
        <f>IFERROR(__xludf.DUMMYFUNCTION("IFERROR(ABS(O1489-AVERAGE(FILTER(O1489:O5557,AA1489:AA5557=""Neighbor""))) / STDEV(FILTER(O1489:O5557, AA1489:AA5557 =""Neighbor"")), """")"),0.09702119632671462)</f>
        <v>0.09702119633</v>
      </c>
      <c r="AD1489" s="4">
        <f>IFERROR(__xludf.DUMMYFUNCTION("IFERROR(ABS(P1489-AVERAGE(FILTER(O1489:P5557,AA1489:AA5557=""Neighbor""))) / STDEV(FILTER(P1489:P5557, AA1489:AA5557 =""Neighbor"")), """")"),1.1434160643240632)</f>
        <v>1.143416064</v>
      </c>
      <c r="AE1489" s="2">
        <f>IFERROR(__xludf.DUMMYFUNCTION("IFERROR(ABS(Q1489-AVERAGE(FILTER(Q1489:Q5557,AA1489:AA5557=""Neighbor""))) / STDEV(FILTER(Q1489:Q5557, AA1489:AA5557 =""Neighbor"")), """")"),0.1163214810417693)</f>
        <v>0.116321481</v>
      </c>
      <c r="AF1489" s="2">
        <f>IFERROR(__xludf.DUMMYFUNCTION("IFERROR(ABS(R1489-AVERAGE(FILTER(R1489:R5557,AA1489:AA5557=""Neighbor""))) / STDEV(FILTER(R1489:R5557, AA1489:AA5557 =""Neighbor"")), """")"),0.3463142473751849)</f>
        <v>0.3463142474</v>
      </c>
    </row>
    <row r="1490">
      <c r="A1490" s="2" t="s">
        <v>28</v>
      </c>
      <c r="B1490" s="2" t="s">
        <v>5384</v>
      </c>
      <c r="C1490" s="2" t="s">
        <v>6058</v>
      </c>
      <c r="D1490" s="2" t="s">
        <v>6091</v>
      </c>
      <c r="E1490" s="2" t="s">
        <v>6092</v>
      </c>
      <c r="F1490" s="2">
        <v>62.0</v>
      </c>
      <c r="G1490" s="2">
        <v>203.0</v>
      </c>
      <c r="H1490" s="2" t="b">
        <v>1</v>
      </c>
      <c r="I1490" s="2">
        <v>-1.0</v>
      </c>
      <c r="J1490" s="2" t="b">
        <v>0</v>
      </c>
      <c r="K1490" s="2" t="b">
        <v>0</v>
      </c>
      <c r="L1490" s="2" t="b">
        <v>0</v>
      </c>
      <c r="M1490" s="2" t="b">
        <v>0</v>
      </c>
      <c r="N1490" s="2" t="s">
        <v>33</v>
      </c>
      <c r="O1490" s="2">
        <v>18.0</v>
      </c>
      <c r="P1490" s="2">
        <v>16.0</v>
      </c>
      <c r="Q1490" s="2">
        <v>18.0</v>
      </c>
      <c r="R1490" s="2">
        <v>0.0</v>
      </c>
      <c r="S1490" s="3" t="s">
        <v>6093</v>
      </c>
      <c r="T1490" s="2" t="s">
        <v>6094</v>
      </c>
      <c r="Y1490" s="4" t="str">
        <f>IFERROR(__xludf.DUMMYFUNCTION("""COMPUTED_VALUE"""),"6.9644733")</f>
        <v>6.9644733</v>
      </c>
      <c r="Z1490" s="4" t="str">
        <f>IFERROR(__xludf.DUMMYFUNCTION("""COMPUTED_VALUE"""),"3.7965397")</f>
        <v>3.7965397</v>
      </c>
      <c r="AA1490" s="4" t="str">
        <f t="shared" si="1"/>
        <v>Not Neighbor</v>
      </c>
      <c r="AC1490" s="4">
        <f>IFERROR(__xludf.DUMMYFUNCTION("IFERROR(ABS(O1490-AVERAGE(FILTER(O1490:O5558,AA1490:AA5558=""Neighbor""))) / STDEV(FILTER(O1490:O5558, AA1490:AA5558 =""Neighbor"")), """")"),1.0414165598534195)</f>
        <v>1.04141656</v>
      </c>
      <c r="AD1490" s="4">
        <f>IFERROR(__xludf.DUMMYFUNCTION("IFERROR(ABS(P1490-AVERAGE(FILTER(O1490:P5558,AA1490:AA5558=""Neighbor""))) / STDEV(FILTER(P1490:P5558, AA1490:AA5558 =""Neighbor"")), """")"),1.0066449332919765)</f>
        <v>1.006644933</v>
      </c>
      <c r="AE1490" s="2">
        <f>IFERROR(__xludf.DUMMYFUNCTION("IFERROR(ABS(Q1490-AVERAGE(FILTER(Q1490:Q5558,AA1490:AA5558=""Neighbor""))) / STDEV(FILTER(Q1490:Q5558, AA1490:AA5558 =""Neighbor"")), """")"),0.2758312665563523)</f>
        <v>0.2758312666</v>
      </c>
      <c r="AF1490" s="2">
        <f>IFERROR(__xludf.DUMMYFUNCTION("IFERROR(ABS(R1490-AVERAGE(FILTER(R1490:R5558,AA1490:AA5558=""Neighbor""))) / STDEV(FILTER(R1490:R5558, AA1490:AA5558 =""Neighbor"")), """")"),0.3463142473751849)</f>
        <v>0.3463142474</v>
      </c>
    </row>
    <row r="1491">
      <c r="A1491" s="2" t="s">
        <v>28</v>
      </c>
      <c r="B1491" s="2" t="s">
        <v>5384</v>
      </c>
      <c r="C1491" s="2" t="s">
        <v>6058</v>
      </c>
      <c r="D1491" s="2" t="s">
        <v>6095</v>
      </c>
      <c r="E1491" s="2" t="s">
        <v>6096</v>
      </c>
      <c r="F1491" s="2">
        <v>64.0</v>
      </c>
      <c r="G1491" s="2">
        <v>369.0</v>
      </c>
      <c r="H1491" s="2" t="b">
        <v>1</v>
      </c>
      <c r="I1491" s="2">
        <v>-1.0</v>
      </c>
      <c r="J1491" s="2" t="b">
        <v>0</v>
      </c>
      <c r="K1491" s="2" t="b">
        <v>0</v>
      </c>
      <c r="L1491" s="2" t="b">
        <v>0</v>
      </c>
      <c r="M1491" s="2" t="b">
        <v>0</v>
      </c>
      <c r="N1491" s="2" t="s">
        <v>33</v>
      </c>
      <c r="O1491" s="2">
        <v>28.0</v>
      </c>
      <c r="P1491" s="2">
        <v>0.0</v>
      </c>
      <c r="Q1491" s="2">
        <v>30.0</v>
      </c>
      <c r="R1491" s="2">
        <v>0.0</v>
      </c>
      <c r="S1491" s="3" t="s">
        <v>6097</v>
      </c>
      <c r="T1491" s="2" t="s">
        <v>6098</v>
      </c>
      <c r="Y1491" s="4" t="str">
        <f>IFERROR(__xludf.DUMMYFUNCTION("""COMPUTED_VALUE"""),"6.9269085")</f>
        <v>6.9269085</v>
      </c>
      <c r="Z1491" s="4" t="str">
        <f>IFERROR(__xludf.DUMMYFUNCTION("""COMPUTED_VALUE"""),"3.8451731")</f>
        <v>3.8451731</v>
      </c>
      <c r="AA1491" s="4" t="str">
        <f t="shared" si="1"/>
        <v>Not Neighbor</v>
      </c>
      <c r="AC1491" s="4">
        <f>IFERROR(__xludf.DUMMYFUNCTION("IFERROR(ABS(O1491-AVERAGE(FILTER(O1491:O5559,AA1491:AA5559=""Neighbor""))) / STDEV(FILTER(O1491:O5559, AA1491:AA5559 =""Neighbor"")), """")"),0.7939300911186078)</f>
        <v>0.7939300911</v>
      </c>
      <c r="AD1491" s="4">
        <f>IFERROR(__xludf.DUMMYFUNCTION("IFERROR(ABS(P1491-AVERAGE(FILTER(O1491:P5559,AA1491:AA5559=""Neighbor""))) / STDEV(FILTER(P1491:P5559, AA1491:AA5559 =""Neighbor"")), """")"),1.7360909654631056)</f>
        <v>1.736090965</v>
      </c>
      <c r="AE1491" s="2">
        <f>IFERROR(__xludf.DUMMYFUNCTION("IFERROR(ABS(Q1491-AVERAGE(FILTER(Q1491:Q5559,AA1491:AA5559=""Neighbor""))) / STDEV(FILTER(Q1491:Q5559, AA1491:AA5559 =""Neighbor"")), """")"),0.19475203056139365)</f>
        <v>0.1947520306</v>
      </c>
      <c r="AF1491" s="2">
        <f>IFERROR(__xludf.DUMMYFUNCTION("IFERROR(ABS(R1491-AVERAGE(FILTER(R1491:R5559,AA1491:AA5559=""Neighbor""))) / STDEV(FILTER(R1491:R5559, AA1491:AA5559 =""Neighbor"")), """")"),0.3463142473751849)</f>
        <v>0.3463142474</v>
      </c>
    </row>
    <row r="1492">
      <c r="A1492" s="2" t="s">
        <v>28</v>
      </c>
      <c r="B1492" s="2" t="s">
        <v>5384</v>
      </c>
      <c r="C1492" s="2" t="s">
        <v>6058</v>
      </c>
      <c r="D1492" s="2" t="s">
        <v>6099</v>
      </c>
      <c r="E1492" s="2" t="s">
        <v>6100</v>
      </c>
      <c r="F1492" s="2">
        <v>57.0</v>
      </c>
      <c r="G1492" s="2">
        <v>208.0</v>
      </c>
      <c r="H1492" s="2" t="b">
        <v>1</v>
      </c>
      <c r="I1492" s="2">
        <v>-1.0</v>
      </c>
      <c r="J1492" s="2" t="b">
        <v>0</v>
      </c>
      <c r="K1492" s="2" t="b">
        <v>0</v>
      </c>
      <c r="L1492" s="2" t="b">
        <v>0</v>
      </c>
      <c r="M1492" s="2" t="b">
        <v>0</v>
      </c>
      <c r="N1492" s="2" t="s">
        <v>33</v>
      </c>
      <c r="O1492" s="2">
        <v>30.0</v>
      </c>
      <c r="P1492" s="2">
        <v>0.0</v>
      </c>
      <c r="Q1492" s="2">
        <v>26.0</v>
      </c>
      <c r="R1492" s="2">
        <v>0.0</v>
      </c>
      <c r="S1492" s="3" t="s">
        <v>6101</v>
      </c>
      <c r="T1492" s="2" t="s">
        <v>6102</v>
      </c>
      <c r="Y1492" s="4" t="str">
        <f>IFERROR(__xludf.DUMMYFUNCTION("""COMPUTED_VALUE"""),"6.9402127")</f>
        <v>6.9402127</v>
      </c>
      <c r="Z1492" s="4" t="str">
        <f>IFERROR(__xludf.DUMMYFUNCTION("""COMPUTED_VALUE"""),"3.9198494")</f>
        <v>3.9198494</v>
      </c>
      <c r="AA1492" s="4" t="str">
        <f t="shared" si="1"/>
        <v>Not Neighbor</v>
      </c>
      <c r="AC1492" s="4">
        <f>IFERROR(__xludf.DUMMYFUNCTION("IFERROR(ABS(O1492-AVERAGE(FILTER(O1492:O5560,AA1492:AA5560=""Neighbor""))) / STDEV(FILTER(O1492:O5560, AA1492:AA5560 =""Neighbor"")), """")"),0.7444327973716455)</f>
        <v>0.7444327974</v>
      </c>
      <c r="AD1492" s="4">
        <f>IFERROR(__xludf.DUMMYFUNCTION("IFERROR(ABS(P1492-AVERAGE(FILTER(O1492:P5560,AA1492:AA5560=""Neighbor""))) / STDEV(FILTER(P1492:P5560, AA1492:AA5560 =""Neighbor"")), """")"),1.7360909654631056)</f>
        <v>1.736090965</v>
      </c>
      <c r="AE1492" s="2">
        <f>IFERROR(__xludf.DUMMYFUNCTION("IFERROR(ABS(Q1492-AVERAGE(FILTER(Q1492:Q5560,AA1492:AA5560=""Neighbor""))) / STDEV(FILTER(Q1492:Q5560, AA1492:AA5560 =""Neighbor"")), """")"),0.037890931522144976)</f>
        <v>0.03789093152</v>
      </c>
      <c r="AF1492" s="2">
        <f>IFERROR(__xludf.DUMMYFUNCTION("IFERROR(ABS(R1492-AVERAGE(FILTER(R1492:R5560,AA1492:AA5560=""Neighbor""))) / STDEV(FILTER(R1492:R5560, AA1492:AA5560 =""Neighbor"")), """")"),0.3463142473751849)</f>
        <v>0.3463142474</v>
      </c>
    </row>
    <row r="1493">
      <c r="A1493" s="2" t="s">
        <v>28</v>
      </c>
      <c r="B1493" s="2" t="s">
        <v>5384</v>
      </c>
      <c r="C1493" s="2" t="s">
        <v>6103</v>
      </c>
      <c r="D1493" s="2" t="s">
        <v>6104</v>
      </c>
      <c r="E1493" s="2" t="s">
        <v>6105</v>
      </c>
      <c r="F1493" s="2">
        <v>190.0</v>
      </c>
      <c r="G1493" s="2">
        <v>611.0</v>
      </c>
      <c r="H1493" s="2" t="b">
        <v>1</v>
      </c>
      <c r="I1493" s="2">
        <v>-1.0</v>
      </c>
      <c r="J1493" s="2" t="b">
        <v>1</v>
      </c>
      <c r="K1493" s="2" t="b">
        <v>0</v>
      </c>
      <c r="L1493" s="2" t="b">
        <v>0</v>
      </c>
      <c r="M1493" s="2" t="b">
        <v>0</v>
      </c>
      <c r="N1493" s="2" t="s">
        <v>33</v>
      </c>
      <c r="O1493" s="2">
        <v>108.0</v>
      </c>
      <c r="P1493" s="2">
        <v>9.0</v>
      </c>
      <c r="Q1493" s="2">
        <v>31.0</v>
      </c>
      <c r="R1493" s="2">
        <v>0.0</v>
      </c>
      <c r="S1493" s="3" t="s">
        <v>6106</v>
      </c>
      <c r="T1493" s="2" t="s">
        <v>6107</v>
      </c>
      <c r="Y1493" s="4" t="str">
        <f>IFERROR(__xludf.DUMMYFUNCTION("""COMPUTED_VALUE"""),"7.0126746")</f>
        <v>7.0126746</v>
      </c>
      <c r="Z1493" s="4" t="str">
        <f>IFERROR(__xludf.DUMMYFUNCTION("""COMPUTED_VALUE"""),"3.8451731")</f>
        <v>3.8451731</v>
      </c>
      <c r="AA1493" s="4" t="str">
        <f t="shared" si="1"/>
        <v>Neighbor</v>
      </c>
      <c r="AC1493" s="4">
        <f>IFERROR(__xludf.DUMMYFUNCTION("IFERROR(ABS(O1493-AVERAGE(FILTER(O1493:O5561,AA1493:AA5561=""Neighbor""))) / STDEV(FILTER(O1493:O5561, AA1493:AA5561 =""Neighbor"")), """")"),1.1859616587598865)</f>
        <v>1.185961659</v>
      </c>
      <c r="AD1493" s="4">
        <f>IFERROR(__xludf.DUMMYFUNCTION("IFERROR(ABS(P1493-AVERAGE(FILTER(O1493:P5561,AA1493:AA5561=""Neighbor""))) / STDEV(FILTER(P1493:P5561, AA1493:AA5561 =""Neighbor"")), """")"),1.3257775723668455)</f>
        <v>1.325777572</v>
      </c>
      <c r="AE1493" s="2">
        <f>IFERROR(__xludf.DUMMYFUNCTION("IFERROR(ABS(Q1493-AVERAGE(FILTER(Q1493:Q5561,AA1493:AA5561=""Neighbor""))) / STDEV(FILTER(Q1493:Q5561, AA1493:AA5561 =""Neighbor"")), """")"),0.2339673053212058)</f>
        <v>0.2339673053</v>
      </c>
      <c r="AF1493" s="2">
        <f>IFERROR(__xludf.DUMMYFUNCTION("IFERROR(ABS(R1493-AVERAGE(FILTER(R1493:R5561,AA1493:AA5561=""Neighbor""))) / STDEV(FILTER(R1493:R5561, AA1493:AA5561 =""Neighbor"")), """")"),0.3463142473751849)</f>
        <v>0.3463142474</v>
      </c>
    </row>
    <row r="1494">
      <c r="A1494" s="2" t="s">
        <v>28</v>
      </c>
      <c r="B1494" s="2" t="s">
        <v>5384</v>
      </c>
      <c r="C1494" s="2" t="s">
        <v>6103</v>
      </c>
      <c r="D1494" s="2" t="s">
        <v>6108</v>
      </c>
      <c r="E1494" s="2" t="s">
        <v>6109</v>
      </c>
      <c r="F1494" s="2">
        <v>55.0</v>
      </c>
      <c r="G1494" s="2">
        <v>248.0</v>
      </c>
      <c r="H1494" s="2" t="b">
        <v>1</v>
      </c>
      <c r="I1494" s="2">
        <v>-1.0</v>
      </c>
      <c r="J1494" s="2" t="b">
        <v>0</v>
      </c>
      <c r="K1494" s="2" t="b">
        <v>0</v>
      </c>
      <c r="L1494" s="2" t="b">
        <v>0</v>
      </c>
      <c r="M1494" s="2" t="b">
        <v>0</v>
      </c>
      <c r="N1494" s="2" t="s">
        <v>33</v>
      </c>
      <c r="O1494" s="2">
        <v>30.0</v>
      </c>
      <c r="P1494" s="2">
        <v>0.0</v>
      </c>
      <c r="Q1494" s="2">
        <v>25.0</v>
      </c>
      <c r="R1494" s="2">
        <v>0.0</v>
      </c>
      <c r="S1494" s="3" t="s">
        <v>6110</v>
      </c>
      <c r="T1494" s="2" t="s">
        <v>6111</v>
      </c>
      <c r="Y1494" s="4" t="str">
        <f>IFERROR(__xludf.DUMMYFUNCTION("""COMPUTED_VALUE"""),"7.0126746")</f>
        <v>7.0126746</v>
      </c>
      <c r="Z1494" s="4" t="str">
        <f>IFERROR(__xludf.DUMMYFUNCTION("""COMPUTED_VALUE"""),"3.8451731")</f>
        <v>3.8451731</v>
      </c>
      <c r="AA1494" s="4" t="str">
        <f t="shared" si="1"/>
        <v>Neighbor</v>
      </c>
      <c r="AC1494" s="4">
        <f>IFERROR(__xludf.DUMMYFUNCTION("IFERROR(ABS(O1494-AVERAGE(FILTER(O1494:O5562,AA1494:AA5562=""Neighbor""))) / STDEV(FILTER(O1494:O5562, AA1494:AA5562 =""Neighbor"")), """")"),0.7434617145275195)</f>
        <v>0.7434617145</v>
      </c>
      <c r="AD1494" s="4">
        <f>IFERROR(__xludf.DUMMYFUNCTION("IFERROR(ABS(P1494-AVERAGE(FILTER(O1494:P5562,AA1494:AA5562=""Neighbor""))) / STDEV(FILTER(P1494:P5562, AA1494:AA5562 =""Neighbor"")), """")"),1.7344869292223744)</f>
        <v>1.734486929</v>
      </c>
      <c r="AE1494" s="2">
        <f>IFERROR(__xludf.DUMMYFUNCTION("IFERROR(ABS(Q1494-AVERAGE(FILTER(Q1494:Q5562,AA1494:AA5562=""Neighbor""))) / STDEV(FILTER(Q1494:Q5562, AA1494:AA5562 =""Neighbor"")), """")"),0.001104165291476054)</f>
        <v>0.001104165291</v>
      </c>
      <c r="AF1494" s="2">
        <f>IFERROR(__xludf.DUMMYFUNCTION("IFERROR(ABS(R1494-AVERAGE(FILTER(R1494:R5562,AA1494:AA5562=""Neighbor""))) / STDEV(FILTER(R1494:R5562, AA1494:AA5562 =""Neighbor"")), """")"),0.3464961743104526)</f>
        <v>0.3464961743</v>
      </c>
    </row>
    <row r="1495">
      <c r="A1495" s="2" t="s">
        <v>28</v>
      </c>
      <c r="B1495" s="2" t="s">
        <v>5384</v>
      </c>
      <c r="C1495" s="2" t="s">
        <v>6103</v>
      </c>
      <c r="D1495" s="2" t="s">
        <v>6112</v>
      </c>
      <c r="E1495" s="2" t="s">
        <v>6113</v>
      </c>
      <c r="F1495" s="2">
        <v>100.0</v>
      </c>
      <c r="G1495" s="2">
        <v>329.0</v>
      </c>
      <c r="H1495" s="2" t="b">
        <v>1</v>
      </c>
      <c r="I1495" s="2">
        <v>-1.0</v>
      </c>
      <c r="J1495" s="2" t="b">
        <v>1</v>
      </c>
      <c r="K1495" s="2" t="b">
        <v>0</v>
      </c>
      <c r="L1495" s="2" t="b">
        <v>0</v>
      </c>
      <c r="M1495" s="2" t="b">
        <v>0</v>
      </c>
      <c r="N1495" s="2" t="s">
        <v>33</v>
      </c>
      <c r="O1495" s="2">
        <v>21.0</v>
      </c>
      <c r="P1495" s="2">
        <v>5.0</v>
      </c>
      <c r="Q1495" s="2">
        <v>67.0</v>
      </c>
      <c r="R1495" s="2">
        <v>0.0</v>
      </c>
      <c r="S1495" s="3" t="s">
        <v>6114</v>
      </c>
      <c r="T1495" s="2" t="s">
        <v>6115</v>
      </c>
      <c r="Y1495" s="4" t="str">
        <f>IFERROR(__xludf.DUMMYFUNCTION("""COMPUTED_VALUE"""),"7.0126746")</f>
        <v>7.0126746</v>
      </c>
      <c r="Z1495" s="4" t="str">
        <f>IFERROR(__xludf.DUMMYFUNCTION("""COMPUTED_VALUE"""),"3.8451731")</f>
        <v>3.8451731</v>
      </c>
      <c r="AA1495" s="4" t="str">
        <f t="shared" si="1"/>
        <v>Neighbor</v>
      </c>
      <c r="AC1495" s="4">
        <f>IFERROR(__xludf.DUMMYFUNCTION("IFERROR(ABS(O1495-AVERAGE(FILTER(O1495:O5563,AA1495:AA5563=""Neighbor""))) / STDEV(FILTER(O1495:O5563, AA1495:AA5563 =""Neighbor"")), """")"),0.9667378547141459)</f>
        <v>0.9667378547</v>
      </c>
      <c r="AD1495" s="4">
        <f>IFERROR(__xludf.DUMMYFUNCTION("IFERROR(ABS(P1495-AVERAGE(FILTER(O1495:P5563,AA1495:AA5563=""Neighbor""))) / STDEV(FILTER(P1495:P5563, AA1495:AA5563 =""Neighbor"")), """")"),1.5072911008014334)</f>
        <v>1.507291101</v>
      </c>
      <c r="AE1495" s="2">
        <f>IFERROR(__xludf.DUMMYFUNCTION("IFERROR(ABS(Q1495-AVERAGE(FILTER(Q1495:Q5563,AA1495:AA5563=""Neighbor""))) / STDEV(FILTER(Q1495:Q5563, AA1495:AA5563 =""Neighbor"")), """")"),1.6444319429865206)</f>
        <v>1.644431943</v>
      </c>
      <c r="AF1495" s="2">
        <f>IFERROR(__xludf.DUMMYFUNCTION("IFERROR(ABS(R1495-AVERAGE(FILTER(R1495:R5563,AA1495:AA5563=""Neighbor""))) / STDEV(FILTER(R1495:R5563, AA1495:AA5563 =""Neighbor"")), """")"),0.3466783882929316)</f>
        <v>0.3466783883</v>
      </c>
    </row>
    <row r="1496">
      <c r="A1496" s="2" t="s">
        <v>28</v>
      </c>
      <c r="B1496" s="2" t="s">
        <v>5384</v>
      </c>
      <c r="C1496" s="2" t="s">
        <v>6103</v>
      </c>
      <c r="D1496" s="2" t="s">
        <v>6116</v>
      </c>
      <c r="E1496" s="2" t="s">
        <v>6117</v>
      </c>
      <c r="F1496" s="2">
        <v>40.0</v>
      </c>
      <c r="G1496" s="2">
        <v>166.0</v>
      </c>
      <c r="H1496" s="2" t="b">
        <v>1</v>
      </c>
      <c r="I1496" s="2">
        <v>-1.0</v>
      </c>
      <c r="J1496" s="2" t="b">
        <v>0</v>
      </c>
      <c r="K1496" s="2" t="b">
        <v>0</v>
      </c>
      <c r="L1496" s="2" t="b">
        <v>0</v>
      </c>
      <c r="M1496" s="2" t="b">
        <v>0</v>
      </c>
      <c r="N1496" s="2" t="s">
        <v>33</v>
      </c>
      <c r="O1496" s="2">
        <v>26.0</v>
      </c>
      <c r="P1496" s="2">
        <v>0.0</v>
      </c>
      <c r="Q1496" s="2">
        <v>12.0</v>
      </c>
      <c r="R1496" s="2">
        <v>0.0</v>
      </c>
      <c r="S1496" s="3" t="s">
        <v>6118</v>
      </c>
      <c r="T1496" s="2" t="s">
        <v>6119</v>
      </c>
      <c r="Y1496" s="4" t="str">
        <f>IFERROR(__xludf.DUMMYFUNCTION("""COMPUTED_VALUE"""),"7.0126746")</f>
        <v>7.0126746</v>
      </c>
      <c r="Z1496" s="4" t="str">
        <f>IFERROR(__xludf.DUMMYFUNCTION("""COMPUTED_VALUE"""),"3.8451731")</f>
        <v>3.8451731</v>
      </c>
      <c r="AA1496" s="4" t="str">
        <f t="shared" si="1"/>
        <v>Neighbor</v>
      </c>
      <c r="AC1496" s="4">
        <f>IFERROR(__xludf.DUMMYFUNCTION("IFERROR(ABS(O1496-AVERAGE(FILTER(O1496:O5564,AA1496:AA5564=""Neighbor""))) / STDEV(FILTER(O1496:O5564, AA1496:AA5564 =""Neighbor"")), """")"),0.8438806995549041)</f>
        <v>0.8438806996</v>
      </c>
      <c r="AD1496" s="4">
        <f>IFERROR(__xludf.DUMMYFUNCTION("IFERROR(ABS(P1496-AVERAGE(FILTER(O1496:P5564,AA1496:AA5564=""Neighbor""))) / STDEV(FILTER(P1496:P5564, AA1496:AA5564 =""Neighbor"")), """")"),1.7355649316140687)</f>
        <v>1.735564932</v>
      </c>
      <c r="AE1496" s="2">
        <f>IFERROR(__xludf.DUMMYFUNCTION("IFERROR(ABS(Q1496-AVERAGE(FILTER(Q1496:Q5564,AA1496:AA5564=""Neighbor""))) / STDEV(FILTER(Q1496:Q5564, AA1496:AA5564 =""Neighbor"")), """")"),0.5092998791528648)</f>
        <v>0.5092998792</v>
      </c>
      <c r="AF1496" s="2">
        <f>IFERROR(__xludf.DUMMYFUNCTION("IFERROR(ABS(R1496-AVERAGE(FILTER(R1496:R5564,AA1496:AA5564=""Neighbor""))) / STDEV(FILTER(R1496:R5564, AA1496:AA5564 =""Neighbor"")), """")"),0.3468608900783421)</f>
        <v>0.3468608901</v>
      </c>
    </row>
    <row r="1497">
      <c r="A1497" s="2" t="s">
        <v>28</v>
      </c>
      <c r="B1497" s="2" t="s">
        <v>5384</v>
      </c>
      <c r="C1497" s="2" t="s">
        <v>6103</v>
      </c>
      <c r="D1497" s="2" t="s">
        <v>6120</v>
      </c>
      <c r="E1497" s="2" t="s">
        <v>6121</v>
      </c>
      <c r="F1497" s="2">
        <v>104.0</v>
      </c>
      <c r="G1497" s="2">
        <v>346.0</v>
      </c>
      <c r="H1497" s="2" t="b">
        <v>1</v>
      </c>
      <c r="I1497" s="2">
        <v>-1.0</v>
      </c>
      <c r="J1497" s="2" t="b">
        <v>1</v>
      </c>
      <c r="K1497" s="2" t="b">
        <v>0</v>
      </c>
      <c r="L1497" s="2" t="b">
        <v>0</v>
      </c>
      <c r="M1497" s="2" t="b">
        <v>0</v>
      </c>
      <c r="N1497" s="2" t="s">
        <v>33</v>
      </c>
      <c r="O1497" s="2">
        <v>44.0</v>
      </c>
      <c r="P1497" s="2">
        <v>25.0</v>
      </c>
      <c r="Q1497" s="2">
        <v>21.0</v>
      </c>
      <c r="R1497" s="2">
        <v>0.0</v>
      </c>
      <c r="S1497" s="3" t="s">
        <v>6122</v>
      </c>
      <c r="T1497" s="2" t="s">
        <v>6123</v>
      </c>
      <c r="Y1497" s="4" t="str">
        <f>IFERROR(__xludf.DUMMYFUNCTION("""COMPUTED_VALUE"""),"7.0126746")</f>
        <v>7.0126746</v>
      </c>
      <c r="Z1497" s="4" t="str">
        <f>IFERROR(__xludf.DUMMYFUNCTION("""COMPUTED_VALUE"""),"3.8451731")</f>
        <v>3.8451731</v>
      </c>
      <c r="AA1497" s="4" t="str">
        <f t="shared" si="1"/>
        <v>Not Neighbor</v>
      </c>
      <c r="AC1497" s="4">
        <f>IFERROR(__xludf.DUMMYFUNCTION("IFERROR(ABS(O1497-AVERAGE(FILTER(O1497:O5565,AA1497:AA5565=""Neighbor""))) / STDEV(FILTER(O1497:O5565, AA1497:AA5565 =""Neighbor"")), """")"),0.3991673845386933)</f>
        <v>0.3991673845</v>
      </c>
      <c r="AD1497" s="4">
        <f>IFERROR(__xludf.DUMMYFUNCTION("IFERROR(ABS(P1497-AVERAGE(FILTER(O1497:P5565,AA1497:AA5565=""Neighbor""))) / STDEV(FILTER(P1497:P5565, AA1497:AA5565 =""Neighbor"")), """")"),0.5978780275479498)</f>
        <v>0.5978780275</v>
      </c>
      <c r="AE1497" s="2">
        <f>IFERROR(__xludf.DUMMYFUNCTION("IFERROR(ABS(Q1497-AVERAGE(FILTER(Q1497:Q5565,AA1497:AA5565=""Neighbor""))) / STDEV(FILTER(Q1497:Q5565, AA1497:AA5565 =""Neighbor"")), """")"),0.1568260680367253)</f>
        <v>0.156826068</v>
      </c>
      <c r="AF1497" s="2">
        <f>IFERROR(__xludf.DUMMYFUNCTION("IFERROR(ABS(R1497-AVERAGE(FILTER(R1497:R5565,AA1497:AA5565=""Neighbor""))) / STDEV(FILTER(R1497:R5565, AA1497:AA5565 =""Neighbor"")), """")"),0.34704368042519246)</f>
        <v>0.3470436804</v>
      </c>
    </row>
    <row r="1498">
      <c r="A1498" s="2" t="s">
        <v>28</v>
      </c>
      <c r="B1498" s="2" t="s">
        <v>5384</v>
      </c>
      <c r="C1498" s="2" t="s">
        <v>6103</v>
      </c>
      <c r="D1498" s="2" t="s">
        <v>6124</v>
      </c>
      <c r="E1498" s="2" t="s">
        <v>6125</v>
      </c>
      <c r="F1498" s="2">
        <v>125.0</v>
      </c>
      <c r="G1498" s="2">
        <v>699.0</v>
      </c>
      <c r="H1498" s="2" t="b">
        <v>1</v>
      </c>
      <c r="I1498" s="2">
        <v>-1.0</v>
      </c>
      <c r="J1498" s="2" t="b">
        <v>0</v>
      </c>
      <c r="K1498" s="2" t="b">
        <v>0</v>
      </c>
      <c r="L1498" s="2" t="b">
        <v>0</v>
      </c>
      <c r="M1498" s="2" t="b">
        <v>0</v>
      </c>
      <c r="N1498" s="2" t="s">
        <v>33</v>
      </c>
      <c r="O1498" s="2">
        <v>85.0</v>
      </c>
      <c r="P1498" s="2">
        <v>3.0</v>
      </c>
      <c r="Q1498" s="2">
        <v>21.0</v>
      </c>
      <c r="R1498" s="2">
        <v>0.0</v>
      </c>
      <c r="S1498" s="3" t="s">
        <v>6126</v>
      </c>
      <c r="T1498" s="2" t="s">
        <v>6127</v>
      </c>
      <c r="Y1498" s="4" t="str">
        <f>IFERROR(__xludf.DUMMYFUNCTION("""COMPUTED_VALUE"""),"7.0845986")</f>
        <v>7.0845986</v>
      </c>
      <c r="Z1498" s="4" t="str">
        <f>IFERROR(__xludf.DUMMYFUNCTION("""COMPUTED_VALUE"""),"3.908816")</f>
        <v>3.908816</v>
      </c>
      <c r="AA1498" s="4" t="str">
        <f t="shared" si="1"/>
        <v>Not Neighbor</v>
      </c>
      <c r="AC1498" s="4">
        <f>IFERROR(__xludf.DUMMYFUNCTION("IFERROR(ABS(O1498-AVERAGE(FILTER(O1498:O5566,AA1498:AA5566=""Neighbor""))) / STDEV(FILTER(O1498:O5566, AA1498:AA5566 =""Neighbor"")), """")"),0.6153403353763068)</f>
        <v>0.6153403354</v>
      </c>
      <c r="AD1498" s="4">
        <f>IFERROR(__xludf.DUMMYFUNCTION("IFERROR(ABS(P1498-AVERAGE(FILTER(O1498:P5566,AA1498:AA5566=""Neighbor""))) / STDEV(FILTER(P1498:P5566, AA1498:AA5566 =""Neighbor"")), """")"),1.5996581649282064)</f>
        <v>1.599658165</v>
      </c>
      <c r="AE1498" s="2">
        <f>IFERROR(__xludf.DUMMYFUNCTION("IFERROR(ABS(Q1498-AVERAGE(FILTER(Q1498:Q5566,AA1498:AA5566=""Neighbor""))) / STDEV(FILTER(Q1498:Q5566, AA1498:AA5566 =""Neighbor"")), """")"),0.1568260680367253)</f>
        <v>0.156826068</v>
      </c>
      <c r="AF1498" s="2">
        <f>IFERROR(__xludf.DUMMYFUNCTION("IFERROR(ABS(R1498-AVERAGE(FILTER(R1498:R5566,AA1498:AA5566=""Neighbor""))) / STDEV(FILTER(R1498:R5566, AA1498:AA5566 =""Neighbor"")), """")"),0.34704368042519246)</f>
        <v>0.3470436804</v>
      </c>
    </row>
    <row r="1499">
      <c r="A1499" s="2" t="s">
        <v>28</v>
      </c>
      <c r="B1499" s="2" t="s">
        <v>5384</v>
      </c>
      <c r="C1499" s="2" t="s">
        <v>6103</v>
      </c>
      <c r="D1499" s="2" t="s">
        <v>6128</v>
      </c>
      <c r="E1499" s="2" t="s">
        <v>6129</v>
      </c>
      <c r="F1499" s="2">
        <v>66.0</v>
      </c>
      <c r="G1499" s="2">
        <v>216.0</v>
      </c>
      <c r="H1499" s="2" t="b">
        <v>1</v>
      </c>
      <c r="I1499" s="2">
        <v>-1.0</v>
      </c>
      <c r="J1499" s="2" t="b">
        <v>0</v>
      </c>
      <c r="K1499" s="2" t="b">
        <v>0</v>
      </c>
      <c r="L1499" s="2" t="b">
        <v>0</v>
      </c>
      <c r="M1499" s="2" t="b">
        <v>0</v>
      </c>
      <c r="N1499" s="2" t="s">
        <v>33</v>
      </c>
      <c r="O1499" s="2">
        <v>30.0</v>
      </c>
      <c r="P1499" s="2">
        <v>6.0</v>
      </c>
      <c r="Q1499" s="2">
        <v>26.0</v>
      </c>
      <c r="R1499" s="2">
        <v>0.0</v>
      </c>
      <c r="S1499" s="3" t="s">
        <v>6130</v>
      </c>
      <c r="T1499" s="2" t="s">
        <v>6131</v>
      </c>
      <c r="Y1499" s="4" t="str">
        <f>IFERROR(__xludf.DUMMYFUNCTION("""COMPUTED_VALUE"""),"7.0126746")</f>
        <v>7.0126746</v>
      </c>
      <c r="Z1499" s="4" t="str">
        <f>IFERROR(__xludf.DUMMYFUNCTION("""COMPUTED_VALUE"""),"3.8451731")</f>
        <v>3.8451731</v>
      </c>
      <c r="AA1499" s="4" t="str">
        <f t="shared" si="1"/>
        <v>Not Neighbor</v>
      </c>
      <c r="AC1499" s="4">
        <f>IFERROR(__xludf.DUMMYFUNCTION("IFERROR(ABS(O1499-AVERAGE(FILTER(O1499:O5567,AA1499:AA5567=""Neighbor""))) / STDEV(FILTER(O1499:O5567, AA1499:AA5567 =""Neighbor"")), """")"),0.7455846547535714)</f>
        <v>0.7455846548</v>
      </c>
      <c r="AD1499" s="4">
        <f>IFERROR(__xludf.DUMMYFUNCTION("IFERROR(ABS(P1499-AVERAGE(FILTER(O1499:P5567,AA1499:AA5567=""Neighbor""))) / STDEV(FILTER(P1499:P5567, AA1499:AA5567 =""Neighbor"")), """")"),1.4630517825581715)</f>
        <v>1.463051783</v>
      </c>
      <c r="AE1499" s="2">
        <f>IFERROR(__xludf.DUMMYFUNCTION("IFERROR(ABS(Q1499-AVERAGE(FILTER(Q1499:Q5567,AA1499:AA5567=""Neighbor""))) / STDEV(FILTER(Q1499:Q5567, AA1499:AA5567 =""Neighbor"")), """")"),0.03916038083948348)</f>
        <v>0.03916038084</v>
      </c>
      <c r="AF1499" s="2">
        <f>IFERROR(__xludf.DUMMYFUNCTION("IFERROR(ABS(R1499-AVERAGE(FILTER(R1499:R5567,AA1499:AA5567=""Neighbor""))) / STDEV(FILTER(R1499:R5567, AA1499:AA5567 =""Neighbor"")), """")"),0.34704368042519246)</f>
        <v>0.3470436804</v>
      </c>
    </row>
    <row r="1500">
      <c r="A1500" s="2" t="s">
        <v>28</v>
      </c>
      <c r="B1500" s="2" t="s">
        <v>5384</v>
      </c>
      <c r="C1500" s="2" t="s">
        <v>6103</v>
      </c>
      <c r="D1500" s="2" t="s">
        <v>6132</v>
      </c>
      <c r="E1500" s="2" t="s">
        <v>6133</v>
      </c>
      <c r="F1500" s="2">
        <v>166.0</v>
      </c>
      <c r="G1500" s="2">
        <v>813.0</v>
      </c>
      <c r="H1500" s="2" t="b">
        <v>1</v>
      </c>
      <c r="I1500" s="2">
        <v>-1.0</v>
      </c>
      <c r="J1500" s="2" t="b">
        <v>1</v>
      </c>
      <c r="K1500" s="2" t="b">
        <v>0</v>
      </c>
      <c r="L1500" s="2" t="b">
        <v>0</v>
      </c>
      <c r="M1500" s="2" t="b">
        <v>0</v>
      </c>
      <c r="N1500" s="2" t="s">
        <v>33</v>
      </c>
      <c r="O1500" s="2">
        <v>112.0</v>
      </c>
      <c r="P1500" s="2">
        <v>5.0</v>
      </c>
      <c r="Q1500" s="2">
        <v>35.0</v>
      </c>
      <c r="R1500" s="2">
        <v>0.0</v>
      </c>
      <c r="S1500" s="3" t="s">
        <v>6134</v>
      </c>
      <c r="T1500" s="2" t="s">
        <v>6135</v>
      </c>
      <c r="Y1500" s="4" t="str">
        <f>IFERROR(__xludf.DUMMYFUNCTION("""COMPUTED_VALUE"""),"7.0845986")</f>
        <v>7.0845986</v>
      </c>
      <c r="Z1500" s="4" t="str">
        <f>IFERROR(__xludf.DUMMYFUNCTION("""COMPUTED_VALUE"""),"3.908816")</f>
        <v>3.908816</v>
      </c>
      <c r="AA1500" s="4" t="str">
        <f t="shared" si="1"/>
        <v>Not Neighbor</v>
      </c>
      <c r="AC1500" s="4">
        <f>IFERROR(__xludf.DUMMYFUNCTION("IFERROR(ABS(O1500-AVERAGE(FILTER(O1500:O5568,AA1500:AA5568=""Neighbor""))) / STDEV(FILTER(O1500:O5568, AA1500:AA5568 =""Neighbor"")), """")"),1.2834307850764288)</f>
        <v>1.283430785</v>
      </c>
      <c r="AD1500" s="4">
        <f>IFERROR(__xludf.DUMMYFUNCTION("IFERROR(ABS(P1500-AVERAGE(FILTER(O1500:P5568,AA1500:AA5568=""Neighbor""))) / STDEV(FILTER(P1500:P5568, AA1500:AA5568 =""Neighbor"")), """")"),1.5085872433481833)</f>
        <v>1.508587243</v>
      </c>
      <c r="AE1500" s="2">
        <f>IFERROR(__xludf.DUMMYFUNCTION("IFERROR(ABS(Q1500-AVERAGE(FILTER(Q1500:Q5568,AA1500:AA5568=""Neighbor""))) / STDEV(FILTER(Q1500:Q5568, AA1500:AA5568 =""Neighbor"")), """")"),0.3919359888166593)</f>
        <v>0.3919359888</v>
      </c>
      <c r="AF1500" s="2">
        <f>IFERROR(__xludf.DUMMYFUNCTION("IFERROR(ABS(R1500-AVERAGE(FILTER(R1500:R5568,AA1500:AA5568=""Neighbor""))) / STDEV(FILTER(R1500:R5568, AA1500:AA5568 =""Neighbor"")), """")"),0.34704368042519246)</f>
        <v>0.3470436804</v>
      </c>
    </row>
    <row r="1501">
      <c r="A1501" s="2" t="s">
        <v>28</v>
      </c>
      <c r="B1501" s="2" t="s">
        <v>5384</v>
      </c>
      <c r="C1501" s="2" t="s">
        <v>6103</v>
      </c>
      <c r="D1501" s="2" t="s">
        <v>6136</v>
      </c>
      <c r="E1501" s="2" t="s">
        <v>6137</v>
      </c>
      <c r="F1501" s="2">
        <v>111.0</v>
      </c>
      <c r="G1501" s="2">
        <v>336.0</v>
      </c>
      <c r="H1501" s="2" t="b">
        <v>1</v>
      </c>
      <c r="I1501" s="2">
        <v>-1.0</v>
      </c>
      <c r="J1501" s="2" t="b">
        <v>0</v>
      </c>
      <c r="K1501" s="2" t="b">
        <v>0</v>
      </c>
      <c r="L1501" s="2" t="b">
        <v>0</v>
      </c>
      <c r="M1501" s="2" t="b">
        <v>0</v>
      </c>
      <c r="N1501" s="2" t="s">
        <v>33</v>
      </c>
      <c r="O1501" s="2">
        <v>24.0</v>
      </c>
      <c r="P1501" s="2">
        <v>35.0</v>
      </c>
      <c r="Q1501" s="2">
        <v>49.0</v>
      </c>
      <c r="R1501" s="2">
        <v>0.0</v>
      </c>
      <c r="S1501" s="3" t="s">
        <v>6138</v>
      </c>
      <c r="T1501" s="2" t="s">
        <v>6139</v>
      </c>
      <c r="Y1501" s="4" t="str">
        <f>IFERROR(__xludf.DUMMYFUNCTION("""COMPUTED_VALUE"""),"7.0126746")</f>
        <v>7.0126746</v>
      </c>
      <c r="Z1501" s="4" t="str">
        <f>IFERROR(__xludf.DUMMYFUNCTION("""COMPUTED_VALUE"""),"3.8451731")</f>
        <v>3.8451731</v>
      </c>
      <c r="AA1501" s="4" t="str">
        <f t="shared" si="1"/>
        <v>Neighbor</v>
      </c>
      <c r="AC1501" s="4">
        <f>IFERROR(__xludf.DUMMYFUNCTION("IFERROR(ABS(O1501-AVERAGE(FILTER(O1501:O5569,AA1501:AA5569=""Neighbor""))) / STDEV(FILTER(O1501:O5569, AA1501:AA5569 =""Neighbor"")), """")"),0.8940491991313763)</f>
        <v>0.8940491991</v>
      </c>
      <c r="AD1501" s="4">
        <f>IFERROR(__xludf.DUMMYFUNCTION("IFERROR(ABS(P1501-AVERAGE(FILTER(O1501:P5569,AA1501:AA5569=""Neighbor""))) / STDEV(FILTER(P1501:P5569, AA1501:AA5569 =""Neighbor"")), """")"),0.1425234196478331)</f>
        <v>0.1425234196</v>
      </c>
      <c r="AE1501" s="2">
        <f>IFERROR(__xludf.DUMMYFUNCTION("IFERROR(ABS(Q1501-AVERAGE(FILTER(Q1501:Q5569,AA1501:AA5569=""Neighbor""))) / STDEV(FILTER(Q1501:Q5569, AA1501:AA5569 =""Neighbor"")), """")"),0.9406980456700439)</f>
        <v>0.9406980457</v>
      </c>
      <c r="AF1501" s="2">
        <f>IFERROR(__xludf.DUMMYFUNCTION("IFERROR(ABS(R1501-AVERAGE(FILTER(R1501:R5569,AA1501:AA5569=""Neighbor""))) / STDEV(FILTER(R1501:R5569, AA1501:AA5569 =""Neighbor"")), """")"),0.34704368042519246)</f>
        <v>0.3470436804</v>
      </c>
    </row>
    <row r="1502">
      <c r="A1502" s="2" t="s">
        <v>28</v>
      </c>
      <c r="B1502" s="2" t="s">
        <v>5384</v>
      </c>
      <c r="C1502" s="2" t="s">
        <v>6103</v>
      </c>
      <c r="D1502" s="2" t="s">
        <v>6140</v>
      </c>
      <c r="E1502" s="2" t="s">
        <v>6141</v>
      </c>
      <c r="F1502" s="2">
        <v>39.0</v>
      </c>
      <c r="G1502" s="2">
        <v>151.0</v>
      </c>
      <c r="H1502" s="2" t="b">
        <v>1</v>
      </c>
      <c r="I1502" s="2">
        <v>-1.0</v>
      </c>
      <c r="J1502" s="2" t="b">
        <v>1</v>
      </c>
      <c r="K1502" s="2" t="b">
        <v>0</v>
      </c>
      <c r="L1502" s="2" t="b">
        <v>0</v>
      </c>
      <c r="M1502" s="2" t="b">
        <v>0</v>
      </c>
      <c r="N1502" s="2" t="s">
        <v>33</v>
      </c>
      <c r="O1502" s="2">
        <v>21.0</v>
      </c>
      <c r="P1502" s="2">
        <v>1.0</v>
      </c>
      <c r="Q1502" s="2">
        <v>14.0</v>
      </c>
      <c r="R1502" s="2">
        <v>1.0</v>
      </c>
      <c r="S1502" s="3" t="s">
        <v>6142</v>
      </c>
      <c r="T1502" s="2" t="s">
        <v>6143</v>
      </c>
      <c r="Y1502" s="4" t="str">
        <f>IFERROR(__xludf.DUMMYFUNCTION("""COMPUTED_VALUE"""),"7.0126746")</f>
        <v>7.0126746</v>
      </c>
      <c r="Z1502" s="4" t="str">
        <f>IFERROR(__xludf.DUMMYFUNCTION("""COMPUTED_VALUE"""),"3.8451731")</f>
        <v>3.8451731</v>
      </c>
      <c r="AA1502" s="4" t="str">
        <f t="shared" si="1"/>
        <v>Not Neighbor</v>
      </c>
      <c r="AC1502" s="4">
        <f>IFERROR(__xludf.DUMMYFUNCTION("IFERROR(ABS(O1502-AVERAGE(FILTER(O1502:O5570,AA1502:AA5570=""Neighbor""))) / STDEV(FILTER(O1502:O5570, AA1502:AA5570 =""Neighbor"")), """")"),0.9690327404866285)</f>
        <v>0.9690327405</v>
      </c>
      <c r="AD1502" s="4">
        <f>IFERROR(__xludf.DUMMYFUNCTION("IFERROR(ABS(P1502-AVERAGE(FILTER(O1502:P5570,AA1502:AA5570=""Neighbor""))) / STDEV(FILTER(P1502:P5570, AA1502:AA5570 =""Neighbor"")), """")"),1.6908914357807192)</f>
        <v>1.690891436</v>
      </c>
      <c r="AE1502" s="2">
        <f>IFERROR(__xludf.DUMMYFUNCTION("IFERROR(ABS(Q1502-AVERAGE(FILTER(Q1502:Q5570,AA1502:AA5570=""Neighbor""))) / STDEV(FILTER(Q1502:Q5570, AA1502:AA5570 =""Neighbor"")), """")"),0.430297292520605)</f>
        <v>0.4302972925</v>
      </c>
      <c r="AF1502" s="2">
        <f>IFERROR(__xludf.DUMMYFUNCTION("IFERROR(ABS(R1502-AVERAGE(FILTER(R1502:R5570,AA1502:AA5570=""Neighbor""))) / STDEV(FILTER(R1502:R5570, AA1502:AA5570 =""Neighbor"")), """")"),0.8335668054839737)</f>
        <v>0.8335668055</v>
      </c>
    </row>
    <row r="1503">
      <c r="A1503" s="2" t="s">
        <v>28</v>
      </c>
      <c r="B1503" s="2" t="s">
        <v>6144</v>
      </c>
      <c r="C1503" s="2" t="s">
        <v>6145</v>
      </c>
      <c r="D1503" s="2" t="s">
        <v>6146</v>
      </c>
      <c r="E1503" s="2" t="s">
        <v>6147</v>
      </c>
      <c r="F1503" s="2">
        <v>209.0</v>
      </c>
      <c r="G1503" s="2">
        <v>793.0</v>
      </c>
      <c r="H1503" s="2" t="b">
        <v>1</v>
      </c>
      <c r="I1503" s="2">
        <v>-1.0</v>
      </c>
      <c r="J1503" s="2" t="b">
        <v>1</v>
      </c>
      <c r="K1503" s="2" t="b">
        <v>0</v>
      </c>
      <c r="L1503" s="2" t="b">
        <v>0</v>
      </c>
      <c r="M1503" s="2" t="b">
        <v>0</v>
      </c>
      <c r="N1503" s="2" t="s">
        <v>33</v>
      </c>
      <c r="O1503" s="2">
        <v>16.0</v>
      </c>
      <c r="P1503" s="2">
        <v>4.0</v>
      </c>
      <c r="Q1503" s="2">
        <v>5.0</v>
      </c>
      <c r="R1503" s="2">
        <v>0.0</v>
      </c>
      <c r="S1503" s="3" t="s">
        <v>6148</v>
      </c>
      <c r="T1503" s="2" t="s">
        <v>6149</v>
      </c>
      <c r="Y1503" s="4" t="str">
        <f>IFERROR(__xludf.DUMMYFUNCTION("""COMPUTED_VALUE"""),"6.8927879")</f>
        <v>6.8927879</v>
      </c>
      <c r="Z1503" s="4" t="str">
        <f>IFERROR(__xludf.DUMMYFUNCTION("""COMPUTED_VALUE"""),"4.0063422")</f>
        <v>4.0063422</v>
      </c>
      <c r="AA1503" s="4" t="str">
        <f t="shared" si="1"/>
        <v>Neighbor</v>
      </c>
      <c r="AC1503" s="4">
        <f>IFERROR(__xludf.DUMMYFUNCTION("IFERROR(ABS(O1503-AVERAGE(FILTER(O1503:O5571,AA1503:AA5571=""Neighbor""))) / STDEV(FILTER(O1503:O5571, AA1503:AA5571 =""Neighbor"")), """")"),1.0927415285574156)</f>
        <v>1.092741529</v>
      </c>
      <c r="AD1503" s="4">
        <f>IFERROR(__xludf.DUMMYFUNCTION("IFERROR(ABS(P1503-AVERAGE(FILTER(O1503:P5571,AA1503:AA5571=""Neighbor""))) / STDEV(FILTER(P1503:P5571, AA1503:AA5571 =""Neighbor"")), """")"),1.5543018576952692)</f>
        <v>1.554301858</v>
      </c>
      <c r="AE1503" s="2">
        <f>IFERROR(__xludf.DUMMYFUNCTION("IFERROR(ABS(Q1503-AVERAGE(FILTER(Q1503:Q5571,AA1503:AA5571=""Neighbor""))) / STDEV(FILTER(Q1503:Q5571, AA1503:AA5571 =""Neighbor"")), """")"),0.783053889900349)</f>
        <v>0.7830538899</v>
      </c>
      <c r="AF1503" s="2">
        <f>IFERROR(__xludf.DUMMYFUNCTION("IFERROR(ABS(R1503-AVERAGE(FILTER(R1503:R5571,AA1503:AA5571=""Neighbor""))) / STDEV(FILTER(R1503:R5571, AA1503:AA5571 =""Neighbor"")), """")"),0.34722676009479275)</f>
        <v>0.3472267601</v>
      </c>
    </row>
    <row r="1504">
      <c r="A1504" s="2" t="s">
        <v>28</v>
      </c>
      <c r="B1504" s="2" t="s">
        <v>6144</v>
      </c>
      <c r="C1504" s="2" t="s">
        <v>6145</v>
      </c>
      <c r="D1504" s="2" t="s">
        <v>6150</v>
      </c>
      <c r="E1504" s="2" t="s">
        <v>6151</v>
      </c>
      <c r="F1504" s="2">
        <v>121.0</v>
      </c>
      <c r="G1504" s="2">
        <v>362.0</v>
      </c>
      <c r="H1504" s="2" t="b">
        <v>1</v>
      </c>
      <c r="I1504" s="2">
        <v>-1.0</v>
      </c>
      <c r="J1504" s="2" t="b">
        <v>0</v>
      </c>
      <c r="K1504" s="2" t="b">
        <v>0</v>
      </c>
      <c r="L1504" s="2" t="b">
        <v>0</v>
      </c>
      <c r="M1504" s="2" t="b">
        <v>0</v>
      </c>
      <c r="N1504" s="2" t="s">
        <v>33</v>
      </c>
      <c r="O1504" s="2">
        <v>63.0</v>
      </c>
      <c r="P1504" s="2">
        <v>5.0</v>
      </c>
      <c r="Q1504" s="2">
        <v>35.0</v>
      </c>
      <c r="R1504" s="2">
        <v>0.0</v>
      </c>
      <c r="S1504" s="3" t="s">
        <v>6152</v>
      </c>
      <c r="T1504" s="2" t="s">
        <v>6153</v>
      </c>
      <c r="Y1504" s="4" t="str">
        <f>IFERROR(__xludf.DUMMYFUNCTION("""COMPUTED_VALUE"""),"6.8880454")</f>
        <v>6.8880454</v>
      </c>
      <c r="Z1504" s="4" t="str">
        <f>IFERROR(__xludf.DUMMYFUNCTION("""COMPUTED_VALUE"""),"4.013361")</f>
        <v>4.013361</v>
      </c>
      <c r="AA1504" s="4" t="str">
        <f t="shared" si="1"/>
        <v>Neighbor</v>
      </c>
      <c r="AC1504" s="4">
        <f>IFERROR(__xludf.DUMMYFUNCTION("IFERROR(ABS(O1504-AVERAGE(FILTER(O1504:O5572,AA1504:AA5572=""Neighbor""))) / STDEV(FILTER(O1504:O5572, AA1504:AA5572 =""Neighbor"")), """")"),0.06909655981692708)</f>
        <v>0.06909655982</v>
      </c>
      <c r="AD1504" s="4">
        <f>IFERROR(__xludf.DUMMYFUNCTION("IFERROR(ABS(P1504-AVERAGE(FILTER(O1504:P5572,AA1504:AA5572=""Neighbor""))) / STDEV(FILTER(P1504:P5572, AA1504:AA5572 =""Neighbor"")), """")"),1.5094848692110396)</f>
        <v>1.509484869</v>
      </c>
      <c r="AE1504" s="2">
        <f>IFERROR(__xludf.DUMMYFUNCTION("IFERROR(ABS(Q1504-AVERAGE(FILTER(Q1504:Q5572,AA1504:AA5572=""Neighbor""))) / STDEV(FILTER(Q1504:Q5572, AA1504:AA5572 =""Neighbor"")), """")"),0.3919912258232063)</f>
        <v>0.3919912258</v>
      </c>
      <c r="AF1504" s="2">
        <f>IFERROR(__xludf.DUMMYFUNCTION("IFERROR(ABS(R1504-AVERAGE(FILTER(R1504:R5572,AA1504:AA5572=""Neighbor""))) / STDEV(FILTER(R1504:R5572, AA1504:AA5572 =""Neighbor"")), """")"),0.3474101298512691)</f>
        <v>0.3474101299</v>
      </c>
    </row>
    <row r="1505">
      <c r="A1505" s="2" t="s">
        <v>28</v>
      </c>
      <c r="B1505" s="2" t="s">
        <v>6144</v>
      </c>
      <c r="C1505" s="2" t="s">
        <v>6145</v>
      </c>
      <c r="D1505" s="2" t="s">
        <v>6154</v>
      </c>
      <c r="E1505" s="2" t="s">
        <v>6155</v>
      </c>
      <c r="F1505" s="2">
        <v>39.0</v>
      </c>
      <c r="G1505" s="2">
        <v>372.0</v>
      </c>
      <c r="H1505" s="2" t="b">
        <v>1</v>
      </c>
      <c r="I1505" s="2">
        <v>-1.0</v>
      </c>
      <c r="J1505" s="2" t="b">
        <v>0</v>
      </c>
      <c r="K1505" s="2" t="b">
        <v>0</v>
      </c>
      <c r="L1505" s="2" t="b">
        <v>0</v>
      </c>
      <c r="M1505" s="2" t="b">
        <v>0</v>
      </c>
      <c r="N1505" s="2" t="s">
        <v>33</v>
      </c>
      <c r="O1505" s="2">
        <v>31.0</v>
      </c>
      <c r="P1505" s="2">
        <v>1.0</v>
      </c>
      <c r="Q1505" s="2">
        <v>7.0</v>
      </c>
      <c r="R1505" s="2">
        <v>0.0</v>
      </c>
      <c r="S1505" s="3" t="s">
        <v>6156</v>
      </c>
      <c r="T1505" s="2" t="s">
        <v>6157</v>
      </c>
      <c r="Y1505" s="4" t="str">
        <f>IFERROR(__xludf.DUMMYFUNCTION("""COMPUTED_VALUE"""),"6.8880454")</f>
        <v>6.8880454</v>
      </c>
      <c r="Z1505" s="4" t="str">
        <f>IFERROR(__xludf.DUMMYFUNCTION("""COMPUTED_VALUE"""),"4.013361")</f>
        <v>4.013361</v>
      </c>
      <c r="AA1505" s="4" t="str">
        <f t="shared" si="1"/>
        <v>Neighbor</v>
      </c>
      <c r="AC1505" s="4">
        <f>IFERROR(__xludf.DUMMYFUNCTION("IFERROR(ABS(O1505-AVERAGE(FILTER(O1505:O5573,AA1505:AA5573=""Neighbor""))) / STDEV(FILTER(O1505:O5573, AA1505:AA5573 =""Neighbor"")), """")"),0.7223077750616332)</f>
        <v>0.7223077751</v>
      </c>
      <c r="AD1505" s="4">
        <f>IFERROR(__xludf.DUMMYFUNCTION("IFERROR(ABS(P1505-AVERAGE(FILTER(O1505:P5573,AA1505:AA5573=""Neighbor""))) / STDEV(FILTER(P1505:P5573, AA1505:AA5573 =""Neighbor"")), """")"),1.6911293859138914)</f>
        <v>1.691129386</v>
      </c>
      <c r="AE1505" s="2">
        <f>IFERROR(__xludf.DUMMYFUNCTION("IFERROR(ABS(Q1505-AVERAGE(FILTER(Q1505:Q5573,AA1505:AA5573=""Neighbor""))) / STDEV(FILTER(Q1505:Q5573, AA1505:AA5573 =""Neighbor"")), """")"),0.7046217825176996)</f>
        <v>0.7046217825</v>
      </c>
      <c r="AF1505" s="2">
        <f>IFERROR(__xludf.DUMMYFUNCTION("IFERROR(ABS(R1505-AVERAGE(FILTER(R1505:R5573,AA1505:AA5573=""Neighbor""))) / STDEV(FILTER(R1505:R5573, AA1505:AA5573 =""Neighbor"")), """")"),0.3475937904615762)</f>
        <v>0.3475937905</v>
      </c>
    </row>
    <row r="1506">
      <c r="A1506" s="2" t="s">
        <v>28</v>
      </c>
      <c r="B1506" s="2" t="s">
        <v>6144</v>
      </c>
      <c r="C1506" s="2" t="s">
        <v>6145</v>
      </c>
      <c r="D1506" s="2" t="s">
        <v>6158</v>
      </c>
      <c r="E1506" s="2" t="s">
        <v>6159</v>
      </c>
      <c r="F1506" s="2">
        <v>25.0</v>
      </c>
      <c r="G1506" s="2">
        <v>250.0</v>
      </c>
      <c r="H1506" s="2" t="b">
        <v>1</v>
      </c>
      <c r="I1506" s="2">
        <v>-1.0</v>
      </c>
      <c r="J1506" s="2" t="b">
        <v>1</v>
      </c>
      <c r="K1506" s="2" t="b">
        <v>0</v>
      </c>
      <c r="L1506" s="2" t="b">
        <v>0</v>
      </c>
      <c r="M1506" s="2" t="b">
        <v>0</v>
      </c>
      <c r="N1506" s="2" t="s">
        <v>33</v>
      </c>
      <c r="O1506" s="2">
        <v>16.0</v>
      </c>
      <c r="P1506" s="2">
        <v>4.0</v>
      </c>
      <c r="Q1506" s="2">
        <v>5.0</v>
      </c>
      <c r="R1506" s="2">
        <v>0.0</v>
      </c>
      <c r="S1506" s="3" t="s">
        <v>6160</v>
      </c>
      <c r="T1506" s="2" t="s">
        <v>6161</v>
      </c>
      <c r="Y1506" s="4" t="str">
        <f>IFERROR(__xludf.DUMMYFUNCTION("""COMPUTED_VALUE"""),"6.8880454")</f>
        <v>6.8880454</v>
      </c>
      <c r="Z1506" s="4" t="str">
        <f>IFERROR(__xludf.DUMMYFUNCTION("""COMPUTED_VALUE"""),"4.013361")</f>
        <v>4.013361</v>
      </c>
      <c r="AA1506" s="4" t="str">
        <f t="shared" si="1"/>
        <v>Not Neighbor</v>
      </c>
      <c r="AC1506" s="4">
        <f>IFERROR(__xludf.DUMMYFUNCTION("IFERROR(ABS(O1506-AVERAGE(FILTER(O1506:O5574,AA1506:AA5574=""Neighbor""))) / STDEV(FILTER(O1506:O5574, AA1506:AA5574 =""Neighbor"")), """")"),1.0937294525656063)</f>
        <v>1.093729453</v>
      </c>
      <c r="AD1506" s="4">
        <f>IFERROR(__xludf.DUMMYFUNCTION("IFERROR(ABS(P1506-AVERAGE(FILTER(O1506:P5574,AA1506:AA5574=""Neighbor""))) / STDEV(FILTER(P1506:P5574, AA1506:AA5574 =""Neighbor"")), """")"),1.5551993952348533)</f>
        <v>1.555199395</v>
      </c>
      <c r="AE1506" s="2">
        <f>IFERROR(__xludf.DUMMYFUNCTION("IFERROR(ABS(Q1506-AVERAGE(FILTER(Q1506:Q5574,AA1506:AA5574=""Neighbor""))) / STDEV(FILTER(Q1506:Q5574, AA1506:AA5574 =""Neighbor"")), """")"),0.7834461122690947)</f>
        <v>0.7834461123</v>
      </c>
      <c r="AF1506" s="2">
        <f>IFERROR(__xludf.DUMMYFUNCTION("IFERROR(ABS(R1506-AVERAGE(FILTER(R1506:R5574,AA1506:AA5574=""Neighbor""))) / STDEV(FILTER(R1506:R5574, AA1506:AA5574 =""Neighbor"")), """")"),0.34777774269550943)</f>
        <v>0.3477777427</v>
      </c>
    </row>
    <row r="1507">
      <c r="A1507" s="2" t="s">
        <v>28</v>
      </c>
      <c r="B1507" s="2" t="s">
        <v>6144</v>
      </c>
      <c r="C1507" s="2" t="s">
        <v>6162</v>
      </c>
      <c r="D1507" s="2" t="s">
        <v>6163</v>
      </c>
      <c r="E1507" s="2" t="s">
        <v>6164</v>
      </c>
      <c r="F1507" s="2">
        <v>115.0</v>
      </c>
      <c r="G1507" s="2">
        <v>576.0</v>
      </c>
      <c r="H1507" s="2" t="b">
        <v>1</v>
      </c>
      <c r="I1507" s="2">
        <v>-1.0</v>
      </c>
      <c r="J1507" s="2" t="b">
        <v>1</v>
      </c>
      <c r="K1507" s="2" t="b">
        <v>0</v>
      </c>
      <c r="L1507" s="2" t="b">
        <v>0</v>
      </c>
      <c r="M1507" s="2" t="b">
        <v>0</v>
      </c>
      <c r="N1507" s="2" t="s">
        <v>33</v>
      </c>
      <c r="O1507" s="2">
        <v>66.0</v>
      </c>
      <c r="P1507" s="2">
        <v>8.0</v>
      </c>
      <c r="Q1507" s="2">
        <v>36.0</v>
      </c>
      <c r="R1507" s="2">
        <v>1.0</v>
      </c>
      <c r="S1507" s="3" t="s">
        <v>6165</v>
      </c>
      <c r="T1507" s="2" t="s">
        <v>6166</v>
      </c>
      <c r="Y1507" s="4" t="str">
        <f>IFERROR(__xludf.DUMMYFUNCTION("""COMPUTED_VALUE"""),"6.9037844")</f>
        <v>6.9037844</v>
      </c>
      <c r="Z1507" s="4" t="str">
        <f>IFERROR(__xludf.DUMMYFUNCTION("""COMPUTED_VALUE"""),"4.0117657")</f>
        <v>4.0117657</v>
      </c>
      <c r="AA1507" s="4" t="str">
        <f t="shared" si="1"/>
        <v>Not Neighbor</v>
      </c>
      <c r="AC1507" s="4">
        <f>IFERROR(__xludf.DUMMYFUNCTION("IFERROR(ABS(O1507-AVERAGE(FILTER(O1507:O5575,AA1507:AA5575=""Neighbor""))) / STDEV(FILTER(O1507:O5575, AA1507:AA5575 =""Neighbor"")), """")"),0.14261158851992253)</f>
        <v>0.1426115885</v>
      </c>
      <c r="AD1507" s="4">
        <f>IFERROR(__xludf.DUMMYFUNCTION("IFERROR(ABS(P1507-AVERAGE(FILTER(O1507:P5575,AA1507:AA5575=""Neighbor""))) / STDEV(FILTER(P1507:P5575, AA1507:AA5575 =""Neighbor"")), """")"),1.3732489123919782)</f>
        <v>1.373248912</v>
      </c>
      <c r="AE1507" s="2">
        <f>IFERROR(__xludf.DUMMYFUNCTION("IFERROR(ABS(Q1507-AVERAGE(FILTER(Q1507:Q5575,AA1507:AA5575=""Neighbor""))) / STDEV(FILTER(Q1507:Q5575, AA1507:AA5575 =""Neighbor"")), """")"),0.4306084868427299)</f>
        <v>0.4306084868</v>
      </c>
      <c r="AF1507" s="2">
        <f>IFERROR(__xludf.DUMMYFUNCTION("IFERROR(ABS(R1507-AVERAGE(FILTER(R1507:R5575,AA1507:AA5575=""Neighbor""))) / STDEV(FILTER(R1507:R5575, AA1507:AA5575 =""Neighbor"")), """")"),0.831545500162981)</f>
        <v>0.8315455002</v>
      </c>
    </row>
    <row r="1508">
      <c r="A1508" s="2" t="s">
        <v>28</v>
      </c>
      <c r="B1508" s="2" t="s">
        <v>6144</v>
      </c>
      <c r="C1508" s="2" t="s">
        <v>6162</v>
      </c>
      <c r="D1508" s="2" t="s">
        <v>6167</v>
      </c>
      <c r="E1508" s="2" t="s">
        <v>6168</v>
      </c>
      <c r="F1508" s="2">
        <v>128.0</v>
      </c>
      <c r="G1508" s="2">
        <v>592.0</v>
      </c>
      <c r="H1508" s="2" t="b">
        <v>1</v>
      </c>
      <c r="I1508" s="2">
        <v>-1.0</v>
      </c>
      <c r="J1508" s="2" t="b">
        <v>0</v>
      </c>
      <c r="K1508" s="2" t="b">
        <v>0</v>
      </c>
      <c r="L1508" s="2" t="b">
        <v>0</v>
      </c>
      <c r="M1508" s="2" t="b">
        <v>0</v>
      </c>
      <c r="N1508" s="2" t="s">
        <v>33</v>
      </c>
      <c r="O1508" s="2">
        <v>82.0</v>
      </c>
      <c r="P1508" s="2">
        <v>3.0</v>
      </c>
      <c r="Q1508" s="2">
        <v>37.0</v>
      </c>
      <c r="R1508" s="2">
        <v>0.0</v>
      </c>
      <c r="S1508" s="3" t="s">
        <v>6169</v>
      </c>
      <c r="T1508" s="2" t="s">
        <v>6170</v>
      </c>
      <c r="Y1508" s="4" t="str">
        <f>IFERROR(__xludf.DUMMYFUNCTION("""COMPUTED_VALUE"""),"6.9092884")</f>
        <v>6.9092884</v>
      </c>
      <c r="Z1508" s="4" t="str">
        <f>IFERROR(__xludf.DUMMYFUNCTION("""COMPUTED_VALUE"""),"4.0337846")</f>
        <v>4.0337846</v>
      </c>
      <c r="AA1508" s="4" t="str">
        <f t="shared" si="1"/>
        <v>Not Neighbor</v>
      </c>
      <c r="AC1508" s="4">
        <f>IFERROR(__xludf.DUMMYFUNCTION("IFERROR(ABS(O1508-AVERAGE(FILTER(O1508:O5576,AA1508:AA5576=""Neighbor""))) / STDEV(FILTER(O1508:O5576, AA1508:AA5576 =""Neighbor"")), """")"),0.5382407216672918)</f>
        <v>0.5382407217</v>
      </c>
      <c r="AD1508" s="4">
        <f>IFERROR(__xludf.DUMMYFUNCTION("IFERROR(ABS(P1508-AVERAGE(FILTER(O1508:P5576,AA1508:AA5576=""Neighbor""))) / STDEV(FILTER(P1508:P5576, AA1508:AA5576 =""Neighbor"")), """")"),1.600687015945572)</f>
        <v>1.600687016</v>
      </c>
      <c r="AE1508" s="2">
        <f>IFERROR(__xludf.DUMMYFUNCTION("IFERROR(ABS(Q1508-AVERAGE(FILTER(Q1508:Q5576,AA1508:AA5576=""Neighbor""))) / STDEV(FILTER(Q1508:Q5576, AA1508:AA5576 =""Neighbor"")), """")"),0.4697715384269823)</f>
        <v>0.4697715384</v>
      </c>
      <c r="AF1508" s="2">
        <f>IFERROR(__xludf.DUMMYFUNCTION("IFERROR(ABS(R1508-AVERAGE(FILTER(R1508:R5576,AA1508:AA5576=""Neighbor""))) / STDEV(FILTER(R1508:R5576, AA1508:AA5576 =""Neighbor"")), """")"),0.34777774269550943)</f>
        <v>0.3477777427</v>
      </c>
    </row>
    <row r="1509">
      <c r="A1509" s="2" t="s">
        <v>28</v>
      </c>
      <c r="B1509" s="2" t="s">
        <v>6144</v>
      </c>
      <c r="C1509" s="2" t="s">
        <v>6162</v>
      </c>
      <c r="D1509" s="2" t="s">
        <v>6171</v>
      </c>
      <c r="E1509" s="2" t="s">
        <v>6172</v>
      </c>
      <c r="F1509" s="2">
        <v>104.0</v>
      </c>
      <c r="G1509" s="2">
        <v>420.0</v>
      </c>
      <c r="H1509" s="2" t="b">
        <v>1</v>
      </c>
      <c r="I1509" s="2">
        <v>-1.0</v>
      </c>
      <c r="J1509" s="2" t="b">
        <v>1</v>
      </c>
      <c r="K1509" s="2" t="b">
        <v>0</v>
      </c>
      <c r="L1509" s="2" t="b">
        <v>0</v>
      </c>
      <c r="M1509" s="2" t="b">
        <v>0</v>
      </c>
      <c r="N1509" s="2" t="s">
        <v>33</v>
      </c>
      <c r="O1509" s="2">
        <v>71.0</v>
      </c>
      <c r="P1509" s="2">
        <v>7.0</v>
      </c>
      <c r="Q1509" s="2">
        <v>24.0</v>
      </c>
      <c r="R1509" s="2">
        <v>0.0</v>
      </c>
      <c r="S1509" s="3" t="s">
        <v>6173</v>
      </c>
      <c r="T1509" s="2" t="s">
        <v>6174</v>
      </c>
      <c r="Y1509" s="4" t="str">
        <f>IFERROR(__xludf.DUMMYFUNCTION("""COMPUTED_VALUE"""),"6.9063866")</f>
        <v>6.9063866</v>
      </c>
      <c r="Z1509" s="4" t="str">
        <f>IFERROR(__xludf.DUMMYFUNCTION("""COMPUTED_VALUE"""),"4.0206998")</f>
        <v>4.0206998</v>
      </c>
      <c r="AA1509" s="4" t="str">
        <f t="shared" si="1"/>
        <v>Neighbor</v>
      </c>
      <c r="AC1509" s="4">
        <f>IFERROR(__xludf.DUMMYFUNCTION("IFERROR(ABS(O1509-AVERAGE(FILTER(O1509:O5577,AA1509:AA5577=""Neighbor""))) / STDEV(FILTER(O1509:O5577, AA1509:AA5577 =""Neighbor"")), """")"),0.2662456926284754)</f>
        <v>0.2662456926</v>
      </c>
      <c r="AD1509" s="4">
        <f>IFERROR(__xludf.DUMMYFUNCTION("IFERROR(ABS(P1509-AVERAGE(FILTER(O1509:P5577,AA1509:AA5577=""Neighbor""))) / STDEV(FILTER(P1509:P5577, AA1509:AA5577 =""Neighbor"")), """")"),1.4187365331026969)</f>
        <v>1.418736533</v>
      </c>
      <c r="AE1509" s="2">
        <f>IFERROR(__xludf.DUMMYFUNCTION("IFERROR(ABS(Q1509-AVERAGE(FILTER(Q1509:Q5577,AA1509:AA5577=""Neighbor""))) / STDEV(FILTER(Q1509:Q5577, AA1509:AA5577 =""Neighbor"")), """")"),0.03934813216829894)</f>
        <v>0.03934813217</v>
      </c>
      <c r="AF1509" s="2">
        <f>IFERROR(__xludf.DUMMYFUNCTION("IFERROR(ABS(R1509-AVERAGE(FILTER(R1509:R5577,AA1509:AA5577=""Neighbor""))) / STDEV(FILTER(R1509:R5577, AA1509:AA5577 =""Neighbor"")), """")"),0.34777774269550943)</f>
        <v>0.3477777427</v>
      </c>
    </row>
    <row r="1510">
      <c r="A1510" s="2" t="s">
        <v>28</v>
      </c>
      <c r="B1510" s="2" t="s">
        <v>6144</v>
      </c>
      <c r="C1510" s="2" t="s">
        <v>6162</v>
      </c>
      <c r="D1510" s="2" t="s">
        <v>6175</v>
      </c>
      <c r="E1510" s="2" t="s">
        <v>6176</v>
      </c>
      <c r="F1510" s="2">
        <v>69.0</v>
      </c>
      <c r="G1510" s="2">
        <v>360.0</v>
      </c>
      <c r="H1510" s="2" t="b">
        <v>1</v>
      </c>
      <c r="I1510" s="2">
        <v>-1.0</v>
      </c>
      <c r="J1510" s="2" t="b">
        <v>0</v>
      </c>
      <c r="K1510" s="2" t="b">
        <v>0</v>
      </c>
      <c r="L1510" s="2" t="b">
        <v>0</v>
      </c>
      <c r="M1510" s="2" t="b">
        <v>0</v>
      </c>
      <c r="N1510" s="2" t="s">
        <v>33</v>
      </c>
      <c r="O1510" s="2">
        <v>0.0</v>
      </c>
      <c r="P1510" s="2">
        <v>7.0</v>
      </c>
      <c r="Q1510" s="2">
        <v>0.0</v>
      </c>
      <c r="R1510" s="2">
        <v>0.0</v>
      </c>
      <c r="S1510" s="3" t="s">
        <v>6177</v>
      </c>
      <c r="T1510" s="2" t="s">
        <v>6178</v>
      </c>
      <c r="Y1510" s="4" t="str">
        <f>IFERROR(__xludf.DUMMYFUNCTION("""COMPUTED_VALUE"""),"6.9096741")</f>
        <v>6.9096741</v>
      </c>
      <c r="Z1510" s="4" t="str">
        <f>IFERROR(__xludf.DUMMYFUNCTION("""COMPUTED_VALUE"""),"4.0277205")</f>
        <v>4.0277205</v>
      </c>
      <c r="AA1510" s="4" t="str">
        <f t="shared" si="1"/>
        <v>Neighbor</v>
      </c>
      <c r="AC1510" s="4">
        <f>IFERROR(__xludf.DUMMYFUNCTION("IFERROR(ABS(O1510-AVERAGE(FILTER(O1510:O5578,AA1510:AA5578=""Neighbor""))) / STDEV(FILTER(O1510:O5578, AA1510:AA5578 =""Neighbor"")), """")"),1.4884520874643445)</f>
        <v>1.488452087</v>
      </c>
      <c r="AD1510" s="4">
        <f>IFERROR(__xludf.DUMMYFUNCTION("IFERROR(ABS(P1510-AVERAGE(FILTER(O1510:P5578,AA1510:AA5578=""Neighbor""))) / STDEV(FILTER(P1510:P5578, AA1510:AA5578 =""Neighbor"")), """")"),1.4181466330097605)</f>
        <v>1.418146633</v>
      </c>
      <c r="AE1510" s="2">
        <f>IFERROR(__xludf.DUMMYFUNCTION("IFERROR(ABS(Q1510-AVERAGE(FILTER(Q1510:Q5578,AA1510:AA5578=""Neighbor""))) / STDEV(FILTER(Q1510:Q5578, AA1510:AA5578 =""Neighbor"")), """")"),0.9788359600097376)</f>
        <v>0.97883596</v>
      </c>
      <c r="AF1510" s="2">
        <f>IFERROR(__xludf.DUMMYFUNCTION("IFERROR(ABS(R1510-AVERAGE(FILTER(R1510:R5578,AA1510:AA5578=""Neighbor""))) / STDEV(FILTER(R1510:R5578, AA1510:AA5578 =""Neighbor"")), """")"),0.34796198732572126)</f>
        <v>0.3479619873</v>
      </c>
    </row>
    <row r="1511">
      <c r="A1511" s="2" t="s">
        <v>28</v>
      </c>
      <c r="B1511" s="2" t="s">
        <v>6144</v>
      </c>
      <c r="C1511" s="2" t="s">
        <v>6162</v>
      </c>
      <c r="D1511" s="2" t="s">
        <v>6179</v>
      </c>
      <c r="E1511" s="2" t="s">
        <v>6180</v>
      </c>
      <c r="F1511" s="2">
        <v>25.0</v>
      </c>
      <c r="G1511" s="2">
        <v>300.0</v>
      </c>
      <c r="H1511" s="2" t="b">
        <v>1</v>
      </c>
      <c r="I1511" s="2">
        <v>-1.0</v>
      </c>
      <c r="J1511" s="2" t="b">
        <v>0</v>
      </c>
      <c r="K1511" s="2" t="b">
        <v>0</v>
      </c>
      <c r="L1511" s="2" t="b">
        <v>0</v>
      </c>
      <c r="M1511" s="2" t="b">
        <v>0</v>
      </c>
      <c r="N1511" s="2" t="s">
        <v>33</v>
      </c>
      <c r="O1511" s="2">
        <v>10.0</v>
      </c>
      <c r="P1511" s="2">
        <v>1.0</v>
      </c>
      <c r="Q1511" s="2">
        <v>9.0</v>
      </c>
      <c r="R1511" s="2">
        <v>0.0</v>
      </c>
      <c r="S1511" s="3" t="s">
        <v>6181</v>
      </c>
      <c r="T1511" s="2" t="s">
        <v>6182</v>
      </c>
      <c r="Y1511" s="4" t="str">
        <f>IFERROR(__xludf.DUMMYFUNCTION("""COMPUTED_VALUE"""),"6.9092884")</f>
        <v>6.9092884</v>
      </c>
      <c r="Z1511" s="4" t="str">
        <f>IFERROR(__xludf.DUMMYFUNCTION("""COMPUTED_VALUE"""),"4.0337846")</f>
        <v>4.0337846</v>
      </c>
      <c r="AA1511" s="4" t="str">
        <f t="shared" si="1"/>
        <v>Not Neighbor</v>
      </c>
      <c r="AC1511" s="4">
        <f>IFERROR(__xludf.DUMMYFUNCTION("IFERROR(ABS(O1511-AVERAGE(FILTER(O1511:O5579,AA1511:AA5579=""Neighbor""))) / STDEV(FILTER(O1511:O5579, AA1511:AA5579 =""Neighbor"")), """")"),1.2434198268836107)</f>
        <v>1.243419827</v>
      </c>
      <c r="AD1511" s="4">
        <f>IFERROR(__xludf.DUMMYFUNCTION("IFERROR(ABS(P1511-AVERAGE(FILTER(O1511:P5579,AA1511:AA5579=""Neighbor""))) / STDEV(FILTER(P1511:P5579, AA1511:AA5579 =""Neighbor"")), """")"),1.6917966380100653)</f>
        <v>1.691796638</v>
      </c>
      <c r="AE1511" s="2">
        <f>IFERROR(__xludf.DUMMYFUNCTION("IFERROR(ABS(Q1511-AVERAGE(FILTER(Q1511:Q5579,AA1511:AA5579=""Neighbor""))) / STDEV(FILTER(Q1511:Q5579, AA1511:AA5579 =""Neighbor"")), """")"),0.627449751085895)</f>
        <v>0.6274497511</v>
      </c>
      <c r="AF1511" s="2">
        <f>IFERROR(__xludf.DUMMYFUNCTION("IFERROR(ABS(R1511-AVERAGE(FILTER(R1511:R5579,AA1511:AA5579=""Neighbor""))) / STDEV(FILTER(R1511:R5579, AA1511:AA5579 =""Neighbor"")), """")"),0.3481465251277333)</f>
        <v>0.3481465251</v>
      </c>
    </row>
    <row r="1512">
      <c r="A1512" s="2" t="s">
        <v>28</v>
      </c>
      <c r="B1512" s="2" t="s">
        <v>6144</v>
      </c>
      <c r="C1512" s="2" t="s">
        <v>6162</v>
      </c>
      <c r="D1512" s="2" t="s">
        <v>6183</v>
      </c>
      <c r="E1512" s="2" t="s">
        <v>6184</v>
      </c>
      <c r="F1512" s="2">
        <v>59.0</v>
      </c>
      <c r="G1512" s="2">
        <v>484.0</v>
      </c>
      <c r="H1512" s="2" t="b">
        <v>1</v>
      </c>
      <c r="I1512" s="2">
        <v>-1.0</v>
      </c>
      <c r="J1512" s="2" t="b">
        <v>0</v>
      </c>
      <c r="K1512" s="2" t="b">
        <v>0</v>
      </c>
      <c r="L1512" s="2" t="b">
        <v>0</v>
      </c>
      <c r="M1512" s="2" t="b">
        <v>0</v>
      </c>
      <c r="N1512" s="2" t="s">
        <v>33</v>
      </c>
      <c r="O1512" s="2">
        <v>35.0</v>
      </c>
      <c r="P1512" s="2">
        <v>1.0</v>
      </c>
      <c r="Q1512" s="2">
        <v>22.0</v>
      </c>
      <c r="R1512" s="2">
        <v>0.0</v>
      </c>
      <c r="S1512" s="3" t="s">
        <v>6185</v>
      </c>
      <c r="T1512" s="2" t="s">
        <v>6186</v>
      </c>
      <c r="Y1512" s="4" t="str">
        <f>IFERROR(__xludf.DUMMYFUNCTION("""COMPUTED_VALUE"""),"6.8888646")</f>
        <v>6.8888646</v>
      </c>
      <c r="Z1512" s="4" t="str">
        <f>IFERROR(__xludf.DUMMYFUNCTION("""COMPUTED_VALUE"""),"4.0353806")</f>
        <v>4.0353806</v>
      </c>
      <c r="AA1512" s="4" t="str">
        <f t="shared" si="1"/>
        <v>Not Neighbor</v>
      </c>
      <c r="AC1512" s="4">
        <f>IFERROR(__xludf.DUMMYFUNCTION("IFERROR(ABS(O1512-AVERAGE(FILTER(O1512:O5580,AA1512:AA5580=""Neighbor""))) / STDEV(FILTER(O1512:O5580, AA1512:AA5580 =""Neighbor"")), """")"),0.6251641826661266)</f>
        <v>0.6251641827</v>
      </c>
      <c r="AD1512" s="4">
        <f>IFERROR(__xludf.DUMMYFUNCTION("IFERROR(ABS(P1512-AVERAGE(FILTER(O1512:P5580,AA1512:AA5580=""Neighbor""))) / STDEV(FILTER(P1512:P5580, AA1512:AA5580 =""Neighbor"")), """")"),1.6917966380100653)</f>
        <v>1.691796638</v>
      </c>
      <c r="AE1512" s="2">
        <f>IFERROR(__xludf.DUMMYFUNCTION("IFERROR(ABS(Q1512-AVERAGE(FILTER(Q1512:Q5580,AA1512:AA5580=""Neighbor""))) / STDEV(FILTER(Q1512:Q5580, AA1512:AA5580 =""Neighbor"")), """")"),0.11858047815465109)</f>
        <v>0.1185804782</v>
      </c>
      <c r="AF1512" s="2">
        <f>IFERROR(__xludf.DUMMYFUNCTION("IFERROR(ABS(R1512-AVERAGE(FILTER(R1512:R5580,AA1512:AA5580=""Neighbor""))) / STDEV(FILTER(R1512:R5580, AA1512:AA5580 =""Neighbor"")), """")"),0.3481465251277333)</f>
        <v>0.3481465251</v>
      </c>
    </row>
    <row r="1513">
      <c r="A1513" s="2" t="s">
        <v>28</v>
      </c>
      <c r="B1513" s="2" t="s">
        <v>6144</v>
      </c>
      <c r="C1513" s="2" t="s">
        <v>6162</v>
      </c>
      <c r="D1513" s="2" t="s">
        <v>6187</v>
      </c>
      <c r="E1513" s="2" t="s">
        <v>6188</v>
      </c>
      <c r="F1513" s="2">
        <v>95.0</v>
      </c>
      <c r="G1513" s="2">
        <v>446.0</v>
      </c>
      <c r="H1513" s="2" t="b">
        <v>1</v>
      </c>
      <c r="I1513" s="2">
        <v>-1.0</v>
      </c>
      <c r="J1513" s="2" t="b">
        <v>0</v>
      </c>
      <c r="K1513" s="2" t="b">
        <v>0</v>
      </c>
      <c r="L1513" s="2" t="b">
        <v>0</v>
      </c>
      <c r="M1513" s="2" t="b">
        <v>0</v>
      </c>
      <c r="N1513" s="2" t="s">
        <v>33</v>
      </c>
      <c r="O1513" s="2">
        <v>80.0</v>
      </c>
      <c r="P1513" s="2">
        <v>2.0</v>
      </c>
      <c r="Q1513" s="2">
        <v>7.0</v>
      </c>
      <c r="R1513" s="2">
        <v>0.0</v>
      </c>
      <c r="S1513" s="3" t="s">
        <v>6189</v>
      </c>
      <c r="T1513" s="2" t="s">
        <v>6190</v>
      </c>
      <c r="Y1513" s="4" t="str">
        <f>IFERROR(__xludf.DUMMYFUNCTION("""COMPUTED_VALUE"""),"6.9092884")</f>
        <v>6.9092884</v>
      </c>
      <c r="Z1513" s="4" t="str">
        <f>IFERROR(__xludf.DUMMYFUNCTION("""COMPUTED_VALUE"""),"4.0337846")</f>
        <v>4.0337846</v>
      </c>
      <c r="AA1513" s="4" t="str">
        <f t="shared" si="1"/>
        <v>Neighbor</v>
      </c>
      <c r="AC1513" s="4">
        <f>IFERROR(__xludf.DUMMYFUNCTION("IFERROR(ABS(O1513-AVERAGE(FILTER(O1513:O5581,AA1513:AA5581=""Neighbor""))) / STDEV(FILTER(O1513:O5581, AA1513:AA5581 =""Neighbor"")), """")"),0.487695976925345)</f>
        <v>0.4876959769</v>
      </c>
      <c r="AD1513" s="4">
        <f>IFERROR(__xludf.DUMMYFUNCTION("IFERROR(ABS(P1513-AVERAGE(FILTER(O1513:P5581,AA1513:AA5581=""Neighbor""))) / STDEV(FILTER(P1513:P5581, AA1513:AA5581 =""Neighbor"")), """")"),1.6463446141526739)</f>
        <v>1.646344614</v>
      </c>
      <c r="AE1513" s="2">
        <f>IFERROR(__xludf.DUMMYFUNCTION("IFERROR(ABS(Q1513-AVERAGE(FILTER(Q1513:Q5581,AA1513:AA5581=""Neighbor""))) / STDEV(FILTER(Q1513:Q5581, AA1513:AA5581 =""Neighbor"")), """")"),0.7057373315368556)</f>
        <v>0.7057373315</v>
      </c>
      <c r="AF1513" s="2">
        <f>IFERROR(__xludf.DUMMYFUNCTION("IFERROR(ABS(R1513-AVERAGE(FILTER(R1513:R5581,AA1513:AA5581=""Neighbor""))) / STDEV(FILTER(R1513:R5581, AA1513:AA5581 =""Neighbor"")), """")"),0.3481465251277333)</f>
        <v>0.3481465251</v>
      </c>
    </row>
    <row r="1514">
      <c r="A1514" s="2" t="s">
        <v>28</v>
      </c>
      <c r="B1514" s="2" t="s">
        <v>6144</v>
      </c>
      <c r="C1514" s="2" t="s">
        <v>6162</v>
      </c>
      <c r="D1514" s="2" t="s">
        <v>6191</v>
      </c>
      <c r="E1514" s="2" t="s">
        <v>6192</v>
      </c>
      <c r="F1514" s="2">
        <v>64.0</v>
      </c>
      <c r="G1514" s="2">
        <v>250.0</v>
      </c>
      <c r="H1514" s="2" t="b">
        <v>1</v>
      </c>
      <c r="I1514" s="2">
        <v>-1.0</v>
      </c>
      <c r="J1514" s="2" t="b">
        <v>0</v>
      </c>
      <c r="K1514" s="2" t="b">
        <v>0</v>
      </c>
      <c r="L1514" s="2" t="b">
        <v>0</v>
      </c>
      <c r="M1514" s="2" t="b">
        <v>0</v>
      </c>
      <c r="N1514" s="2" t="s">
        <v>33</v>
      </c>
      <c r="O1514" s="2">
        <v>30.0</v>
      </c>
      <c r="P1514" s="2">
        <v>2.0</v>
      </c>
      <c r="Q1514" s="2">
        <v>21.0</v>
      </c>
      <c r="R1514" s="2">
        <v>0.0</v>
      </c>
      <c r="S1514" s="3" t="s">
        <v>6193</v>
      </c>
      <c r="T1514" s="2" t="s">
        <v>6194</v>
      </c>
      <c r="Y1514" s="4" t="str">
        <f>IFERROR(__xludf.DUMMYFUNCTION("""COMPUTED_VALUE"""),"6.9092884")</f>
        <v>6.9092884</v>
      </c>
      <c r="Z1514" s="4" t="str">
        <f>IFERROR(__xludf.DUMMYFUNCTION("""COMPUTED_VALUE"""),"4.0337846")</f>
        <v>4.0337846</v>
      </c>
      <c r="AA1514" s="4" t="str">
        <f t="shared" si="1"/>
        <v>Neighbor</v>
      </c>
      <c r="AC1514" s="4">
        <f>IFERROR(__xludf.DUMMYFUNCTION("IFERROR(ABS(O1514-AVERAGE(FILTER(O1514:O5582,AA1514:AA5582=""Neighbor""))) / STDEV(FILTER(O1514:O5582, AA1514:AA5582 =""Neighbor"")), """")"),0.7480826981390842)</f>
        <v>0.7480826981</v>
      </c>
      <c r="AD1514" s="4">
        <f>IFERROR(__xludf.DUMMYFUNCTION("IFERROR(ABS(P1514-AVERAGE(FILTER(O1514:P5582,AA1514:AA5582=""Neighbor""))) / STDEV(FILTER(P1514:P5582, AA1514:AA5582 =""Neighbor"")), """")"),1.6457681266106992)</f>
        <v>1.645768127</v>
      </c>
      <c r="AE1514" s="2">
        <f>IFERROR(__xludf.DUMMYFUNCTION("IFERROR(ABS(Q1514-AVERAGE(FILTER(Q1514:Q5582,AA1514:AA5582=""Neighbor""))) / STDEV(FILTER(Q1514:Q5582, AA1514:AA5582 =""Neighbor"")), """")"),0.15835554770260665)</f>
        <v>0.1583555477</v>
      </c>
      <c r="AF1514" s="2">
        <f>IFERROR(__xludf.DUMMYFUNCTION("IFERROR(ABS(R1514-AVERAGE(FILTER(R1514:R5582,AA1514:AA5582=""Neighbor""))) / STDEV(FILTER(R1514:R5582, AA1514:AA5582 =""Neighbor"")), """")"),0.34833135687994954)</f>
        <v>0.3483313569</v>
      </c>
    </row>
    <row r="1515">
      <c r="A1515" s="2" t="s">
        <v>28</v>
      </c>
      <c r="B1515" s="2" t="s">
        <v>6144</v>
      </c>
      <c r="C1515" s="2" t="s">
        <v>6162</v>
      </c>
      <c r="D1515" s="2" t="s">
        <v>6195</v>
      </c>
      <c r="E1515" s="2" t="s">
        <v>6196</v>
      </c>
      <c r="F1515" s="2">
        <v>34.0</v>
      </c>
      <c r="G1515" s="2">
        <v>210.0</v>
      </c>
      <c r="H1515" s="2" t="b">
        <v>1</v>
      </c>
      <c r="I1515" s="2">
        <v>-1.0</v>
      </c>
      <c r="J1515" s="2" t="b">
        <v>0</v>
      </c>
      <c r="K1515" s="2" t="b">
        <v>1</v>
      </c>
      <c r="L1515" s="2" t="b">
        <v>0</v>
      </c>
      <c r="M1515" s="2" t="b">
        <v>0</v>
      </c>
      <c r="N1515" s="2" t="s">
        <v>33</v>
      </c>
      <c r="O1515" s="2">
        <v>13.0</v>
      </c>
      <c r="P1515" s="2">
        <v>5.0</v>
      </c>
      <c r="Q1515" s="2">
        <v>9.0</v>
      </c>
      <c r="R1515" s="2">
        <v>0.0</v>
      </c>
      <c r="S1515" s="3" t="s">
        <v>6197</v>
      </c>
      <c r="T1515" s="2" t="s">
        <v>6198</v>
      </c>
      <c r="Y1515" s="4" t="str">
        <f>IFERROR(__xludf.DUMMYFUNCTION("""COMPUTED_VALUE"""),"6.9050476")</f>
        <v>6.9050476</v>
      </c>
      <c r="Z1515" s="4" t="str">
        <f>IFERROR(__xludf.DUMMYFUNCTION("""COMPUTED_VALUE"""),"4.0406475")</f>
        <v>4.0406475</v>
      </c>
      <c r="AA1515" s="4" t="str">
        <f t="shared" si="1"/>
        <v>Neighbor</v>
      </c>
      <c r="AC1515" s="4">
        <f>IFERROR(__xludf.DUMMYFUNCTION("IFERROR(ABS(O1515-AVERAGE(FILTER(O1515:O5583,AA1515:AA5583=""Neighbor""))) / STDEV(FILTER(O1515:O5583, AA1515:AA5583 =""Neighbor"")), """")"),1.168810335379583)</f>
        <v>1.168810335</v>
      </c>
      <c r="AD1515" s="4">
        <f>IFERROR(__xludf.DUMMYFUNCTION("IFERROR(ABS(P1515-AVERAGE(FILTER(O1515:P5583,AA1515:AA5583=""Neighbor""))) / STDEV(FILTER(P1515:P5583, AA1515:AA5583 =""Neighbor"")), """")"),1.50998868087785)</f>
        <v>1.509988681</v>
      </c>
      <c r="AE1515" s="2">
        <f>IFERROR(__xludf.DUMMYFUNCTION("IFERROR(ABS(Q1515-AVERAGE(FILTER(Q1515:Q5583,AA1515:AA5583=""Neighbor""))) / STDEV(FILTER(Q1515:Q5583, AA1515:AA5583 =""Neighbor"")), """")"),0.627829007372337)</f>
        <v>0.6278290074</v>
      </c>
      <c r="AF1515" s="2">
        <f>IFERROR(__xludf.DUMMYFUNCTION("IFERROR(ABS(R1515-AVERAGE(FILTER(R1515:R5583,AA1515:AA5583=""Neighbor""))) / STDEV(FILTER(R1515:R5583, AA1515:AA5583 =""Neighbor"")), """")"),0.34851648336367114)</f>
        <v>0.3485164834</v>
      </c>
    </row>
    <row r="1516">
      <c r="A1516" s="2" t="s">
        <v>28</v>
      </c>
      <c r="B1516" s="2" t="s">
        <v>6144</v>
      </c>
      <c r="C1516" s="2" t="s">
        <v>6162</v>
      </c>
      <c r="D1516" s="2" t="s">
        <v>6199</v>
      </c>
      <c r="E1516" s="2" t="s">
        <v>6200</v>
      </c>
      <c r="F1516" s="2">
        <v>19.0</v>
      </c>
      <c r="G1516" s="2">
        <v>155.0</v>
      </c>
      <c r="H1516" s="2" t="b">
        <v>1</v>
      </c>
      <c r="I1516" s="2">
        <v>-1.0</v>
      </c>
      <c r="J1516" s="2" t="b">
        <v>0</v>
      </c>
      <c r="K1516" s="2" t="b">
        <v>0</v>
      </c>
      <c r="L1516" s="2" t="b">
        <v>0</v>
      </c>
      <c r="M1516" s="2" t="b">
        <v>0</v>
      </c>
      <c r="N1516" s="2" t="s">
        <v>33</v>
      </c>
      <c r="O1516" s="2">
        <v>10.0</v>
      </c>
      <c r="P1516" s="2">
        <v>1.0</v>
      </c>
      <c r="Q1516" s="2">
        <v>7.0</v>
      </c>
      <c r="R1516" s="2">
        <v>0.0</v>
      </c>
      <c r="S1516" s="3" t="s">
        <v>6201</v>
      </c>
      <c r="T1516" s="2" t="s">
        <v>6202</v>
      </c>
      <c r="Y1516" s="4" t="str">
        <f>IFERROR(__xludf.DUMMYFUNCTION("""COMPUTED_VALUE"""),"6.9092884")</f>
        <v>6.9092884</v>
      </c>
      <c r="Z1516" s="4" t="str">
        <f>IFERROR(__xludf.DUMMYFUNCTION("""COMPUTED_VALUE"""),"4.0337846")</f>
        <v>4.0337846</v>
      </c>
      <c r="AA1516" s="4" t="str">
        <f t="shared" si="1"/>
        <v>Not Neighbor</v>
      </c>
      <c r="AC1516" s="4">
        <f>IFERROR(__xludf.DUMMYFUNCTION("IFERROR(ABS(O1516-AVERAGE(FILTER(O1516:O5584,AA1516:AA5584=""Neighbor""))) / STDEV(FILTER(O1516:O5584, AA1516:AA5584 =""Neighbor"")), """")"),1.2442860130245035)</f>
        <v>1.244286013</v>
      </c>
      <c r="AD1516" s="4">
        <f>IFERROR(__xludf.DUMMYFUNCTION("IFERROR(ABS(P1516-AVERAGE(FILTER(O1516:P5584,AA1516:AA5584=""Neighbor""))) / STDEV(FILTER(P1516:P5584, AA1516:AA5584 =""Neighbor"")), """")"),1.6923611374437617)</f>
        <v>1.692361137</v>
      </c>
      <c r="AE1516" s="2">
        <f>IFERROR(__xludf.DUMMYFUNCTION("IFERROR(ABS(Q1516-AVERAGE(FILTER(Q1516:Q5584,AA1516:AA5584=""Neighbor""))) / STDEV(FILTER(Q1516:Q5584, AA1516:AA5584 =""Neighbor"")), """")"),0.706454729777236)</f>
        <v>0.7064547298</v>
      </c>
      <c r="AF1516" s="2">
        <f>IFERROR(__xludf.DUMMYFUNCTION("IFERROR(ABS(R1516-AVERAGE(FILTER(R1516:R5584,AA1516:AA5584=""Neighbor""))) / STDEV(FILTER(R1516:R5584, AA1516:AA5584 =""Neighbor"")), """")"),0.34870190536310997)</f>
        <v>0.3487019054</v>
      </c>
    </row>
    <row r="1517">
      <c r="A1517" s="2" t="s">
        <v>28</v>
      </c>
      <c r="B1517" s="2" t="s">
        <v>6144</v>
      </c>
      <c r="C1517" s="2" t="s">
        <v>6203</v>
      </c>
      <c r="D1517" s="2" t="s">
        <v>6204</v>
      </c>
      <c r="E1517" s="2" t="s">
        <v>6205</v>
      </c>
      <c r="F1517" s="2">
        <v>66.0</v>
      </c>
      <c r="G1517" s="2">
        <v>316.0</v>
      </c>
      <c r="H1517" s="2" t="b">
        <v>1</v>
      </c>
      <c r="I1517" s="2">
        <v>-1.0</v>
      </c>
      <c r="J1517" s="2" t="b">
        <v>1</v>
      </c>
      <c r="K1517" s="2" t="b">
        <v>0</v>
      </c>
      <c r="L1517" s="2" t="b">
        <v>0</v>
      </c>
      <c r="M1517" s="2" t="b">
        <v>0</v>
      </c>
      <c r="N1517" s="2" t="s">
        <v>33</v>
      </c>
      <c r="O1517" s="2">
        <v>0.0</v>
      </c>
      <c r="P1517" s="2">
        <v>0.0</v>
      </c>
      <c r="Q1517" s="2">
        <v>0.0</v>
      </c>
      <c r="R1517" s="2">
        <v>0.0</v>
      </c>
      <c r="S1517" s="3" t="s">
        <v>6206</v>
      </c>
      <c r="T1517" s="2" t="s">
        <v>6207</v>
      </c>
      <c r="Y1517" s="4" t="str">
        <f>IFERROR(__xludf.DUMMYFUNCTION("""COMPUTED_VALUE"""),"6.8775432")</f>
        <v>6.8775432</v>
      </c>
      <c r="Z1517" s="4" t="str">
        <f>IFERROR(__xludf.DUMMYFUNCTION("""COMPUTED_VALUE"""),"4.0689066")</f>
        <v>4.0689066</v>
      </c>
      <c r="AA1517" s="4" t="str">
        <f t="shared" si="1"/>
        <v>Not Neighbor</v>
      </c>
      <c r="AC1517" s="4">
        <f>IFERROR(__xludf.DUMMYFUNCTION("IFERROR(ABS(O1517-AVERAGE(FILTER(O1517:O5585,AA1517:AA5585=""Neighbor""))) / STDEV(FILTER(O1517:O5585, AA1517:AA5585 =""Neighbor"")), """")"),1.4914904905375788)</f>
        <v>1.491490491</v>
      </c>
      <c r="AD1517" s="4">
        <f>IFERROR(__xludf.DUMMYFUNCTION("IFERROR(ABS(P1517-AVERAGE(FILTER(O1517:P5585,AA1517:AA5585=""Neighbor""))) / STDEV(FILTER(P1517:P5585, AA1517:AA5585 =""Neighbor"")), """")"),1.7377719438991368)</f>
        <v>1.737771944</v>
      </c>
      <c r="AE1517" s="2">
        <f>IFERROR(__xludf.DUMMYFUNCTION("IFERROR(ABS(Q1517-AVERAGE(FILTER(Q1517:Q5585,AA1517:AA5585=""Neighbor""))) / STDEV(FILTER(Q1517:Q5585, AA1517:AA5585 =""Neighbor"")), """")"),0.9801906186059174)</f>
        <v>0.9801906186</v>
      </c>
      <c r="AF1517" s="2">
        <f>IFERROR(__xludf.DUMMYFUNCTION("IFERROR(ABS(R1517-AVERAGE(FILTER(R1517:R5585,AA1517:AA5585=""Neighbor""))) / STDEV(FILTER(R1517:R5585, AA1517:AA5585 =""Neighbor"")), """")"),0.34870190536310997)</f>
        <v>0.3487019054</v>
      </c>
    </row>
    <row r="1518">
      <c r="A1518" s="2" t="s">
        <v>28</v>
      </c>
      <c r="B1518" s="2" t="s">
        <v>6144</v>
      </c>
      <c r="C1518" s="2" t="s">
        <v>6203</v>
      </c>
      <c r="D1518" s="2" t="s">
        <v>6208</v>
      </c>
      <c r="E1518" s="2" t="s">
        <v>6209</v>
      </c>
      <c r="F1518" s="2">
        <v>154.0</v>
      </c>
      <c r="G1518" s="2">
        <v>481.0</v>
      </c>
      <c r="H1518" s="2" t="b">
        <v>1</v>
      </c>
      <c r="I1518" s="2">
        <v>-1.0</v>
      </c>
      <c r="J1518" s="2" t="b">
        <v>0</v>
      </c>
      <c r="K1518" s="2" t="b">
        <v>0</v>
      </c>
      <c r="L1518" s="2" t="b">
        <v>0</v>
      </c>
      <c r="M1518" s="2" t="b">
        <v>0</v>
      </c>
      <c r="N1518" s="2" t="s">
        <v>33</v>
      </c>
      <c r="O1518" s="2">
        <v>92.0</v>
      </c>
      <c r="P1518" s="2">
        <v>13.0</v>
      </c>
      <c r="Q1518" s="2">
        <v>41.0</v>
      </c>
      <c r="R1518" s="2">
        <v>0.0</v>
      </c>
      <c r="S1518" s="3" t="s">
        <v>6210</v>
      </c>
      <c r="T1518" s="2" t="s">
        <v>6211</v>
      </c>
      <c r="Y1518" s="4" t="str">
        <f>IFERROR(__xludf.DUMMYFUNCTION("""COMPUTED_VALUE"""),"6.8827355")</f>
        <v>6.8827355</v>
      </c>
      <c r="Z1518" s="4" t="str">
        <f>IFERROR(__xludf.DUMMYFUNCTION("""COMPUTED_VALUE"""),"4.0082563")</f>
        <v>4.0082563</v>
      </c>
      <c r="AA1518" s="4" t="str">
        <f t="shared" si="1"/>
        <v>Not Neighbor</v>
      </c>
      <c r="AC1518" s="4">
        <f>IFERROR(__xludf.DUMMYFUNCTION("IFERROR(ABS(O1518-AVERAGE(FILTER(O1518:O5586,AA1518:AA5586=""Neighbor""))) / STDEV(FILTER(O1518:O5586, AA1518:AA5586 =""Neighbor"")), """")"),0.7827907025827147)</f>
        <v>0.7827907026</v>
      </c>
      <c r="AD1518" s="4">
        <f>IFERROR(__xludf.DUMMYFUNCTION("IFERROR(ABS(P1518-AVERAGE(FILTER(O1518:P5586,AA1518:AA5586=""Neighbor""))) / STDEV(FILTER(P1518:P5586, AA1518:AA5586 =""Neighbor"")), """")"),1.1474314599792617)</f>
        <v>1.14743146</v>
      </c>
      <c r="AE1518" s="2">
        <f>IFERROR(__xludf.DUMMYFUNCTION("IFERROR(ABS(Q1518-AVERAGE(FILTER(Q1518:Q5586,AA1518:AA5586=""Neighbor""))) / STDEV(FILTER(Q1518:Q5586, AA1518:AA5586 =""Neighbor"")), """")"),0.6231195873906452)</f>
        <v>0.6231195874</v>
      </c>
      <c r="AF1518" s="2">
        <f>IFERROR(__xludf.DUMMYFUNCTION("IFERROR(ABS(R1518-AVERAGE(FILTER(R1518:R5586,AA1518:AA5586=""Neighbor""))) / STDEV(FILTER(R1518:R5586, AA1518:AA5586 =""Neighbor"")), """")"),0.34870190536310997)</f>
        <v>0.3487019054</v>
      </c>
    </row>
    <row r="1519">
      <c r="A1519" s="2" t="s">
        <v>28</v>
      </c>
      <c r="B1519" s="2" t="s">
        <v>6144</v>
      </c>
      <c r="C1519" s="2" t="s">
        <v>6203</v>
      </c>
      <c r="D1519" s="2" t="s">
        <v>6212</v>
      </c>
      <c r="E1519" s="2" t="s">
        <v>6213</v>
      </c>
      <c r="F1519" s="2">
        <v>155.0</v>
      </c>
      <c r="G1519" s="2">
        <v>502.0</v>
      </c>
      <c r="H1519" s="2" t="b">
        <v>1</v>
      </c>
      <c r="I1519" s="2">
        <v>-1.0</v>
      </c>
      <c r="J1519" s="2" t="b">
        <v>0</v>
      </c>
      <c r="K1519" s="2" t="b">
        <v>0</v>
      </c>
      <c r="L1519" s="2" t="b">
        <v>0</v>
      </c>
      <c r="M1519" s="2" t="b">
        <v>0</v>
      </c>
      <c r="N1519" s="2" t="s">
        <v>33</v>
      </c>
      <c r="O1519" s="2">
        <v>74.0</v>
      </c>
      <c r="P1519" s="2">
        <v>3.0</v>
      </c>
      <c r="Q1519" s="2">
        <v>64.0</v>
      </c>
      <c r="R1519" s="2">
        <v>0.0</v>
      </c>
      <c r="S1519" s="3" t="s">
        <v>6214</v>
      </c>
      <c r="T1519" s="2" t="s">
        <v>6215</v>
      </c>
      <c r="Y1519" s="4" t="str">
        <f>IFERROR(__xludf.DUMMYFUNCTION("""COMPUTED_VALUE"""),"6.9016515")</f>
        <v>6.9016515</v>
      </c>
      <c r="Z1519" s="4" t="str">
        <f>IFERROR(__xludf.DUMMYFUNCTION("""COMPUTED_VALUE"""),"4.0663515")</f>
        <v>4.0663515</v>
      </c>
      <c r="AA1519" s="4" t="str">
        <f t="shared" si="1"/>
        <v>Not Neighbor</v>
      </c>
      <c r="AC1519" s="4">
        <f>IFERROR(__xludf.DUMMYFUNCTION("IFERROR(ABS(O1519-AVERAGE(FILTER(O1519:O5587,AA1519:AA5587=""Neighbor""))) / STDEV(FILTER(O1519:O5587, AA1519:AA5587 =""Neighbor"")), """")"),0.337822643059179)</f>
        <v>0.3378226431</v>
      </c>
      <c r="AD1519" s="4">
        <f>IFERROR(__xludf.DUMMYFUNCTION("IFERROR(ABS(P1519-AVERAGE(FILTER(O1519:P5587,AA1519:AA5587=""Neighbor""))) / STDEV(FILTER(P1519:P5587, AA1519:AA5587 =""Neighbor"")), """")"),1.6015395245330117)</f>
        <v>1.601539525</v>
      </c>
      <c r="AE1519" s="2">
        <f>IFERROR(__xludf.DUMMYFUNCTION("IFERROR(ABS(Q1519-AVERAGE(FILTER(Q1519:Q5587,AA1519:AA5587=""Neighbor""))) / STDEV(FILTER(Q1519:Q5587, AA1519:AA5587 =""Neighbor"")), """")"),1.5225375078277414)</f>
        <v>1.522537508</v>
      </c>
      <c r="AF1519" s="2">
        <f>IFERROR(__xludf.DUMMYFUNCTION("IFERROR(ABS(R1519-AVERAGE(FILTER(R1519:R5587,AA1519:AA5587=""Neighbor""))) / STDEV(FILTER(R1519:R5587, AA1519:AA5587 =""Neighbor"")), """")"),0.34870190536310997)</f>
        <v>0.3487019054</v>
      </c>
    </row>
    <row r="1520">
      <c r="A1520" s="2" t="s">
        <v>28</v>
      </c>
      <c r="B1520" s="2" t="s">
        <v>6144</v>
      </c>
      <c r="C1520" s="2" t="s">
        <v>6203</v>
      </c>
      <c r="D1520" s="2" t="s">
        <v>6216</v>
      </c>
      <c r="E1520" s="2" t="s">
        <v>6217</v>
      </c>
      <c r="F1520" s="2">
        <v>61.0</v>
      </c>
      <c r="G1520" s="2">
        <v>288.0</v>
      </c>
      <c r="H1520" s="2" t="b">
        <v>1</v>
      </c>
      <c r="I1520" s="2">
        <v>-1.0</v>
      </c>
      <c r="J1520" s="2" t="b">
        <v>0</v>
      </c>
      <c r="K1520" s="2" t="b">
        <v>0</v>
      </c>
      <c r="L1520" s="2" t="b">
        <v>0</v>
      </c>
      <c r="M1520" s="2" t="b">
        <v>0</v>
      </c>
      <c r="N1520" s="2" t="s">
        <v>33</v>
      </c>
      <c r="O1520" s="2">
        <v>33.0</v>
      </c>
      <c r="P1520" s="2">
        <v>0.0</v>
      </c>
      <c r="Q1520" s="2">
        <v>21.0</v>
      </c>
      <c r="R1520" s="2">
        <v>0.0</v>
      </c>
      <c r="S1520" s="3" t="s">
        <v>6218</v>
      </c>
      <c r="T1520" s="2" t="s">
        <v>6219</v>
      </c>
      <c r="Y1520" s="4" t="str">
        <f>IFERROR(__xludf.DUMMYFUNCTION("""COMPUTED_VALUE"""),"6.885169")</f>
        <v>6.885169</v>
      </c>
      <c r="Z1520" s="4" t="str">
        <f>IFERROR(__xludf.DUMMYFUNCTION("""COMPUTED_VALUE"""),"4.0582237")</f>
        <v>4.0582237</v>
      </c>
      <c r="AA1520" s="4" t="str">
        <f t="shared" si="1"/>
        <v>Not Neighbor</v>
      </c>
      <c r="AC1520" s="4">
        <f>IFERROR(__xludf.DUMMYFUNCTION("IFERROR(ABS(O1520-AVERAGE(FILTER(O1520:O5588,AA1520:AA5588=""Neighbor""))) / STDEV(FILTER(O1520:O5588, AA1520:AA5588 =""Neighbor"")), """")"),0.67571571474443)</f>
        <v>0.6757157147</v>
      </c>
      <c r="AD1520" s="4">
        <f>IFERROR(__xludf.DUMMYFUNCTION("IFERROR(ABS(P1520-AVERAGE(FILTER(O1520:P5588,AA1520:AA5588=""Neighbor""))) / STDEV(FILTER(P1520:P5588, AA1520:AA5588 =""Neighbor"")), """")"),1.7377719438991368)</f>
        <v>1.737771944</v>
      </c>
      <c r="AE1520" s="2">
        <f>IFERROR(__xludf.DUMMYFUNCTION("IFERROR(ABS(Q1520-AVERAGE(FILTER(Q1520:Q5588,AA1520:AA5588=""Neighbor""))) / STDEV(FILTER(Q1520:Q5588, AA1520:AA5588 =""Neighbor"")), """")"),0.15898295211987312)</f>
        <v>0.1589829521</v>
      </c>
      <c r="AF1520" s="2">
        <f>IFERROR(__xludf.DUMMYFUNCTION("IFERROR(ABS(R1520-AVERAGE(FILTER(R1520:R5588,AA1520:AA5588=""Neighbor""))) / STDEV(FILTER(R1520:R5588, AA1520:AA5588 =""Neighbor"")), """")"),0.34870190536310997)</f>
        <v>0.3487019054</v>
      </c>
    </row>
    <row r="1521">
      <c r="A1521" s="2" t="s">
        <v>28</v>
      </c>
      <c r="B1521" s="2" t="s">
        <v>6144</v>
      </c>
      <c r="C1521" s="2" t="s">
        <v>6203</v>
      </c>
      <c r="D1521" s="2" t="s">
        <v>6220</v>
      </c>
      <c r="E1521" s="2" t="s">
        <v>6221</v>
      </c>
      <c r="F1521" s="2">
        <v>106.0</v>
      </c>
      <c r="G1521" s="2">
        <v>378.0</v>
      </c>
      <c r="H1521" s="2" t="b">
        <v>1</v>
      </c>
      <c r="I1521" s="2">
        <v>-1.0</v>
      </c>
      <c r="J1521" s="2" t="b">
        <v>0</v>
      </c>
      <c r="K1521" s="2" t="b">
        <v>0</v>
      </c>
      <c r="L1521" s="2" t="b">
        <v>0</v>
      </c>
      <c r="M1521" s="2" t="b">
        <v>0</v>
      </c>
      <c r="N1521" s="2" t="s">
        <v>33</v>
      </c>
      <c r="O1521" s="2">
        <v>75.0</v>
      </c>
      <c r="P1521" s="2">
        <v>2.0</v>
      </c>
      <c r="Q1521" s="2">
        <v>14.0</v>
      </c>
      <c r="R1521" s="2">
        <v>0.0</v>
      </c>
      <c r="S1521" s="3" t="s">
        <v>6222</v>
      </c>
      <c r="T1521" s="2" t="s">
        <v>6223</v>
      </c>
      <c r="Y1521" s="4" t="str">
        <f>IFERROR(__xludf.DUMMYFUNCTION("""COMPUTED_VALUE"""),"6.9263065")</f>
        <v>6.9263065</v>
      </c>
      <c r="Z1521" s="4" t="str">
        <f>IFERROR(__xludf.DUMMYFUNCTION("""COMPUTED_VALUE"""),"4.0398495")</f>
        <v>4.0398495</v>
      </c>
      <c r="AA1521" s="4" t="str">
        <f t="shared" si="1"/>
        <v>Not Neighbor</v>
      </c>
      <c r="AC1521" s="4">
        <f>IFERROR(__xludf.DUMMYFUNCTION("IFERROR(ABS(O1521-AVERAGE(FILTER(O1521:O5589,AA1521:AA5589=""Neighbor""))) / STDEV(FILTER(O1521:O5589, AA1521:AA5589 =""Neighbor"")), """")"),0.3625430908104865)</f>
        <v>0.3625430908</v>
      </c>
      <c r="AD1521" s="4">
        <f>IFERROR(__xludf.DUMMYFUNCTION("IFERROR(ABS(P1521-AVERAGE(FILTER(O1521:P5589,AA1521:AA5589=""Neighbor""))) / STDEV(FILTER(P1521:P5589, AA1521:AA5589 =""Neighbor"")), """")"),1.6469503309883868)</f>
        <v>1.646950331</v>
      </c>
      <c r="AE1521" s="2">
        <f>IFERROR(__xludf.DUMMYFUNCTION("IFERROR(ABS(Q1521-AVERAGE(FILTER(Q1521:Q5589,AA1521:AA5589=""Neighbor""))) / STDEV(FILTER(Q1521:Q5589, AA1521:AA5589 =""Neighbor"")), """")"),0.43271884094855456)</f>
        <v>0.4327188409</v>
      </c>
      <c r="AF1521" s="2">
        <f>IFERROR(__xludf.DUMMYFUNCTION("IFERROR(ABS(R1521-AVERAGE(FILTER(R1521:R5589,AA1521:AA5589=""Neighbor""))) / STDEV(FILTER(R1521:R5589, AA1521:AA5589 =""Neighbor"")), """")"),0.34870190536310997)</f>
        <v>0.3487019054</v>
      </c>
    </row>
    <row r="1522">
      <c r="A1522" s="2" t="s">
        <v>28</v>
      </c>
      <c r="B1522" s="2" t="s">
        <v>6144</v>
      </c>
      <c r="C1522" s="2" t="s">
        <v>6203</v>
      </c>
      <c r="D1522" s="2" t="s">
        <v>6224</v>
      </c>
      <c r="E1522" s="2" t="s">
        <v>6225</v>
      </c>
      <c r="F1522" s="2">
        <v>114.0</v>
      </c>
      <c r="G1522" s="2">
        <v>389.0</v>
      </c>
      <c r="H1522" s="2" t="b">
        <v>1</v>
      </c>
      <c r="I1522" s="2">
        <v>-1.0</v>
      </c>
      <c r="J1522" s="2" t="b">
        <v>0</v>
      </c>
      <c r="K1522" s="2" t="b">
        <v>0</v>
      </c>
      <c r="L1522" s="2" t="b">
        <v>0</v>
      </c>
      <c r="M1522" s="2" t="b">
        <v>0</v>
      </c>
      <c r="N1522" s="2" t="s">
        <v>33</v>
      </c>
      <c r="O1522" s="2">
        <v>80.0</v>
      </c>
      <c r="P1522" s="2">
        <v>6.0</v>
      </c>
      <c r="Q1522" s="2">
        <v>22.0</v>
      </c>
      <c r="R1522" s="2">
        <v>0.0</v>
      </c>
      <c r="S1522" s="3" t="s">
        <v>6226</v>
      </c>
      <c r="T1522" s="2" t="s">
        <v>6227</v>
      </c>
      <c r="Y1522" s="4" t="str">
        <f>IFERROR(__xludf.DUMMYFUNCTION("""COMPUTED_VALUE"""),"6.8451368")</f>
        <v>6.8451368</v>
      </c>
      <c r="Z1522" s="4" t="str">
        <f>IFERROR(__xludf.DUMMYFUNCTION("""COMPUTED_VALUE"""),"4.0653933")</f>
        <v>4.0653933</v>
      </c>
      <c r="AA1522" s="4" t="str">
        <f t="shared" si="1"/>
        <v>Not Neighbor</v>
      </c>
      <c r="AC1522" s="4">
        <f>IFERROR(__xludf.DUMMYFUNCTION("IFERROR(ABS(O1522-AVERAGE(FILTER(O1522:O5590,AA1522:AA5590=""Neighbor""))) / STDEV(FILTER(O1522:O5590, AA1522:AA5590 =""Neighbor"")), """")"),0.48614532956702416)</f>
        <v>0.4861453296</v>
      </c>
      <c r="AD1522" s="4">
        <f>IFERROR(__xludf.DUMMYFUNCTION("IFERROR(ABS(P1522-AVERAGE(FILTER(O1522:P5590,AA1522:AA5590=""Neighbor""))) / STDEV(FILTER(P1522:P5590, AA1522:AA5590 =""Neighbor"")), """")"),1.4653071051668867)</f>
        <v>1.465307105</v>
      </c>
      <c r="AE1522" s="2">
        <f>IFERROR(__xludf.DUMMYFUNCTION("IFERROR(ABS(Q1522-AVERAGE(FILTER(Q1522:Q5590,AA1522:AA5590=""Neighbor""))) / STDEV(FILTER(Q1522:Q5590, AA1522:AA5590 =""Neighbor"")), """")"),0.11987782514434721)</f>
        <v>0.1198778251</v>
      </c>
      <c r="AF1522" s="2">
        <f>IFERROR(__xludf.DUMMYFUNCTION("IFERROR(ABS(R1522-AVERAGE(FILTER(R1522:R5590,AA1522:AA5590=""Neighbor""))) / STDEV(FILTER(R1522:R5590, AA1522:AA5590 =""Neighbor"")), """")"),0.34870190536310997)</f>
        <v>0.3487019054</v>
      </c>
    </row>
    <row r="1523">
      <c r="A1523" s="2" t="s">
        <v>28</v>
      </c>
      <c r="B1523" s="2" t="s">
        <v>6144</v>
      </c>
      <c r="C1523" s="2" t="s">
        <v>6203</v>
      </c>
      <c r="D1523" s="2" t="s">
        <v>6228</v>
      </c>
      <c r="E1523" s="2" t="s">
        <v>6229</v>
      </c>
      <c r="F1523" s="2">
        <v>71.0</v>
      </c>
      <c r="G1523" s="2">
        <v>301.0</v>
      </c>
      <c r="H1523" s="2" t="b">
        <v>1</v>
      </c>
      <c r="I1523" s="2">
        <v>-1.0</v>
      </c>
      <c r="J1523" s="2" t="b">
        <v>0</v>
      </c>
      <c r="K1523" s="2" t="b">
        <v>0</v>
      </c>
      <c r="L1523" s="2" t="b">
        <v>0</v>
      </c>
      <c r="M1523" s="2" t="b">
        <v>0</v>
      </c>
      <c r="N1523" s="2" t="s">
        <v>33</v>
      </c>
      <c r="O1523" s="2">
        <v>46.0</v>
      </c>
      <c r="P1523" s="2">
        <v>0.0</v>
      </c>
      <c r="Q1523" s="2">
        <v>22.0</v>
      </c>
      <c r="R1523" s="2">
        <v>0.0</v>
      </c>
      <c r="S1523" s="3" t="s">
        <v>6230</v>
      </c>
      <c r="T1523" s="2" t="s">
        <v>6231</v>
      </c>
      <c r="Y1523" s="4" t="str">
        <f>IFERROR(__xludf.DUMMYFUNCTION("""COMPUTED_VALUE"""),"6.9107107")</f>
        <v>6.9107107</v>
      </c>
      <c r="Z1523" s="4" t="str">
        <f>IFERROR(__xludf.DUMMYFUNCTION("""COMPUTED_VALUE"""),"4.0634771")</f>
        <v>4.0634771</v>
      </c>
      <c r="AA1523" s="4" t="str">
        <f t="shared" si="1"/>
        <v>Neighbor</v>
      </c>
      <c r="AC1523" s="4">
        <f>IFERROR(__xludf.DUMMYFUNCTION("IFERROR(ABS(O1523-AVERAGE(FILTER(O1523:O5591,AA1523:AA5591=""Neighbor""))) / STDEV(FILTER(O1523:O5591, AA1523:AA5591 =""Neighbor"")), """")"),0.3543498939774321)</f>
        <v>0.354349894</v>
      </c>
      <c r="AD1523" s="4">
        <f>IFERROR(__xludf.DUMMYFUNCTION("IFERROR(ABS(P1523-AVERAGE(FILTER(O1523:P5591,AA1523:AA5591=""Neighbor""))) / STDEV(FILTER(P1523:P5591, AA1523:AA5591 =""Neighbor"")), """")"),1.7377719438991368)</f>
        <v>1.737771944</v>
      </c>
      <c r="AE1523" s="2">
        <f>IFERROR(__xludf.DUMMYFUNCTION("IFERROR(ABS(Q1523-AVERAGE(FILTER(Q1523:Q5591,AA1523:AA5591=""Neighbor""))) / STDEV(FILTER(Q1523:Q5591, AA1523:AA5591 =""Neighbor"")), """")"),0.11987782514434721)</f>
        <v>0.1198778251</v>
      </c>
      <c r="AF1523" s="2">
        <f>IFERROR(__xludf.DUMMYFUNCTION("IFERROR(ABS(R1523-AVERAGE(FILTER(R1523:R5591,AA1523:AA5591=""Neighbor""))) / STDEV(FILTER(R1523:R5591, AA1523:AA5591 =""Neighbor"")), """")"),0.34870190536310997)</f>
        <v>0.3487019054</v>
      </c>
    </row>
    <row r="1524">
      <c r="A1524" s="2" t="s">
        <v>28</v>
      </c>
      <c r="B1524" s="2" t="s">
        <v>6144</v>
      </c>
      <c r="C1524" s="2" t="s">
        <v>6203</v>
      </c>
      <c r="D1524" s="2" t="s">
        <v>6232</v>
      </c>
      <c r="E1524" s="2" t="s">
        <v>6233</v>
      </c>
      <c r="F1524" s="2">
        <v>81.0</v>
      </c>
      <c r="G1524" s="2">
        <v>307.0</v>
      </c>
      <c r="H1524" s="2" t="b">
        <v>1</v>
      </c>
      <c r="I1524" s="2">
        <v>-1.0</v>
      </c>
      <c r="J1524" s="2" t="b">
        <v>0</v>
      </c>
      <c r="K1524" s="2" t="b">
        <v>0</v>
      </c>
      <c r="L1524" s="2" t="b">
        <v>0</v>
      </c>
      <c r="M1524" s="2" t="b">
        <v>0</v>
      </c>
      <c r="N1524" s="2" t="s">
        <v>33</v>
      </c>
      <c r="O1524" s="2">
        <v>36.0</v>
      </c>
      <c r="P1524" s="2">
        <v>1.0</v>
      </c>
      <c r="Q1524" s="2">
        <v>36.0</v>
      </c>
      <c r="R1524" s="2">
        <v>0.0</v>
      </c>
      <c r="S1524" s="3" t="s">
        <v>6234</v>
      </c>
      <c r="T1524" s="2" t="s">
        <v>6235</v>
      </c>
      <c r="Y1524" s="4" t="str">
        <f>IFERROR(__xludf.DUMMYFUNCTION("""COMPUTED_VALUE"""),"6.9016515")</f>
        <v>6.9016515</v>
      </c>
      <c r="Z1524" s="4" t="str">
        <f>IFERROR(__xludf.DUMMYFUNCTION("""COMPUTED_VALUE"""),"4.0663515")</f>
        <v>4.0663515</v>
      </c>
      <c r="AA1524" s="4" t="str">
        <f t="shared" si="1"/>
        <v>Not Neighbor</v>
      </c>
      <c r="AC1524" s="4">
        <f>IFERROR(__xludf.DUMMYFUNCTION("IFERROR(ABS(O1524-AVERAGE(FILTER(O1524:O5592,AA1524:AA5592=""Neighbor""))) / STDEV(FILTER(O1524:O5592, AA1524:AA5592 =""Neighbor"")), """")"),0.601641008328691)</f>
        <v>0.6016410083</v>
      </c>
      <c r="AD1524" s="4">
        <f>IFERROR(__xludf.DUMMYFUNCTION("IFERROR(ABS(P1524-AVERAGE(FILTER(O1524:P5592,AA1524:AA5592=""Neighbor""))) / STDEV(FILTER(P1524:P5592, AA1524:AA5592 =""Neighbor"")), """")"),1.6926512546647912)</f>
        <v>1.692651255</v>
      </c>
      <c r="AE1524" s="2">
        <f>IFERROR(__xludf.DUMMYFUNCTION("IFERROR(ABS(Q1524-AVERAGE(FILTER(Q1524:Q5592,AA1524:AA5592=""Neighbor""))) / STDEV(FILTER(Q1524:Q5592, AA1524:AA5592 =""Neighbor"")), """")"),0.4272796981769383)</f>
        <v>0.4272796982</v>
      </c>
      <c r="AF1524" s="2">
        <f>IFERROR(__xludf.DUMMYFUNCTION("IFERROR(ABS(R1524-AVERAGE(FILTER(R1524:R5592,AA1524:AA5592=""Neighbor""))) / STDEV(FILTER(R1524:R5592, AA1524:AA5592 =""Neighbor"")), """")"),0.3488876236654023)</f>
        <v>0.3488876237</v>
      </c>
    </row>
    <row r="1525">
      <c r="A1525" s="2" t="s">
        <v>28</v>
      </c>
      <c r="B1525" s="2" t="s">
        <v>6144</v>
      </c>
      <c r="C1525" s="2" t="s">
        <v>6203</v>
      </c>
      <c r="D1525" s="2" t="s">
        <v>6236</v>
      </c>
      <c r="E1525" s="2" t="s">
        <v>6237</v>
      </c>
      <c r="F1525" s="2">
        <v>186.0</v>
      </c>
      <c r="G1525" s="2">
        <v>470.0</v>
      </c>
      <c r="H1525" s="2" t="b">
        <v>1</v>
      </c>
      <c r="I1525" s="2">
        <v>-1.0</v>
      </c>
      <c r="J1525" s="2" t="b">
        <v>0</v>
      </c>
      <c r="K1525" s="2" t="b">
        <v>1</v>
      </c>
      <c r="L1525" s="2" t="b">
        <v>0</v>
      </c>
      <c r="M1525" s="2" t="b">
        <v>0</v>
      </c>
      <c r="N1525" s="2" t="s">
        <v>33</v>
      </c>
      <c r="O1525" s="2">
        <v>149.0</v>
      </c>
      <c r="P1525" s="2">
        <v>2.0</v>
      </c>
      <c r="Q1525" s="2">
        <v>10.0</v>
      </c>
      <c r="R1525" s="2">
        <v>0.0</v>
      </c>
      <c r="S1525" s="3" t="s">
        <v>6238</v>
      </c>
      <c r="T1525" s="2" t="s">
        <v>6239</v>
      </c>
      <c r="Y1525" s="4" t="str">
        <f>IFERROR(__xludf.DUMMYFUNCTION("""COMPUTED_VALUE"""),"6.8827355")</f>
        <v>6.8827355</v>
      </c>
      <c r="Z1525" s="4" t="str">
        <f>IFERROR(__xludf.DUMMYFUNCTION("""COMPUTED_VALUE"""),"4.0082563")</f>
        <v>4.0082563</v>
      </c>
      <c r="AA1525" s="4" t="str">
        <f t="shared" si="1"/>
        <v>Not Neighbor</v>
      </c>
      <c r="AC1525" s="4">
        <f>IFERROR(__xludf.DUMMYFUNCTION("IFERROR(ABS(O1525-AVERAGE(FILTER(O1525:O5593,AA1525:AA5593=""Neighbor""))) / STDEV(FILTER(O1525:O5593, AA1525:AA5593 =""Neighbor"")), """")"),2.190608406291497)</f>
        <v>2.190608406</v>
      </c>
      <c r="AD1525" s="4">
        <f>IFERROR(__xludf.DUMMYFUNCTION("IFERROR(ABS(P1525-AVERAGE(FILTER(O1525:P5593,AA1525:AA5593=""Neighbor""))) / STDEV(FILTER(P1525:P5593, AA1525:AA5593 =""Neighbor"")), """")"),1.647250343930558)</f>
        <v>1.647250344</v>
      </c>
      <c r="AE1525" s="2">
        <f>IFERROR(__xludf.DUMMYFUNCTION("IFERROR(ABS(Q1525-AVERAGE(FILTER(Q1525:Q5593,AA1525:AA5593=""Neighbor""))) / STDEV(FILTER(Q1525:Q5593, AA1525:AA5593 =""Neighbor"")), """")"),0.588977197869637)</f>
        <v>0.5889771979</v>
      </c>
      <c r="AF1525" s="2">
        <f>IFERROR(__xludf.DUMMYFUNCTION("IFERROR(ABS(R1525-AVERAGE(FILTER(R1525:R5593,AA1525:AA5593=""Neighbor""))) / STDEV(FILTER(R1525:R5593, AA1525:AA5593 =""Neighbor"")), """")"),0.3488876236654023)</f>
        <v>0.3488876237</v>
      </c>
    </row>
    <row r="1526">
      <c r="A1526" s="2" t="s">
        <v>28</v>
      </c>
      <c r="B1526" s="2" t="s">
        <v>6144</v>
      </c>
      <c r="C1526" s="2" t="s">
        <v>6240</v>
      </c>
      <c r="D1526" s="2" t="s">
        <v>6241</v>
      </c>
      <c r="E1526" s="2" t="s">
        <v>6242</v>
      </c>
      <c r="F1526" s="2">
        <v>138.0</v>
      </c>
      <c r="G1526" s="2">
        <v>517.0</v>
      </c>
      <c r="H1526" s="2" t="b">
        <v>1</v>
      </c>
      <c r="I1526" s="2">
        <v>-1.0</v>
      </c>
      <c r="J1526" s="2" t="b">
        <v>0</v>
      </c>
      <c r="K1526" s="2" t="b">
        <v>1</v>
      </c>
      <c r="L1526" s="2" t="b">
        <v>0</v>
      </c>
      <c r="M1526" s="2" t="b">
        <v>0</v>
      </c>
      <c r="N1526" s="2" t="s">
        <v>33</v>
      </c>
      <c r="O1526" s="2">
        <v>79.0</v>
      </c>
      <c r="P1526" s="2">
        <v>10.0</v>
      </c>
      <c r="Q1526" s="2">
        <v>33.0</v>
      </c>
      <c r="R1526" s="2">
        <v>0.0</v>
      </c>
      <c r="S1526" s="3" t="s">
        <v>6243</v>
      </c>
      <c r="T1526" s="2" t="s">
        <v>6244</v>
      </c>
      <c r="Y1526" s="4" t="str">
        <f>IFERROR(__xludf.DUMMYFUNCTION("""COMPUTED_VALUE"""),"6.8534099")</f>
        <v>6.8534099</v>
      </c>
      <c r="Z1526" s="4" t="str">
        <f>IFERROR(__xludf.DUMMYFUNCTION("""COMPUTED_VALUE"""),"3.9954969")</f>
        <v>3.9954969</v>
      </c>
      <c r="AA1526" s="4" t="str">
        <f t="shared" si="1"/>
        <v>Neighbor</v>
      </c>
      <c r="AC1526" s="4">
        <f>IFERROR(__xludf.DUMMYFUNCTION("IFERROR(ABS(O1526-AVERAGE(FILTER(O1526:O5594,AA1526:AA5594=""Neighbor""))) / STDEV(FILTER(O1526:O5594, AA1526:AA5594 =""Neighbor"")), """")"),0.4608963795356281)</f>
        <v>0.4608963795</v>
      </c>
      <c r="AD1526" s="4">
        <f>IFERROR(__xludf.DUMMYFUNCTION("IFERROR(ABS(P1526-AVERAGE(FILTER(O1526:P5594,AA1526:AA5594=""Neighbor""))) / STDEV(FILTER(P1526:P5594, AA1526:AA5594 =""Neighbor"")), """")"),1.2840430580566924)</f>
        <v>1.284043058</v>
      </c>
      <c r="AE1526" s="2">
        <f>IFERROR(__xludf.DUMMYFUNCTION("IFERROR(ABS(Q1526-AVERAGE(FILTER(Q1526:Q5594,AA1526:AA5594=""Neighbor""))) / STDEV(FILTER(Q1526:Q5594, AA1526:AA5594 =""Neighbor"")), """")"),0.3100192870946411)</f>
        <v>0.3100192871</v>
      </c>
      <c r="AF1526" s="2">
        <f>IFERROR(__xludf.DUMMYFUNCTION("IFERROR(ABS(R1526-AVERAGE(FILTER(R1526:R5594,AA1526:AA5594=""Neighbor""))) / STDEV(FILTER(R1526:R5594, AA1526:AA5594 =""Neighbor"")), """")"),0.3488876236654023)</f>
        <v>0.3488876237</v>
      </c>
    </row>
    <row r="1527">
      <c r="A1527" s="2" t="s">
        <v>28</v>
      </c>
      <c r="B1527" s="2" t="s">
        <v>6144</v>
      </c>
      <c r="C1527" s="2" t="s">
        <v>6240</v>
      </c>
      <c r="D1527" s="2" t="s">
        <v>6245</v>
      </c>
      <c r="E1527" s="2" t="s">
        <v>6246</v>
      </c>
      <c r="F1527" s="2">
        <v>116.0</v>
      </c>
      <c r="G1527" s="2">
        <v>584.0</v>
      </c>
      <c r="H1527" s="2" t="b">
        <v>1</v>
      </c>
      <c r="I1527" s="2">
        <v>-1.0</v>
      </c>
      <c r="J1527" s="2" t="b">
        <v>0</v>
      </c>
      <c r="K1527" s="2" t="b">
        <v>0</v>
      </c>
      <c r="L1527" s="2" t="b">
        <v>0</v>
      </c>
      <c r="M1527" s="2" t="b">
        <v>0</v>
      </c>
      <c r="N1527" s="2" t="s">
        <v>33</v>
      </c>
      <c r="O1527" s="2">
        <v>0.0</v>
      </c>
      <c r="P1527" s="2">
        <v>0.0</v>
      </c>
      <c r="Q1527" s="2">
        <v>0.0</v>
      </c>
      <c r="R1527" s="2">
        <v>0.0</v>
      </c>
      <c r="S1527" s="3" t="s">
        <v>6247</v>
      </c>
      <c r="T1527" s="2" t="s">
        <v>6248</v>
      </c>
      <c r="Y1527" s="4" t="str">
        <f>IFERROR(__xludf.DUMMYFUNCTION("""COMPUTED_VALUE"""),"6.8534099")</f>
        <v>6.8534099</v>
      </c>
      <c r="Z1527" s="4" t="str">
        <f>IFERROR(__xludf.DUMMYFUNCTION("""COMPUTED_VALUE"""),"3.9954969")</f>
        <v>3.9954969</v>
      </c>
      <c r="AA1527" s="4" t="str">
        <f t="shared" si="1"/>
        <v>Neighbor</v>
      </c>
      <c r="AC1527" s="4">
        <f>IFERROR(__xludf.DUMMYFUNCTION("IFERROR(ABS(O1527-AVERAGE(FILTER(O1527:O5595,AA1527:AA5595=""Neighbor""))) / STDEV(FILTER(O1527:O5595, AA1527:AA5595 =""Neighbor"")), """")"),1.4902100287208027)</f>
        <v>1.490210029</v>
      </c>
      <c r="AD1527" s="4">
        <f>IFERROR(__xludf.DUMMYFUNCTION("IFERROR(ABS(P1527-AVERAGE(FILTER(O1527:P5595,AA1527:AA5595=""Neighbor""))) / STDEV(FILTER(P1527:P5595, AA1527:AA5595 =""Neighbor"")), """")"),1.7370225439600973)</f>
        <v>1.737022544</v>
      </c>
      <c r="AE1527" s="2">
        <f>IFERROR(__xludf.DUMMYFUNCTION("IFERROR(ABS(Q1527-AVERAGE(FILTER(Q1527:Q5595,AA1527:AA5595=""Neighbor""))) / STDEV(FILTER(Q1527:Q5595, AA1527:AA5595 =""Neighbor"")), """")"),0.9791289530540083)</f>
        <v>0.9791289531</v>
      </c>
      <c r="AF1527" s="2">
        <f>IFERROR(__xludf.DUMMYFUNCTION("IFERROR(ABS(R1527-AVERAGE(FILTER(R1527:R5595,AA1527:AA5595=""Neighbor""))) / STDEV(FILTER(R1527:R5595, AA1527:AA5595 =""Neighbor"")), """")"),0.3490736390606233)</f>
        <v>0.3490736391</v>
      </c>
    </row>
    <row r="1528">
      <c r="A1528" s="2" t="s">
        <v>28</v>
      </c>
      <c r="B1528" s="2" t="s">
        <v>6144</v>
      </c>
      <c r="C1528" s="2" t="s">
        <v>6240</v>
      </c>
      <c r="D1528" s="2" t="s">
        <v>6249</v>
      </c>
      <c r="E1528" s="2" t="s">
        <v>6250</v>
      </c>
      <c r="F1528" s="2">
        <v>95.0</v>
      </c>
      <c r="G1528" s="2">
        <v>360.0</v>
      </c>
      <c r="H1528" s="2" t="b">
        <v>1</v>
      </c>
      <c r="I1528" s="2">
        <v>-1.0</v>
      </c>
      <c r="J1528" s="2" t="b">
        <v>0</v>
      </c>
      <c r="K1528" s="2" t="b">
        <v>0</v>
      </c>
      <c r="L1528" s="2" t="b">
        <v>0</v>
      </c>
      <c r="M1528" s="2" t="b">
        <v>0</v>
      </c>
      <c r="N1528" s="2" t="s">
        <v>33</v>
      </c>
      <c r="O1528" s="2">
        <v>55.0</v>
      </c>
      <c r="P1528" s="2">
        <v>4.0</v>
      </c>
      <c r="Q1528" s="2">
        <v>35.0</v>
      </c>
      <c r="R1528" s="2">
        <v>0.0</v>
      </c>
      <c r="S1528" s="3" t="s">
        <v>6251</v>
      </c>
      <c r="T1528" s="2" t="s">
        <v>6252</v>
      </c>
      <c r="Y1528" s="4" t="str">
        <f>IFERROR(__xludf.DUMMYFUNCTION("""COMPUTED_VALUE"""),"6.8534099")</f>
        <v>6.8534099</v>
      </c>
      <c r="Z1528" s="4" t="str">
        <f>IFERROR(__xludf.DUMMYFUNCTION("""COMPUTED_VALUE"""),"3.9954969")</f>
        <v>3.9954969</v>
      </c>
      <c r="AA1528" s="4" t="str">
        <f t="shared" si="1"/>
        <v>Neighbor</v>
      </c>
      <c r="AC1528" s="4">
        <f>IFERROR(__xludf.DUMMYFUNCTION("IFERROR(ABS(O1528-AVERAGE(FILTER(O1528:O5596,AA1528:AA5596=""Neighbor""))) / STDEV(FILTER(O1528:O5596, AA1528:AA5596 =""Neighbor"")), """")"),0.1331567394980587)</f>
        <v>0.1331567395</v>
      </c>
      <c r="AD1528" s="4">
        <f>IFERROR(__xludf.DUMMYFUNCTION("IFERROR(ABS(P1528-AVERAGE(FILTER(O1528:P5596,AA1528:AA5596=""Neighbor""))) / STDEV(FILTER(P1528:P5596, AA1528:AA5596 =""Neighbor"")), """")"),1.55681329431666)</f>
        <v>1.556813294</v>
      </c>
      <c r="AE1528" s="2">
        <f>IFERROR(__xludf.DUMMYFUNCTION("IFERROR(ABS(Q1528-AVERAGE(FILTER(Q1528:Q5596,AA1528:AA5596=""Neighbor""))) / STDEV(FILTER(Q1528:Q5596, AA1528:AA5596 =""Neighbor"")), """")"),0.3873808186708936)</f>
        <v>0.3873808187</v>
      </c>
      <c r="AF1528" s="2">
        <f>IFERROR(__xludf.DUMMYFUNCTION("IFERROR(ABS(R1528-AVERAGE(FILTER(R1528:R5596,AA1528:AA5596=""Neighbor""))) / STDEV(FILTER(R1528:R5596, AA1528:AA5596 =""Neighbor"")), """")"),0.3492599523418009)</f>
        <v>0.3492599523</v>
      </c>
    </row>
    <row r="1529">
      <c r="A1529" s="2" t="s">
        <v>28</v>
      </c>
      <c r="B1529" s="2" t="s">
        <v>6144</v>
      </c>
      <c r="C1529" s="2" t="s">
        <v>6240</v>
      </c>
      <c r="D1529" s="2" t="s">
        <v>6253</v>
      </c>
      <c r="E1529" s="2" t="s">
        <v>6254</v>
      </c>
      <c r="F1529" s="2">
        <v>90.0</v>
      </c>
      <c r="G1529" s="2">
        <v>444.0</v>
      </c>
      <c r="H1529" s="2" t="b">
        <v>1</v>
      </c>
      <c r="I1529" s="2">
        <v>-1.0</v>
      </c>
      <c r="J1529" s="2" t="b">
        <v>0</v>
      </c>
      <c r="K1529" s="2" t="b">
        <v>0</v>
      </c>
      <c r="L1529" s="2" t="b">
        <v>0</v>
      </c>
      <c r="M1529" s="2" t="b">
        <v>0</v>
      </c>
      <c r="N1529" s="2" t="s">
        <v>33</v>
      </c>
      <c r="O1529" s="2">
        <v>45.0</v>
      </c>
      <c r="P1529" s="2">
        <v>11.0</v>
      </c>
      <c r="Q1529" s="2">
        <v>25.0</v>
      </c>
      <c r="R1529" s="2">
        <v>1.0</v>
      </c>
      <c r="S1529" s="3" t="s">
        <v>6255</v>
      </c>
      <c r="T1529" s="2" t="s">
        <v>6256</v>
      </c>
      <c r="Y1529" s="4" t="str">
        <f>IFERROR(__xludf.DUMMYFUNCTION("""COMPUTED_VALUE"""),"6.8534099")</f>
        <v>6.8534099</v>
      </c>
      <c r="Z1529" s="4" t="str">
        <f>IFERROR(__xludf.DUMMYFUNCTION("""COMPUTED_VALUE"""),"3.9954969")</f>
        <v>3.9954969</v>
      </c>
      <c r="AA1529" s="4" t="str">
        <f t="shared" si="1"/>
        <v>Neighbor</v>
      </c>
      <c r="AC1529" s="4">
        <f>IFERROR(__xludf.DUMMYFUNCTION("IFERROR(ABS(O1529-AVERAGE(FILTER(O1529:O5597,AA1529:AA5597=""Neighbor""))) / STDEV(FILTER(O1529:O5597, AA1529:AA5597 =""Neighbor"")), """")"),0.3802587365659668)</f>
        <v>0.3802587366</v>
      </c>
      <c r="AD1529" s="4">
        <f>IFERROR(__xludf.DUMMYFUNCTION("IFERROR(ABS(P1529-AVERAGE(FILTER(O1529:P5597,AA1529:AA5597=""Neighbor""))) / STDEV(FILTER(P1529:P5597, AA1529:AA5597 =""Neighbor"")), """")"),1.2391878200077329)</f>
        <v>1.23918782</v>
      </c>
      <c r="AE1529" s="2">
        <f>IFERROR(__xludf.DUMMYFUNCTION("IFERROR(ABS(Q1529-AVERAGE(FILTER(Q1529:Q5597,AA1529:AA5597=""Neighbor""))) / STDEV(FILTER(Q1529:Q5597, AA1529:AA5597 =""Neighbor"")), """")"),0.002941105215028399)</f>
        <v>0.002941105215</v>
      </c>
      <c r="AF1529" s="2">
        <f>IFERROR(__xludf.DUMMYFUNCTION("IFERROR(ABS(R1529-AVERAGE(FILTER(R1529:R5597,AA1529:AA5597=""Neighbor""))) / STDEV(FILTER(R1529:R5597, AA1529:AA5597 =""Neighbor"")), """")"),0.825455506066452)</f>
        <v>0.8254555061</v>
      </c>
    </row>
    <row r="1530">
      <c r="A1530" s="2" t="s">
        <v>28</v>
      </c>
      <c r="B1530" s="2" t="s">
        <v>6144</v>
      </c>
      <c r="C1530" s="2" t="s">
        <v>6240</v>
      </c>
      <c r="D1530" s="2" t="s">
        <v>6257</v>
      </c>
      <c r="E1530" s="2" t="s">
        <v>6258</v>
      </c>
      <c r="F1530" s="2">
        <v>85.0</v>
      </c>
      <c r="G1530" s="2">
        <v>297.0</v>
      </c>
      <c r="H1530" s="2" t="b">
        <v>1</v>
      </c>
      <c r="I1530" s="2">
        <v>-1.0</v>
      </c>
      <c r="J1530" s="2" t="b">
        <v>0</v>
      </c>
      <c r="K1530" s="2" t="b">
        <v>0</v>
      </c>
      <c r="L1530" s="2" t="b">
        <v>0</v>
      </c>
      <c r="M1530" s="2" t="b">
        <v>0</v>
      </c>
      <c r="N1530" s="2" t="s">
        <v>33</v>
      </c>
      <c r="O1530" s="2">
        <v>64.0</v>
      </c>
      <c r="P1530" s="2">
        <v>3.0</v>
      </c>
      <c r="Q1530" s="2">
        <v>15.0</v>
      </c>
      <c r="R1530" s="2">
        <v>0.0</v>
      </c>
      <c r="S1530" s="3" t="s">
        <v>6259</v>
      </c>
      <c r="T1530" s="2" t="s">
        <v>6260</v>
      </c>
      <c r="Y1530" s="4" t="str">
        <f>IFERROR(__xludf.DUMMYFUNCTION("""COMPUTED_VALUE"""),"6.8611248")</f>
        <v>6.8611248</v>
      </c>
      <c r="Z1530" s="4" t="str">
        <f>IFERROR(__xludf.DUMMYFUNCTION("""COMPUTED_VALUE"""),"3.9926264")</f>
        <v>3.9926264</v>
      </c>
      <c r="AA1530" s="4" t="str">
        <f t="shared" si="1"/>
        <v>Neighbor</v>
      </c>
      <c r="AC1530" s="4">
        <f>IFERROR(__xludf.DUMMYFUNCTION("IFERROR(ABS(O1530-AVERAGE(FILTER(O1530:O5598,AA1530:AA5598=""Neighbor""))) / STDEV(FILTER(O1530:O5598, AA1530:AA5598 =""Neighbor"")), """")"),0.08871340170580949)</f>
        <v>0.08871340171</v>
      </c>
      <c r="AD1530" s="4">
        <f>IFERROR(__xludf.DUMMYFUNCTION("IFERROR(ABS(P1530-AVERAGE(FILTER(O1530:P5598,AA1530:AA5598=""Neighbor""))) / STDEV(FILTER(P1530:P5598, AA1530:AA5598 =""Neighbor"")), """")"),1.6017625675713332)</f>
        <v>1.601762568</v>
      </c>
      <c r="AE1530" s="2">
        <f>IFERROR(__xludf.DUMMYFUNCTION("IFERROR(ABS(Q1530-AVERAGE(FILTER(Q1530:Q5598,AA1530:AA5598=""Neighbor""))) / STDEV(FILTER(Q1530:Q5598, AA1530:AA5598 =""Neighbor"")), """")"),0.39329023791598233)</f>
        <v>0.3932902379</v>
      </c>
      <c r="AF1530" s="2">
        <f>IFERROR(__xludf.DUMMYFUNCTION("IFERROR(ABS(R1530-AVERAGE(FILTER(R1530:R5598,AA1530:AA5598=""Neighbor""))) / STDEV(FILTER(R1530:R5598, AA1530:AA5598 =""Neighbor"")), """")"),0.34860598426445744)</f>
        <v>0.3486059843</v>
      </c>
    </row>
    <row r="1531">
      <c r="A1531" s="2" t="s">
        <v>28</v>
      </c>
      <c r="B1531" s="2" t="s">
        <v>6144</v>
      </c>
      <c r="C1531" s="2" t="s">
        <v>6240</v>
      </c>
      <c r="D1531" s="2" t="s">
        <v>6261</v>
      </c>
      <c r="E1531" s="2" t="s">
        <v>6262</v>
      </c>
      <c r="F1531" s="2">
        <v>74.0</v>
      </c>
      <c r="G1531" s="2">
        <v>408.0</v>
      </c>
      <c r="H1531" s="2" t="b">
        <v>1</v>
      </c>
      <c r="I1531" s="2">
        <v>-1.0</v>
      </c>
      <c r="J1531" s="2" t="b">
        <v>0</v>
      </c>
      <c r="K1531" s="2" t="b">
        <v>1</v>
      </c>
      <c r="L1531" s="2" t="b">
        <v>0</v>
      </c>
      <c r="M1531" s="2" t="b">
        <v>0</v>
      </c>
      <c r="N1531" s="2" t="s">
        <v>33</v>
      </c>
      <c r="O1531" s="2">
        <v>0.0</v>
      </c>
      <c r="P1531" s="2">
        <v>0.0</v>
      </c>
      <c r="Q1531" s="2">
        <v>0.0</v>
      </c>
      <c r="R1531" s="2">
        <v>0.0</v>
      </c>
      <c r="S1531" s="3" t="s">
        <v>6263</v>
      </c>
      <c r="T1531" s="2" t="s">
        <v>6264</v>
      </c>
      <c r="Y1531" s="4" t="str">
        <f>IFERROR(__xludf.DUMMYFUNCTION("""COMPUTED_VALUE"""),"6.8534099")</f>
        <v>6.8534099</v>
      </c>
      <c r="Z1531" s="4" t="str">
        <f>IFERROR(__xludf.DUMMYFUNCTION("""COMPUTED_VALUE"""),"3.9954969")</f>
        <v>3.9954969</v>
      </c>
      <c r="AA1531" s="4" t="str">
        <f t="shared" si="1"/>
        <v>Not Neighbor</v>
      </c>
      <c r="AC1531" s="4">
        <f>IFERROR(__xludf.DUMMYFUNCTION("IFERROR(ABS(O1531-AVERAGE(FILTER(O1531:O5599,AA1531:AA5599=""Neighbor""))) / STDEV(FILTER(O1531:O5599, AA1531:AA5599 =""Neighbor"")), """")"),1.4908894830804957)</f>
        <v>1.490889483</v>
      </c>
      <c r="AD1531" s="4">
        <f>IFERROR(__xludf.DUMMYFUNCTION("IFERROR(ABS(P1531-AVERAGE(FILTER(O1531:P5599,AA1531:AA5599=""Neighbor""))) / STDEV(FILTER(P1531:P5599, AA1531:AA5599 =""Neighbor"")), """")"),1.737448783331854)</f>
        <v>1.737448783</v>
      </c>
      <c r="AE1531" s="2">
        <f>IFERROR(__xludf.DUMMYFUNCTION("IFERROR(ABS(Q1531-AVERAGE(FILTER(Q1531:Q5599,AA1531:AA5599=""Neighbor""))) / STDEV(FILTER(Q1531:Q5599, AA1531:AA5599 =""Neighbor"")), """")"),0.9787921145682867)</f>
        <v>0.9787921146</v>
      </c>
      <c r="AF1531" s="2">
        <f>IFERROR(__xludf.DUMMYFUNCTION("IFERROR(ABS(R1531-AVERAGE(FILTER(R1531:R5599,AA1531:AA5599=""Neighbor""))) / STDEV(FILTER(R1531:R5599, AA1531:AA5599 =""Neighbor"")), """")"),0.3487925261901497)</f>
        <v>0.3487925262</v>
      </c>
    </row>
    <row r="1532">
      <c r="A1532" s="2" t="s">
        <v>28</v>
      </c>
      <c r="B1532" s="2" t="s">
        <v>6144</v>
      </c>
      <c r="C1532" s="2" t="s">
        <v>6265</v>
      </c>
      <c r="D1532" s="2" t="s">
        <v>6266</v>
      </c>
      <c r="E1532" s="2" t="s">
        <v>6267</v>
      </c>
      <c r="F1532" s="2">
        <v>143.0</v>
      </c>
      <c r="G1532" s="2">
        <v>543.0</v>
      </c>
      <c r="H1532" s="2" t="b">
        <v>1</v>
      </c>
      <c r="I1532" s="2">
        <v>-1.0</v>
      </c>
      <c r="J1532" s="2" t="b">
        <v>1</v>
      </c>
      <c r="K1532" s="2" t="b">
        <v>1</v>
      </c>
      <c r="L1532" s="2" t="b">
        <v>0</v>
      </c>
      <c r="M1532" s="2" t="b">
        <v>0</v>
      </c>
      <c r="N1532" s="2" t="s">
        <v>33</v>
      </c>
      <c r="O1532" s="2">
        <v>80.0</v>
      </c>
      <c r="P1532" s="2">
        <v>9.0</v>
      </c>
      <c r="Q1532" s="2">
        <v>31.0</v>
      </c>
      <c r="R1532" s="2">
        <v>0.0</v>
      </c>
      <c r="S1532" s="3" t="s">
        <v>6268</v>
      </c>
      <c r="T1532" s="2" t="s">
        <v>6269</v>
      </c>
      <c r="Y1532" s="4" t="str">
        <f>IFERROR(__xludf.DUMMYFUNCTION("""COMPUTED_VALUE"""),"6.8558517")</f>
        <v>6.8558517</v>
      </c>
      <c r="Z1532" s="4" t="str">
        <f>IFERROR(__xludf.DUMMYFUNCTION("""COMPUTED_VALUE"""),"4.0235718")</f>
        <v>4.0235718</v>
      </c>
      <c r="AA1532" s="4" t="str">
        <f t="shared" si="1"/>
        <v>Not Neighbor</v>
      </c>
      <c r="AC1532" s="4">
        <f>IFERROR(__xludf.DUMMYFUNCTION("IFERROR(ABS(O1532-AVERAGE(FILTER(O1532:O5600,AA1532:AA5600=""Neighbor""))) / STDEV(FILTER(O1532:O5600, AA1532:AA5600 =""Neighbor"")), """")"),0.4836674339351792)</f>
        <v>0.4836674339</v>
      </c>
      <c r="AD1532" s="4">
        <f>IFERROR(__xludf.DUMMYFUNCTION("IFERROR(ABS(P1532-AVERAGE(FILTER(O1532:P5600,AA1532:AA5600=""Neighbor""))) / STDEV(FILTER(P1532:P5600, AA1532:AA5600 =""Neighbor"")), """")"),1.3295514333390526)</f>
        <v>1.329551433</v>
      </c>
      <c r="AE1532" s="2">
        <f>IFERROR(__xludf.DUMMYFUNCTION("IFERROR(ABS(Q1532-AVERAGE(FILTER(Q1532:Q5600,AA1532:AA5600=""Neighbor""))) / STDEV(FILTER(Q1532:Q5600, AA1532:AA5600 =""Neighbor"")), """")"),0.2307972725221368)</f>
        <v>0.2307972725</v>
      </c>
      <c r="AF1532" s="2">
        <f>IFERROR(__xludf.DUMMYFUNCTION("IFERROR(ABS(R1532-AVERAGE(FILTER(R1532:R5600,AA1532:AA5600=""Neighbor""))) / STDEV(FILTER(R1532:R5600, AA1532:AA5600 =""Neighbor"")), """")"),0.3487925261901497)</f>
        <v>0.3487925262</v>
      </c>
    </row>
    <row r="1533">
      <c r="A1533" s="2" t="s">
        <v>28</v>
      </c>
      <c r="B1533" s="2" t="s">
        <v>6144</v>
      </c>
      <c r="C1533" s="2" t="s">
        <v>6265</v>
      </c>
      <c r="D1533" s="2" t="s">
        <v>6270</v>
      </c>
      <c r="E1533" s="2" t="s">
        <v>6271</v>
      </c>
      <c r="F1533" s="2">
        <v>78.0</v>
      </c>
      <c r="G1533" s="2">
        <v>388.0</v>
      </c>
      <c r="H1533" s="2" t="b">
        <v>1</v>
      </c>
      <c r="I1533" s="2">
        <v>-1.0</v>
      </c>
      <c r="J1533" s="2" t="b">
        <v>0</v>
      </c>
      <c r="K1533" s="2" t="b">
        <v>0</v>
      </c>
      <c r="L1533" s="2" t="b">
        <v>0</v>
      </c>
      <c r="M1533" s="2" t="b">
        <v>0</v>
      </c>
      <c r="N1533" s="2" t="s">
        <v>33</v>
      </c>
      <c r="O1533" s="2">
        <v>36.0</v>
      </c>
      <c r="P1533" s="2">
        <v>4.0</v>
      </c>
      <c r="Q1533" s="2">
        <v>23.0</v>
      </c>
      <c r="R1533" s="2">
        <v>0.0</v>
      </c>
      <c r="S1533" s="3" t="s">
        <v>6272</v>
      </c>
      <c r="T1533" s="2" t="s">
        <v>6273</v>
      </c>
      <c r="Y1533" s="4" t="str">
        <f>IFERROR(__xludf.DUMMYFUNCTION("""COMPUTED_VALUE"""),"6.8446797")</f>
        <v>6.8446797</v>
      </c>
      <c r="Z1533" s="4" t="str">
        <f>IFERROR(__xludf.DUMMYFUNCTION("""COMPUTED_VALUE"""),"3.9999623")</f>
        <v>3.9999623</v>
      </c>
      <c r="AA1533" s="4" t="str">
        <f t="shared" si="1"/>
        <v>Not Neighbor</v>
      </c>
      <c r="AC1533" s="4">
        <f>IFERROR(__xludf.DUMMYFUNCTION("IFERROR(ABS(O1533-AVERAGE(FILTER(O1533:O5601,AA1533:AA5601=""Neighbor""))) / STDEV(FILTER(O1533:O5601, AA1533:AA5601 =""Neighbor"")), """")"),0.602338870423442)</f>
        <v>0.6023388704</v>
      </c>
      <c r="AD1533" s="4">
        <f>IFERROR(__xludf.DUMMYFUNCTION("IFERROR(ABS(P1533-AVERAGE(FILTER(O1533:P5601,AA1533:AA5601=""Neighbor""))) / STDEV(FILTER(P1533:P5601, AA1533:AA5601 =""Neighbor"")), """")"),1.5561610722239423)</f>
        <v>1.556161072</v>
      </c>
      <c r="AE1533" s="2">
        <f>IFERROR(__xludf.DUMMYFUNCTION("IFERROR(ABS(Q1533-AVERAGE(FILTER(Q1533:Q5601,AA1533:AA5601=""Neighbor""))) / STDEV(FILTER(Q1533:Q5601, AA1533:AA5601 =""Neighbor"")), """")"),0.08135482737216604)</f>
        <v>0.08135482737</v>
      </c>
      <c r="AF1533" s="2">
        <f>IFERROR(__xludf.DUMMYFUNCTION("IFERROR(ABS(R1533-AVERAGE(FILTER(R1533:R5601,AA1533:AA5601=""Neighbor""))) / STDEV(FILTER(R1533:R5601, AA1533:AA5601 =""Neighbor"")), """")"),0.3487925261901497)</f>
        <v>0.3487925262</v>
      </c>
    </row>
    <row r="1534">
      <c r="A1534" s="2" t="s">
        <v>28</v>
      </c>
      <c r="B1534" s="2" t="s">
        <v>6144</v>
      </c>
      <c r="C1534" s="2" t="s">
        <v>6265</v>
      </c>
      <c r="D1534" s="2" t="s">
        <v>6274</v>
      </c>
      <c r="E1534" s="2" t="s">
        <v>6275</v>
      </c>
      <c r="F1534" s="2">
        <v>45.0</v>
      </c>
      <c r="G1534" s="2">
        <v>306.0</v>
      </c>
      <c r="H1534" s="2" t="b">
        <v>1</v>
      </c>
      <c r="I1534" s="2">
        <v>-1.0</v>
      </c>
      <c r="J1534" s="2" t="b">
        <v>0</v>
      </c>
      <c r="K1534" s="2" t="b">
        <v>0</v>
      </c>
      <c r="L1534" s="2" t="b">
        <v>0</v>
      </c>
      <c r="M1534" s="2" t="b">
        <v>0</v>
      </c>
      <c r="N1534" s="2" t="s">
        <v>33</v>
      </c>
      <c r="O1534" s="2">
        <v>25.0</v>
      </c>
      <c r="P1534" s="2">
        <v>1.0</v>
      </c>
      <c r="Q1534" s="2">
        <v>17.0</v>
      </c>
      <c r="R1534" s="2">
        <v>0.0</v>
      </c>
      <c r="S1534" s="3" t="s">
        <v>6276</v>
      </c>
      <c r="T1534" s="2" t="s">
        <v>6277</v>
      </c>
      <c r="Y1534" s="4" t="str">
        <f>IFERROR(__xludf.DUMMYFUNCTION("""COMPUTED_VALUE"""),"6.8558517")</f>
        <v>6.8558517</v>
      </c>
      <c r="Z1534" s="4" t="str">
        <f>IFERROR(__xludf.DUMMYFUNCTION("""COMPUTED_VALUE"""),"4.0235718")</f>
        <v>4.0235718</v>
      </c>
      <c r="AA1534" s="4" t="str">
        <f t="shared" si="1"/>
        <v>Not Neighbor</v>
      </c>
      <c r="AC1534" s="4">
        <f>IFERROR(__xludf.DUMMYFUNCTION("IFERROR(ABS(O1534-AVERAGE(FILTER(O1534:O5602,AA1534:AA5602=""Neighbor""))) / STDEV(FILTER(O1534:O5602, AA1534:AA5602 =""Neighbor"")), """")"),0.8738404465130973)</f>
        <v>0.8738404465</v>
      </c>
      <c r="AD1534" s="4">
        <f>IFERROR(__xludf.DUMMYFUNCTION("IFERROR(ABS(P1534-AVERAGE(FILTER(O1534:P5602,AA1534:AA5602=""Neighbor""))) / STDEV(FILTER(P1534:P5602, AA1534:AA5602 =""Neighbor"")), """")"),1.6921268555548759)</f>
        <v>1.692126856</v>
      </c>
      <c r="AE1534" s="2">
        <f>IFERROR(__xludf.DUMMYFUNCTION("IFERROR(ABS(Q1534-AVERAGE(FILTER(Q1534:Q5602,AA1534:AA5602=""Neighbor""))) / STDEV(FILTER(Q1534:Q5602, AA1534:AA5602 =""Neighbor"")), """")"),0.31546890229289315)</f>
        <v>0.3154689023</v>
      </c>
      <c r="AF1534" s="2">
        <f>IFERROR(__xludf.DUMMYFUNCTION("IFERROR(ABS(R1534-AVERAGE(FILTER(R1534:R5602,AA1534:AA5602=""Neighbor""))) / STDEV(FILTER(R1534:R5602, AA1534:AA5602 =""Neighbor"")), """")"),0.3487925261901497)</f>
        <v>0.3487925262</v>
      </c>
    </row>
    <row r="1535">
      <c r="A1535" s="2" t="s">
        <v>28</v>
      </c>
      <c r="B1535" s="2" t="s">
        <v>6144</v>
      </c>
      <c r="C1535" s="2" t="s">
        <v>6265</v>
      </c>
      <c r="D1535" s="2" t="s">
        <v>6278</v>
      </c>
      <c r="E1535" s="2" t="s">
        <v>6279</v>
      </c>
      <c r="F1535" s="2">
        <v>64.0</v>
      </c>
      <c r="G1535" s="2">
        <v>322.0</v>
      </c>
      <c r="H1535" s="2" t="b">
        <v>1</v>
      </c>
      <c r="I1535" s="2">
        <v>-1.0</v>
      </c>
      <c r="J1535" s="2" t="b">
        <v>0</v>
      </c>
      <c r="K1535" s="2" t="b">
        <v>0</v>
      </c>
      <c r="L1535" s="2" t="b">
        <v>0</v>
      </c>
      <c r="M1535" s="2" t="b">
        <v>0</v>
      </c>
      <c r="N1535" s="2" t="s">
        <v>33</v>
      </c>
      <c r="O1535" s="2">
        <v>44.0</v>
      </c>
      <c r="P1535" s="2">
        <v>1.0</v>
      </c>
      <c r="Q1535" s="2">
        <v>16.0</v>
      </c>
      <c r="R1535" s="2">
        <v>0.0</v>
      </c>
      <c r="S1535" s="3" t="s">
        <v>6280</v>
      </c>
      <c r="T1535" s="2" t="s">
        <v>6281</v>
      </c>
      <c r="Y1535" s="4" t="str">
        <f>IFERROR(__xludf.DUMMYFUNCTION("""COMPUTED_VALUE"""),"6.8695867")</f>
        <v>6.8695867</v>
      </c>
      <c r="Z1535" s="4" t="str">
        <f>IFERROR(__xludf.DUMMYFUNCTION("""COMPUTED_VALUE"""),"4.0206998")</f>
        <v>4.0206998</v>
      </c>
      <c r="AA1535" s="4" t="str">
        <f t="shared" si="1"/>
        <v>Not Neighbor</v>
      </c>
      <c r="AC1535" s="4">
        <f>IFERROR(__xludf.DUMMYFUNCTION("IFERROR(ABS(O1535-AVERAGE(FILTER(O1535:O5603,AA1535:AA5603=""Neighbor""))) / STDEV(FILTER(O1535:O5603, AA1535:AA5603 =""Neighbor"")), """")"),0.40488317872187457)</f>
        <v>0.4048831787</v>
      </c>
      <c r="AD1535" s="4">
        <f>IFERROR(__xludf.DUMMYFUNCTION("IFERROR(ABS(P1535-AVERAGE(FILTER(O1535:P5603,AA1535:AA5603=""Neighbor""))) / STDEV(FILTER(P1535:P5603, AA1535:AA5603 =""Neighbor"")), """")"),1.6921268555548759)</f>
        <v>1.692126856</v>
      </c>
      <c r="AE1535" s="2">
        <f>IFERROR(__xludf.DUMMYFUNCTION("IFERROR(ABS(Q1535-AVERAGE(FILTER(Q1535:Q5603,AA1535:AA5603=""Neighbor""))) / STDEV(FILTER(Q1535:Q5603, AA1535:AA5603 =""Neighbor"")), """")"),0.354487914779681)</f>
        <v>0.3544879148</v>
      </c>
      <c r="AF1535" s="2">
        <f>IFERROR(__xludf.DUMMYFUNCTION("IFERROR(ABS(R1535-AVERAGE(FILTER(R1535:R5603,AA1535:AA5603=""Neighbor""))) / STDEV(FILTER(R1535:R5603, AA1535:AA5603 =""Neighbor"")), """")"),0.3487925261901497)</f>
        <v>0.3487925262</v>
      </c>
    </row>
    <row r="1536">
      <c r="A1536" s="2" t="s">
        <v>28</v>
      </c>
      <c r="B1536" s="2" t="s">
        <v>6144</v>
      </c>
      <c r="C1536" s="2" t="s">
        <v>6265</v>
      </c>
      <c r="D1536" s="2" t="s">
        <v>6282</v>
      </c>
      <c r="E1536" s="2" t="s">
        <v>6283</v>
      </c>
      <c r="F1536" s="2">
        <v>49.0</v>
      </c>
      <c r="G1536" s="2">
        <v>243.0</v>
      </c>
      <c r="H1536" s="2" t="b">
        <v>1</v>
      </c>
      <c r="I1536" s="2">
        <v>-1.0</v>
      </c>
      <c r="J1536" s="2" t="b">
        <v>0</v>
      </c>
      <c r="K1536" s="2" t="b">
        <v>1</v>
      </c>
      <c r="L1536" s="2" t="b">
        <v>0</v>
      </c>
      <c r="M1536" s="2" t="b">
        <v>0</v>
      </c>
      <c r="N1536" s="2" t="s">
        <v>33</v>
      </c>
      <c r="O1536" s="2">
        <v>35.0</v>
      </c>
      <c r="P1536" s="2">
        <v>0.0</v>
      </c>
      <c r="Q1536" s="2">
        <v>10.0</v>
      </c>
      <c r="R1536" s="2">
        <v>0.0</v>
      </c>
      <c r="S1536" s="3" t="s">
        <v>6284</v>
      </c>
      <c r="T1536" s="2" t="s">
        <v>6285</v>
      </c>
      <c r="Y1536" s="4" t="str">
        <f>IFERROR(__xludf.DUMMYFUNCTION("""COMPUTED_VALUE"""),"6.8558517")</f>
        <v>6.8558517</v>
      </c>
      <c r="Z1536" s="4" t="str">
        <f>IFERROR(__xludf.DUMMYFUNCTION("""COMPUTED_VALUE"""),"4.0235718")</f>
        <v>4.0235718</v>
      </c>
      <c r="AA1536" s="4" t="str">
        <f t="shared" si="1"/>
        <v>Neighbor</v>
      </c>
      <c r="AC1536" s="4">
        <f>IFERROR(__xludf.DUMMYFUNCTION("IFERROR(ABS(O1536-AVERAGE(FILTER(O1536:O5604,AA1536:AA5604=""Neighbor""))) / STDEV(FILTER(O1536:O5604, AA1536:AA5604 =""Neighbor"")), """")"),0.627020831886138)</f>
        <v>0.6270208319</v>
      </c>
      <c r="AD1536" s="4">
        <f>IFERROR(__xludf.DUMMYFUNCTION("IFERROR(ABS(P1536-AVERAGE(FILTER(O1536:P5604,AA1536:AA5604=""Neighbor""))) / STDEV(FILTER(P1536:P5604, AA1536:AA5604 =""Neighbor"")), """")"),1.737448783331854)</f>
        <v>1.737448783</v>
      </c>
      <c r="AE1536" s="2">
        <f>IFERROR(__xludf.DUMMYFUNCTION("IFERROR(ABS(Q1536-AVERAGE(FILTER(Q1536:Q5604,AA1536:AA5604=""Neighbor""))) / STDEV(FILTER(Q1536:Q5604, AA1536:AA5604 =""Neighbor"")), """")"),0.5886019897004081)</f>
        <v>0.5886019897</v>
      </c>
      <c r="AF1536" s="2">
        <f>IFERROR(__xludf.DUMMYFUNCTION("IFERROR(ABS(R1536-AVERAGE(FILTER(R1536:R5604,AA1536:AA5604=""Neighbor""))) / STDEV(FILTER(R1536:R5604, AA1536:AA5604 =""Neighbor"")), """")"),0.3487925261901497)</f>
        <v>0.3487925262</v>
      </c>
    </row>
    <row r="1537">
      <c r="A1537" s="2" t="s">
        <v>28</v>
      </c>
      <c r="B1537" s="2" t="s">
        <v>6144</v>
      </c>
      <c r="C1537" s="2" t="s">
        <v>6265</v>
      </c>
      <c r="D1537" s="2" t="s">
        <v>6286</v>
      </c>
      <c r="E1537" s="2" t="s">
        <v>6287</v>
      </c>
      <c r="F1537" s="2">
        <v>46.0</v>
      </c>
      <c r="G1537" s="2">
        <v>343.0</v>
      </c>
      <c r="H1537" s="2" t="b">
        <v>1</v>
      </c>
      <c r="I1537" s="2">
        <v>-1.0</v>
      </c>
      <c r="J1537" s="2" t="b">
        <v>0</v>
      </c>
      <c r="K1537" s="2" t="b">
        <v>0</v>
      </c>
      <c r="L1537" s="2" t="b">
        <v>0</v>
      </c>
      <c r="M1537" s="2" t="b">
        <v>0</v>
      </c>
      <c r="N1537" s="2" t="s">
        <v>33</v>
      </c>
      <c r="O1537" s="2">
        <v>29.0</v>
      </c>
      <c r="P1537" s="2">
        <v>2.0</v>
      </c>
      <c r="Q1537" s="2">
        <v>10.0</v>
      </c>
      <c r="R1537" s="2">
        <v>0.0</v>
      </c>
      <c r="S1537" s="3" t="s">
        <v>6288</v>
      </c>
      <c r="T1537" s="2" t="s">
        <v>6289</v>
      </c>
      <c r="Y1537" s="4" t="str">
        <f>IFERROR(__xludf.DUMMYFUNCTION("""COMPUTED_VALUE"""),"6.8558517")</f>
        <v>6.8558517</v>
      </c>
      <c r="Z1537" s="4" t="str">
        <f>IFERROR(__xludf.DUMMYFUNCTION("""COMPUTED_VALUE"""),"4.0235718")</f>
        <v>4.0235718</v>
      </c>
      <c r="AA1537" s="4" t="str">
        <f t="shared" si="1"/>
        <v>Not Neighbor</v>
      </c>
      <c r="AC1537" s="4">
        <f>IFERROR(__xludf.DUMMYFUNCTION("IFERROR(ABS(O1537-AVERAGE(FILTER(O1537:O5605,AA1537:AA5605=""Neighbor""))) / STDEV(FILTER(O1537:O5605, AA1537:AA5605 =""Neighbor"")), """")"),0.7754870514386293)</f>
        <v>0.7754870514</v>
      </c>
      <c r="AD1537" s="4">
        <f>IFERROR(__xludf.DUMMYFUNCTION("IFERROR(ABS(P1537-AVERAGE(FILTER(O1537:P5605,AA1537:AA5605=""Neighbor""))) / STDEV(FILTER(P1537:P5605, AA1537:AA5605 =""Neighbor"")), """")"),1.6473484022334386)</f>
        <v>1.647348402</v>
      </c>
      <c r="AE1537" s="2">
        <f>IFERROR(__xludf.DUMMYFUNCTION("IFERROR(ABS(Q1537-AVERAGE(FILTER(Q1537:Q5605,AA1537:AA5605=""Neighbor""))) / STDEV(FILTER(Q1537:Q5605, AA1537:AA5605 =""Neighbor"")), """")"),0.5889806532312576)</f>
        <v>0.5889806532</v>
      </c>
      <c r="AF1537" s="2">
        <f>IFERROR(__xludf.DUMMYFUNCTION("IFERROR(ABS(R1537-AVERAGE(FILTER(R1537:R5605,AA1537:AA5605=""Neighbor""))) / STDEV(FILTER(R1537:R5605, AA1537:AA5605 =""Neighbor"")), """")"),0.34897936793384754)</f>
        <v>0.3489793679</v>
      </c>
    </row>
    <row r="1538">
      <c r="A1538" s="2" t="s">
        <v>28</v>
      </c>
      <c r="B1538" s="2" t="s">
        <v>6144</v>
      </c>
      <c r="C1538" s="2" t="s">
        <v>6290</v>
      </c>
      <c r="D1538" s="2" t="s">
        <v>6291</v>
      </c>
      <c r="E1538" s="2" t="s">
        <v>6292</v>
      </c>
      <c r="F1538" s="2">
        <v>93.0</v>
      </c>
      <c r="G1538" s="2">
        <v>441.0</v>
      </c>
      <c r="H1538" s="2" t="b">
        <v>1</v>
      </c>
      <c r="I1538" s="2">
        <v>-1.0</v>
      </c>
      <c r="J1538" s="2" t="b">
        <v>0</v>
      </c>
      <c r="K1538" s="2" t="b">
        <v>0</v>
      </c>
      <c r="L1538" s="2" t="b">
        <v>0</v>
      </c>
      <c r="M1538" s="2" t="b">
        <v>0</v>
      </c>
      <c r="N1538" s="2" t="s">
        <v>33</v>
      </c>
      <c r="O1538" s="2">
        <v>70.0</v>
      </c>
      <c r="P1538" s="2">
        <v>2.0</v>
      </c>
      <c r="Q1538" s="2">
        <v>19.0</v>
      </c>
      <c r="R1538" s="2">
        <v>0.0</v>
      </c>
      <c r="S1538" s="3" t="s">
        <v>6293</v>
      </c>
      <c r="T1538" s="2" t="s">
        <v>6294</v>
      </c>
      <c r="Y1538" s="4" t="str">
        <f>IFERROR(__xludf.DUMMYFUNCTION("""COMPUTED_VALUE"""),"6.8891467")</f>
        <v>6.8891467</v>
      </c>
      <c r="Z1538" s="4" t="str">
        <f>IFERROR(__xludf.DUMMYFUNCTION("""COMPUTED_VALUE"""),"3.9851616")</f>
        <v>3.9851616</v>
      </c>
      <c r="AA1538" s="4" t="str">
        <f t="shared" si="1"/>
        <v>Not Neighbor</v>
      </c>
      <c r="AC1538" s="4">
        <f>IFERROR(__xludf.DUMMYFUNCTION("IFERROR(ABS(O1538-AVERAGE(FILTER(O1538:O5606,AA1538:AA5606=""Neighbor""))) / STDEV(FILTER(O1538:O5606, AA1538:AA5606 =""Neighbor"")), """")"),0.2361798490905747)</f>
        <v>0.2361798491</v>
      </c>
      <c r="AD1538" s="4">
        <f>IFERROR(__xludf.DUMMYFUNCTION("IFERROR(ABS(P1538-AVERAGE(FILTER(O1538:P5606,AA1538:AA5606=""Neighbor""))) / STDEV(FILTER(P1538:P5606, AA1538:AA5606 =""Neighbor"")), """")"),1.6473484022334386)</f>
        <v>1.647348402</v>
      </c>
      <c r="AE1538" s="2">
        <f>IFERROR(__xludf.DUMMYFUNCTION("IFERROR(ABS(Q1538-AVERAGE(FILTER(Q1538:Q5606,AA1538:AA5606=""Neighbor""))) / STDEV(FILTER(Q1538:Q5606, AA1538:AA5606 =""Neighbor"")), """")"),0.23791924576519077)</f>
        <v>0.2379192458</v>
      </c>
      <c r="AF1538" s="2">
        <f>IFERROR(__xludf.DUMMYFUNCTION("IFERROR(ABS(R1538-AVERAGE(FILTER(R1538:R5606,AA1538:AA5606=""Neighbor""))) / STDEV(FILTER(R1538:R5606, AA1538:AA5606 =""Neighbor"")), """")"),0.34897936793384754)</f>
        <v>0.3489793679</v>
      </c>
    </row>
    <row r="1539">
      <c r="A1539" s="2" t="s">
        <v>28</v>
      </c>
      <c r="B1539" s="2" t="s">
        <v>6144</v>
      </c>
      <c r="C1539" s="2" t="s">
        <v>6290</v>
      </c>
      <c r="D1539" s="2" t="s">
        <v>6295</v>
      </c>
      <c r="E1539" s="2" t="s">
        <v>6296</v>
      </c>
      <c r="F1539" s="2">
        <v>180.0</v>
      </c>
      <c r="G1539" s="2">
        <v>662.0</v>
      </c>
      <c r="H1539" s="2" t="b">
        <v>1</v>
      </c>
      <c r="I1539" s="2">
        <v>-1.0</v>
      </c>
      <c r="J1539" s="2" t="b">
        <v>0</v>
      </c>
      <c r="K1539" s="2" t="b">
        <v>0</v>
      </c>
      <c r="L1539" s="2" t="b">
        <v>0</v>
      </c>
      <c r="M1539" s="2" t="b">
        <v>0</v>
      </c>
      <c r="N1539" s="2" t="s">
        <v>33</v>
      </c>
      <c r="O1539" s="2">
        <v>112.0</v>
      </c>
      <c r="P1539" s="2">
        <v>25.0</v>
      </c>
      <c r="Q1539" s="2">
        <v>33.0</v>
      </c>
      <c r="R1539" s="2">
        <v>1.0</v>
      </c>
      <c r="S1539" s="3" t="s">
        <v>6297</v>
      </c>
      <c r="T1539" s="2" t="s">
        <v>6298</v>
      </c>
      <c r="Y1539" s="4" t="str">
        <f>IFERROR(__xludf.DUMMYFUNCTION("""COMPUTED_VALUE"""),"6.8662441")</f>
        <v>6.8662441</v>
      </c>
      <c r="Z1539" s="4" t="str">
        <f>IFERROR(__xludf.DUMMYFUNCTION("""COMPUTED_VALUE"""),"3.9691144")</f>
        <v>3.9691144</v>
      </c>
      <c r="AA1539" s="4" t="str">
        <f t="shared" si="1"/>
        <v>Not Neighbor</v>
      </c>
      <c r="AC1539" s="4">
        <f>IFERROR(__xludf.DUMMYFUNCTION("IFERROR(ABS(O1539-AVERAGE(FILTER(O1539:O5607,AA1539:AA5607=""Neighbor""))) / STDEV(FILTER(O1539:O5607, AA1539:AA5607 =""Neighbor"")), """")"),1.2725215520717106)</f>
        <v>1.272521552</v>
      </c>
      <c r="AD1539" s="4">
        <f>IFERROR(__xludf.DUMMYFUNCTION("IFERROR(ABS(P1539-AVERAGE(FILTER(O1539:P5607,AA1539:AA5607=""Neighbor""))) / STDEV(FILTER(P1539:P5607, AA1539:AA5607 =""Neighbor"")), """")"),0.6051713784369711)</f>
        <v>0.6051713784</v>
      </c>
      <c r="AE1539" s="2">
        <f>IFERROR(__xludf.DUMMYFUNCTION("IFERROR(ABS(Q1539-AVERAGE(FILTER(Q1539:Q5607,AA1539:AA5607=""Neighbor""))) / STDEV(FILTER(Q1539:Q5607, AA1539:AA5607 =""Neighbor"")), """")"),0.30817627695980204)</f>
        <v>0.308176277</v>
      </c>
      <c r="AF1539" s="2">
        <f>IFERROR(__xludf.DUMMYFUNCTION("IFERROR(ABS(R1539-AVERAGE(FILTER(R1539:R5607,AA1539:AA5607=""Neighbor""))) / STDEV(FILTER(R1539:R5607, AA1539:AA5607 =""Neighbor"")), """")"),0.8247583132841733)</f>
        <v>0.8247583133</v>
      </c>
    </row>
    <row r="1540">
      <c r="A1540" s="2" t="s">
        <v>28</v>
      </c>
      <c r="B1540" s="2" t="s">
        <v>6144</v>
      </c>
      <c r="C1540" s="2" t="s">
        <v>6290</v>
      </c>
      <c r="D1540" s="2" t="s">
        <v>6299</v>
      </c>
      <c r="E1540" s="2" t="s">
        <v>6300</v>
      </c>
      <c r="F1540" s="2">
        <v>78.0</v>
      </c>
      <c r="G1540" s="2">
        <v>331.0</v>
      </c>
      <c r="H1540" s="2" t="b">
        <v>1</v>
      </c>
      <c r="I1540" s="2">
        <v>-1.0</v>
      </c>
      <c r="J1540" s="2" t="b">
        <v>0</v>
      </c>
      <c r="K1540" s="2" t="b">
        <v>0</v>
      </c>
      <c r="L1540" s="2" t="b">
        <v>0</v>
      </c>
      <c r="M1540" s="2" t="b">
        <v>0</v>
      </c>
      <c r="N1540" s="2" t="s">
        <v>33</v>
      </c>
      <c r="O1540" s="2">
        <v>45.0</v>
      </c>
      <c r="P1540" s="2">
        <v>8.0</v>
      </c>
      <c r="Q1540" s="2">
        <v>23.0</v>
      </c>
      <c r="R1540" s="2">
        <v>0.0</v>
      </c>
      <c r="S1540" s="3" t="s">
        <v>6301</v>
      </c>
      <c r="T1540" s="2" t="s">
        <v>6302</v>
      </c>
      <c r="Y1540" s="4" t="str">
        <f>IFERROR(__xludf.DUMMYFUNCTION("""COMPUTED_VALUE"""),"6.8776795")</f>
        <v>6.8776795</v>
      </c>
      <c r="Z1540" s="4" t="str">
        <f>IFERROR(__xludf.DUMMYFUNCTION("""COMPUTED_VALUE"""),"3.9725378")</f>
        <v>3.9725378</v>
      </c>
      <c r="AA1540" s="4" t="str">
        <f t="shared" si="1"/>
        <v>Not Neighbor</v>
      </c>
      <c r="AC1540" s="4">
        <f>IFERROR(__xludf.DUMMYFUNCTION("IFERROR(ABS(O1540-AVERAGE(FILTER(O1540:O5608,AA1540:AA5608=""Neighbor""))) / STDEV(FILTER(O1540:O5608, AA1540:AA5608 =""Neighbor"")), """")"),0.3806902122077204)</f>
        <v>0.3806902122</v>
      </c>
      <c r="AD1540" s="4">
        <f>IFERROR(__xludf.DUMMYFUNCTION("IFERROR(ABS(P1540-AVERAGE(FILTER(O1540:P5608,AA1540:AA5608=""Neighbor""))) / STDEV(FILTER(P1540:P5608, AA1540:AA5608 =""Neighbor"")), """")"),1.3754761351560991)</f>
        <v>1.375476135</v>
      </c>
      <c r="AE1540" s="2">
        <f>IFERROR(__xludf.DUMMYFUNCTION("IFERROR(ABS(Q1540-AVERAGE(FILTER(Q1540:Q5608,AA1540:AA5608=""Neighbor""))) / STDEV(FILTER(Q1540:Q5608, AA1540:AA5608 =""Neighbor"")), """")"),0.08189195355804997)</f>
        <v>0.08189195356</v>
      </c>
      <c r="AF1540" s="2">
        <f>IFERROR(__xludf.DUMMYFUNCTION("IFERROR(ABS(R1540-AVERAGE(FILTER(R1540:R5608,AA1540:AA5608=""Neighbor""))) / STDEV(FILTER(R1540:R5608, AA1540:AA5608 =""Neighbor"")), """")"),0.34897936793384754)</f>
        <v>0.3489793679</v>
      </c>
    </row>
    <row r="1541">
      <c r="A1541" s="2" t="s">
        <v>28</v>
      </c>
      <c r="B1541" s="2" t="s">
        <v>6144</v>
      </c>
      <c r="C1541" s="2" t="s">
        <v>6290</v>
      </c>
      <c r="D1541" s="2" t="s">
        <v>6303</v>
      </c>
      <c r="E1541" s="2" t="s">
        <v>6304</v>
      </c>
      <c r="F1541" s="2">
        <v>89.0</v>
      </c>
      <c r="G1541" s="2">
        <v>451.0</v>
      </c>
      <c r="H1541" s="2" t="b">
        <v>1</v>
      </c>
      <c r="I1541" s="2">
        <v>-1.0</v>
      </c>
      <c r="J1541" s="2" t="b">
        <v>0</v>
      </c>
      <c r="K1541" s="2" t="b">
        <v>1</v>
      </c>
      <c r="L1541" s="2" t="b">
        <v>0</v>
      </c>
      <c r="M1541" s="2" t="b">
        <v>0</v>
      </c>
      <c r="N1541" s="2" t="s">
        <v>33</v>
      </c>
      <c r="O1541" s="2">
        <v>48.0</v>
      </c>
      <c r="P1541" s="2">
        <v>9.0</v>
      </c>
      <c r="Q1541" s="2">
        <v>23.0</v>
      </c>
      <c r="R1541" s="2">
        <v>0.0</v>
      </c>
      <c r="S1541" s="3" t="s">
        <v>6305</v>
      </c>
      <c r="T1541" s="2" t="s">
        <v>6306</v>
      </c>
      <c r="Y1541" s="4" t="str">
        <f>IFERROR(__xludf.DUMMYFUNCTION("""COMPUTED_VALUE"""),"6.9051274")</f>
        <v>6.9051274</v>
      </c>
      <c r="Z1541" s="4" t="str">
        <f>IFERROR(__xludf.DUMMYFUNCTION("""COMPUTED_VALUE"""),"3.9911912")</f>
        <v>3.9911912</v>
      </c>
      <c r="AA1541" s="4" t="str">
        <f t="shared" si="1"/>
        <v>Not Neighbor</v>
      </c>
      <c r="AC1541" s="4">
        <f>IFERROR(__xludf.DUMMYFUNCTION("IFERROR(ABS(O1541-AVERAGE(FILTER(O1541:O5609,AA1541:AA5609=""Neighbor""))) / STDEV(FILTER(O1541:O5609, AA1541:AA5609 =""Neighbor"")), """")"),0.306665804851925)</f>
        <v>0.3066658049</v>
      </c>
      <c r="AD1541" s="4">
        <f>IFERROR(__xludf.DUMMYFUNCTION("IFERROR(ABS(P1541-AVERAGE(FILTER(O1541:P5609,AA1541:AA5609=""Neighbor""))) / STDEV(FILTER(P1541:P5609, AA1541:AA5609 =""Neighbor"")), """")"),1.3301640906432093)</f>
        <v>1.330164091</v>
      </c>
      <c r="AE1541" s="2">
        <f>IFERROR(__xludf.DUMMYFUNCTION("IFERROR(ABS(Q1541-AVERAGE(FILTER(Q1541:Q5609,AA1541:AA5609=""Neighbor""))) / STDEV(FILTER(Q1541:Q5609, AA1541:AA5609 =""Neighbor"")), """")"),0.08189195355804997)</f>
        <v>0.08189195356</v>
      </c>
      <c r="AF1541" s="2">
        <f>IFERROR(__xludf.DUMMYFUNCTION("IFERROR(ABS(R1541-AVERAGE(FILTER(R1541:R5609,AA1541:AA5609=""Neighbor""))) / STDEV(FILTER(R1541:R5609, AA1541:AA5609 =""Neighbor"")), """")"),0.34897936793384754)</f>
        <v>0.3489793679</v>
      </c>
    </row>
    <row r="1542">
      <c r="A1542" s="2" t="s">
        <v>28</v>
      </c>
      <c r="B1542" s="2" t="s">
        <v>6144</v>
      </c>
      <c r="C1542" s="2" t="s">
        <v>6290</v>
      </c>
      <c r="D1542" s="2" t="s">
        <v>6307</v>
      </c>
      <c r="E1542" s="2" t="s">
        <v>6308</v>
      </c>
      <c r="F1542" s="2">
        <v>76.0</v>
      </c>
      <c r="G1542" s="2">
        <v>434.0</v>
      </c>
      <c r="H1542" s="2" t="b">
        <v>1</v>
      </c>
      <c r="I1542" s="2">
        <v>-1.0</v>
      </c>
      <c r="J1542" s="2" t="b">
        <v>0</v>
      </c>
      <c r="K1542" s="2" t="b">
        <v>0</v>
      </c>
      <c r="L1542" s="2" t="b">
        <v>0</v>
      </c>
      <c r="M1542" s="2" t="b">
        <v>0</v>
      </c>
      <c r="N1542" s="2" t="s">
        <v>33</v>
      </c>
      <c r="O1542" s="2">
        <v>34.0</v>
      </c>
      <c r="P1542" s="2">
        <v>3.0</v>
      </c>
      <c r="Q1542" s="2">
        <v>33.0</v>
      </c>
      <c r="R1542" s="2">
        <v>0.0</v>
      </c>
      <c r="S1542" s="3" t="s">
        <v>6309</v>
      </c>
      <c r="T1542" s="2" t="s">
        <v>6310</v>
      </c>
      <c r="Y1542" s="4" t="str">
        <f>IFERROR(__xludf.DUMMYFUNCTION("""COMPUTED_VALUE"""),"7.3775355")</f>
        <v>7.3775355</v>
      </c>
      <c r="Z1542" s="4" t="str">
        <f>IFERROR(__xludf.DUMMYFUNCTION("""COMPUTED_VALUE"""),"3.9470396")</f>
        <v>3.9470396</v>
      </c>
      <c r="AA1542" s="4" t="str">
        <f t="shared" si="1"/>
        <v>Not Neighbor</v>
      </c>
      <c r="AC1542" s="4">
        <f>IFERROR(__xludf.DUMMYFUNCTION("IFERROR(ABS(O1542-AVERAGE(FILTER(O1542:O5610,AA1542:AA5610=""Neighbor""))) / STDEV(FILTER(O1542:O5610, AA1542:AA5610 =""Neighbor"")), """")"),0.6521130391789703)</f>
        <v>0.6521130392</v>
      </c>
      <c r="AD1542" s="4">
        <f>IFERROR(__xludf.DUMMYFUNCTION("IFERROR(ABS(P1542-AVERAGE(FILTER(O1542:P5610,AA1542:AA5610=""Neighbor""))) / STDEV(FILTER(P1542:P5610, AA1542:AA5610 =""Neighbor"")), """")"),1.6020363577205488)</f>
        <v>1.602036358</v>
      </c>
      <c r="AE1542" s="2">
        <f>IFERROR(__xludf.DUMMYFUNCTION("IFERROR(ABS(Q1542-AVERAGE(FILTER(Q1542:Q5610,AA1542:AA5610=""Neighbor""))) / STDEV(FILTER(Q1542:Q5610, AA1542:AA5610 =""Neighbor"")), """")"),0.30817627695980204)</f>
        <v>0.308176277</v>
      </c>
      <c r="AF1542" s="2">
        <f>IFERROR(__xludf.DUMMYFUNCTION("IFERROR(ABS(R1542-AVERAGE(FILTER(R1542:R5610,AA1542:AA5610=""Neighbor""))) / STDEV(FILTER(R1542:R5610, AA1542:AA5610 =""Neighbor"")), """")"),0.34897936793384754)</f>
        <v>0.3489793679</v>
      </c>
    </row>
    <row r="1543">
      <c r="A1543" s="2" t="s">
        <v>28</v>
      </c>
      <c r="B1543" s="2" t="s">
        <v>6144</v>
      </c>
      <c r="C1543" s="2" t="s">
        <v>6290</v>
      </c>
      <c r="D1543" s="2" t="s">
        <v>6311</v>
      </c>
      <c r="E1543" s="2" t="s">
        <v>6312</v>
      </c>
      <c r="F1543" s="2">
        <v>71.0</v>
      </c>
      <c r="G1543" s="2">
        <v>403.0</v>
      </c>
      <c r="H1543" s="2" t="b">
        <v>1</v>
      </c>
      <c r="I1543" s="2">
        <v>-1.0</v>
      </c>
      <c r="J1543" s="2" t="b">
        <v>0</v>
      </c>
      <c r="K1543" s="2" t="b">
        <v>0</v>
      </c>
      <c r="L1543" s="2" t="b">
        <v>0</v>
      </c>
      <c r="M1543" s="2" t="b">
        <v>0</v>
      </c>
      <c r="N1543" s="2" t="s">
        <v>33</v>
      </c>
      <c r="O1543" s="2">
        <v>60.0</v>
      </c>
      <c r="P1543" s="2">
        <v>1.0</v>
      </c>
      <c r="Q1543" s="2">
        <v>9.0</v>
      </c>
      <c r="R1543" s="2">
        <v>0.0</v>
      </c>
      <c r="S1543" s="3" t="s">
        <v>6313</v>
      </c>
      <c r="T1543" s="2" t="s">
        <v>6314</v>
      </c>
      <c r="Y1543" s="4" t="str">
        <f>IFERROR(__xludf.DUMMYFUNCTION("""COMPUTED_VALUE"""),"6.8776795")</f>
        <v>6.8776795</v>
      </c>
      <c r="Z1543" s="4" t="str">
        <f>IFERROR(__xludf.DUMMYFUNCTION("""COMPUTED_VALUE"""),"3.9725378")</f>
        <v>3.9725378</v>
      </c>
      <c r="AA1543" s="4" t="str">
        <f t="shared" si="1"/>
        <v>Neighbor</v>
      </c>
      <c r="AC1543" s="4">
        <f>IFERROR(__xludf.DUMMYFUNCTION("IFERROR(ABS(O1543-AVERAGE(FILTER(O1543:O5611,AA1543:AA5611=""Neighbor""))) / STDEV(FILTER(O1543:O5611, AA1543:AA5611 =""Neighbor"")), """")"),0.01056817542874334)</f>
        <v>0.01056817543</v>
      </c>
      <c r="AD1543" s="4">
        <f>IFERROR(__xludf.DUMMYFUNCTION("IFERROR(ABS(P1543-AVERAGE(FILTER(O1543:P5611,AA1543:AA5611=""Neighbor""))) / STDEV(FILTER(P1543:P5611, AA1543:AA5611 =""Neighbor"")), """")"),1.6926604467463284)</f>
        <v>1.692660447</v>
      </c>
      <c r="AE1543" s="2">
        <f>IFERROR(__xludf.DUMMYFUNCTION("IFERROR(ABS(Q1543-AVERAGE(FILTER(Q1543:Q5611,AA1543:AA5611=""Neighbor""))) / STDEV(FILTER(Q1543:Q5611, AA1543:AA5611 =""Neighbor"")), """")"),0.6279874762830429)</f>
        <v>0.6279874763</v>
      </c>
      <c r="AF1543" s="2">
        <f>IFERROR(__xludf.DUMMYFUNCTION("IFERROR(ABS(R1543-AVERAGE(FILTER(R1543:R5611,AA1543:AA5611=""Neighbor""))) / STDEV(FILTER(R1543:R5611, AA1543:AA5611 =""Neighbor"")), """")"),0.34897936793384754)</f>
        <v>0.3489793679</v>
      </c>
    </row>
    <row r="1544">
      <c r="A1544" s="2" t="s">
        <v>28</v>
      </c>
      <c r="B1544" s="2" t="s">
        <v>6144</v>
      </c>
      <c r="C1544" s="2" t="s">
        <v>6290</v>
      </c>
      <c r="D1544" s="2" t="s">
        <v>6315</v>
      </c>
      <c r="E1544" s="2" t="s">
        <v>6316</v>
      </c>
      <c r="F1544" s="2">
        <v>130.0</v>
      </c>
      <c r="G1544" s="2">
        <v>448.0</v>
      </c>
      <c r="H1544" s="2" t="b">
        <v>1</v>
      </c>
      <c r="I1544" s="2">
        <v>-1.0</v>
      </c>
      <c r="J1544" s="2" t="b">
        <v>0</v>
      </c>
      <c r="K1544" s="2" t="b">
        <v>0</v>
      </c>
      <c r="L1544" s="2" t="b">
        <v>0</v>
      </c>
      <c r="M1544" s="2" t="b">
        <v>0</v>
      </c>
      <c r="N1544" s="2" t="s">
        <v>33</v>
      </c>
      <c r="O1544" s="2">
        <v>87.0</v>
      </c>
      <c r="P1544" s="2">
        <v>14.0</v>
      </c>
      <c r="Q1544" s="2">
        <v>12.0</v>
      </c>
      <c r="R1544" s="2">
        <v>0.0</v>
      </c>
      <c r="S1544" s="3" t="s">
        <v>6317</v>
      </c>
      <c r="T1544" s="2" t="s">
        <v>6318</v>
      </c>
      <c r="Y1544" s="4" t="str">
        <f>IFERROR(__xludf.DUMMYFUNCTION("""COMPUTED_VALUE"""),"6.8776795")</f>
        <v>6.8776795</v>
      </c>
      <c r="Z1544" s="4" t="str">
        <f>IFERROR(__xludf.DUMMYFUNCTION("""COMPUTED_VALUE"""),"3.9725378")</f>
        <v>3.9725378</v>
      </c>
      <c r="AA1544" s="4" t="str">
        <f t="shared" si="1"/>
        <v>Not Neighbor</v>
      </c>
      <c r="AC1544" s="4">
        <f>IFERROR(__xludf.DUMMYFUNCTION("IFERROR(ABS(O1544-AVERAGE(FILTER(O1544:O5612,AA1544:AA5612=""Neighbor""))) / STDEV(FILTER(O1544:O5612, AA1544:AA5612 =""Neighbor"")), """")"),0.6553276336468793)</f>
        <v>0.6553276336</v>
      </c>
      <c r="AD1544" s="4">
        <f>IFERROR(__xludf.DUMMYFUNCTION("IFERROR(ABS(P1544-AVERAGE(FILTER(O1544:P5612,AA1544:AA5612=""Neighbor""))) / STDEV(FILTER(P1544:P5612, AA1544:AA5612 =""Neighbor"")), """")"),1.1036696793039407)</f>
        <v>1.103669679</v>
      </c>
      <c r="AE1544" s="2">
        <f>IFERROR(__xludf.DUMMYFUNCTION("IFERROR(ABS(Q1544-AVERAGE(FILTER(Q1544:Q5612,AA1544:AA5612=""Neighbor""))) / STDEV(FILTER(Q1544:Q5612, AA1544:AA5612 =""Neighbor"")), """")"),0.5114197269083137)</f>
        <v>0.5114197269</v>
      </c>
      <c r="AF1544" s="2">
        <f>IFERROR(__xludf.DUMMYFUNCTION("IFERROR(ABS(R1544-AVERAGE(FILTER(R1544:R5612,AA1544:AA5612=""Neighbor""))) / STDEV(FILTER(R1544:R5612, AA1544:AA5612 =""Neighbor"")), """")"),0.3491665102996316)</f>
        <v>0.3491665103</v>
      </c>
    </row>
    <row r="1545">
      <c r="A1545" s="2" t="s">
        <v>28</v>
      </c>
      <c r="B1545" s="2" t="s">
        <v>6144</v>
      </c>
      <c r="C1545" s="2" t="s">
        <v>6319</v>
      </c>
      <c r="D1545" s="2" t="s">
        <v>6320</v>
      </c>
      <c r="E1545" s="2" t="s">
        <v>6321</v>
      </c>
      <c r="F1545" s="2">
        <v>148.0</v>
      </c>
      <c r="G1545" s="2">
        <v>560.0</v>
      </c>
      <c r="H1545" s="2" t="b">
        <v>1</v>
      </c>
      <c r="I1545" s="2">
        <v>-1.0</v>
      </c>
      <c r="J1545" s="2" t="b">
        <v>1</v>
      </c>
      <c r="K1545" s="2" t="b">
        <v>0</v>
      </c>
      <c r="L1545" s="2" t="b">
        <v>0</v>
      </c>
      <c r="M1545" s="2" t="b">
        <v>0</v>
      </c>
      <c r="N1545" s="2" t="s">
        <v>33</v>
      </c>
      <c r="O1545" s="2">
        <v>66.0</v>
      </c>
      <c r="P1545" s="2">
        <v>30.0</v>
      </c>
      <c r="Q1545" s="2">
        <v>47.0</v>
      </c>
      <c r="R1545" s="2">
        <v>0.0</v>
      </c>
      <c r="S1545" s="3" t="s">
        <v>6322</v>
      </c>
      <c r="T1545" s="2" t="s">
        <v>6323</v>
      </c>
      <c r="Y1545" s="4" t="str">
        <f>IFERROR(__xludf.DUMMYFUNCTION("""COMPUTED_VALUE"""),"6.8329736")</f>
        <v>6.8329736</v>
      </c>
      <c r="Z1545" s="4" t="str">
        <f>IFERROR(__xludf.DUMMYFUNCTION("""COMPUTED_VALUE"""),"3.9907304")</f>
        <v>3.9907304</v>
      </c>
      <c r="AA1545" s="4" t="str">
        <f t="shared" si="1"/>
        <v>Neighbor</v>
      </c>
      <c r="AC1545" s="4">
        <f>IFERROR(__xludf.DUMMYFUNCTION("IFERROR(ABS(O1545-AVERAGE(FILTER(O1545:O5613,AA1545:AA5613=""Neighbor""))) / STDEV(FILTER(O1545:O5613, AA1545:AA5613 =""Neighbor"")), """")"),0.13740474243138012)</f>
        <v>0.1374047424</v>
      </c>
      <c r="AD1545" s="4">
        <f>IFERROR(__xludf.DUMMYFUNCTION("IFERROR(ABS(P1545-AVERAGE(FILTER(O1545:P5613,AA1545:AA5613=""Neighbor""))) / STDEV(FILTER(P1545:P5613, AA1545:AA5613 =""Neighbor"")), """")"),0.37885744662215637)</f>
        <v>0.3788574466</v>
      </c>
      <c r="AE1545" s="2">
        <f>IFERROR(__xludf.DUMMYFUNCTION("IFERROR(ABS(Q1545-AVERAGE(FILTER(Q1545:Q5613,AA1545:AA5613=""Neighbor""))) / STDEV(FILTER(Q1545:Q5613, AA1545:AA5613 =""Neighbor"")), """")"),0.8534235063402507)</f>
        <v>0.8534235063</v>
      </c>
      <c r="AF1545" s="2">
        <f>IFERROR(__xludf.DUMMYFUNCTION("IFERROR(ABS(R1545-AVERAGE(FILTER(R1545:R5613,AA1545:AA5613=""Neighbor""))) / STDEV(FILTER(R1545:R5613, AA1545:AA5613 =""Neighbor"")), """")"),0.3491665102996316)</f>
        <v>0.3491665103</v>
      </c>
    </row>
    <row r="1546">
      <c r="A1546" s="2" t="s">
        <v>28</v>
      </c>
      <c r="B1546" s="2" t="s">
        <v>6144</v>
      </c>
      <c r="C1546" s="2" t="s">
        <v>6319</v>
      </c>
      <c r="D1546" s="2" t="s">
        <v>6324</v>
      </c>
      <c r="E1546" s="2" t="s">
        <v>6325</v>
      </c>
      <c r="F1546" s="2">
        <v>126.0</v>
      </c>
      <c r="G1546" s="2">
        <v>450.0</v>
      </c>
      <c r="H1546" s="2" t="b">
        <v>1</v>
      </c>
      <c r="I1546" s="2">
        <v>-1.0</v>
      </c>
      <c r="J1546" s="2" t="b">
        <v>0</v>
      </c>
      <c r="K1546" s="2" t="b">
        <v>0</v>
      </c>
      <c r="L1546" s="2" t="b">
        <v>0</v>
      </c>
      <c r="M1546" s="2" t="b">
        <v>0</v>
      </c>
      <c r="N1546" s="2" t="s">
        <v>33</v>
      </c>
      <c r="O1546" s="2">
        <v>56.0</v>
      </c>
      <c r="P1546" s="2">
        <v>26.0</v>
      </c>
      <c r="Q1546" s="2">
        <v>21.0</v>
      </c>
      <c r="R1546" s="2">
        <v>0.0</v>
      </c>
      <c r="S1546" s="3" t="s">
        <v>6326</v>
      </c>
      <c r="T1546" s="2" t="s">
        <v>6327</v>
      </c>
      <c r="Y1546" s="4" t="str">
        <f>IFERROR(__xludf.DUMMYFUNCTION("""COMPUTED_VALUE"""),"6.830954")</f>
        <v>6.830954</v>
      </c>
      <c r="Z1546" s="4" t="str">
        <f>IFERROR(__xludf.DUMMYFUNCTION("""COMPUTED_VALUE"""),"3.995353")</f>
        <v>3.995353</v>
      </c>
      <c r="AA1546" s="4" t="str">
        <f t="shared" si="1"/>
        <v>Not Neighbor</v>
      </c>
      <c r="AC1546" s="4">
        <f>IFERROR(__xludf.DUMMYFUNCTION("IFERROR(ABS(O1546-AVERAGE(FILTER(O1546:O5614,AA1546:AA5614=""Neighbor""))) / STDEV(FILTER(O1546:O5614, AA1546:AA5614 =""Neighbor"")), """")"),0.10904231855086405)</f>
        <v>0.1090423186</v>
      </c>
      <c r="AD1546" s="4">
        <f>IFERROR(__xludf.DUMMYFUNCTION("IFERROR(ABS(P1546-AVERAGE(FILTER(O1546:P5614,AA1546:AA5614=""Neighbor""))) / STDEV(FILTER(P1546:P5614, AA1546:AA5614 =""Neighbor"")), """")"),0.5594776056015787)</f>
        <v>0.5594776056</v>
      </c>
      <c r="AE1546" s="2">
        <f>IFERROR(__xludf.DUMMYFUNCTION("IFERROR(ABS(Q1546-AVERAGE(FILTER(Q1546:Q5614,AA1546:AA5614=""Neighbor""))) / STDEV(FILTER(Q1546:Q5614, AA1546:AA5614 =""Neighbor"")), """")"),0.15962184941600507)</f>
        <v>0.1596218494</v>
      </c>
      <c r="AF1546" s="2">
        <f>IFERROR(__xludf.DUMMYFUNCTION("IFERROR(ABS(R1546-AVERAGE(FILTER(R1546:R5614,AA1546:AA5614=""Neighbor""))) / STDEV(FILTER(R1546:R5614, AA1546:AA5614 =""Neighbor"")), """")"),0.3493539540946059)</f>
        <v>0.3493539541</v>
      </c>
    </row>
    <row r="1547">
      <c r="A1547" s="2" t="s">
        <v>28</v>
      </c>
      <c r="B1547" s="2" t="s">
        <v>6144</v>
      </c>
      <c r="C1547" s="2" t="s">
        <v>6319</v>
      </c>
      <c r="D1547" s="2" t="s">
        <v>6328</v>
      </c>
      <c r="E1547" s="2" t="s">
        <v>6329</v>
      </c>
      <c r="F1547" s="2">
        <v>115.0</v>
      </c>
      <c r="G1547" s="2">
        <v>351.0</v>
      </c>
      <c r="H1547" s="2" t="b">
        <v>1</v>
      </c>
      <c r="I1547" s="2">
        <v>-1.0</v>
      </c>
      <c r="J1547" s="2" t="b">
        <v>0</v>
      </c>
      <c r="K1547" s="2" t="b">
        <v>0</v>
      </c>
      <c r="L1547" s="2" t="b">
        <v>0</v>
      </c>
      <c r="M1547" s="2" t="b">
        <v>0</v>
      </c>
      <c r="N1547" s="2" t="s">
        <v>33</v>
      </c>
      <c r="O1547" s="2">
        <v>61.0</v>
      </c>
      <c r="P1547" s="2">
        <v>28.0</v>
      </c>
      <c r="Q1547" s="2">
        <v>20.0</v>
      </c>
      <c r="R1547" s="2">
        <v>0.0</v>
      </c>
      <c r="S1547" s="3" t="s">
        <v>6330</v>
      </c>
      <c r="T1547" s="2" t="s">
        <v>6331</v>
      </c>
      <c r="Y1547" s="4" t="str">
        <f>IFERROR(__xludf.DUMMYFUNCTION("""COMPUTED_VALUE"""),"6.833333")</f>
        <v>6.833333</v>
      </c>
      <c r="Z1547" s="4" t="str">
        <f>IFERROR(__xludf.DUMMYFUNCTION("""COMPUTED_VALUE"""),"3.983333")</f>
        <v>3.983333</v>
      </c>
      <c r="AA1547" s="4" t="str">
        <f t="shared" si="1"/>
        <v>Not Neighbor</v>
      </c>
      <c r="AC1547" s="4">
        <f>IFERROR(__xludf.DUMMYFUNCTION("IFERROR(ABS(O1547-AVERAGE(FILTER(O1547:O5615,AA1547:AA5615=""Neighbor""))) / STDEV(FILTER(O1547:O5615, AA1547:AA5615 =""Neighbor"")), """")"),0.014214698087401575)</f>
        <v>0.01421469809</v>
      </c>
      <c r="AD1547" s="4">
        <f>IFERROR(__xludf.DUMMYFUNCTION("IFERROR(ABS(P1547-AVERAGE(FILTER(O1547:P5615,AA1547:AA5615=""Neighbor""))) / STDEV(FILTER(P1547:P5615, AA1547:AA5615 =""Neighbor"")), """")"),0.4689027468695689)</f>
        <v>0.4689027469</v>
      </c>
      <c r="AE1547" s="2">
        <f>IFERROR(__xludf.DUMMYFUNCTION("IFERROR(ABS(Q1547-AVERAGE(FILTER(Q1547:Q5615,AA1547:AA5615=""Neighbor""))) / STDEV(FILTER(Q1547:Q5615, AA1547:AA5615 =""Neighbor"")), """")"),0.19861230584799136)</f>
        <v>0.1986123058</v>
      </c>
      <c r="AF1547" s="2">
        <f>IFERROR(__xludf.DUMMYFUNCTION("IFERROR(ABS(R1547-AVERAGE(FILTER(R1547:R5615,AA1547:AA5615=""Neighbor""))) / STDEV(FILTER(R1547:R5615, AA1547:AA5615 =""Neighbor"")), """")"),0.3493539540946059)</f>
        <v>0.3493539541</v>
      </c>
    </row>
    <row r="1548">
      <c r="A1548" s="2" t="s">
        <v>28</v>
      </c>
      <c r="B1548" s="2" t="s">
        <v>6144</v>
      </c>
      <c r="C1548" s="2" t="s">
        <v>6319</v>
      </c>
      <c r="D1548" s="2" t="s">
        <v>6332</v>
      </c>
      <c r="E1548" s="2" t="s">
        <v>6333</v>
      </c>
      <c r="F1548" s="2">
        <v>105.0</v>
      </c>
      <c r="G1548" s="2">
        <v>394.0</v>
      </c>
      <c r="H1548" s="2" t="b">
        <v>1</v>
      </c>
      <c r="I1548" s="2">
        <v>-1.0</v>
      </c>
      <c r="J1548" s="2" t="b">
        <v>0</v>
      </c>
      <c r="K1548" s="2" t="b">
        <v>0</v>
      </c>
      <c r="L1548" s="2" t="b">
        <v>0</v>
      </c>
      <c r="M1548" s="2" t="b">
        <v>0</v>
      </c>
      <c r="N1548" s="2" t="s">
        <v>33</v>
      </c>
      <c r="O1548" s="2">
        <v>52.0</v>
      </c>
      <c r="P1548" s="2">
        <v>9.0</v>
      </c>
      <c r="Q1548" s="2">
        <v>43.0</v>
      </c>
      <c r="R1548" s="2">
        <v>0.0</v>
      </c>
      <c r="S1548" s="3" t="s">
        <v>6334</v>
      </c>
      <c r="T1548" s="2" t="s">
        <v>6335</v>
      </c>
      <c r="Y1548" s="4" t="str">
        <f>IFERROR(__xludf.DUMMYFUNCTION("""COMPUTED_VALUE"""),"6.8827355")</f>
        <v>6.8827355</v>
      </c>
      <c r="Z1548" s="4" t="str">
        <f>IFERROR(__xludf.DUMMYFUNCTION("""COMPUTED_VALUE"""),"4.0082563")</f>
        <v>4.0082563</v>
      </c>
      <c r="AA1548" s="4" t="str">
        <f t="shared" si="1"/>
        <v>Not Neighbor</v>
      </c>
      <c r="AC1548" s="4">
        <f>IFERROR(__xludf.DUMMYFUNCTION("IFERROR(ABS(O1548-AVERAGE(FILTER(O1548:O5616,AA1548:AA5616=""Neighbor""))) / STDEV(FILTER(O1548:O5616, AA1548:AA5616 =""Neighbor"")), """")"),0.20764793186147656)</f>
        <v>0.2076479319</v>
      </c>
      <c r="AD1548" s="4">
        <f>IFERROR(__xludf.DUMMYFUNCTION("IFERROR(ABS(P1548-AVERAGE(FILTER(O1548:P5616,AA1548:AA5616=""Neighbor""))) / STDEV(FILTER(P1548:P5616, AA1548:AA5616 =""Neighbor"")), """")"),1.3293639048236618)</f>
        <v>1.329363905</v>
      </c>
      <c r="AE1548" s="2">
        <f>IFERROR(__xludf.DUMMYFUNCTION("IFERROR(ABS(Q1548-AVERAGE(FILTER(Q1548:Q5616,AA1548:AA5616=""Neighbor""))) / STDEV(FILTER(Q1548:Q5616, AA1548:AA5616 =""Neighbor"")), """")"),0.698168192087693)</f>
        <v>0.6981681921</v>
      </c>
      <c r="AF1548" s="2">
        <f>IFERROR(__xludf.DUMMYFUNCTION("IFERROR(ABS(R1548-AVERAGE(FILTER(R1548:R5616,AA1548:AA5616=""Neighbor""))) / STDEV(FILTER(R1548:R5616, AA1548:AA5616 =""Neighbor"")), """")"),0.3493539540946059)</f>
        <v>0.3493539541</v>
      </c>
    </row>
    <row r="1549">
      <c r="A1549" s="2" t="s">
        <v>28</v>
      </c>
      <c r="B1549" s="2" t="s">
        <v>6144</v>
      </c>
      <c r="C1549" s="2" t="s">
        <v>6319</v>
      </c>
      <c r="D1549" s="2" t="s">
        <v>6336</v>
      </c>
      <c r="E1549" s="2" t="s">
        <v>6337</v>
      </c>
      <c r="F1549" s="2">
        <v>103.0</v>
      </c>
      <c r="G1549" s="2">
        <v>414.0</v>
      </c>
      <c r="H1549" s="2" t="b">
        <v>1</v>
      </c>
      <c r="I1549" s="2">
        <v>-1.0</v>
      </c>
      <c r="J1549" s="2" t="b">
        <v>0</v>
      </c>
      <c r="K1549" s="2" t="b">
        <v>0</v>
      </c>
      <c r="L1549" s="2" t="b">
        <v>0</v>
      </c>
      <c r="M1549" s="2" t="b">
        <v>0</v>
      </c>
      <c r="N1549" s="2" t="s">
        <v>33</v>
      </c>
      <c r="O1549" s="2">
        <v>61.0</v>
      </c>
      <c r="P1549" s="2">
        <v>13.0</v>
      </c>
      <c r="Q1549" s="2">
        <v>23.0</v>
      </c>
      <c r="R1549" s="2">
        <v>0.0</v>
      </c>
      <c r="S1549" s="3" t="s">
        <v>6338</v>
      </c>
      <c r="T1549" s="2" t="s">
        <v>6339</v>
      </c>
      <c r="Y1549" s="4" t="str">
        <f>IFERROR(__xludf.DUMMYFUNCTION("""COMPUTED_VALUE"""),"6.833333")</f>
        <v>6.833333</v>
      </c>
      <c r="Z1549" s="4" t="str">
        <f>IFERROR(__xludf.DUMMYFUNCTION("""COMPUTED_VALUE"""),"3.983333")</f>
        <v>3.983333</v>
      </c>
      <c r="AA1549" s="4" t="str">
        <f t="shared" si="1"/>
        <v>Neighbor</v>
      </c>
      <c r="AC1549" s="4">
        <f>IFERROR(__xludf.DUMMYFUNCTION("IFERROR(ABS(O1549-AVERAGE(FILTER(O1549:O5617,AA1549:AA5617=""Neighbor""))) / STDEV(FILTER(O1549:O5617, AA1549:AA5617 =""Neighbor"")), """")"),0.014214698087401575)</f>
        <v>0.01421469809</v>
      </c>
      <c r="AD1549" s="4">
        <f>IFERROR(__xludf.DUMMYFUNCTION("IFERROR(ABS(P1549-AVERAGE(FILTER(O1549:P5617,AA1549:AA5617=""Neighbor""))) / STDEV(FILTER(P1549:P5617, AA1549:AA5617 =""Neighbor"")), """")"),1.1482141873596423)</f>
        <v>1.148214187</v>
      </c>
      <c r="AE1549" s="2">
        <f>IFERROR(__xludf.DUMMYFUNCTION("IFERROR(ABS(Q1549-AVERAGE(FILTER(Q1549:Q5617,AA1549:AA5617=""Neighbor""))) / STDEV(FILTER(Q1549:Q5617, AA1549:AA5617 =""Neighbor"")), """")"),0.08164093655203254)</f>
        <v>0.08164093655</v>
      </c>
      <c r="AF1549" s="2">
        <f>IFERROR(__xludf.DUMMYFUNCTION("IFERROR(ABS(R1549-AVERAGE(FILTER(R1549:R5617,AA1549:AA5617=""Neighbor""))) / STDEV(FILTER(R1549:R5617, AA1549:AA5617 =""Neighbor"")), """")"),0.3493539540946059)</f>
        <v>0.3493539541</v>
      </c>
    </row>
    <row r="1550">
      <c r="A1550" s="2" t="s">
        <v>28</v>
      </c>
      <c r="B1550" s="2" t="s">
        <v>6144</v>
      </c>
      <c r="C1550" s="2" t="s">
        <v>6319</v>
      </c>
      <c r="D1550" s="2" t="s">
        <v>6340</v>
      </c>
      <c r="E1550" s="2" t="s">
        <v>6341</v>
      </c>
      <c r="F1550" s="2">
        <v>122.0</v>
      </c>
      <c r="G1550" s="2">
        <v>417.0</v>
      </c>
      <c r="H1550" s="2" t="b">
        <v>1</v>
      </c>
      <c r="I1550" s="2">
        <v>-1.0</v>
      </c>
      <c r="J1550" s="2" t="b">
        <v>0</v>
      </c>
      <c r="K1550" s="2" t="b">
        <v>0</v>
      </c>
      <c r="L1550" s="2" t="b">
        <v>0</v>
      </c>
      <c r="M1550" s="2" t="b">
        <v>0</v>
      </c>
      <c r="N1550" s="2" t="s">
        <v>33</v>
      </c>
      <c r="O1550" s="2">
        <v>35.0</v>
      </c>
      <c r="P1550" s="2">
        <v>16.0</v>
      </c>
      <c r="Q1550" s="2">
        <v>29.0</v>
      </c>
      <c r="R1550" s="2">
        <v>1.0</v>
      </c>
      <c r="S1550" s="3" t="s">
        <v>6342</v>
      </c>
      <c r="T1550" s="2" t="s">
        <v>6343</v>
      </c>
      <c r="Y1550" s="4" t="str">
        <f>IFERROR(__xludf.DUMMYFUNCTION("""COMPUTED_VALUE"""),"6.833333")</f>
        <v>6.833333</v>
      </c>
      <c r="Z1550" s="4" t="str">
        <f>IFERROR(__xludf.DUMMYFUNCTION("""COMPUTED_VALUE"""),"3.983333")</f>
        <v>3.983333</v>
      </c>
      <c r="AA1550" s="4" t="str">
        <f t="shared" si="1"/>
        <v>Not Neighbor</v>
      </c>
      <c r="AC1550" s="4">
        <f>IFERROR(__xludf.DUMMYFUNCTION("IFERROR(ABS(O1550-AVERAGE(FILTER(O1550:O5618,AA1550:AA5618=""Neighbor""))) / STDEV(FILTER(O1550:O5618, AA1550:AA5618 =""Neighbor"")), """")"),0.6264077130941625)</f>
        <v>0.6264077131</v>
      </c>
      <c r="AD1550" s="4">
        <f>IFERROR(__xludf.DUMMYFUNCTION("IFERROR(ABS(P1550-AVERAGE(FILTER(O1550:P5618,AA1550:AA5618=""Neighbor""))) / STDEV(FILTER(P1550:P5618, AA1550:AA5618 =""Neighbor"")), """")"),1.0119359784914386)</f>
        <v>1.011935978</v>
      </c>
      <c r="AE1550" s="2">
        <f>IFERROR(__xludf.DUMMYFUNCTION("IFERROR(ABS(Q1550-AVERAGE(FILTER(Q1550:Q5618,AA1550:AA5618=""Neighbor""))) / STDEV(FILTER(Q1550:Q5618, AA1550:AA5618 =""Neighbor"")), """")"),0.1521510221707182)</f>
        <v>0.1521510222</v>
      </c>
      <c r="AF1550" s="2">
        <f>IFERROR(__xludf.DUMMYFUNCTION("IFERROR(ABS(R1550-AVERAGE(FILTER(R1550:R5618,AA1550:AA5618=""Neighbor""))) / STDEV(FILTER(R1550:R5618, AA1550:AA5618 =""Neighbor"")), """")"),0.8227155128436109)</f>
        <v>0.8227155128</v>
      </c>
    </row>
    <row r="1551">
      <c r="A1551" s="2" t="s">
        <v>28</v>
      </c>
      <c r="B1551" s="2" t="s">
        <v>6144</v>
      </c>
      <c r="C1551" s="2" t="s">
        <v>6319</v>
      </c>
      <c r="D1551" s="2" t="s">
        <v>6344</v>
      </c>
      <c r="E1551" s="2" t="s">
        <v>6345</v>
      </c>
      <c r="F1551" s="2">
        <v>94.0</v>
      </c>
      <c r="G1551" s="2">
        <v>413.0</v>
      </c>
      <c r="H1551" s="2" t="b">
        <v>1</v>
      </c>
      <c r="I1551" s="2">
        <v>-1.0</v>
      </c>
      <c r="J1551" s="2" t="b">
        <v>0</v>
      </c>
      <c r="K1551" s="2" t="b">
        <v>0</v>
      </c>
      <c r="L1551" s="2" t="b">
        <v>0</v>
      </c>
      <c r="M1551" s="2" t="b">
        <v>0</v>
      </c>
      <c r="N1551" s="2" t="s">
        <v>33</v>
      </c>
      <c r="O1551" s="2">
        <v>57.0</v>
      </c>
      <c r="P1551" s="2">
        <v>11.0</v>
      </c>
      <c r="Q1551" s="2">
        <v>22.0</v>
      </c>
      <c r="R1551" s="2">
        <v>0.0</v>
      </c>
      <c r="S1551" s="3" t="s">
        <v>6346</v>
      </c>
      <c r="T1551" s="2" t="s">
        <v>6347</v>
      </c>
      <c r="Y1551" s="4" t="str">
        <f>IFERROR(__xludf.DUMMYFUNCTION("""COMPUTED_VALUE"""),"6.8326871")</f>
        <v>6.8326871</v>
      </c>
      <c r="Z1551" s="4" t="str">
        <f>IFERROR(__xludf.DUMMYFUNCTION("""COMPUTED_VALUE"""),"3.994859")</f>
        <v>3.994859</v>
      </c>
      <c r="AA1551" s="4" t="str">
        <f t="shared" si="1"/>
        <v>Not Neighbor</v>
      </c>
      <c r="AC1551" s="4">
        <f>IFERROR(__xludf.DUMMYFUNCTION("IFERROR(ABS(O1551-AVERAGE(FILTER(O1551:O5619,AA1551:AA5619=""Neighbor""))) / STDEV(FILTER(O1551:O5619, AA1551:AA5619 =""Neighbor"")), """")"),0.08433683571225518)</f>
        <v>0.08433683571</v>
      </c>
      <c r="AD1551" s="4">
        <f>IFERROR(__xludf.DUMMYFUNCTION("IFERROR(ABS(P1551-AVERAGE(FILTER(O1551:P5619,AA1551:AA5619=""Neighbor""))) / STDEV(FILTER(P1551:P5619, AA1551:AA5619 =""Neighbor"")), """")"),1.2382669513146691)</f>
        <v>1.238266951</v>
      </c>
      <c r="AE1551" s="2">
        <f>IFERROR(__xludf.DUMMYFUNCTION("IFERROR(ABS(Q1551-AVERAGE(FILTER(Q1551:Q5619,AA1551:AA5619=""Neighbor""))) / STDEV(FILTER(Q1551:Q5619, AA1551:AA5619 =""Neighbor"")), """")"),0.12065217352388247)</f>
        <v>0.1206521735</v>
      </c>
      <c r="AF1551" s="2">
        <f>IFERROR(__xludf.DUMMYFUNCTION("IFERROR(ABS(R1551-AVERAGE(FILTER(R1551:R5619,AA1551:AA5619=""Neighbor""))) / STDEV(FILTER(R1551:R5619, AA1551:AA5619 =""Neighbor"")), """")"),0.3495417001289112)</f>
        <v>0.3495417001</v>
      </c>
    </row>
    <row r="1552">
      <c r="A1552" s="2" t="s">
        <v>28</v>
      </c>
      <c r="B1552" s="2" t="s">
        <v>6144</v>
      </c>
      <c r="C1552" s="2" t="s">
        <v>6319</v>
      </c>
      <c r="D1552" s="2" t="s">
        <v>6348</v>
      </c>
      <c r="E1552" s="2" t="s">
        <v>6349</v>
      </c>
      <c r="F1552" s="2">
        <v>140.0</v>
      </c>
      <c r="G1552" s="2">
        <v>476.0</v>
      </c>
      <c r="H1552" s="2" t="b">
        <v>1</v>
      </c>
      <c r="I1552" s="2">
        <v>-1.0</v>
      </c>
      <c r="J1552" s="2" t="b">
        <v>0</v>
      </c>
      <c r="K1552" s="2" t="b">
        <v>0</v>
      </c>
      <c r="L1552" s="2" t="b">
        <v>0</v>
      </c>
      <c r="M1552" s="2" t="b">
        <v>0</v>
      </c>
      <c r="N1552" s="2" t="s">
        <v>33</v>
      </c>
      <c r="O1552" s="2">
        <v>62.0</v>
      </c>
      <c r="P1552" s="2">
        <v>28.0</v>
      </c>
      <c r="Q1552" s="2">
        <v>19.0</v>
      </c>
      <c r="R1552" s="2">
        <v>0.0</v>
      </c>
      <c r="S1552" s="3" t="s">
        <v>6350</v>
      </c>
      <c r="T1552" s="2" t="s">
        <v>6351</v>
      </c>
      <c r="Y1552" s="4" t="str">
        <f>IFERROR(__xludf.DUMMYFUNCTION("""COMPUTED_VALUE"""),"6.833333")</f>
        <v>6.833333</v>
      </c>
      <c r="Z1552" s="4" t="str">
        <f>IFERROR(__xludf.DUMMYFUNCTION("""COMPUTED_VALUE"""),"3.983333")</f>
        <v>3.983333</v>
      </c>
      <c r="AA1552" s="4" t="str">
        <f t="shared" si="1"/>
        <v>Neighbor</v>
      </c>
      <c r="AC1552" s="4">
        <f>IFERROR(__xludf.DUMMYFUNCTION("IFERROR(ABS(O1552-AVERAGE(FILTER(O1552:O5620,AA1552:AA5620=""Neighbor""))) / STDEV(FILTER(O1552:O5620, AA1552:AA5620 =""Neighbor"")), """")"),0.03886109096545104)</f>
        <v>0.03886109097</v>
      </c>
      <c r="AD1552" s="4">
        <f>IFERROR(__xludf.DUMMYFUNCTION("IFERROR(ABS(P1552-AVERAGE(FILTER(O1552:P5620,AA1552:AA5620=""Neighbor""))) / STDEV(FILTER(P1552:P5620, AA1552:AA5620 =""Neighbor"")), """")"),0.46874164371568566)</f>
        <v>0.4687416437</v>
      </c>
      <c r="AE1552" s="2">
        <f>IFERROR(__xludf.DUMMYFUNCTION("IFERROR(ABS(Q1552-AVERAGE(FILTER(Q1552:Q5620,AA1552:AA5620=""Neighbor""))) / STDEV(FILTER(Q1552:Q5620, AA1552:AA5620 =""Neighbor"")), """")"),0.23756782882156846)</f>
        <v>0.2375678288</v>
      </c>
      <c r="AF1552" s="2">
        <f>IFERROR(__xludf.DUMMYFUNCTION("IFERROR(ABS(R1552-AVERAGE(FILTER(R1552:R5620,AA1552:AA5620=""Neighbor""))) / STDEV(FILTER(R1552:R5620, AA1552:AA5620 =""Neighbor"")), """")"),0.3495417001289112)</f>
        <v>0.3495417001</v>
      </c>
    </row>
    <row r="1553">
      <c r="A1553" s="2" t="s">
        <v>28</v>
      </c>
      <c r="B1553" s="2" t="s">
        <v>6144</v>
      </c>
      <c r="C1553" s="2" t="s">
        <v>6319</v>
      </c>
      <c r="D1553" s="2" t="s">
        <v>6352</v>
      </c>
      <c r="E1553" s="2" t="s">
        <v>6353</v>
      </c>
      <c r="F1553" s="2">
        <v>94.0</v>
      </c>
      <c r="G1553" s="2">
        <v>308.0</v>
      </c>
      <c r="H1553" s="2" t="b">
        <v>1</v>
      </c>
      <c r="I1553" s="2">
        <v>-1.0</v>
      </c>
      <c r="J1553" s="2" t="b">
        <v>0</v>
      </c>
      <c r="K1553" s="2" t="b">
        <v>0</v>
      </c>
      <c r="L1553" s="2" t="b">
        <v>0</v>
      </c>
      <c r="M1553" s="2" t="b">
        <v>0</v>
      </c>
      <c r="N1553" s="2" t="s">
        <v>33</v>
      </c>
      <c r="O1553" s="2">
        <v>37.0</v>
      </c>
      <c r="P1553" s="2">
        <v>19.0</v>
      </c>
      <c r="Q1553" s="2">
        <v>30.0</v>
      </c>
      <c r="R1553" s="2">
        <v>1.0</v>
      </c>
      <c r="S1553" s="3" t="s">
        <v>6354</v>
      </c>
      <c r="T1553" s="2" t="s">
        <v>6355</v>
      </c>
      <c r="Y1553" s="4" t="str">
        <f>IFERROR(__xludf.DUMMYFUNCTION("""COMPUTED_VALUE"""),"6.833333")</f>
        <v>6.833333</v>
      </c>
      <c r="Z1553" s="4" t="str">
        <f>IFERROR(__xludf.DUMMYFUNCTION("""COMPUTED_VALUE"""),"3.983333")</f>
        <v>3.983333</v>
      </c>
      <c r="AA1553" s="4" t="str">
        <f t="shared" si="1"/>
        <v>Not Neighbor</v>
      </c>
      <c r="AC1553" s="4">
        <f>IFERROR(__xludf.DUMMYFUNCTION("IFERROR(ABS(O1553-AVERAGE(FILTER(O1553:O5621,AA1553:AA5621=""Neighbor""))) / STDEV(FILTER(O1553:O5621, AA1553:AA5621 =""Neighbor"")), """")"),0.5768146844476097)</f>
        <v>0.5768146844</v>
      </c>
      <c r="AD1553" s="4">
        <f>IFERROR(__xludf.DUMMYFUNCTION("IFERROR(ABS(P1553-AVERAGE(FILTER(O1553:P5621,AA1553:AA5621=""Neighbor""))) / STDEV(FILTER(P1553:P5621, AA1553:AA5621 =""Neighbor"")), """")"),0.8755465739584349)</f>
        <v>0.875546574</v>
      </c>
      <c r="AE1553" s="2">
        <f>IFERROR(__xludf.DUMMYFUNCTION("IFERROR(ABS(Q1553-AVERAGE(FILTER(Q1553:Q5621,AA1553:AA5621=""Neighbor""))) / STDEV(FILTER(Q1553:Q5621, AA1553:AA5621 =""Neighbor"")), """")"),0.19080846534316426)</f>
        <v>0.1908084653</v>
      </c>
      <c r="AF1553" s="2">
        <f>IFERROR(__xludf.DUMMYFUNCTION("IFERROR(ABS(R1553-AVERAGE(FILTER(R1553:R5621,AA1553:AA5621=""Neighbor""))) / STDEV(FILTER(R1553:R5621, AA1553:AA5621 =""Neighbor"")), """")"),0.8220335906003428)</f>
        <v>0.8220335906</v>
      </c>
    </row>
    <row r="1554">
      <c r="A1554" s="2" t="s">
        <v>28</v>
      </c>
      <c r="B1554" s="2" t="s">
        <v>6144</v>
      </c>
      <c r="C1554" s="2" t="s">
        <v>6356</v>
      </c>
      <c r="D1554" s="2" t="s">
        <v>6357</v>
      </c>
      <c r="E1554" s="2" t="s">
        <v>6358</v>
      </c>
      <c r="F1554" s="2">
        <v>246.0</v>
      </c>
      <c r="G1554" s="2">
        <v>1107.0</v>
      </c>
      <c r="H1554" s="2" t="b">
        <v>1</v>
      </c>
      <c r="I1554" s="2">
        <v>-1.0</v>
      </c>
      <c r="J1554" s="2" t="b">
        <v>0</v>
      </c>
      <c r="K1554" s="2" t="b">
        <v>0</v>
      </c>
      <c r="L1554" s="2" t="b">
        <v>0</v>
      </c>
      <c r="M1554" s="2" t="b">
        <v>0</v>
      </c>
      <c r="N1554" s="2" t="s">
        <v>33</v>
      </c>
      <c r="O1554" s="2">
        <v>137.0</v>
      </c>
      <c r="P1554" s="2">
        <v>45.0</v>
      </c>
      <c r="Q1554" s="2">
        <v>52.0</v>
      </c>
      <c r="R1554" s="2">
        <v>0.0</v>
      </c>
      <c r="S1554" s="3" t="s">
        <v>6359</v>
      </c>
      <c r="T1554" s="2" t="s">
        <v>6360</v>
      </c>
      <c r="Y1554" s="4" t="str">
        <f>IFERROR(__xludf.DUMMYFUNCTION("""COMPUTED_VALUE"""),"6.8827355")</f>
        <v>6.8827355</v>
      </c>
      <c r="Z1554" s="4" t="str">
        <f>IFERROR(__xludf.DUMMYFUNCTION("""COMPUTED_VALUE"""),"4.0082563")</f>
        <v>4.0082563</v>
      </c>
      <c r="AA1554" s="4" t="str">
        <f t="shared" si="1"/>
        <v>Not Neighbor</v>
      </c>
      <c r="AC1554" s="4">
        <f>IFERROR(__xludf.DUMMYFUNCTION("IFERROR(ABS(O1554-AVERAGE(FILTER(O1554:O5622,AA1554:AA5622=""Neighbor""))) / STDEV(FILTER(O1554:O5622, AA1554:AA5622 =""Neighbor"")), """")"),1.885963029932269)</f>
        <v>1.88596303</v>
      </c>
      <c r="AD1554" s="4">
        <f>IFERROR(__xludf.DUMMYFUNCTION("IFERROR(ABS(P1554-AVERAGE(FILTER(O1554:P5622,AA1554:AA5622=""Neighbor""))) / STDEV(FILTER(P1554:P5622, AA1554:AA5622 =""Neighbor"")), """")"),0.30096845625667423)</f>
        <v>0.3009684563</v>
      </c>
      <c r="AE1554" s="2">
        <f>IFERROR(__xludf.DUMMYFUNCTION("IFERROR(ABS(Q1554-AVERAGE(FILTER(Q1554:Q5622,AA1554:AA5622=""Neighbor""))) / STDEV(FILTER(Q1554:Q5622, AA1554:AA5622 =""Neighbor"")), """")"),1.0478016588241004)</f>
        <v>1.047801659</v>
      </c>
      <c r="AF1554" s="2">
        <f>IFERROR(__xludf.DUMMYFUNCTION("IFERROR(ABS(R1554-AVERAGE(FILTER(R1554:R5622,AA1554:AA5622=""Neighbor""))) / STDEV(FILTER(R1554:R5622, AA1554:AA5622 =""Neighbor"")), """")"),0.3497297492157409)</f>
        <v>0.3497297492</v>
      </c>
    </row>
    <row r="1555">
      <c r="A1555" s="2" t="s">
        <v>28</v>
      </c>
      <c r="B1555" s="2" t="s">
        <v>6144</v>
      </c>
      <c r="C1555" s="2" t="s">
        <v>6356</v>
      </c>
      <c r="D1555" s="2" t="s">
        <v>6361</v>
      </c>
      <c r="E1555" s="2" t="s">
        <v>6362</v>
      </c>
      <c r="F1555" s="2">
        <v>212.0</v>
      </c>
      <c r="G1555" s="2">
        <v>728.0</v>
      </c>
      <c r="H1555" s="2" t="b">
        <v>1</v>
      </c>
      <c r="I1555" s="2">
        <v>-1.0</v>
      </c>
      <c r="J1555" s="2" t="b">
        <v>1</v>
      </c>
      <c r="K1555" s="2" t="b">
        <v>1</v>
      </c>
      <c r="L1555" s="2" t="b">
        <v>0</v>
      </c>
      <c r="M1555" s="2" t="b">
        <v>0</v>
      </c>
      <c r="N1555" s="2" t="s">
        <v>33</v>
      </c>
      <c r="O1555" s="2">
        <v>0.0</v>
      </c>
      <c r="P1555" s="2">
        <v>0.0</v>
      </c>
      <c r="Q1555" s="2">
        <v>0.0</v>
      </c>
      <c r="R1555" s="2">
        <v>0.0</v>
      </c>
      <c r="S1555" s="3" t="s">
        <v>6363</v>
      </c>
      <c r="T1555" s="2" t="s">
        <v>6364</v>
      </c>
      <c r="Y1555" s="4" t="str">
        <f>IFERROR(__xludf.DUMMYFUNCTION("""COMPUTED_VALUE"""),"6.8167329")</f>
        <v>6.8167329</v>
      </c>
      <c r="Z1555" s="4" t="str">
        <f>IFERROR(__xludf.DUMMYFUNCTION("""COMPUTED_VALUE"""),"3.9719614")</f>
        <v>3.9719614</v>
      </c>
      <c r="AA1555" s="4" t="str">
        <f t="shared" si="1"/>
        <v>Not Neighbor</v>
      </c>
      <c r="AC1555" s="4">
        <f>IFERROR(__xludf.DUMMYFUNCTION("IFERROR(ABS(O1555-AVERAGE(FILTER(O1555:O5623,AA1555:AA5623=""Neighbor""))) / STDEV(FILTER(O1555:O5623, AA1555:AA5623 =""Neighbor"")), """")"),1.488042438768165)</f>
        <v>1.488042439</v>
      </c>
      <c r="AD1555" s="4">
        <f>IFERROR(__xludf.DUMMYFUNCTION("IFERROR(ABS(P1555-AVERAGE(FILTER(O1555:P5623,AA1555:AA5623=""Neighbor""))) / STDEV(FILTER(P1555:P5623, AA1555:AA5623 =""Neighbor"")), """")"),1.7353075575771686)</f>
        <v>1.735307558</v>
      </c>
      <c r="AE1555" s="2">
        <f>IFERROR(__xludf.DUMMYFUNCTION("IFERROR(ABS(Q1555-AVERAGE(FILTER(Q1555:Q5623,AA1555:AA5623=""Neighbor""))) / STDEV(FILTER(Q1555:Q5623, AA1555:AA5623 =""Neighbor"")), """")"),0.9778186166762941)</f>
        <v>0.9778186167</v>
      </c>
      <c r="AF1555" s="2">
        <f>IFERROR(__xludf.DUMMYFUNCTION("IFERROR(ABS(R1555-AVERAGE(FILTER(R1555:R5623,AA1555:AA5623=""Neighbor""))) / STDEV(FILTER(R1555:R5623, AA1555:AA5623 =""Neighbor"")), """")"),0.3497297492157409)</f>
        <v>0.3497297492</v>
      </c>
    </row>
    <row r="1556">
      <c r="A1556" s="2" t="s">
        <v>28</v>
      </c>
      <c r="B1556" s="2" t="s">
        <v>6144</v>
      </c>
      <c r="C1556" s="2" t="s">
        <v>6356</v>
      </c>
      <c r="D1556" s="2" t="s">
        <v>6365</v>
      </c>
      <c r="E1556" s="2" t="s">
        <v>6366</v>
      </c>
      <c r="F1556" s="2">
        <v>159.0</v>
      </c>
      <c r="G1556" s="2">
        <v>806.0</v>
      </c>
      <c r="H1556" s="2" t="b">
        <v>1</v>
      </c>
      <c r="I1556" s="2">
        <v>-1.0</v>
      </c>
      <c r="J1556" s="2" t="b">
        <v>0</v>
      </c>
      <c r="K1556" s="2" t="b">
        <v>0</v>
      </c>
      <c r="L1556" s="2" t="b">
        <v>0</v>
      </c>
      <c r="M1556" s="2" t="b">
        <v>0</v>
      </c>
      <c r="N1556" s="2" t="s">
        <v>33</v>
      </c>
      <c r="O1556" s="2">
        <v>21.0</v>
      </c>
      <c r="P1556" s="2">
        <v>86.0</v>
      </c>
      <c r="Q1556" s="2">
        <v>17.0</v>
      </c>
      <c r="R1556" s="2">
        <v>1.0</v>
      </c>
      <c r="S1556" s="3" t="s">
        <v>6367</v>
      </c>
      <c r="T1556" s="2" t="s">
        <v>6368</v>
      </c>
      <c r="Y1556" s="4" t="str">
        <f>IFERROR(__xludf.DUMMYFUNCTION("""COMPUTED_VALUE"""),"6.8827355")</f>
        <v>6.8827355</v>
      </c>
      <c r="Z1556" s="4" t="str">
        <f>IFERROR(__xludf.DUMMYFUNCTION("""COMPUTED_VALUE"""),"4.0082563")</f>
        <v>4.0082563</v>
      </c>
      <c r="AA1556" s="4" t="str">
        <f t="shared" si="1"/>
        <v>Not Neighbor</v>
      </c>
      <c r="AC1556" s="4">
        <f>IFERROR(__xludf.DUMMYFUNCTION("IFERROR(ABS(O1556-AVERAGE(FILTER(O1556:O5624,AA1556:AA5624=""Neighbor""))) / STDEV(FILTER(O1556:O5624, AA1556:AA5624 =""Neighbor"")), """")"),0.9708591187483905)</f>
        <v>0.9708591187</v>
      </c>
      <c r="AD1556" s="4">
        <f>IFERROR(__xludf.DUMMYFUNCTION("IFERROR(ABS(P1556-AVERAGE(FILTER(O1556:P5624,AA1556:AA5624=""Neighbor""))) / STDEV(FILTER(P1556:P5624, AA1556:AA5624 =""Neighbor"")), """")"),2.1562421577497313)</f>
        <v>2.156242158</v>
      </c>
      <c r="AE1556" s="2">
        <f>IFERROR(__xludf.DUMMYFUNCTION("IFERROR(ABS(Q1556-AVERAGE(FILTER(Q1556:Q5624,AA1556:AA5624=""Neighbor""))) / STDEV(FILTER(Q1556:Q5624, AA1556:AA5624 =""Neighbor"")), """")"),0.31559660353193436)</f>
        <v>0.3155966035</v>
      </c>
      <c r="AF1556" s="2">
        <f>IFERROR(__xludf.DUMMYFUNCTION("IFERROR(ABS(R1556-AVERAGE(FILTER(R1556:R5624,AA1556:AA5624=""Neighbor""))) / STDEV(FILTER(R1556:R5624, AA1556:AA5624 =""Neighbor"")), """")"),0.8220335906003428)</f>
        <v>0.8220335906</v>
      </c>
    </row>
    <row r="1557">
      <c r="A1557" s="2" t="s">
        <v>28</v>
      </c>
      <c r="B1557" s="2" t="s">
        <v>6144</v>
      </c>
      <c r="C1557" s="2" t="s">
        <v>6356</v>
      </c>
      <c r="D1557" s="2" t="s">
        <v>6369</v>
      </c>
      <c r="E1557" s="2" t="s">
        <v>6370</v>
      </c>
      <c r="F1557" s="2">
        <v>258.0</v>
      </c>
      <c r="G1557" s="2">
        <v>823.0</v>
      </c>
      <c r="H1557" s="2" t="b">
        <v>1</v>
      </c>
      <c r="I1557" s="2">
        <v>-1.0</v>
      </c>
      <c r="J1557" s="2" t="b">
        <v>0</v>
      </c>
      <c r="K1557" s="2" t="b">
        <v>0</v>
      </c>
      <c r="L1557" s="2" t="b">
        <v>0</v>
      </c>
      <c r="M1557" s="2" t="b">
        <v>0</v>
      </c>
      <c r="N1557" s="2" t="s">
        <v>33</v>
      </c>
      <c r="O1557" s="2">
        <v>114.0</v>
      </c>
      <c r="P1557" s="2">
        <v>84.0</v>
      </c>
      <c r="Q1557" s="2">
        <v>29.0</v>
      </c>
      <c r="R1557" s="2">
        <v>0.0</v>
      </c>
      <c r="S1557" s="3" t="s">
        <v>6371</v>
      </c>
      <c r="T1557" s="2" t="s">
        <v>6372</v>
      </c>
      <c r="Y1557" s="4" t="str">
        <f>IFERROR(__xludf.DUMMYFUNCTION("""COMPUTED_VALUE"""),"6.8192562")</f>
        <v>6.8192562</v>
      </c>
      <c r="Z1557" s="4" t="str">
        <f>IFERROR(__xludf.DUMMYFUNCTION("""COMPUTED_VALUE"""),"3.9564268")</f>
        <v>3.9564268</v>
      </c>
      <c r="AA1557" s="4" t="str">
        <f t="shared" si="1"/>
        <v>Not Neighbor</v>
      </c>
      <c r="AC1557" s="4">
        <f>IFERROR(__xludf.DUMMYFUNCTION("IFERROR(ABS(O1557-AVERAGE(FILTER(O1557:O5625,AA1557:AA5625=""Neighbor""))) / STDEV(FILTER(O1557:O5625, AA1557:AA5625 =""Neighbor"")), """")"),1.319524155624897)</f>
        <v>1.319524156</v>
      </c>
      <c r="AD1557" s="4">
        <f>IFERROR(__xludf.DUMMYFUNCTION("IFERROR(ABS(P1557-AVERAGE(FILTER(O1557:P5625,AA1557:AA5625=""Neighbor""))) / STDEV(FILTER(P1557:P5625, AA1557:AA5625 =""Neighbor"")), """")"),2.065741001579338)</f>
        <v>2.065741002</v>
      </c>
      <c r="AE1557" s="2">
        <f>IFERROR(__xludf.DUMMYFUNCTION("IFERROR(ABS(Q1557-AVERAGE(FILTER(Q1557:Q5625,AA1557:AA5625=""Neighbor""))) / STDEV(FILTER(Q1557:Q5625, AA1557:AA5625 =""Neighbor"")), """")"),0.151854229275849)</f>
        <v>0.1518542293</v>
      </c>
      <c r="AF1557" s="2">
        <f>IFERROR(__xludf.DUMMYFUNCTION("IFERROR(ABS(R1557-AVERAGE(FILTER(R1557:R5625,AA1557:AA5625=""Neighbor""))) / STDEV(FILTER(R1557:R5625, AA1557:AA5625 =""Neighbor"")), """")"),0.3497297492157409)</f>
        <v>0.3497297492</v>
      </c>
    </row>
    <row r="1558">
      <c r="A1558" s="2" t="s">
        <v>28</v>
      </c>
      <c r="B1558" s="2" t="s">
        <v>6144</v>
      </c>
      <c r="C1558" s="2" t="s">
        <v>6356</v>
      </c>
      <c r="D1558" s="2" t="s">
        <v>6373</v>
      </c>
      <c r="E1558" s="2" t="s">
        <v>6374</v>
      </c>
      <c r="F1558" s="2">
        <v>138.0</v>
      </c>
      <c r="G1558" s="2">
        <v>632.0</v>
      </c>
      <c r="H1558" s="2" t="b">
        <v>1</v>
      </c>
      <c r="I1558" s="2">
        <v>-1.0</v>
      </c>
      <c r="J1558" s="2" t="b">
        <v>0</v>
      </c>
      <c r="K1558" s="2" t="b">
        <v>0</v>
      </c>
      <c r="L1558" s="2" t="b">
        <v>0</v>
      </c>
      <c r="M1558" s="2" t="b">
        <v>0</v>
      </c>
      <c r="N1558" s="2" t="s">
        <v>33</v>
      </c>
      <c r="O1558" s="2">
        <v>0.0</v>
      </c>
      <c r="P1558" s="2">
        <v>0.0</v>
      </c>
      <c r="Q1558" s="2">
        <v>0.0</v>
      </c>
      <c r="R1558" s="2">
        <v>0.0</v>
      </c>
      <c r="S1558" s="3" t="s">
        <v>6375</v>
      </c>
      <c r="T1558" s="2" t="s">
        <v>6376</v>
      </c>
      <c r="Y1558" s="4" t="str">
        <f>IFERROR(__xludf.DUMMYFUNCTION("""COMPUTED_VALUE"""),"8.2834582")</f>
        <v>8.2834582</v>
      </c>
      <c r="Z1558" s="4" t="str">
        <f>IFERROR(__xludf.DUMMYFUNCTION("""COMPUTED_VALUE"""),"6.2604968")</f>
        <v>6.2604968</v>
      </c>
      <c r="AA1558" s="4" t="str">
        <f t="shared" si="1"/>
        <v>Not Neighbor</v>
      </c>
      <c r="AC1558" s="4">
        <f>IFERROR(__xludf.DUMMYFUNCTION("IFERROR(ABS(O1558-AVERAGE(FILTER(O1558:O5626,AA1558:AA5626=""Neighbor""))) / STDEV(FILTER(O1558:O5626, AA1558:AA5626 =""Neighbor"")), """")"),1.488042438768165)</f>
        <v>1.488042439</v>
      </c>
      <c r="AD1558" s="4">
        <f>IFERROR(__xludf.DUMMYFUNCTION("IFERROR(ABS(P1558-AVERAGE(FILTER(O1558:P5626,AA1558:AA5626=""Neighbor""))) / STDEV(FILTER(P1558:P5626, AA1558:AA5626 =""Neighbor"")), """")"),1.7353075575771686)</f>
        <v>1.735307558</v>
      </c>
      <c r="AE1558" s="2">
        <f>IFERROR(__xludf.DUMMYFUNCTION("IFERROR(ABS(Q1558-AVERAGE(FILTER(Q1558:Q5626,AA1558:AA5626=""Neighbor""))) / STDEV(FILTER(Q1558:Q5626, AA1558:AA5626 =""Neighbor"")), """")"),0.9778186166762941)</f>
        <v>0.9778186167</v>
      </c>
      <c r="AF1558" s="2">
        <f>IFERROR(__xludf.DUMMYFUNCTION("IFERROR(ABS(R1558-AVERAGE(FILTER(R1558:R5626,AA1558:AA5626=""Neighbor""))) / STDEV(FILTER(R1558:R5626, AA1558:AA5626 =""Neighbor"")), """")"),0.3497297492157409)</f>
        <v>0.3497297492</v>
      </c>
    </row>
    <row r="1559">
      <c r="A1559" s="2" t="s">
        <v>28</v>
      </c>
      <c r="B1559" s="2" t="s">
        <v>6144</v>
      </c>
      <c r="C1559" s="2" t="s">
        <v>6356</v>
      </c>
      <c r="D1559" s="2" t="s">
        <v>6377</v>
      </c>
      <c r="E1559" s="2" t="s">
        <v>6378</v>
      </c>
      <c r="F1559" s="2">
        <v>191.0</v>
      </c>
      <c r="G1559" s="2">
        <v>689.0</v>
      </c>
      <c r="H1559" s="2" t="b">
        <v>1</v>
      </c>
      <c r="I1559" s="2">
        <v>-1.0</v>
      </c>
      <c r="J1559" s="2" t="b">
        <v>0</v>
      </c>
      <c r="K1559" s="2" t="b">
        <v>0</v>
      </c>
      <c r="L1559" s="2" t="b">
        <v>0</v>
      </c>
      <c r="M1559" s="2" t="b">
        <v>0</v>
      </c>
      <c r="N1559" s="2" t="s">
        <v>33</v>
      </c>
      <c r="O1559" s="2">
        <v>129.0</v>
      </c>
      <c r="P1559" s="2">
        <v>17.0</v>
      </c>
      <c r="Q1559" s="2">
        <v>37.0</v>
      </c>
      <c r="R1559" s="2">
        <v>1.0</v>
      </c>
      <c r="S1559" s="3" t="s">
        <v>6379</v>
      </c>
      <c r="T1559" s="2" t="s">
        <v>6380</v>
      </c>
      <c r="Y1559" s="4" t="str">
        <f>IFERROR(__xludf.DUMMYFUNCTION("""COMPUTED_VALUE"""),"6.8135688")</f>
        <v>6.8135688</v>
      </c>
      <c r="Z1559" s="4" t="str">
        <f>IFERROR(__xludf.DUMMYFUNCTION("""COMPUTED_VALUE"""),"3.962337")</f>
        <v>3.962337</v>
      </c>
      <c r="AA1559" s="4" t="str">
        <f t="shared" si="1"/>
        <v>Not Neighbor</v>
      </c>
      <c r="AC1559" s="4">
        <f>IFERROR(__xludf.DUMMYFUNCTION("IFERROR(ABS(O1559-AVERAGE(FILTER(O1559:O5627,AA1559:AA5627=""Neighbor""))) / STDEV(FILTER(O1559:O5627, AA1559:AA5627 =""Neighbor"")), """")"),1.6889408127818788)</f>
        <v>1.688940813</v>
      </c>
      <c r="AD1559" s="4">
        <f>IFERROR(__xludf.DUMMYFUNCTION("IFERROR(ABS(P1559-AVERAGE(FILTER(O1559:P5627,AA1559:AA5627=""Neighbor""))) / STDEV(FILTER(P1559:P5627, AA1559:AA5627 =""Neighbor"")), """")"),0.966047730128828)</f>
        <v>0.9660477301</v>
      </c>
      <c r="AE1559" s="2">
        <f>IFERROR(__xludf.DUMMYFUNCTION("IFERROR(ABS(Q1559-AVERAGE(FILTER(Q1559:Q5627,AA1559:AA5627=""Neighbor""))) / STDEV(FILTER(Q1559:Q5627, AA1559:AA5627 =""Neighbor"")), """")"),0.4634881178143712)</f>
        <v>0.4634881178</v>
      </c>
      <c r="AF1559" s="2">
        <f>IFERROR(__xludf.DUMMYFUNCTION("IFERROR(ABS(R1559-AVERAGE(FILTER(R1559:R5627,AA1559:AA5627=""Neighbor""))) / STDEV(FILTER(R1559:R5627, AA1559:AA5627 =""Neighbor"")), """")"),0.8220335906003428)</f>
        <v>0.8220335906</v>
      </c>
    </row>
    <row r="1560">
      <c r="A1560" s="2" t="s">
        <v>28</v>
      </c>
      <c r="B1560" s="2" t="s">
        <v>6144</v>
      </c>
      <c r="C1560" s="2" t="s">
        <v>6356</v>
      </c>
      <c r="D1560" s="2" t="s">
        <v>6381</v>
      </c>
      <c r="E1560" s="2" t="s">
        <v>6382</v>
      </c>
      <c r="F1560" s="2">
        <v>135.0</v>
      </c>
      <c r="G1560" s="2">
        <v>553.0</v>
      </c>
      <c r="H1560" s="2" t="b">
        <v>1</v>
      </c>
      <c r="I1560" s="2">
        <v>-1.0</v>
      </c>
      <c r="J1560" s="2" t="b">
        <v>0</v>
      </c>
      <c r="K1560" s="2" t="b">
        <v>0</v>
      </c>
      <c r="L1560" s="2" t="b">
        <v>0</v>
      </c>
      <c r="M1560" s="2" t="b">
        <v>0</v>
      </c>
      <c r="N1560" s="2" t="s">
        <v>33</v>
      </c>
      <c r="O1560" s="2">
        <v>70.0</v>
      </c>
      <c r="P1560" s="2">
        <v>38.0</v>
      </c>
      <c r="Q1560" s="2">
        <v>25.0</v>
      </c>
      <c r="R1560" s="2">
        <v>0.0</v>
      </c>
      <c r="S1560" s="3" t="s">
        <v>6383</v>
      </c>
      <c r="T1560" s="2" t="s">
        <v>6384</v>
      </c>
      <c r="Y1560" s="4" t="str">
        <f>IFERROR(__xludf.DUMMYFUNCTION("""COMPUTED_VALUE"""),"6.8827355")</f>
        <v>6.8827355</v>
      </c>
      <c r="Z1560" s="4" t="str">
        <f>IFERROR(__xludf.DUMMYFUNCTION("""COMPUTED_VALUE"""),"4.0082563")</f>
        <v>4.0082563</v>
      </c>
      <c r="AA1560" s="4" t="str">
        <f t="shared" si="1"/>
        <v>Neighbor</v>
      </c>
      <c r="AC1560" s="4">
        <f>IFERROR(__xludf.DUMMYFUNCTION("IFERROR(ABS(O1560-AVERAGE(FILTER(O1560:O5628,AA1560:AA5628=""Neighbor""))) / STDEV(FILTER(O1560:O5628, AA1560:AA5628 =""Neighbor"")), """")"),0.2359019612977503)</f>
        <v>0.2359019613</v>
      </c>
      <c r="AD1560" s="4">
        <f>IFERROR(__xludf.DUMMYFUNCTION("IFERROR(ABS(P1560-AVERAGE(FILTER(O1560:P5628,AA1560:AA5628=""Neighbor""))) / STDEV(FILTER(P1560:P5628, AA1560:AA5628 =""Neighbor"")), """")"),0.01578559033970134)</f>
        <v>0.01578559034</v>
      </c>
      <c r="AE1560" s="2">
        <f>IFERROR(__xludf.DUMMYFUNCTION("IFERROR(ABS(Q1560-AVERAGE(FILTER(Q1560:Q5628,AA1560:AA5628=""Neighbor""))) / STDEV(FILTER(Q1560:Q5628, AA1560:AA5628 =""Neighbor"")), """")"),0.003962714993412143)</f>
        <v>0.003962714993</v>
      </c>
      <c r="AF1560" s="2">
        <f>IFERROR(__xludf.DUMMYFUNCTION("IFERROR(ABS(R1560-AVERAGE(FILTER(R1560:R5628,AA1560:AA5628=""Neighbor""))) / STDEV(FILTER(R1560:R5628, AA1560:AA5628 =""Neighbor"")), """")"),0.3497297492157409)</f>
        <v>0.3497297492</v>
      </c>
    </row>
    <row r="1561">
      <c r="A1561" s="2" t="s">
        <v>28</v>
      </c>
      <c r="B1561" s="2" t="s">
        <v>6144</v>
      </c>
      <c r="C1561" s="2" t="s">
        <v>6356</v>
      </c>
      <c r="D1561" s="2" t="s">
        <v>6385</v>
      </c>
      <c r="E1561" s="2" t="s">
        <v>6386</v>
      </c>
      <c r="F1561" s="2">
        <v>164.0</v>
      </c>
      <c r="G1561" s="2">
        <v>684.0</v>
      </c>
      <c r="H1561" s="2" t="b">
        <v>1</v>
      </c>
      <c r="I1561" s="2">
        <v>-1.0</v>
      </c>
      <c r="J1561" s="2" t="b">
        <v>0</v>
      </c>
      <c r="K1561" s="2" t="b">
        <v>0</v>
      </c>
      <c r="L1561" s="2" t="b">
        <v>0</v>
      </c>
      <c r="M1561" s="2" t="b">
        <v>0</v>
      </c>
      <c r="N1561" s="2" t="s">
        <v>33</v>
      </c>
      <c r="O1561" s="2">
        <v>76.0</v>
      </c>
      <c r="P1561" s="2">
        <v>27.0</v>
      </c>
      <c r="Q1561" s="2">
        <v>46.0</v>
      </c>
      <c r="R1561" s="2">
        <v>1.0</v>
      </c>
      <c r="S1561" s="3" t="s">
        <v>6387</v>
      </c>
      <c r="T1561" s="2" t="s">
        <v>6388</v>
      </c>
      <c r="Y1561" s="4" t="str">
        <f>IFERROR(__xludf.DUMMYFUNCTION("""COMPUTED_VALUE"""),"6.8827355")</f>
        <v>6.8827355</v>
      </c>
      <c r="Z1561" s="4" t="str">
        <f>IFERROR(__xludf.DUMMYFUNCTION("""COMPUTED_VALUE"""),"4.0082563")</f>
        <v>4.0082563</v>
      </c>
      <c r="AA1561" s="4" t="str">
        <f t="shared" si="1"/>
        <v>Neighbor</v>
      </c>
      <c r="AC1561" s="4">
        <f>IFERROR(__xludf.DUMMYFUNCTION("IFERROR(ABS(O1561-AVERAGE(FILTER(O1561:O5629,AA1561:AA5629=""Neighbor""))) / STDEV(FILTER(O1561:O5629, AA1561:AA5629 =""Neighbor"")), """")"),0.3837210695131867)</f>
        <v>0.3837210695</v>
      </c>
      <c r="AD1561" s="4">
        <f>IFERROR(__xludf.DUMMYFUNCTION("IFERROR(ABS(P1561-AVERAGE(FILTER(O1561:P5629,AA1561:AA5629=""Neighbor""))) / STDEV(FILTER(P1561:P5629, AA1561:AA5629 =""Neighbor"")), """")"),0.512853538993199)</f>
        <v>0.512853539</v>
      </c>
      <c r="AE1561" s="2">
        <f>IFERROR(__xludf.DUMMYFUNCTION("IFERROR(ABS(Q1561-AVERAGE(FILTER(Q1561:Q5629,AA1561:AA5629=""Neighbor""))) / STDEV(FILTER(Q1561:Q5629, AA1561:AA5629 =""Neighbor"")), """")"),0.8136813429616954)</f>
        <v>0.813681343</v>
      </c>
      <c r="AF1561" s="2">
        <f>IFERROR(__xludf.DUMMYFUNCTION("IFERROR(ABS(R1561-AVERAGE(FILTER(R1561:R5629,AA1561:AA5629=""Neighbor""))) / STDEV(FILTER(R1561:R5629, AA1561:AA5629 =""Neighbor"")), """")"),0.821351172299319)</f>
        <v>0.8213511723</v>
      </c>
    </row>
    <row r="1562">
      <c r="A1562" s="2" t="s">
        <v>28</v>
      </c>
      <c r="B1562" s="2" t="s">
        <v>6144</v>
      </c>
      <c r="C1562" s="2" t="s">
        <v>6356</v>
      </c>
      <c r="D1562" s="2" t="s">
        <v>6389</v>
      </c>
      <c r="E1562" s="2" t="s">
        <v>6390</v>
      </c>
      <c r="F1562" s="2">
        <v>138.0</v>
      </c>
      <c r="G1562" s="2">
        <v>702.0</v>
      </c>
      <c r="H1562" s="2" t="b">
        <v>1</v>
      </c>
      <c r="I1562" s="2">
        <v>-1.0</v>
      </c>
      <c r="J1562" s="2" t="b">
        <v>0</v>
      </c>
      <c r="K1562" s="2" t="b">
        <v>1</v>
      </c>
      <c r="L1562" s="2" t="b">
        <v>0</v>
      </c>
      <c r="M1562" s="2" t="b">
        <v>0</v>
      </c>
      <c r="N1562" s="2" t="s">
        <v>33</v>
      </c>
      <c r="O1562" s="2">
        <v>86.0</v>
      </c>
      <c r="P1562" s="2">
        <v>26.0</v>
      </c>
      <c r="Q1562" s="2">
        <v>19.0</v>
      </c>
      <c r="R1562" s="2">
        <v>0.0</v>
      </c>
      <c r="S1562" s="3" t="s">
        <v>6391</v>
      </c>
      <c r="T1562" s="2" t="s">
        <v>6392</v>
      </c>
      <c r="Y1562" s="4" t="str">
        <f>IFERROR(__xludf.DUMMYFUNCTION("""COMPUTED_VALUE"""),"6.8827355")</f>
        <v>6.8827355</v>
      </c>
      <c r="Z1562" s="4" t="str">
        <f>IFERROR(__xludf.DUMMYFUNCTION("""COMPUTED_VALUE"""),"4.0082563")</f>
        <v>4.0082563</v>
      </c>
      <c r="AA1562" s="4" t="str">
        <f t="shared" si="1"/>
        <v>Neighbor</v>
      </c>
      <c r="AC1562" s="4">
        <f>IFERROR(__xludf.DUMMYFUNCTION("IFERROR(ABS(O1562-AVERAGE(FILTER(O1562:O5630,AA1562:AA5630=""Neighbor""))) / STDEV(FILTER(O1562:O5630, AA1562:AA5630 =""Neighbor"")), """")"),0.6299976332266886)</f>
        <v>0.6299976332</v>
      </c>
      <c r="AD1562" s="4">
        <f>IFERROR(__xludf.DUMMYFUNCTION("IFERROR(ABS(P1562-AVERAGE(FILTER(O1562:P5630,AA1562:AA5630=""Neighbor""))) / STDEV(FILTER(P1562:P5630, AA1562:AA5630 =""Neighbor"")), """")"),0.5573258427091348)</f>
        <v>0.5573258427</v>
      </c>
      <c r="AE1562" s="2">
        <f>IFERROR(__xludf.DUMMYFUNCTION("IFERROR(ABS(Q1562-AVERAGE(FILTER(Q1562:Q5630,AA1562:AA5630=""Neighbor""))) / STDEV(FILTER(Q1562:Q5630, AA1562:AA5630 =""Neighbor"")), """")"),0.2367569357306404)</f>
        <v>0.2367569357</v>
      </c>
      <c r="AF1562" s="2">
        <f>IFERROR(__xludf.DUMMYFUNCTION("IFERROR(ABS(R1562-AVERAGE(FILTER(R1562:R5630,AA1562:AA5630=""Neighbor""))) / STDEV(FILTER(R1562:R5630, AA1562:AA5630 =""Neighbor"")), """")"),0.3490737951690485)</f>
        <v>0.3490737952</v>
      </c>
    </row>
    <row r="1563">
      <c r="A1563" s="2" t="s">
        <v>28</v>
      </c>
      <c r="B1563" s="2" t="s">
        <v>6144</v>
      </c>
      <c r="C1563" s="2" t="s">
        <v>6356</v>
      </c>
      <c r="D1563" s="2" t="s">
        <v>6393</v>
      </c>
      <c r="E1563" s="2" t="s">
        <v>6394</v>
      </c>
      <c r="F1563" s="2">
        <v>229.0</v>
      </c>
      <c r="G1563" s="2">
        <v>917.0</v>
      </c>
      <c r="H1563" s="2" t="b">
        <v>1</v>
      </c>
      <c r="I1563" s="2">
        <v>-1.0</v>
      </c>
      <c r="J1563" s="2" t="b">
        <v>0</v>
      </c>
      <c r="K1563" s="2" t="b">
        <v>0</v>
      </c>
      <c r="L1563" s="2" t="b">
        <v>0</v>
      </c>
      <c r="M1563" s="2" t="b">
        <v>0</v>
      </c>
      <c r="N1563" s="2" t="s">
        <v>33</v>
      </c>
      <c r="O1563" s="2">
        <v>39.0</v>
      </c>
      <c r="P1563" s="2">
        <v>135.0</v>
      </c>
      <c r="Q1563" s="2">
        <v>31.0</v>
      </c>
      <c r="R1563" s="2">
        <v>0.0</v>
      </c>
      <c r="S1563" s="3" t="s">
        <v>6395</v>
      </c>
      <c r="T1563" s="2" t="s">
        <v>6396</v>
      </c>
      <c r="Y1563" s="4" t="str">
        <f>IFERROR(__xludf.DUMMYFUNCTION("""COMPUTED_VALUE"""),"6.8827355")</f>
        <v>6.8827355</v>
      </c>
      <c r="Z1563" s="4" t="str">
        <f>IFERROR(__xludf.DUMMYFUNCTION("""COMPUTED_VALUE"""),"4.0082563")</f>
        <v>4.0082563</v>
      </c>
      <c r="AA1563" s="4" t="str">
        <f t="shared" si="1"/>
        <v>Neighbor</v>
      </c>
      <c r="AC1563" s="4">
        <f>IFERROR(__xludf.DUMMYFUNCTION("IFERROR(ABS(O1563-AVERAGE(FILTER(O1563:O5631,AA1563:AA5631=""Neighbor""))) / STDEV(FILTER(O1563:O5631, AA1563:AA5631 =""Neighbor"")), """")"),0.5257493634921309)</f>
        <v>0.5257493635</v>
      </c>
      <c r="AD1563" s="4">
        <f>IFERROR(__xludf.DUMMYFUNCTION("IFERROR(ABS(P1563-AVERAGE(FILTER(O1563:P5631,AA1563:AA5631=""Neighbor""))) / STDEV(FILTER(P1563:P5631, AA1563:AA5631 =""Neighbor"")), """")"),4.372172859275478)</f>
        <v>4.372172859</v>
      </c>
      <c r="AE1563" s="2">
        <f>IFERROR(__xludf.DUMMYFUNCTION("IFERROR(ABS(Q1563-AVERAGE(FILTER(Q1563:Q5631,AA1563:AA5631=""Neighbor""))) / STDEV(FILTER(Q1563:Q5631, AA1563:AA5631 =""Neighbor"")), """")"),0.23006106041092758)</f>
        <v>0.2300610604</v>
      </c>
      <c r="AF1563" s="2">
        <f>IFERROR(__xludf.DUMMYFUNCTION("IFERROR(ABS(R1563-AVERAGE(FILTER(R1563:R5631,AA1563:AA5631=""Neighbor""))) / STDEV(FILTER(R1563:R5631, AA1563:AA5631 =""Neighbor"")), """")"),0.3492620792807018)</f>
        <v>0.3492620793</v>
      </c>
    </row>
    <row r="1564">
      <c r="A1564" s="2" t="s">
        <v>28</v>
      </c>
      <c r="B1564" s="2" t="s">
        <v>6144</v>
      </c>
      <c r="C1564" s="2" t="s">
        <v>6356</v>
      </c>
      <c r="D1564" s="2" t="s">
        <v>6397</v>
      </c>
      <c r="E1564" s="2" t="s">
        <v>6398</v>
      </c>
      <c r="F1564" s="2">
        <v>187.0</v>
      </c>
      <c r="G1564" s="2">
        <v>591.0</v>
      </c>
      <c r="H1564" s="2" t="b">
        <v>1</v>
      </c>
      <c r="I1564" s="2">
        <v>-1.0</v>
      </c>
      <c r="J1564" s="2" t="b">
        <v>0</v>
      </c>
      <c r="K1564" s="2" t="b">
        <v>0</v>
      </c>
      <c r="L1564" s="2" t="b">
        <v>0</v>
      </c>
      <c r="M1564" s="2" t="b">
        <v>0</v>
      </c>
      <c r="N1564" s="2" t="s">
        <v>33</v>
      </c>
      <c r="O1564" s="2">
        <v>112.0</v>
      </c>
      <c r="P1564" s="2">
        <v>24.0</v>
      </c>
      <c r="Q1564" s="2">
        <v>34.0</v>
      </c>
      <c r="R1564" s="2">
        <v>2.0</v>
      </c>
      <c r="S1564" s="3" t="s">
        <v>6399</v>
      </c>
      <c r="T1564" s="2" t="s">
        <v>6400</v>
      </c>
      <c r="Y1564" s="4" t="str">
        <f>IFERROR(__xludf.DUMMYFUNCTION("""COMPUTED_VALUE"""),"6.8827355")</f>
        <v>6.8827355</v>
      </c>
      <c r="Z1564" s="4" t="str">
        <f>IFERROR(__xludf.DUMMYFUNCTION("""COMPUTED_VALUE"""),"4.0082563")</f>
        <v>4.0082563</v>
      </c>
      <c r="AA1564" s="4" t="str">
        <f t="shared" si="1"/>
        <v>Not Neighbor</v>
      </c>
      <c r="AC1564" s="4">
        <f>IFERROR(__xludf.DUMMYFUNCTION("IFERROR(ABS(O1564-AVERAGE(FILTER(O1564:O5632,AA1564:AA5632=""Neighbor""))) / STDEV(FILTER(O1564:O5632, AA1564:AA5632 =""Neighbor"")), """")"),1.2690555589548784)</f>
        <v>1.269055559</v>
      </c>
      <c r="AD1564" s="4">
        <f>IFERROR(__xludf.DUMMYFUNCTION("IFERROR(ABS(P1564-AVERAGE(FILTER(O1564:P5632,AA1564:AA5632=""Neighbor""))) / STDEV(FILTER(P1564:P5632, AA1564:AA5632 =""Neighbor"")), """")"),0.6534903046809583)</f>
        <v>0.6534903047</v>
      </c>
      <c r="AE1564" s="2">
        <f>IFERROR(__xludf.DUMMYFUNCTION("IFERROR(ABS(Q1564-AVERAGE(FILTER(Q1564:Q5632,AA1564:AA5632=""Neighbor""))) / STDEV(FILTER(Q1564:Q5632, AA1564:AA5632 =""Neighbor"")), """")"),0.34685890162913413)</f>
        <v>0.3468589016</v>
      </c>
      <c r="AF1564" s="2">
        <f>IFERROR(__xludf.DUMMYFUNCTION("IFERROR(ABS(R1564-AVERAGE(FILTER(R1564:R5632,AA1564:AA5632=""Neighbor""))) / STDEV(FILTER(R1564:R5632, AA1564:AA5632 =""Neighbor"")), """")"),1.9907415498324097)</f>
        <v>1.99074155</v>
      </c>
    </row>
    <row r="1565">
      <c r="A1565" s="2" t="s">
        <v>28</v>
      </c>
      <c r="B1565" s="2" t="s">
        <v>6144</v>
      </c>
      <c r="C1565" s="2" t="s">
        <v>6401</v>
      </c>
      <c r="D1565" s="2" t="s">
        <v>6402</v>
      </c>
      <c r="E1565" s="2" t="s">
        <v>6403</v>
      </c>
      <c r="F1565" s="2">
        <v>219.0</v>
      </c>
      <c r="G1565" s="2">
        <v>717.0</v>
      </c>
      <c r="H1565" s="2" t="b">
        <v>1</v>
      </c>
      <c r="I1565" s="2">
        <v>-1.0</v>
      </c>
      <c r="J1565" s="2" t="b">
        <v>0</v>
      </c>
      <c r="K1565" s="2" t="b">
        <v>0</v>
      </c>
      <c r="L1565" s="2" t="b">
        <v>0</v>
      </c>
      <c r="M1565" s="2" t="b">
        <v>0</v>
      </c>
      <c r="N1565" s="2" t="s">
        <v>33</v>
      </c>
      <c r="O1565" s="2">
        <v>5.0</v>
      </c>
      <c r="P1565" s="2">
        <v>250.0</v>
      </c>
      <c r="Q1565" s="2">
        <v>4.0</v>
      </c>
      <c r="R1565" s="2">
        <v>30.0</v>
      </c>
      <c r="S1565" s="3" t="s">
        <v>6404</v>
      </c>
      <c r="T1565" s="2" t="s">
        <v>6405</v>
      </c>
      <c r="Y1565" s="4" t="str">
        <f>IFERROR(__xludf.DUMMYFUNCTION("""COMPUTED_VALUE"""),"6.8652183")</f>
        <v>6.8652183</v>
      </c>
      <c r="Z1565" s="4" t="str">
        <f>IFERROR(__xludf.DUMMYFUNCTION("""COMPUTED_VALUE"""),"3.9386402")</f>
        <v>3.9386402</v>
      </c>
      <c r="AA1565" s="4" t="str">
        <f t="shared" si="1"/>
        <v>Not Neighbor</v>
      </c>
      <c r="AC1565" s="4">
        <f>IFERROR(__xludf.DUMMYFUNCTION("IFERROR(ABS(O1565-AVERAGE(FILTER(O1565:O5633,AA1565:AA5633=""Neighbor""))) / STDEV(FILTER(O1565:O5633, AA1565:AA5633 =""Neighbor"")), """")"),1.3621594334077731)</f>
        <v>1.362159433</v>
      </c>
      <c r="AD1565" s="4">
        <f>IFERROR(__xludf.DUMMYFUNCTION("IFERROR(ABS(P1565-AVERAGE(FILTER(O1565:P5633,AA1565:AA5633=""Neighbor""))) / STDEV(FILTER(P1565:P5633, AA1565:AA5633 =""Neighbor"")), """")"),9.705384186466867)</f>
        <v>9.705384186</v>
      </c>
      <c r="AE1565" s="2">
        <f>IFERROR(__xludf.DUMMYFUNCTION("IFERROR(ABS(Q1565-AVERAGE(FILTER(Q1565:Q5633,AA1565:AA5633=""Neighbor""))) / STDEV(FILTER(Q1565:Q5633, AA1565:AA5633 =""Neighbor"")), """")"),0.8199539099438634)</f>
        <v>0.8199539099</v>
      </c>
      <c r="AF1565" s="2">
        <f>IFERROR(__xludf.DUMMYFUNCTION("IFERROR(ABS(R1565-AVERAGE(FILTER(R1565:R5633,AA1565:AA5633=""Neighbor""))) / STDEV(FILTER(R1565:R5633, AA1565:AA5633 =""Neighbor"")), """")"),34.753432605511435)</f>
        <v>34.75343261</v>
      </c>
    </row>
    <row r="1566">
      <c r="A1566" s="2" t="s">
        <v>28</v>
      </c>
      <c r="B1566" s="2" t="s">
        <v>6144</v>
      </c>
      <c r="C1566" s="2" t="s">
        <v>6401</v>
      </c>
      <c r="D1566" s="2" t="s">
        <v>6406</v>
      </c>
      <c r="E1566" s="2" t="s">
        <v>6407</v>
      </c>
      <c r="F1566" s="2">
        <v>223.0</v>
      </c>
      <c r="G1566" s="2">
        <v>794.0</v>
      </c>
      <c r="H1566" s="2" t="b">
        <v>1</v>
      </c>
      <c r="I1566" s="2">
        <v>-1.0</v>
      </c>
      <c r="J1566" s="2" t="b">
        <v>0</v>
      </c>
      <c r="K1566" s="2" t="b">
        <v>0</v>
      </c>
      <c r="L1566" s="2" t="b">
        <v>0</v>
      </c>
      <c r="M1566" s="2" t="b">
        <v>0</v>
      </c>
      <c r="N1566" s="2" t="s">
        <v>33</v>
      </c>
      <c r="O1566" s="2">
        <v>121.0</v>
      </c>
      <c r="P1566" s="2">
        <v>27.0</v>
      </c>
      <c r="Q1566" s="2">
        <v>52.0</v>
      </c>
      <c r="R1566" s="2">
        <v>0.0</v>
      </c>
      <c r="S1566" s="3" t="s">
        <v>6408</v>
      </c>
      <c r="T1566" s="2" t="s">
        <v>6409</v>
      </c>
      <c r="Y1566" s="4" t="str">
        <f>IFERROR(__xludf.DUMMYFUNCTION("""COMPUTED_VALUE"""),"6.8491298")</f>
        <v>6.8491298</v>
      </c>
      <c r="Z1566" s="4" t="str">
        <f>IFERROR(__xludf.DUMMYFUNCTION("""COMPUTED_VALUE"""),"3.9186365")</f>
        <v>3.9186365</v>
      </c>
      <c r="AA1566" s="4" t="str">
        <f t="shared" si="1"/>
        <v>Not Neighbor</v>
      </c>
      <c r="AC1566" s="4">
        <f>IFERROR(__xludf.DUMMYFUNCTION("IFERROR(ABS(O1566-AVERAGE(FILTER(O1566:O5634,AA1566:AA5634=""Neighbor""))) / STDEV(FILTER(O1566:O5634, AA1566:AA5634 =""Neighbor"")), """")"),1.490372707845195)</f>
        <v>1.490372708</v>
      </c>
      <c r="AD1566" s="4">
        <f>IFERROR(__xludf.DUMMYFUNCTION("IFERROR(ABS(P1566-AVERAGE(FILTER(O1566:P5634,AA1566:AA5634=""Neighbor""))) / STDEV(FILTER(P1566:P5634, AA1566:AA5634 =""Neighbor"")), """")"),0.5159831211701464)</f>
        <v>0.5159831212</v>
      </c>
      <c r="AE1566" s="2">
        <f>IFERROR(__xludf.DUMMYFUNCTION("IFERROR(ABS(Q1566-AVERAGE(FILTER(Q1566:Q5634,AA1566:AA5634=""Neighbor""))) / STDEV(FILTER(Q1566:Q5634, AA1566:AA5634 =""Neighbor"")), """")"),1.0469465885729325)</f>
        <v>1.046946589</v>
      </c>
      <c r="AF1566" s="2">
        <f>IFERROR(__xludf.DUMMYFUNCTION("IFERROR(ABS(R1566-AVERAGE(FILTER(R1566:R5634,AA1566:AA5634=""Neighbor""))) / STDEV(FILTER(R1566:R5634, AA1566:AA5634 =""Neighbor"")), """")"),0.3494506684303777)</f>
        <v>0.3494506684</v>
      </c>
    </row>
    <row r="1567">
      <c r="A1567" s="2" t="s">
        <v>28</v>
      </c>
      <c r="B1567" s="2" t="s">
        <v>6144</v>
      </c>
      <c r="C1567" s="2" t="s">
        <v>6401</v>
      </c>
      <c r="D1567" s="2" t="s">
        <v>6410</v>
      </c>
      <c r="E1567" s="2" t="s">
        <v>6411</v>
      </c>
      <c r="F1567" s="2">
        <v>148.0</v>
      </c>
      <c r="G1567" s="2">
        <v>725.0</v>
      </c>
      <c r="H1567" s="2" t="b">
        <v>1</v>
      </c>
      <c r="I1567" s="2">
        <v>-1.0</v>
      </c>
      <c r="J1567" s="2" t="b">
        <v>0</v>
      </c>
      <c r="K1567" s="2" t="b">
        <v>0</v>
      </c>
      <c r="L1567" s="2" t="b">
        <v>0</v>
      </c>
      <c r="M1567" s="2" t="b">
        <v>0</v>
      </c>
      <c r="N1567" s="2" t="s">
        <v>33</v>
      </c>
      <c r="O1567" s="2">
        <v>93.0</v>
      </c>
      <c r="P1567" s="2">
        <v>22.0</v>
      </c>
      <c r="Q1567" s="2">
        <v>24.0</v>
      </c>
      <c r="R1567" s="2">
        <v>1.0</v>
      </c>
      <c r="S1567" s="3" t="s">
        <v>6412</v>
      </c>
      <c r="T1567" s="2" t="s">
        <v>6413</v>
      </c>
      <c r="Y1567" s="4" t="str">
        <f>IFERROR(__xludf.DUMMYFUNCTION("""COMPUTED_VALUE"""),"6.847027")</f>
        <v>6.847027</v>
      </c>
      <c r="Z1567" s="4" t="str">
        <f>IFERROR(__xludf.DUMMYFUNCTION("""COMPUTED_VALUE"""),"3.9585122")</f>
        <v>3.9585122</v>
      </c>
      <c r="AA1567" s="4" t="str">
        <f t="shared" si="1"/>
        <v>Not Neighbor</v>
      </c>
      <c r="AC1567" s="4">
        <f>IFERROR(__xludf.DUMMYFUNCTION("IFERROR(ABS(O1567-AVERAGE(FILTER(O1567:O5635,AA1567:AA5635=""Neighbor""))) / STDEV(FILTER(O1567:O5635, AA1567:AA5635 =""Neighbor"")), """")"),0.8018304668530991)</f>
        <v>0.8018304669</v>
      </c>
      <c r="AD1567" s="4">
        <f>IFERROR(__xludf.DUMMYFUNCTION("IFERROR(ABS(P1567-AVERAGE(FILTER(O1567:P5635,AA1567:AA5635=""Neighbor""))) / STDEV(FILTER(P1567:P5635, AA1567:AA5635 =""Neighbor"")), """")"),0.7451617603548328)</f>
        <v>0.7451617604</v>
      </c>
      <c r="AE1567" s="2">
        <f>IFERROR(__xludf.DUMMYFUNCTION("IFERROR(ABS(Q1567-AVERAGE(FILTER(Q1567:Q5635,AA1567:AA5635=""Neighbor""))) / STDEV(FILTER(Q1567:Q5635, AA1567:AA5635 =""Neighbor"")), """")"),0.042078702228531724)</f>
        <v>0.04207870223</v>
      </c>
      <c r="AF1567" s="2">
        <f>IFERROR(__xludf.DUMMYFUNCTION("IFERROR(ABS(R1567-AVERAGE(FILTER(R1567:R5635,AA1567:AA5635=""Neighbor""))) / STDEV(FILTER(R1567:R5635, AA1567:AA5635 =""Neighbor"")), """")"),0.820645440701016)</f>
        <v>0.8206454407</v>
      </c>
    </row>
    <row r="1568">
      <c r="A1568" s="2" t="s">
        <v>28</v>
      </c>
      <c r="B1568" s="2" t="s">
        <v>6144</v>
      </c>
      <c r="C1568" s="2" t="s">
        <v>6401</v>
      </c>
      <c r="D1568" s="2" t="s">
        <v>6414</v>
      </c>
      <c r="E1568" s="2" t="s">
        <v>6415</v>
      </c>
      <c r="F1568" s="2">
        <v>269.0</v>
      </c>
      <c r="G1568" s="2">
        <v>768.0</v>
      </c>
      <c r="H1568" s="2" t="b">
        <v>1</v>
      </c>
      <c r="I1568" s="2">
        <v>-1.0</v>
      </c>
      <c r="J1568" s="2" t="b">
        <v>0</v>
      </c>
      <c r="K1568" s="2" t="b">
        <v>0</v>
      </c>
      <c r="L1568" s="2" t="b">
        <v>0</v>
      </c>
      <c r="M1568" s="2" t="b">
        <v>0</v>
      </c>
      <c r="N1568" s="2" t="s">
        <v>33</v>
      </c>
      <c r="O1568" s="2">
        <v>160.0</v>
      </c>
      <c r="P1568" s="2">
        <v>51.0</v>
      </c>
      <c r="Q1568" s="2">
        <v>28.0</v>
      </c>
      <c r="R1568" s="2">
        <v>3.0</v>
      </c>
      <c r="S1568" s="3" t="s">
        <v>6416</v>
      </c>
      <c r="T1568" s="2" t="s">
        <v>6417</v>
      </c>
      <c r="Y1568" s="4" t="str">
        <f>IFERROR(__xludf.DUMMYFUNCTION("""COMPUTED_VALUE"""),"6.8524813")</f>
        <v>6.8524813</v>
      </c>
      <c r="Z1568" s="4" t="str">
        <f>IFERROR(__xludf.DUMMYFUNCTION("""COMPUTED_VALUE"""),"3.945765")</f>
        <v>3.945765</v>
      </c>
      <c r="AA1568" s="4" t="str">
        <f t="shared" si="1"/>
        <v>Not Neighbor</v>
      </c>
      <c r="AC1568" s="4">
        <f>IFERROR(__xludf.DUMMYFUNCTION("IFERROR(ABS(O1568-AVERAGE(FILTER(O1568:O5636,AA1568:AA5636=""Neighbor""))) / STDEV(FILTER(O1568:O5636, AA1568:AA5636 =""Neighbor"")), """")"),2.4494136863698994)</f>
        <v>2.449413686</v>
      </c>
      <c r="AD1568" s="4">
        <f>IFERROR(__xludf.DUMMYFUNCTION("IFERROR(ABS(P1568-AVERAGE(FILTER(O1568:P5636,AA1568:AA5636=""Neighbor""))) / STDEV(FILTER(P1568:P5636, AA1568:AA5636 =""Neighbor"")), """")"),0.5840743469163482)</f>
        <v>0.5840743469</v>
      </c>
      <c r="AE1568" s="2">
        <f>IFERROR(__xludf.DUMMYFUNCTION("IFERROR(ABS(Q1568-AVERAGE(FILTER(Q1568:Q5636,AA1568:AA5636=""Neighbor""))) / STDEV(FILTER(Q1568:Q5636, AA1568:AA5636 =""Neighbor"")), """")"),0.11349633931453462)</f>
        <v>0.1134963393</v>
      </c>
      <c r="AF1568" s="2">
        <f>IFERROR(__xludf.DUMMYFUNCTION("IFERROR(ABS(R1568-AVERAGE(FILTER(R1568:R5636,AA1568:AA5636=""Neighbor""))) / STDEV(FILTER(R1568:R5636, AA1568:AA5636 =""Neighbor"")), """")"),3.160837658963804)</f>
        <v>3.160837659</v>
      </c>
    </row>
    <row r="1569">
      <c r="A1569" s="2" t="s">
        <v>28</v>
      </c>
      <c r="B1569" s="2" t="s">
        <v>6144</v>
      </c>
      <c r="C1569" s="2" t="s">
        <v>6418</v>
      </c>
      <c r="D1569" s="2" t="s">
        <v>6419</v>
      </c>
      <c r="E1569" s="2" t="s">
        <v>6420</v>
      </c>
      <c r="F1569" s="2">
        <v>250.0</v>
      </c>
      <c r="G1569" s="2">
        <v>905.0</v>
      </c>
      <c r="H1569" s="2" t="b">
        <v>1</v>
      </c>
      <c r="I1569" s="2">
        <v>-1.0</v>
      </c>
      <c r="J1569" s="2" t="b">
        <v>0</v>
      </c>
      <c r="K1569" s="2" t="b">
        <v>0</v>
      </c>
      <c r="L1569" s="2" t="b">
        <v>0</v>
      </c>
      <c r="M1569" s="2" t="b">
        <v>0</v>
      </c>
      <c r="N1569" s="2" t="s">
        <v>33</v>
      </c>
      <c r="O1569" s="2">
        <v>141.0</v>
      </c>
      <c r="P1569" s="2">
        <v>66.0</v>
      </c>
      <c r="Q1569" s="2">
        <v>34.0</v>
      </c>
      <c r="R1569" s="2">
        <v>0.0</v>
      </c>
      <c r="S1569" s="3" t="s">
        <v>6421</v>
      </c>
      <c r="T1569" s="2" t="s">
        <v>6422</v>
      </c>
      <c r="Y1569" s="4" t="str">
        <f>IFERROR(__xludf.DUMMYFUNCTION("""COMPUTED_VALUE"""),"6.8389194")</f>
        <v>6.8389194</v>
      </c>
      <c r="Z1569" s="4" t="str">
        <f>IFERROR(__xludf.DUMMYFUNCTION("""COMPUTED_VALUE"""),"3.9687122")</f>
        <v>3.9687122</v>
      </c>
      <c r="AA1569" s="4" t="str">
        <f t="shared" si="1"/>
        <v>Neighbor</v>
      </c>
      <c r="AC1569" s="4">
        <f>IFERROR(__xludf.DUMMYFUNCTION("IFERROR(ABS(O1569-AVERAGE(FILTER(O1569:O5637,AA1569:AA5637=""Neighbor""))) / STDEV(FILTER(O1569:O5637, AA1569:AA5637 =""Neighbor"")), """")"),1.98218859426812)</f>
        <v>1.982188594</v>
      </c>
      <c r="AD1569" s="4">
        <f>IFERROR(__xludf.DUMMYFUNCTION("IFERROR(ABS(P1569-AVERAGE(FILTER(O1569:P5637,AA1569:AA5637=""Neighbor""))) / STDEV(FILTER(P1569:P5637, AA1569:AA5637 =""Neighbor"")), """")"),1.2716102644704075)</f>
        <v>1.271610264</v>
      </c>
      <c r="AE1569" s="2">
        <f>IFERROR(__xludf.DUMMYFUNCTION("IFERROR(ABS(Q1569-AVERAGE(FILTER(Q1569:Q5637,AA1569:AA5637=""Neighbor""))) / STDEV(FILTER(Q1569:Q5637, AA1569:AA5637 =""Neighbor"")), """")"),0.34685890162913413)</f>
        <v>0.3468589016</v>
      </c>
      <c r="AF1569" s="2">
        <f>IFERROR(__xludf.DUMMYFUNCTION("IFERROR(ABS(R1569-AVERAGE(FILTER(R1569:R5637,AA1569:AA5637=""Neighbor""))) / STDEV(FILTER(R1569:R5637, AA1569:AA5637 =""Neighbor"")), """")"),0.3494506684303777)</f>
        <v>0.3494506684</v>
      </c>
    </row>
    <row r="1570">
      <c r="A1570" s="2" t="s">
        <v>28</v>
      </c>
      <c r="B1570" s="2" t="s">
        <v>6144</v>
      </c>
      <c r="C1570" s="2" t="s">
        <v>6418</v>
      </c>
      <c r="D1570" s="2" t="s">
        <v>6423</v>
      </c>
      <c r="E1570" s="2" t="s">
        <v>6424</v>
      </c>
      <c r="F1570" s="2">
        <v>192.0</v>
      </c>
      <c r="G1570" s="2">
        <v>573.0</v>
      </c>
      <c r="H1570" s="2" t="b">
        <v>1</v>
      </c>
      <c r="I1570" s="2">
        <v>-1.0</v>
      </c>
      <c r="J1570" s="2" t="b">
        <v>1</v>
      </c>
      <c r="K1570" s="2" t="b">
        <v>0</v>
      </c>
      <c r="L1570" s="2" t="b">
        <v>0</v>
      </c>
      <c r="M1570" s="2" t="b">
        <v>0</v>
      </c>
      <c r="N1570" s="2" t="s">
        <v>33</v>
      </c>
      <c r="O1570" s="2">
        <v>132.0</v>
      </c>
      <c r="P1570" s="2">
        <v>34.0</v>
      </c>
      <c r="Q1570" s="2">
        <v>21.0</v>
      </c>
      <c r="R1570" s="2">
        <v>0.0</v>
      </c>
      <c r="S1570" s="3" t="s">
        <v>6425</v>
      </c>
      <c r="T1570" s="2" t="s">
        <v>6426</v>
      </c>
      <c r="Y1570" s="4" t="str">
        <f>IFERROR(__xludf.DUMMYFUNCTION("""COMPUTED_VALUE"""),"6.8389194")</f>
        <v>6.8389194</v>
      </c>
      <c r="Z1570" s="4" t="str">
        <f>IFERROR(__xludf.DUMMYFUNCTION("""COMPUTED_VALUE"""),"3.9687122")</f>
        <v>3.9687122</v>
      </c>
      <c r="AA1570" s="4" t="str">
        <f t="shared" si="1"/>
        <v>Not Neighbor</v>
      </c>
      <c r="AC1570" s="4">
        <f>IFERROR(__xludf.DUMMYFUNCTION("IFERROR(ABS(O1570-AVERAGE(FILTER(O1570:O5638,AA1570:AA5638=""Neighbor""))) / STDEV(FILTER(O1570:O5638, AA1570:AA5638 =""Neighbor"")), """")"),1.7652833920883793)</f>
        <v>1.765283392</v>
      </c>
      <c r="AD1570" s="4">
        <f>IFERROR(__xludf.DUMMYFUNCTION("IFERROR(ABS(P1570-AVERAGE(FILTER(O1570:P5638,AA1570:AA5638=""Neighbor""))) / STDEV(FILTER(P1570:P5638, AA1570:AA5638 =""Neighbor"")), """")"),0.1926431320869314)</f>
        <v>0.1926431321</v>
      </c>
      <c r="AE1570" s="2">
        <f>IFERROR(__xludf.DUMMYFUNCTION("IFERROR(ABS(Q1570-AVERAGE(FILTER(Q1570:Q5638,AA1570:AA5638=""Neighbor""))) / STDEV(FILTER(Q1570:Q5638, AA1570:AA5638 =""Neighbor"")), """")"),0.15835829084518777)</f>
        <v>0.1583582908</v>
      </c>
      <c r="AF1570" s="2">
        <f>IFERROR(__xludf.DUMMYFUNCTION("IFERROR(ABS(R1570-AVERAGE(FILTER(R1570:R5638,AA1570:AA5638=""Neighbor""))) / STDEV(FILTER(R1570:R5638, AA1570:AA5638 =""Neighbor"")), """")"),0.3496395634427067)</f>
        <v>0.3496395634</v>
      </c>
    </row>
    <row r="1571">
      <c r="A1571" s="2" t="s">
        <v>28</v>
      </c>
      <c r="B1571" s="2" t="s">
        <v>6144</v>
      </c>
      <c r="C1571" s="2" t="s">
        <v>6418</v>
      </c>
      <c r="D1571" s="2" t="s">
        <v>6427</v>
      </c>
      <c r="E1571" s="2" t="s">
        <v>6428</v>
      </c>
      <c r="F1571" s="2">
        <v>143.0</v>
      </c>
      <c r="G1571" s="2">
        <v>805.0</v>
      </c>
      <c r="H1571" s="2" t="b">
        <v>1</v>
      </c>
      <c r="I1571" s="2">
        <v>-1.0</v>
      </c>
      <c r="J1571" s="2" t="b">
        <v>0</v>
      </c>
      <c r="K1571" s="2" t="b">
        <v>0</v>
      </c>
      <c r="L1571" s="2" t="b">
        <v>0</v>
      </c>
      <c r="M1571" s="2" t="b">
        <v>0</v>
      </c>
      <c r="N1571" s="2" t="s">
        <v>33</v>
      </c>
      <c r="O1571" s="2">
        <v>98.0</v>
      </c>
      <c r="P1571" s="2">
        <v>17.0</v>
      </c>
      <c r="Q1571" s="2">
        <v>18.0</v>
      </c>
      <c r="R1571" s="2">
        <v>0.0</v>
      </c>
      <c r="S1571" s="3" t="s">
        <v>6429</v>
      </c>
      <c r="T1571" s="2" t="s">
        <v>6430</v>
      </c>
      <c r="Y1571" s="4" t="str">
        <f>IFERROR(__xludf.DUMMYFUNCTION("""COMPUTED_VALUE"""),"6.8330532")</f>
        <v>6.8330532</v>
      </c>
      <c r="Z1571" s="4" t="str">
        <f>IFERROR(__xludf.DUMMYFUNCTION("""COMPUTED_VALUE"""),"3.9502262")</f>
        <v>3.9502262</v>
      </c>
      <c r="AA1571" s="4" t="str">
        <f t="shared" si="1"/>
        <v>Not Neighbor</v>
      </c>
      <c r="AC1571" s="4">
        <f>IFERROR(__xludf.DUMMYFUNCTION("IFERROR(ABS(O1571-AVERAGE(FILTER(O1571:O5639,AA1571:AA5639=""Neighbor""))) / STDEV(FILTER(O1571:O5639, AA1571:AA5639 =""Neighbor"")), """")"),0.9280104077299565)</f>
        <v>0.9280104077</v>
      </c>
      <c r="AD1571" s="4">
        <f>IFERROR(__xludf.DUMMYFUNCTION("IFERROR(ABS(P1571-AVERAGE(FILTER(O1571:P5639,AA1571:AA5639=""Neighbor""))) / STDEV(FILTER(P1571:P5639, AA1571:AA5639 =""Neighbor"")), """")"),0.9734468510340548)</f>
        <v>0.973446851</v>
      </c>
      <c r="AE1571" s="2">
        <f>IFERROR(__xludf.DUMMYFUNCTION("IFERROR(ABS(Q1571-AVERAGE(FILTER(Q1571:Q5639,AA1571:AA5639=""Neighbor""))) / STDEV(FILTER(Q1571:Q5639, AA1571:AA5639 =""Neighbor"")), """")"),0.27499007181568474)</f>
        <v>0.2749900718</v>
      </c>
      <c r="AF1571" s="2">
        <f>IFERROR(__xludf.DUMMYFUNCTION("IFERROR(ABS(R1571-AVERAGE(FILTER(R1571:R5639,AA1571:AA5639=""Neighbor""))) / STDEV(FILTER(R1571:R5639, AA1571:AA5639 =""Neighbor"")), """")"),0.3496395634427067)</f>
        <v>0.3496395634</v>
      </c>
    </row>
    <row r="1572">
      <c r="A1572" s="2" t="s">
        <v>28</v>
      </c>
      <c r="B1572" s="2" t="s">
        <v>6431</v>
      </c>
      <c r="C1572" s="2" t="s">
        <v>6432</v>
      </c>
      <c r="D1572" s="2" t="s">
        <v>6433</v>
      </c>
      <c r="E1572" s="2" t="s">
        <v>6434</v>
      </c>
      <c r="F1572" s="2">
        <v>228.0</v>
      </c>
      <c r="G1572" s="2">
        <v>646.0</v>
      </c>
      <c r="H1572" s="2" t="b">
        <v>1</v>
      </c>
      <c r="I1572" s="2">
        <v>-1.0</v>
      </c>
      <c r="J1572" s="2" t="b">
        <v>0</v>
      </c>
      <c r="K1572" s="2" t="b">
        <v>0</v>
      </c>
      <c r="L1572" s="2" t="b">
        <v>0</v>
      </c>
      <c r="M1572" s="2" t="b">
        <v>0</v>
      </c>
      <c r="N1572" s="2" t="s">
        <v>33</v>
      </c>
      <c r="O1572" s="2">
        <v>169.0</v>
      </c>
      <c r="P1572" s="2">
        <v>10.0</v>
      </c>
      <c r="Q1572" s="2">
        <v>30.0</v>
      </c>
      <c r="R1572" s="2">
        <v>1.0</v>
      </c>
      <c r="S1572" s="3" t="s">
        <v>6435</v>
      </c>
      <c r="T1572" s="2" t="s">
        <v>6436</v>
      </c>
      <c r="Y1572" s="4" t="str">
        <f>IFERROR(__xludf.DUMMYFUNCTION("""COMPUTED_VALUE"""),"6.7904683")</f>
        <v>6.7904683</v>
      </c>
      <c r="Z1572" s="4" t="str">
        <f>IFERROR(__xludf.DUMMYFUNCTION("""COMPUTED_VALUE"""),"3.9251722")</f>
        <v>3.9251722</v>
      </c>
      <c r="AA1572" s="4" t="str">
        <f t="shared" si="1"/>
        <v>Not Neighbor</v>
      </c>
      <c r="AC1572" s="4">
        <f>IFERROR(__xludf.DUMMYFUNCTION("IFERROR(ABS(O1572-AVERAGE(FILTER(O1572:O5640,AA1572:AA5640=""Neighbor""))) / STDEV(FILTER(O1572:O5640, AA1572:AA5640 =""Neighbor"")), """")"),2.676433404478428)</f>
        <v>2.676433404</v>
      </c>
      <c r="AD1572" s="4">
        <f>IFERROR(__xludf.DUMMYFUNCTION("IFERROR(ABS(P1572-AVERAGE(FILTER(O1572:P5640,AA1572:AA5640=""Neighbor""))) / STDEV(FILTER(P1572:P5640, AA1572:AA5640 =""Neighbor"")), """")"),1.2949542647181644)</f>
        <v>1.294954265</v>
      </c>
      <c r="AE1572" s="2">
        <f>IFERROR(__xludf.DUMMYFUNCTION("IFERROR(ABS(Q1572-AVERAGE(FILTER(Q1572:Q5640,AA1572:AA5640=""Neighbor""))) / STDEV(FILTER(Q1572:Q5640, AA1572:AA5640 =""Neighbor"")), """")"),0.19153705206630314)</f>
        <v>0.1915370521</v>
      </c>
      <c r="AF1572" s="2">
        <f>IFERROR(__xludf.DUMMYFUNCTION("IFERROR(ABS(R1572-AVERAGE(FILTER(R1572:R5640,AA1572:AA5640=""Neighbor""))) / STDEV(FILTER(R1572:R5640, AA1572:AA5640 =""Neighbor"")), """")"),0.8199611697511219)</f>
        <v>0.8199611698</v>
      </c>
    </row>
    <row r="1573">
      <c r="A1573" s="2" t="s">
        <v>28</v>
      </c>
      <c r="B1573" s="2" t="s">
        <v>6431</v>
      </c>
      <c r="C1573" s="2" t="s">
        <v>6432</v>
      </c>
      <c r="D1573" s="2" t="s">
        <v>6437</v>
      </c>
      <c r="E1573" s="2" t="s">
        <v>6438</v>
      </c>
      <c r="F1573" s="2">
        <v>204.0</v>
      </c>
      <c r="G1573" s="2">
        <v>676.0</v>
      </c>
      <c r="H1573" s="2" t="b">
        <v>1</v>
      </c>
      <c r="I1573" s="2">
        <v>-1.0</v>
      </c>
      <c r="J1573" s="2" t="b">
        <v>0</v>
      </c>
      <c r="K1573" s="2" t="b">
        <v>0</v>
      </c>
      <c r="L1573" s="2" t="b">
        <v>0</v>
      </c>
      <c r="M1573" s="2" t="b">
        <v>0</v>
      </c>
      <c r="N1573" s="2" t="s">
        <v>33</v>
      </c>
      <c r="O1573" s="2">
        <v>121.0</v>
      </c>
      <c r="P1573" s="2">
        <v>35.0</v>
      </c>
      <c r="Q1573" s="2">
        <v>36.0</v>
      </c>
      <c r="R1573" s="2">
        <v>0.0</v>
      </c>
      <c r="S1573" s="3" t="s">
        <v>6439</v>
      </c>
      <c r="T1573" s="2" t="s">
        <v>6440</v>
      </c>
      <c r="Y1573" s="4" t="str">
        <f>IFERROR(__xludf.DUMMYFUNCTION("""COMPUTED_VALUE"""),"6.8169047")</f>
        <v>6.8169047</v>
      </c>
      <c r="Z1573" s="4" t="str">
        <f>IFERROR(__xludf.DUMMYFUNCTION("""COMPUTED_VALUE"""),"3.9193441")</f>
        <v>3.9193441</v>
      </c>
      <c r="AA1573" s="4" t="str">
        <f t="shared" si="1"/>
        <v>Neighbor</v>
      </c>
      <c r="AC1573" s="4">
        <f>IFERROR(__xludf.DUMMYFUNCTION("IFERROR(ABS(O1573-AVERAGE(FILTER(O1573:O5641,AA1573:AA5641=""Neighbor""))) / STDEV(FILTER(O1573:O5641, AA1573:AA5641 =""Neighbor"")), """")"),1.494400955972419)</f>
        <v>1.494400956</v>
      </c>
      <c r="AD1573" s="4">
        <f>IFERROR(__xludf.DUMMYFUNCTION("IFERROR(ABS(P1573-AVERAGE(FILTER(O1573:P5641,AA1573:AA5641=""Neighbor""))) / STDEV(FILTER(P1573:P5641, AA1573:AA5641 =""Neighbor"")), """")"),0.14671350156063004)</f>
        <v>0.1467135016</v>
      </c>
      <c r="AE1573" s="2">
        <f>IFERROR(__xludf.DUMMYFUNCTION("IFERROR(ABS(Q1573-AVERAGE(FILTER(Q1573:Q5641,AA1573:AA5641=""Neighbor""))) / STDEV(FILTER(Q1573:Q5641, AA1573:AA5641 =""Neighbor"")), """")"),0.4248006140072971)</f>
        <v>0.424800614</v>
      </c>
      <c r="AF1573" s="2">
        <f>IFERROR(__xludf.DUMMYFUNCTION("IFERROR(ABS(R1573-AVERAGE(FILTER(R1573:R5641,AA1573:AA5641=""Neighbor""))) / STDEV(FILTER(R1573:R5641, AA1573:AA5641 =""Neighbor"")), """")"),0.3496395634427067)</f>
        <v>0.3496395634</v>
      </c>
    </row>
    <row r="1574">
      <c r="A1574" s="2" t="s">
        <v>28</v>
      </c>
      <c r="B1574" s="2" t="s">
        <v>6431</v>
      </c>
      <c r="C1574" s="2" t="s">
        <v>6432</v>
      </c>
      <c r="D1574" s="2" t="s">
        <v>6441</v>
      </c>
      <c r="E1574" s="2" t="s">
        <v>6442</v>
      </c>
      <c r="F1574" s="2">
        <v>195.0</v>
      </c>
      <c r="G1574" s="2">
        <v>583.0</v>
      </c>
      <c r="H1574" s="2" t="b">
        <v>1</v>
      </c>
      <c r="I1574" s="2">
        <v>-1.0</v>
      </c>
      <c r="J1574" s="2" t="b">
        <v>0</v>
      </c>
      <c r="K1574" s="2" t="b">
        <v>0</v>
      </c>
      <c r="L1574" s="2" t="b">
        <v>0</v>
      </c>
      <c r="M1574" s="2" t="b">
        <v>0</v>
      </c>
      <c r="N1574" s="2" t="s">
        <v>33</v>
      </c>
      <c r="O1574" s="2">
        <v>145.0</v>
      </c>
      <c r="P1574" s="2">
        <v>8.0</v>
      </c>
      <c r="Q1574" s="2">
        <v>33.0</v>
      </c>
      <c r="R1574" s="2">
        <v>0.0</v>
      </c>
      <c r="S1574" s="3" t="s">
        <v>6443</v>
      </c>
      <c r="T1574" s="2" t="s">
        <v>6444</v>
      </c>
      <c r="Y1574" s="4" t="str">
        <f>IFERROR(__xludf.DUMMYFUNCTION("""COMPUTED_VALUE"""),"6.8146046")</f>
        <v>6.8146046</v>
      </c>
      <c r="Z1574" s="4" t="str">
        <f>IFERROR(__xludf.DUMMYFUNCTION("""COMPUTED_VALUE"""),"3.9207895")</f>
        <v>3.9207895</v>
      </c>
      <c r="AA1574" s="4" t="str">
        <f t="shared" si="1"/>
        <v>Neighbor</v>
      </c>
      <c r="AC1574" s="4">
        <f>IFERROR(__xludf.DUMMYFUNCTION("IFERROR(ABS(O1574-AVERAGE(FILTER(O1574:O5642,AA1574:AA5642=""Neighbor""))) / STDEV(FILTER(O1574:O5642, AA1574:AA5642 =""Neighbor"")), """")"),2.088106220043681)</f>
        <v>2.08810622</v>
      </c>
      <c r="AD1574" s="4">
        <f>IFERROR(__xludf.DUMMYFUNCTION("IFERROR(ABS(P1574-AVERAGE(FILTER(O1574:P5642,AA1574:AA5642=""Neighbor""))) / STDEV(FILTER(P1574:P5642, AA1574:AA5642 =""Neighbor"")), """")"),1.384885834399164)</f>
        <v>1.384885834</v>
      </c>
      <c r="AE1574" s="2">
        <f>IFERROR(__xludf.DUMMYFUNCTION("IFERROR(ABS(Q1574-AVERAGE(FILTER(Q1574:Q5642,AA1574:AA5642=""Neighbor""))) / STDEV(FILTER(Q1574:Q5642, AA1574:AA5642 =""Neighbor"")), """")"),0.308456799618914)</f>
        <v>0.3084567996</v>
      </c>
      <c r="AF1574" s="2">
        <f>IFERROR(__xludf.DUMMYFUNCTION("IFERROR(ABS(R1574-AVERAGE(FILTER(R1574:R5642,AA1574:AA5642=""Neighbor""))) / STDEV(FILTER(R1574:R5642, AA1574:AA5642 =""Neighbor"")), """")"),0.3498287651454436)</f>
        <v>0.3498287651</v>
      </c>
    </row>
    <row r="1575">
      <c r="A1575" s="2" t="s">
        <v>28</v>
      </c>
      <c r="B1575" s="2" t="s">
        <v>6431</v>
      </c>
      <c r="C1575" s="2" t="s">
        <v>6432</v>
      </c>
      <c r="D1575" s="2" t="s">
        <v>6445</v>
      </c>
      <c r="E1575" s="2" t="s">
        <v>6446</v>
      </c>
      <c r="F1575" s="2">
        <v>220.0</v>
      </c>
      <c r="G1575" s="2">
        <v>736.0</v>
      </c>
      <c r="H1575" s="2" t="b">
        <v>1</v>
      </c>
      <c r="I1575" s="2">
        <v>-1.0</v>
      </c>
      <c r="J1575" s="2" t="b">
        <v>0</v>
      </c>
      <c r="K1575" s="2" t="b">
        <v>1</v>
      </c>
      <c r="L1575" s="2" t="b">
        <v>0</v>
      </c>
      <c r="M1575" s="2" t="b">
        <v>0</v>
      </c>
      <c r="N1575" s="2" t="s">
        <v>33</v>
      </c>
      <c r="O1575" s="2">
        <v>142.0</v>
      </c>
      <c r="P1575" s="2">
        <v>6.0</v>
      </c>
      <c r="Q1575" s="2">
        <v>63.0</v>
      </c>
      <c r="R1575" s="2">
        <v>0.0</v>
      </c>
      <c r="S1575" s="3" t="s">
        <v>6447</v>
      </c>
      <c r="T1575" s="2" t="s">
        <v>6448</v>
      </c>
      <c r="Y1575" s="4" t="str">
        <f>IFERROR(__xludf.DUMMYFUNCTION("""COMPUTED_VALUE"""),"6.8137967")</f>
        <v>6.8137967</v>
      </c>
      <c r="Z1575" s="4" t="str">
        <f>IFERROR(__xludf.DUMMYFUNCTION("""COMPUTED_VALUE"""),"3.9191047")</f>
        <v>3.9191047</v>
      </c>
      <c r="AA1575" s="4" t="str">
        <f t="shared" si="1"/>
        <v>Neighbor</v>
      </c>
      <c r="AC1575" s="4">
        <f>IFERROR(__xludf.DUMMYFUNCTION("IFERROR(ABS(O1575-AVERAGE(FILTER(O1575:O5643,AA1575:AA5643=""Neighbor""))) / STDEV(FILTER(O1575:O5643, AA1575:AA5643 =""Neighbor"")), """")"),2.0194907142872323)</f>
        <v>2.019490714</v>
      </c>
      <c r="AD1575" s="4">
        <f>IFERROR(__xludf.DUMMYFUNCTION("IFERROR(ABS(P1575-AVERAGE(FILTER(O1575:P5643,AA1575:AA5643=""Neighbor""))) / STDEV(FILTER(P1575:P5643, AA1575:AA5643 =""Neighbor"")), """")"),1.4744177300388661)</f>
        <v>1.47441773</v>
      </c>
      <c r="AE1575" s="2">
        <f>IFERROR(__xludf.DUMMYFUNCTION("IFERROR(ABS(Q1575-AVERAGE(FILTER(Q1575:Q5643,AA1575:AA5643=""Neighbor""))) / STDEV(FILTER(Q1575:Q5643, AA1575:AA5643 =""Neighbor"")), """")"),1.473966516119758)</f>
        <v>1.473966516</v>
      </c>
      <c r="AF1575" s="2">
        <f>IFERROR(__xludf.DUMMYFUNCTION("IFERROR(ABS(R1575-AVERAGE(FILTER(R1575:R5643,AA1575:AA5643=""Neighbor""))) / STDEV(FILTER(R1575:R5643, AA1575:AA5643 =""Neighbor"")), """")"),0.3500182743694836)</f>
        <v>0.3500182744</v>
      </c>
    </row>
    <row r="1576">
      <c r="A1576" s="2" t="s">
        <v>28</v>
      </c>
      <c r="B1576" s="2" t="s">
        <v>6431</v>
      </c>
      <c r="C1576" s="2" t="s">
        <v>6432</v>
      </c>
      <c r="D1576" s="2" t="s">
        <v>6449</v>
      </c>
      <c r="E1576" s="2" t="s">
        <v>6446</v>
      </c>
      <c r="F1576" s="2">
        <v>220.0</v>
      </c>
      <c r="G1576" s="2">
        <v>736.0</v>
      </c>
      <c r="H1576" s="2" t="b">
        <v>1</v>
      </c>
      <c r="I1576" s="2">
        <v>-1.0</v>
      </c>
      <c r="J1576" s="2" t="b">
        <v>0</v>
      </c>
      <c r="K1576" s="2" t="b">
        <v>0</v>
      </c>
      <c r="L1576" s="2" t="b">
        <v>0</v>
      </c>
      <c r="M1576" s="2" t="b">
        <v>0</v>
      </c>
      <c r="N1576" s="2" t="s">
        <v>33</v>
      </c>
      <c r="O1576" s="2">
        <v>133.0</v>
      </c>
      <c r="P1576" s="2">
        <v>18.0</v>
      </c>
      <c r="Q1576" s="2">
        <v>28.0</v>
      </c>
      <c r="R1576" s="2">
        <v>0.0</v>
      </c>
      <c r="S1576" s="3" t="s">
        <v>6447</v>
      </c>
      <c r="T1576" s="2" t="s">
        <v>6448</v>
      </c>
      <c r="Y1576" s="4" t="str">
        <f>IFERROR(__xludf.DUMMYFUNCTION("""COMPUTED_VALUE"""),"6.8137967")</f>
        <v>6.8137967</v>
      </c>
      <c r="Z1576" s="4" t="str">
        <f>IFERROR(__xludf.DUMMYFUNCTION("""COMPUTED_VALUE"""),"3.9191047")</f>
        <v>3.9191047</v>
      </c>
      <c r="AA1576" s="4" t="str">
        <f t="shared" si="1"/>
        <v>Neighbor</v>
      </c>
      <c r="AC1576" s="4">
        <f>IFERROR(__xludf.DUMMYFUNCTION("IFERROR(ABS(O1576-AVERAGE(FILTER(O1576:O5644,AA1576:AA5644=""Neighbor""))) / STDEV(FILTER(O1576:O5644, AA1576:AA5644 =""Neighbor"")), """")"),1.8020091044825015)</f>
        <v>1.802009104</v>
      </c>
      <c r="AD1576" s="4">
        <f>IFERROR(__xludf.DUMMYFUNCTION("IFERROR(ABS(P1576-AVERAGE(FILTER(O1576:P5644,AA1576:AA5644=""Neighbor""))) / STDEV(FILTER(P1576:P5644, AA1576:AA5644 =""Neighbor"")), """")"),0.921613144487281)</f>
        <v>0.9216131445</v>
      </c>
      <c r="AE1576" s="2">
        <f>IFERROR(__xludf.DUMMYFUNCTION("IFERROR(ABS(Q1576-AVERAGE(FILTER(Q1576:Q5644,AA1576:AA5644=""Neighbor""))) / STDEV(FILTER(Q1576:Q5644, AA1576:AA5644 =""Neighbor"")), """")"),0.1158867933914187)</f>
        <v>0.1158867934</v>
      </c>
      <c r="AF1576" s="2">
        <f>IFERROR(__xludf.DUMMYFUNCTION("IFERROR(ABS(R1576-AVERAGE(FILTER(R1576:R5644,AA1576:AA5644=""Neighbor""))) / STDEV(FILTER(R1576:R5644, AA1576:AA5644 =""Neighbor"")), """")"),0.3502080919488771)</f>
        <v>0.3502080919</v>
      </c>
    </row>
    <row r="1577">
      <c r="A1577" s="2" t="s">
        <v>28</v>
      </c>
      <c r="B1577" s="2" t="s">
        <v>6431</v>
      </c>
      <c r="C1577" s="2" t="s">
        <v>6432</v>
      </c>
      <c r="D1577" s="2" t="s">
        <v>6450</v>
      </c>
      <c r="E1577" s="2" t="s">
        <v>6451</v>
      </c>
      <c r="F1577" s="2">
        <v>256.0</v>
      </c>
      <c r="G1577" s="2">
        <v>793.0</v>
      </c>
      <c r="H1577" s="2" t="b">
        <v>1</v>
      </c>
      <c r="I1577" s="2">
        <v>-1.0</v>
      </c>
      <c r="J1577" s="2" t="b">
        <v>0</v>
      </c>
      <c r="K1577" s="2" t="b">
        <v>0</v>
      </c>
      <c r="L1577" s="2" t="b">
        <v>0</v>
      </c>
      <c r="M1577" s="2" t="b">
        <v>0</v>
      </c>
      <c r="N1577" s="2" t="s">
        <v>33</v>
      </c>
      <c r="O1577" s="2">
        <v>176.0</v>
      </c>
      <c r="P1577" s="2">
        <v>12.0</v>
      </c>
      <c r="Q1577" s="2">
        <v>58.0</v>
      </c>
      <c r="R1577" s="2">
        <v>0.0</v>
      </c>
      <c r="S1577" s="3" t="s">
        <v>6452</v>
      </c>
      <c r="T1577" s="2" t="s">
        <v>6453</v>
      </c>
      <c r="Y1577" s="4" t="str">
        <f>IFERROR(__xludf.DUMMYFUNCTION("""COMPUTED_VALUE"""),"6.8146046")</f>
        <v>6.8146046</v>
      </c>
      <c r="Z1577" s="4" t="str">
        <f>IFERROR(__xludf.DUMMYFUNCTION("""COMPUTED_VALUE"""),"3.9207895")</f>
        <v>3.9207895</v>
      </c>
      <c r="AA1577" s="4" t="str">
        <f t="shared" si="1"/>
        <v>Not Neighbor</v>
      </c>
      <c r="AC1577" s="4">
        <f>IFERROR(__xludf.DUMMYFUNCTION("IFERROR(ABS(O1577-AVERAGE(FILTER(O1577:O5645,AA1577:AA5645=""Neighbor""))) / STDEV(FILTER(O1577:O5645, AA1577:AA5645 =""Neighbor"")), """")"),2.869735551554937)</f>
        <v>2.869735552</v>
      </c>
      <c r="AD1577" s="4">
        <f>IFERROR(__xludf.DUMMYFUNCTION("IFERROR(ABS(P1577-AVERAGE(FILTER(O1577:P5645,AA1577:AA5645=""Neighbor""))) / STDEV(FILTER(P1577:P5645, AA1577:AA5645 =""Neighbor"")), """")"),1.1947025686667567)</f>
        <v>1.194702569</v>
      </c>
      <c r="AE1577" s="2">
        <f>IFERROR(__xludf.DUMMYFUNCTION("IFERROR(ABS(Q1577-AVERAGE(FILTER(Q1577:Q5645,AA1577:AA5645=""Neighbor""))) / STDEV(FILTER(Q1577:Q5645, AA1577:AA5645 =""Neighbor"")), """")"),1.281396476601914)</f>
        <v>1.281396477</v>
      </c>
      <c r="AF1577" s="2">
        <f>IFERROR(__xludf.DUMMYFUNCTION("IFERROR(ABS(R1577-AVERAGE(FILTER(R1577:R5645,AA1577:AA5645=""Neighbor""))) / STDEV(FILTER(R1577:R5645, AA1577:AA5645 =""Neighbor"")), """")"),0.350398218720845)</f>
        <v>0.3503982187</v>
      </c>
    </row>
    <row r="1578">
      <c r="A1578" s="2" t="s">
        <v>28</v>
      </c>
      <c r="B1578" s="2" t="s">
        <v>6431</v>
      </c>
      <c r="C1578" s="2" t="s">
        <v>6454</v>
      </c>
      <c r="D1578" s="2" t="s">
        <v>6455</v>
      </c>
      <c r="E1578" s="2" t="s">
        <v>6456</v>
      </c>
      <c r="F1578" s="2">
        <v>258.0</v>
      </c>
      <c r="G1578" s="2">
        <v>781.0</v>
      </c>
      <c r="H1578" s="2" t="b">
        <v>1</v>
      </c>
      <c r="I1578" s="2">
        <v>-1.0</v>
      </c>
      <c r="J1578" s="2" t="b">
        <v>0</v>
      </c>
      <c r="K1578" s="2" t="b">
        <v>0</v>
      </c>
      <c r="L1578" s="2" t="b">
        <v>0</v>
      </c>
      <c r="M1578" s="2" t="b">
        <v>0</v>
      </c>
      <c r="N1578" s="2" t="s">
        <v>33</v>
      </c>
      <c r="O1578" s="2">
        <v>163.0</v>
      </c>
      <c r="P1578" s="2">
        <v>5.0</v>
      </c>
      <c r="Q1578" s="2">
        <v>77.0</v>
      </c>
      <c r="R1578" s="2">
        <v>0.0</v>
      </c>
      <c r="S1578" s="3" t="s">
        <v>6457</v>
      </c>
      <c r="T1578" s="2" t="s">
        <v>6458</v>
      </c>
      <c r="Y1578" s="4" t="str">
        <f>IFERROR(__xludf.DUMMYFUNCTION("""COMPUTED_VALUE"""),"6.7950021")</f>
        <v>6.7950021</v>
      </c>
      <c r="Z1578" s="4" t="str">
        <f>IFERROR(__xludf.DUMMYFUNCTION("""COMPUTED_VALUE"""),"3.9444905")</f>
        <v>3.9444905</v>
      </c>
      <c r="AA1578" s="4" t="str">
        <f t="shared" si="1"/>
        <v>Neighbor</v>
      </c>
      <c r="AC1578" s="4">
        <f>IFERROR(__xludf.DUMMYFUNCTION("IFERROR(ABS(O1578-AVERAGE(FILTER(O1578:O5646,AA1578:AA5646=""Neighbor""))) / STDEV(FILTER(O1578:O5646, AA1578:AA5646 =""Neighbor"")), """")"),2.548057460021981)</f>
        <v>2.54805746</v>
      </c>
      <c r="AD1578" s="4">
        <f>IFERROR(__xludf.DUMMYFUNCTION("IFERROR(ABS(P1578-AVERAGE(FILTER(O1578:P5646,AA1578:AA5646=""Neighbor""))) / STDEV(FILTER(P1578:P5646, AA1578:AA5646 =""Neighbor"")), """")"),1.5157615401070361)</f>
        <v>1.51576154</v>
      </c>
      <c r="AE1578" s="2">
        <f>IFERROR(__xludf.DUMMYFUNCTION("IFERROR(ABS(Q1578-AVERAGE(FILTER(Q1578:Q5646,AA1578:AA5646=""Neighbor""))) / STDEV(FILTER(Q1578:Q5646, AA1578:AA5646 =""Neighbor"")), """")"),2.0195166493564636)</f>
        <v>2.019516649</v>
      </c>
      <c r="AF1578" s="2">
        <f>IFERROR(__xludf.DUMMYFUNCTION("IFERROR(ABS(R1578-AVERAGE(FILTER(R1578:R5646,AA1578:AA5646=""Neighbor""))) / STDEV(FILTER(R1578:R5646, AA1578:AA5646 =""Neighbor"")), """")"),0.350398218720845)</f>
        <v>0.3503982187</v>
      </c>
    </row>
    <row r="1579">
      <c r="A1579" s="2" t="s">
        <v>28</v>
      </c>
      <c r="B1579" s="2" t="s">
        <v>6431</v>
      </c>
      <c r="C1579" s="2" t="s">
        <v>6454</v>
      </c>
      <c r="D1579" s="2" t="s">
        <v>6459</v>
      </c>
      <c r="E1579" s="2" t="s">
        <v>6460</v>
      </c>
      <c r="F1579" s="2">
        <v>236.0</v>
      </c>
      <c r="G1579" s="2">
        <v>691.0</v>
      </c>
      <c r="H1579" s="2" t="b">
        <v>1</v>
      </c>
      <c r="I1579" s="2">
        <v>-1.0</v>
      </c>
      <c r="J1579" s="2" t="b">
        <v>0</v>
      </c>
      <c r="K1579" s="2" t="b">
        <v>0</v>
      </c>
      <c r="L1579" s="2" t="b">
        <v>0</v>
      </c>
      <c r="M1579" s="2" t="b">
        <v>0</v>
      </c>
      <c r="N1579" s="2" t="s">
        <v>33</v>
      </c>
      <c r="O1579" s="2">
        <v>160.0</v>
      </c>
      <c r="P1579" s="2">
        <v>12.0</v>
      </c>
      <c r="Q1579" s="2">
        <v>54.0</v>
      </c>
      <c r="R1579" s="2">
        <v>0.0</v>
      </c>
      <c r="S1579" s="3" t="s">
        <v>6461</v>
      </c>
      <c r="T1579" s="2" t="s">
        <v>6462</v>
      </c>
      <c r="Y1579" s="4" t="str">
        <f>IFERROR(__xludf.DUMMYFUNCTION("""COMPUTED_VALUE"""),"6.7950021")</f>
        <v>6.7950021</v>
      </c>
      <c r="Z1579" s="4" t="str">
        <f>IFERROR(__xludf.DUMMYFUNCTION("""COMPUTED_VALUE"""),"3.9444905")</f>
        <v>3.9444905</v>
      </c>
      <c r="AA1579" s="4" t="str">
        <f t="shared" si="1"/>
        <v>Not Neighbor</v>
      </c>
      <c r="AC1579" s="4">
        <f>IFERROR(__xludf.DUMMYFUNCTION("IFERROR(ABS(O1579-AVERAGE(FILTER(O1579:O5647,AA1579:AA5647=""Neighbor""))) / STDEV(FILTER(O1579:O5647, AA1579:AA5647 =""Neighbor"")), """")"),2.48292335028038)</f>
        <v>2.48292335</v>
      </c>
      <c r="AD1579" s="4">
        <f>IFERROR(__xludf.DUMMYFUNCTION("IFERROR(ABS(P1579-AVERAGE(FILTER(O1579:P5647,AA1579:AA5647=""Neighbor""))) / STDEV(FILTER(P1579:P5647, AA1579:AA5647 =""Neighbor"")), """")"),1.192231403702659)</f>
        <v>1.192231404</v>
      </c>
      <c r="AE1579" s="2">
        <f>IFERROR(__xludf.DUMMYFUNCTION("IFERROR(ABS(Q1579-AVERAGE(FILTER(Q1579:Q5647,AA1579:AA5647=""Neighbor""))) / STDEV(FILTER(Q1579:Q5647, AA1579:AA5647 =""Neighbor"")), """")"),1.1296495830181612)</f>
        <v>1.129649583</v>
      </c>
      <c r="AF1579" s="2">
        <f>IFERROR(__xludf.DUMMYFUNCTION("IFERROR(ABS(R1579-AVERAGE(FILTER(R1579:R5647,AA1579:AA5647=""Neighbor""))) / STDEV(FILTER(R1579:R5647, AA1579:AA5647 =""Neighbor"")), """")"),0.35058865552579394)</f>
        <v>0.3505886555</v>
      </c>
    </row>
    <row r="1580">
      <c r="A1580" s="2" t="s">
        <v>28</v>
      </c>
      <c r="B1580" s="2" t="s">
        <v>6431</v>
      </c>
      <c r="C1580" s="2" t="s">
        <v>6454</v>
      </c>
      <c r="D1580" s="2" t="s">
        <v>6463</v>
      </c>
      <c r="E1580" s="2" t="s">
        <v>6464</v>
      </c>
      <c r="F1580" s="2">
        <v>224.0</v>
      </c>
      <c r="G1580" s="2">
        <v>913.0</v>
      </c>
      <c r="H1580" s="2" t="b">
        <v>1</v>
      </c>
      <c r="I1580" s="2">
        <v>-1.0</v>
      </c>
      <c r="J1580" s="2" t="b">
        <v>0</v>
      </c>
      <c r="K1580" s="2" t="b">
        <v>0</v>
      </c>
      <c r="L1580" s="2" t="b">
        <v>0</v>
      </c>
      <c r="M1580" s="2" t="b">
        <v>0</v>
      </c>
      <c r="N1580" s="2" t="s">
        <v>33</v>
      </c>
      <c r="O1580" s="2">
        <v>128.0</v>
      </c>
      <c r="P1580" s="2">
        <v>24.0</v>
      </c>
      <c r="Q1580" s="2">
        <v>44.0</v>
      </c>
      <c r="R1580" s="2">
        <v>0.0</v>
      </c>
      <c r="S1580" s="3" t="s">
        <v>6465</v>
      </c>
      <c r="T1580" s="2" t="s">
        <v>6466</v>
      </c>
      <c r="Y1580" s="4" t="str">
        <f>IFERROR(__xludf.DUMMYFUNCTION("""COMPUTED_VALUE"""),"6.8138575")</f>
        <v>6.8138575</v>
      </c>
      <c r="Z1580" s="4" t="str">
        <f>IFERROR(__xludf.DUMMYFUNCTION("""COMPUTED_VALUE"""),"3.9245188")</f>
        <v>3.9245188</v>
      </c>
      <c r="AA1580" s="4" t="str">
        <f t="shared" si="1"/>
        <v>Not Neighbor</v>
      </c>
      <c r="AC1580" s="4">
        <f>IFERROR(__xludf.DUMMYFUNCTION("IFERROR(ABS(O1580-AVERAGE(FILTER(O1580:O5648,AA1580:AA5648=""Neighbor""))) / STDEV(FILTER(O1580:O5648, AA1580:AA5648 =""Neighbor"")), """")"),1.688980258210904)</f>
        <v>1.688980258</v>
      </c>
      <c r="AD1580" s="4">
        <f>IFERROR(__xludf.DUMMYFUNCTION("IFERROR(ABS(P1580-AVERAGE(FILTER(O1580:P5648,AA1580:AA5648=""Neighbor""))) / STDEV(FILTER(P1580:P5648, AA1580:AA5648 =""Neighbor"")), """")"),0.6420425231729975)</f>
        <v>0.6420425232</v>
      </c>
      <c r="AE1580" s="2">
        <f>IFERROR(__xludf.DUMMYFUNCTION("IFERROR(ABS(Q1580-AVERAGE(FILTER(Q1580:Q5648,AA1580:AA5648=""Neighbor""))) / STDEV(FILTER(Q1580:Q5648, AA1580:AA5648 =""Neighbor"")), """")"),0.7405832468565197)</f>
        <v>0.7405832469</v>
      </c>
      <c r="AF1580" s="2">
        <f>IFERROR(__xludf.DUMMYFUNCTION("IFERROR(ABS(R1580-AVERAGE(FILTER(R1580:R5648,AA1580:AA5648=""Neighbor""))) / STDEV(FILTER(R1580:R5648, AA1580:AA5648 =""Neighbor"")), """")"),0.35058865552579394)</f>
        <v>0.3505886555</v>
      </c>
    </row>
    <row r="1581">
      <c r="A1581" s="2" t="s">
        <v>28</v>
      </c>
      <c r="B1581" s="2" t="s">
        <v>6431</v>
      </c>
      <c r="C1581" s="2" t="s">
        <v>6454</v>
      </c>
      <c r="D1581" s="2" t="s">
        <v>6467</v>
      </c>
      <c r="E1581" s="2" t="s">
        <v>6468</v>
      </c>
      <c r="F1581" s="2">
        <v>203.0</v>
      </c>
      <c r="G1581" s="2">
        <v>848.0</v>
      </c>
      <c r="H1581" s="2" t="b">
        <v>1</v>
      </c>
      <c r="I1581" s="2">
        <v>-1.0</v>
      </c>
      <c r="J1581" s="2" t="b">
        <v>0</v>
      </c>
      <c r="K1581" s="2" t="b">
        <v>0</v>
      </c>
      <c r="L1581" s="2" t="b">
        <v>0</v>
      </c>
      <c r="M1581" s="2" t="b">
        <v>0</v>
      </c>
      <c r="N1581" s="2" t="s">
        <v>33</v>
      </c>
      <c r="O1581" s="2">
        <v>116.0</v>
      </c>
      <c r="P1581" s="2">
        <v>29.0</v>
      </c>
      <c r="Q1581" s="2">
        <v>43.0</v>
      </c>
      <c r="R1581" s="2">
        <v>0.0</v>
      </c>
      <c r="S1581" s="3" t="s">
        <v>6469</v>
      </c>
      <c r="T1581" s="2" t="s">
        <v>6470</v>
      </c>
      <c r="Y1581" s="4" t="str">
        <f>IFERROR(__xludf.DUMMYFUNCTION("""COMPUTED_VALUE"""),"6.7950021")</f>
        <v>6.7950021</v>
      </c>
      <c r="Z1581" s="4" t="str">
        <f>IFERROR(__xludf.DUMMYFUNCTION("""COMPUTED_VALUE"""),"3.9444905")</f>
        <v>3.9444905</v>
      </c>
      <c r="AA1581" s="4" t="str">
        <f t="shared" si="1"/>
        <v>Not Neighbor</v>
      </c>
      <c r="AC1581" s="4">
        <f>IFERROR(__xludf.DUMMYFUNCTION("IFERROR(ABS(O1581-AVERAGE(FILTER(O1581:O5649,AA1581:AA5649=""Neighbor""))) / STDEV(FILTER(O1581:O5649, AA1581:AA5649 =""Neighbor"")), """")"),1.3912515986848504)</f>
        <v>1.391251599</v>
      </c>
      <c r="AD1581" s="4">
        <f>IFERROR(__xludf.DUMMYFUNCTION("IFERROR(ABS(P1581-AVERAGE(FILTER(O1581:P5649,AA1581:AA5649=""Neighbor""))) / STDEV(FILTER(P1581:P5649, AA1581:AA5649 =""Neighbor"")), """")"),0.4127971562856386)</f>
        <v>0.4127971563</v>
      </c>
      <c r="AE1581" s="2">
        <f>IFERROR(__xludf.DUMMYFUNCTION("IFERROR(ABS(Q1581-AVERAGE(FILTER(Q1581:Q5649,AA1581:AA5649=""Neighbor""))) / STDEV(FILTER(Q1581:Q5649, AA1581:AA5649 =""Neighbor"")), """")"),0.7016766132403556)</f>
        <v>0.7016766132</v>
      </c>
      <c r="AF1581" s="2">
        <f>IFERROR(__xludf.DUMMYFUNCTION("IFERROR(ABS(R1581-AVERAGE(FILTER(R1581:R5649,AA1581:AA5649=""Neighbor""))) / STDEV(FILTER(R1581:R5649, AA1581:AA5649 =""Neighbor"")), """")"),0.35058865552579394)</f>
        <v>0.3505886555</v>
      </c>
    </row>
    <row r="1582">
      <c r="A1582" s="2" t="s">
        <v>28</v>
      </c>
      <c r="B1582" s="2" t="s">
        <v>6431</v>
      </c>
      <c r="C1582" s="2" t="s">
        <v>6471</v>
      </c>
      <c r="D1582" s="2" t="s">
        <v>6472</v>
      </c>
      <c r="E1582" s="2" t="s">
        <v>6473</v>
      </c>
      <c r="F1582" s="2">
        <v>198.0</v>
      </c>
      <c r="G1582" s="2">
        <v>693.0</v>
      </c>
      <c r="H1582" s="2" t="b">
        <v>1</v>
      </c>
      <c r="I1582" s="2">
        <v>-1.0</v>
      </c>
      <c r="J1582" s="2" t="b">
        <v>1</v>
      </c>
      <c r="K1582" s="2" t="b">
        <v>0</v>
      </c>
      <c r="L1582" s="2" t="b">
        <v>0</v>
      </c>
      <c r="M1582" s="2" t="b">
        <v>0</v>
      </c>
      <c r="N1582" s="2" t="s">
        <v>33</v>
      </c>
      <c r="O1582" s="2">
        <v>114.0</v>
      </c>
      <c r="P1582" s="2">
        <v>15.0</v>
      </c>
      <c r="Q1582" s="2">
        <v>57.0</v>
      </c>
      <c r="R1582" s="2">
        <v>0.0</v>
      </c>
      <c r="S1582" s="3" t="s">
        <v>6474</v>
      </c>
      <c r="T1582" s="2" t="s">
        <v>6475</v>
      </c>
      <c r="Y1582" s="4" t="str">
        <f>IFERROR(__xludf.DUMMYFUNCTION("""COMPUTED_VALUE"""),"6.8212578")</f>
        <v>6.8212578</v>
      </c>
      <c r="Z1582" s="4" t="str">
        <f>IFERROR(__xludf.DUMMYFUNCTION("""COMPUTED_VALUE"""),"3.9209171")</f>
        <v>3.9209171</v>
      </c>
      <c r="AA1582" s="4" t="str">
        <f t="shared" si="1"/>
        <v>Neighbor</v>
      </c>
      <c r="AC1582" s="4">
        <f>IFERROR(__xludf.DUMMYFUNCTION("IFERROR(ABS(O1582-AVERAGE(FILTER(O1582:O5650,AA1582:AA5650=""Neighbor""))) / STDEV(FILTER(O1582:O5650, AA1582:AA5650 =""Neighbor"")), """")"),1.3416301554305081)</f>
        <v>1.341630155</v>
      </c>
      <c r="AD1582" s="4">
        <f>IFERROR(__xludf.DUMMYFUNCTION("IFERROR(ABS(P1582-AVERAGE(FILTER(O1582:P5650,AA1582:AA5650=""Neighbor""))) / STDEV(FILTER(P1582:P5650, AA1582:AA5650 =""Neighbor"")), """")"),1.0546841835702436)</f>
        <v>1.054684184</v>
      </c>
      <c r="AE1582" s="2">
        <f>IFERROR(__xludf.DUMMYFUNCTION("IFERROR(ABS(Q1582-AVERAGE(FILTER(Q1582:Q5650,AA1582:AA5650=""Neighbor""))) / STDEV(FILTER(Q1582:Q5650, AA1582:AA5650 =""Neighbor"")), """")"),1.2463694838666535)</f>
        <v>1.246369484</v>
      </c>
      <c r="AF1582" s="2">
        <f>IFERROR(__xludf.DUMMYFUNCTION("IFERROR(ABS(R1582-AVERAGE(FILTER(R1582:R5650,AA1582:AA5650=""Neighbor""))) / STDEV(FILTER(R1582:R5650, AA1582:AA5650 =""Neighbor"")), """")"),0.35058865552579394)</f>
        <v>0.3505886555</v>
      </c>
    </row>
    <row r="1583">
      <c r="A1583" s="2" t="s">
        <v>28</v>
      </c>
      <c r="B1583" s="2" t="s">
        <v>6431</v>
      </c>
      <c r="C1583" s="2" t="s">
        <v>6471</v>
      </c>
      <c r="D1583" s="2" t="s">
        <v>6476</v>
      </c>
      <c r="E1583" s="2" t="s">
        <v>6477</v>
      </c>
      <c r="F1583" s="2">
        <v>188.0</v>
      </c>
      <c r="G1583" s="2">
        <v>513.0</v>
      </c>
      <c r="H1583" s="2" t="b">
        <v>1</v>
      </c>
      <c r="I1583" s="2">
        <v>-1.0</v>
      </c>
      <c r="J1583" s="2" t="b">
        <v>0</v>
      </c>
      <c r="K1583" s="2" t="b">
        <v>0</v>
      </c>
      <c r="L1583" s="2" t="b">
        <v>0</v>
      </c>
      <c r="M1583" s="2" t="b">
        <v>0</v>
      </c>
      <c r="N1583" s="2" t="s">
        <v>33</v>
      </c>
      <c r="O1583" s="2">
        <v>117.0</v>
      </c>
      <c r="P1583" s="2">
        <v>7.0</v>
      </c>
      <c r="Q1583" s="2">
        <v>59.0</v>
      </c>
      <c r="R1583" s="2">
        <v>0.0</v>
      </c>
      <c r="S1583" s="3" t="s">
        <v>6478</v>
      </c>
      <c r="T1583" s="2" t="s">
        <v>6479</v>
      </c>
      <c r="Y1583" s="4" t="str">
        <f>IFERROR(__xludf.DUMMYFUNCTION("""COMPUTED_VALUE"""),"6.8212578")</f>
        <v>6.8212578</v>
      </c>
      <c r="Z1583" s="4" t="str">
        <f>IFERROR(__xludf.DUMMYFUNCTION("""COMPUTED_VALUE"""),"3.9209171")</f>
        <v>3.9209171</v>
      </c>
      <c r="AA1583" s="4" t="str">
        <f t="shared" si="1"/>
        <v>Neighbor</v>
      </c>
      <c r="AC1583" s="4">
        <f>IFERROR(__xludf.DUMMYFUNCTION("IFERROR(ABS(O1583-AVERAGE(FILTER(O1583:O5651,AA1583:AA5651=""Neighbor""))) / STDEV(FILTER(O1583:O5651, AA1583:AA5651 =""Neighbor"")), """")"),1.4179155467586084)</f>
        <v>1.417915547</v>
      </c>
      <c r="AD1583" s="4">
        <f>IFERROR(__xludf.DUMMYFUNCTION("IFERROR(ABS(P1583-AVERAGE(FILTER(O1583:P5651,AA1583:AA5651=""Neighbor""))) / STDEV(FILTER(P1583:P5651, AA1583:AA5651 =""Neighbor"")), """")"),1.4196111839085297)</f>
        <v>1.419611184</v>
      </c>
      <c r="AE1583" s="2">
        <f>IFERROR(__xludf.DUMMYFUNCTION("IFERROR(ABS(Q1583-AVERAGE(FILTER(Q1583:Q5651,AA1583:AA5651=""Neighbor""))) / STDEV(FILTER(Q1583:Q5651, AA1583:AA5651 =""Neighbor"")), """")"),1.3257488366140058)</f>
        <v>1.325748837</v>
      </c>
      <c r="AF1583" s="2">
        <f>IFERROR(__xludf.DUMMYFUNCTION("IFERROR(ABS(R1583-AVERAGE(FILTER(R1583:R5651,AA1583:AA5651=""Neighbor""))) / STDEV(FILTER(R1583:R5651, AA1583:AA5651 =""Neighbor"")), """")"),0.35077940320733353)</f>
        <v>0.3507794032</v>
      </c>
    </row>
    <row r="1584">
      <c r="A1584" s="2" t="s">
        <v>28</v>
      </c>
      <c r="B1584" s="2" t="s">
        <v>6431</v>
      </c>
      <c r="C1584" s="2" t="s">
        <v>6471</v>
      </c>
      <c r="D1584" s="2" t="s">
        <v>6480</v>
      </c>
      <c r="E1584" s="2" t="s">
        <v>6481</v>
      </c>
      <c r="F1584" s="2">
        <v>199.0</v>
      </c>
      <c r="G1584" s="2">
        <v>680.0</v>
      </c>
      <c r="H1584" s="2" t="b">
        <v>1</v>
      </c>
      <c r="I1584" s="2">
        <v>-1.0</v>
      </c>
      <c r="J1584" s="2" t="b">
        <v>0</v>
      </c>
      <c r="K1584" s="2" t="b">
        <v>0</v>
      </c>
      <c r="L1584" s="2" t="b">
        <v>0</v>
      </c>
      <c r="M1584" s="2" t="b">
        <v>0</v>
      </c>
      <c r="N1584" s="2" t="s">
        <v>33</v>
      </c>
      <c r="O1584" s="2">
        <v>144.0</v>
      </c>
      <c r="P1584" s="2">
        <v>3.0</v>
      </c>
      <c r="Q1584" s="2">
        <v>45.0</v>
      </c>
      <c r="R1584" s="2">
        <v>0.0</v>
      </c>
      <c r="S1584" s="3" t="s">
        <v>6482</v>
      </c>
      <c r="T1584" s="2" t="s">
        <v>6483</v>
      </c>
      <c r="Y1584" s="4" t="str">
        <f>IFERROR(__xludf.DUMMYFUNCTION("""COMPUTED_VALUE"""),"6.8212578")</f>
        <v>6.8212578</v>
      </c>
      <c r="Z1584" s="4" t="str">
        <f>IFERROR(__xludf.DUMMYFUNCTION("""COMPUTED_VALUE"""),"3.9209171")</f>
        <v>3.9209171</v>
      </c>
      <c r="AA1584" s="4" t="str">
        <f t="shared" si="1"/>
        <v>Neighbor</v>
      </c>
      <c r="AC1584" s="4">
        <f>IFERROR(__xludf.DUMMYFUNCTION("IFERROR(ABS(O1584-AVERAGE(FILTER(O1584:O5652,AA1584:AA5652=""Neighbor""))) / STDEV(FILTER(O1584:O5652, AA1584:AA5652 =""Neighbor"")), """")"),2.0904711734927264)</f>
        <v>2.090471173</v>
      </c>
      <c r="AD1584" s="4">
        <f>IFERROR(__xludf.DUMMYFUNCTION("IFERROR(ABS(P1584-AVERAGE(FILTER(O1584:P5652,AA1584:AA5652=""Neighbor""))) / STDEV(FILTER(P1584:P5652, AA1584:AA5652 =""Neighbor"")), """")"),1.601206936846492)</f>
        <v>1.601206937</v>
      </c>
      <c r="AE1584" s="2">
        <f>IFERROR(__xludf.DUMMYFUNCTION("IFERROR(ABS(Q1584-AVERAGE(FILTER(Q1584:Q5652,AA1584:AA5652=""Neighbor""))) / STDEV(FILTER(Q1584:Q5652, AA1584:AA5652 =""Neighbor"")), """")"),0.7824850643103259)</f>
        <v>0.7824850643</v>
      </c>
      <c r="AF1584" s="2">
        <f>IFERROR(__xludf.DUMMYFUNCTION("IFERROR(ABS(R1584-AVERAGE(FILTER(R1584:R5652,AA1584:AA5652=""Neighbor""))) / STDEV(FILTER(R1584:R5652, AA1584:AA5652 =""Neighbor"")), """")"),0.3509704626122896)</f>
        <v>0.3509704626</v>
      </c>
    </row>
    <row r="1585">
      <c r="A1585" s="2" t="s">
        <v>28</v>
      </c>
      <c r="B1585" s="2" t="s">
        <v>6431</v>
      </c>
      <c r="C1585" s="2" t="s">
        <v>6471</v>
      </c>
      <c r="D1585" s="2" t="s">
        <v>6484</v>
      </c>
      <c r="E1585" s="2" t="s">
        <v>6485</v>
      </c>
      <c r="F1585" s="2">
        <v>227.0</v>
      </c>
      <c r="G1585" s="2">
        <v>698.0</v>
      </c>
      <c r="H1585" s="2" t="b">
        <v>1</v>
      </c>
      <c r="I1585" s="2">
        <v>-1.0</v>
      </c>
      <c r="J1585" s="2" t="b">
        <v>0</v>
      </c>
      <c r="K1585" s="2" t="b">
        <v>0</v>
      </c>
      <c r="L1585" s="2" t="b">
        <v>0</v>
      </c>
      <c r="M1585" s="2" t="b">
        <v>0</v>
      </c>
      <c r="N1585" s="2" t="s">
        <v>33</v>
      </c>
      <c r="O1585" s="2">
        <v>109.0</v>
      </c>
      <c r="P1585" s="2">
        <v>10.0</v>
      </c>
      <c r="Q1585" s="2">
        <v>88.0</v>
      </c>
      <c r="R1585" s="2">
        <v>0.0</v>
      </c>
      <c r="S1585" s="3" t="s">
        <v>6486</v>
      </c>
      <c r="T1585" s="2" t="s">
        <v>6487</v>
      </c>
      <c r="Y1585" s="4" t="str">
        <f>IFERROR(__xludf.DUMMYFUNCTION("""COMPUTED_VALUE"""),"6.8212578")</f>
        <v>6.8212578</v>
      </c>
      <c r="Z1585" s="4" t="str">
        <f>IFERROR(__xludf.DUMMYFUNCTION("""COMPUTED_VALUE"""),"3.9209171")</f>
        <v>3.9209171</v>
      </c>
      <c r="AA1585" s="4" t="str">
        <f t="shared" si="1"/>
        <v>Neighbor</v>
      </c>
      <c r="AC1585" s="4">
        <f>IFERROR(__xludf.DUMMYFUNCTION("IFERROR(ABS(O1585-AVERAGE(FILTER(O1585:O5653,AA1585:AA5653=""Neighbor""))) / STDEV(FILTER(O1585:O5653, AA1585:AA5653 =""Neighbor"")), """")"),1.2253743806260047)</f>
        <v>1.225374381</v>
      </c>
      <c r="AD1585" s="4">
        <f>IFERROR(__xludf.DUMMYFUNCTION("IFERROR(ABS(P1585-AVERAGE(FILTER(O1585:P5653,AA1585:AA5653=""Neighbor""))) / STDEV(FILTER(P1585:P5653, AA1585:AA5653 =""Neighbor"")), """")"),1.2785671404611822)</f>
        <v>1.27856714</v>
      </c>
      <c r="AE1585" s="2">
        <f>IFERROR(__xludf.DUMMYFUNCTION("IFERROR(ABS(Q1585-AVERAGE(FILTER(Q1585:Q5653,AA1585:AA5653=""Neighbor""))) / STDEV(FILTER(Q1585:Q5653, AA1585:AA5653 =""Neighbor"")), """")"),2.456836828729206)</f>
        <v>2.456836829</v>
      </c>
      <c r="AF1585" s="2">
        <f>IFERROR(__xludf.DUMMYFUNCTION("IFERROR(ABS(R1585-AVERAGE(FILTER(R1585:R5653,AA1585:AA5653=""Neighbor""))) / STDEV(FILTER(R1585:R5653, AA1585:AA5653 =""Neighbor"")), """")"),0.351161834590722)</f>
        <v>0.3511618346</v>
      </c>
    </row>
    <row r="1586">
      <c r="A1586" s="2" t="s">
        <v>28</v>
      </c>
      <c r="B1586" s="2" t="s">
        <v>6431</v>
      </c>
      <c r="C1586" s="2" t="s">
        <v>6471</v>
      </c>
      <c r="D1586" s="2" t="s">
        <v>6488</v>
      </c>
      <c r="E1586" s="2" t="s">
        <v>6489</v>
      </c>
      <c r="F1586" s="2">
        <v>230.0</v>
      </c>
      <c r="G1586" s="2">
        <v>666.0</v>
      </c>
      <c r="H1586" s="2" t="b">
        <v>1</v>
      </c>
      <c r="I1586" s="2">
        <v>-1.0</v>
      </c>
      <c r="J1586" s="2" t="b">
        <v>0</v>
      </c>
      <c r="K1586" s="2" t="b">
        <v>0</v>
      </c>
      <c r="L1586" s="2" t="b">
        <v>0</v>
      </c>
      <c r="M1586" s="2" t="b">
        <v>0</v>
      </c>
      <c r="N1586" s="2" t="s">
        <v>33</v>
      </c>
      <c r="O1586" s="2">
        <v>149.0</v>
      </c>
      <c r="P1586" s="2">
        <v>16.0</v>
      </c>
      <c r="Q1586" s="2">
        <v>56.0</v>
      </c>
      <c r="R1586" s="2">
        <v>1.0</v>
      </c>
      <c r="S1586" s="3" t="s">
        <v>6490</v>
      </c>
      <c r="T1586" s="2" t="s">
        <v>6491</v>
      </c>
      <c r="Y1586" s="4" t="str">
        <f>IFERROR(__xludf.DUMMYFUNCTION("""COMPUTED_VALUE"""),"6.8212578")</f>
        <v>6.8212578</v>
      </c>
      <c r="Z1586" s="4" t="str">
        <f>IFERROR(__xludf.DUMMYFUNCTION("""COMPUTED_VALUE"""),"3.9209171")</f>
        <v>3.9209171</v>
      </c>
      <c r="AA1586" s="4" t="str">
        <f t="shared" si="1"/>
        <v>Neighbor</v>
      </c>
      <c r="AC1586" s="4">
        <f>IFERROR(__xludf.DUMMYFUNCTION("IFERROR(ABS(O1586-AVERAGE(FILTER(O1586:O5654,AA1586:AA5654=""Neighbor""))) / STDEV(FILTER(O1586:O5654, AA1586:AA5654 =""Neighbor"")), """")"),2.2220489468085773)</f>
        <v>2.222048947</v>
      </c>
      <c r="AD1586" s="4">
        <f>IFERROR(__xludf.DUMMYFUNCTION("IFERROR(ABS(P1586-AVERAGE(FILTER(O1586:P5654,AA1586:AA5654=""Neighbor""))) / STDEV(FILTER(P1586:P5654, AA1586:AA5654 =""Neighbor"")), """")"),1.0023906271939322)</f>
        <v>1.002390627</v>
      </c>
      <c r="AE1586" s="2">
        <f>IFERROR(__xludf.DUMMYFUNCTION("IFERROR(ABS(Q1586-AVERAGE(FILTER(Q1586:Q5654,AA1586:AA5654=""Neighbor""))) / STDEV(FILTER(Q1586:Q5654, AA1586:AA5654 =""Neighbor"")), """")"),1.2166438615437163)</f>
        <v>1.216643862</v>
      </c>
      <c r="AF1586" s="2">
        <f>IFERROR(__xludf.DUMMYFUNCTION("IFERROR(ABS(R1586-AVERAGE(FILTER(R1586:R5654,AA1586:AA5654=""Neighbor""))) / STDEV(FILTER(R1586:R5654, AA1586:AA5654 =""Neighbor"")), """")"),0.8137800882486592)</f>
        <v>0.8137800882</v>
      </c>
    </row>
    <row r="1587">
      <c r="A1587" s="2" t="s">
        <v>28</v>
      </c>
      <c r="B1587" s="2" t="s">
        <v>6431</v>
      </c>
      <c r="C1587" s="2" t="s">
        <v>6471</v>
      </c>
      <c r="D1587" s="2" t="s">
        <v>6492</v>
      </c>
      <c r="E1587" s="2" t="s">
        <v>6493</v>
      </c>
      <c r="F1587" s="2">
        <v>198.0</v>
      </c>
      <c r="G1587" s="2">
        <v>656.0</v>
      </c>
      <c r="H1587" s="2" t="b">
        <v>1</v>
      </c>
      <c r="I1587" s="2">
        <v>-1.0</v>
      </c>
      <c r="J1587" s="2" t="b">
        <v>0</v>
      </c>
      <c r="K1587" s="2" t="b">
        <v>0</v>
      </c>
      <c r="L1587" s="2" t="b">
        <v>0</v>
      </c>
      <c r="M1587" s="2" t="b">
        <v>0</v>
      </c>
      <c r="N1587" s="2" t="s">
        <v>33</v>
      </c>
      <c r="O1587" s="2">
        <v>124.0</v>
      </c>
      <c r="P1587" s="2">
        <v>13.0</v>
      </c>
      <c r="Q1587" s="2">
        <v>52.0</v>
      </c>
      <c r="R1587" s="2">
        <v>0.0</v>
      </c>
      <c r="S1587" s="3" t="s">
        <v>6494</v>
      </c>
      <c r="T1587" s="2" t="s">
        <v>6495</v>
      </c>
      <c r="Y1587" s="4" t="str">
        <f>IFERROR(__xludf.DUMMYFUNCTION("""COMPUTED_VALUE"""),"6.8190361")</f>
        <v>6.8190361</v>
      </c>
      <c r="Z1587" s="4" t="str">
        <f>IFERROR(__xludf.DUMMYFUNCTION("""COMPUTED_VALUE"""),"3.9198889")</f>
        <v>3.9198889</v>
      </c>
      <c r="AA1587" s="4" t="str">
        <f t="shared" si="1"/>
        <v>Neighbor</v>
      </c>
      <c r="AC1587" s="4">
        <f>IFERROR(__xludf.DUMMYFUNCTION("IFERROR(ABS(O1587-AVERAGE(FILTER(O1587:O5655,AA1587:AA5655=""Neighbor""))) / STDEV(FILTER(O1587:O5655, AA1587:AA5655 =""Neighbor"")), """")"),1.6053108720261902)</f>
        <v>1.605310872</v>
      </c>
      <c r="AD1587" s="4">
        <f>IFERROR(__xludf.DUMMYFUNCTION("IFERROR(ABS(P1587-AVERAGE(FILTER(O1587:P5655,AA1587:AA5655=""Neighbor""))) / STDEV(FILTER(P1587:P5655, AA1587:AA5655 =""Neighbor"")), """")"),1.1371698163707762)</f>
        <v>1.137169816</v>
      </c>
      <c r="AE1587" s="2">
        <f>IFERROR(__xludf.DUMMYFUNCTION("IFERROR(ABS(Q1587-AVERAGE(FILTER(Q1587:Q5655,AA1587:AA5655=""Neighbor""))) / STDEV(FILTER(Q1587:Q5655, AA1587:AA5655 =""Neighbor"")), """")"),1.0619976020422113)</f>
        <v>1.061997602</v>
      </c>
      <c r="AF1587" s="2">
        <f>IFERROR(__xludf.DUMMYFUNCTION("IFERROR(ABS(R1587-AVERAGE(FILTER(R1587:R5655,AA1587:AA5655=""Neighbor""))) / STDEV(FILTER(R1587:R5655, AA1587:AA5655 =""Neighbor"")), """")"),0.35050355583560777)</f>
        <v>0.3505035558</v>
      </c>
    </row>
    <row r="1588">
      <c r="A1588" s="2" t="s">
        <v>28</v>
      </c>
      <c r="B1588" s="2" t="s">
        <v>6431</v>
      </c>
      <c r="C1588" s="2" t="s">
        <v>6496</v>
      </c>
      <c r="D1588" s="2" t="s">
        <v>6497</v>
      </c>
      <c r="E1588" s="2" t="s">
        <v>6498</v>
      </c>
      <c r="F1588" s="2">
        <v>226.0</v>
      </c>
      <c r="G1588" s="2">
        <v>773.0</v>
      </c>
      <c r="H1588" s="2" t="b">
        <v>1</v>
      </c>
      <c r="I1588" s="2">
        <v>-1.0</v>
      </c>
      <c r="J1588" s="2" t="b">
        <v>0</v>
      </c>
      <c r="K1588" s="2" t="b">
        <v>0</v>
      </c>
      <c r="L1588" s="2" t="b">
        <v>0</v>
      </c>
      <c r="M1588" s="2" t="b">
        <v>0</v>
      </c>
      <c r="N1588" s="2" t="s">
        <v>33</v>
      </c>
      <c r="O1588" s="2">
        <v>149.0</v>
      </c>
      <c r="P1588" s="2">
        <v>10.0</v>
      </c>
      <c r="Q1588" s="2">
        <v>52.0</v>
      </c>
      <c r="R1588" s="2">
        <v>0.0</v>
      </c>
      <c r="S1588" s="3" t="s">
        <v>6499</v>
      </c>
      <c r="T1588" s="2" t="s">
        <v>6500</v>
      </c>
      <c r="Y1588" s="4" t="str">
        <f>IFERROR(__xludf.DUMMYFUNCTION("""COMPUTED_VALUE"""),"6.8171956")</f>
        <v>6.8171956</v>
      </c>
      <c r="Z1588" s="4" t="str">
        <f>IFERROR(__xludf.DUMMYFUNCTION("""COMPUTED_VALUE"""),"3.9272872")</f>
        <v>3.9272872</v>
      </c>
      <c r="AA1588" s="4" t="str">
        <f t="shared" si="1"/>
        <v>Neighbor</v>
      </c>
      <c r="AC1588" s="4">
        <f>IFERROR(__xludf.DUMMYFUNCTION("IFERROR(ABS(O1588-AVERAGE(FILTER(O1588:O5656,AA1588:AA5656=""Neighbor""))) / STDEV(FILTER(O1588:O5656, AA1588:AA5656 =""Neighbor"")), """")"),2.2317829891427188)</f>
        <v>2.231782989</v>
      </c>
      <c r="AD1588" s="4">
        <f>IFERROR(__xludf.DUMMYFUNCTION("IFERROR(ABS(P1588-AVERAGE(FILTER(O1588:P5656,AA1588:AA5656=""Neighbor""))) / STDEV(FILTER(P1588:P5656, AA1588:AA5656 =""Neighbor"")), """")"),1.2724495631651944)</f>
        <v>1.272449563</v>
      </c>
      <c r="AE1588" s="2">
        <f>IFERROR(__xludf.DUMMYFUNCTION("IFERROR(ABS(Q1588-AVERAGE(FILTER(Q1588:Q5656,AA1588:AA5656=""Neighbor""))) / STDEV(FILTER(Q1588:Q5656, AA1588:AA5656 =""Neighbor"")), """")"),1.0630995549447013)</f>
        <v>1.063099555</v>
      </c>
      <c r="AF1588" s="2">
        <f>IFERROR(__xludf.DUMMYFUNCTION("IFERROR(ABS(R1588-AVERAGE(FILTER(R1588:R5656,AA1588:AA5656=""Neighbor""))) / STDEV(FILTER(R1588:R5656, AA1588:AA5656 =""Neighbor"")), """")"),0.35069517550065527)</f>
        <v>0.3506951755</v>
      </c>
    </row>
    <row r="1589">
      <c r="A1589" s="2" t="s">
        <v>28</v>
      </c>
      <c r="B1589" s="2" t="s">
        <v>6431</v>
      </c>
      <c r="C1589" s="2" t="s">
        <v>6496</v>
      </c>
      <c r="D1589" s="2" t="s">
        <v>6501</v>
      </c>
      <c r="E1589" s="2" t="s">
        <v>6502</v>
      </c>
      <c r="F1589" s="2">
        <v>151.0</v>
      </c>
      <c r="G1589" s="2">
        <v>640.0</v>
      </c>
      <c r="H1589" s="2" t="b">
        <v>1</v>
      </c>
      <c r="I1589" s="2">
        <v>-1.0</v>
      </c>
      <c r="J1589" s="2" t="b">
        <v>0</v>
      </c>
      <c r="K1589" s="2" t="b">
        <v>0</v>
      </c>
      <c r="L1589" s="2" t="b">
        <v>0</v>
      </c>
      <c r="M1589" s="2" t="b">
        <v>0</v>
      </c>
      <c r="N1589" s="2" t="s">
        <v>33</v>
      </c>
      <c r="O1589" s="2">
        <v>88.0</v>
      </c>
      <c r="P1589" s="2">
        <v>22.0</v>
      </c>
      <c r="Q1589" s="2">
        <v>28.0</v>
      </c>
      <c r="R1589" s="2">
        <v>0.0</v>
      </c>
      <c r="S1589" s="3" t="s">
        <v>6503</v>
      </c>
      <c r="T1589" s="2" t="s">
        <v>6504</v>
      </c>
      <c r="Y1589" s="4" t="str">
        <f>IFERROR(__xludf.DUMMYFUNCTION("""COMPUTED_VALUE"""),"6.8169919")</f>
        <v>6.8169919</v>
      </c>
      <c r="Z1589" s="4" t="str">
        <f>IFERROR(__xludf.DUMMYFUNCTION("""COMPUTED_VALUE"""),"3.927903")</f>
        <v>3.927903</v>
      </c>
      <c r="AA1589" s="4" t="str">
        <f t="shared" si="1"/>
        <v>Neighbor</v>
      </c>
      <c r="AC1589" s="4">
        <f>IFERROR(__xludf.DUMMYFUNCTION("IFERROR(ABS(O1589-AVERAGE(FILTER(O1589:O5657,AA1589:AA5657=""Neighbor""))) / STDEV(FILTER(O1589:O5657, AA1589:AA5657 =""Neighbor"")), """")"),0.7136006714559078)</f>
        <v>0.7136006715</v>
      </c>
      <c r="AD1589" s="4">
        <f>IFERROR(__xludf.DUMMYFUNCTION("IFERROR(ABS(P1589-AVERAGE(FILTER(O1589:P5657,AA1589:AA5657=""Neighbor""))) / STDEV(FILTER(P1589:P5657, AA1589:AA5657 =""Neighbor"")), """")"),0.7215108826267371)</f>
        <v>0.7215108826</v>
      </c>
      <c r="AE1589" s="2">
        <f>IFERROR(__xludf.DUMMYFUNCTION("IFERROR(ABS(Q1589-AVERAGE(FILTER(Q1589:Q5657,AA1589:AA5657=""Neighbor""))) / STDEV(FILTER(Q1589:Q5657, AA1589:AA5657 =""Neighbor"")), """")"),0.12738470372097477)</f>
        <v>0.1273847037</v>
      </c>
      <c r="AF1589" s="2">
        <f>IFERROR(__xludf.DUMMYFUNCTION("IFERROR(ABS(R1589-AVERAGE(FILTER(R1589:R5657,AA1589:AA5657=""Neighbor""))) / STDEV(FILTER(R1589:R5657, AA1589:AA5657 =""Neighbor"")), """")"),0.35088710982386273)</f>
        <v>0.3508871098</v>
      </c>
    </row>
    <row r="1590">
      <c r="A1590" s="2" t="s">
        <v>28</v>
      </c>
      <c r="B1590" s="2" t="s">
        <v>6431</v>
      </c>
      <c r="C1590" s="2" t="s">
        <v>6496</v>
      </c>
      <c r="D1590" s="2" t="s">
        <v>6505</v>
      </c>
      <c r="E1590" s="2" t="s">
        <v>6506</v>
      </c>
      <c r="F1590" s="2">
        <v>198.0</v>
      </c>
      <c r="G1590" s="2">
        <v>850.0</v>
      </c>
      <c r="H1590" s="2" t="b">
        <v>1</v>
      </c>
      <c r="I1590" s="2">
        <v>-1.0</v>
      </c>
      <c r="J1590" s="2" t="b">
        <v>0</v>
      </c>
      <c r="K1590" s="2" t="b">
        <v>0</v>
      </c>
      <c r="L1590" s="2" t="b">
        <v>0</v>
      </c>
      <c r="M1590" s="2" t="b">
        <v>0</v>
      </c>
      <c r="N1590" s="2" t="s">
        <v>33</v>
      </c>
      <c r="O1590" s="2">
        <v>129.0</v>
      </c>
      <c r="P1590" s="2">
        <v>30.0</v>
      </c>
      <c r="Q1590" s="2">
        <v>31.0</v>
      </c>
      <c r="R1590" s="2">
        <v>0.0</v>
      </c>
      <c r="S1590" s="3" t="s">
        <v>6507</v>
      </c>
      <c r="T1590" s="2" t="s">
        <v>6508</v>
      </c>
      <c r="Y1590" s="4" t="str">
        <f>IFERROR(__xludf.DUMMYFUNCTION("""COMPUTED_VALUE"""),"6.8171623")</f>
        <v>6.8171623</v>
      </c>
      <c r="Z1590" s="4" t="str">
        <f>IFERROR(__xludf.DUMMYFUNCTION("""COMPUTED_VALUE"""),"3.9282768")</f>
        <v>3.9282768</v>
      </c>
      <c r="AA1590" s="4" t="str">
        <f t="shared" si="1"/>
        <v>Neighbor</v>
      </c>
      <c r="AC1590" s="4">
        <f>IFERROR(__xludf.DUMMYFUNCTION("IFERROR(ABS(O1590-AVERAGE(FILTER(O1590:O5658,AA1590:AA5658=""Neighbor""))) / STDEV(FILTER(O1590:O5658, AA1590:AA5658 =""Neighbor"")), """")"),1.7386927769110792)</f>
        <v>1.738692777</v>
      </c>
      <c r="AD1590" s="4">
        <f>IFERROR(__xludf.DUMMYFUNCTION("IFERROR(ABS(P1590-AVERAGE(FILTER(O1590:P5658,AA1590:AA5658=""Neighbor""))) / STDEV(FILTER(P1590:P5658, AA1590:AA5658 =""Neighbor"")), """")"),0.3549096124662348)</f>
        <v>0.3549096125</v>
      </c>
      <c r="AE1590" s="2">
        <f>IFERROR(__xludf.DUMMYFUNCTION("IFERROR(ABS(Q1590-AVERAGE(FILTER(Q1590:Q5658,AA1590:AA5658=""Neighbor""))) / STDEV(FILTER(Q1590:Q5658, AA1590:AA5658 =""Neighbor"")), """")"),0.2444941038168912)</f>
        <v>0.2444941038</v>
      </c>
      <c r="AF1590" s="2">
        <f>IFERROR(__xludf.DUMMYFUNCTION("IFERROR(ABS(R1590-AVERAGE(FILTER(R1590:R5658,AA1590:AA5658=""Neighbor""))) / STDEV(FILTER(R1590:R5658, AA1590:AA5658 =""Neighbor"")), """")"),0.351079359667435)</f>
        <v>0.3510793597</v>
      </c>
    </row>
    <row r="1591">
      <c r="A1591" s="2" t="s">
        <v>28</v>
      </c>
      <c r="B1591" s="2" t="s">
        <v>6431</v>
      </c>
      <c r="C1591" s="2" t="s">
        <v>6496</v>
      </c>
      <c r="D1591" s="2" t="s">
        <v>6509</v>
      </c>
      <c r="E1591" s="2" t="s">
        <v>6510</v>
      </c>
      <c r="F1591" s="2">
        <v>227.0</v>
      </c>
      <c r="G1591" s="2">
        <v>690.0</v>
      </c>
      <c r="H1591" s="2" t="b">
        <v>1</v>
      </c>
      <c r="I1591" s="2">
        <v>-1.0</v>
      </c>
      <c r="J1591" s="2" t="b">
        <v>0</v>
      </c>
      <c r="K1591" s="2" t="b">
        <v>0</v>
      </c>
      <c r="L1591" s="2" t="b">
        <v>0</v>
      </c>
      <c r="M1591" s="2" t="b">
        <v>0</v>
      </c>
      <c r="N1591" s="2" t="s">
        <v>33</v>
      </c>
      <c r="O1591" s="2">
        <v>214.0</v>
      </c>
      <c r="P1591" s="2">
        <v>11.0</v>
      </c>
      <c r="Q1591" s="2">
        <v>76.0</v>
      </c>
      <c r="R1591" s="2">
        <v>0.0</v>
      </c>
      <c r="S1591" s="3" t="s">
        <v>6511</v>
      </c>
      <c r="T1591" s="2" t="s">
        <v>6512</v>
      </c>
      <c r="Y1591" s="4" t="str">
        <f>IFERROR(__xludf.DUMMYFUNCTION("""COMPUTED_VALUE"""),"6.8171956")</f>
        <v>6.8171956</v>
      </c>
      <c r="Z1591" s="4" t="str">
        <f>IFERROR(__xludf.DUMMYFUNCTION("""COMPUTED_VALUE"""),"3.9272872")</f>
        <v>3.9272872</v>
      </c>
      <c r="AA1591" s="4" t="str">
        <f t="shared" si="1"/>
        <v>Not Neighbor</v>
      </c>
      <c r="AC1591" s="4">
        <f>IFERROR(__xludf.DUMMYFUNCTION("IFERROR(ABS(O1591-AVERAGE(FILTER(O1591:O5659,AA1591:AA5659=""Neighbor""))) / STDEV(FILTER(O1591:O5659, AA1591:AA5659 =""Neighbor"")), """")"),3.8683294942655473)</f>
        <v>3.868329494</v>
      </c>
      <c r="AD1591" s="4">
        <f>IFERROR(__xludf.DUMMYFUNCTION("IFERROR(ABS(P1591-AVERAGE(FILTER(O1591:P5659,AA1591:AA5659=""Neighbor""))) / STDEV(FILTER(P1591:P5659, AA1591:AA5659 =""Neighbor"")), """")"),1.2207666445309733)</f>
        <v>1.220766645</v>
      </c>
      <c r="AE1591" s="2">
        <f>IFERROR(__xludf.DUMMYFUNCTION("IFERROR(ABS(Q1591-AVERAGE(FILTER(Q1591:Q5659,AA1591:AA5659=""Neighbor""))) / STDEV(FILTER(Q1591:Q5659, AA1591:AA5659 =""Neighbor"")), """")"),1.9995075983904358)</f>
        <v>1.999507598</v>
      </c>
      <c r="AF1591" s="2">
        <f>IFERROR(__xludf.DUMMYFUNCTION("IFERROR(ABS(R1591-AVERAGE(FILTER(R1591:R5659,AA1591:AA5659=""Neighbor""))) / STDEV(FILTER(R1591:R5659, AA1591:AA5659 =""Neighbor"")), """")"),0.3512719258968871)</f>
        <v>0.3512719259</v>
      </c>
    </row>
    <row r="1592">
      <c r="A1592" s="2" t="s">
        <v>28</v>
      </c>
      <c r="B1592" s="2" t="s">
        <v>6431</v>
      </c>
      <c r="C1592" s="2" t="s">
        <v>6513</v>
      </c>
      <c r="D1592" s="2" t="s">
        <v>6514</v>
      </c>
      <c r="E1592" s="2" t="s">
        <v>6515</v>
      </c>
      <c r="F1592" s="2">
        <v>242.0</v>
      </c>
      <c r="G1592" s="2">
        <v>765.0</v>
      </c>
      <c r="H1592" s="2" t="b">
        <v>1</v>
      </c>
      <c r="I1592" s="2">
        <v>-1.0</v>
      </c>
      <c r="J1592" s="2" t="b">
        <v>0</v>
      </c>
      <c r="K1592" s="2" t="b">
        <v>0</v>
      </c>
      <c r="L1592" s="2" t="b">
        <v>0</v>
      </c>
      <c r="M1592" s="2" t="b">
        <v>0</v>
      </c>
      <c r="N1592" s="2" t="s">
        <v>33</v>
      </c>
      <c r="O1592" s="2">
        <v>144.0</v>
      </c>
      <c r="P1592" s="2">
        <v>47.0</v>
      </c>
      <c r="Q1592" s="2">
        <v>42.0</v>
      </c>
      <c r="R1592" s="2">
        <v>1.0</v>
      </c>
      <c r="S1592" s="3" t="s">
        <v>6516</v>
      </c>
      <c r="T1592" s="2" t="s">
        <v>6517</v>
      </c>
      <c r="Y1592" s="4" t="str">
        <f>IFERROR(__xludf.DUMMYFUNCTION("""COMPUTED_VALUE"""),"6.7998609")</f>
        <v>6.7998609</v>
      </c>
      <c r="Z1592" s="4" t="str">
        <f>IFERROR(__xludf.DUMMYFUNCTION("""COMPUTED_VALUE"""),"3.9633736")</f>
        <v>3.9633736</v>
      </c>
      <c r="AA1592" s="4" t="str">
        <f t="shared" si="1"/>
        <v>Not Neighbor</v>
      </c>
      <c r="AC1592" s="4">
        <f>IFERROR(__xludf.DUMMYFUNCTION("IFERROR(ABS(O1592-AVERAGE(FILTER(O1592:O5660,AA1592:AA5660=""Neighbor""))) / STDEV(FILTER(O1592:O5660, AA1592:AA5660 =""Neighbor"")), """")"),2.117333457019774)</f>
        <v>2.117333457</v>
      </c>
      <c r="AD1592" s="4">
        <f>IFERROR(__xludf.DUMMYFUNCTION("IFERROR(ABS(P1592-AVERAGE(FILTER(O1592:P5660,AA1592:AA5660=""Neighbor""))) / STDEV(FILTER(P1592:P5660, AA1592:AA5660 =""Neighbor"")), """")"),0.4235312848372765)</f>
        <v>0.4235312848</v>
      </c>
      <c r="AE1592" s="2">
        <f>IFERROR(__xludf.DUMMYFUNCTION("IFERROR(ABS(Q1592-AVERAGE(FILTER(Q1592:Q5660,AA1592:AA5660=""Neighbor""))) / STDEV(FILTER(Q1592:Q5660, AA1592:AA5660 =""Neighbor"")), """")"),0.6735929852733737)</f>
        <v>0.6735929853</v>
      </c>
      <c r="AF1592" s="2">
        <f>IFERROR(__xludf.DUMMYFUNCTION("IFERROR(ABS(R1592-AVERAGE(FILTER(R1592:R5660,AA1592:AA5660=""Neighbor""))) / STDEV(FILTER(R1592:R5660, AA1592:AA5660 =""Neighbor"")), """")"),0.8116768773151373)</f>
        <v>0.8116768773</v>
      </c>
    </row>
    <row r="1593">
      <c r="A1593" s="2" t="s">
        <v>28</v>
      </c>
      <c r="B1593" s="2" t="s">
        <v>6431</v>
      </c>
      <c r="C1593" s="2" t="s">
        <v>6513</v>
      </c>
      <c r="D1593" s="2" t="s">
        <v>6518</v>
      </c>
      <c r="E1593" s="2" t="s">
        <v>6519</v>
      </c>
      <c r="F1593" s="2">
        <v>197.0</v>
      </c>
      <c r="G1593" s="2">
        <v>662.0</v>
      </c>
      <c r="H1593" s="2" t="b">
        <v>1</v>
      </c>
      <c r="I1593" s="2">
        <v>-1.0</v>
      </c>
      <c r="J1593" s="2" t="b">
        <v>0</v>
      </c>
      <c r="K1593" s="2" t="b">
        <v>0</v>
      </c>
      <c r="L1593" s="2" t="b">
        <v>0</v>
      </c>
      <c r="M1593" s="2" t="b">
        <v>0</v>
      </c>
      <c r="N1593" s="2" t="s">
        <v>33</v>
      </c>
      <c r="O1593" s="2">
        <v>127.0</v>
      </c>
      <c r="P1593" s="2">
        <v>5.0</v>
      </c>
      <c r="Q1593" s="2">
        <v>52.0</v>
      </c>
      <c r="R1593" s="2">
        <v>0.0</v>
      </c>
      <c r="S1593" s="3" t="s">
        <v>6520</v>
      </c>
      <c r="T1593" s="2" t="s">
        <v>6521</v>
      </c>
      <c r="Y1593" s="4" t="str">
        <f>IFERROR(__xludf.DUMMYFUNCTION("""COMPUTED_VALUE"""),"6.8147477")</f>
        <v>6.8147477</v>
      </c>
      <c r="Z1593" s="4" t="str">
        <f>IFERROR(__xludf.DUMMYFUNCTION("""COMPUTED_VALUE"""),"3.9178294")</f>
        <v>3.9178294</v>
      </c>
      <c r="AA1593" s="4" t="str">
        <f t="shared" si="1"/>
        <v>Neighbor</v>
      </c>
      <c r="AC1593" s="4">
        <f>IFERROR(__xludf.DUMMYFUNCTION("IFERROR(ABS(O1593-AVERAGE(FILTER(O1593:O5661,AA1593:AA5661=""Neighbor""))) / STDEV(FILTER(O1593:O5661, AA1593:AA5661 =""Neighbor"")), """")"),1.692091562260086)</f>
        <v>1.692091562</v>
      </c>
      <c r="AD1593" s="4">
        <f>IFERROR(__xludf.DUMMYFUNCTION("IFERROR(ABS(P1593-AVERAGE(FILTER(O1593:P5661,AA1593:AA5661=""Neighbor""))) / STDEV(FILTER(P1593:P5661, AA1593:AA5661 =""Neighbor"")), """")"),1.4948162994256815)</f>
        <v>1.494816299</v>
      </c>
      <c r="AE1593" s="2">
        <f>IFERROR(__xludf.DUMMYFUNCTION("IFERROR(ABS(Q1593-AVERAGE(FILTER(Q1593:Q5661,AA1593:AA5661=""Neighbor""))) / STDEV(FILTER(Q1593:Q5661, AA1593:AA5661 =""Neighbor"")), """")"),1.0635678714842742)</f>
        <v>1.063567871</v>
      </c>
      <c r="AF1593" s="2">
        <f>IFERROR(__xludf.DUMMYFUNCTION("IFERROR(ABS(R1593-AVERAGE(FILTER(R1593:R5661,AA1593:AA5661=""Neighbor""))) / STDEV(FILTER(R1593:R5661, AA1593:AA5661 =""Neighbor"")), """")"),0.3512719258968871)</f>
        <v>0.3512719259</v>
      </c>
    </row>
    <row r="1594">
      <c r="A1594" s="2" t="s">
        <v>28</v>
      </c>
      <c r="B1594" s="2" t="s">
        <v>6431</v>
      </c>
      <c r="C1594" s="2" t="s">
        <v>6513</v>
      </c>
      <c r="D1594" s="2" t="s">
        <v>6522</v>
      </c>
      <c r="E1594" s="2" t="s">
        <v>6523</v>
      </c>
      <c r="F1594" s="2">
        <v>196.0</v>
      </c>
      <c r="G1594" s="2">
        <v>866.0</v>
      </c>
      <c r="H1594" s="2" t="b">
        <v>1</v>
      </c>
      <c r="I1594" s="2">
        <v>-1.0</v>
      </c>
      <c r="J1594" s="2" t="b">
        <v>0</v>
      </c>
      <c r="K1594" s="2" t="b">
        <v>0</v>
      </c>
      <c r="L1594" s="2" t="b">
        <v>0</v>
      </c>
      <c r="M1594" s="2" t="b">
        <v>0</v>
      </c>
      <c r="N1594" s="2" t="s">
        <v>33</v>
      </c>
      <c r="O1594" s="2">
        <v>133.0</v>
      </c>
      <c r="P1594" s="2">
        <v>21.0</v>
      </c>
      <c r="Q1594" s="2">
        <v>30.0</v>
      </c>
      <c r="R1594" s="2">
        <v>0.0</v>
      </c>
      <c r="S1594" s="3" t="s">
        <v>6524</v>
      </c>
      <c r="T1594" s="2" t="s">
        <v>6525</v>
      </c>
      <c r="Y1594" s="4" t="str">
        <f>IFERROR(__xludf.DUMMYFUNCTION("""COMPUTED_VALUE"""),"6.8099615")</f>
        <v>6.8099615</v>
      </c>
      <c r="Z1594" s="4" t="str">
        <f>IFERROR(__xludf.DUMMYFUNCTION("""COMPUTED_VALUE"""),"3.9126371")</f>
        <v>3.9126371</v>
      </c>
      <c r="AA1594" s="4" t="str">
        <f t="shared" si="1"/>
        <v>Not Neighbor</v>
      </c>
      <c r="AC1594" s="4">
        <f>IFERROR(__xludf.DUMMYFUNCTION("IFERROR(ABS(O1594-AVERAGE(FILTER(O1594:O5662,AA1594:AA5662=""Neighbor""))) / STDEV(FILTER(O1594:O5662, AA1594:AA5662 =""Neighbor"")), """")"),1.8455198072053365)</f>
        <v>1.845519807</v>
      </c>
      <c r="AD1594" s="4">
        <f>IFERROR(__xludf.DUMMYFUNCTION("IFERROR(ABS(P1594-AVERAGE(FILTER(O1594:P5662,AA1594:AA5662=""Neighbor""))) / STDEV(FILTER(P1594:P5662, AA1594:AA5662 =""Neighbor"")), """")"),0.7624763833700124)</f>
        <v>0.7624763834</v>
      </c>
      <c r="AE1594" s="2">
        <f>IFERROR(__xludf.DUMMYFUNCTION("IFERROR(ABS(Q1594-AVERAGE(FILTER(Q1594:Q5662,AA1594:AA5662=""Neighbor""))) / STDEV(FILTER(Q1594:Q5662, AA1594:AA5662 =""Neighbor"")), """")"),0.20667718413768138)</f>
        <v>0.2066771841</v>
      </c>
      <c r="AF1594" s="2">
        <f>IFERROR(__xludf.DUMMYFUNCTION("IFERROR(ABS(R1594-AVERAGE(FILTER(R1594:R5662,AA1594:AA5662=""Neighbor""))) / STDEV(FILTER(R1594:R5662, AA1594:AA5662 =""Neighbor"")), """")"),0.3514648093810634)</f>
        <v>0.3514648094</v>
      </c>
    </row>
    <row r="1595">
      <c r="A1595" s="2" t="s">
        <v>28</v>
      </c>
      <c r="B1595" s="2" t="s">
        <v>6431</v>
      </c>
      <c r="C1595" s="2" t="s">
        <v>6513</v>
      </c>
      <c r="D1595" s="2" t="s">
        <v>6526</v>
      </c>
      <c r="E1595" s="2" t="s">
        <v>6527</v>
      </c>
      <c r="F1595" s="2">
        <v>251.0</v>
      </c>
      <c r="G1595" s="2">
        <v>1381.0</v>
      </c>
      <c r="H1595" s="2" t="b">
        <v>1</v>
      </c>
      <c r="I1595" s="2">
        <v>-1.0</v>
      </c>
      <c r="J1595" s="2" t="b">
        <v>0</v>
      </c>
      <c r="K1595" s="2" t="b">
        <v>0</v>
      </c>
      <c r="L1595" s="2" t="b">
        <v>0</v>
      </c>
      <c r="M1595" s="2" t="b">
        <v>0</v>
      </c>
      <c r="N1595" s="2" t="s">
        <v>33</v>
      </c>
      <c r="O1595" s="2">
        <v>156.0</v>
      </c>
      <c r="P1595" s="2">
        <v>45.0</v>
      </c>
      <c r="Q1595" s="2">
        <v>28.0</v>
      </c>
      <c r="R1595" s="2">
        <v>1.0</v>
      </c>
      <c r="S1595" s="3" t="s">
        <v>6528</v>
      </c>
      <c r="T1595" s="2" t="s">
        <v>6529</v>
      </c>
      <c r="Y1595" s="4" t="str">
        <f>IFERROR(__xludf.DUMMYFUNCTION("""COMPUTED_VALUE"""),"6.8171956")</f>
        <v>6.8171956</v>
      </c>
      <c r="Z1595" s="4" t="str">
        <f>IFERROR(__xludf.DUMMYFUNCTION("""COMPUTED_VALUE"""),"3.9272872")</f>
        <v>3.9272872</v>
      </c>
      <c r="AA1595" s="4" t="str">
        <f t="shared" si="1"/>
        <v>Not Neighbor</v>
      </c>
      <c r="AC1595" s="4">
        <f>IFERROR(__xludf.DUMMYFUNCTION("IFERROR(ABS(O1595-AVERAGE(FILTER(O1595:O5663,AA1595:AA5663=""Neighbor""))) / STDEV(FILTER(O1595:O5663, AA1595:AA5663 =""Neighbor"")), """")"),2.421373531179805)</f>
        <v>2.421373531</v>
      </c>
      <c r="AD1595" s="4">
        <f>IFERROR(__xludf.DUMMYFUNCTION("IFERROR(ABS(P1595-AVERAGE(FILTER(O1595:P5663,AA1595:AA5663=""Neighbor""))) / STDEV(FILTER(P1595:P5663, AA1595:AA5663 =""Neighbor"")), """")"),0.33332374150838817)</f>
        <v>0.3333237415</v>
      </c>
      <c r="AE1595" s="2">
        <f>IFERROR(__xludf.DUMMYFUNCTION("IFERROR(ABS(Q1595-AVERAGE(FILTER(Q1595:Q5663,AA1595:AA5663=""Neighbor""))) / STDEV(FILTER(Q1595:Q5663, AA1595:AA5663 =""Neighbor"")), """")"),0.12867715378734518)</f>
        <v>0.1286771538</v>
      </c>
      <c r="AF1595" s="2">
        <f>IFERROR(__xludf.DUMMYFUNCTION("IFERROR(ABS(R1595-AVERAGE(FILTER(R1595:R5663,AA1595:AA5663=""Neighbor""))) / STDEV(FILTER(R1595:R5663, AA1595:AA5663 =""Neighbor"")), """")"),0.810985142681871)</f>
        <v>0.8109851427</v>
      </c>
    </row>
    <row r="1596">
      <c r="A1596" s="2" t="s">
        <v>28</v>
      </c>
      <c r="B1596" s="2" t="s">
        <v>6431</v>
      </c>
      <c r="C1596" s="2" t="s">
        <v>6513</v>
      </c>
      <c r="D1596" s="2" t="s">
        <v>6530</v>
      </c>
      <c r="E1596" s="2" t="s">
        <v>6531</v>
      </c>
      <c r="F1596" s="2">
        <v>138.0</v>
      </c>
      <c r="G1596" s="2">
        <v>750.0</v>
      </c>
      <c r="H1596" s="2" t="b">
        <v>1</v>
      </c>
      <c r="I1596" s="2">
        <v>-1.0</v>
      </c>
      <c r="J1596" s="2" t="b">
        <v>0</v>
      </c>
      <c r="K1596" s="2" t="b">
        <v>0</v>
      </c>
      <c r="L1596" s="2" t="b">
        <v>0</v>
      </c>
      <c r="M1596" s="2" t="b">
        <v>0</v>
      </c>
      <c r="N1596" s="2" t="s">
        <v>33</v>
      </c>
      <c r="O1596" s="2">
        <v>91.0</v>
      </c>
      <c r="P1596" s="2">
        <v>18.0</v>
      </c>
      <c r="Q1596" s="2">
        <v>21.0</v>
      </c>
      <c r="R1596" s="2">
        <v>0.0</v>
      </c>
      <c r="S1596" s="3" t="s">
        <v>6532</v>
      </c>
      <c r="T1596" s="2" t="s">
        <v>6533</v>
      </c>
      <c r="Y1596" s="4" t="str">
        <f>IFERROR(__xludf.DUMMYFUNCTION("""COMPUTED_VALUE"""),"6.8099615")</f>
        <v>6.8099615</v>
      </c>
      <c r="Z1596" s="4" t="str">
        <f>IFERROR(__xludf.DUMMYFUNCTION("""COMPUTED_VALUE"""),"3.9126371")</f>
        <v>3.9126371</v>
      </c>
      <c r="AA1596" s="4" t="str">
        <f t="shared" si="1"/>
        <v>Neighbor</v>
      </c>
      <c r="AC1596" s="4">
        <f>IFERROR(__xludf.DUMMYFUNCTION("IFERROR(ABS(O1596-AVERAGE(FILTER(O1596:O5664,AA1596:AA5664=""Neighbor""))) / STDEV(FILTER(O1596:O5664, AA1596:AA5664 =""Neighbor"")), """")"),0.7939608329910897)</f>
        <v>0.793960833</v>
      </c>
      <c r="AD1596" s="4">
        <f>IFERROR(__xludf.DUMMYFUNCTION("IFERROR(ABS(P1596-AVERAGE(FILTER(O1596:P5664,AA1596:AA5664=""Neighbor""))) / STDEV(FILTER(P1596:P5664, AA1596:AA5664 =""Neighbor"")), """")"),0.8994513989798124)</f>
        <v>0.899451399</v>
      </c>
      <c r="AE1596" s="2">
        <f>IFERROR(__xludf.DUMMYFUNCTION("IFERROR(ABS(Q1596-AVERAGE(FILTER(Q1596:Q5664,AA1596:AA5664=""Neighbor""))) / STDEV(FILTER(Q1596:Q5664, AA1596:AA5664 =""Neighbor"")), """")"),0.14432295243883153)</f>
        <v>0.1443229524</v>
      </c>
      <c r="AF1596" s="2">
        <f>IFERROR(__xludf.DUMMYFUNCTION("IFERROR(ABS(R1596-AVERAGE(FILTER(R1596:R5664,AA1596:AA5664=""Neighbor""))) / STDEV(FILTER(R1596:R5664, AA1596:AA5664 =""Neighbor"")), """")"),0.3514648093810634)</f>
        <v>0.3514648094</v>
      </c>
    </row>
    <row r="1597">
      <c r="A1597" s="2" t="s">
        <v>28</v>
      </c>
      <c r="B1597" s="2" t="s">
        <v>6431</v>
      </c>
      <c r="C1597" s="2" t="s">
        <v>6513</v>
      </c>
      <c r="D1597" s="2" t="s">
        <v>6534</v>
      </c>
      <c r="E1597" s="2" t="s">
        <v>6535</v>
      </c>
      <c r="F1597" s="2">
        <v>208.0</v>
      </c>
      <c r="G1597" s="2">
        <v>628.0</v>
      </c>
      <c r="H1597" s="2" t="b">
        <v>1</v>
      </c>
      <c r="I1597" s="2">
        <v>-1.0</v>
      </c>
      <c r="J1597" s="2" t="b">
        <v>0</v>
      </c>
      <c r="K1597" s="2" t="b">
        <v>0</v>
      </c>
      <c r="L1597" s="2" t="b">
        <v>0</v>
      </c>
      <c r="M1597" s="2" t="b">
        <v>0</v>
      </c>
      <c r="N1597" s="2" t="s">
        <v>33</v>
      </c>
      <c r="O1597" s="2">
        <v>148.0</v>
      </c>
      <c r="P1597" s="2">
        <v>25.0</v>
      </c>
      <c r="Q1597" s="2">
        <v>28.0</v>
      </c>
      <c r="R1597" s="2">
        <v>0.0</v>
      </c>
      <c r="S1597" s="3" t="s">
        <v>6536</v>
      </c>
      <c r="T1597" s="2" t="s">
        <v>6537</v>
      </c>
      <c r="Y1597" s="4" t="str">
        <f>IFERROR(__xludf.DUMMYFUNCTION("""COMPUTED_VALUE"""),"6.8138317")</f>
        <v>6.8138317</v>
      </c>
      <c r="Z1597" s="4" t="str">
        <f>IFERROR(__xludf.DUMMYFUNCTION("""COMPUTED_VALUE"""),"3.9131109")</f>
        <v>3.9131109</v>
      </c>
      <c r="AA1597" s="4" t="str">
        <f t="shared" si="1"/>
        <v>Not Neighbor</v>
      </c>
      <c r="AC1597" s="4">
        <f>IFERROR(__xludf.DUMMYFUNCTION("IFERROR(ABS(O1597-AVERAGE(FILTER(O1597:O5665,AA1597:AA5665=""Neighbor""))) / STDEV(FILTER(O1597:O5665, AA1597:AA5665 =""Neighbor"")), """")"),2.221452419527731)</f>
        <v>2.22145242</v>
      </c>
      <c r="AD1597" s="4">
        <f>IFERROR(__xludf.DUMMYFUNCTION("IFERROR(ABS(P1597-AVERAGE(FILTER(O1597:P5665,AA1597:AA5665=""Neighbor""))) / STDEV(FILTER(P1597:P5665, AA1597:AA5665 =""Neighbor"")), """")"),0.5788101802302988)</f>
        <v>0.5788101802</v>
      </c>
      <c r="AE1597" s="2">
        <f>IFERROR(__xludf.DUMMYFUNCTION("IFERROR(ABS(Q1597-AVERAGE(FILTER(Q1597:Q5665,AA1597:AA5665=""Neighbor""))) / STDEV(FILTER(Q1597:Q5665, AA1597:AA5665 =""Neighbor"")), """")"),0.1284741495977402)</f>
        <v>0.1284741496</v>
      </c>
      <c r="AF1597" s="2">
        <f>IFERROR(__xludf.DUMMYFUNCTION("IFERROR(ABS(R1597-AVERAGE(FILTER(R1597:R5665,AA1597:AA5665=""Neighbor""))) / STDEV(FILTER(R1597:R5665, AA1597:AA5665 =""Neighbor"")), """")"),0.351658010992152)</f>
        <v>0.351658011</v>
      </c>
    </row>
    <row r="1598">
      <c r="A1598" s="2" t="s">
        <v>28</v>
      </c>
      <c r="B1598" s="2" t="s">
        <v>6431</v>
      </c>
      <c r="C1598" s="2" t="s">
        <v>6513</v>
      </c>
      <c r="D1598" s="2" t="s">
        <v>6538</v>
      </c>
      <c r="E1598" s="2" t="s">
        <v>6539</v>
      </c>
      <c r="F1598" s="2">
        <v>145.0</v>
      </c>
      <c r="G1598" s="2">
        <v>478.0</v>
      </c>
      <c r="H1598" s="2" t="b">
        <v>1</v>
      </c>
      <c r="I1598" s="2">
        <v>-1.0</v>
      </c>
      <c r="J1598" s="2" t="b">
        <v>0</v>
      </c>
      <c r="K1598" s="2" t="b">
        <v>1</v>
      </c>
      <c r="L1598" s="2" t="b">
        <v>0</v>
      </c>
      <c r="M1598" s="2" t="b">
        <v>0</v>
      </c>
      <c r="N1598" s="2" t="s">
        <v>33</v>
      </c>
      <c r="O1598" s="2">
        <v>99.0</v>
      </c>
      <c r="P1598" s="2">
        <v>5.0</v>
      </c>
      <c r="Q1598" s="2">
        <v>28.0</v>
      </c>
      <c r="R1598" s="2">
        <v>0.0</v>
      </c>
      <c r="S1598" s="3" t="s">
        <v>6540</v>
      </c>
      <c r="T1598" s="2" t="s">
        <v>6541</v>
      </c>
      <c r="Y1598" s="4" t="str">
        <f>IFERROR(__xludf.DUMMYFUNCTION("""COMPUTED_VALUE"""),"6.8167329")</f>
        <v>6.8167329</v>
      </c>
      <c r="Z1598" s="4" t="str">
        <f>IFERROR(__xludf.DUMMYFUNCTION("""COMPUTED_VALUE"""),"3.9719614")</f>
        <v>3.9719614</v>
      </c>
      <c r="AA1598" s="4" t="str">
        <f t="shared" si="1"/>
        <v>Not Neighbor</v>
      </c>
      <c r="AC1598" s="4">
        <f>IFERROR(__xludf.DUMMYFUNCTION("IFERROR(ABS(O1598-AVERAGE(FILTER(O1598:O5666,AA1598:AA5666=""Neighbor""))) / STDEV(FILTER(O1598:O5666, AA1598:AA5666 =""Neighbor"")), """")"),0.9948554712400587)</f>
        <v>0.9948554712</v>
      </c>
      <c r="AD1598" s="4">
        <f>IFERROR(__xludf.DUMMYFUNCTION("IFERROR(ABS(P1598-AVERAGE(FILTER(O1598:P5666,AA1598:AA5666=""Neighbor""))) / STDEV(FILTER(P1598:P5666, AA1598:AA5666 =""Neighbor"")), """")"),1.4915329788173255)</f>
        <v>1.491532979</v>
      </c>
      <c r="AE1598" s="2">
        <f>IFERROR(__xludf.DUMMYFUNCTION("IFERROR(ABS(Q1598-AVERAGE(FILTER(Q1598:Q5666,AA1598:AA5666=""Neighbor""))) / STDEV(FILTER(Q1598:Q5666, AA1598:AA5666 =""Neighbor"")), """")"),0.1284741495977402)</f>
        <v>0.1284741496</v>
      </c>
      <c r="AF1598" s="2">
        <f>IFERROR(__xludf.DUMMYFUNCTION("IFERROR(ABS(R1598-AVERAGE(FILTER(R1598:R5666,AA1598:AA5666=""Neighbor""))) / STDEV(FILTER(R1598:R5666, AA1598:AA5666 =""Neighbor"")), """")"),0.351658010992152)</f>
        <v>0.351658011</v>
      </c>
    </row>
    <row r="1599">
      <c r="A1599" s="2" t="s">
        <v>28</v>
      </c>
      <c r="B1599" s="2" t="s">
        <v>6431</v>
      </c>
      <c r="C1599" s="2" t="s">
        <v>6513</v>
      </c>
      <c r="D1599" s="2" t="s">
        <v>6542</v>
      </c>
      <c r="E1599" s="2" t="s">
        <v>6543</v>
      </c>
      <c r="F1599" s="2">
        <v>127.0</v>
      </c>
      <c r="G1599" s="2">
        <v>750.0</v>
      </c>
      <c r="H1599" s="2" t="b">
        <v>1</v>
      </c>
      <c r="I1599" s="2">
        <v>-1.0</v>
      </c>
      <c r="J1599" s="2" t="b">
        <v>1</v>
      </c>
      <c r="K1599" s="2" t="b">
        <v>1</v>
      </c>
      <c r="L1599" s="2" t="b">
        <v>0</v>
      </c>
      <c r="M1599" s="2" t="b">
        <v>0</v>
      </c>
      <c r="N1599" s="2" t="s">
        <v>33</v>
      </c>
      <c r="O1599" s="2">
        <v>85.0</v>
      </c>
      <c r="P1599" s="2">
        <v>2.0</v>
      </c>
      <c r="Q1599" s="2">
        <v>33.0</v>
      </c>
      <c r="R1599" s="2">
        <v>0.0</v>
      </c>
      <c r="S1599" s="3" t="s">
        <v>6544</v>
      </c>
      <c r="T1599" s="2" t="s">
        <v>6545</v>
      </c>
      <c r="Y1599" s="4" t="str">
        <f>IFERROR(__xludf.DUMMYFUNCTION("""COMPUTED_VALUE"""),"6.8163182")</f>
        <v>6.8163182</v>
      </c>
      <c r="Z1599" s="4" t="str">
        <f>IFERROR(__xludf.DUMMYFUNCTION("""COMPUTED_VALUE"""),"3.9170674")</f>
        <v>3.9170674</v>
      </c>
      <c r="AA1599" s="4" t="str">
        <f t="shared" si="1"/>
        <v>Neighbor</v>
      </c>
      <c r="AC1599" s="4">
        <f>IFERROR(__xludf.DUMMYFUNCTION("IFERROR(ABS(O1599-AVERAGE(FILTER(O1599:O5667,AA1599:AA5667=""Neighbor""))) / STDEV(FILTER(O1599:O5667, AA1599:AA5667 =""Neighbor"")), """")"),0.6443992003007236)</f>
        <v>0.6443992003</v>
      </c>
      <c r="AD1599" s="4">
        <f>IFERROR(__xludf.DUMMYFUNCTION("IFERROR(ABS(P1599-AVERAGE(FILTER(O1599:P5667,AA1599:AA5667=""Neighbor""))) / STDEV(FILTER(P1599:P5667, AA1599:AA5667 =""Neighbor"")), """")"),1.6284413986053794)</f>
        <v>1.628441399</v>
      </c>
      <c r="AE1599" s="2">
        <f>IFERROR(__xludf.DUMMYFUNCTION("IFERROR(ABS(Q1599-AVERAGE(FILTER(Q1599:Q5667,AA1599:AA5667=""Neighbor""))) / STDEV(FILTER(Q1599:Q5667, AA1599:AA5667 =""Neighbor"")), """")"),0.3233806975015928)</f>
        <v>0.3233806975</v>
      </c>
      <c r="AF1599" s="2">
        <f>IFERROR(__xludf.DUMMYFUNCTION("IFERROR(ABS(R1599-AVERAGE(FILTER(R1599:R5667,AA1599:AA5667=""Neighbor""))) / STDEV(FILTER(R1599:R5667, AA1599:AA5667 =""Neighbor"")), """")"),0.351658010992152)</f>
        <v>0.351658011</v>
      </c>
    </row>
    <row r="1600">
      <c r="A1600" s="2" t="s">
        <v>28</v>
      </c>
      <c r="B1600" s="2" t="s">
        <v>6431</v>
      </c>
      <c r="C1600" s="2" t="s">
        <v>6513</v>
      </c>
      <c r="D1600" s="2" t="s">
        <v>6546</v>
      </c>
      <c r="E1600" s="2" t="s">
        <v>6547</v>
      </c>
      <c r="F1600" s="2">
        <v>112.0</v>
      </c>
      <c r="G1600" s="2">
        <v>750.0</v>
      </c>
      <c r="H1600" s="2" t="b">
        <v>1</v>
      </c>
      <c r="I1600" s="2">
        <v>-1.0</v>
      </c>
      <c r="J1600" s="2" t="b">
        <v>0</v>
      </c>
      <c r="K1600" s="2" t="b">
        <v>0</v>
      </c>
      <c r="L1600" s="2" t="b">
        <v>0</v>
      </c>
      <c r="M1600" s="2" t="b">
        <v>0</v>
      </c>
      <c r="N1600" s="2" t="s">
        <v>33</v>
      </c>
      <c r="O1600" s="2">
        <v>87.0</v>
      </c>
      <c r="P1600" s="2">
        <v>14.0</v>
      </c>
      <c r="Q1600" s="2">
        <v>5.0</v>
      </c>
      <c r="R1600" s="2">
        <v>0.0</v>
      </c>
      <c r="S1600" s="3" t="s">
        <v>6548</v>
      </c>
      <c r="T1600" s="2" t="s">
        <v>6549</v>
      </c>
      <c r="Y1600" s="4" t="str">
        <f>IFERROR(__xludf.DUMMYFUNCTION("""COMPUTED_VALUE"""),"6.8099615")</f>
        <v>6.8099615</v>
      </c>
      <c r="Z1600" s="4" t="str">
        <f>IFERROR(__xludf.DUMMYFUNCTION("""COMPUTED_VALUE"""),"3.9126371")</f>
        <v>3.9126371</v>
      </c>
      <c r="AA1600" s="4" t="str">
        <f t="shared" si="1"/>
        <v>Neighbor</v>
      </c>
      <c r="AC1600" s="4">
        <f>IFERROR(__xludf.DUMMYFUNCTION("IFERROR(ABS(O1600-AVERAGE(FILTER(O1600:O5668,AA1600:AA5668=""Neighbor""))) / STDEV(FILTER(O1600:O5668, AA1600:AA5668 =""Neighbor"")), """")"),0.6948969310371349)</f>
        <v>0.694896931</v>
      </c>
      <c r="AD1600" s="4">
        <f>IFERROR(__xludf.DUMMYFUNCTION("IFERROR(ABS(P1600-AVERAGE(FILTER(O1600:P5668,AA1600:AA5668=""Neighbor""))) / STDEV(FILTER(P1600:P5668, AA1600:AA5668 =""Neighbor"")), """")"),1.0802374176111182)</f>
        <v>1.080237418</v>
      </c>
      <c r="AE1600" s="2">
        <f>IFERROR(__xludf.DUMMYFUNCTION("IFERROR(ABS(Q1600-AVERAGE(FILTER(Q1600:Q5668,AA1600:AA5668=""Neighbor""))) / STDEV(FILTER(Q1600:Q5668, AA1600:AA5668 =""Neighbor"")), """")"),0.7674418567568851)</f>
        <v>0.7674418568</v>
      </c>
      <c r="AF1600" s="2">
        <f>IFERROR(__xludf.DUMMYFUNCTION("IFERROR(ABS(R1600-AVERAGE(FILTER(R1600:R5668,AA1600:AA5668=""Neighbor""))) / STDEV(FILTER(R1600:R5668, AA1600:AA5668 =""Neighbor"")), """")"),0.351851531605702)</f>
        <v>0.3518515316</v>
      </c>
    </row>
    <row r="1601">
      <c r="A1601" s="2" t="s">
        <v>28</v>
      </c>
      <c r="B1601" s="2" t="s">
        <v>6431</v>
      </c>
      <c r="C1601" s="2" t="s">
        <v>6513</v>
      </c>
      <c r="D1601" s="2" t="s">
        <v>6550</v>
      </c>
      <c r="E1601" s="2" t="s">
        <v>6551</v>
      </c>
      <c r="F1601" s="2">
        <v>165.0</v>
      </c>
      <c r="G1601" s="2">
        <v>600.0</v>
      </c>
      <c r="H1601" s="2" t="b">
        <v>1</v>
      </c>
      <c r="I1601" s="2">
        <v>-1.0</v>
      </c>
      <c r="J1601" s="2" t="b">
        <v>0</v>
      </c>
      <c r="K1601" s="2" t="b">
        <v>0</v>
      </c>
      <c r="L1601" s="2" t="b">
        <v>0</v>
      </c>
      <c r="M1601" s="2" t="b">
        <v>0</v>
      </c>
      <c r="N1601" s="2" t="s">
        <v>33</v>
      </c>
      <c r="O1601" s="2">
        <v>120.0</v>
      </c>
      <c r="P1601" s="2">
        <v>7.0</v>
      </c>
      <c r="Q1601" s="2">
        <v>37.0</v>
      </c>
      <c r="R1601" s="2">
        <v>0.0</v>
      </c>
      <c r="S1601" s="3" t="s">
        <v>6552</v>
      </c>
      <c r="T1601" s="2" t="s">
        <v>6553</v>
      </c>
      <c r="Y1601" s="4" t="str">
        <f>IFERROR(__xludf.DUMMYFUNCTION("""COMPUTED_VALUE"""),"6.815068")</f>
        <v>6.815068</v>
      </c>
      <c r="Z1601" s="4" t="str">
        <f>IFERROR(__xludf.DUMMYFUNCTION("""COMPUTED_VALUE"""),"3.9180139")</f>
        <v>3.9180139</v>
      </c>
      <c r="AA1601" s="4" t="str">
        <f t="shared" si="1"/>
        <v>Neighbor</v>
      </c>
      <c r="AC1601" s="4">
        <f>IFERROR(__xludf.DUMMYFUNCTION("IFERROR(ABS(O1601-AVERAGE(FILTER(O1601:O5669,AA1601:AA5669=""Neighbor""))) / STDEV(FILTER(O1601:O5669, AA1601:AA5669 =""Neighbor"")), """")"),1.5210316935867807)</f>
        <v>1.521031694</v>
      </c>
      <c r="AD1601" s="4">
        <f>IFERROR(__xludf.DUMMYFUNCTION("IFERROR(ABS(P1601-AVERAGE(FILTER(O1601:P5669,AA1601:AA5669=""Neighbor""))) / STDEV(FILTER(P1601:P5669, AA1601:AA5669 =""Neighbor"")), """")"),1.3983444411068433)</f>
        <v>1.398344441</v>
      </c>
      <c r="AE1601" s="2">
        <f>IFERROR(__xludf.DUMMYFUNCTION("IFERROR(ABS(Q1601-AVERAGE(FILTER(Q1601:Q5669,AA1601:AA5669=""Neighbor""))) / STDEV(FILTER(Q1601:Q5669, AA1601:AA5669 =""Neighbor"")), """")"),0.4785628090000883)</f>
        <v>0.478562809</v>
      </c>
      <c r="AF1601" s="2">
        <f>IFERROR(__xludf.DUMMYFUNCTION("IFERROR(ABS(R1601-AVERAGE(FILTER(R1601:R5669,AA1601:AA5669=""Neighbor""))) / STDEV(FILTER(R1601:R5669, AA1601:AA5669 =""Neighbor"")), """")"),0.3520453721006401)</f>
        <v>0.3520453721</v>
      </c>
    </row>
    <row r="1602">
      <c r="A1602" s="2" t="s">
        <v>28</v>
      </c>
      <c r="B1602" s="2" t="s">
        <v>6431</v>
      </c>
      <c r="C1602" s="2" t="s">
        <v>6513</v>
      </c>
      <c r="D1602" s="2" t="s">
        <v>6554</v>
      </c>
      <c r="E1602" s="2" t="s">
        <v>6555</v>
      </c>
      <c r="F1602" s="2">
        <v>211.0</v>
      </c>
      <c r="G1602" s="2">
        <v>759.0</v>
      </c>
      <c r="H1602" s="2" t="b">
        <v>1</v>
      </c>
      <c r="I1602" s="2">
        <v>-1.0</v>
      </c>
      <c r="J1602" s="2" t="b">
        <v>1</v>
      </c>
      <c r="K1602" s="2" t="b">
        <v>1</v>
      </c>
      <c r="L1602" s="2" t="b">
        <v>0</v>
      </c>
      <c r="M1602" s="2" t="b">
        <v>0</v>
      </c>
      <c r="N1602" s="2" t="s">
        <v>33</v>
      </c>
      <c r="O1602" s="2">
        <v>139.0</v>
      </c>
      <c r="P1602" s="2">
        <v>22.0</v>
      </c>
      <c r="Q1602" s="2">
        <v>37.0</v>
      </c>
      <c r="R1602" s="2">
        <v>2.0</v>
      </c>
      <c r="S1602" s="3" t="s">
        <v>6556</v>
      </c>
      <c r="T1602" s="2" t="s">
        <v>6557</v>
      </c>
      <c r="Y1602" s="4" t="str">
        <f>IFERROR(__xludf.DUMMYFUNCTION("""COMPUTED_VALUE"""),"6.8129752")</f>
        <v>6.8129752</v>
      </c>
      <c r="Z1602" s="4" t="str">
        <f>IFERROR(__xludf.DUMMYFUNCTION("""COMPUTED_VALUE"""),"3.9155692")</f>
        <v>3.9155692</v>
      </c>
      <c r="AA1602" s="4" t="str">
        <f t="shared" si="1"/>
        <v>Not Neighbor</v>
      </c>
      <c r="AC1602" s="4">
        <f>IFERROR(__xludf.DUMMYFUNCTION("IFERROR(ABS(O1602-AVERAGE(FILTER(O1602:O5670,AA1602:AA5670=""Neighbor""))) / STDEV(FILTER(O1602:O5670, AA1602:AA5670 =""Neighbor"")), """")"),1.999181837480343)</f>
        <v>1.999181837</v>
      </c>
      <c r="AD1602" s="4">
        <f>IFERROR(__xludf.DUMMYFUNCTION("IFERROR(ABS(P1602-AVERAGE(FILTER(O1602:P5670,AA1602:AA5670=""Neighbor""))) / STDEV(FILTER(P1602:P5670, AA1602:AA5670 =""Neighbor"")), """")"),0.7128845279678832)</f>
        <v>0.712884528</v>
      </c>
      <c r="AE1602" s="2">
        <f>IFERROR(__xludf.DUMMYFUNCTION("IFERROR(ABS(Q1602-AVERAGE(FILTER(Q1602:Q5670,AA1602:AA5670=""Neighbor""))) / STDEV(FILTER(Q1602:Q5670, AA1602:AA5670 =""Neighbor"")), """")"),0.47885149103278374)</f>
        <v>0.478851491</v>
      </c>
      <c r="AF1602" s="2">
        <f>IFERROR(__xludf.DUMMYFUNCTION("IFERROR(ABS(R1602-AVERAGE(FILTER(R1602:R5670,AA1602:AA5670=""Neighbor""))) / STDEV(FILTER(R1602:R5670, AA1602:AA5670 =""Neighbor"")), """")"),1.9686656120112933)</f>
        <v>1.968665612</v>
      </c>
    </row>
    <row r="1603">
      <c r="A1603" s="2" t="s">
        <v>28</v>
      </c>
      <c r="B1603" s="2" t="s">
        <v>6431</v>
      </c>
      <c r="C1603" s="2" t="s">
        <v>6558</v>
      </c>
      <c r="D1603" s="2" t="s">
        <v>6559</v>
      </c>
      <c r="E1603" s="2" t="s">
        <v>6560</v>
      </c>
      <c r="F1603" s="2">
        <v>222.0</v>
      </c>
      <c r="G1603" s="2">
        <v>811.0</v>
      </c>
      <c r="H1603" s="2" t="b">
        <v>1</v>
      </c>
      <c r="I1603" s="2">
        <v>-1.0</v>
      </c>
      <c r="J1603" s="2" t="b">
        <v>0</v>
      </c>
      <c r="K1603" s="2" t="b">
        <v>0</v>
      </c>
      <c r="L1603" s="2" t="b">
        <v>0</v>
      </c>
      <c r="M1603" s="2" t="b">
        <v>0</v>
      </c>
      <c r="N1603" s="2" t="s">
        <v>33</v>
      </c>
      <c r="O1603" s="2">
        <v>162.0</v>
      </c>
      <c r="P1603" s="2">
        <v>27.0</v>
      </c>
      <c r="Q1603" s="2">
        <v>24.0</v>
      </c>
      <c r="R1603" s="2">
        <v>0.0</v>
      </c>
      <c r="S1603" s="3" t="s">
        <v>6561</v>
      </c>
      <c r="T1603" s="2" t="s">
        <v>6562</v>
      </c>
      <c r="Y1603" s="4" t="str">
        <f>IFERROR(__xludf.DUMMYFUNCTION("""COMPUTED_VALUE"""),"6.8167172")</f>
        <v>6.8167172</v>
      </c>
      <c r="Z1603" s="4" t="str">
        <f>IFERROR(__xludf.DUMMYFUNCTION("""COMPUTED_VALUE"""),"3.9037217")</f>
        <v>3.9037217</v>
      </c>
      <c r="AA1603" s="4" t="str">
        <f t="shared" si="1"/>
        <v>Neighbor</v>
      </c>
      <c r="AC1603" s="4">
        <f>IFERROR(__xludf.DUMMYFUNCTION("IFERROR(ABS(O1603-AVERAGE(FILTER(O1603:O5671,AA1603:AA5671=""Neighbor""))) / STDEV(FILTER(O1603:O5671, AA1603:AA5671 =""Neighbor"")), """")"),2.574993030989726)</f>
        <v>2.574993031</v>
      </c>
      <c r="AD1603" s="4">
        <f>IFERROR(__xludf.DUMMYFUNCTION("IFERROR(ABS(P1603-AVERAGE(FILTER(O1603:P5671,AA1603:AA5671=""Neighbor""))) / STDEV(FILTER(P1603:P5671, AA1603:AA5671 =""Neighbor"")), """")"),0.4849728234671279)</f>
        <v>0.4849728235</v>
      </c>
      <c r="AE1603" s="2">
        <f>IFERROR(__xludf.DUMMYFUNCTION("IFERROR(ABS(Q1603-AVERAGE(FILTER(Q1603:Q5671,AA1603:AA5671=""Neighbor""))) / STDEV(FILTER(Q1603:Q5671, AA1603:AA5671 =""Neighbor"")), """")"),0.027389172997241782)</f>
        <v>0.027389173</v>
      </c>
      <c r="AF1603" s="2">
        <f>IFERROR(__xludf.DUMMYFUNCTION("IFERROR(ABS(R1603-AVERAGE(FILTER(R1603:R5671,AA1603:AA5671=""Neighbor""))) / STDEV(FILTER(R1603:R5671, AA1603:AA5671 =""Neighbor"")), """")"),0.3522395333592876)</f>
        <v>0.3522395334</v>
      </c>
    </row>
    <row r="1604">
      <c r="A1604" s="2" t="s">
        <v>28</v>
      </c>
      <c r="B1604" s="2" t="s">
        <v>6431</v>
      </c>
      <c r="C1604" s="2" t="s">
        <v>6558</v>
      </c>
      <c r="D1604" s="2" t="s">
        <v>6563</v>
      </c>
      <c r="E1604" s="2" t="s">
        <v>6564</v>
      </c>
      <c r="F1604" s="2">
        <v>239.0</v>
      </c>
      <c r="G1604" s="2">
        <v>836.0</v>
      </c>
      <c r="H1604" s="2" t="b">
        <v>1</v>
      </c>
      <c r="I1604" s="2">
        <v>-1.0</v>
      </c>
      <c r="J1604" s="2" t="b">
        <v>0</v>
      </c>
      <c r="K1604" s="2" t="b">
        <v>0</v>
      </c>
      <c r="L1604" s="2" t="b">
        <v>0</v>
      </c>
      <c r="M1604" s="2" t="b">
        <v>0</v>
      </c>
      <c r="N1604" s="2" t="s">
        <v>33</v>
      </c>
      <c r="O1604" s="2">
        <v>174.0</v>
      </c>
      <c r="P1604" s="2">
        <v>12.0</v>
      </c>
      <c r="Q1604" s="2">
        <v>41.0</v>
      </c>
      <c r="R1604" s="2">
        <v>0.0</v>
      </c>
      <c r="S1604" s="3" t="s">
        <v>6565</v>
      </c>
      <c r="T1604" s="2" t="s">
        <v>6566</v>
      </c>
      <c r="Y1604" s="4" t="str">
        <f>IFERROR(__xludf.DUMMYFUNCTION("""COMPUTED_VALUE"""),"6.8167172")</f>
        <v>6.8167172</v>
      </c>
      <c r="Z1604" s="4" t="str">
        <f>IFERROR(__xludf.DUMMYFUNCTION("""COMPUTED_VALUE"""),"3.9037217")</f>
        <v>3.9037217</v>
      </c>
      <c r="AA1604" s="4" t="str">
        <f t="shared" si="1"/>
        <v>Neighbor</v>
      </c>
      <c r="AC1604" s="4">
        <f>IFERROR(__xludf.DUMMYFUNCTION("IFERROR(ABS(O1604-AVERAGE(FILTER(O1604:O5672,AA1604:AA5672=""Neighbor""))) / STDEV(FILTER(O1604:O5672, AA1604:AA5672 =""Neighbor"")), """")"),2.885965500801517)</f>
        <v>2.885965501</v>
      </c>
      <c r="AD1604" s="4">
        <f>IFERROR(__xludf.DUMMYFUNCTION("IFERROR(ABS(P1604-AVERAGE(FILTER(O1604:P5672,AA1604:AA5672=""Neighbor""))) / STDEV(FILTER(P1604:P5672, AA1604:AA5672 =""Neighbor"")), """")"),1.1657267074072122)</f>
        <v>1.165726707</v>
      </c>
      <c r="AE1604" s="2">
        <f>IFERROR(__xludf.DUMMYFUNCTION("IFERROR(ABS(Q1604-AVERAGE(FILTER(Q1604:Q5672,AA1604:AA5672=""Neighbor""))) / STDEV(FILTER(Q1604:Q5672, AA1604:AA5672 =""Neighbor"")), """")"),0.6342790836829211)</f>
        <v>0.6342790837</v>
      </c>
      <c r="AF1604" s="2">
        <f>IFERROR(__xludf.DUMMYFUNCTION("IFERROR(ABS(R1604-AVERAGE(FILTER(R1604:R5672,AA1604:AA5672=""Neighbor""))) / STDEV(FILTER(R1604:R5672, AA1604:AA5672 =""Neighbor"")), """")"),0.35243401626737647)</f>
        <v>0.3524340163</v>
      </c>
    </row>
    <row r="1605">
      <c r="A1605" s="2" t="s">
        <v>28</v>
      </c>
      <c r="B1605" s="2" t="s">
        <v>6431</v>
      </c>
      <c r="C1605" s="2" t="s">
        <v>6558</v>
      </c>
      <c r="D1605" s="2" t="s">
        <v>6567</v>
      </c>
      <c r="E1605" s="2" t="s">
        <v>6568</v>
      </c>
      <c r="F1605" s="2">
        <v>172.0</v>
      </c>
      <c r="G1605" s="2">
        <v>657.0</v>
      </c>
      <c r="H1605" s="2" t="b">
        <v>1</v>
      </c>
      <c r="I1605" s="2">
        <v>-1.0</v>
      </c>
      <c r="J1605" s="2" t="b">
        <v>0</v>
      </c>
      <c r="K1605" s="2" t="b">
        <v>0</v>
      </c>
      <c r="L1605" s="2" t="b">
        <v>0</v>
      </c>
      <c r="M1605" s="2" t="b">
        <v>0</v>
      </c>
      <c r="N1605" s="2" t="s">
        <v>33</v>
      </c>
      <c r="O1605" s="2">
        <v>103.0</v>
      </c>
      <c r="P1605" s="2">
        <v>27.0</v>
      </c>
      <c r="Q1605" s="2">
        <v>27.0</v>
      </c>
      <c r="R1605" s="2">
        <v>0.0</v>
      </c>
      <c r="S1605" s="3" t="s">
        <v>6569</v>
      </c>
      <c r="T1605" s="2" t="s">
        <v>6570</v>
      </c>
      <c r="Y1605" s="4" t="str">
        <f>IFERROR(__xludf.DUMMYFUNCTION("""COMPUTED_VALUE"""),"6.8167172")</f>
        <v>6.8167172</v>
      </c>
      <c r="Z1605" s="4" t="str">
        <f>IFERROR(__xludf.DUMMYFUNCTION("""COMPUTED_VALUE"""),"3.9037217")</f>
        <v>3.9037217</v>
      </c>
      <c r="AA1605" s="4" t="str">
        <f t="shared" si="1"/>
        <v>Neighbor</v>
      </c>
      <c r="AC1605" s="4">
        <f>IFERROR(__xludf.DUMMYFUNCTION("IFERROR(ABS(O1605-AVERAGE(FILTER(O1605:O5673,AA1605:AA5673=""Neighbor""))) / STDEV(FILTER(O1605:O5673, AA1605:AA5673 =""Neighbor"")), """")"),1.1103706620285339)</f>
        <v>1.110370662</v>
      </c>
      <c r="AD1605" s="4">
        <f>IFERROR(__xludf.DUMMYFUNCTION("IFERROR(ABS(P1605-AVERAGE(FILTER(O1605:P5673,AA1605:AA5673=""Neighbor""))) / STDEV(FILTER(P1605:P5673, AA1605:AA5673 =""Neighbor"")), """")"),0.4795321714147952)</f>
        <v>0.4795321714</v>
      </c>
      <c r="AE1605" s="2">
        <f>IFERROR(__xludf.DUMMYFUNCTION("IFERROR(ABS(Q1605-AVERAGE(FILTER(Q1605:Q5673,AA1605:AA5673=""Neighbor""))) / STDEV(FILTER(Q1605:Q5673, AA1605:AA5673 =""Neighbor"")), """")"),0.08996255373303637)</f>
        <v>0.08996255373</v>
      </c>
      <c r="AF1605" s="2">
        <f>IFERROR(__xludf.DUMMYFUNCTION("IFERROR(ABS(R1605-AVERAGE(FILTER(R1605:R5673,AA1605:AA5673=""Neighbor""))) / STDEV(FILTER(R1605:R5673, AA1605:AA5673 =""Neighbor"")), """")"),0.35262882171406745)</f>
        <v>0.3526288217</v>
      </c>
    </row>
    <row r="1606">
      <c r="A1606" s="2" t="s">
        <v>28</v>
      </c>
      <c r="B1606" s="2" t="s">
        <v>6431</v>
      </c>
      <c r="C1606" s="2" t="s">
        <v>6558</v>
      </c>
      <c r="D1606" s="2" t="s">
        <v>6571</v>
      </c>
      <c r="E1606" s="2" t="s">
        <v>6572</v>
      </c>
      <c r="F1606" s="2">
        <v>239.0</v>
      </c>
      <c r="G1606" s="2">
        <v>656.0</v>
      </c>
      <c r="H1606" s="2" t="b">
        <v>1</v>
      </c>
      <c r="I1606" s="2">
        <v>-1.0</v>
      </c>
      <c r="J1606" s="2" t="b">
        <v>0</v>
      </c>
      <c r="K1606" s="2" t="b">
        <v>0</v>
      </c>
      <c r="L1606" s="2" t="b">
        <v>0</v>
      </c>
      <c r="M1606" s="2" t="b">
        <v>0</v>
      </c>
      <c r="N1606" s="2" t="s">
        <v>33</v>
      </c>
      <c r="O1606" s="2">
        <v>140.0</v>
      </c>
      <c r="P1606" s="2">
        <v>19.0</v>
      </c>
      <c r="Q1606" s="2">
        <v>67.0</v>
      </c>
      <c r="R1606" s="2">
        <v>0.0</v>
      </c>
      <c r="S1606" s="3" t="s">
        <v>6573</v>
      </c>
      <c r="T1606" s="2" t="s">
        <v>6574</v>
      </c>
      <c r="Y1606" s="4" t="str">
        <f>IFERROR(__xludf.DUMMYFUNCTION("""COMPUTED_VALUE"""),"6.8167172")</f>
        <v>6.8167172</v>
      </c>
      <c r="Z1606" s="4" t="str">
        <f>IFERROR(__xludf.DUMMYFUNCTION("""COMPUTED_VALUE"""),"3.9037217")</f>
        <v>3.9037217</v>
      </c>
      <c r="AA1606" s="4" t="str">
        <f t="shared" si="1"/>
        <v>Neighbor</v>
      </c>
      <c r="AC1606" s="4">
        <f>IFERROR(__xludf.DUMMYFUNCTION("IFERROR(ABS(O1606-AVERAGE(FILTER(O1606:O5674,AA1606:AA5674=""Neighbor""))) / STDEV(FILTER(O1606:O5674, AA1606:AA5674 =""Neighbor"")), """")"),2.043961615470433)</f>
        <v>2.043961615</v>
      </c>
      <c r="AD1606" s="4">
        <f>IFERROR(__xludf.DUMMYFUNCTION("IFERROR(ABS(P1606-AVERAGE(FILTER(O1606:P5674,AA1606:AA5674=""Neighbor""))) / STDEV(FILTER(P1606:P5674, AA1606:AA5674 =""Neighbor"")), """")"),0.8423365028504434)</f>
        <v>0.8423365029</v>
      </c>
      <c r="AE1606" s="2">
        <f>IFERROR(__xludf.DUMMYFUNCTION("IFERROR(ABS(Q1606-AVERAGE(FILTER(Q1606:Q5674,AA1606:AA5674=""Neighbor""))) / STDEV(FILTER(Q1606:Q5674, AA1606:AA5674 =""Neighbor"")), """")"),1.6456867404551172)</f>
        <v>1.64568674</v>
      </c>
      <c r="AF1606" s="2">
        <f>IFERROR(__xludf.DUMMYFUNCTION("IFERROR(ABS(R1606-AVERAGE(FILTER(R1606:R5674,AA1606:AA5674=""Neighbor""))) / STDEV(FILTER(R1606:R5674, AA1606:AA5674 =""Neighbor"")), """")"),0.35282395059196653)</f>
        <v>0.3528239506</v>
      </c>
    </row>
    <row r="1607">
      <c r="A1607" s="2" t="s">
        <v>28</v>
      </c>
      <c r="B1607" s="2" t="s">
        <v>6431</v>
      </c>
      <c r="C1607" s="2" t="s">
        <v>6558</v>
      </c>
      <c r="D1607" s="2" t="s">
        <v>6575</v>
      </c>
      <c r="E1607" s="2" t="s">
        <v>6576</v>
      </c>
      <c r="F1607" s="2">
        <v>246.0</v>
      </c>
      <c r="G1607" s="2">
        <v>1249.0</v>
      </c>
      <c r="H1607" s="2" t="b">
        <v>1</v>
      </c>
      <c r="I1607" s="2">
        <v>-1.0</v>
      </c>
      <c r="J1607" s="2" t="b">
        <v>0</v>
      </c>
      <c r="K1607" s="2" t="b">
        <v>0</v>
      </c>
      <c r="L1607" s="2" t="b">
        <v>0</v>
      </c>
      <c r="M1607" s="2" t="b">
        <v>0</v>
      </c>
      <c r="N1607" s="2" t="s">
        <v>33</v>
      </c>
      <c r="O1607" s="2">
        <v>152.0</v>
      </c>
      <c r="P1607" s="2">
        <v>48.0</v>
      </c>
      <c r="Q1607" s="2">
        <v>26.0</v>
      </c>
      <c r="R1607" s="2">
        <v>6.0</v>
      </c>
      <c r="S1607" s="3" t="s">
        <v>6577</v>
      </c>
      <c r="T1607" s="2" t="s">
        <v>6578</v>
      </c>
      <c r="Y1607" s="4" t="str">
        <f>IFERROR(__xludf.DUMMYFUNCTION("""COMPUTED_VALUE"""),"6.8167172")</f>
        <v>6.8167172</v>
      </c>
      <c r="Z1607" s="4" t="str">
        <f>IFERROR(__xludf.DUMMYFUNCTION("""COMPUTED_VALUE"""),"3.9037217")</f>
        <v>3.9037217</v>
      </c>
      <c r="AA1607" s="4" t="str">
        <f t="shared" si="1"/>
        <v>Neighbor</v>
      </c>
      <c r="AC1607" s="4">
        <f>IFERROR(__xludf.DUMMYFUNCTION("IFERROR(ABS(O1607-AVERAGE(FILTER(O1607:O5675,AA1607:AA5675=""Neighbor""))) / STDEV(FILTER(O1607:O5675, AA1607:AA5675 =""Neighbor"")), """")"),2.352064087498257)</f>
        <v>2.352064087</v>
      </c>
      <c r="AD1607" s="4">
        <f>IFERROR(__xludf.DUMMYFUNCTION("IFERROR(ABS(P1607-AVERAGE(FILTER(O1607:P5675,AA1607:AA5675=""Neighbor""))) / STDEV(FILTER(P1607:P5675, AA1607:AA5675 =""Neighbor"")), """")"),0.4795953160606926)</f>
        <v>0.4795953161</v>
      </c>
      <c r="AE1607" s="2">
        <f>IFERROR(__xludf.DUMMYFUNCTION("IFERROR(ABS(Q1607-AVERAGE(FILTER(Q1607:Q5675,AA1607:AA5675=""Neighbor""))) / STDEV(FILTER(Q1607:Q5675, AA1607:AA5675 =""Neighbor"")), """")"),0.05278274478660295)</f>
        <v>0.05278274479</v>
      </c>
      <c r="AF1607" s="2">
        <f>IFERROR(__xludf.DUMMYFUNCTION("IFERROR(ABS(R1607-AVERAGE(FILTER(R1607:R5675,AA1607:AA5675=""Neighbor""))) / STDEV(FILTER(R1607:R5675, AA1607:AA5675 =""Neighbor"")), """")"),6.597692740868912)</f>
        <v>6.597692741</v>
      </c>
    </row>
    <row r="1608">
      <c r="A1608" s="2" t="s">
        <v>28</v>
      </c>
      <c r="B1608" s="2" t="s">
        <v>6431</v>
      </c>
      <c r="C1608" s="2" t="s">
        <v>6558</v>
      </c>
      <c r="D1608" s="2" t="s">
        <v>6579</v>
      </c>
      <c r="E1608" s="2" t="s">
        <v>6580</v>
      </c>
      <c r="F1608" s="2">
        <v>197.0</v>
      </c>
      <c r="G1608" s="2">
        <v>865.0</v>
      </c>
      <c r="H1608" s="2" t="b">
        <v>1</v>
      </c>
      <c r="I1608" s="2">
        <v>-1.0</v>
      </c>
      <c r="J1608" s="2" t="b">
        <v>0</v>
      </c>
      <c r="K1608" s="2" t="b">
        <v>0</v>
      </c>
      <c r="L1608" s="2" t="b">
        <v>0</v>
      </c>
      <c r="M1608" s="2" t="b">
        <v>0</v>
      </c>
      <c r="N1608" s="2" t="s">
        <v>33</v>
      </c>
      <c r="O1608" s="2">
        <v>145.0</v>
      </c>
      <c r="P1608" s="2">
        <v>33.0</v>
      </c>
      <c r="Q1608" s="2">
        <v>13.0</v>
      </c>
      <c r="R1608" s="2">
        <v>1.0</v>
      </c>
      <c r="S1608" s="3" t="s">
        <v>6581</v>
      </c>
      <c r="T1608" s="2" t="s">
        <v>6582</v>
      </c>
      <c r="Y1608" s="4" t="str">
        <f>IFERROR(__xludf.DUMMYFUNCTION("""COMPUTED_VALUE"""),"6.8152285")</f>
        <v>6.8152285</v>
      </c>
      <c r="Z1608" s="4" t="str">
        <f>IFERROR(__xludf.DUMMYFUNCTION("""COMPUTED_VALUE"""),"3.9099439")</f>
        <v>3.9099439</v>
      </c>
      <c r="AA1608" s="4" t="str">
        <f t="shared" si="1"/>
        <v>Not Neighbor</v>
      </c>
      <c r="AC1608" s="4">
        <f>IFERROR(__xludf.DUMMYFUNCTION("IFERROR(ABS(O1608-AVERAGE(FILTER(O1608:O5676,AA1608:AA5676=""Neighbor""))) / STDEV(FILTER(O1608:O5676, AA1608:AA5676 =""Neighbor"")), """")"),2.1826129749154033)</f>
        <v>2.182612975</v>
      </c>
      <c r="AD1608" s="4">
        <f>IFERROR(__xludf.DUMMYFUNCTION("IFERROR(ABS(P1608-AVERAGE(FILTER(O1608:P5676,AA1608:AA5676=""Neighbor""))) / STDEV(FILTER(P1608:P5676, AA1608:AA5676 =""Neighbor"")), """")"),0.20027676841449468)</f>
        <v>0.2002767684</v>
      </c>
      <c r="AE1608" s="2">
        <f>IFERROR(__xludf.DUMMYFUNCTION("IFERROR(ABS(Q1608-AVERAGE(FILTER(Q1608:Q5676,AA1608:AA5676=""Neighbor""))) / STDEV(FILTER(Q1608:Q5676, AA1608:AA5676 =""Neighbor"")), """")"),0.45296540760740095)</f>
        <v>0.4529654076</v>
      </c>
      <c r="AF1608" s="2">
        <f>IFERROR(__xludf.DUMMYFUNCTION("IFERROR(ABS(R1608-AVERAGE(FILTER(R1608:R5676,AA1608:AA5676=""Neighbor""))) / STDEV(FILTER(R1608:R5676, AA1608:AA5676 =""Neighbor"")), """")"),0.8295824373352382)</f>
        <v>0.8295824373</v>
      </c>
    </row>
    <row r="1609">
      <c r="A1609" s="2" t="s">
        <v>28</v>
      </c>
      <c r="B1609" s="2" t="s">
        <v>6431</v>
      </c>
      <c r="C1609" s="2" t="s">
        <v>6558</v>
      </c>
      <c r="D1609" s="2" t="s">
        <v>6583</v>
      </c>
      <c r="E1609" s="2" t="s">
        <v>6584</v>
      </c>
      <c r="F1609" s="2">
        <v>231.0</v>
      </c>
      <c r="G1609" s="2">
        <v>730.0</v>
      </c>
      <c r="H1609" s="2" t="b">
        <v>1</v>
      </c>
      <c r="I1609" s="2">
        <v>-1.0</v>
      </c>
      <c r="J1609" s="2" t="b">
        <v>0</v>
      </c>
      <c r="K1609" s="2" t="b">
        <v>0</v>
      </c>
      <c r="L1609" s="2" t="b">
        <v>0</v>
      </c>
      <c r="M1609" s="2" t="b">
        <v>0</v>
      </c>
      <c r="N1609" s="2" t="s">
        <v>33</v>
      </c>
      <c r="O1609" s="2">
        <v>152.0</v>
      </c>
      <c r="P1609" s="2">
        <v>48.0</v>
      </c>
      <c r="Q1609" s="2">
        <v>26.0</v>
      </c>
      <c r="R1609" s="2">
        <v>6.0</v>
      </c>
      <c r="S1609" s="3" t="s">
        <v>6585</v>
      </c>
      <c r="T1609" s="2" t="s">
        <v>6586</v>
      </c>
      <c r="Y1609" s="4" t="str">
        <f>IFERROR(__xludf.DUMMYFUNCTION("""COMPUTED_VALUE"""),"6.8275608")</f>
        <v>6.8275608</v>
      </c>
      <c r="Z1609" s="4" t="str">
        <f>IFERROR(__xludf.DUMMYFUNCTION("""COMPUTED_VALUE"""),"3.9089114")</f>
        <v>3.9089114</v>
      </c>
      <c r="AA1609" s="4" t="str">
        <f t="shared" si="1"/>
        <v>Not Neighbor</v>
      </c>
      <c r="AC1609" s="4">
        <f>IFERROR(__xludf.DUMMYFUNCTION("IFERROR(ABS(O1609-AVERAGE(FILTER(O1609:O5677,AA1609:AA5677=""Neighbor""))) / STDEV(FILTER(O1609:O5677, AA1609:AA5677 =""Neighbor"")), """")"),2.359682153291317)</f>
        <v>2.359682153</v>
      </c>
      <c r="AD1609" s="4">
        <f>IFERROR(__xludf.DUMMYFUNCTION("IFERROR(ABS(P1609-AVERAGE(FILTER(O1609:P5677,AA1609:AA5677=""Neighbor""))) / STDEV(FILTER(P1609:P5677, AA1609:AA5677 =""Neighbor"")), """")"),0.482668809695525)</f>
        <v>0.4826688097</v>
      </c>
      <c r="AE1609" s="2">
        <f>IFERROR(__xludf.DUMMYFUNCTION("IFERROR(ABS(Q1609-AVERAGE(FILTER(Q1609:Q5677,AA1609:AA5677=""Neighbor""))) / STDEV(FILTER(Q1609:Q5677, AA1609:AA5677 =""Neighbor"")), """")"),0.05280883800747643)</f>
        <v>0.05280883801</v>
      </c>
      <c r="AF1609" s="2">
        <f>IFERROR(__xludf.DUMMYFUNCTION("IFERROR(ABS(R1609-AVERAGE(FILTER(R1609:R5677,AA1609:AA5677=""Neighbor""))) / STDEV(FILTER(R1609:R5677, AA1609:AA5677 =""Neighbor"")), """")"),6.747659965649297)</f>
        <v>6.747659966</v>
      </c>
    </row>
    <row r="1610">
      <c r="A1610" s="2" t="s">
        <v>28</v>
      </c>
      <c r="B1610" s="2" t="s">
        <v>6431</v>
      </c>
      <c r="C1610" s="2" t="s">
        <v>6558</v>
      </c>
      <c r="D1610" s="2" t="s">
        <v>6587</v>
      </c>
      <c r="E1610" s="2" t="s">
        <v>6588</v>
      </c>
      <c r="F1610" s="2">
        <v>226.0</v>
      </c>
      <c r="G1610" s="2">
        <v>739.0</v>
      </c>
      <c r="H1610" s="2" t="b">
        <v>1</v>
      </c>
      <c r="I1610" s="2">
        <v>-1.0</v>
      </c>
      <c r="J1610" s="2" t="b">
        <v>0</v>
      </c>
      <c r="K1610" s="2" t="b">
        <v>0</v>
      </c>
      <c r="L1610" s="2" t="b">
        <v>0</v>
      </c>
      <c r="M1610" s="2" t="b">
        <v>0</v>
      </c>
      <c r="N1610" s="2" t="s">
        <v>33</v>
      </c>
      <c r="O1610" s="2">
        <v>123.0</v>
      </c>
      <c r="P1610" s="2">
        <v>18.0</v>
      </c>
      <c r="Q1610" s="2">
        <v>68.0</v>
      </c>
      <c r="R1610" s="2">
        <v>1.0</v>
      </c>
      <c r="S1610" s="3" t="s">
        <v>6589</v>
      </c>
      <c r="T1610" s="2" t="s">
        <v>6590</v>
      </c>
      <c r="Y1610" s="4" t="str">
        <f>IFERROR(__xludf.DUMMYFUNCTION("""COMPUTED_VALUE"""),"6.8167172")</f>
        <v>6.8167172</v>
      </c>
      <c r="Z1610" s="4" t="str">
        <f>IFERROR(__xludf.DUMMYFUNCTION("""COMPUTED_VALUE"""),"3.9037217")</f>
        <v>3.9037217</v>
      </c>
      <c r="AA1610" s="4" t="str">
        <f t="shared" si="1"/>
        <v>Neighbor</v>
      </c>
      <c r="AC1610" s="4">
        <f>IFERROR(__xludf.DUMMYFUNCTION("IFERROR(ABS(O1610-AVERAGE(FILTER(O1610:O5678,AA1610:AA5678=""Neighbor""))) / STDEV(FILTER(O1610:O5678, AA1610:AA5678 =""Neighbor"")), """")"),1.6261098428768168)</f>
        <v>1.626109843</v>
      </c>
      <c r="AD1610" s="4">
        <f>IFERROR(__xludf.DUMMYFUNCTION("IFERROR(ABS(P1610-AVERAGE(FILTER(O1610:P5678,AA1610:AA5678=""Neighbor""))) / STDEV(FILTER(P1610:P5678, AA1610:AA5678 =""Neighbor"")), """")"),0.8832223465245144)</f>
        <v>0.8832223465</v>
      </c>
      <c r="AE1610" s="2">
        <f>IFERROR(__xludf.DUMMYFUNCTION("IFERROR(ABS(Q1610-AVERAGE(FILTER(Q1610:Q5678,AA1610:AA5678=""Neighbor""))) / STDEV(FILTER(Q1610:Q5678, AA1610:AA5678 =""Neighbor"")), """")"),1.686848708455542)</f>
        <v>1.686848708</v>
      </c>
      <c r="AF1610" s="2">
        <f>IFERROR(__xludf.DUMMYFUNCTION("IFERROR(ABS(R1610-AVERAGE(FILTER(R1610:R5678,AA1610:AA5678=""Neighbor""))) / STDEV(FILTER(R1610:R5678, AA1610:AA5678 =""Neighbor"")), """")"),0.8295824373352382)</f>
        <v>0.8295824373</v>
      </c>
    </row>
    <row r="1611">
      <c r="A1611" s="2" t="s">
        <v>28</v>
      </c>
      <c r="B1611" s="2" t="s">
        <v>6431</v>
      </c>
      <c r="C1611" s="2" t="s">
        <v>6558</v>
      </c>
      <c r="D1611" s="2" t="s">
        <v>6591</v>
      </c>
      <c r="E1611" s="2" t="s">
        <v>6592</v>
      </c>
      <c r="F1611" s="2">
        <v>147.0</v>
      </c>
      <c r="G1611" s="2">
        <v>507.0</v>
      </c>
      <c r="H1611" s="2" t="b">
        <v>1</v>
      </c>
      <c r="I1611" s="2">
        <v>-1.0</v>
      </c>
      <c r="J1611" s="2" t="b">
        <v>0</v>
      </c>
      <c r="K1611" s="2" t="b">
        <v>0</v>
      </c>
      <c r="L1611" s="2" t="b">
        <v>0</v>
      </c>
      <c r="M1611" s="2" t="b">
        <v>0</v>
      </c>
      <c r="N1611" s="2" t="s">
        <v>33</v>
      </c>
      <c r="O1611" s="2">
        <v>98.0</v>
      </c>
      <c r="P1611" s="2">
        <v>24.0</v>
      </c>
      <c r="Q1611" s="2">
        <v>13.0</v>
      </c>
      <c r="R1611" s="2">
        <v>0.0</v>
      </c>
      <c r="S1611" s="3" t="s">
        <v>6593</v>
      </c>
      <c r="T1611" s="2" t="s">
        <v>6594</v>
      </c>
      <c r="Y1611" s="4" t="str">
        <f>IFERROR(__xludf.DUMMYFUNCTION("""COMPUTED_VALUE"""),"6.8167172")</f>
        <v>6.8167172</v>
      </c>
      <c r="Z1611" s="4" t="str">
        <f>IFERROR(__xludf.DUMMYFUNCTION("""COMPUTED_VALUE"""),"3.9037217")</f>
        <v>3.9037217</v>
      </c>
      <c r="AA1611" s="4" t="str">
        <f t="shared" si="1"/>
        <v>Not Neighbor</v>
      </c>
      <c r="AC1611" s="4">
        <f>IFERROR(__xludf.DUMMYFUNCTION("IFERROR(ABS(O1611-AVERAGE(FILTER(O1611:O5679,AA1611:AA5679=""Neighbor""))) / STDEV(FILTER(O1611:O5679, AA1611:AA5679 =""Neighbor"")), """")"),0.9961383974884639)</f>
        <v>0.9961383975</v>
      </c>
      <c r="AD1611" s="4">
        <f>IFERROR(__xludf.DUMMYFUNCTION("IFERROR(ABS(P1611-AVERAGE(FILTER(O1611:P5679,AA1611:AA5679=""Neighbor""))) / STDEV(FILTER(P1611:P5679, AA1611:AA5679 =""Neighbor"")), """")"),0.6082564491263326)</f>
        <v>0.6082564491</v>
      </c>
      <c r="AE1611" s="2">
        <f>IFERROR(__xludf.DUMMYFUNCTION("IFERROR(ABS(Q1611-AVERAGE(FILTER(Q1611:Q5679,AA1611:AA5679=""Neighbor""))) / STDEV(FILTER(Q1611:Q5679, AA1611:AA5679 =""Neighbor"")), """")"),0.4517116506449266)</f>
        <v>0.4517116506</v>
      </c>
      <c r="AF1611" s="2">
        <f>IFERROR(__xludf.DUMMYFUNCTION("IFERROR(ABS(R1611-AVERAGE(FILTER(R1611:R5679,AA1611:AA5679=""Neighbor""))) / STDEV(FILTER(R1611:R5679, AA1611:AA5679 =""Neighbor"")), """")"),0.3531589885743027)</f>
        <v>0.3531589886</v>
      </c>
    </row>
    <row r="1612">
      <c r="A1612" s="2" t="s">
        <v>28</v>
      </c>
      <c r="B1612" s="2" t="s">
        <v>6431</v>
      </c>
      <c r="C1612" s="2" t="s">
        <v>6595</v>
      </c>
      <c r="D1612" s="2" t="s">
        <v>6596</v>
      </c>
      <c r="E1612" s="2" t="s">
        <v>6597</v>
      </c>
      <c r="F1612" s="2">
        <v>242.0</v>
      </c>
      <c r="G1612" s="2">
        <v>785.0</v>
      </c>
      <c r="H1612" s="2" t="b">
        <v>1</v>
      </c>
      <c r="I1612" s="2">
        <v>-1.0</v>
      </c>
      <c r="J1612" s="2" t="b">
        <v>0</v>
      </c>
      <c r="K1612" s="2" t="b">
        <v>0</v>
      </c>
      <c r="L1612" s="2" t="b">
        <v>0</v>
      </c>
      <c r="M1612" s="2" t="b">
        <v>0</v>
      </c>
      <c r="N1612" s="2" t="s">
        <v>33</v>
      </c>
      <c r="O1612" s="2">
        <v>184.0</v>
      </c>
      <c r="P1612" s="2">
        <v>8.0</v>
      </c>
      <c r="Q1612" s="2">
        <v>41.0</v>
      </c>
      <c r="R1612" s="2">
        <v>0.0</v>
      </c>
      <c r="S1612" s="3" t="s">
        <v>6598</v>
      </c>
      <c r="T1612" s="2" t="s">
        <v>6599</v>
      </c>
      <c r="Y1612" s="4" t="str">
        <f>IFERROR(__xludf.DUMMYFUNCTION("""COMPUTED_VALUE"""),"6.8287195")</f>
        <v>6.8287195</v>
      </c>
      <c r="Z1612" s="4" t="str">
        <f>IFERROR(__xludf.DUMMYFUNCTION("""COMPUTED_VALUE"""),"3.9075424")</f>
        <v>3.9075424</v>
      </c>
      <c r="AA1612" s="4" t="str">
        <f t="shared" si="1"/>
        <v>Neighbor</v>
      </c>
      <c r="AC1612" s="4">
        <f>IFERROR(__xludf.DUMMYFUNCTION("IFERROR(ABS(O1612-AVERAGE(FILTER(O1612:O5680,AA1612:AA5680=""Neighbor""))) / STDEV(FILTER(O1612:O5680, AA1612:AA5680 =""Neighbor"")), """")"),3.1733337016124215)</f>
        <v>3.173333702</v>
      </c>
      <c r="AD1612" s="4">
        <f>IFERROR(__xludf.DUMMYFUNCTION("IFERROR(ABS(P1612-AVERAGE(FILTER(O1612:P5680,AA1612:AA5680=""Neighbor""))) / STDEV(FILTER(P1612:P5680, AA1612:AA5680 =""Neighbor"")), """")"),1.336374471101979)</f>
        <v>1.336374471</v>
      </c>
      <c r="AE1612" s="2">
        <f>IFERROR(__xludf.DUMMYFUNCTION("IFERROR(ABS(Q1612-AVERAGE(FILTER(Q1612:Q5680,AA1612:AA5680=""Neighbor""))) / STDEV(FILTER(Q1612:Q5680, AA1612:AA5680 =""Neighbor"")), """")"),0.6386453927722842)</f>
        <v>0.6386453928</v>
      </c>
      <c r="AF1612" s="2">
        <f>IFERROR(__xludf.DUMMYFUNCTION("IFERROR(ABS(R1612-AVERAGE(FILTER(R1612:R5680,AA1612:AA5680=""Neighbor""))) / STDEV(FILTER(R1612:R5680, AA1612:AA5680 =""Neighbor"")), """")"),0.3531589885743027)</f>
        <v>0.3531589886</v>
      </c>
    </row>
    <row r="1613">
      <c r="A1613" s="2" t="s">
        <v>28</v>
      </c>
      <c r="B1613" s="2" t="s">
        <v>6431</v>
      </c>
      <c r="C1613" s="2" t="s">
        <v>6595</v>
      </c>
      <c r="D1613" s="2" t="s">
        <v>6600</v>
      </c>
      <c r="E1613" s="2" t="s">
        <v>6601</v>
      </c>
      <c r="F1613" s="2">
        <v>335.0</v>
      </c>
      <c r="G1613" s="2">
        <v>1216.0</v>
      </c>
      <c r="H1613" s="2" t="b">
        <v>1</v>
      </c>
      <c r="I1613" s="2">
        <v>-1.0</v>
      </c>
      <c r="J1613" s="2" t="b">
        <v>0</v>
      </c>
      <c r="K1613" s="2" t="b">
        <v>1</v>
      </c>
      <c r="L1613" s="2" t="b">
        <v>0</v>
      </c>
      <c r="M1613" s="2" t="b">
        <v>0</v>
      </c>
      <c r="N1613" s="2" t="s">
        <v>33</v>
      </c>
      <c r="O1613" s="2">
        <v>183.0</v>
      </c>
      <c r="P1613" s="2">
        <v>86.0</v>
      </c>
      <c r="Q1613" s="2">
        <v>33.0</v>
      </c>
      <c r="R1613" s="2">
        <v>2.0</v>
      </c>
      <c r="S1613" s="3" t="s">
        <v>6602</v>
      </c>
      <c r="T1613" s="2" t="s">
        <v>6603</v>
      </c>
      <c r="Y1613" s="4" t="str">
        <f>IFERROR(__xludf.DUMMYFUNCTION("""COMPUTED_VALUE"""),"6.8332598")</f>
        <v>6.8332598</v>
      </c>
      <c r="Z1613" s="4" t="str">
        <f>IFERROR(__xludf.DUMMYFUNCTION("""COMPUTED_VALUE"""),"3.9037071")</f>
        <v>3.9037071</v>
      </c>
      <c r="AA1613" s="4" t="str">
        <f t="shared" si="1"/>
        <v>Neighbor</v>
      </c>
      <c r="AC1613" s="4">
        <f>IFERROR(__xludf.DUMMYFUNCTION("IFERROR(ABS(O1613-AVERAGE(FILTER(O1613:O5681,AA1613:AA5681=""Neighbor""))) / STDEV(FILTER(O1613:O5681, AA1613:AA5681 =""Neighbor"")), """")"),3.165417126023157)</f>
        <v>3.165417126</v>
      </c>
      <c r="AD1613" s="4">
        <f>IFERROR(__xludf.DUMMYFUNCTION("IFERROR(ABS(P1613-AVERAGE(FILTER(O1613:P5681,AA1613:AA5681=""Neighbor""))) / STDEV(FILTER(P1613:P5681, AA1613:AA5681 =""Neighbor"")), """")"),2.214892246169062)</f>
        <v>2.214892246</v>
      </c>
      <c r="AE1613" s="2">
        <f>IFERROR(__xludf.DUMMYFUNCTION("IFERROR(ABS(Q1613-AVERAGE(FILTER(Q1613:Q5681,AA1613:AA5681=""Neighbor""))) / STDEV(FILTER(Q1613:Q5681, AA1613:AA5681 =""Neighbor"")), """")"),0.32765053942167804)</f>
        <v>0.3276505394</v>
      </c>
      <c r="AF1613" s="2">
        <f>IFERROR(__xludf.DUMMYFUNCTION("IFERROR(ABS(R1613-AVERAGE(FILTER(R1613:R5681,AA1613:AA5681=""Neighbor""))) / STDEV(FILTER(R1613:R5681, AA1613:AA5681 =""Neighbor"")), """")"),2.012486847205808)</f>
        <v>2.012486847</v>
      </c>
    </row>
    <row r="1614">
      <c r="A1614" s="2" t="s">
        <v>28</v>
      </c>
      <c r="B1614" s="2" t="s">
        <v>6431</v>
      </c>
      <c r="C1614" s="2" t="s">
        <v>6595</v>
      </c>
      <c r="D1614" s="2" t="s">
        <v>6604</v>
      </c>
      <c r="E1614" s="2" t="s">
        <v>6605</v>
      </c>
      <c r="F1614" s="2">
        <v>247.0</v>
      </c>
      <c r="G1614" s="2">
        <v>904.0</v>
      </c>
      <c r="H1614" s="2" t="b">
        <v>1</v>
      </c>
      <c r="I1614" s="2">
        <v>-1.0</v>
      </c>
      <c r="J1614" s="2" t="b">
        <v>0</v>
      </c>
      <c r="K1614" s="2" t="b">
        <v>1</v>
      </c>
      <c r="L1614" s="2" t="b">
        <v>0</v>
      </c>
      <c r="M1614" s="2" t="b">
        <v>0</v>
      </c>
      <c r="N1614" s="2" t="s">
        <v>33</v>
      </c>
      <c r="O1614" s="2">
        <v>186.0</v>
      </c>
      <c r="P1614" s="2">
        <v>26.0</v>
      </c>
      <c r="Q1614" s="2">
        <v>22.0</v>
      </c>
      <c r="R1614" s="2">
        <v>0.0</v>
      </c>
      <c r="S1614" s="3" t="s">
        <v>6606</v>
      </c>
      <c r="T1614" s="2" t="s">
        <v>6607</v>
      </c>
      <c r="Y1614" s="4" t="str">
        <f>IFERROR(__xludf.DUMMYFUNCTION("""COMPUTED_VALUE"""),"6.8256318")</f>
        <v>6.8256318</v>
      </c>
      <c r="Z1614" s="4" t="str">
        <f>IFERROR(__xludf.DUMMYFUNCTION("""COMPUTED_VALUE"""),"3.9125632")</f>
        <v>3.9125632</v>
      </c>
      <c r="AA1614" s="4" t="str">
        <f t="shared" si="1"/>
        <v>Neighbor</v>
      </c>
      <c r="AC1614" s="4">
        <f>IFERROR(__xludf.DUMMYFUNCTION("IFERROR(ABS(O1614-AVERAGE(FILTER(O1614:O5682,AA1614:AA5682=""Neighbor""))) / STDEV(FILTER(O1614:O5682, AA1614:AA5682 =""Neighbor"")), """")"),3.259461221391362)</f>
        <v>3.259461221</v>
      </c>
      <c r="AD1614" s="4">
        <f>IFERROR(__xludf.DUMMYFUNCTION("IFERROR(ABS(P1614-AVERAGE(FILTER(O1614:P5682,AA1614:AA5682=""Neighbor""))) / STDEV(FILTER(P1614:P5682, AA1614:AA5682 =""Neighbor"")), """")"),0.512326519820316)</f>
        <v>0.5123265198</v>
      </c>
      <c r="AE1614" s="2">
        <f>IFERROR(__xludf.DUMMYFUNCTION("IFERROR(ABS(Q1614-AVERAGE(FILTER(Q1614:Q5682,AA1614:AA5682=""Neighbor""))) / STDEV(FILTER(Q1614:Q5682, AA1614:AA5682 =""Neighbor"")), """")"),0.10020987004982597)</f>
        <v>0.10020987</v>
      </c>
      <c r="AF1614" s="2">
        <f>IFERROR(__xludf.DUMMYFUNCTION("IFERROR(ABS(R1614-AVERAGE(FILTER(R1614:R5682,AA1614:AA5682=""Neighbor""))) / STDEV(FILTER(R1614:R5682, AA1614:AA5682 =""Neighbor"")), """")"),0.3518956626069692)</f>
        <v>0.3518956626</v>
      </c>
    </row>
    <row r="1615">
      <c r="A1615" s="2" t="s">
        <v>28</v>
      </c>
      <c r="B1615" s="2" t="s">
        <v>6431</v>
      </c>
      <c r="C1615" s="2" t="s">
        <v>6595</v>
      </c>
      <c r="D1615" s="2" t="s">
        <v>6608</v>
      </c>
      <c r="E1615" s="2" t="s">
        <v>6609</v>
      </c>
      <c r="F1615" s="2">
        <v>234.0</v>
      </c>
      <c r="G1615" s="2">
        <v>863.0</v>
      </c>
      <c r="H1615" s="2" t="b">
        <v>1</v>
      </c>
      <c r="I1615" s="2">
        <v>-1.0</v>
      </c>
      <c r="J1615" s="2" t="b">
        <v>0</v>
      </c>
      <c r="K1615" s="2" t="b">
        <v>1</v>
      </c>
      <c r="L1615" s="2" t="b">
        <v>0</v>
      </c>
      <c r="M1615" s="2" t="b">
        <v>0</v>
      </c>
      <c r="N1615" s="2" t="s">
        <v>33</v>
      </c>
      <c r="O1615" s="2">
        <v>0.0</v>
      </c>
      <c r="P1615" s="2">
        <v>0.0</v>
      </c>
      <c r="Q1615" s="2">
        <v>0.0</v>
      </c>
      <c r="R1615" s="2">
        <v>0.0</v>
      </c>
      <c r="S1615" s="3" t="s">
        <v>6610</v>
      </c>
      <c r="T1615" s="2" t="s">
        <v>6611</v>
      </c>
      <c r="Y1615" s="4" t="str">
        <f>IFERROR(__xludf.DUMMYFUNCTION("""COMPUTED_VALUE"""),"6.8287195")</f>
        <v>6.8287195</v>
      </c>
      <c r="Z1615" s="4" t="str">
        <f>IFERROR(__xludf.DUMMYFUNCTION("""COMPUTED_VALUE"""),"3.9075424")</f>
        <v>3.9075424</v>
      </c>
      <c r="AA1615" s="4" t="str">
        <f t="shared" si="1"/>
        <v>Neighbor</v>
      </c>
      <c r="AC1615" s="4">
        <f>IFERROR(__xludf.DUMMYFUNCTION("IFERROR(ABS(O1615-AVERAGE(FILTER(O1615:O5683,AA1615:AA5683=""Neighbor""))) / STDEV(FILTER(O1615:O5683, AA1615:AA5683 =""Neighbor"")), """")"),1.49591122110198)</f>
        <v>1.495911221</v>
      </c>
      <c r="AD1615" s="4">
        <f>IFERROR(__xludf.DUMMYFUNCTION("IFERROR(ABS(P1615-AVERAGE(FILTER(O1615:P5683,AA1615:AA5683=""Neighbor""))) / STDEV(FILTER(P1615:P5683, AA1615:AA5683 =""Neighbor"")), """")"),1.6966141719120145)</f>
        <v>1.696614172</v>
      </c>
      <c r="AE1615" s="2">
        <f>IFERROR(__xludf.DUMMYFUNCTION("IFERROR(ABS(Q1615-AVERAGE(FILTER(Q1615:Q5683,AA1615:AA5683=""Neighbor""))) / STDEV(FILTER(Q1615:Q5683, AA1615:AA5683 =""Neighbor"")), """")"),0.955919606027606)</f>
        <v>0.955919606</v>
      </c>
      <c r="AF1615" s="2">
        <f>IFERROR(__xludf.DUMMYFUNCTION("IFERROR(ABS(R1615-AVERAGE(FILTER(R1615:R5683,AA1615:AA5683=""Neighbor""))) / STDEV(FILTER(R1615:R5683, AA1615:AA5683 =""Neighbor"")), """")"),0.35209145240819467)</f>
        <v>0.3520914524</v>
      </c>
    </row>
    <row r="1616">
      <c r="A1616" s="2" t="s">
        <v>28</v>
      </c>
      <c r="B1616" s="2" t="s">
        <v>6431</v>
      </c>
      <c r="C1616" s="2" t="s">
        <v>6595</v>
      </c>
      <c r="D1616" s="2" t="s">
        <v>6612</v>
      </c>
      <c r="E1616" s="2" t="s">
        <v>6613</v>
      </c>
      <c r="F1616" s="2">
        <v>221.0</v>
      </c>
      <c r="G1616" s="2">
        <v>756.0</v>
      </c>
      <c r="H1616" s="2" t="b">
        <v>1</v>
      </c>
      <c r="I1616" s="2">
        <v>-1.0</v>
      </c>
      <c r="J1616" s="2" t="b">
        <v>0</v>
      </c>
      <c r="K1616" s="2" t="b">
        <v>1</v>
      </c>
      <c r="L1616" s="2" t="b">
        <v>0</v>
      </c>
      <c r="M1616" s="2" t="b">
        <v>0</v>
      </c>
      <c r="N1616" s="2" t="s">
        <v>33</v>
      </c>
      <c r="O1616" s="2">
        <v>150.0</v>
      </c>
      <c r="P1616" s="2">
        <v>23.0</v>
      </c>
      <c r="Q1616" s="2">
        <v>40.0</v>
      </c>
      <c r="R1616" s="2">
        <v>0.0</v>
      </c>
      <c r="S1616" s="3" t="s">
        <v>6614</v>
      </c>
      <c r="T1616" s="2" t="s">
        <v>6615</v>
      </c>
      <c r="Y1616" s="4" t="str">
        <f>IFERROR(__xludf.DUMMYFUNCTION("""COMPUTED_VALUE"""),"6.8247117")</f>
        <v>6.8247117</v>
      </c>
      <c r="Z1616" s="4" t="str">
        <f>IFERROR(__xludf.DUMMYFUNCTION("""COMPUTED_VALUE"""),"3.9093722")</f>
        <v>3.9093722</v>
      </c>
      <c r="AA1616" s="4" t="str">
        <f t="shared" si="1"/>
        <v>Neighbor</v>
      </c>
      <c r="AC1616" s="4">
        <f>IFERROR(__xludf.DUMMYFUNCTION("IFERROR(ABS(O1616-AVERAGE(FILTER(O1616:O5684,AA1616:AA5684=""Neighbor""))) / STDEV(FILTER(O1616:O5684, AA1616:AA5684 =""Neighbor"")), """")"),2.354303186227044)</f>
        <v>2.354303186</v>
      </c>
      <c r="AD1616" s="4">
        <f>IFERROR(__xludf.DUMMYFUNCTION("IFERROR(ABS(P1616-AVERAGE(FILTER(O1616:P5684,AA1616:AA5684=""Neighbor""))) / STDEV(FILTER(P1616:P5684, AA1616:AA5684 =""Neighbor"")), """")"),0.6475762301045899)</f>
        <v>0.6475762301</v>
      </c>
      <c r="AE1616" s="2">
        <f>IFERROR(__xludf.DUMMYFUNCTION("IFERROR(ABS(Q1616-AVERAGE(FILTER(Q1616:Q5684,AA1616:AA5684=""Neighbor""))) / STDEV(FILTER(Q1616:Q5684, AA1616:AA5684 =""Neighbor"")), """")"),0.5988514949361263)</f>
        <v>0.5988514949</v>
      </c>
      <c r="AF1616" s="2">
        <f>IFERROR(__xludf.DUMMYFUNCTION("IFERROR(ABS(R1616-AVERAGE(FILTER(R1616:R5684,AA1616:AA5684=""Neighbor""))) / STDEV(FILTER(R1616:R5684, AA1616:AA5684 =""Neighbor"")), """")"),0.35228756941988737)</f>
        <v>0.3522875694</v>
      </c>
    </row>
    <row r="1617">
      <c r="A1617" s="2" t="s">
        <v>28</v>
      </c>
      <c r="B1617" s="2" t="s">
        <v>6431</v>
      </c>
      <c r="C1617" s="2" t="s">
        <v>6595</v>
      </c>
      <c r="D1617" s="2" t="s">
        <v>6616</v>
      </c>
      <c r="E1617" s="2" t="s">
        <v>6617</v>
      </c>
      <c r="F1617" s="2">
        <v>174.0</v>
      </c>
      <c r="G1617" s="2">
        <v>568.0</v>
      </c>
      <c r="H1617" s="2" t="b">
        <v>1</v>
      </c>
      <c r="I1617" s="2">
        <v>-1.0</v>
      </c>
      <c r="J1617" s="2" t="b">
        <v>0</v>
      </c>
      <c r="K1617" s="2" t="b">
        <v>0</v>
      </c>
      <c r="L1617" s="2" t="b">
        <v>0</v>
      </c>
      <c r="M1617" s="2" t="b">
        <v>0</v>
      </c>
      <c r="N1617" s="2" t="s">
        <v>33</v>
      </c>
      <c r="O1617" s="2">
        <v>122.0</v>
      </c>
      <c r="P1617" s="2">
        <v>28.0</v>
      </c>
      <c r="Q1617" s="2">
        <v>20.0</v>
      </c>
      <c r="R1617" s="2">
        <v>0.0</v>
      </c>
      <c r="S1617" s="3" t="s">
        <v>6618</v>
      </c>
      <c r="T1617" s="2" t="s">
        <v>6619</v>
      </c>
      <c r="Y1617" s="4" t="str">
        <f>IFERROR(__xludf.DUMMYFUNCTION("""COMPUTED_VALUE"""),"6.8256318")</f>
        <v>6.8256318</v>
      </c>
      <c r="Z1617" s="4" t="str">
        <f>IFERROR(__xludf.DUMMYFUNCTION("""COMPUTED_VALUE"""),"3.9125632")</f>
        <v>3.9125632</v>
      </c>
      <c r="AA1617" s="4" t="str">
        <f t="shared" si="1"/>
        <v>Neighbor</v>
      </c>
      <c r="AC1617" s="4">
        <f>IFERROR(__xludf.DUMMYFUNCTION("IFERROR(ABS(O1617-AVERAGE(FILTER(O1617:O5685,AA1617:AA5685=""Neighbor""))) / STDEV(FILTER(O1617:O5685, AA1617:AA5685 =""Neighbor"")), """")"),1.6411993984166666)</f>
        <v>1.641199398</v>
      </c>
      <c r="AD1617" s="4">
        <f>IFERROR(__xludf.DUMMYFUNCTION("IFERROR(ABS(P1617-AVERAGE(FILTER(O1617:P5685,AA1617:AA5685=""Neighbor""))) / STDEV(FILTER(P1617:P5685, AA1617:AA5685 =""Neighbor"")), """")"),0.41682109379995036)</f>
        <v>0.4168210938</v>
      </c>
      <c r="AE1617" s="2">
        <f>IFERROR(__xludf.DUMMYFUNCTION("IFERROR(ABS(Q1617-AVERAGE(FILTER(Q1617:Q5685,AA1617:AA5685=""Neighbor""))) / STDEV(FILTER(Q1617:Q5685, AA1617:AA5685 =""Neighbor"")), """")"),0.1783364598786169)</f>
        <v>0.1783364599</v>
      </c>
      <c r="AF1617" s="2">
        <f>IFERROR(__xludf.DUMMYFUNCTION("IFERROR(ABS(R1617-AVERAGE(FILTER(R1617:R5685,AA1617:AA5685=""Neighbor""))) / STDEV(FILTER(R1617:R5685, AA1617:AA5685 =""Neighbor"")), """")"),0.35248401455457523)</f>
        <v>0.3524840146</v>
      </c>
    </row>
    <row r="1618">
      <c r="A1618" s="2" t="s">
        <v>28</v>
      </c>
      <c r="B1618" s="2" t="s">
        <v>6431</v>
      </c>
      <c r="C1618" s="2" t="s">
        <v>6620</v>
      </c>
      <c r="D1618" s="2" t="s">
        <v>6621</v>
      </c>
      <c r="E1618" s="2" t="s">
        <v>6622</v>
      </c>
      <c r="F1618" s="2">
        <v>219.0</v>
      </c>
      <c r="G1618" s="2">
        <v>1091.0</v>
      </c>
      <c r="H1618" s="2" t="b">
        <v>1</v>
      </c>
      <c r="I1618" s="2">
        <v>-1.0</v>
      </c>
      <c r="J1618" s="2" t="b">
        <v>0</v>
      </c>
      <c r="K1618" s="2" t="b">
        <v>0</v>
      </c>
      <c r="L1618" s="2" t="b">
        <v>0</v>
      </c>
      <c r="M1618" s="2" t="b">
        <v>0</v>
      </c>
      <c r="N1618" s="2" t="s">
        <v>33</v>
      </c>
      <c r="O1618" s="2">
        <v>151.0</v>
      </c>
      <c r="P1618" s="2">
        <v>9.0</v>
      </c>
      <c r="Q1618" s="2">
        <v>27.0</v>
      </c>
      <c r="R1618" s="2">
        <v>0.0</v>
      </c>
      <c r="S1618" s="3" t="s">
        <v>6623</v>
      </c>
      <c r="T1618" s="2" t="s">
        <v>6624</v>
      </c>
      <c r="Y1618" s="4" t="str">
        <f>IFERROR(__xludf.DUMMYFUNCTION("""COMPUTED_VALUE"""),"6.8232746")</f>
        <v>6.8232746</v>
      </c>
      <c r="Z1618" s="4" t="str">
        <f>IFERROR(__xludf.DUMMYFUNCTION("""COMPUTED_VALUE"""),"3.9181067")</f>
        <v>3.9181067</v>
      </c>
      <c r="AA1618" s="4" t="str">
        <f t="shared" si="1"/>
        <v>Not Neighbor</v>
      </c>
      <c r="AC1618" s="4">
        <f>IFERROR(__xludf.DUMMYFUNCTION("IFERROR(ABS(O1618-AVERAGE(FILTER(O1618:O5686,AA1618:AA5686=""Neighbor""))) / STDEV(FILTER(O1618:O5686, AA1618:AA5686 =""Neighbor"")), """")"),2.3913793028222687)</f>
        <v>2.391379303</v>
      </c>
      <c r="AD1618" s="4">
        <f>IFERROR(__xludf.DUMMYFUNCTION("IFERROR(ABS(P1618-AVERAGE(FILTER(O1618:P5686,AA1618:AA5686=""Neighbor""))) / STDEV(FILTER(P1618:P5686, AA1618:AA5686 =""Neighbor"")), """")"),1.2819322985836463)</f>
        <v>1.281932299</v>
      </c>
      <c r="AE1618" s="2">
        <f>IFERROR(__xludf.DUMMYFUNCTION("IFERROR(ABS(Q1618-AVERAGE(FILTER(Q1618:Q5686,AA1618:AA5686=""Neighbor""))) / STDEV(FILTER(Q1618:Q5686, AA1618:AA5686 =""Neighbor"")), """")"),0.09359830745107735)</f>
        <v>0.09359830745</v>
      </c>
      <c r="AF1618" s="2">
        <f>IFERROR(__xludf.DUMMYFUNCTION("IFERROR(ABS(R1618-AVERAGE(FILTER(R1618:R5686,AA1618:AA5686=""Neighbor""))) / STDEV(FILTER(R1618:R5686, AA1618:AA5686 =""Neighbor"")), """")"),0.3526807887283527)</f>
        <v>0.3526807887</v>
      </c>
    </row>
    <row r="1619">
      <c r="A1619" s="2" t="s">
        <v>28</v>
      </c>
      <c r="B1619" s="2" t="s">
        <v>6431</v>
      </c>
      <c r="C1619" s="2" t="s">
        <v>6620</v>
      </c>
      <c r="D1619" s="2" t="s">
        <v>6625</v>
      </c>
      <c r="E1619" s="2" t="s">
        <v>6626</v>
      </c>
      <c r="F1619" s="2">
        <v>135.0</v>
      </c>
      <c r="G1619" s="2">
        <v>750.0</v>
      </c>
      <c r="H1619" s="2" t="b">
        <v>1</v>
      </c>
      <c r="I1619" s="2">
        <v>-1.0</v>
      </c>
      <c r="J1619" s="2" t="b">
        <v>0</v>
      </c>
      <c r="K1619" s="2" t="b">
        <v>0</v>
      </c>
      <c r="L1619" s="2" t="b">
        <v>0</v>
      </c>
      <c r="M1619" s="2" t="b">
        <v>0</v>
      </c>
      <c r="N1619" s="2" t="s">
        <v>33</v>
      </c>
      <c r="O1619" s="2">
        <v>65.0</v>
      </c>
      <c r="P1619" s="2">
        <v>8.0</v>
      </c>
      <c r="Q1619" s="2">
        <v>19.0</v>
      </c>
      <c r="R1619" s="2">
        <v>1.0</v>
      </c>
      <c r="S1619" s="3" t="s">
        <v>6627</v>
      </c>
      <c r="T1619" s="2" t="s">
        <v>6628</v>
      </c>
      <c r="Y1619" s="4" t="str">
        <f>IFERROR(__xludf.DUMMYFUNCTION("""COMPUTED_VALUE"""),"6.8401973")</f>
        <v>6.8401973</v>
      </c>
      <c r="Z1619" s="4" t="str">
        <f>IFERROR(__xludf.DUMMYFUNCTION("""COMPUTED_VALUE"""),"3.9128873")</f>
        <v>3.9128873</v>
      </c>
      <c r="AA1619" s="4" t="str">
        <f t="shared" si="1"/>
        <v>Neighbor</v>
      </c>
      <c r="AC1619" s="4">
        <f>IFERROR(__xludf.DUMMYFUNCTION("IFERROR(ABS(O1619-AVERAGE(FILTER(O1619:O5687,AA1619:AA5687=""Neighbor""))) / STDEV(FILTER(O1619:O5687, AA1619:AA5687 =""Neighbor"")), """")"),0.1756623361505536)</f>
        <v>0.1756623362</v>
      </c>
      <c r="AD1619" s="4">
        <f>IFERROR(__xludf.DUMMYFUNCTION("IFERROR(ABS(P1619-AVERAGE(FILTER(O1619:P5687,AA1619:AA5687=""Neighbor""))) / STDEV(FILTER(P1619:P5687, AA1619:AA5687 =""Neighbor"")), """")"),1.3275625114938683)</f>
        <v>1.327562511</v>
      </c>
      <c r="AE1619" s="2">
        <f>IFERROR(__xludf.DUMMYFUNCTION("IFERROR(ABS(Q1619-AVERAGE(FILTER(Q1619:Q5687,AA1619:AA5687=""Neighbor""))) / STDEV(FILTER(Q1619:Q5687, AA1619:AA5687 =""Neighbor"")), """")"),0.21728868320772193)</f>
        <v>0.2172886832</v>
      </c>
      <c r="AF1619" s="2">
        <f>IFERROR(__xludf.DUMMYFUNCTION("IFERROR(ABS(R1619-AVERAGE(FILTER(R1619:R5687,AA1619:AA5687=""Neighbor""))) / STDEV(FILTER(R1619:R5687, AA1619:AA5687 =""Neighbor"")), """")"),0.8299754561407233)</f>
        <v>0.8299754561</v>
      </c>
    </row>
    <row r="1620">
      <c r="A1620" s="2" t="s">
        <v>28</v>
      </c>
      <c r="B1620" s="2" t="s">
        <v>6431</v>
      </c>
      <c r="C1620" s="2" t="s">
        <v>6620</v>
      </c>
      <c r="D1620" s="2" t="s">
        <v>6629</v>
      </c>
      <c r="E1620" s="2" t="s">
        <v>6630</v>
      </c>
      <c r="F1620" s="2">
        <v>170.0</v>
      </c>
      <c r="G1620" s="2">
        <v>1164.0</v>
      </c>
      <c r="H1620" s="2" t="b">
        <v>1</v>
      </c>
      <c r="I1620" s="2">
        <v>-1.0</v>
      </c>
      <c r="J1620" s="2" t="b">
        <v>0</v>
      </c>
      <c r="K1620" s="2" t="b">
        <v>1</v>
      </c>
      <c r="L1620" s="2" t="b">
        <v>0</v>
      </c>
      <c r="M1620" s="2" t="b">
        <v>0</v>
      </c>
      <c r="N1620" s="2" t="s">
        <v>33</v>
      </c>
      <c r="O1620" s="2">
        <v>126.0</v>
      </c>
      <c r="P1620" s="2">
        <v>26.0</v>
      </c>
      <c r="Q1620" s="2">
        <v>9.0</v>
      </c>
      <c r="R1620" s="2">
        <v>0.0</v>
      </c>
      <c r="S1620" s="3" t="s">
        <v>6631</v>
      </c>
      <c r="T1620" s="2" t="s">
        <v>6632</v>
      </c>
      <c r="Y1620" s="4" t="str">
        <f>IFERROR(__xludf.DUMMYFUNCTION("""COMPUTED_VALUE"""),"6.8401973")</f>
        <v>6.8401973</v>
      </c>
      <c r="Z1620" s="4" t="str">
        <f>IFERROR(__xludf.DUMMYFUNCTION("""COMPUTED_VALUE"""),"3.9128873")</f>
        <v>3.9128873</v>
      </c>
      <c r="AA1620" s="4" t="str">
        <f t="shared" si="1"/>
        <v>Not Neighbor</v>
      </c>
      <c r="AC1620" s="4">
        <f>IFERROR(__xludf.DUMMYFUNCTION("IFERROR(ABS(O1620-AVERAGE(FILTER(O1620:O5688,AA1620:AA5688=""Neighbor""))) / STDEV(FILTER(O1620:O5688, AA1620:AA5688 =""Neighbor"")), """")"),1.7466075677714465)</f>
        <v>1.746607568</v>
      </c>
      <c r="AD1620" s="4">
        <f>IFERROR(__xludf.DUMMYFUNCTION("IFERROR(ABS(P1620-AVERAGE(FILTER(O1620:P5688,AA1620:AA5688=""Neighbor""))) / STDEV(FILTER(P1620:P5688, AA1620:AA5688 =""Neighbor"")), """")"),0.5060273518310305)</f>
        <v>0.5060273518</v>
      </c>
      <c r="AE1620" s="2">
        <f>IFERROR(__xludf.DUMMYFUNCTION("IFERROR(ABS(Q1620-AVERAGE(FILTER(Q1620:Q5688,AA1620:AA5688=""Neighbor""))) / STDEV(FILTER(Q1620:Q5688, AA1620:AA5688 =""Neighbor"")), """")"),0.605826250084215)</f>
        <v>0.6058262501</v>
      </c>
      <c r="AF1620" s="2">
        <f>IFERROR(__xludf.DUMMYFUNCTION("IFERROR(ABS(R1620-AVERAGE(FILTER(R1620:R5688,AA1620:AA5688=""Neighbor""))) / STDEV(FILTER(R1620:R5688, AA1620:AA5688 =""Neighbor"")), """")"),0.3518005550986298)</f>
        <v>0.3518005551</v>
      </c>
    </row>
    <row r="1621">
      <c r="A1621" s="2" t="s">
        <v>28</v>
      </c>
      <c r="B1621" s="2" t="s">
        <v>6431</v>
      </c>
      <c r="C1621" s="2" t="s">
        <v>6620</v>
      </c>
      <c r="D1621" s="2" t="s">
        <v>6633</v>
      </c>
      <c r="E1621" s="2" t="s">
        <v>6634</v>
      </c>
      <c r="F1621" s="2">
        <v>196.0</v>
      </c>
      <c r="G1621" s="2">
        <v>1012.0</v>
      </c>
      <c r="H1621" s="2" t="b">
        <v>1</v>
      </c>
      <c r="I1621" s="2">
        <v>-1.0</v>
      </c>
      <c r="J1621" s="2" t="b">
        <v>0</v>
      </c>
      <c r="K1621" s="2" t="b">
        <v>0</v>
      </c>
      <c r="L1621" s="2" t="b">
        <v>0</v>
      </c>
      <c r="M1621" s="2" t="b">
        <v>0</v>
      </c>
      <c r="N1621" s="2" t="s">
        <v>33</v>
      </c>
      <c r="O1621" s="2">
        <v>120.0</v>
      </c>
      <c r="P1621" s="2">
        <v>22.0</v>
      </c>
      <c r="Q1621" s="2">
        <v>22.0</v>
      </c>
      <c r="R1621" s="2">
        <v>0.0</v>
      </c>
      <c r="S1621" s="3" t="s">
        <v>6635</v>
      </c>
      <c r="T1621" s="2" t="s">
        <v>6636</v>
      </c>
      <c r="Y1621" s="4" t="str">
        <f>IFERROR(__xludf.DUMMYFUNCTION("""COMPUTED_VALUE"""),"6.828325")</f>
        <v>6.828325</v>
      </c>
      <c r="Z1621" s="4" t="str">
        <f>IFERROR(__xludf.DUMMYFUNCTION("""COMPUTED_VALUE"""),"3.9180331")</f>
        <v>3.9180331</v>
      </c>
      <c r="AA1621" s="4" t="str">
        <f t="shared" si="1"/>
        <v>Neighbor</v>
      </c>
      <c r="AC1621" s="4">
        <f>IFERROR(__xludf.DUMMYFUNCTION("IFERROR(ABS(O1621-AVERAGE(FILTER(O1621:O5689,AA1621:AA5689=""Neighbor""))) / STDEV(FILTER(O1621:O5689, AA1621:AA5689 =""Neighbor"")), """")"),1.5920972157724174)</f>
        <v>1.592097216</v>
      </c>
      <c r="AD1621" s="4">
        <f>IFERROR(__xludf.DUMMYFUNCTION("IFERROR(ABS(P1621-AVERAGE(FILTER(O1621:P5689,AA1621:AA5689=""Neighbor""))) / STDEV(FILTER(P1621:P5689, AA1621:AA5689 =""Neighbor"")), """")"),0.6884695002041914)</f>
        <v>0.6884695002</v>
      </c>
      <c r="AE1621" s="2">
        <f>IFERROR(__xludf.DUMMYFUNCTION("IFERROR(ABS(Q1621-AVERAGE(FILTER(Q1621:Q5689,AA1621:AA5689=""Neighbor""))) / STDEV(FILTER(Q1621:Q5689, AA1621:AA5689 =""Neighbor"")), """")"),0.10087441867430948)</f>
        <v>0.1008744187</v>
      </c>
      <c r="AF1621" s="2">
        <f>IFERROR(__xludf.DUMMYFUNCTION("IFERROR(ABS(R1621-AVERAGE(FILTER(R1621:R5689,AA1621:AA5689=""Neighbor""))) / STDEV(FILTER(R1621:R5689, AA1621:AA5689 =""Neighbor"")), """")"),0.3518005550986298)</f>
        <v>0.3518005551</v>
      </c>
    </row>
    <row r="1622">
      <c r="A1622" s="2" t="s">
        <v>28</v>
      </c>
      <c r="B1622" s="2" t="s">
        <v>6431</v>
      </c>
      <c r="C1622" s="2" t="s">
        <v>6620</v>
      </c>
      <c r="D1622" s="2" t="s">
        <v>6637</v>
      </c>
      <c r="E1622" s="2" t="s">
        <v>6638</v>
      </c>
      <c r="F1622" s="2">
        <v>145.0</v>
      </c>
      <c r="G1622" s="2">
        <v>750.0</v>
      </c>
      <c r="H1622" s="2" t="b">
        <v>1</v>
      </c>
      <c r="I1622" s="2">
        <v>-1.0</v>
      </c>
      <c r="J1622" s="2" t="b">
        <v>0</v>
      </c>
      <c r="K1622" s="2" t="b">
        <v>0</v>
      </c>
      <c r="L1622" s="2" t="b">
        <v>0</v>
      </c>
      <c r="M1622" s="2" t="b">
        <v>0</v>
      </c>
      <c r="N1622" s="2" t="s">
        <v>33</v>
      </c>
      <c r="O1622" s="2">
        <v>106.0</v>
      </c>
      <c r="P1622" s="2">
        <v>6.0</v>
      </c>
      <c r="Q1622" s="2">
        <v>27.0</v>
      </c>
      <c r="R1622" s="2">
        <v>0.0</v>
      </c>
      <c r="S1622" s="3" t="s">
        <v>6639</v>
      </c>
      <c r="T1622" s="2" t="s">
        <v>6640</v>
      </c>
      <c r="Y1622" s="4" t="str">
        <f>IFERROR(__xludf.DUMMYFUNCTION("""COMPUTED_VALUE"""),"6.8230016")</f>
        <v>6.8230016</v>
      </c>
      <c r="Z1622" s="4" t="str">
        <f>IFERROR(__xludf.DUMMYFUNCTION("""COMPUTED_VALUE"""),"3.9188236")</f>
        <v>3.9188236</v>
      </c>
      <c r="AA1622" s="4" t="str">
        <f t="shared" si="1"/>
        <v>Neighbor</v>
      </c>
      <c r="AC1622" s="4">
        <f>IFERROR(__xludf.DUMMYFUNCTION("IFERROR(ABS(O1622-AVERAGE(FILTER(O1622:O5690,AA1622:AA5690=""Neighbor""))) / STDEV(FILTER(O1622:O5690, AA1622:AA5690 =""Neighbor"")), """")"),1.2341049343650639)</f>
        <v>1.234104934</v>
      </c>
      <c r="AD1622" s="4">
        <f>IFERROR(__xludf.DUMMYFUNCTION("IFERROR(ABS(P1622-AVERAGE(FILTER(O1622:P5690,AA1622:AA5690=""Neighbor""))) / STDEV(FILTER(P1622:P5690, AA1622:AA5690 =""Neighbor"")), """")"),1.4160447274873413)</f>
        <v>1.416044727</v>
      </c>
      <c r="AE1622" s="2">
        <f>IFERROR(__xludf.DUMMYFUNCTION("IFERROR(ABS(Q1622-AVERAGE(FILTER(Q1622:Q5690,AA1622:AA5690=""Neighbor""))) / STDEV(FILTER(Q1622:Q5690, AA1622:AA5690 =""Neighbor"")), """")"),0.09319137985921258)</f>
        <v>0.09319137986</v>
      </c>
      <c r="AF1622" s="2">
        <f>IFERROR(__xludf.DUMMYFUNCTION("IFERROR(ABS(R1622-AVERAGE(FILTER(R1622:R5690,AA1622:AA5690=""Neighbor""))) / STDEV(FILTER(R1622:R5690, AA1622:AA5690 =""Neighbor"")), """")"),0.3519972541124639)</f>
        <v>0.3519972541</v>
      </c>
    </row>
    <row r="1623">
      <c r="A1623" s="2" t="s">
        <v>28</v>
      </c>
      <c r="B1623" s="2" t="s">
        <v>6431</v>
      </c>
      <c r="C1623" s="2" t="s">
        <v>6620</v>
      </c>
      <c r="D1623" s="2" t="s">
        <v>6641</v>
      </c>
      <c r="E1623" s="2" t="s">
        <v>6642</v>
      </c>
      <c r="F1623" s="2">
        <v>161.0</v>
      </c>
      <c r="G1623" s="2">
        <v>803.0</v>
      </c>
      <c r="H1623" s="2" t="b">
        <v>1</v>
      </c>
      <c r="I1623" s="2">
        <v>-1.0</v>
      </c>
      <c r="J1623" s="2" t="b">
        <v>0</v>
      </c>
      <c r="K1623" s="2" t="b">
        <v>0</v>
      </c>
      <c r="L1623" s="2" t="b">
        <v>0</v>
      </c>
      <c r="M1623" s="2" t="b">
        <v>0</v>
      </c>
      <c r="N1623" s="2" t="s">
        <v>33</v>
      </c>
      <c r="O1623" s="2">
        <v>115.0</v>
      </c>
      <c r="P1623" s="2">
        <v>8.0</v>
      </c>
      <c r="Q1623" s="2">
        <v>31.0</v>
      </c>
      <c r="R1623" s="2">
        <v>0.0</v>
      </c>
      <c r="S1623" s="3" t="s">
        <v>6643</v>
      </c>
      <c r="T1623" s="2" t="s">
        <v>6644</v>
      </c>
      <c r="Y1623" s="4" t="str">
        <f>IFERROR(__xludf.DUMMYFUNCTION("""COMPUTED_VALUE"""),"6.8236002")</f>
        <v>6.8236002</v>
      </c>
      <c r="Z1623" s="4" t="str">
        <f>IFERROR(__xludf.DUMMYFUNCTION("""COMPUTED_VALUE"""),"3.9221793")</f>
        <v>3.9221793</v>
      </c>
      <c r="AA1623" s="4" t="str">
        <f t="shared" si="1"/>
        <v>Neighbor</v>
      </c>
      <c r="AC1623" s="4">
        <f>IFERROR(__xludf.DUMMYFUNCTION("IFERROR(ABS(O1623-AVERAGE(FILTER(O1623:O5691,AA1623:AA5691=""Neighbor""))) / STDEV(FILTER(O1623:O5691, AA1623:AA5691 =""Neighbor"")), """")"),1.4676628951412323)</f>
        <v>1.467662895</v>
      </c>
      <c r="AD1623" s="4">
        <f>IFERROR(__xludf.DUMMYFUNCTION("IFERROR(ABS(P1623-AVERAGE(FILTER(O1623:P5691,AA1623:AA5691=""Neighbor""))) / STDEV(FILTER(P1623:P5691, AA1623:AA5691 =""Neighbor"")), """")"),1.323482157680396)</f>
        <v>1.323482158</v>
      </c>
      <c r="AE1623" s="2">
        <f>IFERROR(__xludf.DUMMYFUNCTION("IFERROR(ABS(Q1623-AVERAGE(FILTER(Q1623:Q5691,AA1623:AA5691=""Neighbor""))) / STDEV(FILTER(Q1623:Q5691, AA1623:AA5691 =""Neighbor"")), """")"),0.2484546086770623)</f>
        <v>0.2484546087</v>
      </c>
      <c r="AF1623" s="2">
        <f>IFERROR(__xludf.DUMMYFUNCTION("IFERROR(ABS(R1623-AVERAGE(FILTER(R1623:R5691,AA1623:AA5691=""Neighbor""))) / STDEV(FILTER(R1623:R5691, AA1623:AA5691 =""Neighbor"")), """")"),0.3521942834741207)</f>
        <v>0.3521942835</v>
      </c>
    </row>
    <row r="1624">
      <c r="A1624" s="2" t="s">
        <v>28</v>
      </c>
      <c r="B1624" s="2" t="s">
        <v>6431</v>
      </c>
      <c r="C1624" s="2" t="s">
        <v>6620</v>
      </c>
      <c r="D1624" s="2" t="s">
        <v>6645</v>
      </c>
      <c r="E1624" s="2" t="s">
        <v>6646</v>
      </c>
      <c r="F1624" s="2">
        <v>161.0</v>
      </c>
      <c r="G1624" s="2">
        <v>959.0</v>
      </c>
      <c r="H1624" s="2" t="b">
        <v>1</v>
      </c>
      <c r="I1624" s="2">
        <v>-1.0</v>
      </c>
      <c r="J1624" s="2" t="b">
        <v>0</v>
      </c>
      <c r="K1624" s="2" t="b">
        <v>1</v>
      </c>
      <c r="L1624" s="2" t="b">
        <v>0</v>
      </c>
      <c r="M1624" s="2" t="b">
        <v>0</v>
      </c>
      <c r="N1624" s="2" t="s">
        <v>33</v>
      </c>
      <c r="O1624" s="2">
        <v>62.0</v>
      </c>
      <c r="P1624" s="2">
        <v>6.0</v>
      </c>
      <c r="Q1624" s="2">
        <v>81.0</v>
      </c>
      <c r="R1624" s="2">
        <v>0.0</v>
      </c>
      <c r="S1624" s="3" t="s">
        <v>6647</v>
      </c>
      <c r="T1624" s="2" t="s">
        <v>6648</v>
      </c>
      <c r="Y1624" s="4" t="str">
        <f>IFERROR(__xludf.DUMMYFUNCTION("""COMPUTED_VALUE"""),"6.8267647")</f>
        <v>6.8267647</v>
      </c>
      <c r="Z1624" s="4" t="str">
        <f>IFERROR(__xludf.DUMMYFUNCTION("""COMPUTED_VALUE"""),"3.9228014")</f>
        <v>3.9228014</v>
      </c>
      <c r="AA1624" s="4" t="str">
        <f t="shared" si="1"/>
        <v>Neighbor</v>
      </c>
      <c r="AC1624" s="4">
        <f>IFERROR(__xludf.DUMMYFUNCTION("IFERROR(ABS(O1624-AVERAGE(FILTER(O1624:O5692,AA1624:AA5692=""Neighbor""))) / STDEV(FILTER(O1624:O5692, AA1624:AA5692 =""Neighbor"")), """")"),0.10294085019694688)</f>
        <v>0.1029408502</v>
      </c>
      <c r="AD1624" s="4">
        <f>IFERROR(__xludf.DUMMYFUNCTION("IFERROR(ABS(P1624-AVERAGE(FILTER(O1624:P5692,AA1624:AA5692=""Neighbor""))) / STDEV(FILTER(P1624:P5692, AA1624:AA5692 =""Neighbor"")), """")"),1.412901519903372)</f>
        <v>1.41290152</v>
      </c>
      <c r="AE1624" s="2">
        <f>IFERROR(__xludf.DUMMYFUNCTION("IFERROR(ABS(Q1624-AVERAGE(FILTER(Q1624:Q5692,AA1624:AA5692=""Neighbor""))) / STDEV(FILTER(Q1624:Q5692, AA1624:AA5692 =""Neighbor"")), """")"),2.1878828168396875)</f>
        <v>2.187882817</v>
      </c>
      <c r="AF1624" s="2">
        <f>IFERROR(__xludf.DUMMYFUNCTION("IFERROR(ABS(R1624-AVERAGE(FILTER(R1624:R5692,AA1624:AA5692=""Neighbor""))) / STDEV(FILTER(R1624:R5692, AA1624:AA5692 =""Neighbor"")), """")"),0.35239164410941715)</f>
        <v>0.3523916441</v>
      </c>
    </row>
    <row r="1625">
      <c r="A1625" s="2" t="s">
        <v>28</v>
      </c>
      <c r="B1625" s="2" t="s">
        <v>6431</v>
      </c>
      <c r="C1625" s="2" t="s">
        <v>6620</v>
      </c>
      <c r="D1625" s="2" t="s">
        <v>6649</v>
      </c>
      <c r="E1625" s="2" t="s">
        <v>6650</v>
      </c>
      <c r="F1625" s="2">
        <v>134.0</v>
      </c>
      <c r="G1625" s="2">
        <v>750.0</v>
      </c>
      <c r="H1625" s="2" t="b">
        <v>1</v>
      </c>
      <c r="I1625" s="2">
        <v>-1.0</v>
      </c>
      <c r="J1625" s="2" t="b">
        <v>0</v>
      </c>
      <c r="K1625" s="2" t="b">
        <v>0</v>
      </c>
      <c r="L1625" s="2" t="b">
        <v>0</v>
      </c>
      <c r="M1625" s="2" t="b">
        <v>0</v>
      </c>
      <c r="N1625" s="2" t="s">
        <v>33</v>
      </c>
      <c r="O1625" s="2">
        <v>75.0</v>
      </c>
      <c r="P1625" s="2">
        <v>37.0</v>
      </c>
      <c r="Q1625" s="2">
        <v>14.0</v>
      </c>
      <c r="R1625" s="2">
        <v>0.0</v>
      </c>
      <c r="S1625" s="3" t="s">
        <v>6651</v>
      </c>
      <c r="T1625" s="2" t="s">
        <v>6652</v>
      </c>
      <c r="Y1625" s="4" t="str">
        <f>IFERROR(__xludf.DUMMYFUNCTION("""COMPUTED_VALUE"""),"6.8272648")</f>
        <v>6.8272648</v>
      </c>
      <c r="Z1625" s="4" t="str">
        <f>IFERROR(__xludf.DUMMYFUNCTION("""COMPUTED_VALUE"""),"3.9162858")</f>
        <v>3.9162858</v>
      </c>
      <c r="AA1625" s="4" t="str">
        <f t="shared" si="1"/>
        <v>Not Neighbor</v>
      </c>
      <c r="AC1625" s="4">
        <f>IFERROR(__xludf.DUMMYFUNCTION("IFERROR(ABS(O1625-AVERAGE(FILTER(O1625:O5693,AA1625:AA5693=""Neighbor""))) / STDEV(FILTER(O1625:O5693, AA1625:AA5693 =""Neighbor"")), """")"),0.43813770303755295)</f>
        <v>0.438137703</v>
      </c>
      <c r="AD1625" s="4">
        <f>IFERROR(__xludf.DUMMYFUNCTION("IFERROR(ABS(P1625-AVERAGE(FILTER(O1625:P5693,AA1625:AA5693=""Neighbor""))) / STDEV(FILTER(P1625:P5693, AA1625:AA5693 =""Neighbor"")), """")"),9.325102870918211E-4)</f>
        <v>0.0009325102871</v>
      </c>
      <c r="AE1625" s="2">
        <f>IFERROR(__xludf.DUMMYFUNCTION("IFERROR(ABS(Q1625-AVERAGE(FILTER(Q1625:Q5693,AA1625:AA5693=""Neighbor""))) / STDEV(FILTER(Q1625:Q5693, AA1625:AA5693 =""Neighbor"")), """")"),0.4093659044882699)</f>
        <v>0.4093659045</v>
      </c>
      <c r="AF1625" s="2">
        <f>IFERROR(__xludf.DUMMYFUNCTION("IFERROR(ABS(R1625-AVERAGE(FILTER(R1625:R5693,AA1625:AA5693=""Neighbor""))) / STDEV(FILTER(R1625:R5693, AA1625:AA5693 =""Neighbor"")), """")"),0.35258933694780753)</f>
        <v>0.3525893369</v>
      </c>
    </row>
    <row r="1626">
      <c r="A1626" s="2" t="s">
        <v>28</v>
      </c>
      <c r="B1626" s="2" t="s">
        <v>6431</v>
      </c>
      <c r="C1626" s="2" t="s">
        <v>6620</v>
      </c>
      <c r="D1626" s="2" t="s">
        <v>6653</v>
      </c>
      <c r="E1626" s="2" t="s">
        <v>6654</v>
      </c>
      <c r="F1626" s="2">
        <v>270.0</v>
      </c>
      <c r="G1626" s="2">
        <v>1420.0</v>
      </c>
      <c r="H1626" s="2" t="b">
        <v>1</v>
      </c>
      <c r="I1626" s="2">
        <v>-1.0</v>
      </c>
      <c r="J1626" s="2" t="b">
        <v>0</v>
      </c>
      <c r="K1626" s="2" t="b">
        <v>0</v>
      </c>
      <c r="L1626" s="2" t="b">
        <v>0</v>
      </c>
      <c r="M1626" s="2" t="b">
        <v>0</v>
      </c>
      <c r="N1626" s="2" t="s">
        <v>33</v>
      </c>
      <c r="O1626" s="2">
        <v>179.0</v>
      </c>
      <c r="P1626" s="2">
        <v>54.0</v>
      </c>
      <c r="Q1626" s="2">
        <v>26.0</v>
      </c>
      <c r="R1626" s="2">
        <v>2.0</v>
      </c>
      <c r="S1626" s="3" t="s">
        <v>6655</v>
      </c>
      <c r="T1626" s="2" t="s">
        <v>6656</v>
      </c>
      <c r="Y1626" s="4" t="str">
        <f>IFERROR(__xludf.DUMMYFUNCTION("""COMPUTED_VALUE"""),"6.8451497")</f>
        <v>6.8451497</v>
      </c>
      <c r="Z1626" s="4" t="str">
        <f>IFERROR(__xludf.DUMMYFUNCTION("""COMPUTED_VALUE"""),"3.911453")</f>
        <v>3.911453</v>
      </c>
      <c r="AA1626" s="4" t="str">
        <f t="shared" si="1"/>
        <v>Neighbor</v>
      </c>
      <c r="AC1626" s="4">
        <f>IFERROR(__xludf.DUMMYFUNCTION("IFERROR(ABS(O1626-AVERAGE(FILTER(O1626:O5694,AA1626:AA5694=""Neighbor""))) / STDEV(FILTER(O1626:O5694, AA1626:AA5694 =""Neighbor"")), """")"),3.1192973219548703)</f>
        <v>3.119297322</v>
      </c>
      <c r="AD1626" s="4">
        <f>IFERROR(__xludf.DUMMYFUNCTION("IFERROR(ABS(P1626-AVERAGE(FILTER(O1626:P5694,AA1626:AA5694=""Neighbor""))) / STDEV(FILTER(P1626:P5694, AA1626:AA5694 =""Neighbor"")), """")"),0.7731420046125522)</f>
        <v>0.7731420046</v>
      </c>
      <c r="AE1626" s="2">
        <f>IFERROR(__xludf.DUMMYFUNCTION("IFERROR(ABS(Q1626-AVERAGE(FILTER(Q1626:Q5694,AA1626:AA5694=""Neighbor""))) / STDEV(FILTER(Q1626:Q5694, AA1626:AA5694 =""Neighbor"")), """")"),0.056950192686988275)</f>
        <v>0.05695019269</v>
      </c>
      <c r="AF1626" s="2">
        <f>IFERROR(__xludf.DUMMYFUNCTION("IFERROR(ABS(R1626-AVERAGE(FILTER(R1626:R5694,AA1626:AA5694=""Neighbor""))) / STDEV(FILTER(R1626:R5694, AA1626:AA5694 =""Neighbor"")), """")"),2.0082262234853387)</f>
        <v>2.008226223</v>
      </c>
    </row>
    <row r="1627">
      <c r="A1627" s="2" t="s">
        <v>28</v>
      </c>
      <c r="B1627" s="2" t="s">
        <v>6431</v>
      </c>
      <c r="C1627" s="2" t="s">
        <v>6620</v>
      </c>
      <c r="D1627" s="2" t="s">
        <v>6657</v>
      </c>
      <c r="E1627" s="2" t="s">
        <v>6658</v>
      </c>
      <c r="F1627" s="2">
        <v>58.0</v>
      </c>
      <c r="G1627" s="2">
        <v>407.0</v>
      </c>
      <c r="H1627" s="2" t="b">
        <v>1</v>
      </c>
      <c r="I1627" s="2">
        <v>-1.0</v>
      </c>
      <c r="J1627" s="2" t="b">
        <v>0</v>
      </c>
      <c r="K1627" s="2" t="b">
        <v>0</v>
      </c>
      <c r="L1627" s="2" t="b">
        <v>0</v>
      </c>
      <c r="M1627" s="2" t="b">
        <v>0</v>
      </c>
      <c r="N1627" s="2" t="s">
        <v>33</v>
      </c>
      <c r="O1627" s="2">
        <v>36.0</v>
      </c>
      <c r="P1627" s="2">
        <v>5.0</v>
      </c>
      <c r="Q1627" s="2">
        <v>13.0</v>
      </c>
      <c r="R1627" s="2">
        <v>0.0</v>
      </c>
      <c r="S1627" s="3" t="s">
        <v>6659</v>
      </c>
      <c r="T1627" s="2" t="s">
        <v>6660</v>
      </c>
      <c r="Y1627" s="4" t="str">
        <f>IFERROR(__xludf.DUMMYFUNCTION("""COMPUTED_VALUE"""),"6.8401973")</f>
        <v>6.8401973</v>
      </c>
      <c r="Z1627" s="4" t="str">
        <f>IFERROR(__xludf.DUMMYFUNCTION("""COMPUTED_VALUE"""),"3.9128873")</f>
        <v>3.9128873</v>
      </c>
      <c r="AA1627" s="4" t="str">
        <f t="shared" si="1"/>
        <v>Neighbor</v>
      </c>
      <c r="AC1627" s="4">
        <f>IFERROR(__xludf.DUMMYFUNCTION("IFERROR(ABS(O1627-AVERAGE(FILTER(O1627:O5695,AA1627:AA5695=""Neighbor""))) / STDEV(FILTER(O1627:O5695, AA1627:AA5695 =""Neighbor"")), """")"),0.5666620215761232)</f>
        <v>0.5666620216</v>
      </c>
      <c r="AD1627" s="4">
        <f>IFERROR(__xludf.DUMMYFUNCTION("IFERROR(ABS(P1627-AVERAGE(FILTER(O1627:P5695,AA1627:AA5695=""Neighbor""))) / STDEV(FILTER(P1627:P5695, AA1627:AA5695 =""Neighbor"")), """")"),1.4558465667307008)</f>
        <v>1.455846567</v>
      </c>
      <c r="AE1627" s="2">
        <f>IFERROR(__xludf.DUMMYFUNCTION("IFERROR(ABS(Q1627-AVERAGE(FILTER(Q1627:Q5695,AA1627:AA5695=""Neighbor""))) / STDEV(FILTER(Q1627:Q5695, AA1627:AA5695 =""Neighbor"")), """")"),0.44794521583939173)</f>
        <v>0.4479452158</v>
      </c>
      <c r="AF1627" s="2">
        <f>IFERROR(__xludf.DUMMYFUNCTION("IFERROR(ABS(R1627-AVERAGE(FILTER(R1627:R5695,AA1627:AA5695=""Neighbor""))) / STDEV(FILTER(R1627:R5695, AA1627:AA5695 =""Neighbor"")), """")"),0.35111522009948026)</f>
        <v>0.3511152201</v>
      </c>
    </row>
    <row r="1628">
      <c r="A1628" s="2" t="s">
        <v>28</v>
      </c>
      <c r="B1628" s="2" t="s">
        <v>6431</v>
      </c>
      <c r="C1628" s="2" t="s">
        <v>6620</v>
      </c>
      <c r="D1628" s="2" t="s">
        <v>6661</v>
      </c>
      <c r="E1628" s="2" t="s">
        <v>6662</v>
      </c>
      <c r="F1628" s="2">
        <v>199.0</v>
      </c>
      <c r="G1628" s="2">
        <v>964.0</v>
      </c>
      <c r="H1628" s="2" t="b">
        <v>1</v>
      </c>
      <c r="I1628" s="2">
        <v>-1.0</v>
      </c>
      <c r="J1628" s="2" t="b">
        <v>0</v>
      </c>
      <c r="K1628" s="2" t="b">
        <v>0</v>
      </c>
      <c r="L1628" s="2" t="b">
        <v>0</v>
      </c>
      <c r="M1628" s="2" t="b">
        <v>0</v>
      </c>
      <c r="N1628" s="2" t="s">
        <v>33</v>
      </c>
      <c r="O1628" s="2">
        <v>140.0</v>
      </c>
      <c r="P1628" s="2">
        <v>31.0</v>
      </c>
      <c r="Q1628" s="2">
        <v>20.0</v>
      </c>
      <c r="R1628" s="2">
        <v>0.0</v>
      </c>
      <c r="S1628" s="3" t="s">
        <v>6663</v>
      </c>
      <c r="T1628" s="2" t="s">
        <v>6664</v>
      </c>
      <c r="Y1628" s="4" t="str">
        <f>IFERROR(__xludf.DUMMYFUNCTION("""COMPUTED_VALUE"""),"6.8401973")</f>
        <v>6.8401973</v>
      </c>
      <c r="Z1628" s="4" t="str">
        <f>IFERROR(__xludf.DUMMYFUNCTION("""COMPUTED_VALUE"""),"3.9128873")</f>
        <v>3.9128873</v>
      </c>
      <c r="AA1628" s="4" t="str">
        <f t="shared" si="1"/>
        <v>Not Neighbor</v>
      </c>
      <c r="AC1628" s="4">
        <f>IFERROR(__xludf.DUMMYFUNCTION("IFERROR(ABS(O1628-AVERAGE(FILTER(O1628:O5696,AA1628:AA5696=""Neighbor""))) / STDEV(FILTER(O1628:O5696, AA1628:AA5696 =""Neighbor"")), """")"),2.125013630106929)</f>
        <v>2.12501363</v>
      </c>
      <c r="AD1628" s="4">
        <f>IFERROR(__xludf.DUMMYFUNCTION("IFERROR(ABS(P1628-AVERAGE(FILTER(O1628:P5696,AA1628:AA5696=""Neighbor""))) / STDEV(FILTER(P1628:P5696, AA1628:AA5696 =""Neighbor"")), """")"),0.2714346304563105)</f>
        <v>0.2714346305</v>
      </c>
      <c r="AE1628" s="2">
        <f>IFERROR(__xludf.DUMMYFUNCTION("IFERROR(ABS(Q1628-AVERAGE(FILTER(Q1628:Q5696,AA1628:AA5696=""Neighbor""))) / STDEV(FILTER(Q1628:Q5696, AA1628:AA5696 =""Neighbor"")), """")"),0.17644085963969078)</f>
        <v>0.1764408596</v>
      </c>
      <c r="AF1628" s="2">
        <f>IFERROR(__xludf.DUMMYFUNCTION("IFERROR(ABS(R1628-AVERAGE(FILTER(R1628:R5696,AA1628:AA5696=""Neighbor""))) / STDEV(FILTER(R1628:R5696, AA1628:AA5696 =""Neighbor"")), """")"),0.3513124327676116)</f>
        <v>0.3513124328</v>
      </c>
    </row>
    <row r="1629">
      <c r="A1629" s="2" t="s">
        <v>28</v>
      </c>
      <c r="B1629" s="2" t="s">
        <v>6431</v>
      </c>
      <c r="C1629" s="2" t="s">
        <v>6665</v>
      </c>
      <c r="D1629" s="2" t="s">
        <v>6666</v>
      </c>
      <c r="E1629" s="2" t="s">
        <v>6667</v>
      </c>
      <c r="F1629" s="2">
        <v>155.0</v>
      </c>
      <c r="G1629" s="2">
        <v>773.0</v>
      </c>
      <c r="H1629" s="2" t="b">
        <v>1</v>
      </c>
      <c r="I1629" s="2">
        <v>-1.0</v>
      </c>
      <c r="J1629" s="2" t="b">
        <v>0</v>
      </c>
      <c r="K1629" s="2" t="b">
        <v>0</v>
      </c>
      <c r="L1629" s="2" t="b">
        <v>0</v>
      </c>
      <c r="M1629" s="2" t="b">
        <v>0</v>
      </c>
      <c r="N1629" s="2" t="s">
        <v>33</v>
      </c>
      <c r="O1629" s="2">
        <v>106.0</v>
      </c>
      <c r="P1629" s="2">
        <v>33.0</v>
      </c>
      <c r="Q1629" s="2">
        <v>11.0</v>
      </c>
      <c r="R1629" s="2">
        <v>0.0</v>
      </c>
      <c r="S1629" s="3" t="s">
        <v>6668</v>
      </c>
      <c r="T1629" s="2" t="s">
        <v>6669</v>
      </c>
      <c r="Y1629" s="4" t="str">
        <f>IFERROR(__xludf.DUMMYFUNCTION("""COMPUTED_VALUE"""),"6.8285963")</f>
        <v>6.8285963</v>
      </c>
      <c r="Z1629" s="4" t="str">
        <f>IFERROR(__xludf.DUMMYFUNCTION("""COMPUTED_VALUE"""),"3.9332481")</f>
        <v>3.9332481</v>
      </c>
      <c r="AA1629" s="4" t="str">
        <f t="shared" si="1"/>
        <v>Neighbor</v>
      </c>
      <c r="AC1629" s="4">
        <f>IFERROR(__xludf.DUMMYFUNCTION("IFERROR(ABS(O1629-AVERAGE(FILTER(O1629:O5697,AA1629:AA5697=""Neighbor""))) / STDEV(FILTER(O1629:O5697, AA1629:AA5697 =""Neighbor"")), """")"),1.2449203149797288)</f>
        <v>1.244920315</v>
      </c>
      <c r="AD1629" s="4">
        <f>IFERROR(__xludf.DUMMYFUNCTION("IFERROR(ABS(P1629-AVERAGE(FILTER(O1629:P5697,AA1629:AA5697=""Neighbor""))) / STDEV(FILTER(P1629:P5697, AA1629:AA5697 =""Neighbor"")), """")"),0.18031031025943436)</f>
        <v>0.1803103103</v>
      </c>
      <c r="AE1629" s="2">
        <f>IFERROR(__xludf.DUMMYFUNCTION("IFERROR(ABS(Q1629-AVERAGE(FILTER(Q1629:Q5697,AA1629:AA5697=""Neighbor""))) / STDEV(FILTER(Q1629:Q5697, AA1629:AA5697 =""Neighbor"")), """")"),0.525863716252127)</f>
        <v>0.5258637163</v>
      </c>
      <c r="AF1629" s="2">
        <f>IFERROR(__xludf.DUMMYFUNCTION("IFERROR(ABS(R1629-AVERAGE(FILTER(R1629:R5697,AA1629:AA5697=""Neighbor""))) / STDEV(FILTER(R1629:R5697, AA1629:AA5697 =""Neighbor"")), """")"),0.3513124327676116)</f>
        <v>0.3513124328</v>
      </c>
    </row>
    <row r="1630">
      <c r="A1630" s="2" t="s">
        <v>28</v>
      </c>
      <c r="B1630" s="2" t="s">
        <v>6431</v>
      </c>
      <c r="C1630" s="2" t="s">
        <v>6665</v>
      </c>
      <c r="D1630" s="2" t="s">
        <v>6670</v>
      </c>
      <c r="E1630" s="2" t="s">
        <v>6671</v>
      </c>
      <c r="F1630" s="2">
        <v>252.0</v>
      </c>
      <c r="G1630" s="2">
        <v>845.0</v>
      </c>
      <c r="H1630" s="2" t="b">
        <v>1</v>
      </c>
      <c r="I1630" s="2">
        <v>-1.0</v>
      </c>
      <c r="J1630" s="2" t="b">
        <v>0</v>
      </c>
      <c r="K1630" s="2" t="b">
        <v>0</v>
      </c>
      <c r="L1630" s="2" t="b">
        <v>0</v>
      </c>
      <c r="M1630" s="2" t="b">
        <v>0</v>
      </c>
      <c r="N1630" s="2" t="s">
        <v>33</v>
      </c>
      <c r="O1630" s="2">
        <v>190.0</v>
      </c>
      <c r="P1630" s="2">
        <v>34.0</v>
      </c>
      <c r="Q1630" s="2">
        <v>17.0</v>
      </c>
      <c r="R1630" s="2">
        <v>0.0</v>
      </c>
      <c r="S1630" s="3" t="s">
        <v>6672</v>
      </c>
      <c r="T1630" s="2" t="s">
        <v>6673</v>
      </c>
      <c r="Y1630" s="4" t="str">
        <f>IFERROR(__xludf.DUMMYFUNCTION("""COMPUTED_VALUE"""),"6.8305637")</f>
        <v>6.8305637</v>
      </c>
      <c r="Z1630" s="4" t="str">
        <f>IFERROR(__xludf.DUMMYFUNCTION("""COMPUTED_VALUE"""),"3.9241624")</f>
        <v>3.9241624</v>
      </c>
      <c r="AA1630" s="4" t="str">
        <f t="shared" si="1"/>
        <v>Not Neighbor</v>
      </c>
      <c r="AC1630" s="4">
        <f>IFERROR(__xludf.DUMMYFUNCTION("IFERROR(ABS(O1630-AVERAGE(FILTER(O1630:O5698,AA1630:AA5698=""Neighbor""))) / STDEV(FILTER(O1630:O5698, AA1630:AA5698 =""Neighbor"")), """")"),3.421462151668868)</f>
        <v>3.421462152</v>
      </c>
      <c r="AD1630" s="4">
        <f>IFERROR(__xludf.DUMMYFUNCTION("IFERROR(ABS(P1630-AVERAGE(FILTER(O1630:P5698,AA1630:AA5698=""Neighbor""))) / STDEV(FILTER(P1630:P5698, AA1630:AA5698 =""Neighbor"")), """")"),0.13323573913304615)</f>
        <v>0.1332357391</v>
      </c>
      <c r="AE1630" s="2">
        <f>IFERROR(__xludf.DUMMYFUNCTION("IFERROR(ABS(Q1630-AVERAGE(FILTER(Q1630:Q5698,AA1630:AA5698=""Neighbor""))) / STDEV(FILTER(Q1630:Q5698, AA1630:AA5698 =""Neighbor"")), """")"),0.29333569409112903)</f>
        <v>0.2933356941</v>
      </c>
      <c r="AF1630" s="2">
        <f>IFERROR(__xludf.DUMMYFUNCTION("IFERROR(ABS(R1630-AVERAGE(FILTER(R1630:R5698,AA1630:AA5698=""Neighbor""))) / STDEV(FILTER(R1630:R5698, AA1630:AA5698 =""Neighbor"")), """")"),0.3515099781610964)</f>
        <v>0.3515099782</v>
      </c>
    </row>
    <row r="1631">
      <c r="A1631" s="2" t="s">
        <v>28</v>
      </c>
      <c r="B1631" s="2" t="s">
        <v>6431</v>
      </c>
      <c r="C1631" s="2" t="s">
        <v>6665</v>
      </c>
      <c r="D1631" s="2" t="s">
        <v>6674</v>
      </c>
      <c r="E1631" s="2" t="s">
        <v>6675</v>
      </c>
      <c r="F1631" s="2">
        <v>227.0</v>
      </c>
      <c r="G1631" s="2">
        <v>843.0</v>
      </c>
      <c r="H1631" s="2" t="b">
        <v>1</v>
      </c>
      <c r="I1631" s="2">
        <v>-1.0</v>
      </c>
      <c r="J1631" s="2" t="b">
        <v>0</v>
      </c>
      <c r="K1631" s="2" t="b">
        <v>1</v>
      </c>
      <c r="L1631" s="2" t="b">
        <v>0</v>
      </c>
      <c r="M1631" s="2" t="b">
        <v>0</v>
      </c>
      <c r="N1631" s="2" t="s">
        <v>33</v>
      </c>
      <c r="O1631" s="2">
        <v>144.0</v>
      </c>
      <c r="P1631" s="2">
        <v>67.0</v>
      </c>
      <c r="Q1631" s="2">
        <v>7.0</v>
      </c>
      <c r="R1631" s="2">
        <v>0.0</v>
      </c>
      <c r="S1631" s="3" t="s">
        <v>6676</v>
      </c>
      <c r="T1631" s="2" t="s">
        <v>6677</v>
      </c>
      <c r="Y1631" s="4" t="str">
        <f>IFERROR(__xludf.DUMMYFUNCTION("""COMPUTED_VALUE"""),"6.8286919")</f>
        <v>6.8286919</v>
      </c>
      <c r="Z1631" s="4" t="str">
        <f>IFERROR(__xludf.DUMMYFUNCTION("""COMPUTED_VALUE"""),"3.9410653")</f>
        <v>3.9410653</v>
      </c>
      <c r="AA1631" s="4" t="str">
        <f t="shared" si="1"/>
        <v>Neighbor</v>
      </c>
      <c r="AC1631" s="4">
        <f>IFERROR(__xludf.DUMMYFUNCTION("IFERROR(ABS(O1631-AVERAGE(FILTER(O1631:O5699,AA1631:AA5699=""Neighbor""))) / STDEV(FILTER(O1631:O5699, AA1631:AA5699 =""Neighbor"")), """")"),2.230418274306348)</f>
        <v>2.230418274</v>
      </c>
      <c r="AD1631" s="4">
        <f>IFERROR(__xludf.DUMMYFUNCTION("IFERROR(ABS(P1631-AVERAGE(FILTER(O1631:P5699,AA1631:AA5699=""Neighbor""))) / STDEV(FILTER(P1631:P5699, AA1631:AA5699 =""Neighbor"")), """")"),1.3700139465838914)</f>
        <v>1.370013947</v>
      </c>
      <c r="AE1631" s="2">
        <f>IFERROR(__xludf.DUMMYFUNCTION("IFERROR(ABS(Q1631-AVERAGE(FILTER(Q1631:Q5699,AA1631:AA5699=""Neighbor""))) / STDEV(FILTER(Q1631:Q5699, AA1631:AA5699 =""Neighbor"")), """")"),0.6814425782260181)</f>
        <v>0.6814425782</v>
      </c>
      <c r="AF1631" s="2">
        <f>IFERROR(__xludf.DUMMYFUNCTION("IFERROR(ABS(R1631-AVERAGE(FILTER(R1631:R5699,AA1631:AA5699=""Neighbor""))) / STDEV(FILTER(R1631:R5699, AA1631:AA5699 =""Neighbor"")), """")"),0.3515099781610964)</f>
        <v>0.3515099782</v>
      </c>
    </row>
    <row r="1632">
      <c r="A1632" s="2" t="s">
        <v>28</v>
      </c>
      <c r="B1632" s="2" t="s">
        <v>6431</v>
      </c>
      <c r="C1632" s="2" t="s">
        <v>6665</v>
      </c>
      <c r="D1632" s="2" t="s">
        <v>6678</v>
      </c>
      <c r="E1632" s="2" t="s">
        <v>6679</v>
      </c>
      <c r="F1632" s="2">
        <v>157.0</v>
      </c>
      <c r="G1632" s="2">
        <v>750.0</v>
      </c>
      <c r="H1632" s="2" t="b">
        <v>1</v>
      </c>
      <c r="I1632" s="2">
        <v>-1.0</v>
      </c>
      <c r="J1632" s="2" t="b">
        <v>0</v>
      </c>
      <c r="K1632" s="2" t="b">
        <v>0</v>
      </c>
      <c r="L1632" s="2" t="b">
        <v>0</v>
      </c>
      <c r="M1632" s="2" t="b">
        <v>0</v>
      </c>
      <c r="N1632" s="2" t="s">
        <v>33</v>
      </c>
      <c r="O1632" s="2">
        <v>110.0</v>
      </c>
      <c r="P1632" s="2">
        <v>30.0</v>
      </c>
      <c r="Q1632" s="2">
        <v>8.0</v>
      </c>
      <c r="R1632" s="2">
        <v>0.0</v>
      </c>
      <c r="S1632" s="3" t="s">
        <v>6680</v>
      </c>
      <c r="T1632" s="2" t="s">
        <v>6681</v>
      </c>
      <c r="Y1632" s="4" t="str">
        <f>IFERROR(__xludf.DUMMYFUNCTION("""COMPUTED_VALUE"""),"6.8285963")</f>
        <v>6.8285963</v>
      </c>
      <c r="Z1632" s="4" t="str">
        <f>IFERROR(__xludf.DUMMYFUNCTION("""COMPUTED_VALUE"""),"3.9332481")</f>
        <v>3.9332481</v>
      </c>
      <c r="AA1632" s="4" t="str">
        <f t="shared" si="1"/>
        <v>Neighbor</v>
      </c>
      <c r="AC1632" s="4">
        <f>IFERROR(__xludf.DUMMYFUNCTION("IFERROR(ABS(O1632-AVERAGE(FILTER(O1632:O5700,AA1632:AA5700=""Neighbor""))) / STDEV(FILTER(O1632:O5700, AA1632:AA5700 =""Neighbor"")), """")"),1.355028504442906)</f>
        <v>1.355028504</v>
      </c>
      <c r="AD1632" s="4">
        <f>IFERROR(__xludf.DUMMYFUNCTION("IFERROR(ABS(P1632-AVERAGE(FILTER(O1632:P5700,AA1632:AA5700=""Neighbor""))) / STDEV(FILTER(P1632:P5700, AA1632:AA5700 =""Neighbor"")), """")"),0.3130074557856373)</f>
        <v>0.3130074558</v>
      </c>
      <c r="AE1632" s="2">
        <f>IFERROR(__xludf.DUMMYFUNCTION("IFERROR(ABS(Q1632-AVERAGE(FILTER(Q1632:Q5700,AA1632:AA5700=""Neighbor""))) / STDEV(FILTER(Q1632:Q5700, AA1632:AA5700 =""Neighbor"")), """")"),0.6431426195292492)</f>
        <v>0.6431426195</v>
      </c>
      <c r="AF1632" s="2">
        <f>IFERROR(__xludf.DUMMYFUNCTION("IFERROR(ABS(R1632-AVERAGE(FILTER(R1632:R5700,AA1632:AA5700=""Neighbor""))) / STDEV(FILTER(R1632:R5700, AA1632:AA5700 =""Neighbor"")), """")"),0.3517078572166852)</f>
        <v>0.3517078572</v>
      </c>
    </row>
    <row r="1633">
      <c r="A1633" s="2" t="s">
        <v>28</v>
      </c>
      <c r="B1633" s="2" t="s">
        <v>6431</v>
      </c>
      <c r="C1633" s="2" t="s">
        <v>6665</v>
      </c>
      <c r="D1633" s="2" t="s">
        <v>6682</v>
      </c>
      <c r="E1633" s="2" t="s">
        <v>6683</v>
      </c>
      <c r="F1633" s="2">
        <v>213.0</v>
      </c>
      <c r="G1633" s="2">
        <v>750.0</v>
      </c>
      <c r="H1633" s="2" t="b">
        <v>1</v>
      </c>
      <c r="I1633" s="2">
        <v>-1.0</v>
      </c>
      <c r="J1633" s="2" t="b">
        <v>0</v>
      </c>
      <c r="K1633" s="2" t="b">
        <v>0</v>
      </c>
      <c r="L1633" s="2" t="b">
        <v>0</v>
      </c>
      <c r="M1633" s="2" t="b">
        <v>0</v>
      </c>
      <c r="N1633" s="2" t="s">
        <v>33</v>
      </c>
      <c r="O1633" s="2">
        <v>76.0</v>
      </c>
      <c r="P1633" s="2">
        <v>104.0</v>
      </c>
      <c r="Q1633" s="2">
        <v>22.0</v>
      </c>
      <c r="R1633" s="2">
        <v>0.0</v>
      </c>
      <c r="S1633" s="3" t="s">
        <v>6684</v>
      </c>
      <c r="T1633" s="2" t="s">
        <v>6685</v>
      </c>
      <c r="Y1633" s="4" t="str">
        <f>IFERROR(__xludf.DUMMYFUNCTION("""COMPUTED_VALUE"""),"6.8285963")</f>
        <v>6.8285963</v>
      </c>
      <c r="Z1633" s="4" t="str">
        <f>IFERROR(__xludf.DUMMYFUNCTION("""COMPUTED_VALUE"""),"3.9332481")</f>
        <v>3.9332481</v>
      </c>
      <c r="AA1633" s="4" t="str">
        <f t="shared" si="1"/>
        <v>Not Neighbor</v>
      </c>
      <c r="AC1633" s="4">
        <f>IFERROR(__xludf.DUMMYFUNCTION("IFERROR(ABS(O1633-AVERAGE(FILTER(O1633:O5701,AA1633:AA5701=""Neighbor""))) / STDEV(FILTER(O1633:O5701, AA1633:AA5701 =""Neighbor"")), """")"),0.47448794844267644)</f>
        <v>0.4744879484</v>
      </c>
      <c r="AD1633" s="4">
        <f>IFERROR(__xludf.DUMMYFUNCTION("IFERROR(ABS(P1633-AVERAGE(FILTER(O1633:P5701,AA1633:AA5701=""Neighbor""))) / STDEV(FILTER(P1633:P5701, AA1633:AA5701 =""Neighbor"")), """")"),3.06600817548475)</f>
        <v>3.066008175</v>
      </c>
      <c r="AE1633" s="2">
        <f>IFERROR(__xludf.DUMMYFUNCTION("IFERROR(ABS(Q1633-AVERAGE(FILTER(Q1633:Q5701,AA1633:AA5701=""Neighbor""))) / STDEV(FILTER(Q1633:Q5701, AA1633:AA5701 =""Neighbor"")), """")"),0.10055502074205683)</f>
        <v>0.1005550207</v>
      </c>
      <c r="AF1633" s="2">
        <f>IFERROR(__xludf.DUMMYFUNCTION("IFERROR(ABS(R1633-AVERAGE(FILTER(R1633:R5701,AA1633:AA5701=""Neighbor""))) / STDEV(FILTER(R1633:R5701, AA1633:AA5701 =""Neighbor"")), """")"),0.35190607087482434)</f>
        <v>0.3519060709</v>
      </c>
    </row>
    <row r="1634">
      <c r="A1634" s="2" t="s">
        <v>28</v>
      </c>
      <c r="B1634" s="2" t="s">
        <v>6431</v>
      </c>
      <c r="C1634" s="2" t="s">
        <v>6665</v>
      </c>
      <c r="D1634" s="2" t="s">
        <v>6686</v>
      </c>
      <c r="E1634" s="2" t="s">
        <v>6687</v>
      </c>
      <c r="F1634" s="2">
        <v>247.0</v>
      </c>
      <c r="G1634" s="2">
        <v>980.0</v>
      </c>
      <c r="H1634" s="2" t="b">
        <v>1</v>
      </c>
      <c r="I1634" s="2">
        <v>-1.0</v>
      </c>
      <c r="J1634" s="2" t="b">
        <v>0</v>
      </c>
      <c r="K1634" s="2" t="b">
        <v>0</v>
      </c>
      <c r="L1634" s="2" t="b">
        <v>0</v>
      </c>
      <c r="M1634" s="2" t="b">
        <v>0</v>
      </c>
      <c r="N1634" s="2" t="s">
        <v>33</v>
      </c>
      <c r="O1634" s="2">
        <v>145.0</v>
      </c>
      <c r="P1634" s="2">
        <v>81.0</v>
      </c>
      <c r="Q1634" s="2">
        <v>11.0</v>
      </c>
      <c r="R1634" s="2">
        <v>0.0</v>
      </c>
      <c r="S1634" s="3" t="s">
        <v>6688</v>
      </c>
      <c r="T1634" s="2" t="s">
        <v>6689</v>
      </c>
      <c r="Y1634" s="4" t="str">
        <f>IFERROR(__xludf.DUMMYFUNCTION("""COMPUTED_VALUE"""),"6.792877")</f>
        <v>6.792877</v>
      </c>
      <c r="Z1634" s="4" t="str">
        <f>IFERROR(__xludf.DUMMYFUNCTION("""COMPUTED_VALUE"""),"3.9303632")</f>
        <v>3.9303632</v>
      </c>
      <c r="AA1634" s="4" t="str">
        <f t="shared" si="1"/>
        <v>Not Neighbor</v>
      </c>
      <c r="AC1634" s="4">
        <f>IFERROR(__xludf.DUMMYFUNCTION("IFERROR(ABS(O1634-AVERAGE(FILTER(O1634:O5702,AA1634:AA5702=""Neighbor""))) / STDEV(FILTER(O1634:O5702, AA1634:AA5702 =""Neighbor"")), """")"),2.2653880895221192)</f>
        <v>2.26538809</v>
      </c>
      <c r="AD1634" s="4">
        <f>IFERROR(__xludf.DUMMYFUNCTION("IFERROR(ABS(P1634-AVERAGE(FILTER(O1634:P5702,AA1634:AA5702=""Neighbor""))) / STDEV(FILTER(P1634:P5702, AA1634:AA5702 =""Neighbor"")), """")"),2.0162743556561087)</f>
        <v>2.016274356</v>
      </c>
      <c r="AE1634" s="2">
        <f>IFERROR(__xludf.DUMMYFUNCTION("IFERROR(ABS(Q1634-AVERAGE(FILTER(Q1634:Q5702,AA1634:AA5702=""Neighbor""))) / STDEV(FILTER(Q1634:Q5702, AA1634:AA5702 =""Neighbor"")), """")"),0.52723232796513)</f>
        <v>0.527232328</v>
      </c>
      <c r="AF1634" s="2">
        <f>IFERROR(__xludf.DUMMYFUNCTION("IFERROR(ABS(R1634-AVERAGE(FILTER(R1634:R5702,AA1634:AA5702=""Neighbor""))) / STDEV(FILTER(R1634:R5702, AA1634:AA5702 =""Neighbor"")), """")"),0.35190607087482434)</f>
        <v>0.3519060709</v>
      </c>
    </row>
    <row r="1635">
      <c r="A1635" s="2" t="s">
        <v>28</v>
      </c>
      <c r="B1635" s="2" t="s">
        <v>6431</v>
      </c>
      <c r="C1635" s="2" t="s">
        <v>6665</v>
      </c>
      <c r="D1635" s="2" t="s">
        <v>6690</v>
      </c>
      <c r="E1635" s="2" t="s">
        <v>6691</v>
      </c>
      <c r="F1635" s="2">
        <v>196.0</v>
      </c>
      <c r="G1635" s="2">
        <v>833.0</v>
      </c>
      <c r="H1635" s="2" t="b">
        <v>1</v>
      </c>
      <c r="I1635" s="2">
        <v>-1.0</v>
      </c>
      <c r="J1635" s="2" t="b">
        <v>0</v>
      </c>
      <c r="K1635" s="2" t="b">
        <v>0</v>
      </c>
      <c r="L1635" s="2" t="b">
        <v>0</v>
      </c>
      <c r="M1635" s="2" t="b">
        <v>0</v>
      </c>
      <c r="N1635" s="2" t="s">
        <v>33</v>
      </c>
      <c r="O1635" s="2">
        <v>128.0</v>
      </c>
      <c r="P1635" s="2">
        <v>14.0</v>
      </c>
      <c r="Q1635" s="2">
        <v>45.0</v>
      </c>
      <c r="R1635" s="2">
        <v>0.0</v>
      </c>
      <c r="S1635" s="3" t="s">
        <v>6692</v>
      </c>
      <c r="T1635" s="2" t="s">
        <v>6693</v>
      </c>
      <c r="Y1635" s="4" t="str">
        <f>IFERROR(__xludf.DUMMYFUNCTION("""COMPUTED_VALUE"""),"6.8210258")</f>
        <v>6.8210258</v>
      </c>
      <c r="Z1635" s="4" t="str">
        <f>IFERROR(__xludf.DUMMYFUNCTION("""COMPUTED_VALUE"""),"3.9228345")</f>
        <v>3.9228345</v>
      </c>
      <c r="AA1635" s="4" t="str">
        <f t="shared" si="1"/>
        <v>Not Neighbor</v>
      </c>
      <c r="AC1635" s="4">
        <f>IFERROR(__xludf.DUMMYFUNCTION("IFERROR(ABS(O1635-AVERAGE(FILTER(O1635:O5703,AA1635:AA5703=""Neighbor""))) / STDEV(FILTER(O1635:O5703, AA1635:AA5703 =""Neighbor"")), """")"),1.824151822879358)</f>
        <v>1.824151823</v>
      </c>
      <c r="AD1635" s="4">
        <f>IFERROR(__xludf.DUMMYFUNCTION("IFERROR(ABS(P1635-AVERAGE(FILTER(O1635:P5703,AA1635:AA5703=""Neighbor""))) / STDEV(FILTER(P1635:P5703, AA1635:AA5703 =""Neighbor"")), """")"),1.0416459021055857)</f>
        <v>1.041645902</v>
      </c>
      <c r="AE1635" s="2">
        <f>IFERROR(__xludf.DUMMYFUNCTION("IFERROR(ABS(Q1635-AVERAGE(FILTER(Q1635:Q5703,AA1635:AA5703=""Neighbor""))) / STDEV(FILTER(Q1635:Q5703, AA1635:AA5703 =""Neighbor"")), """")"),0.7915884398152779)</f>
        <v>0.7915884398</v>
      </c>
      <c r="AF1635" s="2">
        <f>IFERROR(__xludf.DUMMYFUNCTION("IFERROR(ABS(R1635-AVERAGE(FILTER(R1635:R5703,AA1635:AA5703=""Neighbor""))) / STDEV(FILTER(R1635:R5703, AA1635:AA5703 =""Neighbor"")), """")"),0.35190607087482434)</f>
        <v>0.3519060709</v>
      </c>
    </row>
    <row r="1636">
      <c r="A1636" s="2" t="s">
        <v>28</v>
      </c>
      <c r="B1636" s="2" t="s">
        <v>6431</v>
      </c>
      <c r="C1636" s="2" t="s">
        <v>6665</v>
      </c>
      <c r="D1636" s="2" t="s">
        <v>6694</v>
      </c>
      <c r="E1636" s="2" t="s">
        <v>6695</v>
      </c>
      <c r="F1636" s="2">
        <v>206.0</v>
      </c>
      <c r="G1636" s="2">
        <v>806.0</v>
      </c>
      <c r="H1636" s="2" t="b">
        <v>1</v>
      </c>
      <c r="I1636" s="2">
        <v>-1.0</v>
      </c>
      <c r="J1636" s="2" t="b">
        <v>0</v>
      </c>
      <c r="K1636" s="2" t="b">
        <v>0</v>
      </c>
      <c r="L1636" s="2" t="b">
        <v>0</v>
      </c>
      <c r="M1636" s="2" t="b">
        <v>0</v>
      </c>
      <c r="N1636" s="2" t="s">
        <v>33</v>
      </c>
      <c r="O1636" s="2">
        <v>152.0</v>
      </c>
      <c r="P1636" s="2">
        <v>26.0</v>
      </c>
      <c r="Q1636" s="2">
        <v>19.0</v>
      </c>
      <c r="R1636" s="2">
        <v>0.0</v>
      </c>
      <c r="S1636" s="3" t="s">
        <v>6696</v>
      </c>
      <c r="T1636" s="2" t="s">
        <v>6697</v>
      </c>
      <c r="Y1636" s="4" t="str">
        <f>IFERROR(__xludf.DUMMYFUNCTION("""COMPUTED_VALUE"""),"6.8285963")</f>
        <v>6.8285963</v>
      </c>
      <c r="Z1636" s="4" t="str">
        <f>IFERROR(__xludf.DUMMYFUNCTION("""COMPUTED_VALUE"""),"3.9332481")</f>
        <v>3.9332481</v>
      </c>
      <c r="AA1636" s="4" t="str">
        <f t="shared" si="1"/>
        <v>Neighbor</v>
      </c>
      <c r="AC1636" s="4">
        <f>IFERROR(__xludf.DUMMYFUNCTION("IFERROR(ABS(O1636-AVERAGE(FILTER(O1636:O5704,AA1636:AA5704=""Neighbor""))) / STDEV(FILTER(O1636:O5704, AA1636:AA5704 =""Neighbor"")), """")"),2.4470736110809037)</f>
        <v>2.447073611</v>
      </c>
      <c r="AD1636" s="4">
        <f>IFERROR(__xludf.DUMMYFUNCTION("IFERROR(ABS(P1636-AVERAGE(FILTER(O1636:P5704,AA1636:AA5704=""Neighbor""))) / STDEV(FILTER(P1636:P5704, AA1636:AA5704 =""Neighbor"")), """")"),0.4939586917602077)</f>
        <v>0.4939586918</v>
      </c>
      <c r="AE1636" s="2">
        <f>IFERROR(__xludf.DUMMYFUNCTION("IFERROR(ABS(Q1636-AVERAGE(FILTER(Q1636:Q5704,AA1636:AA5704=""Neighbor""))) / STDEV(FILTER(Q1636:Q5704, AA1636:AA5704 =""Neighbor"")), """")"),0.21692155907562222)</f>
        <v>0.2169215591</v>
      </c>
      <c r="AF1636" s="2">
        <f>IFERROR(__xludf.DUMMYFUNCTION("IFERROR(ABS(R1636-AVERAGE(FILTER(R1636:R5704,AA1636:AA5704=""Neighbor""))) / STDEV(FILTER(R1636:R5704, AA1636:AA5704 =""Neighbor"")), """")"),0.35190607087482434)</f>
        <v>0.3519060709</v>
      </c>
    </row>
    <row r="1637">
      <c r="A1637" s="2" t="s">
        <v>28</v>
      </c>
      <c r="B1637" s="2" t="s">
        <v>6431</v>
      </c>
      <c r="C1637" s="2" t="s">
        <v>6665</v>
      </c>
      <c r="D1637" s="2" t="s">
        <v>6698</v>
      </c>
      <c r="E1637" s="2" t="s">
        <v>6699</v>
      </c>
      <c r="F1637" s="2">
        <v>124.0</v>
      </c>
      <c r="G1637" s="2">
        <v>547.0</v>
      </c>
      <c r="H1637" s="2" t="b">
        <v>1</v>
      </c>
      <c r="I1637" s="2">
        <v>-1.0</v>
      </c>
      <c r="J1637" s="2" t="b">
        <v>0</v>
      </c>
      <c r="K1637" s="2" t="b">
        <v>0</v>
      </c>
      <c r="L1637" s="2" t="b">
        <v>0</v>
      </c>
      <c r="M1637" s="2" t="b">
        <v>0</v>
      </c>
      <c r="N1637" s="2" t="s">
        <v>33</v>
      </c>
      <c r="O1637" s="2">
        <v>76.0</v>
      </c>
      <c r="P1637" s="2">
        <v>11.0</v>
      </c>
      <c r="Q1637" s="2">
        <v>26.0</v>
      </c>
      <c r="R1637" s="2">
        <v>0.0</v>
      </c>
      <c r="S1637" s="3" t="s">
        <v>6700</v>
      </c>
      <c r="T1637" s="2" t="s">
        <v>6701</v>
      </c>
      <c r="Y1637" s="4" t="str">
        <f>IFERROR(__xludf.DUMMYFUNCTION("""COMPUTED_VALUE"""),"6.8285963")</f>
        <v>6.8285963</v>
      </c>
      <c r="Z1637" s="4" t="str">
        <f>IFERROR(__xludf.DUMMYFUNCTION("""COMPUTED_VALUE"""),"3.9332481")</f>
        <v>3.9332481</v>
      </c>
      <c r="AA1637" s="4" t="str">
        <f t="shared" si="1"/>
        <v>Neighbor</v>
      </c>
      <c r="AC1637" s="4">
        <f>IFERROR(__xludf.DUMMYFUNCTION("IFERROR(ABS(O1637-AVERAGE(FILTER(O1637:O5705,AA1637:AA5705=""Neighbor""))) / STDEV(FILTER(O1637:O5705, AA1637:AA5705 =""Neighbor"")), """")"),0.47815002410320867)</f>
        <v>0.4781500241</v>
      </c>
      <c r="AD1637" s="4">
        <f>IFERROR(__xludf.DUMMYFUNCTION("IFERROR(ABS(P1637-AVERAGE(FILTER(O1637:P5705,AA1637:AA5705=""Neighbor""))) / STDEV(FILTER(P1637:P5705, AA1637:AA5705 =""Neighbor"")), """")"),1.1757081596696306)</f>
        <v>1.17570816</v>
      </c>
      <c r="AE1637" s="2">
        <f>IFERROR(__xludf.DUMMYFUNCTION("IFERROR(ABS(Q1637-AVERAGE(FILTER(Q1637:Q5705,AA1637:AA5705=""Neighbor""))) / STDEV(FILTER(Q1637:Q5705, AA1637:AA5705 =""Neighbor"")), """")"),0.05435630400105647)</f>
        <v>0.054356304</v>
      </c>
      <c r="AF1637" s="2">
        <f>IFERROR(__xludf.DUMMYFUNCTION("IFERROR(ABS(R1637-AVERAGE(FILTER(R1637:R5705,AA1637:AA5705=""Neighbor""))) / STDEV(FILTER(R1637:R5705, AA1637:AA5705 =""Neighbor"")), """")"),0.35210462007967674)</f>
        <v>0.3521046201</v>
      </c>
    </row>
    <row r="1638">
      <c r="A1638" s="2" t="s">
        <v>28</v>
      </c>
      <c r="B1638" s="2" t="s">
        <v>6431</v>
      </c>
      <c r="C1638" s="2" t="s">
        <v>6665</v>
      </c>
      <c r="D1638" s="2" t="s">
        <v>6702</v>
      </c>
      <c r="E1638" s="2" t="s">
        <v>6703</v>
      </c>
      <c r="F1638" s="2">
        <v>188.0</v>
      </c>
      <c r="G1638" s="2">
        <v>603.0</v>
      </c>
      <c r="H1638" s="2" t="b">
        <v>1</v>
      </c>
      <c r="I1638" s="2">
        <v>-1.0</v>
      </c>
      <c r="J1638" s="2" t="b">
        <v>0</v>
      </c>
      <c r="K1638" s="2" t="b">
        <v>0</v>
      </c>
      <c r="L1638" s="2" t="b">
        <v>0</v>
      </c>
      <c r="M1638" s="2" t="b">
        <v>0</v>
      </c>
      <c r="N1638" s="2" t="s">
        <v>33</v>
      </c>
      <c r="O1638" s="2">
        <v>143.0</v>
      </c>
      <c r="P1638" s="2">
        <v>16.0</v>
      </c>
      <c r="Q1638" s="2">
        <v>23.0</v>
      </c>
      <c r="R1638" s="2">
        <v>0.0</v>
      </c>
      <c r="S1638" s="3" t="s">
        <v>6704</v>
      </c>
      <c r="T1638" s="2" t="s">
        <v>6705</v>
      </c>
      <c r="Y1638" s="4" t="str">
        <f>IFERROR(__xludf.DUMMYFUNCTION("""COMPUTED_VALUE"""),"6.8260357")</f>
        <v>6.8260357</v>
      </c>
      <c r="Z1638" s="4" t="str">
        <f>IFERROR(__xludf.DUMMYFUNCTION("""COMPUTED_VALUE"""),"3.9246335")</f>
        <v>3.9246335</v>
      </c>
      <c r="AA1638" s="4" t="str">
        <f t="shared" si="1"/>
        <v>Neighbor</v>
      </c>
      <c r="AC1638" s="4">
        <f>IFERROR(__xludf.DUMMYFUNCTION("IFERROR(ABS(O1638-AVERAGE(FILTER(O1638:O5706,AA1638:AA5706=""Neighbor""))) / STDEV(FILTER(O1638:O5706, AA1638:AA5706 =""Neighbor"")), """")"),2.2211439375457105)</f>
        <v>2.221143938</v>
      </c>
      <c r="AD1638" s="4">
        <f>IFERROR(__xludf.DUMMYFUNCTION("IFERROR(ABS(P1638-AVERAGE(FILTER(O1638:P5706,AA1638:AA5706=""Neighbor""))) / STDEV(FILTER(P1638:P5706, AA1638:AA5706 =""Neighbor"")), """")"),0.9468340925673508)</f>
        <v>0.9468340926</v>
      </c>
      <c r="AE1638" s="2">
        <f>IFERROR(__xludf.DUMMYFUNCTION("IFERROR(ABS(Q1638-AVERAGE(FILTER(Q1638:Q5706,AA1638:AA5706=""Neighbor""))) / STDEV(FILTER(Q1638:Q5706, AA1638:AA5706 =""Neighbor"")), """")"),0.061868760104454704)</f>
        <v>0.0618687601</v>
      </c>
      <c r="AF1638" s="2">
        <f>IFERROR(__xludf.DUMMYFUNCTION("IFERROR(ABS(R1638-AVERAGE(FILTER(R1638:R5706,AA1638:AA5706=""Neighbor""))) / STDEV(FILTER(R1638:R5706, AA1638:AA5706 =""Neighbor"")), """")"),0.3523035057791392)</f>
        <v>0.3523035058</v>
      </c>
    </row>
    <row r="1639">
      <c r="A1639" s="2" t="s">
        <v>28</v>
      </c>
      <c r="B1639" s="2" t="s">
        <v>6431</v>
      </c>
      <c r="C1639" s="2" t="s">
        <v>6665</v>
      </c>
      <c r="D1639" s="2" t="s">
        <v>6706</v>
      </c>
      <c r="E1639" s="2" t="s">
        <v>6707</v>
      </c>
      <c r="F1639" s="2">
        <v>95.0</v>
      </c>
      <c r="G1639" s="2">
        <v>638.0</v>
      </c>
      <c r="H1639" s="2" t="b">
        <v>1</v>
      </c>
      <c r="I1639" s="2">
        <v>-1.0</v>
      </c>
      <c r="J1639" s="2" t="b">
        <v>0</v>
      </c>
      <c r="K1639" s="2" t="b">
        <v>0</v>
      </c>
      <c r="L1639" s="2" t="b">
        <v>0</v>
      </c>
      <c r="M1639" s="2" t="b">
        <v>0</v>
      </c>
      <c r="N1639" s="2" t="s">
        <v>33</v>
      </c>
      <c r="O1639" s="2">
        <v>43.0</v>
      </c>
      <c r="P1639" s="2">
        <v>42.0</v>
      </c>
      <c r="Q1639" s="2">
        <v>9.0</v>
      </c>
      <c r="R1639" s="2">
        <v>0.0</v>
      </c>
      <c r="S1639" s="3" t="s">
        <v>6708</v>
      </c>
      <c r="T1639" s="2" t="s">
        <v>6709</v>
      </c>
      <c r="Y1639" s="4" t="str">
        <f>IFERROR(__xludf.DUMMYFUNCTION("""COMPUTED_VALUE"""),"6.8200244")</f>
        <v>6.8200244</v>
      </c>
      <c r="Z1639" s="4" t="str">
        <f>IFERROR(__xludf.DUMMYFUNCTION("""COMPUTED_VALUE"""),"3.923793")</f>
        <v>3.923793</v>
      </c>
      <c r="AA1639" s="4" t="str">
        <f t="shared" si="1"/>
        <v>Not Neighbor</v>
      </c>
      <c r="AC1639" s="4">
        <f>IFERROR(__xludf.DUMMYFUNCTION("IFERROR(ABS(O1639-AVERAGE(FILTER(O1639:O5707,AA1639:AA5707=""Neighbor""))) / STDEV(FILTER(O1639:O5707, AA1639:AA5707 =""Neighbor"")), """")"),0.37841391035898686)</f>
        <v>0.3784139104</v>
      </c>
      <c r="AD1639" s="4">
        <f>IFERROR(__xludf.DUMMYFUNCTION("IFERROR(ABS(P1639-AVERAGE(FILTER(O1639:P5707,AA1639:AA5707=""Neighbor""))) / STDEV(FILTER(P1639:P5707, AA1639:AA5707 =""Neighbor"")), """")"),0.24062570859476443)</f>
        <v>0.2406257086</v>
      </c>
      <c r="AE1639" s="2">
        <f>IFERROR(__xludf.DUMMYFUNCTION("IFERROR(ABS(Q1639-AVERAGE(FILTER(Q1639:Q5707,AA1639:AA5707=""Neighbor""))) / STDEV(FILTER(Q1639:Q5707, AA1639:AA5707 =""Neighbor"")), """")"),0.6041392486990675)</f>
        <v>0.6041392487</v>
      </c>
      <c r="AF1639" s="2">
        <f>IFERROR(__xludf.DUMMYFUNCTION("IFERROR(ABS(R1639-AVERAGE(FILTER(R1639:R5707,AA1639:AA5707=""Neighbor""))) / STDEV(FILTER(R1639:R5707, AA1639:AA5707 =""Neighbor"")), """")"),0.3525027289248612)</f>
        <v>0.3525027289</v>
      </c>
    </row>
    <row r="1640">
      <c r="A1640" s="2" t="s">
        <v>28</v>
      </c>
      <c r="B1640" s="2" t="s">
        <v>6431</v>
      </c>
      <c r="C1640" s="2" t="s">
        <v>6710</v>
      </c>
      <c r="D1640" s="2" t="s">
        <v>6711</v>
      </c>
      <c r="E1640" s="2" t="s">
        <v>6712</v>
      </c>
      <c r="F1640" s="2">
        <v>163.0</v>
      </c>
      <c r="G1640" s="2">
        <v>475.0</v>
      </c>
      <c r="H1640" s="2" t="b">
        <v>1</v>
      </c>
      <c r="I1640" s="2">
        <v>-1.0</v>
      </c>
      <c r="J1640" s="2" t="b">
        <v>1</v>
      </c>
      <c r="K1640" s="2" t="b">
        <v>0</v>
      </c>
      <c r="L1640" s="2" t="b">
        <v>0</v>
      </c>
      <c r="M1640" s="2" t="b">
        <v>0</v>
      </c>
      <c r="N1640" s="2" t="s">
        <v>33</v>
      </c>
      <c r="O1640" s="2">
        <v>113.0</v>
      </c>
      <c r="P1640" s="2">
        <v>3.0</v>
      </c>
      <c r="Q1640" s="2">
        <v>27.0</v>
      </c>
      <c r="R1640" s="2">
        <v>0.0</v>
      </c>
      <c r="S1640" s="3" t="s">
        <v>6713</v>
      </c>
      <c r="T1640" s="2" t="s">
        <v>6714</v>
      </c>
      <c r="Y1640" s="4" t="str">
        <f>IFERROR(__xludf.DUMMYFUNCTION("""COMPUTED_VALUE"""),"6.7227757")</f>
        <v>6.7227757</v>
      </c>
      <c r="Z1640" s="4" t="str">
        <f>IFERROR(__xludf.DUMMYFUNCTION("""COMPUTED_VALUE"""),"3.9572374")</f>
        <v>3.9572374</v>
      </c>
      <c r="AA1640" s="4" t="str">
        <f t="shared" si="1"/>
        <v>Neighbor</v>
      </c>
      <c r="AC1640" s="4">
        <f>IFERROR(__xludf.DUMMYFUNCTION("IFERROR(ABS(O1640-AVERAGE(FILTER(O1640:O5708,AA1640:AA5708=""Neighbor""))) / STDEV(FILTER(O1640:O5708, AA1640:AA5708 =""Neighbor"")), """")"),1.4459411256413721)</f>
        <v>1.445941126</v>
      </c>
      <c r="AD1640" s="4">
        <f>IFERROR(__xludf.DUMMYFUNCTION("IFERROR(ABS(P1640-AVERAGE(FILTER(O1640:P5708,AA1640:AA5708=""Neighbor""))) / STDEV(FILTER(P1640:P5708, AA1640:AA5708 =""Neighbor"")), """")"),1.536906349917289)</f>
        <v>1.53690635</v>
      </c>
      <c r="AE1640" s="2">
        <f>IFERROR(__xludf.DUMMYFUNCTION("IFERROR(ABS(Q1640-AVERAGE(FILTER(Q1640:Q5708,AA1640:AA5708=""Neighbor""))) / STDEV(FILTER(Q1640:Q5708, AA1640:AA5708 =""Neighbor"")), """")"),0.09302550895133815)</f>
        <v>0.09302550895</v>
      </c>
      <c r="AF1640" s="2">
        <f>IFERROR(__xludf.DUMMYFUNCTION("IFERROR(ABS(R1640-AVERAGE(FILTER(R1640:R5708,AA1640:AA5708=""Neighbor""))) / STDEV(FILTER(R1640:R5708, AA1640:AA5708 =""Neighbor"")), """")"),0.3525027289248612)</f>
        <v>0.3525027289</v>
      </c>
    </row>
    <row r="1641">
      <c r="A1641" s="2" t="s">
        <v>28</v>
      </c>
      <c r="B1641" s="2" t="s">
        <v>6431</v>
      </c>
      <c r="C1641" s="2" t="s">
        <v>6710</v>
      </c>
      <c r="D1641" s="2" t="s">
        <v>6715</v>
      </c>
      <c r="E1641" s="2" t="s">
        <v>6716</v>
      </c>
      <c r="F1641" s="2">
        <v>138.0</v>
      </c>
      <c r="G1641" s="2">
        <v>527.0</v>
      </c>
      <c r="H1641" s="2" t="b">
        <v>1</v>
      </c>
      <c r="I1641" s="2">
        <v>-1.0</v>
      </c>
      <c r="J1641" s="2" t="b">
        <v>0</v>
      </c>
      <c r="K1641" s="2" t="b">
        <v>0</v>
      </c>
      <c r="L1641" s="2" t="b">
        <v>0</v>
      </c>
      <c r="M1641" s="2" t="b">
        <v>0</v>
      </c>
      <c r="N1641" s="2" t="s">
        <v>33</v>
      </c>
      <c r="O1641" s="2">
        <v>81.0</v>
      </c>
      <c r="P1641" s="2">
        <v>10.0</v>
      </c>
      <c r="Q1641" s="2">
        <v>31.0</v>
      </c>
      <c r="R1641" s="2">
        <v>0.0</v>
      </c>
      <c r="S1641" s="3" t="s">
        <v>6717</v>
      </c>
      <c r="T1641" s="2" t="s">
        <v>6718</v>
      </c>
      <c r="Y1641" s="4" t="str">
        <f>IFERROR(__xludf.DUMMYFUNCTION("""COMPUTED_VALUE"""),"6.7227757")</f>
        <v>6.7227757</v>
      </c>
      <c r="Z1641" s="4" t="str">
        <f>IFERROR(__xludf.DUMMYFUNCTION("""COMPUTED_VALUE"""),"3.9572374")</f>
        <v>3.9572374</v>
      </c>
      <c r="AA1641" s="4" t="str">
        <f t="shared" si="1"/>
        <v>Neighbor</v>
      </c>
      <c r="AC1641" s="4">
        <f>IFERROR(__xludf.DUMMYFUNCTION("IFERROR(ABS(O1641-AVERAGE(FILTER(O1641:O5709,AA1641:AA5709=""Neighbor""))) / STDEV(FILTER(O1641:O5709, AA1641:AA5709 =""Neighbor"")), """")"),0.61374636043203)</f>
        <v>0.6137463604</v>
      </c>
      <c r="AD1641" s="4">
        <f>IFERROR(__xludf.DUMMYFUNCTION("IFERROR(ABS(P1641-AVERAGE(FILTER(O1641:P5709,AA1641:AA5709=""Neighbor""))) / STDEV(FILTER(P1641:P5709, AA1641:AA5709 =""Neighbor"")), """")"),1.2164838359215109)</f>
        <v>1.216483836</v>
      </c>
      <c r="AE1641" s="2">
        <f>IFERROR(__xludf.DUMMYFUNCTION("IFERROR(ABS(Q1641-AVERAGE(FILTER(Q1641:Q5709,AA1641:AA5709=""Neighbor""))) / STDEV(FILTER(Q1641:Q5709, AA1641:AA5709 =""Neighbor"")), """")"),0.24792081473396121)</f>
        <v>0.2479208147</v>
      </c>
      <c r="AF1641" s="2">
        <f>IFERROR(__xludf.DUMMYFUNCTION("IFERROR(ABS(R1641-AVERAGE(FILTER(R1641:R5709,AA1641:AA5709=""Neighbor""))) / STDEV(FILTER(R1641:R5709, AA1641:AA5709 =""Neighbor"")), """")"),0.3527022904722669)</f>
        <v>0.3527022905</v>
      </c>
    </row>
    <row r="1642">
      <c r="A1642" s="2" t="s">
        <v>28</v>
      </c>
      <c r="B1642" s="2" t="s">
        <v>6431</v>
      </c>
      <c r="C1642" s="2" t="s">
        <v>6710</v>
      </c>
      <c r="D1642" s="2" t="s">
        <v>6719</v>
      </c>
      <c r="E1642" s="2" t="s">
        <v>6720</v>
      </c>
      <c r="F1642" s="2">
        <v>114.0</v>
      </c>
      <c r="G1642" s="2">
        <v>399.0</v>
      </c>
      <c r="H1642" s="2" t="b">
        <v>1</v>
      </c>
      <c r="I1642" s="2">
        <v>-1.0</v>
      </c>
      <c r="J1642" s="2" t="b">
        <v>0</v>
      </c>
      <c r="K1642" s="2" t="b">
        <v>0</v>
      </c>
      <c r="L1642" s="2" t="b">
        <v>0</v>
      </c>
      <c r="M1642" s="2" t="b">
        <v>0</v>
      </c>
      <c r="N1642" s="2" t="s">
        <v>33</v>
      </c>
      <c r="O1642" s="2">
        <v>56.0</v>
      </c>
      <c r="P1642" s="2">
        <v>3.0</v>
      </c>
      <c r="Q1642" s="2">
        <v>29.0</v>
      </c>
      <c r="R1642" s="2">
        <v>0.0</v>
      </c>
      <c r="S1642" s="3" t="s">
        <v>6721</v>
      </c>
      <c r="T1642" s="2" t="s">
        <v>6722</v>
      </c>
      <c r="Y1642" s="4" t="str">
        <f>IFERROR(__xludf.DUMMYFUNCTION("""COMPUTED_VALUE"""),"6.7227757")</f>
        <v>6.7227757</v>
      </c>
      <c r="Z1642" s="4" t="str">
        <f>IFERROR(__xludf.DUMMYFUNCTION("""COMPUTED_VALUE"""),"3.9572374")</f>
        <v>3.9572374</v>
      </c>
      <c r="AA1642" s="4" t="str">
        <f t="shared" si="1"/>
        <v>Not Neighbor</v>
      </c>
      <c r="AC1642" s="4">
        <f>IFERROR(__xludf.DUMMYFUNCTION("IFERROR(ABS(O1642-AVERAGE(FILTER(O1642:O5710,AA1642:AA5710=""Neighbor""))) / STDEV(FILTER(O1642:O5710, AA1642:AA5710 =""Neighbor"")), """")"),0.037537439376716046)</f>
        <v>0.03753743938</v>
      </c>
      <c r="AD1642" s="4">
        <f>IFERROR(__xludf.DUMMYFUNCTION("IFERROR(ABS(P1642-AVERAGE(FILTER(O1642:P5710,AA1642:AA5710=""Neighbor""))) / STDEV(FILTER(P1642:P5710, AA1642:AA5710 =""Neighbor"")), """")"),1.5343003645820068)</f>
        <v>1.534300365</v>
      </c>
      <c r="AE1642" s="2">
        <f>IFERROR(__xludf.DUMMYFUNCTION("IFERROR(ABS(Q1642-AVERAGE(FILTER(Q1642:Q5710,AA1642:AA5710=""Neighbor""))) / STDEV(FILTER(Q1642:Q5710, AA1642:AA5710 =""Neighbor"")), """")"),0.17066607924266475)</f>
        <v>0.1706660792</v>
      </c>
      <c r="AF1642" s="2">
        <f>IFERROR(__xludf.DUMMYFUNCTION("IFERROR(ABS(R1642-AVERAGE(FILTER(R1642:R5710,AA1642:AA5710=""Neighbor""))) / STDEV(FILTER(R1642:R5710, AA1642:AA5710 =""Neighbor"")), """")"),0.35290219138057044)</f>
        <v>0.3529021914</v>
      </c>
    </row>
    <row r="1643">
      <c r="A1643" s="2" t="s">
        <v>28</v>
      </c>
      <c r="B1643" s="2" t="s">
        <v>6431</v>
      </c>
      <c r="C1643" s="2" t="s">
        <v>6710</v>
      </c>
      <c r="D1643" s="2" t="s">
        <v>6723</v>
      </c>
      <c r="E1643" s="2" t="s">
        <v>6724</v>
      </c>
      <c r="F1643" s="2">
        <v>103.0</v>
      </c>
      <c r="G1643" s="2">
        <v>383.0</v>
      </c>
      <c r="H1643" s="2" t="b">
        <v>1</v>
      </c>
      <c r="I1643" s="2">
        <v>-1.0</v>
      </c>
      <c r="J1643" s="2" t="b">
        <v>0</v>
      </c>
      <c r="K1643" s="2" t="b">
        <v>0</v>
      </c>
      <c r="L1643" s="2" t="b">
        <v>0</v>
      </c>
      <c r="M1643" s="2" t="b">
        <v>0</v>
      </c>
      <c r="N1643" s="2" t="s">
        <v>33</v>
      </c>
      <c r="O1643" s="2">
        <v>69.0</v>
      </c>
      <c r="P1643" s="2">
        <v>3.0</v>
      </c>
      <c r="Q1643" s="2">
        <v>27.0</v>
      </c>
      <c r="R1643" s="2">
        <v>0.0</v>
      </c>
      <c r="S1643" s="3" t="s">
        <v>6725</v>
      </c>
      <c r="T1643" s="2" t="s">
        <v>6726</v>
      </c>
      <c r="Y1643" s="4" t="str">
        <f>IFERROR(__xludf.DUMMYFUNCTION("""COMPUTED_VALUE"""),"6.7192404")</f>
        <v>6.7192404</v>
      </c>
      <c r="Z1643" s="4" t="str">
        <f>IFERROR(__xludf.DUMMYFUNCTION("""COMPUTED_VALUE"""),"3.9403484")</f>
        <v>3.9403484</v>
      </c>
      <c r="AA1643" s="4" t="str">
        <f t="shared" si="1"/>
        <v>Not Neighbor</v>
      </c>
      <c r="AC1643" s="4">
        <f>IFERROR(__xludf.DUMMYFUNCTION("IFERROR(ABS(O1643-AVERAGE(FILTER(O1643:O5711,AA1643:AA5711=""Neighbor""))) / STDEV(FILTER(O1643:O5711, AA1643:AA5711 =""Neighbor"")), """")"),0.3013517207425776)</f>
        <v>0.3013517207</v>
      </c>
      <c r="AD1643" s="4">
        <f>IFERROR(__xludf.DUMMYFUNCTION("IFERROR(ABS(P1643-AVERAGE(FILTER(O1643:P5711,AA1643:AA5711=""Neighbor""))) / STDEV(FILTER(P1643:P5711, AA1643:AA5711 =""Neighbor"")), """")"),1.5343003645820068)</f>
        <v>1.534300365</v>
      </c>
      <c r="AE1643" s="2">
        <f>IFERROR(__xludf.DUMMYFUNCTION("IFERROR(ABS(Q1643-AVERAGE(FILTER(Q1643:Q5711,AA1643:AA5711=""Neighbor""))) / STDEV(FILTER(Q1643:Q5711, AA1643:AA5711 =""Neighbor"")), """")"),0.09327871501046126)</f>
        <v>0.09327871501</v>
      </c>
      <c r="AF1643" s="2">
        <f>IFERROR(__xludf.DUMMYFUNCTION("IFERROR(ABS(R1643-AVERAGE(FILTER(R1643:R5711,AA1643:AA5711=""Neighbor""))) / STDEV(FILTER(R1643:R5711, AA1643:AA5711 =""Neighbor"")), """")"),0.35290219138057044)</f>
        <v>0.3529021914</v>
      </c>
    </row>
    <row r="1644">
      <c r="A1644" s="2" t="s">
        <v>28</v>
      </c>
      <c r="B1644" s="2" t="s">
        <v>6431</v>
      </c>
      <c r="C1644" s="2" t="s">
        <v>6710</v>
      </c>
      <c r="D1644" s="2" t="s">
        <v>6727</v>
      </c>
      <c r="E1644" s="2" t="s">
        <v>6728</v>
      </c>
      <c r="F1644" s="2">
        <v>102.0</v>
      </c>
      <c r="G1644" s="2">
        <v>359.0</v>
      </c>
      <c r="H1644" s="2" t="b">
        <v>1</v>
      </c>
      <c r="I1644" s="2">
        <v>-1.0</v>
      </c>
      <c r="J1644" s="2" t="b">
        <v>0</v>
      </c>
      <c r="K1644" s="2" t="b">
        <v>0</v>
      </c>
      <c r="L1644" s="2" t="b">
        <v>0</v>
      </c>
      <c r="M1644" s="2" t="b">
        <v>0</v>
      </c>
      <c r="N1644" s="2" t="s">
        <v>33</v>
      </c>
      <c r="O1644" s="2">
        <v>64.0</v>
      </c>
      <c r="P1644" s="2">
        <v>5.0</v>
      </c>
      <c r="Q1644" s="2">
        <v>26.0</v>
      </c>
      <c r="R1644" s="2">
        <v>0.0</v>
      </c>
      <c r="S1644" s="3" t="s">
        <v>6729</v>
      </c>
      <c r="T1644" s="2" t="s">
        <v>6730</v>
      </c>
      <c r="Y1644" s="4" t="str">
        <f>IFERROR(__xludf.DUMMYFUNCTION("""COMPUTED_VALUE"""),"6.701503")</f>
        <v>6.701503</v>
      </c>
      <c r="Z1644" s="4" t="str">
        <f>IFERROR(__xludf.DUMMYFUNCTION("""COMPUTED_VALUE"""),"3.965092")</f>
        <v>3.965092</v>
      </c>
      <c r="AA1644" s="4" t="str">
        <f t="shared" si="1"/>
        <v>Not Neighbor</v>
      </c>
      <c r="AC1644" s="4">
        <f>IFERROR(__xludf.DUMMYFUNCTION("IFERROR(ABS(O1644-AVERAGE(FILTER(O1644:O5712,AA1644:AA5712=""Neighbor""))) / STDEV(FILTER(O1644:O5712, AA1644:AA5712 =""Neighbor"")), """")"),0.17100973608131081)</f>
        <v>0.1710097361</v>
      </c>
      <c r="AD1644" s="4">
        <f>IFERROR(__xludf.DUMMYFUNCTION("IFERROR(ABS(P1644-AVERAGE(FILTER(O1644:P5712,AA1644:AA5712=""Neighbor""))) / STDEV(FILTER(P1644:P5712, AA1644:AA5712 =""Neighbor"")), """")"),1.4432175083025705)</f>
        <v>1.443217508</v>
      </c>
      <c r="AE1644" s="2">
        <f>IFERROR(__xludf.DUMMYFUNCTION("IFERROR(ABS(Q1644-AVERAGE(FILTER(Q1644:Q5712,AA1644:AA5712=""Neighbor""))) / STDEV(FILTER(Q1644:Q5712, AA1644:AA5712 =""Neighbor"")), """")"),0.054585032894359516)</f>
        <v>0.05458503289</v>
      </c>
      <c r="AF1644" s="2">
        <f>IFERROR(__xludf.DUMMYFUNCTION("IFERROR(ABS(R1644-AVERAGE(FILTER(R1644:R5712,AA1644:AA5712=""Neighbor""))) / STDEV(FILTER(R1644:R5712, AA1644:AA5712 =""Neighbor"")), """")"),0.35290219138057044)</f>
        <v>0.3529021914</v>
      </c>
    </row>
    <row r="1645">
      <c r="A1645" s="2" t="s">
        <v>28</v>
      </c>
      <c r="B1645" s="2" t="s">
        <v>6431</v>
      </c>
      <c r="C1645" s="2" t="s">
        <v>6731</v>
      </c>
      <c r="D1645" s="2" t="s">
        <v>6732</v>
      </c>
      <c r="E1645" s="2" t="s">
        <v>6733</v>
      </c>
      <c r="F1645" s="2">
        <v>366.0</v>
      </c>
      <c r="G1645" s="2">
        <v>952.0</v>
      </c>
      <c r="H1645" s="2" t="b">
        <v>1</v>
      </c>
      <c r="I1645" s="2">
        <v>-1.0</v>
      </c>
      <c r="J1645" s="2" t="b">
        <v>0</v>
      </c>
      <c r="K1645" s="2" t="b">
        <v>0</v>
      </c>
      <c r="L1645" s="2" t="b">
        <v>0</v>
      </c>
      <c r="M1645" s="2" t="b">
        <v>0</v>
      </c>
      <c r="N1645" s="2" t="s">
        <v>33</v>
      </c>
      <c r="O1645" s="2">
        <v>212.0</v>
      </c>
      <c r="P1645" s="2">
        <v>46.0</v>
      </c>
      <c r="Q1645" s="2">
        <v>69.0</v>
      </c>
      <c r="R1645" s="2">
        <v>3.0</v>
      </c>
      <c r="S1645" s="3" t="s">
        <v>6734</v>
      </c>
      <c r="T1645" s="2" t="s">
        <v>6735</v>
      </c>
      <c r="Y1645" s="4" t="str">
        <f>IFERROR(__xludf.DUMMYFUNCTION("""COMPUTED_VALUE"""),"6.7256748")</f>
        <v>6.7256748</v>
      </c>
      <c r="Z1645" s="4" t="str">
        <f>IFERROR(__xludf.DUMMYFUNCTION("""COMPUTED_VALUE"""),"3.9997855")</f>
        <v>3.9997855</v>
      </c>
      <c r="AA1645" s="4" t="str">
        <f t="shared" si="1"/>
        <v>Not Neighbor</v>
      </c>
      <c r="AC1645" s="4">
        <f>IFERROR(__xludf.DUMMYFUNCTION("IFERROR(ABS(O1645-AVERAGE(FILTER(O1645:O5713,AA1645:AA5713=""Neighbor""))) / STDEV(FILTER(O1645:O5713, AA1645:AA5713 =""Neighbor"")), """")"),4.029132482054807)</f>
        <v>4.029132482</v>
      </c>
      <c r="AD1645" s="4">
        <f>IFERROR(__xludf.DUMMYFUNCTION("IFERROR(ABS(P1645-AVERAGE(FILTER(O1645:P5713,AA1645:AA5713=""Neighbor""))) / STDEV(FILTER(P1645:P5713, AA1645:AA5713 =""Neighbor"")), """")"),0.42398104542587206)</f>
        <v>0.4239810454</v>
      </c>
      <c r="AE1645" s="2">
        <f>IFERROR(__xludf.DUMMYFUNCTION("IFERROR(ABS(Q1645-AVERAGE(FILTER(Q1645:Q5713,AA1645:AA5713=""Neighbor""))) / STDEV(FILTER(Q1645:Q5713, AA1645:AA5713 =""Neighbor"")), """")"),1.7184133638867345)</f>
        <v>1.718413364</v>
      </c>
      <c r="AF1645" s="2">
        <f>IFERROR(__xludf.DUMMYFUNCTION("IFERROR(ABS(R1645-AVERAGE(FILTER(R1645:R5713,AA1645:AA5713=""Neighbor""))) / STDEV(FILTER(R1645:R5713, AA1645:AA5713 =""Neighbor"")), """")"),3.1796843910249377)</f>
        <v>3.179684391</v>
      </c>
    </row>
    <row r="1646">
      <c r="A1646" s="2" t="s">
        <v>28</v>
      </c>
      <c r="B1646" s="2" t="s">
        <v>6431</v>
      </c>
      <c r="C1646" s="2" t="s">
        <v>6731</v>
      </c>
      <c r="D1646" s="2" t="s">
        <v>6736</v>
      </c>
      <c r="E1646" s="2" t="s">
        <v>6737</v>
      </c>
      <c r="F1646" s="2">
        <v>157.0</v>
      </c>
      <c r="G1646" s="2">
        <v>447.0</v>
      </c>
      <c r="H1646" s="2" t="b">
        <v>1</v>
      </c>
      <c r="I1646" s="2">
        <v>-1.0</v>
      </c>
      <c r="J1646" s="2" t="b">
        <v>0</v>
      </c>
      <c r="K1646" s="2" t="b">
        <v>0</v>
      </c>
      <c r="L1646" s="2" t="b">
        <v>0</v>
      </c>
      <c r="M1646" s="2" t="b">
        <v>0</v>
      </c>
      <c r="N1646" s="2" t="s">
        <v>33</v>
      </c>
      <c r="O1646" s="2">
        <v>117.0</v>
      </c>
      <c r="P1646" s="2">
        <v>1.0</v>
      </c>
      <c r="Q1646" s="2">
        <v>22.0</v>
      </c>
      <c r="R1646" s="2">
        <v>0.0</v>
      </c>
      <c r="S1646" s="3" t="s">
        <v>6738</v>
      </c>
      <c r="T1646" s="2" t="s">
        <v>6739</v>
      </c>
      <c r="Y1646" s="4" t="str">
        <f>IFERROR(__xludf.DUMMYFUNCTION("""COMPUTED_VALUE"""),"6.7009267")</f>
        <v>6.7009267</v>
      </c>
      <c r="Z1646" s="4" t="str">
        <f>IFERROR(__xludf.DUMMYFUNCTION("""COMPUTED_VALUE"""),"4.0184661")</f>
        <v>4.0184661</v>
      </c>
      <c r="AA1646" s="4" t="str">
        <f t="shared" si="1"/>
        <v>Not Neighbor</v>
      </c>
      <c r="AC1646" s="4">
        <f>IFERROR(__xludf.DUMMYFUNCTION("IFERROR(ABS(O1646-AVERAGE(FILTER(O1646:O5714,AA1646:AA5714=""Neighbor""))) / STDEV(FILTER(O1646:O5714, AA1646:AA5714 =""Neighbor"")), """")"),1.5526347734907389)</f>
        <v>1.552634773</v>
      </c>
      <c r="AD1646" s="4">
        <f>IFERROR(__xludf.DUMMYFUNCTION("IFERROR(ABS(P1646-AVERAGE(FILTER(O1646:P5714,AA1646:AA5714=""Neighbor""))) / STDEV(FILTER(P1646:P5714, AA1646:AA5714 =""Neighbor"")), """")"),1.625383220861443)</f>
        <v>1.625383221</v>
      </c>
      <c r="AE1646" s="2">
        <f>IFERROR(__xludf.DUMMYFUNCTION("IFERROR(ABS(Q1646-AVERAGE(FILTER(Q1646:Q5714,AA1646:AA5714=""Neighbor""))) / STDEV(FILTER(Q1646:Q5714, AA1646:AA5714 =""Neighbor"")), """")"),0.10018969557004746)</f>
        <v>0.1001896956</v>
      </c>
      <c r="AF1646" s="2">
        <f>IFERROR(__xludf.DUMMYFUNCTION("IFERROR(ABS(R1646-AVERAGE(FILTER(R1646:R5714,AA1646:AA5714=""Neighbor""))) / STDEV(FILTER(R1646:R5714, AA1646:AA5714 =""Neighbor"")), """")"),0.35290219138057044)</f>
        <v>0.3529021914</v>
      </c>
    </row>
    <row r="1647">
      <c r="A1647" s="2" t="s">
        <v>28</v>
      </c>
      <c r="B1647" s="2" t="s">
        <v>6431</v>
      </c>
      <c r="C1647" s="2" t="s">
        <v>6731</v>
      </c>
      <c r="D1647" s="2" t="s">
        <v>6740</v>
      </c>
      <c r="E1647" s="2" t="s">
        <v>6741</v>
      </c>
      <c r="F1647" s="2">
        <v>118.0</v>
      </c>
      <c r="G1647" s="2">
        <v>400.0</v>
      </c>
      <c r="H1647" s="2" t="b">
        <v>1</v>
      </c>
      <c r="I1647" s="2">
        <v>-1.0</v>
      </c>
      <c r="J1647" s="2" t="b">
        <v>0</v>
      </c>
      <c r="K1647" s="2" t="b">
        <v>0</v>
      </c>
      <c r="L1647" s="2" t="b">
        <v>0</v>
      </c>
      <c r="M1647" s="2" t="b">
        <v>0</v>
      </c>
      <c r="N1647" s="2" t="s">
        <v>33</v>
      </c>
      <c r="O1647" s="2">
        <v>62.0</v>
      </c>
      <c r="P1647" s="2">
        <v>5.0</v>
      </c>
      <c r="Q1647" s="2">
        <v>42.0</v>
      </c>
      <c r="R1647" s="2">
        <v>0.0</v>
      </c>
      <c r="S1647" s="3" t="s">
        <v>6742</v>
      </c>
      <c r="T1647" s="2" t="s">
        <v>6743</v>
      </c>
      <c r="Y1647" s="4" t="str">
        <f>IFERROR(__xludf.DUMMYFUNCTION("""COMPUTED_VALUE"""),"6.8299846")</f>
        <v>6.8299846</v>
      </c>
      <c r="Z1647" s="4" t="str">
        <f>IFERROR(__xludf.DUMMYFUNCTION("""COMPUTED_VALUE"""),"3.9164585")</f>
        <v>3.9164585</v>
      </c>
      <c r="AA1647" s="4" t="str">
        <f t="shared" si="1"/>
        <v>Not Neighbor</v>
      </c>
      <c r="AC1647" s="4">
        <f>IFERROR(__xludf.DUMMYFUNCTION("IFERROR(ABS(O1647-AVERAGE(FILTER(O1647:O5715,AA1647:AA5715=""Neighbor""))) / STDEV(FILTER(O1647:O5715, AA1647:AA5715 =""Neighbor"")), """")"),0.1188729422168041)</f>
        <v>0.1188729422</v>
      </c>
      <c r="AD1647" s="4">
        <f>IFERROR(__xludf.DUMMYFUNCTION("IFERROR(ABS(P1647-AVERAGE(FILTER(O1647:P5715,AA1647:AA5715=""Neighbor""))) / STDEV(FILTER(P1647:P5715, AA1647:AA5715 =""Neighbor"")), """")"),1.4432175083025705)</f>
        <v>1.443217508</v>
      </c>
      <c r="AE1647" s="2">
        <f>IFERROR(__xludf.DUMMYFUNCTION("IFERROR(ABS(Q1647-AVERAGE(FILTER(Q1647:Q5715,AA1647:AA5715=""Neighbor""))) / STDEV(FILTER(Q1647:Q5715, AA1647:AA5715 =""Neighbor"")), """")"),0.6736839467519874)</f>
        <v>0.6736839468</v>
      </c>
      <c r="AF1647" s="2">
        <f>IFERROR(__xludf.DUMMYFUNCTION("IFERROR(ABS(R1647-AVERAGE(FILTER(R1647:R5715,AA1647:AA5715=""Neighbor""))) / STDEV(FILTER(R1647:R5715, AA1647:AA5715 =""Neighbor"")), """")"),0.35290219138057044)</f>
        <v>0.3529021914</v>
      </c>
    </row>
    <row r="1648">
      <c r="A1648" s="2" t="s">
        <v>28</v>
      </c>
      <c r="B1648" s="2" t="s">
        <v>6431</v>
      </c>
      <c r="C1648" s="2" t="s">
        <v>6731</v>
      </c>
      <c r="D1648" s="2" t="s">
        <v>6744</v>
      </c>
      <c r="E1648" s="2" t="s">
        <v>6745</v>
      </c>
      <c r="F1648" s="2">
        <v>68.0</v>
      </c>
      <c r="G1648" s="2">
        <v>369.0</v>
      </c>
      <c r="H1648" s="2" t="b">
        <v>1</v>
      </c>
      <c r="I1648" s="2">
        <v>-1.0</v>
      </c>
      <c r="J1648" s="2" t="b">
        <v>0</v>
      </c>
      <c r="K1648" s="2" t="b">
        <v>0</v>
      </c>
      <c r="L1648" s="2" t="b">
        <v>0</v>
      </c>
      <c r="M1648" s="2" t="b">
        <v>0</v>
      </c>
      <c r="N1648" s="2" t="s">
        <v>33</v>
      </c>
      <c r="O1648" s="2">
        <v>37.0</v>
      </c>
      <c r="P1648" s="2">
        <v>0.0</v>
      </c>
      <c r="Q1648" s="2">
        <v>28.0</v>
      </c>
      <c r="R1648" s="2">
        <v>0.0</v>
      </c>
      <c r="S1648" s="3" t="s">
        <v>6746</v>
      </c>
      <c r="T1648" s="2" t="s">
        <v>6747</v>
      </c>
      <c r="Y1648" s="4" t="str">
        <f>IFERROR(__xludf.DUMMYFUNCTION("""COMPUTED_VALUE"""),"6.6854827")</f>
        <v>6.6854827</v>
      </c>
      <c r="Z1648" s="4" t="str">
        <f>IFERROR(__xludf.DUMMYFUNCTION("""COMPUTED_VALUE"""),"4.0614811")</f>
        <v>4.0614811</v>
      </c>
      <c r="AA1648" s="4" t="str">
        <f t="shared" si="1"/>
        <v>Not Neighbor</v>
      </c>
      <c r="AC1648" s="4">
        <f>IFERROR(__xludf.DUMMYFUNCTION("IFERROR(ABS(O1648-AVERAGE(FILTER(O1648:O5716,AA1648:AA5716=""Neighbor""))) / STDEV(FILTER(O1648:O5716, AA1648:AA5716 =""Neighbor"")), """")"),0.5328369810895298)</f>
        <v>0.5328369811</v>
      </c>
      <c r="AD1648" s="4">
        <f>IFERROR(__xludf.DUMMYFUNCTION("IFERROR(ABS(P1648-AVERAGE(FILTER(O1648:P5716,AA1648:AA5716=""Neighbor""))) / STDEV(FILTER(P1648:P5716, AA1648:AA5716 =""Neighbor"")), """")"),1.670924649001161)</f>
        <v>1.670924649</v>
      </c>
      <c r="AE1648" s="2">
        <f>IFERROR(__xludf.DUMMYFUNCTION("IFERROR(ABS(Q1648-AVERAGE(FILTER(Q1648:Q5716,AA1648:AA5716=""Neighbor""))) / STDEV(FILTER(Q1648:Q5716, AA1648:AA5716 =""Neighbor"")), """")"),0.131972397126563)</f>
        <v>0.1319723971</v>
      </c>
      <c r="AF1648" s="2">
        <f>IFERROR(__xludf.DUMMYFUNCTION("IFERROR(ABS(R1648-AVERAGE(FILTER(R1648:R5716,AA1648:AA5716=""Neighbor""))) / STDEV(FILTER(R1648:R5716, AA1648:AA5716 =""Neighbor"")), """")"),0.35290219138057044)</f>
        <v>0.3529021914</v>
      </c>
    </row>
    <row r="1649">
      <c r="A1649" s="2" t="s">
        <v>28</v>
      </c>
      <c r="B1649" s="2" t="s">
        <v>6431</v>
      </c>
      <c r="C1649" s="2" t="s">
        <v>6731</v>
      </c>
      <c r="D1649" s="2" t="s">
        <v>6748</v>
      </c>
      <c r="E1649" s="2" t="s">
        <v>6749</v>
      </c>
      <c r="F1649" s="2">
        <v>137.0</v>
      </c>
      <c r="G1649" s="2">
        <v>401.0</v>
      </c>
      <c r="H1649" s="2" t="b">
        <v>1</v>
      </c>
      <c r="I1649" s="2">
        <v>-1.0</v>
      </c>
      <c r="J1649" s="2" t="b">
        <v>0</v>
      </c>
      <c r="K1649" s="2" t="b">
        <v>1</v>
      </c>
      <c r="L1649" s="2" t="b">
        <v>0</v>
      </c>
      <c r="M1649" s="2" t="b">
        <v>0</v>
      </c>
      <c r="N1649" s="2" t="s">
        <v>33</v>
      </c>
      <c r="O1649" s="2">
        <v>95.0</v>
      </c>
      <c r="P1649" s="2">
        <v>7.0</v>
      </c>
      <c r="Q1649" s="2">
        <v>23.0</v>
      </c>
      <c r="R1649" s="2">
        <v>0.0</v>
      </c>
      <c r="S1649" s="3" t="s">
        <v>6750</v>
      </c>
      <c r="T1649" s="2" t="s">
        <v>6751</v>
      </c>
      <c r="Y1649" s="4" t="str">
        <f>IFERROR(__xludf.DUMMYFUNCTION("""COMPUTED_VALUE"""),"6.8248815")</f>
        <v>6.8248815</v>
      </c>
      <c r="Z1649" s="4" t="str">
        <f>IFERROR(__xludf.DUMMYFUNCTION("""COMPUTED_VALUE"""),"3.9191404")</f>
        <v>3.9191404</v>
      </c>
      <c r="AA1649" s="4" t="str">
        <f t="shared" si="1"/>
        <v>Not Neighbor</v>
      </c>
      <c r="AC1649" s="4">
        <f>IFERROR(__xludf.DUMMYFUNCTION("IFERROR(ABS(O1649-AVERAGE(FILTER(O1649:O5717,AA1649:AA5717=""Neighbor""))) / STDEV(FILTER(O1649:O5717, AA1649:AA5717 =""Neighbor"")), """")"),0.9791300409811649)</f>
        <v>0.979130041</v>
      </c>
      <c r="AD1649" s="4">
        <f>IFERROR(__xludf.DUMMYFUNCTION("IFERROR(ABS(P1649-AVERAGE(FILTER(O1649:P5717,AA1649:AA5717=""Neighbor""))) / STDEV(FILTER(P1649:P5717, AA1649:AA5717 =""Neighbor"")), """")"),1.3521346520231343)</f>
        <v>1.352134652</v>
      </c>
      <c r="AE1649" s="2">
        <f>IFERROR(__xludf.DUMMYFUNCTION("IFERROR(ABS(Q1649-AVERAGE(FILTER(Q1649:Q5717,AA1649:AA5717=""Neighbor""))) / STDEV(FILTER(Q1649:Q5717, AA1649:AA5717 =""Neighbor"")), """")"),0.061496013453945716)</f>
        <v>0.06149601345</v>
      </c>
      <c r="AF1649" s="2">
        <f>IFERROR(__xludf.DUMMYFUNCTION("IFERROR(ABS(R1649-AVERAGE(FILTER(R1649:R5717,AA1649:AA5717=""Neighbor""))) / STDEV(FILTER(R1649:R5717, AA1649:AA5717 =""Neighbor"")), """")"),0.35290219138057044)</f>
        <v>0.3529021914</v>
      </c>
    </row>
    <row r="1650">
      <c r="A1650" s="2" t="s">
        <v>28</v>
      </c>
      <c r="B1650" s="2" t="s">
        <v>6431</v>
      </c>
      <c r="C1650" s="2" t="s">
        <v>6731</v>
      </c>
      <c r="D1650" s="2" t="s">
        <v>6752</v>
      </c>
      <c r="E1650" s="2" t="s">
        <v>6753</v>
      </c>
      <c r="F1650" s="2">
        <v>125.0</v>
      </c>
      <c r="G1650" s="2">
        <v>433.0</v>
      </c>
      <c r="H1650" s="2" t="b">
        <v>1</v>
      </c>
      <c r="I1650" s="2">
        <v>-1.0</v>
      </c>
      <c r="J1650" s="2" t="b">
        <v>0</v>
      </c>
      <c r="K1650" s="2" t="b">
        <v>0</v>
      </c>
      <c r="L1650" s="2" t="b">
        <v>0</v>
      </c>
      <c r="M1650" s="2" t="b">
        <v>0</v>
      </c>
      <c r="N1650" s="2" t="s">
        <v>33</v>
      </c>
      <c r="O1650" s="2">
        <v>62.0</v>
      </c>
      <c r="P1650" s="2">
        <v>10.0</v>
      </c>
      <c r="Q1650" s="2">
        <v>46.0</v>
      </c>
      <c r="R1650" s="2">
        <v>0.0</v>
      </c>
      <c r="S1650" s="3" t="s">
        <v>6754</v>
      </c>
      <c r="T1650" s="2" t="s">
        <v>6755</v>
      </c>
      <c r="Y1650" s="4" t="str">
        <f>IFERROR(__xludf.DUMMYFUNCTION("""COMPUTED_VALUE"""),"6.7458227")</f>
        <v>6.7458227</v>
      </c>
      <c r="Z1650" s="4" t="str">
        <f>IFERROR(__xludf.DUMMYFUNCTION("""COMPUTED_VALUE"""),"4.0037552")</f>
        <v>4.0037552</v>
      </c>
      <c r="AA1650" s="4" t="str">
        <f t="shared" si="1"/>
        <v>Not Neighbor</v>
      </c>
      <c r="AC1650" s="4">
        <f>IFERROR(__xludf.DUMMYFUNCTION("IFERROR(ABS(O1650-AVERAGE(FILTER(O1650:O5718,AA1650:AA5718=""Neighbor""))) / STDEV(FILTER(O1650:O5718, AA1650:AA5718 =""Neighbor"")), """")"),0.1188729422168041)</f>
        <v>0.1188729422</v>
      </c>
      <c r="AD1650" s="4">
        <f>IFERROR(__xludf.DUMMYFUNCTION("IFERROR(ABS(P1650-AVERAGE(FILTER(O1650:P5718,AA1650:AA5718=""Neighbor""))) / STDEV(FILTER(P1650:P5718, AA1650:AA5718 =""Neighbor"")), """")"),1.21551036760398)</f>
        <v>1.215510368</v>
      </c>
      <c r="AE1650" s="2">
        <f>IFERROR(__xludf.DUMMYFUNCTION("IFERROR(ABS(Q1650-AVERAGE(FILTER(Q1650:Q5718,AA1650:AA5718=""Neighbor""))) / STDEV(FILTER(Q1650:Q5718, AA1650:AA5718 =""Neighbor"")), """")"),0.8284586752163944)</f>
        <v>0.8284586752</v>
      </c>
      <c r="AF1650" s="2">
        <f>IFERROR(__xludf.DUMMYFUNCTION("IFERROR(ABS(R1650-AVERAGE(FILTER(R1650:R5718,AA1650:AA5718=""Neighbor""))) / STDEV(FILTER(R1650:R5718, AA1650:AA5718 =""Neighbor"")), """")"),0.35290219138057044)</f>
        <v>0.3529021914</v>
      </c>
    </row>
    <row r="1651">
      <c r="A1651" s="2" t="s">
        <v>28</v>
      </c>
      <c r="B1651" s="2" t="s">
        <v>6431</v>
      </c>
      <c r="C1651" s="2" t="s">
        <v>6731</v>
      </c>
      <c r="D1651" s="2" t="s">
        <v>6756</v>
      </c>
      <c r="E1651" s="2" t="s">
        <v>6757</v>
      </c>
      <c r="F1651" s="2">
        <v>131.0</v>
      </c>
      <c r="G1651" s="2">
        <v>477.0</v>
      </c>
      <c r="H1651" s="2" t="b">
        <v>1</v>
      </c>
      <c r="I1651" s="2">
        <v>-1.0</v>
      </c>
      <c r="J1651" s="2" t="b">
        <v>0</v>
      </c>
      <c r="K1651" s="2" t="b">
        <v>0</v>
      </c>
      <c r="L1651" s="2" t="b">
        <v>0</v>
      </c>
      <c r="M1651" s="2" t="b">
        <v>0</v>
      </c>
      <c r="N1651" s="2" t="s">
        <v>33</v>
      </c>
      <c r="O1651" s="2">
        <v>86.0</v>
      </c>
      <c r="P1651" s="2">
        <v>9.0</v>
      </c>
      <c r="Q1651" s="2">
        <v>24.0</v>
      </c>
      <c r="R1651" s="2">
        <v>1.0</v>
      </c>
      <c r="S1651" s="3" t="s">
        <v>6758</v>
      </c>
      <c r="T1651" s="2" t="s">
        <v>6759</v>
      </c>
      <c r="Y1651" s="4" t="str">
        <f>IFERROR(__xludf.DUMMYFUNCTION("""COMPUTED_VALUE"""),"6.7357256")</f>
        <v>6.7357256</v>
      </c>
      <c r="Z1651" s="4" t="str">
        <f>IFERROR(__xludf.DUMMYFUNCTION("""COMPUTED_VALUE"""),"3.9841965")</f>
        <v>3.9841965</v>
      </c>
      <c r="AA1651" s="4" t="str">
        <f t="shared" si="1"/>
        <v>Not Neighbor</v>
      </c>
      <c r="AC1651" s="4">
        <f>IFERROR(__xludf.DUMMYFUNCTION("IFERROR(ABS(O1651-AVERAGE(FILTER(O1651:O5719,AA1651:AA5719=""Neighbor""))) / STDEV(FILTER(O1651:O5719, AA1651:AA5719 =""Neighbor"")), """")"),0.7445144685908847)</f>
        <v>0.7445144686</v>
      </c>
      <c r="AD1651" s="4">
        <f>IFERROR(__xludf.DUMMYFUNCTION("IFERROR(ABS(P1651-AVERAGE(FILTER(O1651:P5719,AA1651:AA5719=""Neighbor""))) / STDEV(FILTER(P1651:P5719, AA1651:AA5719 =""Neighbor"")), """")"),1.261051795743698)</f>
        <v>1.261051796</v>
      </c>
      <c r="AE1651" s="2">
        <f>IFERROR(__xludf.DUMMYFUNCTION("IFERROR(ABS(Q1651-AVERAGE(FILTER(Q1651:Q5719,AA1651:AA5719=""Neighbor""))) / STDEV(FILTER(Q1651:Q5719, AA1651:AA5719 =""Neighbor"")), """")"),0.022802331337843974)</f>
        <v>0.02280233134</v>
      </c>
      <c r="AF1651" s="2">
        <f>IFERROR(__xludf.DUMMYFUNCTION("IFERROR(ABS(R1651-AVERAGE(FILTER(R1651:R5719,AA1651:AA5719=""Neighbor""))) / STDEV(FILTER(R1651:R5719, AA1651:AA5719 =""Neighbor"")), """")"),0.8246266694212655)</f>
        <v>0.8246266694</v>
      </c>
    </row>
    <row r="1652">
      <c r="A1652" s="2" t="s">
        <v>28</v>
      </c>
      <c r="B1652" s="2" t="s">
        <v>6431</v>
      </c>
      <c r="C1652" s="2" t="s">
        <v>6731</v>
      </c>
      <c r="D1652" s="2" t="s">
        <v>6760</v>
      </c>
      <c r="E1652" s="2" t="s">
        <v>6761</v>
      </c>
      <c r="F1652" s="2">
        <v>73.0</v>
      </c>
      <c r="G1652" s="2">
        <v>382.0</v>
      </c>
      <c r="H1652" s="2" t="b">
        <v>1</v>
      </c>
      <c r="I1652" s="2">
        <v>-1.0</v>
      </c>
      <c r="J1652" s="2" t="b">
        <v>0</v>
      </c>
      <c r="K1652" s="2" t="b">
        <v>0</v>
      </c>
      <c r="L1652" s="2" t="b">
        <v>0</v>
      </c>
      <c r="M1652" s="2" t="b">
        <v>0</v>
      </c>
      <c r="N1652" s="2" t="s">
        <v>33</v>
      </c>
      <c r="O1652" s="2">
        <v>48.0</v>
      </c>
      <c r="P1652" s="2">
        <v>4.0</v>
      </c>
      <c r="Q1652" s="2">
        <v>17.0</v>
      </c>
      <c r="R1652" s="2">
        <v>0.0</v>
      </c>
      <c r="S1652" s="3" t="s">
        <v>6762</v>
      </c>
      <c r="T1652" s="2" t="s">
        <v>6763</v>
      </c>
      <c r="Y1652" s="4" t="str">
        <f>IFERROR(__xludf.DUMMYFUNCTION("""COMPUTED_VALUE"""),"6.7489511")</f>
        <v>6.7489511</v>
      </c>
      <c r="Z1652" s="4" t="str">
        <f>IFERROR(__xludf.DUMMYFUNCTION("""COMPUTED_VALUE"""),"3.9811462")</f>
        <v>3.9811462</v>
      </c>
      <c r="AA1652" s="4" t="str">
        <f t="shared" si="1"/>
        <v>Not Neighbor</v>
      </c>
      <c r="AC1652" s="4">
        <f>IFERROR(__xludf.DUMMYFUNCTION("IFERROR(ABS(O1652-AVERAGE(FILTER(O1652:O5720,AA1652:AA5720=""Neighbor""))) / STDEV(FILTER(O1652:O5720, AA1652:AA5720 =""Neighbor"")), """")"),0.24608461483474292)</f>
        <v>0.2460846148</v>
      </c>
      <c r="AD1652" s="4">
        <f>IFERROR(__xludf.DUMMYFUNCTION("IFERROR(ABS(P1652-AVERAGE(FILTER(O1652:P5720,AA1652:AA5720=""Neighbor""))) / STDEV(FILTER(P1652:P5720, AA1652:AA5720 =""Neighbor"")), """")"),1.4887589364422886)</f>
        <v>1.488758936</v>
      </c>
      <c r="AE1652" s="2">
        <f>IFERROR(__xludf.DUMMYFUNCTION("IFERROR(ABS(Q1652-AVERAGE(FILTER(Q1652:Q5720,AA1652:AA5720=""Neighbor""))) / STDEV(FILTER(Q1652:Q5720, AA1652:AA5720 =""Neighbor"")), """")"),0.29365810615055615)</f>
        <v>0.2936581062</v>
      </c>
      <c r="AF1652" s="2">
        <f>IFERROR(__xludf.DUMMYFUNCTION("IFERROR(ABS(R1652-AVERAGE(FILTER(R1652:R5720,AA1652:AA5720=""Neighbor""))) / STDEV(FILTER(R1652:R5720, AA1652:AA5720 =""Neighbor"")), """")"),0.35290219138057044)</f>
        <v>0.3529021914</v>
      </c>
    </row>
    <row r="1653">
      <c r="A1653" s="2" t="s">
        <v>28</v>
      </c>
      <c r="B1653" s="2" t="s">
        <v>6431</v>
      </c>
      <c r="C1653" s="2" t="s">
        <v>6731</v>
      </c>
      <c r="D1653" s="2" t="s">
        <v>6764</v>
      </c>
      <c r="E1653" s="2" t="s">
        <v>6765</v>
      </c>
      <c r="F1653" s="2">
        <v>127.0</v>
      </c>
      <c r="G1653" s="2">
        <v>326.0</v>
      </c>
      <c r="H1653" s="2" t="b">
        <v>1</v>
      </c>
      <c r="I1653" s="2">
        <v>-1.0</v>
      </c>
      <c r="J1653" s="2" t="b">
        <v>0</v>
      </c>
      <c r="K1653" s="2" t="b">
        <v>0</v>
      </c>
      <c r="L1653" s="2" t="b">
        <v>0</v>
      </c>
      <c r="M1653" s="2" t="b">
        <v>0</v>
      </c>
      <c r="N1653" s="2" t="s">
        <v>33</v>
      </c>
      <c r="O1653" s="2">
        <v>81.0</v>
      </c>
      <c r="P1653" s="2">
        <v>7.0</v>
      </c>
      <c r="Q1653" s="2">
        <v>36.0</v>
      </c>
      <c r="R1653" s="2">
        <v>0.0</v>
      </c>
      <c r="S1653" s="3" t="s">
        <v>6766</v>
      </c>
      <c r="T1653" s="2" t="s">
        <v>6767</v>
      </c>
      <c r="Y1653" s="4" t="str">
        <f>IFERROR(__xludf.DUMMYFUNCTION("""COMPUTED_VALUE"""),"6.8248815")</f>
        <v>6.8248815</v>
      </c>
      <c r="Z1653" s="4" t="str">
        <f>IFERROR(__xludf.DUMMYFUNCTION("""COMPUTED_VALUE"""),"3.9191404")</f>
        <v>3.9191404</v>
      </c>
      <c r="AA1653" s="4" t="str">
        <f t="shared" si="1"/>
        <v>Not Neighbor</v>
      </c>
      <c r="AC1653" s="4">
        <f>IFERROR(__xludf.DUMMYFUNCTION("IFERROR(ABS(O1653-AVERAGE(FILTER(O1653:O5721,AA1653:AA5721=""Neighbor""))) / STDEV(FILTER(O1653:O5721, AA1653:AA5721 =""Neighbor"")), """")"),0.6141724839296179)</f>
        <v>0.6141724839</v>
      </c>
      <c r="AD1653" s="4">
        <f>IFERROR(__xludf.DUMMYFUNCTION("IFERROR(ABS(P1653-AVERAGE(FILTER(O1653:P5721,AA1653:AA5721=""Neighbor""))) / STDEV(FILTER(P1653:P5721, AA1653:AA5721 =""Neighbor"")), """")"),1.3521346520231343)</f>
        <v>1.352134652</v>
      </c>
      <c r="AE1653" s="2">
        <f>IFERROR(__xludf.DUMMYFUNCTION("IFERROR(ABS(Q1653-AVERAGE(FILTER(Q1653:Q5721,AA1653:AA5721=""Neighbor""))) / STDEV(FILTER(Q1653:Q5721, AA1653:AA5721 =""Neighbor"")), """")"),0.4415218540553769)</f>
        <v>0.4415218541</v>
      </c>
      <c r="AF1653" s="2">
        <f>IFERROR(__xludf.DUMMYFUNCTION("IFERROR(ABS(R1653-AVERAGE(FILTER(R1653:R5721,AA1653:AA5721=""Neighbor""))) / STDEV(FILTER(R1653:R5721, AA1653:AA5721 =""Neighbor"")), """")"),0.35290219138057044)</f>
        <v>0.3529021914</v>
      </c>
    </row>
    <row r="1654">
      <c r="A1654" s="2" t="s">
        <v>28</v>
      </c>
      <c r="B1654" s="2" t="s">
        <v>6431</v>
      </c>
      <c r="C1654" s="2" t="s">
        <v>6731</v>
      </c>
      <c r="D1654" s="2" t="s">
        <v>6768</v>
      </c>
      <c r="E1654" s="2" t="s">
        <v>6769</v>
      </c>
      <c r="F1654" s="2">
        <v>30.0</v>
      </c>
      <c r="G1654" s="2">
        <v>64.0</v>
      </c>
      <c r="H1654" s="2" t="b">
        <v>1</v>
      </c>
      <c r="I1654" s="2">
        <v>-1.0</v>
      </c>
      <c r="J1654" s="2" t="b">
        <v>0</v>
      </c>
      <c r="K1654" s="2" t="b">
        <v>1</v>
      </c>
      <c r="L1654" s="2" t="b">
        <v>0</v>
      </c>
      <c r="M1654" s="2" t="b">
        <v>0</v>
      </c>
      <c r="N1654" s="2" t="s">
        <v>33</v>
      </c>
      <c r="O1654" s="2">
        <v>26.0</v>
      </c>
      <c r="P1654" s="2">
        <v>0.0</v>
      </c>
      <c r="Q1654" s="2">
        <v>3.0</v>
      </c>
      <c r="R1654" s="2">
        <v>0.0</v>
      </c>
      <c r="S1654" s="3" t="s">
        <v>6770</v>
      </c>
      <c r="T1654" s="2" t="s">
        <v>6771</v>
      </c>
      <c r="Y1654" s="4" t="str">
        <f>IFERROR(__xludf.DUMMYFUNCTION("""COMPUTED_VALUE"""),"6.6854827")</f>
        <v>6.6854827</v>
      </c>
      <c r="Z1654" s="4" t="str">
        <f>IFERROR(__xludf.DUMMYFUNCTION("""COMPUTED_VALUE"""),"4.0614811")</f>
        <v>4.0614811</v>
      </c>
      <c r="AA1654" s="4" t="str">
        <f t="shared" si="1"/>
        <v>Not Neighbor</v>
      </c>
      <c r="AC1654" s="4">
        <f>IFERROR(__xludf.DUMMYFUNCTION("IFERROR(ABS(O1654-AVERAGE(FILTER(O1654:O5722,AA1654:AA5722=""Neighbor""))) / STDEV(FILTER(O1654:O5722, AA1654:AA5722 =""Neighbor"")), """")"),0.8195893473443168)</f>
        <v>0.8195893473</v>
      </c>
      <c r="AD1654" s="4">
        <f>IFERROR(__xludf.DUMMYFUNCTION("IFERROR(ABS(P1654-AVERAGE(FILTER(O1654:P5722,AA1654:AA5722=""Neighbor""))) / STDEV(FILTER(P1654:P5722, AA1654:AA5722 =""Neighbor"")), """")"),1.670924649001161)</f>
        <v>1.670924649</v>
      </c>
      <c r="AE1654" s="2">
        <f>IFERROR(__xludf.DUMMYFUNCTION("IFERROR(ABS(Q1654-AVERAGE(FILTER(Q1654:Q5722,AA1654:AA5722=""Neighbor""))) / STDEV(FILTER(Q1654:Q5722, AA1654:AA5722 =""Neighbor"")), """")"),0.8353696557759805)</f>
        <v>0.8353696558</v>
      </c>
      <c r="AF1654" s="2">
        <f>IFERROR(__xludf.DUMMYFUNCTION("IFERROR(ABS(R1654-AVERAGE(FILTER(R1654:R5722,AA1654:AA5722=""Neighbor""))) / STDEV(FILTER(R1654:R5722, AA1654:AA5722 =""Neighbor"")), """")"),0.35290219138057044)</f>
        <v>0.3529021914</v>
      </c>
    </row>
    <row r="1655">
      <c r="A1655" s="2" t="s">
        <v>28</v>
      </c>
      <c r="B1655" s="2" t="s">
        <v>6772</v>
      </c>
      <c r="C1655" s="2" t="s">
        <v>6773</v>
      </c>
      <c r="D1655" s="2" t="s">
        <v>6774</v>
      </c>
      <c r="E1655" s="2" t="s">
        <v>6775</v>
      </c>
      <c r="F1655" s="2">
        <v>117.0</v>
      </c>
      <c r="G1655" s="2">
        <v>750.0</v>
      </c>
      <c r="H1655" s="2" t="b">
        <v>1</v>
      </c>
      <c r="I1655" s="2">
        <v>-1.0</v>
      </c>
      <c r="J1655" s="2" t="b">
        <v>0</v>
      </c>
      <c r="K1655" s="2" t="b">
        <v>0</v>
      </c>
      <c r="L1655" s="2" t="b">
        <v>0</v>
      </c>
      <c r="M1655" s="2" t="b">
        <v>0</v>
      </c>
      <c r="N1655" s="2" t="s">
        <v>33</v>
      </c>
      <c r="O1655" s="2">
        <v>0.0</v>
      </c>
      <c r="P1655" s="2">
        <v>0.0</v>
      </c>
      <c r="Q1655" s="2">
        <v>0.0</v>
      </c>
      <c r="R1655" s="2">
        <v>0.0</v>
      </c>
      <c r="S1655" s="3" t="s">
        <v>6776</v>
      </c>
      <c r="T1655" s="2" t="s">
        <v>6777</v>
      </c>
      <c r="Y1655" s="4" t="str">
        <f>IFERROR(__xludf.DUMMYFUNCTION("""COMPUTED_VALUE"""),"6.8970751")</f>
        <v>6.8970751</v>
      </c>
      <c r="Z1655" s="4" t="str">
        <f>IFERROR(__xludf.DUMMYFUNCTION("""COMPUTED_VALUE"""),"3.7147901")</f>
        <v>3.7147901</v>
      </c>
      <c r="AA1655" s="4" t="str">
        <f t="shared" si="1"/>
        <v>Not Neighbor</v>
      </c>
      <c r="AC1655" s="4">
        <f>IFERROR(__xludf.DUMMYFUNCTION("IFERROR(ABS(O1655-AVERAGE(FILTER(O1655:O5723,AA1655:AA5723=""Neighbor""))) / STDEV(FILTER(O1655:O5723, AA1655:AA5723 =""Neighbor"")), """")"),1.4973676675829042)</f>
        <v>1.497367668</v>
      </c>
      <c r="AD1655" s="4">
        <f>IFERROR(__xludf.DUMMYFUNCTION("IFERROR(ABS(P1655-AVERAGE(FILTER(O1655:P5723,AA1655:AA5723=""Neighbor""))) / STDEV(FILTER(P1655:P5723, AA1655:AA5723 =""Neighbor"")), """")"),1.670924649001161)</f>
        <v>1.670924649</v>
      </c>
      <c r="AE1655" s="2">
        <f>IFERROR(__xludf.DUMMYFUNCTION("IFERROR(ABS(Q1655-AVERAGE(FILTER(Q1655:Q5723,AA1655:AA5723=""Neighbor""))) / STDEV(FILTER(Q1655:Q5723, AA1655:AA5723 =""Neighbor"")), """")"),0.9514507021242858)</f>
        <v>0.9514507021</v>
      </c>
      <c r="AF1655" s="2">
        <f>IFERROR(__xludf.DUMMYFUNCTION("IFERROR(ABS(R1655-AVERAGE(FILTER(R1655:R5723,AA1655:AA5723=""Neighbor""))) / STDEV(FILTER(R1655:R5723, AA1655:AA5723 =""Neighbor"")), """")"),0.35290219138057044)</f>
        <v>0.3529021914</v>
      </c>
    </row>
    <row r="1656">
      <c r="A1656" s="2" t="s">
        <v>28</v>
      </c>
      <c r="B1656" s="2" t="s">
        <v>6772</v>
      </c>
      <c r="C1656" s="2" t="s">
        <v>6773</v>
      </c>
      <c r="D1656" s="2" t="s">
        <v>6778</v>
      </c>
      <c r="E1656" s="2" t="s">
        <v>6779</v>
      </c>
      <c r="F1656" s="2">
        <v>135.0</v>
      </c>
      <c r="G1656" s="2">
        <v>750.0</v>
      </c>
      <c r="H1656" s="2" t="b">
        <v>1</v>
      </c>
      <c r="I1656" s="2">
        <v>-1.0</v>
      </c>
      <c r="J1656" s="2" t="b">
        <v>0</v>
      </c>
      <c r="K1656" s="2" t="b">
        <v>0</v>
      </c>
      <c r="L1656" s="2" t="b">
        <v>0</v>
      </c>
      <c r="M1656" s="2" t="b">
        <v>0</v>
      </c>
      <c r="N1656" s="2" t="s">
        <v>33</v>
      </c>
      <c r="O1656" s="2">
        <v>48.0</v>
      </c>
      <c r="P1656" s="2">
        <v>34.0</v>
      </c>
      <c r="Q1656" s="2">
        <v>41.0</v>
      </c>
      <c r="R1656" s="2">
        <v>1.0</v>
      </c>
      <c r="S1656" s="3" t="s">
        <v>6780</v>
      </c>
      <c r="T1656" s="2" t="s">
        <v>6781</v>
      </c>
      <c r="Y1656" s="4" t="str">
        <f>IFERROR(__xludf.DUMMYFUNCTION("""COMPUTED_VALUE"""),"6.8650212")</f>
        <v>6.8650212</v>
      </c>
      <c r="Z1656" s="4" t="str">
        <f>IFERROR(__xludf.DUMMYFUNCTION("""COMPUTED_VALUE"""),"3.7143181")</f>
        <v>3.7143181</v>
      </c>
      <c r="AA1656" s="4" t="str">
        <f t="shared" si="1"/>
        <v>Neighbor</v>
      </c>
      <c r="AC1656" s="4">
        <f>IFERROR(__xludf.DUMMYFUNCTION("IFERROR(ABS(O1656-AVERAGE(FILTER(O1656:O5724,AA1656:AA5724=""Neighbor""))) / STDEV(FILTER(O1656:O5724, AA1656:AA5724 =""Neighbor"")), """")"),0.24608461483474292)</f>
        <v>0.2460846148</v>
      </c>
      <c r="AD1656" s="4">
        <f>IFERROR(__xludf.DUMMYFUNCTION("IFERROR(ABS(P1656-AVERAGE(FILTER(O1656:P5724,AA1656:AA5724=""Neighbor""))) / STDEV(FILTER(P1656:P5724, AA1656:AA5724 =""Neighbor"")), """")"),0.12251609225074526)</f>
        <v>0.1225160923</v>
      </c>
      <c r="AE1656" s="2">
        <f>IFERROR(__xludf.DUMMYFUNCTION("IFERROR(ABS(Q1656-AVERAGE(FILTER(Q1656:Q5724,AA1656:AA5724=""Neighbor""))) / STDEV(FILTER(Q1656:Q5724, AA1656:AA5724 =""Neighbor"")), """")"),0.6349902646358857)</f>
        <v>0.6349902646</v>
      </c>
      <c r="AF1656" s="2">
        <f>IFERROR(__xludf.DUMMYFUNCTION("IFERROR(ABS(R1656-AVERAGE(FILTER(R1656:R5724,AA1656:AA5724=""Neighbor""))) / STDEV(FILTER(R1656:R5724, AA1656:AA5724 =""Neighbor"")), """")"),0.8246266694212655)</f>
        <v>0.8246266694</v>
      </c>
    </row>
    <row r="1657">
      <c r="A1657" s="2" t="s">
        <v>28</v>
      </c>
      <c r="B1657" s="2" t="s">
        <v>6772</v>
      </c>
      <c r="C1657" s="2" t="s">
        <v>6773</v>
      </c>
      <c r="D1657" s="2" t="s">
        <v>6782</v>
      </c>
      <c r="E1657" s="2" t="s">
        <v>6783</v>
      </c>
      <c r="F1657" s="2">
        <v>207.0</v>
      </c>
      <c r="G1657" s="2">
        <v>813.0</v>
      </c>
      <c r="H1657" s="2" t="b">
        <v>1</v>
      </c>
      <c r="I1657" s="2">
        <v>-1.0</v>
      </c>
      <c r="J1657" s="2" t="b">
        <v>0</v>
      </c>
      <c r="K1657" s="2" t="b">
        <v>0</v>
      </c>
      <c r="L1657" s="2" t="b">
        <v>0</v>
      </c>
      <c r="M1657" s="2" t="b">
        <v>0</v>
      </c>
      <c r="N1657" s="2" t="s">
        <v>33</v>
      </c>
      <c r="O1657" s="2">
        <v>111.0</v>
      </c>
      <c r="P1657" s="2">
        <v>31.0</v>
      </c>
      <c r="Q1657" s="2">
        <v>55.0</v>
      </c>
      <c r="R1657" s="2">
        <v>0.0</v>
      </c>
      <c r="S1657" s="3" t="s">
        <v>6784</v>
      </c>
      <c r="T1657" s="2" t="s">
        <v>6785</v>
      </c>
      <c r="Y1657" s="4" t="str">
        <f>IFERROR(__xludf.DUMMYFUNCTION("""COMPUTED_VALUE"""),"6.8693632")</f>
        <v>6.8693632</v>
      </c>
      <c r="Z1657" s="4" t="str">
        <f>IFERROR(__xludf.DUMMYFUNCTION("""COMPUTED_VALUE"""),"3.7084624")</f>
        <v>3.7084624</v>
      </c>
      <c r="AA1657" s="4" t="str">
        <f t="shared" si="1"/>
        <v>Neighbor</v>
      </c>
      <c r="AC1657" s="4">
        <f>IFERROR(__xludf.DUMMYFUNCTION("IFERROR(ABS(O1657-AVERAGE(FILTER(O1657:O5725,AA1657:AA5725=""Neighbor""))) / STDEV(FILTER(O1657:O5725, AA1657:AA5725 =""Neighbor"")), """")"),1.3953133241069875)</f>
        <v>1.395313324</v>
      </c>
      <c r="AD1657" s="4">
        <f>IFERROR(__xludf.DUMMYFUNCTION("IFERROR(ABS(P1657-AVERAGE(FILTER(O1657:P5725,AA1657:AA5725=""Neighbor""))) / STDEV(FILTER(P1657:P5725, AA1657:AA5725 =""Neighbor"")), """")"),0.25889986182953145)</f>
        <v>0.2588998618</v>
      </c>
      <c r="AE1657" s="2">
        <f>IFERROR(__xludf.DUMMYFUNCTION("IFERROR(ABS(Q1657-AVERAGE(FILTER(Q1657:Q5725,AA1657:AA5725=""Neighbor""))) / STDEV(FILTER(Q1657:Q5725, AA1657:AA5725 =""Neighbor"")), """")"),1.1769884022652863)</f>
        <v>1.176988402</v>
      </c>
      <c r="AF1657" s="2">
        <f>IFERROR(__xludf.DUMMYFUNCTION("IFERROR(ABS(R1657-AVERAGE(FILTER(R1657:R5725,AA1657:AA5725=""Neighbor""))) / STDEV(FILTER(R1657:R5725, AA1657:AA5725 =""Neighbor"")), """")"),0.3520124151822799)</f>
        <v>0.3520124152</v>
      </c>
    </row>
    <row r="1658">
      <c r="A1658" s="2" t="s">
        <v>28</v>
      </c>
      <c r="B1658" s="2" t="s">
        <v>6772</v>
      </c>
      <c r="C1658" s="2" t="s">
        <v>6773</v>
      </c>
      <c r="D1658" s="2" t="s">
        <v>6786</v>
      </c>
      <c r="E1658" s="2" t="s">
        <v>6787</v>
      </c>
      <c r="F1658" s="2">
        <v>116.0</v>
      </c>
      <c r="G1658" s="2">
        <v>437.0</v>
      </c>
      <c r="H1658" s="2" t="b">
        <v>1</v>
      </c>
      <c r="I1658" s="2">
        <v>-1.0</v>
      </c>
      <c r="J1658" s="2" t="b">
        <v>0</v>
      </c>
      <c r="K1658" s="2" t="b">
        <v>0</v>
      </c>
      <c r="L1658" s="2" t="b">
        <v>0</v>
      </c>
      <c r="M1658" s="2" t="b">
        <v>0</v>
      </c>
      <c r="N1658" s="2" t="s">
        <v>33</v>
      </c>
      <c r="O1658" s="2">
        <v>79.0</v>
      </c>
      <c r="P1658" s="2">
        <v>7.0</v>
      </c>
      <c r="Q1658" s="2">
        <v>22.0</v>
      </c>
      <c r="R1658" s="2">
        <v>0.0</v>
      </c>
      <c r="S1658" s="3" t="s">
        <v>6788</v>
      </c>
      <c r="T1658" s="2" t="s">
        <v>6789</v>
      </c>
      <c r="Y1658" s="4" t="str">
        <f>IFERROR(__xludf.DUMMYFUNCTION("""COMPUTED_VALUE"""),"6.8650212")</f>
        <v>6.8650212</v>
      </c>
      <c r="Z1658" s="4" t="str">
        <f>IFERROR(__xludf.DUMMYFUNCTION("""COMPUTED_VALUE"""),"3.7143181")</f>
        <v>3.7143181</v>
      </c>
      <c r="AA1658" s="4" t="str">
        <f t="shared" si="1"/>
        <v>Neighbor</v>
      </c>
      <c r="AC1658" s="4">
        <f>IFERROR(__xludf.DUMMYFUNCTION("IFERROR(ABS(O1658-AVERAGE(FILTER(O1658:O5726,AA1658:AA5726=""Neighbor""))) / STDEV(FILTER(O1658:O5726, AA1658:AA5726 =""Neighbor"")), """")"),0.5632018535954146)</f>
        <v>0.5632018536</v>
      </c>
      <c r="AD1658" s="4">
        <f>IFERROR(__xludf.DUMMYFUNCTION("IFERROR(ABS(P1658-AVERAGE(FILTER(O1658:P5726,AA1658:AA5726=""Neighbor""))) / STDEV(FILTER(P1658:P5726, AA1658:AA5726 =""Neighbor"")), """")"),1.3497751895482337)</f>
        <v>1.34977519</v>
      </c>
      <c r="AE1658" s="2">
        <f>IFERROR(__xludf.DUMMYFUNCTION("IFERROR(ABS(Q1658-AVERAGE(FILTER(Q1658:Q5726,AA1658:AA5726=""Neighbor""))) / STDEV(FILTER(Q1658:Q5726, AA1658:AA5726 =""Neighbor"")), """")"),0.09834745952963708)</f>
        <v>0.09834745953</v>
      </c>
      <c r="AF1658" s="2">
        <f>IFERROR(__xludf.DUMMYFUNCTION("IFERROR(ABS(R1658-AVERAGE(FILTER(R1658:R5726,AA1658:AA5726=""Neighbor""))) / STDEV(FILTER(R1658:R5726, AA1658:AA5726 =""Neighbor"")), """")"),0.35221224149854874)</f>
        <v>0.3522122415</v>
      </c>
    </row>
    <row r="1659">
      <c r="A1659" s="2" t="s">
        <v>28</v>
      </c>
      <c r="B1659" s="2" t="s">
        <v>6772</v>
      </c>
      <c r="C1659" s="2" t="s">
        <v>6773</v>
      </c>
      <c r="D1659" s="2" t="s">
        <v>6790</v>
      </c>
      <c r="E1659" s="2" t="s">
        <v>6791</v>
      </c>
      <c r="F1659" s="2">
        <v>176.0</v>
      </c>
      <c r="G1659" s="2">
        <v>782.0</v>
      </c>
      <c r="H1659" s="2" t="b">
        <v>1</v>
      </c>
      <c r="I1659" s="2">
        <v>-1.0</v>
      </c>
      <c r="J1659" s="2" t="b">
        <v>0</v>
      </c>
      <c r="K1659" s="2" t="b">
        <v>0</v>
      </c>
      <c r="L1659" s="2" t="b">
        <v>0</v>
      </c>
      <c r="M1659" s="2" t="b">
        <v>0</v>
      </c>
      <c r="N1659" s="2" t="s">
        <v>33</v>
      </c>
      <c r="O1659" s="2">
        <v>81.0</v>
      </c>
      <c r="P1659" s="2">
        <v>22.0</v>
      </c>
      <c r="Q1659" s="2">
        <v>65.0</v>
      </c>
      <c r="R1659" s="2">
        <v>0.0</v>
      </c>
      <c r="S1659" s="3" t="s">
        <v>6792</v>
      </c>
      <c r="T1659" s="2" t="s">
        <v>6793</v>
      </c>
      <c r="Y1659" s="4" t="str">
        <f>IFERROR(__xludf.DUMMYFUNCTION("""COMPUTED_VALUE"""),"6.8650212")</f>
        <v>6.8650212</v>
      </c>
      <c r="Z1659" s="4" t="str">
        <f>IFERROR(__xludf.DUMMYFUNCTION("""COMPUTED_VALUE"""),"3.7143181")</f>
        <v>3.7143181</v>
      </c>
      <c r="AA1659" s="4" t="str">
        <f t="shared" si="1"/>
        <v>Neighbor</v>
      </c>
      <c r="AC1659" s="4">
        <f>IFERROR(__xludf.DUMMYFUNCTION("IFERROR(ABS(O1659-AVERAGE(FILTER(O1659:O5727,AA1659:AA5727=""Neighbor""))) / STDEV(FILTER(O1659:O5727, AA1659:AA5727 =""Neighbor"")), """")"),0.6156961575042686)</f>
        <v>0.6156961575</v>
      </c>
      <c r="AD1659" s="4">
        <f>IFERROR(__xludf.DUMMYFUNCTION("IFERROR(ABS(P1659-AVERAGE(FILTER(O1659:P5727,AA1659:AA5727=""Neighbor""))) / STDEV(FILTER(P1659:P5727, AA1659:AA5727 =""Neighbor"")), """")"),0.6663732576216004)</f>
        <v>0.6663732576</v>
      </c>
      <c r="AE1659" s="2">
        <f>IFERROR(__xludf.DUMMYFUNCTION("IFERROR(ABS(Q1659-AVERAGE(FILTER(Q1659:Q5727,AA1659:AA5727=""Neighbor""))) / STDEV(FILTER(Q1659:Q5727, AA1659:AA5727 =""Neighbor"")), """")"),1.5644208658045962)</f>
        <v>1.564420866</v>
      </c>
      <c r="AF1659" s="2">
        <f>IFERROR(__xludf.DUMMYFUNCTION("IFERROR(ABS(R1659-AVERAGE(FILTER(R1659:R5727,AA1659:AA5727=""Neighbor""))) / STDEV(FILTER(R1659:R5727, AA1659:AA5727 =""Neighbor"")), """")"),0.35241240855184425)</f>
        <v>0.3524124086</v>
      </c>
    </row>
    <row r="1660">
      <c r="A1660" s="2" t="s">
        <v>28</v>
      </c>
      <c r="B1660" s="2" t="s">
        <v>6772</v>
      </c>
      <c r="C1660" s="2" t="s">
        <v>6773</v>
      </c>
      <c r="D1660" s="2" t="s">
        <v>6794</v>
      </c>
      <c r="E1660" s="2" t="s">
        <v>6795</v>
      </c>
      <c r="F1660" s="2">
        <v>182.0</v>
      </c>
      <c r="G1660" s="2">
        <v>759.0</v>
      </c>
      <c r="H1660" s="2" t="b">
        <v>1</v>
      </c>
      <c r="I1660" s="2">
        <v>-1.0</v>
      </c>
      <c r="J1660" s="2" t="b">
        <v>0</v>
      </c>
      <c r="K1660" s="2" t="b">
        <v>0</v>
      </c>
      <c r="L1660" s="2" t="b">
        <v>0</v>
      </c>
      <c r="M1660" s="2" t="b">
        <v>0</v>
      </c>
      <c r="N1660" s="2" t="s">
        <v>33</v>
      </c>
      <c r="O1660" s="2">
        <v>81.0</v>
      </c>
      <c r="P1660" s="2">
        <v>22.0</v>
      </c>
      <c r="Q1660" s="2">
        <v>65.0</v>
      </c>
      <c r="R1660" s="2">
        <v>0.0</v>
      </c>
      <c r="S1660" s="3" t="s">
        <v>6796</v>
      </c>
      <c r="T1660" s="2" t="s">
        <v>6797</v>
      </c>
      <c r="Y1660" s="4" t="str">
        <f>IFERROR(__xludf.DUMMYFUNCTION("""COMPUTED_VALUE"""),"6.8693632")</f>
        <v>6.8693632</v>
      </c>
      <c r="Z1660" s="4" t="str">
        <f>IFERROR(__xludf.DUMMYFUNCTION("""COMPUTED_VALUE"""),"3.7084624")</f>
        <v>3.7084624</v>
      </c>
      <c r="AA1660" s="4" t="str">
        <f t="shared" si="1"/>
        <v>Neighbor</v>
      </c>
      <c r="AC1660" s="4">
        <f>IFERROR(__xludf.DUMMYFUNCTION("IFERROR(ABS(O1660-AVERAGE(FILTER(O1660:O5728,AA1660:AA5728=""Neighbor""))) / STDEV(FILTER(O1660:O5728, AA1660:AA5728 =""Neighbor"")), """")"),0.6161261156852351)</f>
        <v>0.6161261157</v>
      </c>
      <c r="AD1660" s="4">
        <f>IFERROR(__xludf.DUMMYFUNCTION("IFERROR(ABS(P1660-AVERAGE(FILTER(O1660:P5728,AA1660:AA5728=""Neighbor""))) / STDEV(FILTER(P1660:P5728, AA1660:AA5728 =""Neighbor"")), """")"),0.665376947635069)</f>
        <v>0.6653769476</v>
      </c>
      <c r="AE1660" s="2">
        <f>IFERROR(__xludf.DUMMYFUNCTION("IFERROR(ABS(Q1660-AVERAGE(FILTER(Q1660:Q5728,AA1660:AA5728=""Neighbor""))) / STDEV(FILTER(Q1660:Q5728, AA1660:AA5728 =""Neighbor"")), """")"),1.5671585527781529)</f>
        <v>1.567158553</v>
      </c>
      <c r="AF1660" s="2">
        <f>IFERROR(__xludf.DUMMYFUNCTION("IFERROR(ABS(R1660-AVERAGE(FILTER(R1660:R5728,AA1660:AA5728=""Neighbor""))) / STDEV(FILTER(R1660:R5728, AA1660:AA5728 =""Neighbor"")), """")"),0.35261291731173583)</f>
        <v>0.3526129173</v>
      </c>
    </row>
    <row r="1661">
      <c r="A1661" s="2" t="s">
        <v>28</v>
      </c>
      <c r="B1661" s="2" t="s">
        <v>6772</v>
      </c>
      <c r="C1661" s="2" t="s">
        <v>6773</v>
      </c>
      <c r="D1661" s="2" t="s">
        <v>6798</v>
      </c>
      <c r="E1661" s="2" t="s">
        <v>6799</v>
      </c>
      <c r="F1661" s="2">
        <v>158.0</v>
      </c>
      <c r="G1661" s="2">
        <v>564.0</v>
      </c>
      <c r="H1661" s="2" t="b">
        <v>1</v>
      </c>
      <c r="I1661" s="2">
        <v>-1.0</v>
      </c>
      <c r="J1661" s="2" t="b">
        <v>0</v>
      </c>
      <c r="K1661" s="2" t="b">
        <v>0</v>
      </c>
      <c r="L1661" s="2" t="b">
        <v>0</v>
      </c>
      <c r="M1661" s="2" t="b">
        <v>0</v>
      </c>
      <c r="N1661" s="2" t="s">
        <v>33</v>
      </c>
      <c r="O1661" s="2">
        <v>87.0</v>
      </c>
      <c r="P1661" s="2">
        <v>18.0</v>
      </c>
      <c r="Q1661" s="2">
        <v>39.0</v>
      </c>
      <c r="R1661" s="2">
        <v>0.0</v>
      </c>
      <c r="S1661" s="3" t="s">
        <v>6800</v>
      </c>
      <c r="T1661" s="2" t="s">
        <v>6801</v>
      </c>
      <c r="Y1661" s="4" t="str">
        <f>IFERROR(__xludf.DUMMYFUNCTION("""COMPUTED_VALUE"""),"6.8650212")</f>
        <v>6.8650212</v>
      </c>
      <c r="Z1661" s="4" t="str">
        <f>IFERROR(__xludf.DUMMYFUNCTION("""COMPUTED_VALUE"""),"3.7143181")</f>
        <v>3.7143181</v>
      </c>
      <c r="AA1661" s="4" t="str">
        <f t="shared" si="1"/>
        <v>Neighbor</v>
      </c>
      <c r="AC1661" s="4">
        <f>IFERROR(__xludf.DUMMYFUNCTION("IFERROR(ABS(O1661-AVERAGE(FILTER(O1661:O5729,AA1661:AA5729=""Neighbor""))) / STDEV(FILTER(O1661:O5729, AA1661:AA5729 =""Neighbor"")), """")"),0.772815857621833)</f>
        <v>0.7728158576</v>
      </c>
      <c r="AD1661" s="4">
        <f>IFERROR(__xludf.DUMMYFUNCTION("IFERROR(ABS(P1661-AVERAGE(FILTER(O1661:P5729,AA1661:AA5729=""Neighbor""))) / STDEV(FILTER(P1661:P5729, AA1661:AA5729 =""Neighbor"")), """")"),0.8462197023811944)</f>
        <v>0.8462197024</v>
      </c>
      <c r="AE1661" s="2">
        <f>IFERROR(__xludf.DUMMYFUNCTION("IFERROR(ABS(Q1661-AVERAGE(FILTER(Q1661:Q5729,AA1661:AA5729=""Neighbor""))) / STDEV(FILTER(Q1661:Q5729, AA1661:AA5729 =""Neighbor"")), """")"),0.5629997372744411)</f>
        <v>0.5629997373</v>
      </c>
      <c r="AF1661" s="2">
        <f>IFERROR(__xludf.DUMMYFUNCTION("IFERROR(ABS(R1661-AVERAGE(FILTER(R1661:R5729,AA1661:AA5729=""Neighbor""))) / STDEV(FILTER(R1661:R5729, AA1661:AA5729 =""Neighbor"")), """")"),0.35281376875165865)</f>
        <v>0.3528137688</v>
      </c>
    </row>
    <row r="1662">
      <c r="A1662" s="2" t="s">
        <v>28</v>
      </c>
      <c r="B1662" s="2" t="s">
        <v>6772</v>
      </c>
      <c r="C1662" s="2" t="s">
        <v>6773</v>
      </c>
      <c r="D1662" s="2" t="s">
        <v>6802</v>
      </c>
      <c r="E1662" s="2" t="s">
        <v>6803</v>
      </c>
      <c r="F1662" s="2">
        <v>225.0</v>
      </c>
      <c r="G1662" s="2">
        <v>752.0</v>
      </c>
      <c r="H1662" s="2" t="b">
        <v>1</v>
      </c>
      <c r="I1662" s="2">
        <v>-1.0</v>
      </c>
      <c r="J1662" s="2" t="b">
        <v>0</v>
      </c>
      <c r="K1662" s="2" t="b">
        <v>0</v>
      </c>
      <c r="L1662" s="2" t="b">
        <v>0</v>
      </c>
      <c r="M1662" s="2" t="b">
        <v>0</v>
      </c>
      <c r="N1662" s="2" t="s">
        <v>33</v>
      </c>
      <c r="O1662" s="2">
        <v>118.0</v>
      </c>
      <c r="P1662" s="2">
        <v>7.0</v>
      </c>
      <c r="Q1662" s="2">
        <v>92.0</v>
      </c>
      <c r="R1662" s="2">
        <v>0.0</v>
      </c>
      <c r="S1662" s="3" t="s">
        <v>6804</v>
      </c>
      <c r="T1662" s="2" t="s">
        <v>6805</v>
      </c>
      <c r="Y1662" s="4" t="str">
        <f>IFERROR(__xludf.DUMMYFUNCTION("""COMPUTED_VALUE"""),"6.8650212")</f>
        <v>6.8650212</v>
      </c>
      <c r="Z1662" s="4" t="str">
        <f>IFERROR(__xludf.DUMMYFUNCTION("""COMPUTED_VALUE"""),"3.7143181")</f>
        <v>3.7143181</v>
      </c>
      <c r="AA1662" s="4" t="str">
        <f t="shared" si="1"/>
        <v>Neighbor</v>
      </c>
      <c r="AC1662" s="4">
        <f>IFERROR(__xludf.DUMMYFUNCTION("IFERROR(ABS(O1662-AVERAGE(FILTER(O1662:O5730,AA1662:AA5730=""Neighbor""))) / STDEV(FILTER(O1662:O5730, AA1662:AA5730 =""Neighbor"")), """")"),1.5806150401827082)</f>
        <v>1.58061504</v>
      </c>
      <c r="AD1662" s="4">
        <f>IFERROR(__xludf.DUMMYFUNCTION("IFERROR(ABS(P1662-AVERAGE(FILTER(O1662:P5730,AA1662:AA5730=""Neighbor""))) / STDEV(FILTER(P1662:P5730, AA1662:AA5730 =""Neighbor"")), """")"),1.3448694418398277)</f>
        <v>1.344869442</v>
      </c>
      <c r="AE1662" s="2">
        <f>IFERROR(__xludf.DUMMYFUNCTION("IFERROR(ABS(Q1662-AVERAGE(FILTER(Q1662:Q5730,AA1662:AA5730=""Neighbor""))) / STDEV(FILTER(Q1662:Q5730, AA1662:AA5730 =""Neighbor"")), """")"),2.6152134393183974)</f>
        <v>2.615213439</v>
      </c>
      <c r="AF1662" s="2">
        <f>IFERROR(__xludf.DUMMYFUNCTION("IFERROR(ABS(R1662-AVERAGE(FILTER(R1662:R5730,AA1662:AA5730=""Neighbor""))) / STDEV(FILTER(R1662:R5730, AA1662:AA5730 =""Neighbor"")), """")"),0.3530149638489366)</f>
        <v>0.3530149638</v>
      </c>
    </row>
    <row r="1663">
      <c r="A1663" s="2" t="s">
        <v>28</v>
      </c>
      <c r="B1663" s="2" t="s">
        <v>6772</v>
      </c>
      <c r="C1663" s="2" t="s">
        <v>6773</v>
      </c>
      <c r="D1663" s="2" t="s">
        <v>6806</v>
      </c>
      <c r="E1663" s="2" t="s">
        <v>6807</v>
      </c>
      <c r="F1663" s="2">
        <v>175.0</v>
      </c>
      <c r="G1663" s="2">
        <v>756.0</v>
      </c>
      <c r="H1663" s="2" t="b">
        <v>1</v>
      </c>
      <c r="I1663" s="2">
        <v>-1.0</v>
      </c>
      <c r="J1663" s="2" t="b">
        <v>0</v>
      </c>
      <c r="K1663" s="2" t="b">
        <v>1</v>
      </c>
      <c r="L1663" s="2" t="b">
        <v>0</v>
      </c>
      <c r="M1663" s="2" t="b">
        <v>0</v>
      </c>
      <c r="N1663" s="2" t="s">
        <v>33</v>
      </c>
      <c r="O1663" s="2">
        <v>75.0</v>
      </c>
      <c r="P1663" s="2">
        <v>37.0</v>
      </c>
      <c r="Q1663" s="2">
        <v>52.0</v>
      </c>
      <c r="R1663" s="2">
        <v>0.0</v>
      </c>
      <c r="S1663" s="3" t="s">
        <v>6808</v>
      </c>
      <c r="T1663" s="2" t="s">
        <v>6809</v>
      </c>
      <c r="Y1663" s="4" t="str">
        <f>IFERROR(__xludf.DUMMYFUNCTION("""COMPUTED_VALUE"""),"6.8650212")</f>
        <v>6.8650212</v>
      </c>
      <c r="Z1663" s="4" t="str">
        <f>IFERROR(__xludf.DUMMYFUNCTION("""COMPUTED_VALUE"""),"3.7143181")</f>
        <v>3.7143181</v>
      </c>
      <c r="AA1663" s="4" t="str">
        <f t="shared" si="1"/>
        <v>Neighbor</v>
      </c>
      <c r="AC1663" s="4">
        <f>IFERROR(__xludf.DUMMYFUNCTION("IFERROR(ABS(O1663-AVERAGE(FILTER(O1663:O5731,AA1663:AA5731=""Neighbor""))) / STDEV(FILTER(O1663:O5731, AA1663:AA5731 =""Neighbor"")), """")"),0.4629483635195206)</f>
        <v>0.4629483635</v>
      </c>
      <c r="AD1663" s="4">
        <f>IFERROR(__xludf.DUMMYFUNCTION("IFERROR(ABS(P1663-AVERAGE(FILTER(O1663:P5731,AA1663:AA5731=""Neighbor""))) / STDEV(FILTER(P1663:P5731, AA1663:AA5731 =""Neighbor"")), """")"),0.01943180329186504)</f>
        <v>0.01943180329</v>
      </c>
      <c r="AE1663" s="2">
        <f>IFERROR(__xludf.DUMMYFUNCTION("IFERROR(ABS(Q1663-AVERAGE(FILTER(Q1663:Q5731,AA1663:AA5731=""Neighbor""))) / STDEV(FILTER(Q1663:Q5731, AA1663:AA5731 =""Neighbor"")), """")"),1.072508621786419)</f>
        <v>1.072508622</v>
      </c>
      <c r="AF1663" s="2">
        <f>IFERROR(__xludf.DUMMYFUNCTION("IFERROR(ABS(R1663-AVERAGE(FILTER(R1663:R5731,AA1663:AA5731=""Neighbor""))) / STDEV(FILTER(R1663:R5731, AA1663:AA5731 =""Neighbor"")), """")"),0.3532165035847996)</f>
        <v>0.3532165036</v>
      </c>
    </row>
    <row r="1664">
      <c r="A1664" s="2" t="s">
        <v>28</v>
      </c>
      <c r="B1664" s="2" t="s">
        <v>6772</v>
      </c>
      <c r="C1664" s="2" t="s">
        <v>6773</v>
      </c>
      <c r="D1664" s="2" t="s">
        <v>6810</v>
      </c>
      <c r="E1664" s="2" t="s">
        <v>6811</v>
      </c>
      <c r="F1664" s="2">
        <v>162.0</v>
      </c>
      <c r="G1664" s="2">
        <v>881.0</v>
      </c>
      <c r="H1664" s="2" t="b">
        <v>1</v>
      </c>
      <c r="I1664" s="2">
        <v>-1.0</v>
      </c>
      <c r="J1664" s="2" t="b">
        <v>0</v>
      </c>
      <c r="K1664" s="2" t="b">
        <v>1</v>
      </c>
      <c r="L1664" s="2" t="b">
        <v>0</v>
      </c>
      <c r="M1664" s="2" t="b">
        <v>0</v>
      </c>
      <c r="N1664" s="2" t="s">
        <v>33</v>
      </c>
      <c r="O1664" s="2">
        <v>104.0</v>
      </c>
      <c r="P1664" s="2">
        <v>28.0</v>
      </c>
      <c r="Q1664" s="2">
        <v>12.0</v>
      </c>
      <c r="R1664" s="2">
        <v>0.0</v>
      </c>
      <c r="S1664" s="3" t="s">
        <v>6812</v>
      </c>
      <c r="T1664" s="2" t="s">
        <v>6813</v>
      </c>
      <c r="Y1664" s="4" t="str">
        <f>IFERROR(__xludf.DUMMYFUNCTION("""COMPUTED_VALUE"""),"6.8650212")</f>
        <v>6.8650212</v>
      </c>
      <c r="Z1664" s="4" t="str">
        <f>IFERROR(__xludf.DUMMYFUNCTION("""COMPUTED_VALUE"""),"3.7143181")</f>
        <v>3.7143181</v>
      </c>
      <c r="AA1664" s="4" t="str">
        <f t="shared" si="1"/>
        <v>Neighbor</v>
      </c>
      <c r="AC1664" s="4">
        <f>IFERROR(__xludf.DUMMYFUNCTION("IFERROR(ABS(O1664-AVERAGE(FILTER(O1664:O5732,AA1664:AA5732=""Neighbor""))) / STDEV(FILTER(O1664:O5732, AA1664:AA5732 =""Neighbor"")), """")"),1.2186061528766965)</f>
        <v>1.218606153</v>
      </c>
      <c r="AD1664" s="4">
        <f>IFERROR(__xludf.DUMMYFUNCTION("IFERROR(ABS(P1664-AVERAGE(FILTER(O1664:P5732,AA1664:AA5732=""Neighbor""))) / STDEV(FILTER(P1664:P5732, AA1664:AA5732 =""Neighbor"")), """")"),0.3884146396773668)</f>
        <v>0.3884146397</v>
      </c>
      <c r="AE1664" s="2">
        <f>IFERROR(__xludf.DUMMYFUNCTION("IFERROR(ABS(Q1664-AVERAGE(FILTER(Q1664:Q5732,AA1664:AA5732=""Neighbor""))) / STDEV(FILTER(Q1664:Q5732, AA1664:AA5732 =""Neighbor"")), """")"),0.47961951922893786)</f>
        <v>0.4796195192</v>
      </c>
      <c r="AF1664" s="2">
        <f>IFERROR(__xludf.DUMMYFUNCTION("IFERROR(ABS(R1664-AVERAGE(FILTER(R1664:R5732,AA1664:AA5732=""Neighbor""))) / STDEV(FILTER(R1664:R5732, AA1664:AA5732 =""Neighbor"")), """")"),0.35341838894440514)</f>
        <v>0.3534183889</v>
      </c>
    </row>
    <row r="1665">
      <c r="A1665" s="2" t="s">
        <v>28</v>
      </c>
      <c r="B1665" s="2" t="s">
        <v>6772</v>
      </c>
      <c r="C1665" s="2" t="s">
        <v>6773</v>
      </c>
      <c r="D1665" s="2" t="s">
        <v>6814</v>
      </c>
      <c r="E1665" s="2" t="s">
        <v>6815</v>
      </c>
      <c r="F1665" s="2">
        <v>140.0</v>
      </c>
      <c r="G1665" s="2">
        <v>750.0</v>
      </c>
      <c r="H1665" s="2" t="b">
        <v>1</v>
      </c>
      <c r="I1665" s="2">
        <v>-1.0</v>
      </c>
      <c r="J1665" s="2" t="b">
        <v>0</v>
      </c>
      <c r="K1665" s="2" t="b">
        <v>0</v>
      </c>
      <c r="L1665" s="2" t="b">
        <v>0</v>
      </c>
      <c r="M1665" s="2" t="b">
        <v>0</v>
      </c>
      <c r="N1665" s="2" t="s">
        <v>33</v>
      </c>
      <c r="O1665" s="2">
        <v>68.0</v>
      </c>
      <c r="P1665" s="2">
        <v>44.0</v>
      </c>
      <c r="Q1665" s="2">
        <v>22.0</v>
      </c>
      <c r="R1665" s="2">
        <v>2.0</v>
      </c>
      <c r="S1665" s="3" t="s">
        <v>6816</v>
      </c>
      <c r="T1665" s="2" t="s">
        <v>6817</v>
      </c>
      <c r="Y1665" s="4" t="str">
        <f>IFERROR(__xludf.DUMMYFUNCTION("""COMPUTED_VALUE"""),"6.8650212")</f>
        <v>6.8650212</v>
      </c>
      <c r="Z1665" s="4" t="str">
        <f>IFERROR(__xludf.DUMMYFUNCTION("""COMPUTED_VALUE"""),"3.7143181")</f>
        <v>3.7143181</v>
      </c>
      <c r="AA1665" s="4" t="str">
        <f t="shared" si="1"/>
        <v>Neighbor</v>
      </c>
      <c r="AC1665" s="4">
        <f>IFERROR(__xludf.DUMMYFUNCTION("IFERROR(ABS(O1665-AVERAGE(FILTER(O1665:O5733,AA1665:AA5733=""Neighbor""))) / STDEV(FILTER(O1665:O5733, AA1665:AA5733 =""Neighbor"")), """")"),0.28221383959982677)</f>
        <v>0.2822138396</v>
      </c>
      <c r="AD1665" s="4">
        <f>IFERROR(__xludf.DUMMYFUNCTION("IFERROR(ABS(P1665-AVERAGE(FILTER(O1665:P5733,AA1665:AA5733=""Neighbor""))) / STDEV(FILTER(P1665:P5733, AA1665:AA5733 =""Neighbor"")), """")"),0.33948128483569934)</f>
        <v>0.3394812848</v>
      </c>
      <c r="AE1665" s="2">
        <f>IFERROR(__xludf.DUMMYFUNCTION("IFERROR(ABS(Q1665-AVERAGE(FILTER(Q1665:Q5733,AA1665:AA5733=""Neighbor""))) / STDEV(FILTER(Q1665:Q5733, AA1665:AA5733 =""Neighbor"")), """")"),0.09174644505186606)</f>
        <v>0.09174644505</v>
      </c>
      <c r="AF1665" s="2">
        <f>IFERROR(__xludf.DUMMYFUNCTION("IFERROR(ABS(R1665-AVERAGE(FILTER(R1665:R5733,AA1665:AA5733=""Neighbor""))) / STDEV(FILTER(R1665:R5733, AA1665:AA5733 =""Neighbor"")), """")"),1.9926999854368945)</f>
        <v>1.992699985</v>
      </c>
    </row>
    <row r="1666">
      <c r="A1666" s="2" t="s">
        <v>28</v>
      </c>
      <c r="B1666" s="2" t="s">
        <v>6772</v>
      </c>
      <c r="C1666" s="2" t="s">
        <v>6818</v>
      </c>
      <c r="D1666" s="2" t="s">
        <v>6819</v>
      </c>
      <c r="E1666" s="2" t="s">
        <v>6820</v>
      </c>
      <c r="F1666" s="2">
        <v>143.0</v>
      </c>
      <c r="G1666" s="2">
        <v>615.0</v>
      </c>
      <c r="H1666" s="2" t="b">
        <v>1</v>
      </c>
      <c r="I1666" s="2">
        <v>-1.0</v>
      </c>
      <c r="J1666" s="2" t="b">
        <v>0</v>
      </c>
      <c r="K1666" s="2" t="b">
        <v>0</v>
      </c>
      <c r="L1666" s="2" t="b">
        <v>0</v>
      </c>
      <c r="M1666" s="2" t="b">
        <v>0</v>
      </c>
      <c r="N1666" s="2" t="s">
        <v>33</v>
      </c>
      <c r="O1666" s="2">
        <v>78.0</v>
      </c>
      <c r="P1666" s="2">
        <v>22.0</v>
      </c>
      <c r="Q1666" s="2">
        <v>31.0</v>
      </c>
      <c r="R1666" s="2">
        <v>0.0</v>
      </c>
      <c r="S1666" s="3" t="s">
        <v>6821</v>
      </c>
      <c r="T1666" s="2" t="s">
        <v>6822</v>
      </c>
      <c r="Y1666" s="4" t="str">
        <f>IFERROR(__xludf.DUMMYFUNCTION("""COMPUTED_VALUE"""),"6.8689953")</f>
        <v>6.8689953</v>
      </c>
      <c r="Z1666" s="4" t="str">
        <f>IFERROR(__xludf.DUMMYFUNCTION("""COMPUTED_VALUE"""),"3.7124245")</f>
        <v>3.7124245</v>
      </c>
      <c r="AA1666" s="4" t="str">
        <f t="shared" si="1"/>
        <v>Neighbor</v>
      </c>
      <c r="AC1666" s="4">
        <f>IFERROR(__xludf.DUMMYFUNCTION("IFERROR(ABS(O1666-AVERAGE(FILTER(O1666:O5734,AA1666:AA5734=""Neighbor""))) / STDEV(FILTER(O1666:O5734, AA1666:AA5734 =""Neighbor"")), """")"),0.5427844635138575)</f>
        <v>0.5427844635</v>
      </c>
      <c r="AD1666" s="4">
        <f>IFERROR(__xludf.DUMMYFUNCTION("IFERROR(ABS(P1666-AVERAGE(FILTER(O1666:P5734,AA1666:AA5734=""Neighbor""))) / STDEV(FILTER(P1666:P5734, AA1666:AA5734 =""Neighbor"")), """")"),0.658624937710019)</f>
        <v>0.6586249377</v>
      </c>
      <c r="AE1666" s="2">
        <f>IFERROR(__xludf.DUMMYFUNCTION("IFERROR(ABS(Q1666-AVERAGE(FILTER(Q1666:Q5734,AA1666:AA5734=""Neighbor""))) / STDEV(FILTER(Q1666:Q5734, AA1666:AA5734 =""Neighbor"")), """")"),0.2573857678485151)</f>
        <v>0.2573857678</v>
      </c>
      <c r="AF1666" s="2">
        <f>IFERROR(__xludf.DUMMYFUNCTION("IFERROR(ABS(R1666-AVERAGE(FILTER(R1666:R5734,AA1666:AA5734=""Neighbor""))) / STDEV(FILTER(R1666:R5734, AA1666:AA5734 =""Neighbor"")), """")"),0.3521241889801333)</f>
        <v>0.352124189</v>
      </c>
    </row>
    <row r="1667">
      <c r="A1667" s="2" t="s">
        <v>28</v>
      </c>
      <c r="B1667" s="2" t="s">
        <v>6772</v>
      </c>
      <c r="C1667" s="2" t="s">
        <v>6818</v>
      </c>
      <c r="D1667" s="2" t="s">
        <v>6823</v>
      </c>
      <c r="E1667" s="2" t="s">
        <v>6824</v>
      </c>
      <c r="F1667" s="2">
        <v>203.0</v>
      </c>
      <c r="G1667" s="2">
        <v>838.0</v>
      </c>
      <c r="H1667" s="2" t="b">
        <v>1</v>
      </c>
      <c r="I1667" s="2">
        <v>-1.0</v>
      </c>
      <c r="J1667" s="2" t="b">
        <v>0</v>
      </c>
      <c r="K1667" s="2" t="b">
        <v>0</v>
      </c>
      <c r="L1667" s="2" t="b">
        <v>0</v>
      </c>
      <c r="M1667" s="2" t="b">
        <v>0</v>
      </c>
      <c r="N1667" s="2" t="s">
        <v>33</v>
      </c>
      <c r="O1667" s="2">
        <v>72.0</v>
      </c>
      <c r="P1667" s="2">
        <v>38.0</v>
      </c>
      <c r="Q1667" s="2">
        <v>73.0</v>
      </c>
      <c r="R1667" s="2">
        <v>0.0</v>
      </c>
      <c r="S1667" s="3" t="s">
        <v>6825</v>
      </c>
      <c r="T1667" s="2" t="s">
        <v>6826</v>
      </c>
      <c r="Y1667" s="4" t="str">
        <f>IFERROR(__xludf.DUMMYFUNCTION("""COMPUTED_VALUE"""),"6.8760135")</f>
        <v>6.8760135</v>
      </c>
      <c r="Z1667" s="4" t="str">
        <f>IFERROR(__xludf.DUMMYFUNCTION("""COMPUTED_VALUE"""),"3.7124348")</f>
        <v>3.7124348</v>
      </c>
      <c r="AA1667" s="4" t="str">
        <f t="shared" si="1"/>
        <v>Neighbor</v>
      </c>
      <c r="AC1667" s="4">
        <f>IFERROR(__xludf.DUMMYFUNCTION("IFERROR(ABS(O1667-AVERAGE(FILTER(O1667:O5735,AA1667:AA5735=""Neighbor""))) / STDEV(FILTER(O1667:O5735, AA1667:AA5735 =""Neighbor"")), """")"),0.38694971215063984)</f>
        <v>0.3869497122</v>
      </c>
      <c r="AD1667" s="4">
        <f>IFERROR(__xludf.DUMMYFUNCTION("IFERROR(ABS(P1667-AVERAGE(FILTER(O1667:P5735,AA1667:AA5735=""Neighbor""))) / STDEV(FILTER(P1667:P5735, AA1667:AA5735 =""Neighbor"")), """")"),0.06859910523538021)</f>
        <v>0.06859910524</v>
      </c>
      <c r="AE1667" s="2">
        <f>IFERROR(__xludf.DUMMYFUNCTION("IFERROR(ABS(Q1667-AVERAGE(FILTER(Q1667:Q5735,AA1667:AA5735=""Neighbor""))) / STDEV(FILTER(Q1667:Q5735, AA1667:AA5735 =""Neighbor"")), """")"),1.8862525919700193)</f>
        <v>1.886252592</v>
      </c>
      <c r="AF1667" s="2">
        <f>IFERROR(__xludf.DUMMYFUNCTION("IFERROR(ABS(R1667-AVERAGE(FILTER(R1667:R5735,AA1667:AA5735=""Neighbor""))) / STDEV(FILTER(R1667:R5735, AA1667:AA5735 =""Neighbor"")), """")"),0.3523259268758735)</f>
        <v>0.3523259269</v>
      </c>
    </row>
    <row r="1668">
      <c r="A1668" s="2" t="s">
        <v>28</v>
      </c>
      <c r="B1668" s="2" t="s">
        <v>6772</v>
      </c>
      <c r="C1668" s="2" t="s">
        <v>6818</v>
      </c>
      <c r="D1668" s="2" t="s">
        <v>6827</v>
      </c>
      <c r="E1668" s="2" t="s">
        <v>6828</v>
      </c>
      <c r="F1668" s="2">
        <v>168.0</v>
      </c>
      <c r="G1668" s="2">
        <v>643.0</v>
      </c>
      <c r="H1668" s="2" t="b">
        <v>1</v>
      </c>
      <c r="I1668" s="2">
        <v>-1.0</v>
      </c>
      <c r="J1668" s="2" t="b">
        <v>0</v>
      </c>
      <c r="K1668" s="2" t="b">
        <v>0</v>
      </c>
      <c r="L1668" s="2" t="b">
        <v>0</v>
      </c>
      <c r="M1668" s="2" t="b">
        <v>0</v>
      </c>
      <c r="N1668" s="2" t="s">
        <v>33</v>
      </c>
      <c r="O1668" s="2">
        <v>83.0</v>
      </c>
      <c r="P1668" s="2">
        <v>19.0</v>
      </c>
      <c r="Q1668" s="2">
        <v>59.0</v>
      </c>
      <c r="R1668" s="2">
        <v>0.0</v>
      </c>
      <c r="S1668" s="3" t="s">
        <v>6829</v>
      </c>
      <c r="T1668" s="2" t="s">
        <v>6830</v>
      </c>
      <c r="Y1668" s="4" t="str">
        <f>IFERROR(__xludf.DUMMYFUNCTION("""COMPUTED_VALUE"""),"6.8693632")</f>
        <v>6.8693632</v>
      </c>
      <c r="Z1668" s="4" t="str">
        <f>IFERROR(__xludf.DUMMYFUNCTION("""COMPUTED_VALUE"""),"3.7084624")</f>
        <v>3.7084624</v>
      </c>
      <c r="AA1668" s="4" t="str">
        <f t="shared" si="1"/>
        <v>Neighbor</v>
      </c>
      <c r="AC1668" s="4">
        <f>IFERROR(__xludf.DUMMYFUNCTION("IFERROR(ABS(O1668-AVERAGE(FILTER(O1668:O5736,AA1668:AA5736=""Neighbor""))) / STDEV(FILTER(O1668:O5736, AA1668:AA5736 =""Neighbor"")), """")"),0.6734062933922073)</f>
        <v>0.6734062934</v>
      </c>
      <c r="AD1668" s="4">
        <f>IFERROR(__xludf.DUMMYFUNCTION("IFERROR(ABS(P1668-AVERAGE(FILTER(O1668:P5736,AA1668:AA5736=""Neighbor""))) / STDEV(FILTER(P1668:P5736, AA1668:AA5736 =""Neighbor"")), """")"),0.7930159029874804)</f>
        <v>0.793015903</v>
      </c>
      <c r="AE1668" s="2">
        <f>IFERROR(__xludf.DUMMYFUNCTION("IFERROR(ABS(Q1668-AVERAGE(FILTER(Q1668:Q5736,AA1668:AA5736=""Neighbor""))) / STDEV(FILTER(Q1668:Q5736, AA1668:AA5736 =""Neighbor"")), """")"),1.347035557384966)</f>
        <v>1.347035557</v>
      </c>
      <c r="AF1668" s="2">
        <f>IFERROR(__xludf.DUMMYFUNCTION("IFERROR(ABS(R1668-AVERAGE(FILTER(R1668:R5736,AA1668:AA5736=""Neighbor""))) / STDEV(FILTER(R1668:R5736, AA1668:AA5736 =""Neighbor"")), """")"),0.3525280119527959)</f>
        <v>0.352528012</v>
      </c>
    </row>
    <row r="1669">
      <c r="A1669" s="2" t="s">
        <v>28</v>
      </c>
      <c r="B1669" s="2" t="s">
        <v>6772</v>
      </c>
      <c r="C1669" s="2" t="s">
        <v>6818</v>
      </c>
      <c r="D1669" s="2" t="s">
        <v>6831</v>
      </c>
      <c r="E1669" s="2" t="s">
        <v>6832</v>
      </c>
      <c r="F1669" s="2">
        <v>158.0</v>
      </c>
      <c r="G1669" s="2">
        <v>657.0</v>
      </c>
      <c r="H1669" s="2" t="b">
        <v>1</v>
      </c>
      <c r="I1669" s="2">
        <v>-1.0</v>
      </c>
      <c r="J1669" s="2" t="b">
        <v>0</v>
      </c>
      <c r="K1669" s="2" t="b">
        <v>0</v>
      </c>
      <c r="L1669" s="2" t="b">
        <v>0</v>
      </c>
      <c r="M1669" s="2" t="b">
        <v>0</v>
      </c>
      <c r="N1669" s="2" t="s">
        <v>33</v>
      </c>
      <c r="O1669" s="2">
        <v>75.0</v>
      </c>
      <c r="P1669" s="2">
        <v>23.0</v>
      </c>
      <c r="Q1669" s="2">
        <v>45.0</v>
      </c>
      <c r="R1669" s="2">
        <v>0.0</v>
      </c>
      <c r="S1669" s="3" t="s">
        <v>6833</v>
      </c>
      <c r="T1669" s="2" t="s">
        <v>6834</v>
      </c>
      <c r="Y1669" s="4" t="str">
        <f>IFERROR(__xludf.DUMMYFUNCTION("""COMPUTED_VALUE"""),"6.8650212")</f>
        <v>6.8650212</v>
      </c>
      <c r="Z1669" s="4" t="str">
        <f>IFERROR(__xludf.DUMMYFUNCTION("""COMPUTED_VALUE"""),"3.7143181")</f>
        <v>3.7143181</v>
      </c>
      <c r="AA1669" s="4" t="str">
        <f t="shared" si="1"/>
        <v>Neighbor</v>
      </c>
      <c r="AC1669" s="4">
        <f>IFERROR(__xludf.DUMMYFUNCTION("IFERROR(ABS(O1669-AVERAGE(FILTER(O1669:O5737,AA1669:AA5737=""Neighbor""))) / STDEV(FILTER(O1669:O5737, AA1669:AA5737 =""Neighbor"")), """")"),0.4657977356619439)</f>
        <v>0.4657977357</v>
      </c>
      <c r="AD1669" s="4">
        <f>IFERROR(__xludf.DUMMYFUNCTION("IFERROR(ABS(P1669-AVERAGE(FILTER(O1669:P5737,AA1669:AA5737=""Neighbor""))) / STDEV(FILTER(P1669:P5737, AA1669:AA5737 =""Neighbor"")), """")"),0.6104622498890306)</f>
        <v>0.6104622499</v>
      </c>
      <c r="AE1669" s="2">
        <f>IFERROR(__xludf.DUMMYFUNCTION("IFERROR(ABS(Q1669-AVERAGE(FILTER(Q1669:Q5737,AA1669:AA5737=""Neighbor""))) / STDEV(FILTER(Q1669:Q5737, AA1669:AA5737 =""Neighbor"")), """")"),0.8051279571888167)</f>
        <v>0.8051279572</v>
      </c>
      <c r="AF1669" s="2">
        <f>IFERROR(__xludf.DUMMYFUNCTION("IFERROR(ABS(R1669-AVERAGE(FILTER(R1669:R5737,AA1669:AA5737=""Neighbor""))) / STDEV(FILTER(R1669:R5737, AA1669:AA5737 =""Neighbor"")), """")"),0.35273044520796354)</f>
        <v>0.3527304452</v>
      </c>
    </row>
    <row r="1670">
      <c r="A1670" s="2" t="s">
        <v>28</v>
      </c>
      <c r="B1670" s="2" t="s">
        <v>6772</v>
      </c>
      <c r="C1670" s="2" t="s">
        <v>6818</v>
      </c>
      <c r="D1670" s="2" t="s">
        <v>6835</v>
      </c>
      <c r="E1670" s="2" t="s">
        <v>6836</v>
      </c>
      <c r="F1670" s="2">
        <v>21.0</v>
      </c>
      <c r="G1670" s="2">
        <v>222.0</v>
      </c>
      <c r="H1670" s="2" t="b">
        <v>1</v>
      </c>
      <c r="I1670" s="2">
        <v>-1.0</v>
      </c>
      <c r="J1670" s="2" t="b">
        <v>0</v>
      </c>
      <c r="K1670" s="2" t="b">
        <v>0</v>
      </c>
      <c r="L1670" s="2" t="b">
        <v>0</v>
      </c>
      <c r="M1670" s="2" t="b">
        <v>0</v>
      </c>
      <c r="N1670" s="2" t="s">
        <v>33</v>
      </c>
      <c r="O1670" s="2">
        <v>4.0</v>
      </c>
      <c r="P1670" s="2">
        <v>6.0</v>
      </c>
      <c r="Q1670" s="2">
        <v>7.0</v>
      </c>
      <c r="R1670" s="2">
        <v>0.0</v>
      </c>
      <c r="S1670" s="3" t="s">
        <v>6837</v>
      </c>
      <c r="T1670" s="2" t="s">
        <v>6838</v>
      </c>
      <c r="Y1670" s="4" t="str">
        <f>IFERROR(__xludf.DUMMYFUNCTION("""COMPUTED_VALUE"""),"6.8650212")</f>
        <v>6.8650212</v>
      </c>
      <c r="Z1670" s="4" t="str">
        <f>IFERROR(__xludf.DUMMYFUNCTION("""COMPUTED_VALUE"""),"3.7143181")</f>
        <v>3.7143181</v>
      </c>
      <c r="AA1670" s="4" t="str">
        <f t="shared" si="1"/>
        <v>Neighbor</v>
      </c>
      <c r="AC1670" s="4">
        <f>IFERROR(__xludf.DUMMYFUNCTION("IFERROR(ABS(O1670-AVERAGE(FILTER(O1670:O5738,AA1670:AA5738=""Neighbor""))) / STDEV(FILTER(O1670:O5738, AA1670:AA5738 =""Neighbor"")), """")"),1.3801378257480934)</f>
        <v>1.380137826</v>
      </c>
      <c r="AD1670" s="4">
        <f>IFERROR(__xludf.DUMMYFUNCTION("IFERROR(ABS(P1670-AVERAGE(FILTER(O1670:P5738,AA1670:AA5738=""Neighbor""))) / STDEV(FILTER(P1670:P5738, AA1670:AA5738 =""Neighbor"")), """")"),1.3805484466617934)</f>
        <v>1.380548447</v>
      </c>
      <c r="AE1670" s="2">
        <f>IFERROR(__xludf.DUMMYFUNCTION("IFERROR(ABS(Q1670-AVERAGE(FILTER(Q1670:Q5738,AA1670:AA5738=""Neighbor""))) / STDEV(FILTER(Q1670:Q5738, AA1670:AA5738 =""Neighbor"")), """")"),0.6700880452555235)</f>
        <v>0.6700880453</v>
      </c>
      <c r="AF1670" s="2">
        <f>IFERROR(__xludf.DUMMYFUNCTION("IFERROR(ABS(R1670-AVERAGE(FILTER(R1670:R5738,AA1670:AA5738=""Neighbor""))) / STDEV(FILTER(R1670:R5738, AA1670:AA5738 =""Neighbor"")), """")"),0.35293322764245305)</f>
        <v>0.3529332276</v>
      </c>
    </row>
    <row r="1671">
      <c r="A1671" s="2" t="s">
        <v>28</v>
      </c>
      <c r="B1671" s="2" t="s">
        <v>6772</v>
      </c>
      <c r="C1671" s="2" t="s">
        <v>6818</v>
      </c>
      <c r="D1671" s="2" t="s">
        <v>6839</v>
      </c>
      <c r="E1671" s="2" t="s">
        <v>6840</v>
      </c>
      <c r="F1671" s="2">
        <v>90.0</v>
      </c>
      <c r="G1671" s="2">
        <v>399.0</v>
      </c>
      <c r="H1671" s="2" t="b">
        <v>1</v>
      </c>
      <c r="I1671" s="2">
        <v>-1.0</v>
      </c>
      <c r="J1671" s="2" t="b">
        <v>0</v>
      </c>
      <c r="K1671" s="2" t="b">
        <v>0</v>
      </c>
      <c r="L1671" s="2" t="b">
        <v>0</v>
      </c>
      <c r="M1671" s="2" t="b">
        <v>0</v>
      </c>
      <c r="N1671" s="2" t="s">
        <v>33</v>
      </c>
      <c r="O1671" s="2">
        <v>39.0</v>
      </c>
      <c r="P1671" s="2">
        <v>11.0</v>
      </c>
      <c r="Q1671" s="2">
        <v>36.0</v>
      </c>
      <c r="R1671" s="2">
        <v>0.0</v>
      </c>
      <c r="S1671" s="3" t="s">
        <v>6841</v>
      </c>
      <c r="T1671" s="2" t="s">
        <v>6842</v>
      </c>
      <c r="Y1671" s="4" t="str">
        <f>IFERROR(__xludf.DUMMYFUNCTION("""COMPUTED_VALUE"""),"6.8693632")</f>
        <v>6.8693632</v>
      </c>
      <c r="Z1671" s="4" t="str">
        <f>IFERROR(__xludf.DUMMYFUNCTION("""COMPUTED_VALUE"""),"3.7084624")</f>
        <v>3.7084624</v>
      </c>
      <c r="AA1671" s="4" t="str">
        <f t="shared" si="1"/>
        <v>Neighbor</v>
      </c>
      <c r="AC1671" s="4">
        <f>IFERROR(__xludf.DUMMYFUNCTION("IFERROR(ABS(O1671-AVERAGE(FILTER(O1671:O5739,AA1671:AA5739=""Neighbor""))) / STDEV(FILTER(O1671:O5739, AA1671:AA5739 =""Neighbor"")), """")"),0.47166013413321933)</f>
        <v>0.4716601341</v>
      </c>
      <c r="AD1671" s="4">
        <f>IFERROR(__xludf.DUMMYFUNCTION("IFERROR(ABS(P1671-AVERAGE(FILTER(O1671:P5739,AA1671:AA5739=""Neighbor""))) / STDEV(FILTER(P1671:P5739, AA1671:AA5739 =""Neighbor"")), """")"),1.1547852526984281)</f>
        <v>1.154785253</v>
      </c>
      <c r="AE1671" s="2">
        <f>IFERROR(__xludf.DUMMYFUNCTION("IFERROR(ABS(Q1671-AVERAGE(FILTER(Q1671:Q5739,AA1671:AA5739=""Neighbor""))) / STDEV(FILTER(Q1671:Q5739, AA1671:AA5739 =""Neighbor"")), """")"),0.4554378694766064)</f>
        <v>0.4554378695</v>
      </c>
      <c r="AF1671" s="2">
        <f>IFERROR(__xludf.DUMMYFUNCTION("IFERROR(ABS(R1671-AVERAGE(FILTER(R1671:R5739,AA1671:AA5739=""Neighbor""))) / STDEV(FILTER(R1671:R5739, AA1671:AA5739 =""Neighbor"")), """")"),0.35313636026137585)</f>
        <v>0.3531363603</v>
      </c>
    </row>
    <row r="1672">
      <c r="A1672" s="2" t="s">
        <v>28</v>
      </c>
      <c r="B1672" s="2" t="s">
        <v>6772</v>
      </c>
      <c r="C1672" s="2" t="s">
        <v>6818</v>
      </c>
      <c r="D1672" s="2" t="s">
        <v>6843</v>
      </c>
      <c r="E1672" s="2" t="s">
        <v>6844</v>
      </c>
      <c r="F1672" s="2">
        <v>150.0</v>
      </c>
      <c r="G1672" s="2">
        <v>480.0</v>
      </c>
      <c r="H1672" s="2" t="b">
        <v>1</v>
      </c>
      <c r="I1672" s="2">
        <v>-1.0</v>
      </c>
      <c r="J1672" s="2" t="b">
        <v>0</v>
      </c>
      <c r="K1672" s="2" t="b">
        <v>0</v>
      </c>
      <c r="L1672" s="2" t="b">
        <v>0</v>
      </c>
      <c r="M1672" s="2" t="b">
        <v>0</v>
      </c>
      <c r="N1672" s="2" t="s">
        <v>33</v>
      </c>
      <c r="O1672" s="2">
        <v>96.0</v>
      </c>
      <c r="P1672" s="2">
        <v>11.0</v>
      </c>
      <c r="Q1672" s="2">
        <v>30.0</v>
      </c>
      <c r="R1672" s="2">
        <v>0.0</v>
      </c>
      <c r="S1672" s="3" t="s">
        <v>6845</v>
      </c>
      <c r="T1672" s="2" t="s">
        <v>6846</v>
      </c>
      <c r="Y1672" s="4" t="str">
        <f>IFERROR(__xludf.DUMMYFUNCTION("""COMPUTED_VALUE"""),"6.8650212")</f>
        <v>6.8650212</v>
      </c>
      <c r="Z1672" s="4" t="str">
        <f>IFERROR(__xludf.DUMMYFUNCTION("""COMPUTED_VALUE"""),"3.7143181")</f>
        <v>3.7143181</v>
      </c>
      <c r="AA1672" s="4" t="str">
        <f t="shared" si="1"/>
        <v>Neighbor</v>
      </c>
      <c r="AC1672" s="4">
        <f>IFERROR(__xludf.DUMMYFUNCTION("IFERROR(ABS(O1672-AVERAGE(FILTER(O1672:O5740,AA1672:AA5740=""Neighbor""))) / STDEV(FILTER(O1672:O5740, AA1672:AA5740 =""Neighbor"")), """")"),1.0103237181121334)</f>
        <v>1.010323718</v>
      </c>
      <c r="AD1672" s="4">
        <f>IFERROR(__xludf.DUMMYFUNCTION("IFERROR(ABS(P1672-AVERAGE(FILTER(O1672:P5740,AA1672:AA5740=""Neighbor""))) / STDEV(FILTER(P1672:P5740, AA1672:AA5740 =""Neighbor"")), """")"),1.154754399353939)</f>
        <v>1.154754399</v>
      </c>
      <c r="AE1672" s="2">
        <f>IFERROR(__xludf.DUMMYFUNCTION("IFERROR(ABS(Q1672-AVERAGE(FILTER(Q1672:Q5740,AA1672:AA5740=""Neighbor""))) / STDEV(FILTER(Q1672:Q5740, AA1672:AA5740 =""Neighbor"")), """")"),0.22284404539675204)</f>
        <v>0.2228440454</v>
      </c>
      <c r="AF1672" s="2">
        <f>IFERROR(__xludf.DUMMYFUNCTION("IFERROR(ABS(R1672-AVERAGE(FILTER(R1672:R5740,AA1672:AA5740=""Neighbor""))) / STDEV(FILTER(R1672:R5740, AA1672:AA5740 =""Neighbor"")), """")"),0.35333984407389957)</f>
        <v>0.3533398441</v>
      </c>
    </row>
    <row r="1673">
      <c r="A1673" s="2" t="s">
        <v>28</v>
      </c>
      <c r="B1673" s="2" t="s">
        <v>6772</v>
      </c>
      <c r="C1673" s="2" t="s">
        <v>6818</v>
      </c>
      <c r="D1673" s="2" t="s">
        <v>6847</v>
      </c>
      <c r="E1673" s="2" t="s">
        <v>6848</v>
      </c>
      <c r="F1673" s="2">
        <v>198.0</v>
      </c>
      <c r="G1673" s="2">
        <v>759.0</v>
      </c>
      <c r="H1673" s="2" t="b">
        <v>1</v>
      </c>
      <c r="I1673" s="2">
        <v>-1.0</v>
      </c>
      <c r="J1673" s="2" t="b">
        <v>0</v>
      </c>
      <c r="K1673" s="2" t="b">
        <v>0</v>
      </c>
      <c r="L1673" s="2" t="b">
        <v>0</v>
      </c>
      <c r="M1673" s="2" t="b">
        <v>0</v>
      </c>
      <c r="N1673" s="2" t="s">
        <v>33</v>
      </c>
      <c r="O1673" s="2">
        <v>65.0</v>
      </c>
      <c r="P1673" s="2">
        <v>76.0</v>
      </c>
      <c r="Q1673" s="2">
        <v>37.0</v>
      </c>
      <c r="R1673" s="2">
        <v>1.0</v>
      </c>
      <c r="S1673" s="3" t="s">
        <v>6849</v>
      </c>
      <c r="T1673" s="2" t="s">
        <v>6850</v>
      </c>
      <c r="Y1673" s="4" t="str">
        <f>IFERROR(__xludf.DUMMYFUNCTION("""COMPUTED_VALUE"""),"6.8650212")</f>
        <v>6.8650212</v>
      </c>
      <c r="Z1673" s="4" t="str">
        <f>IFERROR(__xludf.DUMMYFUNCTION("""COMPUTED_VALUE"""),"3.7143181")</f>
        <v>3.7143181</v>
      </c>
      <c r="AA1673" s="4" t="str">
        <f t="shared" si="1"/>
        <v>Not Neighbor</v>
      </c>
      <c r="AC1673" s="4">
        <f>IFERROR(__xludf.DUMMYFUNCTION("IFERROR(ABS(O1673-AVERAGE(FILTER(O1673:O5741,AA1673:AA5741=""Neighbor""))) / STDEV(FILTER(O1673:O5741, AA1673:AA5741 =""Neighbor"")), """")"),0.20521139978744346)</f>
        <v>0.2052113998</v>
      </c>
      <c r="AD1673" s="4">
        <f>IFERROR(__xludf.DUMMYFUNCTION("IFERROR(ABS(P1673-AVERAGE(FILTER(O1673:P5741,AA1673:AA5741=""Neighbor""))) / STDEV(FILTER(P1673:P5741, AA1673:AA5741 =""Neighbor"")), """")"),1.7902520474897752)</f>
        <v>1.790252047</v>
      </c>
      <c r="AE1673" s="2">
        <f>IFERROR(__xludf.DUMMYFUNCTION("IFERROR(ABS(Q1673-AVERAGE(FILTER(Q1673:Q5741,AA1673:AA5741=""Neighbor""))) / STDEV(FILTER(Q1673:Q5741, AA1673:AA5741 =""Neighbor"")), """")"),0.49451962021181645)</f>
        <v>0.4945196202</v>
      </c>
      <c r="AF1673" s="2">
        <f>IFERROR(__xludf.DUMMYFUNCTION("IFERROR(ABS(R1673-AVERAGE(FILTER(R1673:R5741,AA1673:AA5741=""Neighbor""))) / STDEV(FILTER(R1673:R5741, AA1673:AA5741 =""Neighbor"")), """")"),0.8177200764061968)</f>
        <v>0.8177200764</v>
      </c>
    </row>
    <row r="1674">
      <c r="A1674" s="2" t="s">
        <v>28</v>
      </c>
      <c r="B1674" s="2" t="s">
        <v>6772</v>
      </c>
      <c r="C1674" s="2" t="s">
        <v>6818</v>
      </c>
      <c r="D1674" s="2" t="s">
        <v>6851</v>
      </c>
      <c r="E1674" s="2" t="s">
        <v>6852</v>
      </c>
      <c r="F1674" s="2">
        <v>234.0</v>
      </c>
      <c r="G1674" s="2">
        <v>897.0</v>
      </c>
      <c r="H1674" s="2" t="b">
        <v>1</v>
      </c>
      <c r="I1674" s="2">
        <v>-1.0</v>
      </c>
      <c r="J1674" s="2" t="b">
        <v>0</v>
      </c>
      <c r="K1674" s="2" t="b">
        <v>1</v>
      </c>
      <c r="L1674" s="2" t="b">
        <v>0</v>
      </c>
      <c r="M1674" s="2" t="b">
        <v>0</v>
      </c>
      <c r="N1674" s="2" t="s">
        <v>33</v>
      </c>
      <c r="O1674" s="2">
        <v>107.0</v>
      </c>
      <c r="P1674" s="2">
        <v>63.0</v>
      </c>
      <c r="Q1674" s="2">
        <v>33.0</v>
      </c>
      <c r="R1674" s="2">
        <v>1.0</v>
      </c>
      <c r="S1674" s="3" t="s">
        <v>6853</v>
      </c>
      <c r="T1674" s="2" t="s">
        <v>6854</v>
      </c>
      <c r="Y1674" s="4" t="str">
        <f>IFERROR(__xludf.DUMMYFUNCTION("""COMPUTED_VALUE"""),"6.8798247")</f>
        <v>6.8798247</v>
      </c>
      <c r="Z1674" s="4" t="str">
        <f>IFERROR(__xludf.DUMMYFUNCTION("""COMPUTED_VALUE"""),"3.7003665")</f>
        <v>3.7003665</v>
      </c>
      <c r="AA1674" s="4" t="str">
        <f t="shared" si="1"/>
        <v>Neighbor</v>
      </c>
      <c r="AC1674" s="4">
        <f>IFERROR(__xludf.DUMMYFUNCTION("IFERROR(ABS(O1674-AVERAGE(FILTER(O1674:O5742,AA1674:AA5742=""Neighbor""))) / STDEV(FILTER(O1674:O5742, AA1674:AA5742 =""Neighbor"")), """")"),1.297429451115148)</f>
        <v>1.297429451</v>
      </c>
      <c r="AD1674" s="4">
        <f>IFERROR(__xludf.DUMMYFUNCTION("IFERROR(ABS(P1674-AVERAGE(FILTER(O1674:P5742,AA1674:AA5742=""Neighbor""))) / STDEV(FILTER(P1674:P5742, AA1674:AA5742 =""Neighbor"")), """")"),1.2015218950279074)</f>
        <v>1.201521895</v>
      </c>
      <c r="AE1674" s="2">
        <f>IFERROR(__xludf.DUMMYFUNCTION("IFERROR(ABS(Q1674-AVERAGE(FILTER(Q1674:Q5742,AA1674:AA5742=""Neighbor""))) / STDEV(FILTER(Q1674:Q5742, AA1674:AA5742 =""Neighbor"")), """")"),0.3393449713438045)</f>
        <v>0.3393449713</v>
      </c>
      <c r="AF1674" s="2">
        <f>IFERROR(__xludf.DUMMYFUNCTION("IFERROR(ABS(R1674-AVERAGE(FILTER(R1674:R5742,AA1674:AA5742=""Neighbor""))) / STDEV(FILTER(R1674:R5742, AA1674:AA5742 =""Neighbor"")), """")"),0.8177200764061968)</f>
        <v>0.8177200764</v>
      </c>
    </row>
    <row r="1675">
      <c r="A1675" s="2" t="s">
        <v>28</v>
      </c>
      <c r="B1675" s="2" t="s">
        <v>6772</v>
      </c>
      <c r="C1675" s="2" t="s">
        <v>6818</v>
      </c>
      <c r="D1675" s="2" t="s">
        <v>6855</v>
      </c>
      <c r="E1675" s="2" t="s">
        <v>6856</v>
      </c>
      <c r="F1675" s="2">
        <v>197.0</v>
      </c>
      <c r="G1675" s="2">
        <v>737.0</v>
      </c>
      <c r="H1675" s="2" t="b">
        <v>1</v>
      </c>
      <c r="I1675" s="2">
        <v>-1.0</v>
      </c>
      <c r="J1675" s="2" t="b">
        <v>0</v>
      </c>
      <c r="K1675" s="2" t="b">
        <v>0</v>
      </c>
      <c r="L1675" s="2" t="b">
        <v>0</v>
      </c>
      <c r="M1675" s="2" t="b">
        <v>0</v>
      </c>
      <c r="N1675" s="2" t="s">
        <v>33</v>
      </c>
      <c r="O1675" s="2">
        <v>106.0</v>
      </c>
      <c r="P1675" s="2">
        <v>36.0</v>
      </c>
      <c r="Q1675" s="2">
        <v>35.0</v>
      </c>
      <c r="R1675" s="2">
        <v>1.0</v>
      </c>
      <c r="S1675" s="3" t="s">
        <v>6857</v>
      </c>
      <c r="T1675" s="2" t="s">
        <v>6858</v>
      </c>
      <c r="Y1675" s="4" t="str">
        <f>IFERROR(__xludf.DUMMYFUNCTION("""COMPUTED_VALUE"""),"6.8747776")</f>
        <v>6.8747776</v>
      </c>
      <c r="Z1675" s="4" t="str">
        <f>IFERROR(__xludf.DUMMYFUNCTION("""COMPUTED_VALUE"""),"3.7080046")</f>
        <v>3.7080046</v>
      </c>
      <c r="AA1675" s="4" t="str">
        <f t="shared" si="1"/>
        <v>Not Neighbor</v>
      </c>
      <c r="AC1675" s="4">
        <f>IFERROR(__xludf.DUMMYFUNCTION("IFERROR(ABS(O1675-AVERAGE(FILTER(O1675:O5743,AA1675:AA5743=""Neighbor""))) / STDEV(FILTER(O1675:O5743, AA1675:AA5743 =""Neighbor"")), """")"),1.273206440455228)</f>
        <v>1.27320644</v>
      </c>
      <c r="AD1675" s="4">
        <f>IFERROR(__xludf.DUMMYFUNCTION("IFERROR(ABS(P1675-AVERAGE(FILTER(O1675:P5743,AA1675:AA5743=""Neighbor""))) / STDEV(FILTER(P1675:P5743, AA1675:AA5743 =""Neighbor"")), """")"),0.019001431667671462)</f>
        <v>0.01900143167</v>
      </c>
      <c r="AE1675" s="2">
        <f>IFERROR(__xludf.DUMMYFUNCTION("IFERROR(ABS(Q1675-AVERAGE(FILTER(Q1675:Q5743,AA1675:AA5743=""Neighbor""))) / STDEV(FILTER(Q1675:Q5743, AA1675:AA5743 =""Neighbor"")), """")"),0.4170912796177532)</f>
        <v>0.4170912796</v>
      </c>
      <c r="AF1675" s="2">
        <f>IFERROR(__xludf.DUMMYFUNCTION("IFERROR(ABS(R1675-AVERAGE(FILTER(R1675:R5743,AA1675:AA5743=""Neighbor""))) / STDEV(FILTER(R1675:R5743, AA1675:AA5743 =""Neighbor"")), """")"),0.8184212976381664)</f>
        <v>0.8184212976</v>
      </c>
    </row>
    <row r="1676">
      <c r="A1676" s="2" t="s">
        <v>28</v>
      </c>
      <c r="B1676" s="2" t="s">
        <v>6772</v>
      </c>
      <c r="C1676" s="2" t="s">
        <v>6818</v>
      </c>
      <c r="D1676" s="2" t="s">
        <v>6859</v>
      </c>
      <c r="E1676" s="2" t="s">
        <v>6860</v>
      </c>
      <c r="F1676" s="2">
        <v>135.0</v>
      </c>
      <c r="G1676" s="2">
        <v>509.0</v>
      </c>
      <c r="H1676" s="2" t="b">
        <v>1</v>
      </c>
      <c r="I1676" s="2">
        <v>-1.0</v>
      </c>
      <c r="J1676" s="2" t="b">
        <v>0</v>
      </c>
      <c r="K1676" s="2" t="b">
        <v>0</v>
      </c>
      <c r="L1676" s="2" t="b">
        <v>0</v>
      </c>
      <c r="M1676" s="2" t="b">
        <v>0</v>
      </c>
      <c r="N1676" s="2" t="s">
        <v>33</v>
      </c>
      <c r="O1676" s="2">
        <v>63.0</v>
      </c>
      <c r="P1676" s="2">
        <v>4.0</v>
      </c>
      <c r="Q1676" s="2">
        <v>61.0</v>
      </c>
      <c r="R1676" s="2">
        <v>1.0</v>
      </c>
      <c r="S1676" s="3" t="s">
        <v>6861</v>
      </c>
      <c r="T1676" s="2" t="s">
        <v>6862</v>
      </c>
      <c r="Y1676" s="4" t="str">
        <f>IFERROR(__xludf.DUMMYFUNCTION("""COMPUTED_VALUE"""),"6.8476766")</f>
        <v>6.8476766</v>
      </c>
      <c r="Z1676" s="4" t="str">
        <f>IFERROR(__xludf.DUMMYFUNCTION("""COMPUTED_VALUE"""),"3.7079745")</f>
        <v>3.7079745</v>
      </c>
      <c r="AA1676" s="4" t="str">
        <f t="shared" si="1"/>
        <v>Not Neighbor</v>
      </c>
      <c r="AC1676" s="4">
        <f>IFERROR(__xludf.DUMMYFUNCTION("IFERROR(ABS(O1676-AVERAGE(FILTER(O1676:O5744,AA1676:AA5744=""Neighbor""))) / STDEV(FILTER(O1676:O5744, AA1676:AA5744 =""Neighbor"")), """")"),0.15458893426664974)</f>
        <v>0.1545889343</v>
      </c>
      <c r="AD1676" s="4">
        <f>IFERROR(__xludf.DUMMYFUNCTION("IFERROR(ABS(P1676-AVERAGE(FILTER(O1676:P5744,AA1676:AA5744=""Neighbor""))) / STDEV(FILTER(P1676:P5744, AA1676:AA5744 =""Neighbor"")), """")"),1.470850698918262)</f>
        <v>1.470850699</v>
      </c>
      <c r="AE1676" s="2">
        <f>IFERROR(__xludf.DUMMYFUNCTION("IFERROR(ABS(Q1676-AVERAGE(FILTER(Q1676:Q5744,AA1676:AA5744=""Neighbor""))) / STDEV(FILTER(Q1676:Q5744, AA1676:AA5744 =""Neighbor"")), """")"),1.4252677741495632)</f>
        <v>1.425267774</v>
      </c>
      <c r="AF1676" s="2">
        <f>IFERROR(__xludf.DUMMYFUNCTION("IFERROR(ABS(R1676-AVERAGE(FILTER(R1676:R5744,AA1676:AA5744=""Neighbor""))) / STDEV(FILTER(R1676:R5744, AA1676:AA5744 =""Neighbor"")), """")"),0.8184212976381664)</f>
        <v>0.8184212976</v>
      </c>
    </row>
    <row r="1677">
      <c r="A1677" s="2" t="s">
        <v>28</v>
      </c>
      <c r="B1677" s="2" t="s">
        <v>6772</v>
      </c>
      <c r="C1677" s="2" t="s">
        <v>6863</v>
      </c>
      <c r="D1677" s="2" t="s">
        <v>6864</v>
      </c>
      <c r="E1677" s="2" t="s">
        <v>6865</v>
      </c>
      <c r="F1677" s="2">
        <v>239.0</v>
      </c>
      <c r="G1677" s="2">
        <v>820.0</v>
      </c>
      <c r="H1677" s="2" t="b">
        <v>1</v>
      </c>
      <c r="I1677" s="2">
        <v>-1.0</v>
      </c>
      <c r="J1677" s="2" t="b">
        <v>0</v>
      </c>
      <c r="K1677" s="2" t="b">
        <v>0</v>
      </c>
      <c r="L1677" s="2" t="b">
        <v>0</v>
      </c>
      <c r="M1677" s="2" t="b">
        <v>0</v>
      </c>
      <c r="N1677" s="2" t="s">
        <v>33</v>
      </c>
      <c r="O1677" s="2">
        <v>118.0</v>
      </c>
      <c r="P1677" s="2">
        <v>5.0</v>
      </c>
      <c r="Q1677" s="2">
        <v>108.0</v>
      </c>
      <c r="R1677" s="2">
        <v>0.0</v>
      </c>
      <c r="S1677" s="3" t="s">
        <v>6866</v>
      </c>
      <c r="T1677" s="2" t="s">
        <v>6867</v>
      </c>
      <c r="Y1677" s="4" t="str">
        <f>IFERROR(__xludf.DUMMYFUNCTION("""COMPUTED_VALUE"""),"6.9094586")</f>
        <v>6.9094586</v>
      </c>
      <c r="Z1677" s="4" t="str">
        <f>IFERROR(__xludf.DUMMYFUNCTION("""COMPUTED_VALUE"""),"3.680072")</f>
        <v>3.680072</v>
      </c>
      <c r="AA1677" s="4" t="str">
        <f t="shared" si="1"/>
        <v>Neighbor</v>
      </c>
      <c r="AC1677" s="4">
        <f>IFERROR(__xludf.DUMMYFUNCTION("IFERROR(ABS(O1677-AVERAGE(FILTER(O1677:O5745,AA1677:AA5745=""Neighbor""))) / STDEV(FILTER(O1677:O5745, AA1677:AA5745 =""Neighbor"")), """")"),1.5853787677636682)</f>
        <v>1.585378768</v>
      </c>
      <c r="AD1677" s="4">
        <f>IFERROR(__xludf.DUMMYFUNCTION("IFERROR(ABS(P1677-AVERAGE(FILTER(O1677:P5745,AA1677:AA5745=""Neighbor""))) / STDEV(FILTER(P1677:P5745, AA1677:AA5745 =""Neighbor"")), """")"),1.425480409316681)</f>
        <v>1.425480409</v>
      </c>
      <c r="AE1677" s="2">
        <f>IFERROR(__xludf.DUMMYFUNCTION("IFERROR(ABS(Q1677-AVERAGE(FILTER(Q1677:Q5745,AA1677:AA5745=""Neighbor""))) / STDEV(FILTER(Q1677:Q5745, AA1677:AA5745 =""Neighbor"")), """")"),3.2477406681109118)</f>
        <v>3.247740668</v>
      </c>
      <c r="AF1677" s="2">
        <f>IFERROR(__xludf.DUMMYFUNCTION("IFERROR(ABS(R1677-AVERAGE(FILTER(R1677:R5745,AA1677:AA5745=""Neighbor""))) / STDEV(FILTER(R1677:R5745, AA1677:AA5745 =""Neighbor"")), """")"),0.3526432944235041)</f>
        <v>0.3526432944</v>
      </c>
    </row>
    <row r="1678">
      <c r="A1678" s="2" t="s">
        <v>28</v>
      </c>
      <c r="B1678" s="2" t="s">
        <v>6772</v>
      </c>
      <c r="C1678" s="2" t="s">
        <v>6863</v>
      </c>
      <c r="D1678" s="2" t="s">
        <v>6868</v>
      </c>
      <c r="E1678" s="2" t="s">
        <v>6869</v>
      </c>
      <c r="F1678" s="2">
        <v>267.0</v>
      </c>
      <c r="G1678" s="2">
        <v>847.0</v>
      </c>
      <c r="H1678" s="2" t="b">
        <v>1</v>
      </c>
      <c r="I1678" s="2">
        <v>-1.0</v>
      </c>
      <c r="J1678" s="2" t="b">
        <v>0</v>
      </c>
      <c r="K1678" s="2" t="b">
        <v>0</v>
      </c>
      <c r="L1678" s="2" t="b">
        <v>0</v>
      </c>
      <c r="M1678" s="2" t="b">
        <v>0</v>
      </c>
      <c r="N1678" s="2" t="s">
        <v>33</v>
      </c>
      <c r="O1678" s="2">
        <v>124.0</v>
      </c>
      <c r="P1678" s="2">
        <v>7.0</v>
      </c>
      <c r="Q1678" s="2">
        <v>124.0</v>
      </c>
      <c r="R1678" s="2">
        <v>0.0</v>
      </c>
      <c r="S1678" s="3" t="s">
        <v>6870</v>
      </c>
      <c r="T1678" s="2" t="s">
        <v>6871</v>
      </c>
      <c r="Y1678" s="4" t="str">
        <f>IFERROR(__xludf.DUMMYFUNCTION("""COMPUTED_VALUE"""),"6.9094586")</f>
        <v>6.9094586</v>
      </c>
      <c r="Z1678" s="4" t="str">
        <f>IFERROR(__xludf.DUMMYFUNCTION("""COMPUTED_VALUE"""),"3.680072")</f>
        <v>3.680072</v>
      </c>
      <c r="AA1678" s="4" t="str">
        <f t="shared" si="1"/>
        <v>Not Neighbor</v>
      </c>
      <c r="AC1678" s="4">
        <f>IFERROR(__xludf.DUMMYFUNCTION("IFERROR(ABS(O1678-AVERAGE(FILTER(O1678:O5746,AA1678:AA5746=""Neighbor""))) / STDEV(FILTER(O1678:O5746, AA1678:AA5746 =""Neighbor"")), """")"),1.7444583133200797)</f>
        <v>1.744458313</v>
      </c>
      <c r="AD1678" s="4">
        <f>IFERROR(__xludf.DUMMYFUNCTION("IFERROR(ABS(P1678-AVERAGE(FILTER(O1678:P5746,AA1678:AA5746=""Neighbor""))) / STDEV(FILTER(P1678:P5746, AA1678:AA5746 =""Neighbor"")), """")"),1.333047153339121)</f>
        <v>1.333047153</v>
      </c>
      <c r="AE1678" s="2">
        <f>IFERROR(__xludf.DUMMYFUNCTION("IFERROR(ABS(Q1678-AVERAGE(FILTER(Q1678:Q5746,AA1678:AA5746=""Neighbor""))) / STDEV(FILTER(Q1678:Q5746, AA1678:AA5746 =""Neighbor"")), """")"),3.890695932562566)</f>
        <v>3.890695933</v>
      </c>
      <c r="AF1678" s="2">
        <f>IFERROR(__xludf.DUMMYFUNCTION("IFERROR(ABS(R1678-AVERAGE(FILTER(R1678:R5746,AA1678:AA5746=""Neighbor""))) / STDEV(FILTER(R1678:R5746, AA1678:AA5746 =""Neighbor"")), """")"),0.3528470574413534)</f>
        <v>0.3528470574</v>
      </c>
    </row>
    <row r="1679">
      <c r="A1679" s="2" t="s">
        <v>28</v>
      </c>
      <c r="B1679" s="2" t="s">
        <v>6772</v>
      </c>
      <c r="C1679" s="2" t="s">
        <v>6863</v>
      </c>
      <c r="D1679" s="2" t="s">
        <v>6872</v>
      </c>
      <c r="E1679" s="2" t="s">
        <v>6873</v>
      </c>
      <c r="F1679" s="2">
        <v>247.0</v>
      </c>
      <c r="G1679" s="2">
        <v>709.0</v>
      </c>
      <c r="H1679" s="2" t="b">
        <v>1</v>
      </c>
      <c r="I1679" s="2">
        <v>-1.0</v>
      </c>
      <c r="J1679" s="2" t="b">
        <v>0</v>
      </c>
      <c r="K1679" s="2" t="b">
        <v>0</v>
      </c>
      <c r="L1679" s="2" t="b">
        <v>0</v>
      </c>
      <c r="M1679" s="2" t="b">
        <v>0</v>
      </c>
      <c r="N1679" s="2" t="s">
        <v>33</v>
      </c>
      <c r="O1679" s="2">
        <v>93.0</v>
      </c>
      <c r="P1679" s="2">
        <v>25.0</v>
      </c>
      <c r="Q1679" s="2">
        <v>122.0</v>
      </c>
      <c r="R1679" s="2">
        <v>0.0</v>
      </c>
      <c r="S1679" s="3" t="s">
        <v>6874</v>
      </c>
      <c r="T1679" s="2" t="s">
        <v>6875</v>
      </c>
      <c r="Y1679" s="4" t="str">
        <f>IFERROR(__xludf.DUMMYFUNCTION("""COMPUTED_VALUE"""),"6.5950887")</f>
        <v>6.5950887</v>
      </c>
      <c r="Z1679" s="4" t="str">
        <f>IFERROR(__xludf.DUMMYFUNCTION("""COMPUTED_VALUE"""),"3.4028049")</f>
        <v>3.4028049</v>
      </c>
      <c r="AA1679" s="4" t="str">
        <f t="shared" si="1"/>
        <v>Not Neighbor</v>
      </c>
      <c r="AC1679" s="4">
        <f>IFERROR(__xludf.DUMMYFUNCTION("IFERROR(ABS(O1679-AVERAGE(FILTER(O1679:O5747,AA1679:AA5747=""Neighbor""))) / STDEV(FILTER(O1679:O5747, AA1679:AA5747 =""Neighbor"")), """")"),0.9373828492877648)</f>
        <v>0.9373828493</v>
      </c>
      <c r="AD1679" s="4">
        <f>IFERROR(__xludf.DUMMYFUNCTION("IFERROR(ABS(P1679-AVERAGE(FILTER(O1679:P5747,AA1679:AA5747=""Neighbor""))) / STDEV(FILTER(P1679:P5747, AA1679:AA5747 =""Neighbor"")), """")"),0.5167015812417721)</f>
        <v>0.5167015812</v>
      </c>
      <c r="AE1679" s="2">
        <f>IFERROR(__xludf.DUMMYFUNCTION("IFERROR(ABS(Q1679-AVERAGE(FILTER(Q1679:Q5747,AA1679:AA5747=""Neighbor""))) / STDEV(FILTER(Q1679:Q5747, AA1679:AA5747 =""Neighbor"")), """")"),3.8127593359351417)</f>
        <v>3.812759336</v>
      </c>
      <c r="AF1679" s="2">
        <f>IFERROR(__xludf.DUMMYFUNCTION("IFERROR(ABS(R1679-AVERAGE(FILTER(R1679:R5747,AA1679:AA5747=""Neighbor""))) / STDEV(FILTER(R1679:R5747, AA1679:AA5747 =""Neighbor"")), """")"),0.3528470574413534)</f>
        <v>0.3528470574</v>
      </c>
    </row>
    <row r="1680">
      <c r="A1680" s="2" t="s">
        <v>28</v>
      </c>
      <c r="B1680" s="2" t="s">
        <v>6772</v>
      </c>
      <c r="C1680" s="2" t="s">
        <v>6876</v>
      </c>
      <c r="D1680" s="2" t="s">
        <v>6877</v>
      </c>
      <c r="E1680" s="2" t="s">
        <v>6878</v>
      </c>
      <c r="F1680" s="2">
        <v>223.0</v>
      </c>
      <c r="G1680" s="2">
        <v>537.0</v>
      </c>
      <c r="H1680" s="2" t="b">
        <v>1</v>
      </c>
      <c r="I1680" s="2">
        <v>-1.0</v>
      </c>
      <c r="J1680" s="2" t="b">
        <v>0</v>
      </c>
      <c r="K1680" s="2" t="b">
        <v>0</v>
      </c>
      <c r="L1680" s="2" t="b">
        <v>0</v>
      </c>
      <c r="M1680" s="2" t="b">
        <v>0</v>
      </c>
      <c r="N1680" s="2" t="s">
        <v>33</v>
      </c>
      <c r="O1680" s="2">
        <v>125.0</v>
      </c>
      <c r="P1680" s="2">
        <v>5.0</v>
      </c>
      <c r="Q1680" s="2">
        <v>78.0</v>
      </c>
      <c r="R1680" s="2">
        <v>0.0</v>
      </c>
      <c r="S1680" s="3" t="s">
        <v>6879</v>
      </c>
      <c r="T1680" s="2" t="s">
        <v>6880</v>
      </c>
      <c r="Y1680" s="4" t="str">
        <f>IFERROR(__xludf.DUMMYFUNCTION("""COMPUTED_VALUE"""),"6.8988245")</f>
        <v>6.8988245</v>
      </c>
      <c r="Z1680" s="4" t="str">
        <f>IFERROR(__xludf.DUMMYFUNCTION("""COMPUTED_VALUE"""),"3.6699295")</f>
        <v>3.6699295</v>
      </c>
      <c r="AA1680" s="4" t="str">
        <f t="shared" si="1"/>
        <v>Neighbor</v>
      </c>
      <c r="AC1680" s="4">
        <f>IFERROR(__xludf.DUMMYFUNCTION("IFERROR(ABS(O1680-AVERAGE(FILTER(O1680:O5748,AA1680:AA5748=""Neighbor""))) / STDEV(FILTER(O1680:O5748, AA1680:AA5748 =""Neighbor"")), """")"),1.7704930057082189)</f>
        <v>1.770493006</v>
      </c>
      <c r="AD1680" s="4">
        <f>IFERROR(__xludf.DUMMYFUNCTION("IFERROR(ABS(P1680-AVERAGE(FILTER(O1680:P5748,AA1680:AA5748=""Neighbor""))) / STDEV(FILTER(P1680:P5748, AA1680:AA5748 =""Neighbor"")), """")"),1.423752216905493)</f>
        <v>1.423752217</v>
      </c>
      <c r="AE1680" s="2">
        <f>IFERROR(__xludf.DUMMYFUNCTION("IFERROR(ABS(Q1680-AVERAGE(FILTER(Q1680:Q5748,AA1680:AA5748=""Neighbor""))) / STDEV(FILTER(Q1680:Q5748, AA1680:AA5748 =""Neighbor"")), """")"),2.098154210131811)</f>
        <v>2.09815421</v>
      </c>
      <c r="AF1680" s="2">
        <f>IFERROR(__xludf.DUMMYFUNCTION("IFERROR(ABS(R1680-AVERAGE(FILTER(R1680:R5748,AA1680:AA5748=""Neighbor""))) / STDEV(FILTER(R1680:R5748, AA1680:AA5748 =""Neighbor"")), """")"),0.3528470574413534)</f>
        <v>0.3528470574</v>
      </c>
    </row>
    <row r="1681">
      <c r="A1681" s="2" t="s">
        <v>28</v>
      </c>
      <c r="B1681" s="2" t="s">
        <v>6772</v>
      </c>
      <c r="C1681" s="2" t="s">
        <v>6876</v>
      </c>
      <c r="D1681" s="2" t="s">
        <v>6881</v>
      </c>
      <c r="E1681" s="2" t="s">
        <v>6882</v>
      </c>
      <c r="F1681" s="2">
        <v>239.0</v>
      </c>
      <c r="G1681" s="2">
        <v>990.0</v>
      </c>
      <c r="H1681" s="2" t="b">
        <v>1</v>
      </c>
      <c r="I1681" s="2">
        <v>-1.0</v>
      </c>
      <c r="J1681" s="2" t="b">
        <v>0</v>
      </c>
      <c r="K1681" s="2" t="b">
        <v>1</v>
      </c>
      <c r="L1681" s="2" t="b">
        <v>0</v>
      </c>
      <c r="M1681" s="2" t="b">
        <v>0</v>
      </c>
      <c r="N1681" s="2" t="s">
        <v>33</v>
      </c>
      <c r="O1681" s="2">
        <v>89.0</v>
      </c>
      <c r="P1681" s="2">
        <v>34.0</v>
      </c>
      <c r="Q1681" s="2">
        <v>81.0</v>
      </c>
      <c r="R1681" s="2">
        <v>1.0</v>
      </c>
      <c r="S1681" s="3" t="s">
        <v>6883</v>
      </c>
      <c r="T1681" s="2" t="s">
        <v>6884</v>
      </c>
      <c r="Y1681" s="4" t="str">
        <f>IFERROR(__xludf.DUMMYFUNCTION("""COMPUTED_VALUE"""),"6.8988245")</f>
        <v>6.8988245</v>
      </c>
      <c r="Z1681" s="4" t="str">
        <f>IFERROR(__xludf.DUMMYFUNCTION("""COMPUTED_VALUE"""),"3.6699295")</f>
        <v>3.6699295</v>
      </c>
      <c r="AA1681" s="4" t="str">
        <f t="shared" si="1"/>
        <v>Neighbor</v>
      </c>
      <c r="AC1681" s="4">
        <f>IFERROR(__xludf.DUMMYFUNCTION("IFERROR(ABS(O1681-AVERAGE(FILTER(O1681:O5749,AA1681:AA5749=""Neighbor""))) / STDEV(FILTER(O1681:O5749, AA1681:AA5749 =""Neighbor"")), """")"),0.8359892160865899)</f>
        <v>0.8359892161</v>
      </c>
      <c r="AD1681" s="4">
        <f>IFERROR(__xludf.DUMMYFUNCTION("IFERROR(ABS(P1681-AVERAGE(FILTER(O1681:P5749,AA1681:AA5749=""Neighbor""))) / STDEV(FILTER(P1681:P5749, AA1681:AA5749 =""Neighbor"")), """")"),0.1071506659053413)</f>
        <v>0.1071506659</v>
      </c>
      <c r="AE1681" s="2">
        <f>IFERROR(__xludf.DUMMYFUNCTION("IFERROR(ABS(Q1681-AVERAGE(FILTER(Q1681:Q5749,AA1681:AA5749=""Neighbor""))) / STDEV(FILTER(Q1681:Q5749, AA1681:AA5749 =""Neighbor"")), """")"),2.2211238129991013)</f>
        <v>2.221123813</v>
      </c>
      <c r="AF1681" s="2">
        <f>IFERROR(__xludf.DUMMYFUNCTION("IFERROR(ABS(R1681-AVERAGE(FILTER(R1681:R5749,AA1681:AA5749=""Neighbor""))) / STDEV(FILTER(R1681:R5749, AA1681:AA5749 =""Neighbor"")), """")"),0.8169580070271111)</f>
        <v>0.816958007</v>
      </c>
    </row>
    <row r="1682">
      <c r="A1682" s="2" t="s">
        <v>28</v>
      </c>
      <c r="B1682" s="2" t="s">
        <v>6772</v>
      </c>
      <c r="C1682" s="2" t="s">
        <v>6876</v>
      </c>
      <c r="D1682" s="2" t="s">
        <v>6885</v>
      </c>
      <c r="E1682" s="2" t="s">
        <v>6886</v>
      </c>
      <c r="F1682" s="2">
        <v>231.0</v>
      </c>
      <c r="G1682" s="2">
        <v>750.0</v>
      </c>
      <c r="H1682" s="2" t="b">
        <v>1</v>
      </c>
      <c r="I1682" s="2">
        <v>-1.0</v>
      </c>
      <c r="J1682" s="2" t="b">
        <v>0</v>
      </c>
      <c r="K1682" s="2" t="b">
        <v>0</v>
      </c>
      <c r="L1682" s="2" t="b">
        <v>0</v>
      </c>
      <c r="M1682" s="2" t="b">
        <v>0</v>
      </c>
      <c r="N1682" s="2" t="s">
        <v>33</v>
      </c>
      <c r="O1682" s="2">
        <v>120.0</v>
      </c>
      <c r="P1682" s="2">
        <v>9.0</v>
      </c>
      <c r="Q1682" s="2">
        <v>96.0</v>
      </c>
      <c r="R1682" s="2">
        <v>0.0</v>
      </c>
      <c r="S1682" s="3" t="s">
        <v>6887</v>
      </c>
      <c r="T1682" s="2" t="s">
        <v>6888</v>
      </c>
      <c r="Y1682" s="4" t="str">
        <f>IFERROR(__xludf.DUMMYFUNCTION("""COMPUTED_VALUE"""),"6.8988245")</f>
        <v>6.8988245</v>
      </c>
      <c r="Z1682" s="4" t="str">
        <f>IFERROR(__xludf.DUMMYFUNCTION("""COMPUTED_VALUE"""),"3.6699295")</f>
        <v>3.6699295</v>
      </c>
      <c r="AA1682" s="4" t="str">
        <f t="shared" si="1"/>
        <v>Not Neighbor</v>
      </c>
      <c r="AC1682" s="4">
        <f>IFERROR(__xludf.DUMMYFUNCTION("IFERROR(ABS(O1682-AVERAGE(FILTER(O1682:O5750,AA1682:AA5750=""Neighbor""))) / STDEV(FILTER(O1682:O5750, AA1682:AA5750 =""Neighbor"")), """")"),1.644562494878685)</f>
        <v>1.644562495</v>
      </c>
      <c r="AD1682" s="4">
        <f>IFERROR(__xludf.DUMMYFUNCTION("IFERROR(ABS(P1682-AVERAGE(FILTER(O1682:P5750,AA1682:AA5750=""Neighbor""))) / STDEV(FILTER(P1682:P5750, AA1682:AA5750 =""Neighbor"")), """")"),1.239141359533612)</f>
        <v>1.23914136</v>
      </c>
      <c r="AE1682" s="2">
        <f>IFERROR(__xludf.DUMMYFUNCTION("IFERROR(ABS(Q1682-AVERAGE(FILTER(Q1682:Q5750,AA1682:AA5750=""Neighbor""))) / STDEV(FILTER(Q1682:Q5750, AA1682:AA5750 =""Neighbor"")), """")"),2.814693236767782)</f>
        <v>2.814693237</v>
      </c>
      <c r="AF1682" s="2">
        <f>IFERROR(__xludf.DUMMYFUNCTION("IFERROR(ABS(R1682-AVERAGE(FILTER(R1682:R5750,AA1682:AA5750=""Neighbor""))) / STDEV(FILTER(R1682:R5750, AA1682:AA5750 =""Neighbor"")), """")"),0.35214864744099555)</f>
        <v>0.3521486474</v>
      </c>
    </row>
    <row r="1683">
      <c r="A1683" s="2" t="s">
        <v>28</v>
      </c>
      <c r="B1683" s="2" t="s">
        <v>6772</v>
      </c>
      <c r="C1683" s="2" t="s">
        <v>6876</v>
      </c>
      <c r="D1683" s="2" t="s">
        <v>6889</v>
      </c>
      <c r="E1683" s="2" t="s">
        <v>6890</v>
      </c>
      <c r="F1683" s="2">
        <v>201.0</v>
      </c>
      <c r="G1683" s="2">
        <v>571.0</v>
      </c>
      <c r="H1683" s="2" t="b">
        <v>1</v>
      </c>
      <c r="I1683" s="2">
        <v>-1.0</v>
      </c>
      <c r="J1683" s="2" t="b">
        <v>0</v>
      </c>
      <c r="K1683" s="2" t="b">
        <v>0</v>
      </c>
      <c r="L1683" s="2" t="b">
        <v>0</v>
      </c>
      <c r="M1683" s="2" t="b">
        <v>0</v>
      </c>
      <c r="N1683" s="2" t="s">
        <v>33</v>
      </c>
      <c r="O1683" s="2">
        <v>105.0</v>
      </c>
      <c r="P1683" s="2">
        <v>7.0</v>
      </c>
      <c r="Q1683" s="2">
        <v>79.0</v>
      </c>
      <c r="R1683" s="2">
        <v>0.0</v>
      </c>
      <c r="S1683" s="3" t="s">
        <v>6891</v>
      </c>
      <c r="T1683" s="2" t="s">
        <v>6892</v>
      </c>
      <c r="Y1683" s="4" t="str">
        <f>IFERROR(__xludf.DUMMYFUNCTION("""COMPUTED_VALUE"""),"6.9089286")</f>
        <v>6.9089286</v>
      </c>
      <c r="Z1683" s="4" t="str">
        <f>IFERROR(__xludf.DUMMYFUNCTION("""COMPUTED_VALUE"""),"3.6616978")</f>
        <v>3.6616978</v>
      </c>
      <c r="AA1683" s="4" t="str">
        <f t="shared" si="1"/>
        <v>Not Neighbor</v>
      </c>
      <c r="AC1683" s="4">
        <f>IFERROR(__xludf.DUMMYFUNCTION("IFERROR(ABS(O1683-AVERAGE(FILTER(O1683:O5751,AA1683:AA5751=""Neighbor""))) / STDEV(FILTER(O1683:O5751, AA1683:AA5751 =""Neighbor"")), """")"),1.2536716298866917)</f>
        <v>1.25367163</v>
      </c>
      <c r="AD1683" s="4">
        <f>IFERROR(__xludf.DUMMYFUNCTION("IFERROR(ABS(P1683-AVERAGE(FILTER(O1683:P5751,AA1683:AA5751=""Neighbor""))) / STDEV(FILTER(P1683:P5751, AA1683:AA5751 =""Neighbor"")), """")"),1.3297959927944853)</f>
        <v>1.329795993</v>
      </c>
      <c r="AE1683" s="2">
        <f>IFERROR(__xludf.DUMMYFUNCTION("IFERROR(ABS(Q1683-AVERAGE(FILTER(Q1683:Q5751,AA1683:AA5751=""Neighbor""))) / STDEV(FILTER(Q1683:Q5751, AA1683:AA5751 =""Neighbor"")), """")"),2.1497129869855427)</f>
        <v>2.149712987</v>
      </c>
      <c r="AF1683" s="2">
        <f>IFERROR(__xludf.DUMMYFUNCTION("IFERROR(ABS(R1683-AVERAGE(FILTER(R1683:R5751,AA1683:AA5751=""Neighbor""))) / STDEV(FILTER(R1683:R5751, AA1683:AA5751 =""Neighbor"")), """")"),0.35214864744099555)</f>
        <v>0.3521486474</v>
      </c>
    </row>
    <row r="1684">
      <c r="A1684" s="2" t="s">
        <v>28</v>
      </c>
      <c r="B1684" s="2" t="s">
        <v>6772</v>
      </c>
      <c r="C1684" s="2" t="s">
        <v>6876</v>
      </c>
      <c r="D1684" s="2" t="s">
        <v>6893</v>
      </c>
      <c r="E1684" s="2" t="s">
        <v>6894</v>
      </c>
      <c r="F1684" s="2">
        <v>227.0</v>
      </c>
      <c r="G1684" s="2">
        <v>692.0</v>
      </c>
      <c r="H1684" s="2" t="b">
        <v>1</v>
      </c>
      <c r="I1684" s="2">
        <v>-1.0</v>
      </c>
      <c r="J1684" s="2" t="b">
        <v>0</v>
      </c>
      <c r="K1684" s="2" t="b">
        <v>0</v>
      </c>
      <c r="L1684" s="2" t="b">
        <v>0</v>
      </c>
      <c r="M1684" s="2" t="b">
        <v>0</v>
      </c>
      <c r="N1684" s="2" t="s">
        <v>33</v>
      </c>
      <c r="O1684" s="2">
        <v>104.0</v>
      </c>
      <c r="P1684" s="2">
        <v>6.0</v>
      </c>
      <c r="Q1684" s="2">
        <v>108.0</v>
      </c>
      <c r="R1684" s="2">
        <v>0.0</v>
      </c>
      <c r="S1684" s="3" t="s">
        <v>6895</v>
      </c>
      <c r="T1684" s="2" t="s">
        <v>6896</v>
      </c>
      <c r="Y1684" s="4" t="str">
        <f>IFERROR(__xludf.DUMMYFUNCTION("""COMPUTED_VALUE"""),"6.8988245")</f>
        <v>6.8988245</v>
      </c>
      <c r="Z1684" s="4" t="str">
        <f>IFERROR(__xludf.DUMMYFUNCTION("""COMPUTED_VALUE"""),"3.6699295")</f>
        <v>3.6699295</v>
      </c>
      <c r="AA1684" s="4" t="str">
        <f t="shared" si="1"/>
        <v>Not Neighbor</v>
      </c>
      <c r="AC1684" s="4">
        <f>IFERROR(__xludf.DUMMYFUNCTION("IFERROR(ABS(O1684-AVERAGE(FILTER(O1684:O5752,AA1684:AA5752=""Neighbor""))) / STDEV(FILTER(O1684:O5752, AA1684:AA5752 =""Neighbor"")), """")"),1.2276122388872255)</f>
        <v>1.227612239</v>
      </c>
      <c r="AD1684" s="4">
        <f>IFERROR(__xludf.DUMMYFUNCTION("IFERROR(ABS(P1684-AVERAGE(FILTER(O1684:P5752,AA1684:AA5752=""Neighbor""))) / STDEV(FILTER(P1684:P5752, AA1684:AA5752 =""Neighbor"")), """")"),1.375123309424922)</f>
        <v>1.375123309</v>
      </c>
      <c r="AE1684" s="2">
        <f>IFERROR(__xludf.DUMMYFUNCTION("IFERROR(ABS(Q1684-AVERAGE(FILTER(Q1684:Q5752,AA1684:AA5752=""Neighbor""))) / STDEV(FILTER(Q1684:Q5752, AA1684:AA5752 =""Neighbor"")), """")"),3.28409106014348)</f>
        <v>3.28409106</v>
      </c>
      <c r="AF1684" s="2">
        <f>IFERROR(__xludf.DUMMYFUNCTION("IFERROR(ABS(R1684-AVERAGE(FILTER(R1684:R5752,AA1684:AA5752=""Neighbor""))) / STDEV(FILTER(R1684:R5752, AA1684:AA5752 =""Neighbor"")), """")"),0.35214864744099555)</f>
        <v>0.3521486474</v>
      </c>
    </row>
    <row r="1685">
      <c r="A1685" s="2" t="s">
        <v>28</v>
      </c>
      <c r="B1685" s="2" t="s">
        <v>6772</v>
      </c>
      <c r="C1685" s="2" t="s">
        <v>6876</v>
      </c>
      <c r="D1685" s="2" t="s">
        <v>6897</v>
      </c>
      <c r="E1685" s="2" t="s">
        <v>6898</v>
      </c>
      <c r="F1685" s="2">
        <v>179.0</v>
      </c>
      <c r="G1685" s="2">
        <v>750.0</v>
      </c>
      <c r="H1685" s="2" t="b">
        <v>1</v>
      </c>
      <c r="I1685" s="2">
        <v>-1.0</v>
      </c>
      <c r="J1685" s="2" t="b">
        <v>0</v>
      </c>
      <c r="K1685" s="2" t="b">
        <v>0</v>
      </c>
      <c r="L1685" s="2" t="b">
        <v>0</v>
      </c>
      <c r="M1685" s="2" t="b">
        <v>0</v>
      </c>
      <c r="N1685" s="2" t="s">
        <v>33</v>
      </c>
      <c r="O1685" s="2">
        <v>179.0</v>
      </c>
      <c r="P1685" s="2">
        <v>0.0</v>
      </c>
      <c r="Q1685" s="2">
        <v>0.0</v>
      </c>
      <c r="R1685" s="2">
        <v>0.0</v>
      </c>
      <c r="S1685" s="3" t="s">
        <v>6899</v>
      </c>
      <c r="T1685" s="2" t="s">
        <v>6900</v>
      </c>
      <c r="Y1685" s="4" t="str">
        <f>IFERROR(__xludf.DUMMYFUNCTION("""COMPUTED_VALUE"""),"6.9136743")</f>
        <v>6.9136743</v>
      </c>
      <c r="Z1685" s="4" t="str">
        <f>IFERROR(__xludf.DUMMYFUNCTION("""COMPUTED_VALUE"""),"3.6645154")</f>
        <v>3.6645154</v>
      </c>
      <c r="AA1685" s="4" t="str">
        <f t="shared" si="1"/>
        <v>Not Neighbor</v>
      </c>
      <c r="AC1685" s="4">
        <f>IFERROR(__xludf.DUMMYFUNCTION("IFERROR(ABS(O1685-AVERAGE(FILTER(O1685:O5753,AA1685:AA5753=""Neighbor""))) / STDEV(FILTER(O1685:O5753, AA1685:AA5753 =""Neighbor"")), """")"),3.182066563847192)</f>
        <v>3.182066564</v>
      </c>
      <c r="AD1685" s="4">
        <f>IFERROR(__xludf.DUMMYFUNCTION("IFERROR(ABS(P1685-AVERAGE(FILTER(O1685:P5753,AA1685:AA5753=""Neighbor""))) / STDEV(FILTER(P1685:P5753, AA1685:AA5753 =""Neighbor"")), """")"),1.6470872092075417)</f>
        <v>1.647087209</v>
      </c>
      <c r="AE1685" s="2">
        <f>IFERROR(__xludf.DUMMYFUNCTION("IFERROR(ABS(Q1685-AVERAGE(FILTER(Q1685:Q5753,AA1685:AA5753=""Neighbor""))) / STDEV(FILTER(Q1685:Q5753, AA1685:AA5753 =""Neighbor"")), """")"),0.9404893502378036)</f>
        <v>0.9404893502</v>
      </c>
      <c r="AF1685" s="2">
        <f>IFERROR(__xludf.DUMMYFUNCTION("IFERROR(ABS(R1685-AVERAGE(FILTER(R1685:R5753,AA1685:AA5753=""Neighbor""))) / STDEV(FILTER(R1685:R5753, AA1685:AA5753 =""Neighbor"")), """")"),0.35214864744099555)</f>
        <v>0.3521486474</v>
      </c>
    </row>
    <row r="1686">
      <c r="A1686" s="2" t="s">
        <v>28</v>
      </c>
      <c r="B1686" s="2" t="s">
        <v>6772</v>
      </c>
      <c r="C1686" s="2" t="s">
        <v>6876</v>
      </c>
      <c r="D1686" s="2" t="s">
        <v>6901</v>
      </c>
      <c r="E1686" s="2" t="s">
        <v>6902</v>
      </c>
      <c r="F1686" s="2">
        <v>223.0</v>
      </c>
      <c r="G1686" s="2">
        <v>598.0</v>
      </c>
      <c r="H1686" s="2" t="b">
        <v>1</v>
      </c>
      <c r="I1686" s="2">
        <v>-1.0</v>
      </c>
      <c r="J1686" s="2" t="b">
        <v>0</v>
      </c>
      <c r="K1686" s="2" t="b">
        <v>0</v>
      </c>
      <c r="L1686" s="2" t="b">
        <v>0</v>
      </c>
      <c r="M1686" s="2" t="b">
        <v>0</v>
      </c>
      <c r="N1686" s="2" t="s">
        <v>33</v>
      </c>
      <c r="O1686" s="2">
        <v>106.0</v>
      </c>
      <c r="P1686" s="2">
        <v>12.0</v>
      </c>
      <c r="Q1686" s="2">
        <v>98.0</v>
      </c>
      <c r="R1686" s="2">
        <v>0.0</v>
      </c>
      <c r="S1686" s="3" t="s">
        <v>6903</v>
      </c>
      <c r="T1686" s="2" t="s">
        <v>6904</v>
      </c>
      <c r="Y1686" s="4" t="str">
        <f>IFERROR(__xludf.DUMMYFUNCTION("""COMPUTED_VALUE"""),"6.903373")</f>
        <v>6.903373</v>
      </c>
      <c r="Z1686" s="4" t="str">
        <f>IFERROR(__xludf.DUMMYFUNCTION("""COMPUTED_VALUE"""),"3.654789")</f>
        <v>3.654789</v>
      </c>
      <c r="AA1686" s="4" t="str">
        <f t="shared" si="1"/>
        <v>Not Neighbor</v>
      </c>
      <c r="AC1686" s="4">
        <f>IFERROR(__xludf.DUMMYFUNCTION("IFERROR(ABS(O1686-AVERAGE(FILTER(O1686:O5754,AA1686:AA5754=""Neighbor""))) / STDEV(FILTER(O1686:O5754, AA1686:AA5754 =""Neighbor"")), """")"),1.2797310208861579)</f>
        <v>1.279731021</v>
      </c>
      <c r="AD1686" s="4">
        <f>IFERROR(__xludf.DUMMYFUNCTION("IFERROR(ABS(P1686-AVERAGE(FILTER(O1686:P5754,AA1686:AA5754=""Neighbor""))) / STDEV(FILTER(P1686:P5754, AA1686:AA5754 =""Neighbor"")), """")"),1.103159409642302)</f>
        <v>1.10315941</v>
      </c>
      <c r="AE1686" s="2">
        <f>IFERROR(__xludf.DUMMYFUNCTION("IFERROR(ABS(Q1686-AVERAGE(FILTER(Q1686:Q5754,AA1686:AA5754=""Neighbor""))) / STDEV(FILTER(Q1686:Q5754, AA1686:AA5754 =""Neighbor"")), """")"),2.8929262073303983)</f>
        <v>2.892926207</v>
      </c>
      <c r="AF1686" s="2">
        <f>IFERROR(__xludf.DUMMYFUNCTION("IFERROR(ABS(R1686-AVERAGE(FILTER(R1686:R5754,AA1686:AA5754=""Neighbor""))) / STDEV(FILTER(R1686:R5754, AA1686:AA5754 =""Neighbor"")), """")"),0.35214864744099555)</f>
        <v>0.3521486474</v>
      </c>
    </row>
    <row r="1687">
      <c r="A1687" s="2" t="s">
        <v>28</v>
      </c>
      <c r="B1687" s="2" t="s">
        <v>6772</v>
      </c>
      <c r="C1687" s="2" t="s">
        <v>6905</v>
      </c>
      <c r="D1687" s="2" t="s">
        <v>6906</v>
      </c>
      <c r="E1687" s="2" t="s">
        <v>6907</v>
      </c>
      <c r="F1687" s="2">
        <v>319.0</v>
      </c>
      <c r="G1687" s="2">
        <v>814.0</v>
      </c>
      <c r="H1687" s="2" t="b">
        <v>1</v>
      </c>
      <c r="I1687" s="2">
        <v>-1.0</v>
      </c>
      <c r="J1687" s="2" t="b">
        <v>0</v>
      </c>
      <c r="K1687" s="2" t="b">
        <v>0</v>
      </c>
      <c r="L1687" s="2" t="b">
        <v>0</v>
      </c>
      <c r="M1687" s="2" t="b">
        <v>0</v>
      </c>
      <c r="N1687" s="2" t="s">
        <v>33</v>
      </c>
      <c r="O1687" s="2">
        <v>149.0</v>
      </c>
      <c r="P1687" s="2">
        <v>5.0</v>
      </c>
      <c r="Q1687" s="2">
        <v>160.0</v>
      </c>
      <c r="R1687" s="2">
        <v>0.0</v>
      </c>
      <c r="S1687" s="3" t="s">
        <v>6908</v>
      </c>
      <c r="T1687" s="2" t="s">
        <v>6909</v>
      </c>
      <c r="Y1687" s="4" t="str">
        <f>IFERROR(__xludf.DUMMYFUNCTION("""COMPUTED_VALUE"""),"6.8650212")</f>
        <v>6.8650212</v>
      </c>
      <c r="Z1687" s="4" t="str">
        <f>IFERROR(__xludf.DUMMYFUNCTION("""COMPUTED_VALUE"""),"3.7143181")</f>
        <v>3.7143181</v>
      </c>
      <c r="AA1687" s="4" t="str">
        <f t="shared" si="1"/>
        <v>Not Neighbor</v>
      </c>
      <c r="AC1687" s="4">
        <f>IFERROR(__xludf.DUMMYFUNCTION("IFERROR(ABS(O1687-AVERAGE(FILTER(O1687:O5755,AA1687:AA5755=""Neighbor""))) / STDEV(FILTER(O1687:O5755, AA1687:AA5755 =""Neighbor"")), """")"),2.4002848338632052)</f>
        <v>2.400284834</v>
      </c>
      <c r="AD1687" s="4">
        <f>IFERROR(__xludf.DUMMYFUNCTION("IFERROR(ABS(P1687-AVERAGE(FILTER(O1687:P5755,AA1687:AA5755=""Neighbor""))) / STDEV(FILTER(P1687:P5755, AA1687:AA5755 =""Neighbor"")), """")"),1.4204506260553587)</f>
        <v>1.420450626</v>
      </c>
      <c r="AE1687" s="2">
        <f>IFERROR(__xludf.DUMMYFUNCTION("IFERROR(ABS(Q1687-AVERAGE(FILTER(Q1687:Q5755,AA1687:AA5755=""Neighbor""))) / STDEV(FILTER(Q1687:Q5755, AA1687:AA5755 =""Neighbor"")), """")"),5.318148294771506)</f>
        <v>5.318148295</v>
      </c>
      <c r="AF1687" s="2">
        <f>IFERROR(__xludf.DUMMYFUNCTION("IFERROR(ABS(R1687-AVERAGE(FILTER(R1687:R5755,AA1687:AA5755=""Neighbor""))) / STDEV(FILTER(R1687:R5755, AA1687:AA5755 =""Neighbor"")), """")"),0.35214864744099555)</f>
        <v>0.3521486474</v>
      </c>
    </row>
    <row r="1688">
      <c r="A1688" s="2" t="s">
        <v>28</v>
      </c>
      <c r="B1688" s="2" t="s">
        <v>6772</v>
      </c>
      <c r="C1688" s="2" t="s">
        <v>6905</v>
      </c>
      <c r="D1688" s="2" t="s">
        <v>6910</v>
      </c>
      <c r="E1688" s="2" t="s">
        <v>6911</v>
      </c>
      <c r="F1688" s="2">
        <v>235.0</v>
      </c>
      <c r="G1688" s="2">
        <v>855.0</v>
      </c>
      <c r="H1688" s="2" t="b">
        <v>1</v>
      </c>
      <c r="I1688" s="2">
        <v>-1.0</v>
      </c>
      <c r="J1688" s="2" t="b">
        <v>0</v>
      </c>
      <c r="K1688" s="2" t="b">
        <v>0</v>
      </c>
      <c r="L1688" s="2" t="b">
        <v>0</v>
      </c>
      <c r="M1688" s="2" t="b">
        <v>0</v>
      </c>
      <c r="N1688" s="2" t="s">
        <v>33</v>
      </c>
      <c r="O1688" s="2">
        <v>152.0</v>
      </c>
      <c r="P1688" s="2">
        <v>0.0</v>
      </c>
      <c r="Q1688" s="2">
        <v>78.0</v>
      </c>
      <c r="R1688" s="2">
        <v>0.0</v>
      </c>
      <c r="S1688" s="3" t="s">
        <v>6912</v>
      </c>
      <c r="T1688" s="2" t="s">
        <v>6913</v>
      </c>
      <c r="Y1688" s="4" t="str">
        <f>IFERROR(__xludf.DUMMYFUNCTION("""COMPUTED_VALUE"""),"6.9149319")</f>
        <v>6.9149319</v>
      </c>
      <c r="Z1688" s="4" t="str">
        <f>IFERROR(__xludf.DUMMYFUNCTION("""COMPUTED_VALUE"""),"3.664859")</f>
        <v>3.664859</v>
      </c>
      <c r="AA1688" s="4" t="str">
        <f t="shared" si="1"/>
        <v>Not Neighbor</v>
      </c>
      <c r="AC1688" s="4">
        <f>IFERROR(__xludf.DUMMYFUNCTION("IFERROR(ABS(O1688-AVERAGE(FILTER(O1688:O5756,AA1688:AA5756=""Neighbor""))) / STDEV(FILTER(O1688:O5756, AA1688:AA5756 =""Neighbor"")), """")"),2.4784630068616043)</f>
        <v>2.478463007</v>
      </c>
      <c r="AD1688" s="4">
        <f>IFERROR(__xludf.DUMMYFUNCTION("IFERROR(ABS(P1688-AVERAGE(FILTER(O1688:P5756,AA1688:AA5756=""Neighbor""))) / STDEV(FILTER(P1688:P5756, AA1688:AA5756 =""Neighbor"")), """")"),1.6470872092075417)</f>
        <v>1.647087209</v>
      </c>
      <c r="AE1688" s="2">
        <f>IFERROR(__xludf.DUMMYFUNCTION("IFERROR(ABS(Q1688-AVERAGE(FILTER(Q1688:Q5756,AA1688:AA5756=""Neighbor""))) / STDEV(FILTER(Q1688:Q5756, AA1688:AA5756 =""Neighbor"")), """")"),2.1105965017042347)</f>
        <v>2.110596502</v>
      </c>
      <c r="AF1688" s="2">
        <f>IFERROR(__xludf.DUMMYFUNCTION("IFERROR(ABS(R1688-AVERAGE(FILTER(R1688:R5756,AA1688:AA5756=""Neighbor""))) / STDEV(FILTER(R1688:R5756, AA1688:AA5756 =""Neighbor"")), """")"),0.35214864744099555)</f>
        <v>0.3521486474</v>
      </c>
    </row>
    <row r="1689">
      <c r="A1689" s="2" t="s">
        <v>28</v>
      </c>
      <c r="B1689" s="2" t="s">
        <v>6772</v>
      </c>
      <c r="C1689" s="2" t="s">
        <v>6905</v>
      </c>
      <c r="D1689" s="2" t="s">
        <v>6914</v>
      </c>
      <c r="E1689" s="2" t="s">
        <v>6915</v>
      </c>
      <c r="F1689" s="2">
        <v>263.0</v>
      </c>
      <c r="G1689" s="2">
        <v>950.0</v>
      </c>
      <c r="H1689" s="2" t="b">
        <v>1</v>
      </c>
      <c r="I1689" s="2">
        <v>-1.0</v>
      </c>
      <c r="J1689" s="2" t="b">
        <v>0</v>
      </c>
      <c r="K1689" s="2" t="b">
        <v>0</v>
      </c>
      <c r="L1689" s="2" t="b">
        <v>0</v>
      </c>
      <c r="M1689" s="2" t="b">
        <v>0</v>
      </c>
      <c r="N1689" s="2" t="s">
        <v>33</v>
      </c>
      <c r="O1689" s="2">
        <v>140.0</v>
      </c>
      <c r="P1689" s="2">
        <v>29.0</v>
      </c>
      <c r="Q1689" s="2">
        <v>86.0</v>
      </c>
      <c r="R1689" s="2">
        <v>0.0</v>
      </c>
      <c r="S1689" s="3" t="s">
        <v>6916</v>
      </c>
      <c r="T1689" s="2" t="s">
        <v>6917</v>
      </c>
      <c r="Y1689" s="4" t="str">
        <f>IFERROR(__xludf.DUMMYFUNCTION("""COMPUTED_VALUE"""),"6.8650212")</f>
        <v>6.8650212</v>
      </c>
      <c r="Z1689" s="4" t="str">
        <f>IFERROR(__xludf.DUMMYFUNCTION("""COMPUTED_VALUE"""),"3.7143181")</f>
        <v>3.7143181</v>
      </c>
      <c r="AA1689" s="4" t="str">
        <f t="shared" si="1"/>
        <v>Not Neighbor</v>
      </c>
      <c r="AC1689" s="4">
        <f>IFERROR(__xludf.DUMMYFUNCTION("IFERROR(ABS(O1689-AVERAGE(FILTER(O1689:O5757,AA1689:AA5757=""Neighbor""))) / STDEV(FILTER(O1689:O5757, AA1689:AA5757 =""Neighbor"")), """")"),2.1657503148680095)</f>
        <v>2.165750315</v>
      </c>
      <c r="AD1689" s="4">
        <f>IFERROR(__xludf.DUMMYFUNCTION("IFERROR(ABS(P1689-AVERAGE(FILTER(O1689:P5757,AA1689:AA5757=""Neighbor""))) / STDEV(FILTER(P1689:P5757, AA1689:AA5757 =""Neighbor"")), """")"),0.33259502692487924)</f>
        <v>0.3325950269</v>
      </c>
      <c r="AE1689" s="2">
        <f>IFERROR(__xludf.DUMMYFUNCTION("IFERROR(ABS(Q1689-AVERAGE(FILTER(Q1689:Q5757,AA1689:AA5757=""Neighbor""))) / STDEV(FILTER(Q1689:Q5757, AA1689:AA5757 =""Neighbor"")), """")"),2.4235283839547)</f>
        <v>2.423528384</v>
      </c>
      <c r="AF1689" s="2">
        <f>IFERROR(__xludf.DUMMYFUNCTION("IFERROR(ABS(R1689-AVERAGE(FILTER(R1689:R5757,AA1689:AA5757=""Neighbor""))) / STDEV(FILTER(R1689:R5757, AA1689:AA5757 =""Neighbor"")), """")"),0.35214864744099555)</f>
        <v>0.3521486474</v>
      </c>
    </row>
    <row r="1690">
      <c r="A1690" s="2" t="s">
        <v>28</v>
      </c>
      <c r="B1690" s="2" t="s">
        <v>6772</v>
      </c>
      <c r="C1690" s="2" t="s">
        <v>6905</v>
      </c>
      <c r="D1690" s="2" t="s">
        <v>6918</v>
      </c>
      <c r="E1690" s="2" t="s">
        <v>6919</v>
      </c>
      <c r="F1690" s="2">
        <v>243.0</v>
      </c>
      <c r="G1690" s="2">
        <v>801.0</v>
      </c>
      <c r="H1690" s="2" t="b">
        <v>1</v>
      </c>
      <c r="I1690" s="2">
        <v>-1.0</v>
      </c>
      <c r="J1690" s="2" t="b">
        <v>0</v>
      </c>
      <c r="K1690" s="2" t="b">
        <v>1</v>
      </c>
      <c r="L1690" s="2" t="b">
        <v>0</v>
      </c>
      <c r="M1690" s="2" t="b">
        <v>0</v>
      </c>
      <c r="N1690" s="2" t="s">
        <v>33</v>
      </c>
      <c r="O1690" s="2">
        <v>108.0</v>
      </c>
      <c r="P1690" s="2">
        <v>48.0</v>
      </c>
      <c r="Q1690" s="2">
        <v>62.0</v>
      </c>
      <c r="R1690" s="2">
        <v>0.0</v>
      </c>
      <c r="S1690" s="3" t="s">
        <v>6920</v>
      </c>
      <c r="T1690" s="2" t="s">
        <v>6921</v>
      </c>
      <c r="Y1690" s="4" t="str">
        <f>IFERROR(__xludf.DUMMYFUNCTION("""COMPUTED_VALUE"""),"6.9149319")</f>
        <v>6.9149319</v>
      </c>
      <c r="Z1690" s="4" t="str">
        <f>IFERROR(__xludf.DUMMYFUNCTION("""COMPUTED_VALUE"""),"3.664859")</f>
        <v>3.664859</v>
      </c>
      <c r="AA1690" s="4" t="str">
        <f t="shared" si="1"/>
        <v>Not Neighbor</v>
      </c>
      <c r="AC1690" s="4">
        <f>IFERROR(__xludf.DUMMYFUNCTION("IFERROR(ABS(O1690-AVERAGE(FILTER(O1690:O5758,AA1690:AA5758=""Neighbor""))) / STDEV(FILTER(O1690:O5758, AA1690:AA5758 =""Neighbor"")), """")"),1.3318498028850905)</f>
        <v>1.331849803</v>
      </c>
      <c r="AD1690" s="4">
        <f>IFERROR(__xludf.DUMMYFUNCTION("IFERROR(ABS(P1690-AVERAGE(FILTER(O1690:P5758,AA1690:AA5758=""Neighbor""))) / STDEV(FILTER(P1690:P5758, AA1690:AA5758 =""Neighbor"")), """")"),0.5286239890534169)</f>
        <v>0.5286239891</v>
      </c>
      <c r="AE1690" s="2">
        <f>IFERROR(__xludf.DUMMYFUNCTION("IFERROR(ABS(Q1690-AVERAGE(FILTER(Q1690:Q5758,AA1690:AA5758=""Neighbor""))) / STDEV(FILTER(Q1690:Q5758, AA1690:AA5758 =""Neighbor"")), """")"),1.4847327372033037)</f>
        <v>1.484732737</v>
      </c>
      <c r="AF1690" s="2">
        <f>IFERROR(__xludf.DUMMYFUNCTION("IFERROR(ABS(R1690-AVERAGE(FILTER(R1690:R5758,AA1690:AA5758=""Neighbor""))) / STDEV(FILTER(R1690:R5758, AA1690:AA5758 =""Neighbor"")), """")"),0.35214864744099555)</f>
        <v>0.3521486474</v>
      </c>
    </row>
    <row r="1691">
      <c r="A1691" s="2" t="s">
        <v>28</v>
      </c>
      <c r="B1691" s="2" t="s">
        <v>6772</v>
      </c>
      <c r="C1691" s="2" t="s">
        <v>6905</v>
      </c>
      <c r="D1691" s="2" t="s">
        <v>6922</v>
      </c>
      <c r="E1691" s="2" t="s">
        <v>6923</v>
      </c>
      <c r="F1691" s="2">
        <v>290.0</v>
      </c>
      <c r="G1691" s="2">
        <v>867.0</v>
      </c>
      <c r="H1691" s="2" t="b">
        <v>1</v>
      </c>
      <c r="I1691" s="2">
        <v>-1.0</v>
      </c>
      <c r="J1691" s="2" t="b">
        <v>0</v>
      </c>
      <c r="K1691" s="2" t="b">
        <v>1</v>
      </c>
      <c r="L1691" s="2" t="b">
        <v>0</v>
      </c>
      <c r="M1691" s="2" t="b">
        <v>0</v>
      </c>
      <c r="N1691" s="2" t="s">
        <v>33</v>
      </c>
      <c r="O1691" s="2">
        <v>159.0</v>
      </c>
      <c r="P1691" s="2">
        <v>12.0</v>
      </c>
      <c r="Q1691" s="2">
        <v>111.0</v>
      </c>
      <c r="R1691" s="2">
        <v>2.0</v>
      </c>
      <c r="S1691" s="3" t="s">
        <v>6924</v>
      </c>
      <c r="T1691" s="2" t="s">
        <v>6925</v>
      </c>
      <c r="Y1691" s="4" t="str">
        <f>IFERROR(__xludf.DUMMYFUNCTION("""COMPUTED_VALUE"""),"6.8650212")</f>
        <v>6.8650212</v>
      </c>
      <c r="Z1691" s="4" t="str">
        <f>IFERROR(__xludf.DUMMYFUNCTION("""COMPUTED_VALUE"""),"3.7143181")</f>
        <v>3.7143181</v>
      </c>
      <c r="AA1691" s="4" t="str">
        <f t="shared" si="1"/>
        <v>Not Neighbor</v>
      </c>
      <c r="AC1691" s="4">
        <f>IFERROR(__xludf.DUMMYFUNCTION("IFERROR(ABS(O1691-AVERAGE(FILTER(O1691:O5759,AA1691:AA5759=""Neighbor""))) / STDEV(FILTER(O1691:O5759, AA1691:AA5759 =""Neighbor"")), """")"),2.6608787438578676)</f>
        <v>2.660878744</v>
      </c>
      <c r="AD1691" s="4">
        <f>IFERROR(__xludf.DUMMYFUNCTION("IFERROR(ABS(P1691-AVERAGE(FILTER(O1691:P5759,AA1691:AA5759=""Neighbor""))) / STDEV(FILTER(P1691:P5759, AA1691:AA5759 =""Neighbor"")), """")"),1.103159409642302)</f>
        <v>1.10315941</v>
      </c>
      <c r="AE1691" s="2">
        <f>IFERROR(__xludf.DUMMYFUNCTION("IFERROR(ABS(Q1691-AVERAGE(FILTER(Q1691:Q5759,AA1691:AA5759=""Neighbor""))) / STDEV(FILTER(Q1691:Q5759, AA1691:AA5759 =""Neighbor"")), """")"),3.4014405159874044)</f>
        <v>3.401440516</v>
      </c>
      <c r="AF1691" s="2">
        <f>IFERROR(__xludf.DUMMYFUNCTION("IFERROR(ABS(R1691-AVERAGE(FILTER(R1691:R5759,AA1691:AA5759=""Neighbor""))) / STDEV(FILTER(R1691:R5759, AA1691:AA5759 =""Neighbor"")), """")"),1.9874690787080844)</f>
        <v>1.987469079</v>
      </c>
    </row>
    <row r="1692">
      <c r="A1692" s="2" t="s">
        <v>28</v>
      </c>
      <c r="B1692" s="2" t="s">
        <v>6772</v>
      </c>
      <c r="C1692" s="2" t="s">
        <v>6905</v>
      </c>
      <c r="D1692" s="2" t="s">
        <v>6926</v>
      </c>
      <c r="E1692" s="2" t="s">
        <v>6927</v>
      </c>
      <c r="F1692" s="2">
        <v>261.0</v>
      </c>
      <c r="G1692" s="2">
        <v>763.0</v>
      </c>
      <c r="H1692" s="2" t="b">
        <v>1</v>
      </c>
      <c r="I1692" s="2">
        <v>-1.0</v>
      </c>
      <c r="J1692" s="2" t="b">
        <v>0</v>
      </c>
      <c r="K1692" s="2" t="b">
        <v>0</v>
      </c>
      <c r="L1692" s="2" t="b">
        <v>0</v>
      </c>
      <c r="M1692" s="2" t="b">
        <v>0</v>
      </c>
      <c r="N1692" s="2" t="s">
        <v>33</v>
      </c>
      <c r="O1692" s="2">
        <v>148.0</v>
      </c>
      <c r="P1692" s="2">
        <v>16.0</v>
      </c>
      <c r="Q1692" s="2">
        <v>76.0</v>
      </c>
      <c r="R1692" s="2">
        <v>0.0</v>
      </c>
      <c r="S1692" s="3" t="s">
        <v>6928</v>
      </c>
      <c r="T1692" s="2" t="s">
        <v>6929</v>
      </c>
      <c r="Y1692" s="4" t="str">
        <f>IFERROR(__xludf.DUMMYFUNCTION("""COMPUTED_VALUE"""),"6.9149319")</f>
        <v>6.9149319</v>
      </c>
      <c r="Z1692" s="4" t="str">
        <f>IFERROR(__xludf.DUMMYFUNCTION("""COMPUTED_VALUE"""),"3.664859")</f>
        <v>3.664859</v>
      </c>
      <c r="AA1692" s="4" t="str">
        <f t="shared" si="1"/>
        <v>Neighbor</v>
      </c>
      <c r="AC1692" s="4">
        <f>IFERROR(__xludf.DUMMYFUNCTION("IFERROR(ABS(O1692-AVERAGE(FILTER(O1692:O5760,AA1692:AA5760=""Neighbor""))) / STDEV(FILTER(O1692:O5760, AA1692:AA5760 =""Neighbor"")), """")"),2.374225442863739)</f>
        <v>2.374225443</v>
      </c>
      <c r="AD1692" s="4">
        <f>IFERROR(__xludf.DUMMYFUNCTION("IFERROR(ABS(P1692-AVERAGE(FILTER(O1692:P5760,AA1692:AA5760=""Neighbor""))) / STDEV(FILTER(P1692:P5760, AA1692:AA5760 =""Neighbor"")), """")"),0.9218501431205556)</f>
        <v>0.9218501431</v>
      </c>
      <c r="AE1692" s="2">
        <f>IFERROR(__xludf.DUMMYFUNCTION("IFERROR(ABS(Q1692-AVERAGE(FILTER(Q1692:Q5760,AA1692:AA5760=""Neighbor""))) / STDEV(FILTER(Q1692:Q5760, AA1692:AA5760 =""Neighbor"")), """")"),2.0323635311416184)</f>
        <v>2.032363531</v>
      </c>
      <c r="AF1692" s="2">
        <f>IFERROR(__xludf.DUMMYFUNCTION("IFERROR(ABS(R1692-AVERAGE(FILTER(R1692:R5760,AA1692:AA5760=""Neighbor""))) / STDEV(FILTER(R1692:R5760, AA1692:AA5760 =""Neighbor"")), """")"),0.35214864744099555)</f>
        <v>0.3521486474</v>
      </c>
    </row>
    <row r="1693">
      <c r="A1693" s="2" t="s">
        <v>28</v>
      </c>
      <c r="B1693" s="2" t="s">
        <v>6772</v>
      </c>
      <c r="C1693" s="2" t="s">
        <v>6905</v>
      </c>
      <c r="D1693" s="2" t="s">
        <v>6930</v>
      </c>
      <c r="E1693" s="2" t="s">
        <v>6931</v>
      </c>
      <c r="F1693" s="2">
        <v>291.0</v>
      </c>
      <c r="G1693" s="2">
        <v>924.0</v>
      </c>
      <c r="H1693" s="2" t="b">
        <v>1</v>
      </c>
      <c r="I1693" s="2">
        <v>-1.0</v>
      </c>
      <c r="J1693" s="2" t="b">
        <v>0</v>
      </c>
      <c r="K1693" s="2" t="b">
        <v>0</v>
      </c>
      <c r="L1693" s="2" t="b">
        <v>0</v>
      </c>
      <c r="M1693" s="2" t="b">
        <v>0</v>
      </c>
      <c r="N1693" s="2" t="s">
        <v>33</v>
      </c>
      <c r="O1693" s="2">
        <v>127.0</v>
      </c>
      <c r="P1693" s="2">
        <v>62.0</v>
      </c>
      <c r="Q1693" s="2">
        <v>81.0</v>
      </c>
      <c r="R1693" s="2">
        <v>3.0</v>
      </c>
      <c r="S1693" s="3" t="s">
        <v>6932</v>
      </c>
      <c r="T1693" s="2" t="s">
        <v>6933</v>
      </c>
      <c r="Y1693" s="4" t="str">
        <f>IFERROR(__xludf.DUMMYFUNCTION("""COMPUTED_VALUE"""),"6.9187314")</f>
        <v>6.9187314</v>
      </c>
      <c r="Z1693" s="4" t="str">
        <f>IFERROR(__xludf.DUMMYFUNCTION("""COMPUTED_VALUE"""),"3.6569158")</f>
        <v>3.6569158</v>
      </c>
      <c r="AA1693" s="4" t="str">
        <f t="shared" si="1"/>
        <v>Not Neighbor</v>
      </c>
      <c r="AC1693" s="4">
        <f>IFERROR(__xludf.DUMMYFUNCTION("IFERROR(ABS(O1693-AVERAGE(FILTER(O1693:O5761,AA1693:AA5761=""Neighbor""))) / STDEV(FILTER(O1693:O5761, AA1693:AA5761 =""Neighbor"")), """")"),1.8338314498977202)</f>
        <v>1.83383145</v>
      </c>
      <c r="AD1693" s="4">
        <f>IFERROR(__xludf.DUMMYFUNCTION("IFERROR(ABS(P1693-AVERAGE(FILTER(O1693:P5761,AA1693:AA5761=""Neighbor""))) / STDEV(FILTER(P1693:P5761, AA1693:AA5761 =""Neighbor"")), """")"),1.164740980489233)</f>
        <v>1.16474098</v>
      </c>
      <c r="AE1693" s="2">
        <f>IFERROR(__xludf.DUMMYFUNCTION("IFERROR(ABS(Q1693-AVERAGE(FILTER(Q1693:Q5761,AA1693:AA5761=""Neighbor""))) / STDEV(FILTER(Q1693:Q5761, AA1693:AA5761 =""Neighbor"")), """")"),2.233663011822853)</f>
        <v>2.233663012</v>
      </c>
      <c r="AF1693" s="2">
        <f>IFERROR(__xludf.DUMMYFUNCTION("IFERROR(ABS(R1693-AVERAGE(FILTER(R1693:R5761,AA1693:AA5761=""Neighbor""))) / STDEV(FILTER(R1693:R5761, AA1693:AA5761 =""Neighbor"")), """")"),3.1554872799832814)</f>
        <v>3.15548728</v>
      </c>
    </row>
    <row r="1694">
      <c r="A1694" s="2" t="s">
        <v>28</v>
      </c>
      <c r="B1694" s="2" t="s">
        <v>6772</v>
      </c>
      <c r="C1694" s="2" t="s">
        <v>6934</v>
      </c>
      <c r="D1694" s="2" t="s">
        <v>6935</v>
      </c>
      <c r="E1694" s="2" t="s">
        <v>6936</v>
      </c>
      <c r="F1694" s="2">
        <v>203.0</v>
      </c>
      <c r="G1694" s="2">
        <v>758.0</v>
      </c>
      <c r="H1694" s="2" t="b">
        <v>1</v>
      </c>
      <c r="I1694" s="2">
        <v>-1.0</v>
      </c>
      <c r="J1694" s="2" t="b">
        <v>0</v>
      </c>
      <c r="K1694" s="2" t="b">
        <v>0</v>
      </c>
      <c r="L1694" s="2" t="b">
        <v>0</v>
      </c>
      <c r="M1694" s="2" t="b">
        <v>0</v>
      </c>
      <c r="N1694" s="2" t="s">
        <v>33</v>
      </c>
      <c r="O1694" s="2">
        <v>84.0</v>
      </c>
      <c r="P1694" s="2">
        <v>8.0</v>
      </c>
      <c r="Q1694" s="2">
        <v>93.0</v>
      </c>
      <c r="R1694" s="2">
        <v>0.0</v>
      </c>
      <c r="S1694" s="3" t="s">
        <v>6937</v>
      </c>
      <c r="T1694" s="2" t="s">
        <v>6938</v>
      </c>
      <c r="Y1694" s="4" t="str">
        <f>IFERROR(__xludf.DUMMYFUNCTION("""COMPUTED_VALUE"""),"6.9365954")</f>
        <v>6.9365954</v>
      </c>
      <c r="Z1694" s="4" t="str">
        <f>IFERROR(__xludf.DUMMYFUNCTION("""COMPUTED_VALUE"""),"3.6344466")</f>
        <v>3.6344466</v>
      </c>
      <c r="AA1694" s="4" t="str">
        <f t="shared" si="1"/>
        <v>Neighbor</v>
      </c>
      <c r="AC1694" s="4">
        <f>IFERROR(__xludf.DUMMYFUNCTION("IFERROR(ABS(O1694-AVERAGE(FILTER(O1694:O5762,AA1694:AA5762=""Neighbor""))) / STDEV(FILTER(O1694:O5762, AA1694:AA5762 =""Neighbor"")), """")"),0.7105807071980421)</f>
        <v>0.7105807072</v>
      </c>
      <c r="AD1694" s="4">
        <f>IFERROR(__xludf.DUMMYFUNCTION("IFERROR(ABS(P1694-AVERAGE(FILTER(O1694:P5762,AA1694:AA5762=""Neighbor""))) / STDEV(FILTER(P1694:P5762, AA1694:AA5762 =""Neighbor"")), """")"),1.2816709229760797)</f>
        <v>1.281670923</v>
      </c>
      <c r="AE1694" s="2">
        <f>IFERROR(__xludf.DUMMYFUNCTION("IFERROR(ABS(Q1694-AVERAGE(FILTER(Q1694:Q5762,AA1694:AA5762=""Neighbor""))) / STDEV(FILTER(Q1694:Q5762, AA1694:AA5762 =""Neighbor"")), """")"),2.7038227334432596)</f>
        <v>2.703822733</v>
      </c>
      <c r="AF1694" s="2">
        <f>IFERROR(__xludf.DUMMYFUNCTION("IFERROR(ABS(R1694-AVERAGE(FILTER(R1694:R5762,AA1694:AA5762=""Neighbor""))) / STDEV(FILTER(R1694:R5762, AA1694:AA5762 =""Neighbor"")), """")"),0.35235269053733015)</f>
        <v>0.3523526905</v>
      </c>
    </row>
    <row r="1695">
      <c r="A1695" s="2" t="s">
        <v>28</v>
      </c>
      <c r="B1695" s="2" t="s">
        <v>6772</v>
      </c>
      <c r="C1695" s="2" t="s">
        <v>6934</v>
      </c>
      <c r="D1695" s="2" t="s">
        <v>6939</v>
      </c>
      <c r="E1695" s="2" t="s">
        <v>6940</v>
      </c>
      <c r="F1695" s="2">
        <v>219.0</v>
      </c>
      <c r="G1695" s="2">
        <v>713.0</v>
      </c>
      <c r="H1695" s="2" t="b">
        <v>1</v>
      </c>
      <c r="I1695" s="2">
        <v>-1.0</v>
      </c>
      <c r="J1695" s="2" t="b">
        <v>0</v>
      </c>
      <c r="K1695" s="2" t="b">
        <v>0</v>
      </c>
      <c r="L1695" s="2" t="b">
        <v>0</v>
      </c>
      <c r="M1695" s="2" t="b">
        <v>0</v>
      </c>
      <c r="N1695" s="2" t="s">
        <v>33</v>
      </c>
      <c r="O1695" s="2">
        <v>113.0</v>
      </c>
      <c r="P1695" s="2">
        <v>26.0</v>
      </c>
      <c r="Q1695" s="2">
        <v>70.0</v>
      </c>
      <c r="R1695" s="2">
        <v>1.0</v>
      </c>
      <c r="S1695" s="3" t="s">
        <v>6941</v>
      </c>
      <c r="T1695" s="2" t="s">
        <v>6942</v>
      </c>
      <c r="Y1695" s="4" t="str">
        <f>IFERROR(__xludf.DUMMYFUNCTION("""COMPUTED_VALUE"""),"6.9365954")</f>
        <v>6.9365954</v>
      </c>
      <c r="Z1695" s="4" t="str">
        <f>IFERROR(__xludf.DUMMYFUNCTION("""COMPUTED_VALUE"""),"3.6344466")</f>
        <v>3.6344466</v>
      </c>
      <c r="AA1695" s="4" t="str">
        <f t="shared" si="1"/>
        <v>Neighbor</v>
      </c>
      <c r="AC1695" s="4">
        <f>IFERROR(__xludf.DUMMYFUNCTION("IFERROR(ABS(O1695-AVERAGE(FILTER(O1695:O5763,AA1695:AA5763=""Neighbor""))) / STDEV(FILTER(O1695:O5763, AA1695:AA5763 =""Neighbor"")), """")"),1.4684805117675366)</f>
        <v>1.468480512</v>
      </c>
      <c r="AD1695" s="4">
        <f>IFERROR(__xludf.DUMMYFUNCTION("IFERROR(ABS(P1695-AVERAGE(FILTER(O1695:P5763,AA1695:AA5763=""Neighbor""))) / STDEV(FILTER(P1695:P5763, AA1695:AA5763 =""Neighbor"")), """")"),0.46553516548549895)</f>
        <v>0.4655351655</v>
      </c>
      <c r="AE1695" s="2">
        <f>IFERROR(__xludf.DUMMYFUNCTION("IFERROR(ABS(Q1695-AVERAGE(FILTER(Q1695:Q5763,AA1695:AA5763=""Neighbor""))) / STDEV(FILTER(Q1695:Q5763, AA1695:AA5763 =""Neighbor"")), """")"),1.8114038691338457)</f>
        <v>1.811403869</v>
      </c>
      <c r="AF1695" s="2">
        <f>IFERROR(__xludf.DUMMYFUNCTION("IFERROR(ABS(R1695-AVERAGE(FILTER(R1695:R5763,AA1695:AA5763=""Neighbor""))) / STDEV(FILTER(R1695:R5763, AA1695:AA5763 =""Neighbor"")), """")"),0.8161938082598313)</f>
        <v>0.8161938083</v>
      </c>
    </row>
    <row r="1696">
      <c r="A1696" s="2" t="s">
        <v>28</v>
      </c>
      <c r="B1696" s="2" t="s">
        <v>6772</v>
      </c>
      <c r="C1696" s="2" t="s">
        <v>6934</v>
      </c>
      <c r="D1696" s="2" t="s">
        <v>6943</v>
      </c>
      <c r="E1696" s="2" t="s">
        <v>6944</v>
      </c>
      <c r="F1696" s="2">
        <v>179.0</v>
      </c>
      <c r="G1696" s="2">
        <v>674.0</v>
      </c>
      <c r="H1696" s="2" t="b">
        <v>1</v>
      </c>
      <c r="I1696" s="2">
        <v>-1.0</v>
      </c>
      <c r="J1696" s="2" t="b">
        <v>0</v>
      </c>
      <c r="K1696" s="2" t="b">
        <v>0</v>
      </c>
      <c r="L1696" s="2" t="b">
        <v>0</v>
      </c>
      <c r="M1696" s="2" t="b">
        <v>0</v>
      </c>
      <c r="N1696" s="2" t="s">
        <v>33</v>
      </c>
      <c r="O1696" s="2">
        <v>78.0</v>
      </c>
      <c r="P1696" s="2">
        <v>6.0</v>
      </c>
      <c r="Q1696" s="2">
        <v>74.0</v>
      </c>
      <c r="R1696" s="2">
        <v>1.0</v>
      </c>
      <c r="S1696" s="3" t="s">
        <v>6945</v>
      </c>
      <c r="T1696" s="2" t="s">
        <v>6946</v>
      </c>
      <c r="Y1696" s="4" t="str">
        <f>IFERROR(__xludf.DUMMYFUNCTION("""COMPUTED_VALUE"""),"6.9365954")</f>
        <v>6.9365954</v>
      </c>
      <c r="Z1696" s="4" t="str">
        <f>IFERROR(__xludf.DUMMYFUNCTION("""COMPUTED_VALUE"""),"3.6344466")</f>
        <v>3.6344466</v>
      </c>
      <c r="AA1696" s="4" t="str">
        <f t="shared" si="1"/>
        <v>Neighbor</v>
      </c>
      <c r="AC1696" s="4">
        <f>IFERROR(__xludf.DUMMYFUNCTION("IFERROR(ABS(O1696-AVERAGE(FILTER(O1696:O5764,AA1696:AA5764=""Neighbor""))) / STDEV(FILTER(O1696:O5764, AA1696:AA5764 =""Neighbor"")), """")"),0.5562926714169926)</f>
        <v>0.5562926714</v>
      </c>
      <c r="AD1696" s="4">
        <f>IFERROR(__xludf.DUMMYFUNCTION("IFERROR(ABS(P1696-AVERAGE(FILTER(O1696:P5764,AA1696:AA5764=""Neighbor""))) / STDEV(FILTER(P1696:P5764, AA1696:AA5764 =""Neighbor"")), """")"),1.3690911800193937)</f>
        <v>1.36909118</v>
      </c>
      <c r="AE1696" s="2">
        <f>IFERROR(__xludf.DUMMYFUNCTION("IFERROR(ABS(Q1696-AVERAGE(FILTER(Q1696:Q5764,AA1696:AA5764=""Neighbor""))) / STDEV(FILTER(Q1696:Q5764, AA1696:AA5764 =""Neighbor"")), """")"),1.9728457673769295)</f>
        <v>1.972845767</v>
      </c>
      <c r="AF1696" s="2">
        <f>IFERROR(__xludf.DUMMYFUNCTION("IFERROR(ABS(R1696-AVERAGE(FILTER(R1696:R5764,AA1696:AA5764=""Neighbor""))) / STDEV(FILTER(R1696:R5764, AA1696:AA5764 =""Neighbor"")), """")"),0.816897008530631)</f>
        <v>0.8168970085</v>
      </c>
    </row>
    <row r="1697">
      <c r="A1697" s="2" t="s">
        <v>28</v>
      </c>
      <c r="B1697" s="2" t="s">
        <v>6772</v>
      </c>
      <c r="C1697" s="2" t="s">
        <v>6934</v>
      </c>
      <c r="D1697" s="2" t="s">
        <v>6947</v>
      </c>
      <c r="E1697" s="2" t="s">
        <v>6948</v>
      </c>
      <c r="F1697" s="2">
        <v>180.0</v>
      </c>
      <c r="G1697" s="2">
        <v>543.0</v>
      </c>
      <c r="H1697" s="2" t="b">
        <v>1</v>
      </c>
      <c r="I1697" s="2">
        <v>-1.0</v>
      </c>
      <c r="J1697" s="2" t="b">
        <v>0</v>
      </c>
      <c r="K1697" s="2" t="b">
        <v>0</v>
      </c>
      <c r="L1697" s="2" t="b">
        <v>0</v>
      </c>
      <c r="M1697" s="2" t="b">
        <v>0</v>
      </c>
      <c r="N1697" s="2" t="s">
        <v>33</v>
      </c>
      <c r="O1697" s="2">
        <v>82.0</v>
      </c>
      <c r="P1697" s="2">
        <v>16.0</v>
      </c>
      <c r="Q1697" s="2">
        <v>75.0</v>
      </c>
      <c r="R1697" s="2">
        <v>0.0</v>
      </c>
      <c r="S1697" s="3" t="s">
        <v>6949</v>
      </c>
      <c r="T1697" s="2" t="s">
        <v>6950</v>
      </c>
      <c r="Y1697" s="4" t="str">
        <f>IFERROR(__xludf.DUMMYFUNCTION("""COMPUTED_VALUE"""),"6.9365954")</f>
        <v>6.9365954</v>
      </c>
      <c r="Z1697" s="4" t="str">
        <f>IFERROR(__xludf.DUMMYFUNCTION("""COMPUTED_VALUE"""),"3.6344466")</f>
        <v>3.6344466</v>
      </c>
      <c r="AA1697" s="4" t="str">
        <f t="shared" si="1"/>
        <v>Neighbor</v>
      </c>
      <c r="AC1697" s="4">
        <f>IFERROR(__xludf.DUMMYFUNCTION("IFERROR(ABS(O1697-AVERAGE(FILTER(O1697:O5765,AA1697:AA5765=""Neighbor""))) / STDEV(FILTER(O1697:O5765, AA1697:AA5765 =""Neighbor"")), """")"),0.6611565759125606)</f>
        <v>0.6611565759</v>
      </c>
      <c r="AD1697" s="4">
        <f>IFERROR(__xludf.DUMMYFUNCTION("IFERROR(ABS(P1697-AVERAGE(FILTER(O1697:P5765,AA1697:AA5765=""Neighbor""))) / STDEV(FILTER(P1697:P5765, AA1697:AA5765 =""Neighbor"")), """")"),0.9157900882117588)</f>
        <v>0.9157900882</v>
      </c>
      <c r="AE1697" s="2">
        <f>IFERROR(__xludf.DUMMYFUNCTION("IFERROR(ABS(Q1697-AVERAGE(FILTER(Q1697:Q5765,AA1697:AA5765=""Neighbor""))) / STDEV(FILTER(Q1697:Q5765, AA1697:AA5765 =""Neighbor"")), """")"),2.017272605670708)</f>
        <v>2.017272606</v>
      </c>
      <c r="AF1697" s="2">
        <f>IFERROR(__xludf.DUMMYFUNCTION("IFERROR(ABS(R1697-AVERAGE(FILTER(R1697:R5765,AA1697:AA5765=""Neighbor""))) / STDEV(FILTER(R1697:R5765, AA1697:AA5765 =""Neighbor"")), """")"),0.3507464330277189)</f>
        <v>0.350746433</v>
      </c>
    </row>
    <row r="1698">
      <c r="A1698" s="2" t="s">
        <v>28</v>
      </c>
      <c r="B1698" s="2" t="s">
        <v>6772</v>
      </c>
      <c r="C1698" s="2" t="s">
        <v>6934</v>
      </c>
      <c r="D1698" s="2" t="s">
        <v>6951</v>
      </c>
      <c r="E1698" s="2" t="s">
        <v>6952</v>
      </c>
      <c r="F1698" s="2">
        <v>172.0</v>
      </c>
      <c r="G1698" s="2">
        <v>618.0</v>
      </c>
      <c r="H1698" s="2" t="b">
        <v>1</v>
      </c>
      <c r="I1698" s="2">
        <v>-1.0</v>
      </c>
      <c r="J1698" s="2" t="b">
        <v>0</v>
      </c>
      <c r="K1698" s="2" t="b">
        <v>1</v>
      </c>
      <c r="L1698" s="2" t="b">
        <v>0</v>
      </c>
      <c r="M1698" s="2" t="b">
        <v>0</v>
      </c>
      <c r="N1698" s="2" t="s">
        <v>33</v>
      </c>
      <c r="O1698" s="2">
        <v>80.0</v>
      </c>
      <c r="P1698" s="2">
        <v>76.0</v>
      </c>
      <c r="Q1698" s="2">
        <v>84.0</v>
      </c>
      <c r="R1698" s="2">
        <v>0.0</v>
      </c>
      <c r="S1698" s="3" t="s">
        <v>6953</v>
      </c>
      <c r="T1698" s="2" t="s">
        <v>6954</v>
      </c>
      <c r="Y1698" s="4" t="str">
        <f>IFERROR(__xludf.DUMMYFUNCTION("""COMPUTED_VALUE"""),"6.9365954")</f>
        <v>6.9365954</v>
      </c>
      <c r="Z1698" s="4" t="str">
        <f>IFERROR(__xludf.DUMMYFUNCTION("""COMPUTED_VALUE"""),"3.6344466")</f>
        <v>3.6344466</v>
      </c>
      <c r="AA1698" s="4" t="str">
        <f t="shared" si="1"/>
        <v>Neighbor</v>
      </c>
      <c r="AC1698" s="4">
        <f>IFERROR(__xludf.DUMMYFUNCTION("IFERROR(ABS(O1698-AVERAGE(FILTER(O1698:O5766,AA1698:AA5766=""Neighbor""))) / STDEV(FILTER(O1698:O5766, AA1698:AA5766 =""Neighbor"")), """")"),0.6094204254571599)</f>
        <v>0.6094204255</v>
      </c>
      <c r="AD1698" s="4">
        <f>IFERROR(__xludf.DUMMYFUNCTION("IFERROR(ABS(P1698-AVERAGE(FILTER(O1698:P5766,AA1698:AA5766=""Neighbor""))) / STDEV(FILTER(P1698:P5766, AA1698:AA5766 =""Neighbor"")), """")"),1.798646138313807)</f>
        <v>1.798646138</v>
      </c>
      <c r="AE1698" s="2">
        <f>IFERROR(__xludf.DUMMYFUNCTION("IFERROR(ABS(Q1698-AVERAGE(FILTER(Q1698:Q5766,AA1698:AA5766=""Neighbor""))) / STDEV(FILTER(Q1698:Q5766, AA1698:AA5766 =""Neighbor"")), """")"),2.3778861150074007)</f>
        <v>2.377886115</v>
      </c>
      <c r="AF1698" s="2">
        <f>IFERROR(__xludf.DUMMYFUNCTION("IFERROR(ABS(R1698-AVERAGE(FILTER(R1698:R5766,AA1698:AA5766=""Neighbor""))) / STDEV(FILTER(R1698:R5766, AA1698:AA5766 =""Neighbor"")), """")"),0.3509503258048854)</f>
        <v>0.3509503258</v>
      </c>
    </row>
    <row r="1699">
      <c r="A1699" s="2" t="s">
        <v>28</v>
      </c>
      <c r="B1699" s="2" t="s">
        <v>6772</v>
      </c>
      <c r="C1699" s="2" t="s">
        <v>6955</v>
      </c>
      <c r="D1699" s="2" t="s">
        <v>6956</v>
      </c>
      <c r="E1699" s="2" t="s">
        <v>6957</v>
      </c>
      <c r="F1699" s="2">
        <v>268.0</v>
      </c>
      <c r="G1699" s="2">
        <v>920.0</v>
      </c>
      <c r="H1699" s="2" t="b">
        <v>1</v>
      </c>
      <c r="I1699" s="2">
        <v>-1.0</v>
      </c>
      <c r="J1699" s="2" t="b">
        <v>0</v>
      </c>
      <c r="K1699" s="2" t="b">
        <v>0</v>
      </c>
      <c r="L1699" s="2" t="b">
        <v>0</v>
      </c>
      <c r="M1699" s="2" t="b">
        <v>0</v>
      </c>
      <c r="N1699" s="2" t="s">
        <v>33</v>
      </c>
      <c r="O1699" s="2">
        <v>122.0</v>
      </c>
      <c r="P1699" s="2">
        <v>44.0</v>
      </c>
      <c r="Q1699" s="2">
        <v>87.0</v>
      </c>
      <c r="R1699" s="2">
        <v>0.0</v>
      </c>
      <c r="S1699" s="3" t="s">
        <v>6958</v>
      </c>
      <c r="T1699" s="2" t="s">
        <v>6959</v>
      </c>
      <c r="Y1699" s="4" t="str">
        <f>IFERROR(__xludf.DUMMYFUNCTION("""COMPUTED_VALUE"""),"6.9365954")</f>
        <v>6.9365954</v>
      </c>
      <c r="Z1699" s="4" t="str">
        <f>IFERROR(__xludf.DUMMYFUNCTION("""COMPUTED_VALUE"""),"3.6344466")</f>
        <v>3.6344466</v>
      </c>
      <c r="AA1699" s="4" t="str">
        <f t="shared" si="1"/>
        <v>Neighbor</v>
      </c>
      <c r="AC1699" s="4">
        <f>IFERROR(__xludf.DUMMYFUNCTION("IFERROR(ABS(O1699-AVERAGE(FILTER(O1699:O5767,AA1699:AA5767=""Neighbor""))) / STDEV(FILTER(O1699:O5767, AA1699:AA5767 =""Neighbor"")), """")"),1.7062905363110907)</f>
        <v>1.706290536</v>
      </c>
      <c r="AD1699" s="4">
        <f>IFERROR(__xludf.DUMMYFUNCTION("IFERROR(ABS(P1699-AVERAGE(FILTER(O1699:P5767,AA1699:AA5767=""Neighbor""))) / STDEV(FILTER(P1699:P5767, AA1699:AA5767 =""Neighbor"")), """")"),0.3546629435699757)</f>
        <v>0.3546629436</v>
      </c>
      <c r="AE1699" s="2">
        <f>IFERROR(__xludf.DUMMYFUNCTION("IFERROR(ABS(Q1699-AVERAGE(FILTER(Q1699:Q5767,AA1699:AA5767=""Neighbor""))) / STDEV(FILTER(Q1699:Q5767, AA1699:AA5767 =""Neighbor"")), """")"),2.5048530024173687)</f>
        <v>2.504853002</v>
      </c>
      <c r="AF1699" s="2">
        <f>IFERROR(__xludf.DUMMYFUNCTION("IFERROR(ABS(R1699-AVERAGE(FILTER(R1699:R5767,AA1699:AA5767=""Neighbor""))) / STDEV(FILTER(R1699:R5767, AA1699:AA5767 =""Neighbor"")), """")"),0.351154574619205)</f>
        <v>0.3511545746</v>
      </c>
    </row>
    <row r="1700">
      <c r="A1700" s="2" t="s">
        <v>28</v>
      </c>
      <c r="B1700" s="2" t="s">
        <v>6772</v>
      </c>
      <c r="C1700" s="2" t="s">
        <v>6955</v>
      </c>
      <c r="D1700" s="2" t="s">
        <v>6960</v>
      </c>
      <c r="E1700" s="2" t="s">
        <v>6961</v>
      </c>
      <c r="F1700" s="2">
        <v>222.0</v>
      </c>
      <c r="G1700" s="2">
        <v>832.0</v>
      </c>
      <c r="H1700" s="2" t="b">
        <v>1</v>
      </c>
      <c r="I1700" s="2">
        <v>-1.0</v>
      </c>
      <c r="J1700" s="2" t="b">
        <v>0</v>
      </c>
      <c r="K1700" s="2" t="b">
        <v>0</v>
      </c>
      <c r="L1700" s="2" t="b">
        <v>0</v>
      </c>
      <c r="M1700" s="2" t="b">
        <v>0</v>
      </c>
      <c r="N1700" s="2" t="s">
        <v>33</v>
      </c>
      <c r="O1700" s="2">
        <v>99.0</v>
      </c>
      <c r="P1700" s="2">
        <v>35.0</v>
      </c>
      <c r="Q1700" s="2">
        <v>74.0</v>
      </c>
      <c r="R1700" s="2">
        <v>0.0</v>
      </c>
      <c r="S1700" s="3" t="s">
        <v>6962</v>
      </c>
      <c r="T1700" s="2" t="s">
        <v>6963</v>
      </c>
      <c r="Y1700" s="4" t="str">
        <f>IFERROR(__xludf.DUMMYFUNCTION("""COMPUTED_VALUE"""),"6.9365954")</f>
        <v>6.9365954</v>
      </c>
      <c r="Z1700" s="4" t="str">
        <f>IFERROR(__xludf.DUMMYFUNCTION("""COMPUTED_VALUE"""),"3.6344466")</f>
        <v>3.6344466</v>
      </c>
      <c r="AA1700" s="4" t="str">
        <f t="shared" si="1"/>
        <v>Neighbor</v>
      </c>
      <c r="AC1700" s="4">
        <f>IFERROR(__xludf.DUMMYFUNCTION("IFERROR(ABS(O1700-AVERAGE(FILTER(O1700:O5768,AA1700:AA5768=""Neighbor""))) / STDEV(FILTER(O1700:O5768, AA1700:AA5768 =""Neighbor"")), """")"),1.1087364803799655)</f>
        <v>1.10873648</v>
      </c>
      <c r="AD1700" s="4">
        <f>IFERROR(__xludf.DUMMYFUNCTION("IFERROR(ABS(P1700-AVERAGE(FILTER(O1700:P5768,AA1700:AA5768=""Neighbor""))) / STDEV(FILTER(P1700:P5768, AA1700:AA5768 =""Neighbor"")), """")"),0.05151688915359668)</f>
        <v>0.05151688915</v>
      </c>
      <c r="AE1700" s="2">
        <f>IFERROR(__xludf.DUMMYFUNCTION("IFERROR(ABS(Q1700-AVERAGE(FILTER(Q1700:Q5768,AA1700:AA5768=""Neighbor""))) / STDEV(FILTER(Q1700:Q5768, AA1700:AA5768 =""Neighbor"")), """")"),1.9984951496405055)</f>
        <v>1.99849515</v>
      </c>
      <c r="AF1700" s="2">
        <f>IFERROR(__xludf.DUMMYFUNCTION("IFERROR(ABS(R1700-AVERAGE(FILTER(R1700:R5768,AA1700:AA5768=""Neighbor""))) / STDEV(FILTER(R1700:R5768, AA1700:AA5768 =""Neighbor"")), """")"),0.3513591805081927)</f>
        <v>0.3513591805</v>
      </c>
    </row>
    <row r="1701">
      <c r="A1701" s="2" t="s">
        <v>28</v>
      </c>
      <c r="B1701" s="2" t="s">
        <v>6772</v>
      </c>
      <c r="C1701" s="2" t="s">
        <v>6955</v>
      </c>
      <c r="D1701" s="2" t="s">
        <v>6964</v>
      </c>
      <c r="E1701" s="2" t="s">
        <v>6965</v>
      </c>
      <c r="F1701" s="2">
        <v>152.0</v>
      </c>
      <c r="G1701" s="2">
        <v>526.0</v>
      </c>
      <c r="H1701" s="2" t="b">
        <v>1</v>
      </c>
      <c r="I1701" s="2">
        <v>-1.0</v>
      </c>
      <c r="J1701" s="2" t="b">
        <v>0</v>
      </c>
      <c r="K1701" s="2" t="b">
        <v>0</v>
      </c>
      <c r="L1701" s="2" t="b">
        <v>0</v>
      </c>
      <c r="M1701" s="2" t="b">
        <v>0</v>
      </c>
      <c r="N1701" s="2" t="s">
        <v>33</v>
      </c>
      <c r="O1701" s="2">
        <v>69.0</v>
      </c>
      <c r="P1701" s="2">
        <v>16.0</v>
      </c>
      <c r="Q1701" s="2">
        <v>57.0</v>
      </c>
      <c r="R1701" s="2">
        <v>0.0</v>
      </c>
      <c r="S1701" s="3" t="s">
        <v>6966</v>
      </c>
      <c r="T1701" s="2" t="s">
        <v>6967</v>
      </c>
      <c r="Y1701" s="4" t="str">
        <f>IFERROR(__xludf.DUMMYFUNCTION("""COMPUTED_VALUE"""),"6.9365954")</f>
        <v>6.9365954</v>
      </c>
      <c r="Z1701" s="4" t="str">
        <f>IFERROR(__xludf.DUMMYFUNCTION("""COMPUTED_VALUE"""),"3.6344466")</f>
        <v>3.6344466</v>
      </c>
      <c r="AA1701" s="4" t="str">
        <f t="shared" si="1"/>
        <v>Neighbor</v>
      </c>
      <c r="AC1701" s="4">
        <f>IFERROR(__xludf.DUMMYFUNCTION("IFERROR(ABS(O1701-AVERAGE(FILTER(O1701:O5769,AA1701:AA5769=""Neighbor""))) / STDEV(FILTER(O1701:O5769, AA1701:AA5769 =""Neighbor"")), """")"),0.32597851656914734)</f>
        <v>0.3259785166</v>
      </c>
      <c r="AD1701" s="4">
        <f>IFERROR(__xludf.DUMMYFUNCTION("IFERROR(ABS(P1701-AVERAGE(FILTER(O1701:P5769,AA1701:AA5769=""Neighbor""))) / STDEV(FILTER(P1701:P5769, AA1701:AA5769 =""Neighbor"")), """")"),0.9123518298816139)</f>
        <v>0.9123518299</v>
      </c>
      <c r="AE1701" s="2">
        <f>IFERROR(__xludf.DUMMYFUNCTION("IFERROR(ABS(Q1701-AVERAGE(FILTER(Q1701:Q5769,AA1701:AA5769=""Neighbor""))) / STDEV(FILTER(Q1701:Q5769, AA1701:AA5769 =""Neighbor"")), """")"),1.32804709514171)</f>
        <v>1.328047095</v>
      </c>
      <c r="AF1701" s="2">
        <f>IFERROR(__xludf.DUMMYFUNCTION("IFERROR(ABS(R1701-AVERAGE(FILTER(R1701:R5769,AA1701:AA5769=""Neighbor""))) / STDEV(FILTER(R1701:R5769, AA1701:AA5769 =""Neighbor"")), """")"),0.35156414451360124)</f>
        <v>0.3515641445</v>
      </c>
    </row>
    <row r="1702">
      <c r="A1702" s="2" t="s">
        <v>28</v>
      </c>
      <c r="B1702" s="2" t="s">
        <v>6772</v>
      </c>
      <c r="C1702" s="2" t="s">
        <v>6955</v>
      </c>
      <c r="D1702" s="2" t="s">
        <v>6968</v>
      </c>
      <c r="E1702" s="2" t="s">
        <v>6969</v>
      </c>
      <c r="F1702" s="2">
        <v>222.0</v>
      </c>
      <c r="G1702" s="2">
        <v>931.0</v>
      </c>
      <c r="H1702" s="2" t="b">
        <v>1</v>
      </c>
      <c r="I1702" s="2">
        <v>-1.0</v>
      </c>
      <c r="J1702" s="2" t="b">
        <v>0</v>
      </c>
      <c r="K1702" s="2" t="b">
        <v>0</v>
      </c>
      <c r="L1702" s="2" t="b">
        <v>0</v>
      </c>
      <c r="M1702" s="2" t="b">
        <v>0</v>
      </c>
      <c r="N1702" s="2" t="s">
        <v>33</v>
      </c>
      <c r="O1702" s="2">
        <v>108.0</v>
      </c>
      <c r="P1702" s="2">
        <v>26.0</v>
      </c>
      <c r="Q1702" s="2">
        <v>80.0</v>
      </c>
      <c r="R1702" s="2">
        <v>3.0</v>
      </c>
      <c r="S1702" s="3" t="s">
        <v>6970</v>
      </c>
      <c r="T1702" s="2" t="s">
        <v>6971</v>
      </c>
      <c r="Y1702" s="4" t="str">
        <f>IFERROR(__xludf.DUMMYFUNCTION("""COMPUTED_VALUE"""),"6.9365954")</f>
        <v>6.9365954</v>
      </c>
      <c r="Z1702" s="4" t="str">
        <f>IFERROR(__xludf.DUMMYFUNCTION("""COMPUTED_VALUE"""),"3.6344466")</f>
        <v>3.6344466</v>
      </c>
      <c r="AA1702" s="4" t="str">
        <f t="shared" si="1"/>
        <v>Neighbor</v>
      </c>
      <c r="AC1702" s="4">
        <f>IFERROR(__xludf.DUMMYFUNCTION("IFERROR(ABS(O1702-AVERAGE(FILTER(O1702:O5770,AA1702:AA5770=""Neighbor""))) / STDEV(FILTER(O1702:O5770, AA1702:AA5770 =""Neighbor"")), """")"),1.3449486591699205)</f>
        <v>1.344948659</v>
      </c>
      <c r="AD1702" s="4">
        <f>IFERROR(__xludf.DUMMYFUNCTION("IFERROR(ABS(P1702-AVERAGE(FILTER(O1702:P5770,AA1702:AA5770=""Neighbor""))) / STDEV(FILTER(P1702:P5770, AA1702:AA5770 =""Neighbor"")), """")"),0.4579706440332321)</f>
        <v>0.457970644</v>
      </c>
      <c r="AE1702" s="2">
        <f>IFERROR(__xludf.DUMMYFUNCTION("IFERROR(ABS(Q1702-AVERAGE(FILTER(Q1702:Q5770,AA1702:AA5770=""Neighbor""))) / STDEV(FILTER(Q1702:Q5770, AA1702:AA5770 =""Neighbor"")), """")"),2.244443582885646)</f>
        <v>2.244443583</v>
      </c>
      <c r="AF1702" s="2">
        <f>IFERROR(__xludf.DUMMYFUNCTION("IFERROR(ABS(R1702-AVERAGE(FILTER(R1702:R5770,AA1702:AA5770=""Neighbor""))) / STDEV(FILTER(R1702:R5770, AA1702:AA5770 =""Neighbor"")), """")"),3.145304240337877)</f>
        <v>3.14530424</v>
      </c>
    </row>
    <row r="1703">
      <c r="A1703" s="2" t="s">
        <v>28</v>
      </c>
      <c r="B1703" s="2" t="s">
        <v>6772</v>
      </c>
      <c r="C1703" s="2" t="s">
        <v>6955</v>
      </c>
      <c r="D1703" s="2" t="s">
        <v>6972</v>
      </c>
      <c r="E1703" s="2" t="s">
        <v>6973</v>
      </c>
      <c r="F1703" s="2">
        <v>190.0</v>
      </c>
      <c r="G1703" s="2">
        <v>784.0</v>
      </c>
      <c r="H1703" s="2" t="b">
        <v>1</v>
      </c>
      <c r="I1703" s="2">
        <v>-1.0</v>
      </c>
      <c r="J1703" s="2" t="b">
        <v>0</v>
      </c>
      <c r="K1703" s="2" t="b">
        <v>0</v>
      </c>
      <c r="L1703" s="2" t="b">
        <v>0</v>
      </c>
      <c r="M1703" s="2" t="b">
        <v>0</v>
      </c>
      <c r="N1703" s="2" t="s">
        <v>33</v>
      </c>
      <c r="O1703" s="2">
        <v>71.0</v>
      </c>
      <c r="P1703" s="2">
        <v>31.0</v>
      </c>
      <c r="Q1703" s="2">
        <v>70.0</v>
      </c>
      <c r="R1703" s="2">
        <v>1.0</v>
      </c>
      <c r="S1703" s="3" t="s">
        <v>6974</v>
      </c>
      <c r="T1703" s="2" t="s">
        <v>6975</v>
      </c>
      <c r="Y1703" s="4" t="str">
        <f>IFERROR(__xludf.DUMMYFUNCTION("""COMPUTED_VALUE"""),"6.9365954")</f>
        <v>6.9365954</v>
      </c>
      <c r="Z1703" s="4" t="str">
        <f>IFERROR(__xludf.DUMMYFUNCTION("""COMPUTED_VALUE"""),"3.6344466")</f>
        <v>3.6344466</v>
      </c>
      <c r="AA1703" s="4" t="str">
        <f t="shared" si="1"/>
        <v>Neighbor</v>
      </c>
      <c r="AC1703" s="4">
        <f>IFERROR(__xludf.DUMMYFUNCTION("IFERROR(ABS(O1703-AVERAGE(FILTER(O1703:O5771,AA1703:AA5771=""Neighbor""))) / STDEV(FILTER(O1703:O5771, AA1703:AA5771 =""Neighbor"")), """")"),0.37997286193784796)</f>
        <v>0.3799728619</v>
      </c>
      <c r="AD1703" s="4">
        <f>IFERROR(__xludf.DUMMYFUNCTION("IFERROR(ABS(P1703-AVERAGE(FILTER(O1703:P5771,AA1703:AA5771=""Neighbor""))) / STDEV(FILTER(P1703:P5771, AA1703:AA5771 =""Neighbor"")), """")"),0.2296147382309477)</f>
        <v>0.2296147382</v>
      </c>
      <c r="AE1703" s="2">
        <f>IFERROR(__xludf.DUMMYFUNCTION("IFERROR(ABS(Q1703-AVERAGE(FILTER(Q1703:Q5771,AA1703:AA5771=""Neighbor""))) / STDEV(FILTER(Q1703:Q5771, AA1703:AA5771 =""Neighbor"")), """")"),1.8530898193203833)</f>
        <v>1.853089819</v>
      </c>
      <c r="AF1703" s="2">
        <f>IFERROR(__xludf.DUMMYFUNCTION("IFERROR(ABS(R1703-AVERAGE(FILTER(R1703:R5771,AA1703:AA5771=""Neighbor""))) / STDEV(FILTER(R1703:R5771, AA1703:AA5771 =""Neighbor"")), """")"),0.8210181318892438)</f>
        <v>0.8210181319</v>
      </c>
    </row>
    <row r="1704">
      <c r="A1704" s="2" t="s">
        <v>28</v>
      </c>
      <c r="B1704" s="2" t="s">
        <v>6772</v>
      </c>
      <c r="C1704" s="2" t="s">
        <v>6955</v>
      </c>
      <c r="D1704" s="2" t="s">
        <v>6976</v>
      </c>
      <c r="E1704" s="2" t="s">
        <v>6977</v>
      </c>
      <c r="F1704" s="2">
        <v>126.0</v>
      </c>
      <c r="G1704" s="2">
        <v>387.0</v>
      </c>
      <c r="H1704" s="2" t="b">
        <v>1</v>
      </c>
      <c r="I1704" s="2">
        <v>-1.0</v>
      </c>
      <c r="J1704" s="2" t="b">
        <v>0</v>
      </c>
      <c r="K1704" s="2" t="b">
        <v>0</v>
      </c>
      <c r="L1704" s="2" t="b">
        <v>0</v>
      </c>
      <c r="M1704" s="2" t="b">
        <v>0</v>
      </c>
      <c r="N1704" s="2" t="s">
        <v>33</v>
      </c>
      <c r="O1704" s="2">
        <v>73.0</v>
      </c>
      <c r="P1704" s="2">
        <v>2.0</v>
      </c>
      <c r="Q1704" s="2">
        <v>49.0</v>
      </c>
      <c r="R1704" s="2">
        <v>0.0</v>
      </c>
      <c r="S1704" s="3" t="s">
        <v>6978</v>
      </c>
      <c r="T1704" s="2" t="s">
        <v>6979</v>
      </c>
      <c r="Y1704" s="4" t="str">
        <f>IFERROR(__xludf.DUMMYFUNCTION("""COMPUTED_VALUE"""),"6.9365954")</f>
        <v>6.9365954</v>
      </c>
      <c r="Z1704" s="4" t="str">
        <f>IFERROR(__xludf.DUMMYFUNCTION("""COMPUTED_VALUE"""),"3.6344466")</f>
        <v>3.6344466</v>
      </c>
      <c r="AA1704" s="4" t="str">
        <f t="shared" si="1"/>
        <v>Not Neighbor</v>
      </c>
      <c r="AC1704" s="4">
        <f>IFERROR(__xludf.DUMMYFUNCTION("IFERROR(ABS(O1704-AVERAGE(FILTER(O1704:O5772,AA1704:AA5772=""Neighbor""))) / STDEV(FILTER(O1704:O5772, AA1704:AA5772 =""Neighbor"")), """")"),0.43244340825375066)</f>
        <v>0.4324434083</v>
      </c>
      <c r="AD1704" s="4">
        <f>IFERROR(__xludf.DUMMYFUNCTION("IFERROR(ABS(P1704-AVERAGE(FILTER(O1704:P5772,AA1704:AA5772=""Neighbor""))) / STDEV(FILTER(P1704:P5772, AA1704:AA5772 =""Neighbor"")), """")"),1.5434108925802676)</f>
        <v>1.543410893</v>
      </c>
      <c r="AE1704" s="2">
        <f>IFERROR(__xludf.DUMMYFUNCTION("IFERROR(ABS(Q1704-AVERAGE(FILTER(Q1704:Q5772,AA1704:AA5772=""Neighbor""))) / STDEV(FILTER(Q1704:Q5772, AA1704:AA5772 =""Neighbor"")), """")"),1.019590755106465)</f>
        <v>1.019590755</v>
      </c>
      <c r="AF1704" s="2">
        <f>IFERROR(__xludf.DUMMYFUNCTION("IFERROR(ABS(R1704-AVERAGE(FILTER(R1704:R5772,AA1704:AA5772=""Neighbor""))) / STDEV(FILTER(R1704:R5772, AA1704:AA5772 =""Neighbor"")), """")"),0.34920675624101283)</f>
        <v>0.3492067562</v>
      </c>
    </row>
    <row r="1705">
      <c r="A1705" s="2" t="s">
        <v>28</v>
      </c>
      <c r="B1705" s="2" t="s">
        <v>6772</v>
      </c>
      <c r="C1705" s="2" t="s">
        <v>6955</v>
      </c>
      <c r="D1705" s="2" t="s">
        <v>6980</v>
      </c>
      <c r="E1705" s="2" t="s">
        <v>6981</v>
      </c>
      <c r="F1705" s="2">
        <v>142.0</v>
      </c>
      <c r="G1705" s="2">
        <v>653.0</v>
      </c>
      <c r="H1705" s="2" t="b">
        <v>1</v>
      </c>
      <c r="I1705" s="2">
        <v>-1.0</v>
      </c>
      <c r="J1705" s="2" t="b">
        <v>0</v>
      </c>
      <c r="K1705" s="2" t="b">
        <v>1</v>
      </c>
      <c r="L1705" s="2" t="b">
        <v>0</v>
      </c>
      <c r="M1705" s="2" t="b">
        <v>0</v>
      </c>
      <c r="N1705" s="2" t="s">
        <v>33</v>
      </c>
      <c r="O1705" s="2">
        <v>63.0</v>
      </c>
      <c r="P1705" s="2">
        <v>28.0</v>
      </c>
      <c r="Q1705" s="2">
        <v>50.0</v>
      </c>
      <c r="R1705" s="2">
        <v>0.0</v>
      </c>
      <c r="S1705" s="3" t="s">
        <v>6982</v>
      </c>
      <c r="T1705" s="2" t="s">
        <v>6983</v>
      </c>
      <c r="Y1705" s="4" t="str">
        <f>IFERROR(__xludf.DUMMYFUNCTION("""COMPUTED_VALUE"""),"6.8650212")</f>
        <v>6.8650212</v>
      </c>
      <c r="Z1705" s="4" t="str">
        <f>IFERROR(__xludf.DUMMYFUNCTION("""COMPUTED_VALUE"""),"3.7143181")</f>
        <v>3.7143181</v>
      </c>
      <c r="AA1705" s="4" t="str">
        <f t="shared" si="1"/>
        <v>Neighbor</v>
      </c>
      <c r="AC1705" s="4">
        <f>IFERROR(__xludf.DUMMYFUNCTION("IFERROR(ABS(O1705-AVERAGE(FILTER(O1705:O5773,AA1705:AA5773=""Neighbor""))) / STDEV(FILTER(O1705:O5773, AA1705:AA5773 =""Neighbor"")), """")"),0.1712231836912999)</f>
        <v>0.1712231837</v>
      </c>
      <c r="AD1705" s="4">
        <f>IFERROR(__xludf.DUMMYFUNCTION("IFERROR(ABS(P1705-AVERAGE(FILTER(O1705:P5773,AA1705:AA5773=""Neighbor""))) / STDEV(FILTER(P1705:P5773, AA1705:AA5773 =""Neighbor"")), """")"),0.36483629046415433)</f>
        <v>0.3648362905</v>
      </c>
      <c r="AE1705" s="2">
        <f>IFERROR(__xludf.DUMMYFUNCTION("IFERROR(ABS(Q1705-AVERAGE(FILTER(Q1705:Q5773,AA1705:AA5773=""Neighbor""))) / STDEV(FILTER(Q1705:Q5773, AA1705:AA5773 =""Neighbor"")), """")"),1.0594857950569772)</f>
        <v>1.059485795</v>
      </c>
      <c r="AF1705" s="2">
        <f>IFERROR(__xludf.DUMMYFUNCTION("IFERROR(ABS(R1705-AVERAGE(FILTER(R1705:R5773,AA1705:AA5773=""Neighbor""))) / STDEV(FILTER(R1705:R5773, AA1705:AA5773 =""Neighbor"")), """")"),0.34920675624101283)</f>
        <v>0.3492067562</v>
      </c>
    </row>
    <row r="1706">
      <c r="A1706" s="2" t="s">
        <v>28</v>
      </c>
      <c r="B1706" s="2" t="s">
        <v>6772</v>
      </c>
      <c r="C1706" s="2" t="s">
        <v>6984</v>
      </c>
      <c r="D1706" s="2" t="s">
        <v>6985</v>
      </c>
      <c r="E1706" s="2" t="s">
        <v>6986</v>
      </c>
      <c r="F1706" s="2">
        <v>206.0</v>
      </c>
      <c r="G1706" s="2">
        <v>827.0</v>
      </c>
      <c r="H1706" s="2" t="b">
        <v>1</v>
      </c>
      <c r="I1706" s="2">
        <v>-1.0</v>
      </c>
      <c r="J1706" s="2" t="b">
        <v>0</v>
      </c>
      <c r="K1706" s="2" t="b">
        <v>0</v>
      </c>
      <c r="L1706" s="2" t="b">
        <v>0</v>
      </c>
      <c r="M1706" s="2" t="b">
        <v>0</v>
      </c>
      <c r="N1706" s="2" t="s">
        <v>33</v>
      </c>
      <c r="O1706" s="2">
        <v>86.0</v>
      </c>
      <c r="P1706" s="2">
        <v>53.0</v>
      </c>
      <c r="Q1706" s="2">
        <v>34.0</v>
      </c>
      <c r="R1706" s="2">
        <v>0.0</v>
      </c>
      <c r="S1706" s="3" t="s">
        <v>6987</v>
      </c>
      <c r="T1706" s="2" t="s">
        <v>6988</v>
      </c>
      <c r="Y1706" s="4" t="str">
        <f>IFERROR(__xludf.DUMMYFUNCTION("""COMPUTED_VALUE"""),"6.8650212")</f>
        <v>6.8650212</v>
      </c>
      <c r="Z1706" s="4" t="str">
        <f>IFERROR(__xludf.DUMMYFUNCTION("""COMPUTED_VALUE"""),"3.7143181")</f>
        <v>3.7143181</v>
      </c>
      <c r="AA1706" s="4" t="str">
        <f t="shared" si="1"/>
        <v>Not Neighbor</v>
      </c>
      <c r="AC1706" s="4">
        <f>IFERROR(__xludf.DUMMYFUNCTION("IFERROR(ABS(O1706-AVERAGE(FILTER(O1706:O5774,AA1706:AA5774=""Neighbor""))) / STDEV(FILTER(O1706:O5774, AA1706:AA5774 =""Neighbor"")), """")"),0.7718171155106779)</f>
        <v>0.7718171155</v>
      </c>
      <c r="AD1706" s="4">
        <f>IFERROR(__xludf.DUMMYFUNCTION("IFERROR(ABS(P1706-AVERAGE(FILTER(O1706:P5774,AA1706:AA5774=""Neighbor""))) / STDEV(FILTER(P1706:P5774, AA1706:AA5774 =""Neighbor"")), """")"),0.7685801747982408)</f>
        <v>0.7685801748</v>
      </c>
      <c r="AE1706" s="2">
        <f>IFERROR(__xludf.DUMMYFUNCTION("IFERROR(ABS(Q1706-AVERAGE(FILTER(Q1706:Q5774,AA1706:AA5774=""Neighbor""))) / STDEV(FILTER(Q1706:Q5774, AA1706:AA5774 =""Neighbor"")), """")"),0.42229838054161306)</f>
        <v>0.4222983805</v>
      </c>
      <c r="AF1706" s="2">
        <f>IFERROR(__xludf.DUMMYFUNCTION("IFERROR(ABS(R1706-AVERAGE(FILTER(R1706:R5774,AA1706:AA5774=""Neighbor""))) / STDEV(FILTER(R1706:R5774, AA1706:AA5774 =""Neighbor"")), """")"),0.34941103904807286)</f>
        <v>0.349411039</v>
      </c>
    </row>
    <row r="1707">
      <c r="A1707" s="2" t="s">
        <v>28</v>
      </c>
      <c r="B1707" s="2" t="s">
        <v>6772</v>
      </c>
      <c r="C1707" s="2" t="s">
        <v>6984</v>
      </c>
      <c r="D1707" s="2" t="s">
        <v>6989</v>
      </c>
      <c r="E1707" s="2" t="s">
        <v>6990</v>
      </c>
      <c r="F1707" s="2">
        <v>201.0</v>
      </c>
      <c r="G1707" s="2">
        <v>802.0</v>
      </c>
      <c r="H1707" s="2" t="b">
        <v>1</v>
      </c>
      <c r="I1707" s="2">
        <v>-1.0</v>
      </c>
      <c r="J1707" s="2" t="b">
        <v>0</v>
      </c>
      <c r="K1707" s="2" t="b">
        <v>0</v>
      </c>
      <c r="L1707" s="2" t="b">
        <v>0</v>
      </c>
      <c r="M1707" s="2" t="b">
        <v>0</v>
      </c>
      <c r="N1707" s="2" t="s">
        <v>33</v>
      </c>
      <c r="O1707" s="2">
        <v>70.0</v>
      </c>
      <c r="P1707" s="2">
        <v>75.0</v>
      </c>
      <c r="Q1707" s="2">
        <v>28.0</v>
      </c>
      <c r="R1707" s="2">
        <v>0.0</v>
      </c>
      <c r="S1707" s="3" t="s">
        <v>6991</v>
      </c>
      <c r="T1707" s="2" t="s">
        <v>6992</v>
      </c>
      <c r="Y1707" s="4" t="str">
        <f>IFERROR(__xludf.DUMMYFUNCTION("""COMPUTED_VALUE"""),"6.8942184")</f>
        <v>6.8942184</v>
      </c>
      <c r="Z1707" s="4" t="str">
        <f>IFERROR(__xludf.DUMMYFUNCTION("""COMPUTED_VALUE"""),"3.709539")</f>
        <v>3.709539</v>
      </c>
      <c r="AA1707" s="4" t="str">
        <f t="shared" si="1"/>
        <v>Not Neighbor</v>
      </c>
      <c r="AC1707" s="4">
        <f>IFERROR(__xludf.DUMMYFUNCTION("IFERROR(ABS(O1707-AVERAGE(FILTER(O1707:O5775,AA1707:AA5775=""Neighbor""))) / STDEV(FILTER(O1707:O5775, AA1707:AA5775 =""Neighbor"")), """")"),0.35407655242636743)</f>
        <v>0.3540765524</v>
      </c>
      <c r="AD1707" s="4">
        <f>IFERROR(__xludf.DUMMYFUNCTION("IFERROR(ABS(P1707-AVERAGE(FILTER(O1707:P5775,AA1707:AA5775=""Neighbor""))) / STDEV(FILTER(P1707:P5775, AA1707:AA5775 =""Neighbor"")), """")"),1.7654781847710221)</f>
        <v>1.765478185</v>
      </c>
      <c r="AE1707" s="2">
        <f>IFERROR(__xludf.DUMMYFUNCTION("IFERROR(ABS(Q1707-AVERAGE(FILTER(Q1707:Q5775,AA1707:AA5775=""Neighbor""))) / STDEV(FILTER(Q1707:Q5775, AA1707:AA5775 =""Neighbor"")), """")"),0.18291267133518385)</f>
        <v>0.1829126713</v>
      </c>
      <c r="AF1707" s="2">
        <f>IFERROR(__xludf.DUMMYFUNCTION("IFERROR(ABS(R1707-AVERAGE(FILTER(R1707:R5775,AA1707:AA5775=""Neighbor""))) / STDEV(FILTER(R1707:R5775, AA1707:AA5775 =""Neighbor"")), """")"),0.34941103904807286)</f>
        <v>0.349411039</v>
      </c>
    </row>
    <row r="1708">
      <c r="A1708" s="2" t="s">
        <v>28</v>
      </c>
      <c r="B1708" s="2" t="s">
        <v>6772</v>
      </c>
      <c r="C1708" s="2" t="s">
        <v>6993</v>
      </c>
      <c r="D1708" s="2" t="s">
        <v>6994</v>
      </c>
      <c r="E1708" s="2" t="s">
        <v>6995</v>
      </c>
      <c r="F1708" s="2">
        <v>280.0</v>
      </c>
      <c r="G1708" s="2">
        <v>901.0</v>
      </c>
      <c r="H1708" s="2" t="b">
        <v>1</v>
      </c>
      <c r="I1708" s="2">
        <v>-1.0</v>
      </c>
      <c r="J1708" s="2" t="b">
        <v>0</v>
      </c>
      <c r="K1708" s="2" t="b">
        <v>0</v>
      </c>
      <c r="L1708" s="2" t="b">
        <v>0</v>
      </c>
      <c r="M1708" s="2" t="b">
        <v>0</v>
      </c>
      <c r="N1708" s="2" t="s">
        <v>33</v>
      </c>
      <c r="O1708" s="2">
        <v>165.0</v>
      </c>
      <c r="P1708" s="2">
        <v>41.0</v>
      </c>
      <c r="Q1708" s="2">
        <v>64.0</v>
      </c>
      <c r="R1708" s="2">
        <v>0.0</v>
      </c>
      <c r="S1708" s="3" t="s">
        <v>6996</v>
      </c>
      <c r="T1708" s="2" t="s">
        <v>6997</v>
      </c>
      <c r="Y1708" s="4" t="str">
        <f>IFERROR(__xludf.DUMMYFUNCTION("""COMPUTED_VALUE"""),"6.8650212")</f>
        <v>6.8650212</v>
      </c>
      <c r="Z1708" s="4" t="str">
        <f>IFERROR(__xludf.DUMMYFUNCTION("""COMPUTED_VALUE"""),"3.7143181")</f>
        <v>3.7143181</v>
      </c>
      <c r="AA1708" s="4" t="str">
        <f t="shared" si="1"/>
        <v>Neighbor</v>
      </c>
      <c r="AC1708" s="4">
        <f>IFERROR(__xludf.DUMMYFUNCTION("IFERROR(ABS(O1708-AVERAGE(FILTER(O1708:O5776,AA1708:AA5776=""Neighbor""))) / STDEV(FILTER(O1708:O5776, AA1708:AA5776 =""Neighbor"")), """")"),2.8344111457394607)</f>
        <v>2.834411146</v>
      </c>
      <c r="AD1708" s="4">
        <f>IFERROR(__xludf.DUMMYFUNCTION("IFERROR(ABS(P1708-AVERAGE(FILTER(O1708:P5776,AA1708:AA5776=""Neighbor""))) / STDEV(FILTER(P1708:P5776, AA1708:AA5776 =""Neighbor"")), """")"),0.22481762390399646)</f>
        <v>0.2248176239</v>
      </c>
      <c r="AE1708" s="2">
        <f>IFERROR(__xludf.DUMMYFUNCTION("IFERROR(ABS(Q1708-AVERAGE(FILTER(Q1708:Q5776,AA1708:AA5776=""Neighbor""))) / STDEV(FILTER(Q1708:Q5776, AA1708:AA5776 =""Neighbor"")), """")"),1.619226926573759)</f>
        <v>1.619226927</v>
      </c>
      <c r="AF1708" s="2">
        <f>IFERROR(__xludf.DUMMYFUNCTION("IFERROR(ABS(R1708-AVERAGE(FILTER(R1708:R5776,AA1708:AA5776=""Neighbor""))) / STDEV(FILTER(R1708:R5776, AA1708:AA5776 =""Neighbor"")), """")"),0.34941103904807286)</f>
        <v>0.349411039</v>
      </c>
    </row>
    <row r="1709">
      <c r="A1709" s="2" t="s">
        <v>28</v>
      </c>
      <c r="B1709" s="2" t="s">
        <v>6772</v>
      </c>
      <c r="C1709" s="2" t="s">
        <v>6993</v>
      </c>
      <c r="D1709" s="2" t="s">
        <v>6998</v>
      </c>
      <c r="E1709" s="2" t="s">
        <v>6999</v>
      </c>
      <c r="F1709" s="2">
        <v>198.0</v>
      </c>
      <c r="G1709" s="2">
        <v>590.0</v>
      </c>
      <c r="H1709" s="2" t="b">
        <v>1</v>
      </c>
      <c r="I1709" s="2">
        <v>-1.0</v>
      </c>
      <c r="J1709" s="2" t="b">
        <v>0</v>
      </c>
      <c r="K1709" s="2" t="b">
        <v>0</v>
      </c>
      <c r="L1709" s="2" t="b">
        <v>0</v>
      </c>
      <c r="M1709" s="2" t="b">
        <v>0</v>
      </c>
      <c r="N1709" s="2" t="s">
        <v>33</v>
      </c>
      <c r="O1709" s="2">
        <v>67.0</v>
      </c>
      <c r="P1709" s="2">
        <v>46.0</v>
      </c>
      <c r="Q1709" s="2">
        <v>72.0</v>
      </c>
      <c r="R1709" s="2">
        <v>0.0</v>
      </c>
      <c r="S1709" s="3" t="s">
        <v>7000</v>
      </c>
      <c r="T1709" s="2" t="s">
        <v>7001</v>
      </c>
      <c r="Y1709" s="4" t="str">
        <f>IFERROR(__xludf.DUMMYFUNCTION("""COMPUTED_VALUE"""),"6.8650212")</f>
        <v>6.8650212</v>
      </c>
      <c r="Z1709" s="4" t="str">
        <f>IFERROR(__xludf.DUMMYFUNCTION("""COMPUTED_VALUE"""),"3.7143181")</f>
        <v>3.7143181</v>
      </c>
      <c r="AA1709" s="4" t="str">
        <f t="shared" si="1"/>
        <v>Not Neighbor</v>
      </c>
      <c r="AC1709" s="4">
        <f>IFERROR(__xludf.DUMMYFUNCTION("IFERROR(ABS(O1709-AVERAGE(FILTER(O1709:O5777,AA1709:AA5777=""Neighbor""))) / STDEV(FILTER(O1709:O5777, AA1709:AA5777 =""Neighbor"")), """")"),0.2797442228650033)</f>
        <v>0.2797442229</v>
      </c>
      <c r="AD1709" s="4">
        <f>IFERROR(__xludf.DUMMYFUNCTION("IFERROR(ABS(P1709-AVERAGE(FILTER(O1709:P5777,AA1709:AA5777=""Neighbor""))) / STDEV(FILTER(P1709:P5777, AA1709:AA5777 =""Neighbor"")), """")"),0.454632529670239)</f>
        <v>0.4546325297</v>
      </c>
      <c r="AE1709" s="2">
        <f>IFERROR(__xludf.DUMMYFUNCTION("IFERROR(ABS(Q1709-AVERAGE(FILTER(Q1709:Q5777,AA1709:AA5777=""Neighbor""))) / STDEV(FILTER(Q1709:Q5777, AA1709:AA5777 =""Neighbor"")), """")"),1.941750470568116)</f>
        <v>1.941750471</v>
      </c>
      <c r="AF1709" s="2">
        <f>IFERROR(__xludf.DUMMYFUNCTION("IFERROR(ABS(R1709-AVERAGE(FILTER(R1709:R5777,AA1709:AA5777=""Neighbor""))) / STDEV(FILTER(R1709:R5777, AA1709:AA5777 =""Neighbor"")), """")"),0.34961568083419214)</f>
        <v>0.3496156808</v>
      </c>
    </row>
    <row r="1710">
      <c r="A1710" s="2" t="s">
        <v>28</v>
      </c>
      <c r="B1710" s="2" t="s">
        <v>6772</v>
      </c>
      <c r="C1710" s="2" t="s">
        <v>6993</v>
      </c>
      <c r="D1710" s="2" t="s">
        <v>7002</v>
      </c>
      <c r="E1710" s="2" t="s">
        <v>7003</v>
      </c>
      <c r="F1710" s="2">
        <v>198.0</v>
      </c>
      <c r="G1710" s="2">
        <v>686.0</v>
      </c>
      <c r="H1710" s="2" t="b">
        <v>1</v>
      </c>
      <c r="I1710" s="2">
        <v>-1.0</v>
      </c>
      <c r="J1710" s="2" t="b">
        <v>0</v>
      </c>
      <c r="K1710" s="2" t="b">
        <v>0</v>
      </c>
      <c r="L1710" s="2" t="b">
        <v>0</v>
      </c>
      <c r="M1710" s="2" t="b">
        <v>0</v>
      </c>
      <c r="N1710" s="2" t="s">
        <v>33</v>
      </c>
      <c r="O1710" s="2">
        <v>88.0</v>
      </c>
      <c r="P1710" s="2">
        <v>17.0</v>
      </c>
      <c r="Q1710" s="2">
        <v>84.0</v>
      </c>
      <c r="R1710" s="2">
        <v>0.0</v>
      </c>
      <c r="S1710" s="3" t="s">
        <v>7004</v>
      </c>
      <c r="T1710" s="2" t="s">
        <v>7005</v>
      </c>
      <c r="Y1710" s="4" t="str">
        <f>IFERROR(__xludf.DUMMYFUNCTION("""COMPUTED_VALUE"""),"6.8903425")</f>
        <v>6.8903425</v>
      </c>
      <c r="Z1710" s="4" t="str">
        <f>IFERROR(__xludf.DUMMYFUNCTION("""COMPUTED_VALUE"""),"3.7282769")</f>
        <v>3.7282769</v>
      </c>
      <c r="AA1710" s="4" t="str">
        <f t="shared" si="1"/>
        <v>Neighbor</v>
      </c>
      <c r="AC1710" s="4">
        <f>IFERROR(__xludf.DUMMYFUNCTION("IFERROR(ABS(O1710-AVERAGE(FILTER(O1710:O5778,AA1710:AA5778=""Neighbor""))) / STDEV(FILTER(O1710:O5778, AA1710:AA5778 =""Neighbor"")), """")"),0.8300593801592449)</f>
        <v>0.8300593802</v>
      </c>
      <c r="AD1710" s="4">
        <f>IFERROR(__xludf.DUMMYFUNCTION("IFERROR(ABS(P1710-AVERAGE(FILTER(O1710:P5778,AA1710:AA5778=""Neighbor""))) / STDEV(FILTER(P1710:P5778, AA1710:AA5778 =""Neighbor"")), """")"),0.8596816990733172)</f>
        <v>0.8596816991</v>
      </c>
      <c r="AE1710" s="2">
        <f>IFERROR(__xludf.DUMMYFUNCTION("IFERROR(ABS(Q1710-AVERAGE(FILTER(Q1710:Q5778,AA1710:AA5778=""Neighbor""))) / STDEV(FILTER(Q1710:Q5778, AA1710:AA5778 =""Neighbor"")), """")"),2.420929222588149)</f>
        <v>2.420929223</v>
      </c>
      <c r="AF1710" s="2">
        <f>IFERROR(__xludf.DUMMYFUNCTION("IFERROR(ABS(R1710-AVERAGE(FILTER(R1710:R5778,AA1710:AA5778=""Neighbor""))) / STDEV(FILTER(R1710:R5778, AA1710:AA5778 =""Neighbor"")), """")"),0.34961568083419214)</f>
        <v>0.3496156808</v>
      </c>
    </row>
    <row r="1711">
      <c r="A1711" s="2" t="s">
        <v>28</v>
      </c>
      <c r="B1711" s="2" t="s">
        <v>6772</v>
      </c>
      <c r="C1711" s="2" t="s">
        <v>6993</v>
      </c>
      <c r="D1711" s="2" t="s">
        <v>7006</v>
      </c>
      <c r="E1711" s="2" t="s">
        <v>7007</v>
      </c>
      <c r="F1711" s="2">
        <v>146.0</v>
      </c>
      <c r="G1711" s="2">
        <v>423.0</v>
      </c>
      <c r="H1711" s="2" t="b">
        <v>1</v>
      </c>
      <c r="I1711" s="2">
        <v>-1.0</v>
      </c>
      <c r="J1711" s="2" t="b">
        <v>0</v>
      </c>
      <c r="K1711" s="2" t="b">
        <v>0</v>
      </c>
      <c r="L1711" s="2" t="b">
        <v>0</v>
      </c>
      <c r="M1711" s="2" t="b">
        <v>0</v>
      </c>
      <c r="N1711" s="2" t="s">
        <v>33</v>
      </c>
      <c r="O1711" s="2">
        <v>32.0</v>
      </c>
      <c r="P1711" s="2">
        <v>5.0</v>
      </c>
      <c r="Q1711" s="2">
        <v>7.0</v>
      </c>
      <c r="R1711" s="2">
        <v>0.0</v>
      </c>
      <c r="S1711" s="3" t="s">
        <v>7008</v>
      </c>
      <c r="T1711" s="2" t="s">
        <v>7009</v>
      </c>
      <c r="Y1711" s="4" t="str">
        <f>IFERROR(__xludf.DUMMYFUNCTION("""COMPUTED_VALUE"""),"6.8903425")</f>
        <v>6.8903425</v>
      </c>
      <c r="Z1711" s="4" t="str">
        <f>IFERROR(__xludf.DUMMYFUNCTION("""COMPUTED_VALUE"""),"3.7282769")</f>
        <v>3.7282769</v>
      </c>
      <c r="AA1711" s="4" t="str">
        <f t="shared" si="1"/>
        <v>Neighbor</v>
      </c>
      <c r="AC1711" s="4">
        <f>IFERROR(__xludf.DUMMYFUNCTION("IFERROR(ABS(O1711-AVERAGE(FILTER(O1711:O5779,AA1711:AA5779=""Neighbor""))) / STDEV(FILTER(O1711:O5779, AA1711:AA5779 =""Neighbor"")), """")"),0.6364760554654887)</f>
        <v>0.6364760555</v>
      </c>
      <c r="AD1711" s="4">
        <f>IFERROR(__xludf.DUMMYFUNCTION("IFERROR(ABS(P1711-AVERAGE(FILTER(O1711:P5779,AA1711:AA5779=""Neighbor""))) / STDEV(FILTER(P1711:P5779, AA1711:AA5779 =""Neighbor"")), """")"),1.4020212139346115)</f>
        <v>1.402021214</v>
      </c>
      <c r="AE1711" s="2">
        <f>IFERROR(__xludf.DUMMYFUNCTION("IFERROR(ABS(Q1711-AVERAGE(FILTER(Q1711:Q5779,AA1711:AA5779=""Neighbor""))) / STDEV(FILTER(Q1711:Q5779, AA1711:AA5779 =""Neighbor"")), """")"),0.6529346722112873)</f>
        <v>0.6529346722</v>
      </c>
      <c r="AF1711" s="2">
        <f>IFERROR(__xludf.DUMMYFUNCTION("IFERROR(ABS(R1711-AVERAGE(FILTER(R1711:R5779,AA1711:AA5779=""Neighbor""))) / STDEV(FILTER(R1711:R5779, AA1711:AA5779 =""Neighbor"")), """")"),0.34982068265209615)</f>
        <v>0.3498206827</v>
      </c>
    </row>
    <row r="1712">
      <c r="A1712" s="2" t="s">
        <v>28</v>
      </c>
      <c r="B1712" s="2" t="s">
        <v>6772</v>
      </c>
      <c r="C1712" s="2" t="s">
        <v>6993</v>
      </c>
      <c r="D1712" s="2" t="s">
        <v>7010</v>
      </c>
      <c r="E1712" s="2" t="s">
        <v>7011</v>
      </c>
      <c r="F1712" s="2">
        <v>248.0</v>
      </c>
      <c r="G1712" s="2">
        <v>821.0</v>
      </c>
      <c r="H1712" s="2" t="b">
        <v>1</v>
      </c>
      <c r="I1712" s="2">
        <v>-1.0</v>
      </c>
      <c r="J1712" s="2" t="b">
        <v>1</v>
      </c>
      <c r="K1712" s="2" t="b">
        <v>1</v>
      </c>
      <c r="L1712" s="2" t="b">
        <v>0</v>
      </c>
      <c r="M1712" s="2" t="b">
        <v>0</v>
      </c>
      <c r="N1712" s="2" t="s">
        <v>33</v>
      </c>
      <c r="O1712" s="2">
        <v>117.0</v>
      </c>
      <c r="P1712" s="2">
        <v>9.0</v>
      </c>
      <c r="Q1712" s="2">
        <v>111.0</v>
      </c>
      <c r="R1712" s="2">
        <v>0.0</v>
      </c>
      <c r="S1712" s="3" t="s">
        <v>7012</v>
      </c>
      <c r="T1712" s="2" t="s">
        <v>7013</v>
      </c>
      <c r="Y1712" s="4" t="str">
        <f>IFERROR(__xludf.DUMMYFUNCTION("""COMPUTED_VALUE"""),"6.8903425")</f>
        <v>6.8903425</v>
      </c>
      <c r="Z1712" s="4" t="str">
        <f>IFERROR(__xludf.DUMMYFUNCTION("""COMPUTED_VALUE"""),"3.7282769")</f>
        <v>3.7282769</v>
      </c>
      <c r="AA1712" s="4" t="str">
        <f t="shared" si="1"/>
        <v>Neighbor</v>
      </c>
      <c r="AC1712" s="4">
        <f>IFERROR(__xludf.DUMMYFUNCTION("IFERROR(ABS(O1712-AVERAGE(FILTER(O1712:O5780,AA1712:AA5780=""Neighbor""))) / STDEV(FILTER(O1712:O5780, AA1712:AA5780 =""Neighbor"")), """")"),1.5894666734411564)</f>
        <v>1.589466673</v>
      </c>
      <c r="AD1712" s="4">
        <f>IFERROR(__xludf.DUMMYFUNCTION("IFERROR(ABS(P1712-AVERAGE(FILTER(O1712:P5780,AA1712:AA5780=""Neighbor""))) / STDEV(FILTER(P1712:P5780, AA1712:AA5780 =""Neighbor"")), """")"),1.221166798289571)</f>
        <v>1.221166798</v>
      </c>
      <c r="AE1712" s="2">
        <f>IFERROR(__xludf.DUMMYFUNCTION("IFERROR(ABS(Q1712-AVERAGE(FILTER(Q1712:Q5780,AA1712:AA5780=""Neighbor""))) / STDEV(FILTER(Q1712:Q5780, AA1712:AA5780 =""Neighbor"")), """")"),3.508833050645131)</f>
        <v>3.508833051</v>
      </c>
      <c r="AF1712" s="2">
        <f>IFERROR(__xludf.DUMMYFUNCTION("IFERROR(ABS(R1712-AVERAGE(FILTER(R1712:R5780,AA1712:AA5780=""Neighbor""))) / STDEV(FILTER(R1712:R5780, AA1712:AA5780 =""Neighbor"")), """")"),0.35002604555883876)</f>
        <v>0.3500260456</v>
      </c>
    </row>
    <row r="1713">
      <c r="A1713" s="2" t="s">
        <v>28</v>
      </c>
      <c r="B1713" s="2" t="s">
        <v>6772</v>
      </c>
      <c r="C1713" s="2" t="s">
        <v>6993</v>
      </c>
      <c r="D1713" s="2" t="s">
        <v>7014</v>
      </c>
      <c r="E1713" s="2" t="s">
        <v>7015</v>
      </c>
      <c r="F1713" s="2">
        <v>179.0</v>
      </c>
      <c r="G1713" s="2">
        <v>619.0</v>
      </c>
      <c r="H1713" s="2" t="b">
        <v>1</v>
      </c>
      <c r="I1713" s="2">
        <v>-1.0</v>
      </c>
      <c r="J1713" s="2" t="b">
        <v>0</v>
      </c>
      <c r="K1713" s="2" t="b">
        <v>0</v>
      </c>
      <c r="L1713" s="2" t="b">
        <v>0</v>
      </c>
      <c r="M1713" s="2" t="b">
        <v>0</v>
      </c>
      <c r="N1713" s="2" t="s">
        <v>33</v>
      </c>
      <c r="O1713" s="2">
        <v>76.0</v>
      </c>
      <c r="P1713" s="2">
        <v>5.0</v>
      </c>
      <c r="Q1713" s="2">
        <v>70.0</v>
      </c>
      <c r="R1713" s="2">
        <v>0.0</v>
      </c>
      <c r="S1713" s="3" t="s">
        <v>7016</v>
      </c>
      <c r="T1713" s="2" t="s">
        <v>7017</v>
      </c>
      <c r="Y1713" s="4" t="str">
        <f>IFERROR(__xludf.DUMMYFUNCTION("""COMPUTED_VALUE"""),"6.8903425")</f>
        <v>6.8903425</v>
      </c>
      <c r="Z1713" s="4" t="str">
        <f>IFERROR(__xludf.DUMMYFUNCTION("""COMPUTED_VALUE"""),"3.7282769")</f>
        <v>3.7282769</v>
      </c>
      <c r="AA1713" s="4" t="str">
        <f t="shared" si="1"/>
        <v>Neighbor</v>
      </c>
      <c r="AC1713" s="4">
        <f>IFERROR(__xludf.DUMMYFUNCTION("IFERROR(ABS(O1713-AVERAGE(FILTER(O1713:O5781,AA1713:AA5781=""Neighbor""))) / STDEV(FILTER(O1713:O5781, AA1713:AA5781 =""Neighbor"")), """")"),0.517632423155701)</f>
        <v>0.5176324232</v>
      </c>
      <c r="AD1713" s="4">
        <f>IFERROR(__xludf.DUMMYFUNCTION("IFERROR(ABS(P1713-AVERAGE(FILTER(O1713:P5781,AA1713:AA5781=""Neighbor""))) / STDEV(FILTER(P1713:P5781, AA1713:AA5781 =""Neighbor"")), """")"),1.4003327498344378)</f>
        <v>1.40033275</v>
      </c>
      <c r="AE1713" s="2">
        <f>IFERROR(__xludf.DUMMYFUNCTION("IFERROR(ABS(Q1713-AVERAGE(FILTER(Q1713:Q5781,AA1713:AA5781=""Neighbor""))) / STDEV(FILTER(Q1713:Q5781, AA1713:AA5781 =""Neighbor"")), """")"),1.8828426822795272)</f>
        <v>1.882842682</v>
      </c>
      <c r="AF1713" s="2">
        <f>IFERROR(__xludf.DUMMYFUNCTION("IFERROR(ABS(R1713-AVERAGE(FILTER(R1713:R5781,AA1713:AA5781=""Neighbor""))) / STDEV(FILTER(R1713:R5781, AA1713:AA5781 =""Neighbor"")), """")"),0.350231770615823)</f>
        <v>0.3502317706</v>
      </c>
    </row>
    <row r="1714">
      <c r="A1714" s="2" t="s">
        <v>28</v>
      </c>
      <c r="B1714" s="2" t="s">
        <v>6772</v>
      </c>
      <c r="C1714" s="2" t="s">
        <v>6993</v>
      </c>
      <c r="D1714" s="2" t="s">
        <v>7018</v>
      </c>
      <c r="E1714" s="2" t="s">
        <v>7019</v>
      </c>
      <c r="F1714" s="2">
        <v>131.0</v>
      </c>
      <c r="G1714" s="2">
        <v>565.0</v>
      </c>
      <c r="H1714" s="2" t="b">
        <v>1</v>
      </c>
      <c r="I1714" s="2">
        <v>-1.0</v>
      </c>
      <c r="J1714" s="2" t="b">
        <v>0</v>
      </c>
      <c r="K1714" s="2" t="b">
        <v>0</v>
      </c>
      <c r="L1714" s="2" t="b">
        <v>0</v>
      </c>
      <c r="M1714" s="2" t="b">
        <v>0</v>
      </c>
      <c r="N1714" s="2" t="s">
        <v>33</v>
      </c>
      <c r="O1714" s="2">
        <v>69.0</v>
      </c>
      <c r="P1714" s="2">
        <v>40.0</v>
      </c>
      <c r="Q1714" s="2">
        <v>15.0</v>
      </c>
      <c r="R1714" s="2">
        <v>0.0</v>
      </c>
      <c r="S1714" s="3" t="s">
        <v>7020</v>
      </c>
      <c r="T1714" s="2" t="s">
        <v>7021</v>
      </c>
      <c r="Y1714" s="4" t="str">
        <f>IFERROR(__xludf.DUMMYFUNCTION("""COMPUTED_VALUE"""),"6.8903425")</f>
        <v>6.8903425</v>
      </c>
      <c r="Z1714" s="4" t="str">
        <f>IFERROR(__xludf.DUMMYFUNCTION("""COMPUTED_VALUE"""),"3.7282769")</f>
        <v>3.7282769</v>
      </c>
      <c r="AA1714" s="4" t="str">
        <f t="shared" si="1"/>
        <v>Not Neighbor</v>
      </c>
      <c r="AC1714" s="4">
        <f>IFERROR(__xludf.DUMMYFUNCTION("IFERROR(ABS(O1714-AVERAGE(FILTER(O1714:O5782,AA1714:AA5782=""Neighbor""))) / STDEV(FILTER(O1714:O5782, AA1714:AA5782 =""Neighbor"")), """")"),0.3345482868704801)</f>
        <v>0.3345482869</v>
      </c>
      <c r="AD1714" s="4">
        <f>IFERROR(__xludf.DUMMYFUNCTION("IFERROR(ABS(P1714-AVERAGE(FILTER(O1714:P5782,AA1714:AA5782=""Neighbor""))) / STDEV(FILTER(P1714:P5782, AA1714:AA5782 =""Neighbor"")), """")"),0.1838298486745584)</f>
        <v>0.1838298487</v>
      </c>
      <c r="AE1714" s="2">
        <f>IFERROR(__xludf.DUMMYFUNCTION("IFERROR(ABS(Q1714-AVERAGE(FILTER(Q1714:Q5782,AA1714:AA5782=""Neighbor""))) / STDEV(FILTER(Q1714:Q5782, AA1714:AA5782 =""Neighbor"")), """")"),0.33001279468686107)</f>
        <v>0.3300127947</v>
      </c>
      <c r="AF1714" s="2">
        <f>IFERROR(__xludf.DUMMYFUNCTION("IFERROR(ABS(R1714-AVERAGE(FILTER(R1714:R5782,AA1714:AA5782=""Neighbor""))) / STDEV(FILTER(R1714:R5782, AA1714:AA5782 =""Neighbor"")), """")"),0.350437858888827)</f>
        <v>0.3504378589</v>
      </c>
    </row>
    <row r="1715">
      <c r="A1715" s="2" t="s">
        <v>28</v>
      </c>
      <c r="B1715" s="2" t="s">
        <v>6772</v>
      </c>
      <c r="C1715" s="2" t="s">
        <v>6993</v>
      </c>
      <c r="D1715" s="2" t="s">
        <v>7022</v>
      </c>
      <c r="E1715" s="2" t="s">
        <v>7023</v>
      </c>
      <c r="F1715" s="2">
        <v>144.0</v>
      </c>
      <c r="G1715" s="2">
        <v>991.0</v>
      </c>
      <c r="H1715" s="2" t="b">
        <v>1</v>
      </c>
      <c r="I1715" s="2">
        <v>-1.0</v>
      </c>
      <c r="J1715" s="2" t="b">
        <v>0</v>
      </c>
      <c r="K1715" s="2" t="b">
        <v>0</v>
      </c>
      <c r="L1715" s="2" t="b">
        <v>0</v>
      </c>
      <c r="M1715" s="2" t="b">
        <v>0</v>
      </c>
      <c r="N1715" s="2" t="s">
        <v>33</v>
      </c>
      <c r="O1715" s="2">
        <v>47.0</v>
      </c>
      <c r="P1715" s="2">
        <v>70.0</v>
      </c>
      <c r="Q1715" s="2">
        <v>21.0</v>
      </c>
      <c r="R1715" s="2">
        <v>0.0</v>
      </c>
      <c r="S1715" s="3" t="s">
        <v>7024</v>
      </c>
      <c r="T1715" s="2" t="s">
        <v>7025</v>
      </c>
      <c r="Y1715" s="4" t="str">
        <f>IFERROR(__xludf.DUMMYFUNCTION("""COMPUTED_VALUE"""),"6.8650212")</f>
        <v>6.8650212</v>
      </c>
      <c r="Z1715" s="4" t="str">
        <f>IFERROR(__xludf.DUMMYFUNCTION("""COMPUTED_VALUE"""),"3.7143181")</f>
        <v>3.7143181</v>
      </c>
      <c r="AA1715" s="4" t="str">
        <f t="shared" si="1"/>
        <v>Not Neighbor</v>
      </c>
      <c r="AC1715" s="4">
        <f>IFERROR(__xludf.DUMMYFUNCTION("IFERROR(ABS(O1715-AVERAGE(FILTER(O1715:O5783,AA1715:AA5783=""Neighbor""))) / STDEV(FILTER(O1715:O5783, AA1715:AA5783 =""Neighbor"")), """")"),0.24194052569847585)</f>
        <v>0.2419405257</v>
      </c>
      <c r="AD1715" s="4">
        <f>IFERROR(__xludf.DUMMYFUNCTION("IFERROR(ABS(P1715-AVERAGE(FILTER(O1715:P5783,AA1715:AA5783=""Neighbor""))) / STDEV(FILTER(P1715:P5783, AA1715:AA5783 =""Neighbor"")), """")"),1.5410139348219112)</f>
        <v>1.541013935</v>
      </c>
      <c r="AE1715" s="2">
        <f>IFERROR(__xludf.DUMMYFUNCTION("IFERROR(ABS(Q1715-AVERAGE(FILTER(Q1715:Q5783,AA1715:AA5783=""Neighbor""))) / STDEV(FILTER(Q1715:Q5783, AA1715:AA5783 =""Neighbor"")), """")"),0.08811904260129877)</f>
        <v>0.0881190426</v>
      </c>
      <c r="AF1715" s="2">
        <f>IFERROR(__xludf.DUMMYFUNCTION("IFERROR(ABS(R1715-AVERAGE(FILTER(R1715:R5783,AA1715:AA5783=""Neighbor""))) / STDEV(FILTER(R1715:R5783, AA1715:AA5783 =""Neighbor"")), """")"),0.350437858888827)</f>
        <v>0.3504378589</v>
      </c>
    </row>
    <row r="1716">
      <c r="A1716" s="2" t="s">
        <v>28</v>
      </c>
      <c r="B1716" s="2" t="s">
        <v>6772</v>
      </c>
      <c r="C1716" s="2" t="s">
        <v>7026</v>
      </c>
      <c r="D1716" s="2" t="s">
        <v>7027</v>
      </c>
      <c r="E1716" s="2" t="s">
        <v>7028</v>
      </c>
      <c r="F1716" s="2">
        <v>210.0</v>
      </c>
      <c r="G1716" s="2">
        <v>585.0</v>
      </c>
      <c r="H1716" s="2" t="b">
        <v>1</v>
      </c>
      <c r="I1716" s="2">
        <v>-1.0</v>
      </c>
      <c r="J1716" s="2" t="b">
        <v>0</v>
      </c>
      <c r="K1716" s="2" t="b">
        <v>0</v>
      </c>
      <c r="L1716" s="2" t="b">
        <v>0</v>
      </c>
      <c r="M1716" s="2" t="b">
        <v>0</v>
      </c>
      <c r="N1716" s="2" t="s">
        <v>33</v>
      </c>
      <c r="O1716" s="2">
        <v>108.0</v>
      </c>
      <c r="P1716" s="2">
        <v>10.0</v>
      </c>
      <c r="Q1716" s="2">
        <v>86.0</v>
      </c>
      <c r="R1716" s="2">
        <v>0.0</v>
      </c>
      <c r="S1716" s="3" t="s">
        <v>7029</v>
      </c>
      <c r="T1716" s="2" t="s">
        <v>7030</v>
      </c>
      <c r="Y1716" s="4" t="str">
        <f>IFERROR(__xludf.DUMMYFUNCTION("""COMPUTED_VALUE"""),"6.9049404")</f>
        <v>6.9049404</v>
      </c>
      <c r="Z1716" s="4" t="str">
        <f>IFERROR(__xludf.DUMMYFUNCTION("""COMPUTED_VALUE"""),"3.7447785")</f>
        <v>3.7447785</v>
      </c>
      <c r="AA1716" s="4" t="str">
        <f t="shared" si="1"/>
        <v>Neighbor</v>
      </c>
      <c r="AC1716" s="4">
        <f>IFERROR(__xludf.DUMMYFUNCTION("IFERROR(ABS(O1716-AVERAGE(FILTER(O1716:O5784,AA1716:AA5784=""Neighbor""))) / STDEV(FILTER(O1716:O5784, AA1716:AA5784 =""Neighbor"")), """")"),1.3565057273336292)</f>
        <v>1.356505727</v>
      </c>
      <c r="AD1716" s="4">
        <f>IFERROR(__xludf.DUMMYFUNCTION("IFERROR(ABS(P1716-AVERAGE(FILTER(O1716:P5784,AA1716:AA5784=""Neighbor""))) / STDEV(FILTER(P1716:P5784, AA1716:AA5784 =""Neighbor"")), """")"),1.1733542374727943)</f>
        <v>1.173354237</v>
      </c>
      <c r="AE1716" s="2">
        <f>IFERROR(__xludf.DUMMYFUNCTION("IFERROR(ABS(Q1716-AVERAGE(FILTER(Q1716:Q5784,AA1716:AA5784=""Neighbor""))) / STDEV(FILTER(Q1716:Q5784, AA1716:AA5784 =""Neighbor"")), """")"),2.5323966049922935)</f>
        <v>2.532396605</v>
      </c>
      <c r="AF1716" s="2">
        <f>IFERROR(__xludf.DUMMYFUNCTION("IFERROR(ABS(R1716-AVERAGE(FILTER(R1716:R5784,AA1716:AA5784=""Neighbor""))) / STDEV(FILTER(R1716:R5784, AA1716:AA5784 =""Neighbor"")), """")"),0.350437858888827)</f>
        <v>0.3504378589</v>
      </c>
    </row>
    <row r="1717">
      <c r="A1717" s="2" t="s">
        <v>28</v>
      </c>
      <c r="B1717" s="2" t="s">
        <v>6772</v>
      </c>
      <c r="C1717" s="2" t="s">
        <v>7026</v>
      </c>
      <c r="D1717" s="2" t="s">
        <v>7031</v>
      </c>
      <c r="E1717" s="2" t="s">
        <v>7032</v>
      </c>
      <c r="F1717" s="2">
        <v>155.0</v>
      </c>
      <c r="G1717" s="2">
        <v>479.0</v>
      </c>
      <c r="H1717" s="2" t="b">
        <v>1</v>
      </c>
      <c r="I1717" s="2">
        <v>-1.0</v>
      </c>
      <c r="J1717" s="2" t="b">
        <v>0</v>
      </c>
      <c r="K1717" s="2" t="b">
        <v>0</v>
      </c>
      <c r="L1717" s="2" t="b">
        <v>0</v>
      </c>
      <c r="M1717" s="2" t="b">
        <v>0</v>
      </c>
      <c r="N1717" s="2" t="s">
        <v>33</v>
      </c>
      <c r="O1717" s="2">
        <v>75.0</v>
      </c>
      <c r="P1717" s="2">
        <v>8.0</v>
      </c>
      <c r="Q1717" s="2">
        <v>69.0</v>
      </c>
      <c r="R1717" s="2">
        <v>0.0</v>
      </c>
      <c r="S1717" s="3" t="s">
        <v>7033</v>
      </c>
      <c r="T1717" s="2" t="s">
        <v>7034</v>
      </c>
      <c r="Y1717" s="4" t="str">
        <f>IFERROR(__xludf.DUMMYFUNCTION("""COMPUTED_VALUE"""),"6.895551")</f>
        <v>6.895551</v>
      </c>
      <c r="Z1717" s="4" t="str">
        <f>IFERROR(__xludf.DUMMYFUNCTION("""COMPUTED_VALUE"""),"3.741517")</f>
        <v>3.741517</v>
      </c>
      <c r="AA1717" s="4" t="str">
        <f t="shared" si="1"/>
        <v>Neighbor</v>
      </c>
      <c r="AC1717" s="4">
        <f>IFERROR(__xludf.DUMMYFUNCTION("IFERROR(ABS(O1717-AVERAGE(FILTER(O1717:O5785,AA1717:AA5785=""Neighbor""))) / STDEV(FILTER(O1717:O5785, AA1717:AA5785 =""Neighbor"")), """")"),0.493415899604727)</f>
        <v>0.4934158996</v>
      </c>
      <c r="AD1717" s="4">
        <f>IFERROR(__xludf.DUMMYFUNCTION("IFERROR(ABS(P1717-AVERAGE(FILTER(O1717:P5785,AA1717:AA5785=""Neighbor""))) / STDEV(FILTER(P1717:P5785, AA1717:AA5785 =""Neighbor"")), """")"),1.2621170146751153)</f>
        <v>1.262117015</v>
      </c>
      <c r="AE1717" s="2">
        <f>IFERROR(__xludf.DUMMYFUNCTION("IFERROR(ABS(Q1717-AVERAGE(FILTER(Q1717:Q5785,AA1717:AA5785=""Neighbor""))) / STDEV(FILTER(Q1717:Q5785, AA1717:AA5785 =""Neighbor"")), """")"),1.854984404566205)</f>
        <v>1.854984405</v>
      </c>
      <c r="AF1717" s="2">
        <f>IFERROR(__xludf.DUMMYFUNCTION("IFERROR(ABS(R1717-AVERAGE(FILTER(R1717:R5785,AA1717:AA5785=""Neighbor""))) / STDEV(FILTER(R1717:R5785, AA1717:AA5785 =""Neighbor"")), """")"),0.35064431144802444)</f>
        <v>0.3506443114</v>
      </c>
    </row>
    <row r="1718">
      <c r="A1718" s="2" t="s">
        <v>28</v>
      </c>
      <c r="B1718" s="2" t="s">
        <v>6772</v>
      </c>
      <c r="C1718" s="2" t="s">
        <v>7026</v>
      </c>
      <c r="D1718" s="2" t="s">
        <v>7035</v>
      </c>
      <c r="E1718" s="2" t="s">
        <v>7036</v>
      </c>
      <c r="F1718" s="2">
        <v>104.0</v>
      </c>
      <c r="G1718" s="2">
        <v>360.0</v>
      </c>
      <c r="H1718" s="2" t="b">
        <v>1</v>
      </c>
      <c r="I1718" s="2">
        <v>-1.0</v>
      </c>
      <c r="J1718" s="2" t="b">
        <v>0</v>
      </c>
      <c r="K1718" s="2" t="b">
        <v>0</v>
      </c>
      <c r="L1718" s="2" t="b">
        <v>0</v>
      </c>
      <c r="M1718" s="2" t="b">
        <v>0</v>
      </c>
      <c r="N1718" s="2" t="s">
        <v>33</v>
      </c>
      <c r="O1718" s="2">
        <v>37.0</v>
      </c>
      <c r="P1718" s="2">
        <v>15.0</v>
      </c>
      <c r="Q1718" s="2">
        <v>49.0</v>
      </c>
      <c r="R1718" s="2">
        <v>0.0</v>
      </c>
      <c r="S1718" s="3" t="s">
        <v>7037</v>
      </c>
      <c r="T1718" s="2" t="s">
        <v>7038</v>
      </c>
      <c r="Y1718" s="4" t="str">
        <f>IFERROR(__xludf.DUMMYFUNCTION("""COMPUTED_VALUE"""),"6.895551")</f>
        <v>6.895551</v>
      </c>
      <c r="Z1718" s="4" t="str">
        <f>IFERROR(__xludf.DUMMYFUNCTION("""COMPUTED_VALUE"""),"3.741517")</f>
        <v>3.741517</v>
      </c>
      <c r="AA1718" s="4" t="str">
        <f t="shared" si="1"/>
        <v>Neighbor</v>
      </c>
      <c r="AC1718" s="4">
        <f>IFERROR(__xludf.DUMMYFUNCTION("IFERROR(ABS(O1718-AVERAGE(FILTER(O1718:O5786,AA1718:AA5786=""Neighbor""))) / STDEV(FILTER(O1718:O5786, AA1718:AA5786 =""Neighbor"")), """")"),0.5020599886245141)</f>
        <v>0.5020599886</v>
      </c>
      <c r="AD1718" s="4">
        <f>IFERROR(__xludf.DUMMYFUNCTION("IFERROR(ABS(P1718-AVERAGE(FILTER(O1718:P5786,AA1718:AA5786=""Neighbor""))) / STDEV(FILTER(P1718:P5786, AA1718:AA5786 =""Neighbor"")), """")"),0.9448928753026569)</f>
        <v>0.9448928753</v>
      </c>
      <c r="AE1718" s="2">
        <f>IFERROR(__xludf.DUMMYFUNCTION("IFERROR(ABS(Q1718-AVERAGE(FILTER(Q1718:Q5786,AA1718:AA5786=""Neighbor""))) / STDEV(FILTER(Q1718:Q5786, AA1718:AA5786 =""Neighbor"")), """")"),1.0496663919940012)</f>
        <v>1.049666392</v>
      </c>
      <c r="AF1718" s="2">
        <f>IFERROR(__xludf.DUMMYFUNCTION("IFERROR(ABS(R1718-AVERAGE(FILTER(R1718:R5786,AA1718:AA5786=""Neighbor""))) / STDEV(FILTER(R1718:R5786, AA1718:AA5786 =""Neighbor"")), """")"),0.3508511293680097)</f>
        <v>0.3508511294</v>
      </c>
    </row>
    <row r="1719">
      <c r="A1719" s="2" t="s">
        <v>28</v>
      </c>
      <c r="B1719" s="2" t="s">
        <v>6772</v>
      </c>
      <c r="C1719" s="2" t="s">
        <v>7026</v>
      </c>
      <c r="D1719" s="2" t="s">
        <v>7039</v>
      </c>
      <c r="E1719" s="2" t="s">
        <v>7040</v>
      </c>
      <c r="F1719" s="2">
        <v>100.0</v>
      </c>
      <c r="G1719" s="2">
        <v>379.0</v>
      </c>
      <c r="H1719" s="2" t="b">
        <v>1</v>
      </c>
      <c r="I1719" s="2">
        <v>-1.0</v>
      </c>
      <c r="J1719" s="2" t="b">
        <v>0</v>
      </c>
      <c r="K1719" s="2" t="b">
        <v>0</v>
      </c>
      <c r="L1719" s="2" t="b">
        <v>0</v>
      </c>
      <c r="M1719" s="2" t="b">
        <v>0</v>
      </c>
      <c r="N1719" s="2" t="s">
        <v>33</v>
      </c>
      <c r="O1719" s="2">
        <v>40.0</v>
      </c>
      <c r="P1719" s="2">
        <v>27.0</v>
      </c>
      <c r="Q1719" s="2">
        <v>29.0</v>
      </c>
      <c r="R1719" s="2">
        <v>0.0</v>
      </c>
      <c r="S1719" s="3" t="s">
        <v>7041</v>
      </c>
      <c r="T1719" s="2" t="s">
        <v>7042</v>
      </c>
      <c r="Y1719" s="4" t="str">
        <f>IFERROR(__xludf.DUMMYFUNCTION("""COMPUTED_VALUE"""),"6.8982759")</f>
        <v>6.8982759</v>
      </c>
      <c r="Z1719" s="4" t="str">
        <f>IFERROR(__xludf.DUMMYFUNCTION("""COMPUTED_VALUE"""),"3.74097")</f>
        <v>3.74097</v>
      </c>
      <c r="AA1719" s="4" t="str">
        <f t="shared" si="1"/>
        <v>Not Neighbor</v>
      </c>
      <c r="AC1719" s="4">
        <f>IFERROR(__xludf.DUMMYFUNCTION("IFERROR(ABS(O1719-AVERAGE(FILTER(O1719:O5787,AA1719:AA5787=""Neighbor""))) / STDEV(FILTER(O1719:O5787, AA1719:AA5787 =""Neighbor"")), """")"),0.42380590752527725)</f>
        <v>0.4238059075</v>
      </c>
      <c r="AD1719" s="4">
        <f>IFERROR(__xludf.DUMMYFUNCTION("IFERROR(ABS(P1719-AVERAGE(FILTER(O1719:P5787,AA1719:AA5787=""Neighbor""))) / STDEV(FILTER(P1719:P5787, AA1719:AA5787 =""Neighbor"")), """")"),0.4027964198357084)</f>
        <v>0.4027964198</v>
      </c>
      <c r="AE1719" s="2">
        <f>IFERROR(__xludf.DUMMYFUNCTION("IFERROR(ABS(Q1719-AVERAGE(FILTER(Q1719:Q5787,AA1719:AA5787=""Neighbor""))) / STDEV(FILTER(Q1719:Q5787, AA1719:AA5787 =""Neighbor"")), """")"),0.2411220120159549)</f>
        <v>0.241122012</v>
      </c>
      <c r="AF1719" s="2">
        <f>IFERROR(__xludf.DUMMYFUNCTION("IFERROR(ABS(R1719-AVERAGE(FILTER(R1719:R5787,AA1719:AA5787=""Neighbor""))) / STDEV(FILTER(R1719:R5787, AA1719:AA5787 =""Neighbor"")), """")"),0.3510583137278203)</f>
        <v>0.3510583137</v>
      </c>
    </row>
    <row r="1720">
      <c r="A1720" s="2" t="s">
        <v>28</v>
      </c>
      <c r="B1720" s="2" t="s">
        <v>7043</v>
      </c>
      <c r="C1720" s="2" t="s">
        <v>7044</v>
      </c>
      <c r="D1720" s="2" t="s">
        <v>7045</v>
      </c>
      <c r="E1720" s="2" t="s">
        <v>7046</v>
      </c>
      <c r="F1720" s="2">
        <v>277.0</v>
      </c>
      <c r="G1720" s="2">
        <v>1286.0</v>
      </c>
      <c r="H1720" s="2" t="b">
        <v>1</v>
      </c>
      <c r="I1720" s="2">
        <v>-1.0</v>
      </c>
      <c r="J1720" s="2" t="b">
        <v>0</v>
      </c>
      <c r="K1720" s="2" t="b">
        <v>0</v>
      </c>
      <c r="L1720" s="2" t="b">
        <v>0</v>
      </c>
      <c r="M1720" s="2" t="b">
        <v>0</v>
      </c>
      <c r="N1720" s="2" t="s">
        <v>33</v>
      </c>
      <c r="O1720" s="2">
        <v>203.0</v>
      </c>
      <c r="P1720" s="2">
        <v>31.0</v>
      </c>
      <c r="Q1720" s="2">
        <v>34.0</v>
      </c>
      <c r="R1720" s="2">
        <v>0.0</v>
      </c>
      <c r="S1720" s="3" t="s">
        <v>7047</v>
      </c>
      <c r="T1720" s="2" t="s">
        <v>7048</v>
      </c>
      <c r="Y1720" s="4" t="str">
        <f>IFERROR(__xludf.DUMMYFUNCTION("""COMPUTED_VALUE"""),"7.4323105")</f>
        <v>7.4323105</v>
      </c>
      <c r="Z1720" s="4" t="str">
        <f>IFERROR(__xludf.DUMMYFUNCTION("""COMPUTED_VALUE"""),"2.8432307")</f>
        <v>2.8432307</v>
      </c>
      <c r="AA1720" s="4" t="str">
        <f t="shared" si="1"/>
        <v>Not Neighbor</v>
      </c>
      <c r="AC1720" s="4">
        <f>IFERROR(__xludf.DUMMYFUNCTION("IFERROR(ABS(O1720-AVERAGE(FILTER(O1720:O5788,AA1720:AA5788=""Neighbor""))) / STDEV(FILTER(O1720:O5788, AA1720:AA5788 =""Neighbor"")), """")"),3.845962783449947)</f>
        <v>3.845962783</v>
      </c>
      <c r="AD1720" s="4">
        <f>IFERROR(__xludf.DUMMYFUNCTION("IFERROR(ABS(P1720-AVERAGE(FILTER(O1720:P5788,AA1720:AA5788=""Neighbor""))) / STDEV(FILTER(P1720:P5788, AA1720:AA5788 =""Neighbor"")), """")"),0.22210625393136513)</f>
        <v>0.2221062539</v>
      </c>
      <c r="AE1720" s="2">
        <f>IFERROR(__xludf.DUMMYFUNCTION("IFERROR(ABS(Q1720-AVERAGE(FILTER(Q1720:Q5788,AA1720:AA5788=""Neighbor""))) / STDEV(FILTER(Q1720:Q5788, AA1720:AA5788 =""Neighbor"")), """")"),0.44354858626052646)</f>
        <v>0.4435485863</v>
      </c>
      <c r="AF1720" s="2">
        <f>IFERROR(__xludf.DUMMYFUNCTION("IFERROR(ABS(R1720-AVERAGE(FILTER(R1720:R5788,AA1720:AA5788=""Neighbor""))) / STDEV(FILTER(R1720:R5788, AA1720:AA5788 =""Neighbor"")), """")"),0.3510583137278203)</f>
        <v>0.3510583137</v>
      </c>
    </row>
    <row r="1721">
      <c r="A1721" s="2" t="s">
        <v>28</v>
      </c>
      <c r="B1721" s="2" t="s">
        <v>7043</v>
      </c>
      <c r="C1721" s="2" t="s">
        <v>7044</v>
      </c>
      <c r="D1721" s="2" t="s">
        <v>7049</v>
      </c>
      <c r="E1721" s="2" t="s">
        <v>7050</v>
      </c>
      <c r="F1721" s="2">
        <v>189.0</v>
      </c>
      <c r="G1721" s="2">
        <v>888.0</v>
      </c>
      <c r="H1721" s="2" t="b">
        <v>1</v>
      </c>
      <c r="I1721" s="2">
        <v>-1.0</v>
      </c>
      <c r="J1721" s="2" t="b">
        <v>0</v>
      </c>
      <c r="K1721" s="2" t="b">
        <v>0</v>
      </c>
      <c r="L1721" s="2" t="b">
        <v>0</v>
      </c>
      <c r="M1721" s="2" t="b">
        <v>0</v>
      </c>
      <c r="N1721" s="2" t="s">
        <v>33</v>
      </c>
      <c r="O1721" s="2">
        <v>149.0</v>
      </c>
      <c r="P1721" s="2">
        <v>8.0</v>
      </c>
      <c r="Q1721" s="2">
        <v>27.0</v>
      </c>
      <c r="R1721" s="2">
        <v>0.0</v>
      </c>
      <c r="S1721" s="3" t="s">
        <v>7051</v>
      </c>
      <c r="T1721" s="2" t="s">
        <v>7052</v>
      </c>
      <c r="Y1721" s="4" t="str">
        <f>IFERROR(__xludf.DUMMYFUNCTION("""COMPUTED_VALUE"""),"7.4452923")</f>
        <v>7.4452923</v>
      </c>
      <c r="Z1721" s="4" t="str">
        <f>IFERROR(__xludf.DUMMYFUNCTION("""COMPUTED_VALUE"""),"2.842751")</f>
        <v>2.842751</v>
      </c>
      <c r="AA1721" s="4" t="str">
        <f t="shared" si="1"/>
        <v>Neighbor</v>
      </c>
      <c r="AC1721" s="4">
        <f>IFERROR(__xludf.DUMMYFUNCTION("IFERROR(ABS(O1721-AVERAGE(FILTER(O1721:O5789,AA1721:AA5789=""Neighbor""))) / STDEV(FILTER(O1721:O5789, AA1721:AA5789 =""Neighbor"")), """")"),2.43143818643975)</f>
        <v>2.431438186</v>
      </c>
      <c r="AD1721" s="4">
        <f>IFERROR(__xludf.DUMMYFUNCTION("IFERROR(ABS(P1721-AVERAGE(FILTER(O1721:P5789,AA1721:AA5789=""Neighbor""))) / STDEV(FILTER(P1721:P5789, AA1721:AA5789 =""Neighbor"")), """")"),1.2610747078813391)</f>
        <v>1.261074708</v>
      </c>
      <c r="AE1721" s="2">
        <f>IFERROR(__xludf.DUMMYFUNCTION("IFERROR(ABS(Q1721-AVERAGE(FILTER(Q1721:Q5789,AA1721:AA5789=""Neighbor""))) / STDEV(FILTER(Q1721:Q5789, AA1721:AA5789 =""Neighbor"")), """")"),0.16015138231812626)</f>
        <v>0.1601513823</v>
      </c>
      <c r="AF1721" s="2">
        <f>IFERROR(__xludf.DUMMYFUNCTION("IFERROR(ABS(R1721-AVERAGE(FILTER(R1721:R5789,AA1721:AA5789=""Neighbor""))) / STDEV(FILTER(R1721:R5789, AA1721:AA5789 =""Neighbor"")), """")"),0.3510583137278203)</f>
        <v>0.3510583137</v>
      </c>
    </row>
    <row r="1722">
      <c r="A1722" s="2" t="s">
        <v>28</v>
      </c>
      <c r="B1722" s="2" t="s">
        <v>7043</v>
      </c>
      <c r="C1722" s="2" t="s">
        <v>7044</v>
      </c>
      <c r="D1722" s="2" t="s">
        <v>7053</v>
      </c>
      <c r="E1722" s="2" t="s">
        <v>7054</v>
      </c>
      <c r="F1722" s="2">
        <v>160.0</v>
      </c>
      <c r="G1722" s="2">
        <v>653.0</v>
      </c>
      <c r="H1722" s="2" t="b">
        <v>1</v>
      </c>
      <c r="I1722" s="2">
        <v>-1.0</v>
      </c>
      <c r="J1722" s="2" t="b">
        <v>1</v>
      </c>
      <c r="K1722" s="2" t="b">
        <v>1</v>
      </c>
      <c r="L1722" s="2" t="b">
        <v>0</v>
      </c>
      <c r="M1722" s="2" t="b">
        <v>0</v>
      </c>
      <c r="N1722" s="2" t="s">
        <v>33</v>
      </c>
      <c r="O1722" s="2">
        <v>0.0</v>
      </c>
      <c r="P1722" s="2">
        <v>0.0</v>
      </c>
      <c r="Q1722" s="2">
        <v>0.0</v>
      </c>
      <c r="R1722" s="2">
        <v>0.0</v>
      </c>
      <c r="S1722" s="3" t="s">
        <v>7055</v>
      </c>
      <c r="T1722" s="2" t="s">
        <v>7056</v>
      </c>
      <c r="Y1722" s="4" t="str">
        <f>IFERROR(__xludf.DUMMYFUNCTION("""COMPUTED_VALUE"""),"7.447738")</f>
        <v>7.447738</v>
      </c>
      <c r="Z1722" s="4" t="str">
        <f>IFERROR(__xludf.DUMMYFUNCTION("""COMPUTED_VALUE"""),"2.8379597")</f>
        <v>2.8379597</v>
      </c>
      <c r="AA1722" s="4" t="str">
        <f t="shared" si="1"/>
        <v>Neighbor</v>
      </c>
      <c r="AC1722" s="4">
        <f>IFERROR(__xludf.DUMMYFUNCTION("IFERROR(ABS(O1722-AVERAGE(FILTER(O1722:O5790,AA1722:AA5790=""Neighbor""))) / STDEV(FILTER(O1722:O5790, AA1722:AA5790 =""Neighbor"")), """")"),1.47286530053778)</f>
        <v>1.472865301</v>
      </c>
      <c r="AD1722" s="4">
        <f>IFERROR(__xludf.DUMMYFUNCTION("IFERROR(ABS(P1722-AVERAGE(FILTER(O1722:P5790,AA1722:AA5790=""Neighbor""))) / STDEV(FILTER(P1722:P5790, AA1722:AA5790 =""Neighbor"")), """")"),1.6196762383816923)</f>
        <v>1.619676238</v>
      </c>
      <c r="AE1722" s="2">
        <f>IFERROR(__xludf.DUMMYFUNCTION("IFERROR(ABS(Q1722-AVERAGE(FILTER(Q1722:Q5790,AA1722:AA5790=""Neighbor""))) / STDEV(FILTER(Q1722:Q5790, AA1722:AA5790 =""Neighbor"")), """")"),0.932304387071008)</f>
        <v>0.9323043871</v>
      </c>
      <c r="AF1722" s="2">
        <f>IFERROR(__xludf.DUMMYFUNCTION("IFERROR(ABS(R1722-AVERAGE(FILTER(R1722:R5790,AA1722:AA5790=""Neighbor""))) / STDEV(FILTER(R1722:R5790, AA1722:AA5790 =""Neighbor"")), """")"),0.3512658656109612)</f>
        <v>0.3512658656</v>
      </c>
    </row>
    <row r="1723">
      <c r="A1723" s="2" t="s">
        <v>28</v>
      </c>
      <c r="B1723" s="2" t="s">
        <v>7043</v>
      </c>
      <c r="C1723" s="2" t="s">
        <v>7044</v>
      </c>
      <c r="D1723" s="2" t="s">
        <v>7057</v>
      </c>
      <c r="E1723" s="2" t="s">
        <v>7058</v>
      </c>
      <c r="F1723" s="2">
        <v>192.0</v>
      </c>
      <c r="G1723" s="2">
        <v>855.0</v>
      </c>
      <c r="H1723" s="2" t="b">
        <v>1</v>
      </c>
      <c r="I1723" s="2">
        <v>-1.0</v>
      </c>
      <c r="J1723" s="2" t="b">
        <v>0</v>
      </c>
      <c r="K1723" s="2" t="b">
        <v>0</v>
      </c>
      <c r="L1723" s="2" t="b">
        <v>0</v>
      </c>
      <c r="M1723" s="2" t="b">
        <v>0</v>
      </c>
      <c r="N1723" s="2" t="s">
        <v>33</v>
      </c>
      <c r="O1723" s="2">
        <v>153.0</v>
      </c>
      <c r="P1723" s="2">
        <v>6.0</v>
      </c>
      <c r="Q1723" s="2">
        <v>18.0</v>
      </c>
      <c r="R1723" s="2">
        <v>0.0</v>
      </c>
      <c r="S1723" s="3" t="s">
        <v>7059</v>
      </c>
      <c r="T1723" s="2" t="s">
        <v>7060</v>
      </c>
      <c r="Y1723" s="4" t="str">
        <f>IFERROR(__xludf.DUMMYFUNCTION("""COMPUTED_VALUE"""),"7.4481349")</f>
        <v>7.4481349</v>
      </c>
      <c r="Z1723" s="4" t="str">
        <f>IFERROR(__xludf.DUMMYFUNCTION("""COMPUTED_VALUE"""),"2.8391075")</f>
        <v>2.8391075</v>
      </c>
      <c r="AA1723" s="4" t="str">
        <f t="shared" si="1"/>
        <v>Not Neighbor</v>
      </c>
      <c r="AC1723" s="4">
        <f>IFERROR(__xludf.DUMMYFUNCTION("IFERROR(ABS(O1723-AVERAGE(FILTER(O1723:O5791,AA1723:AA5791=""Neighbor""))) / STDEV(FILTER(O1723:O5791, AA1723:AA5791 =""Neighbor"")), """")"),2.5454124975280394)</f>
        <v>2.545412498</v>
      </c>
      <c r="AD1723" s="4">
        <f>IFERROR(__xludf.DUMMYFUNCTION("IFERROR(ABS(P1723-AVERAGE(FILTER(O1723:P5791,AA1723:AA5791=""Neighbor""))) / STDEV(FILTER(P1723:P5791, AA1723:AA5791 =""Neighbor"")), """")"),1.3501193592961596)</f>
        <v>1.350119359</v>
      </c>
      <c r="AE1723" s="2">
        <f>IFERROR(__xludf.DUMMYFUNCTION("IFERROR(ABS(Q1723-AVERAGE(FILTER(Q1723:Q5791,AA1723:AA5791=""Neighbor""))) / STDEV(FILTER(Q1723:Q5791, AA1723:AA5791 =""Neighbor"")), """")"),0.20491230806289507)</f>
        <v>0.2049123081</v>
      </c>
      <c r="AF1723" s="2">
        <f>IFERROR(__xludf.DUMMYFUNCTION("IFERROR(ABS(R1723-AVERAGE(FILTER(R1723:R5791,AA1723:AA5791=""Neighbor""))) / STDEV(FILTER(R1723:R5791, AA1723:AA5791 =""Neighbor"")), """")"),0.35147378610542807)</f>
        <v>0.3514737861</v>
      </c>
    </row>
    <row r="1724">
      <c r="A1724" s="2" t="s">
        <v>28</v>
      </c>
      <c r="B1724" s="2" t="s">
        <v>7043</v>
      </c>
      <c r="C1724" s="2" t="s">
        <v>7044</v>
      </c>
      <c r="D1724" s="2" t="s">
        <v>7061</v>
      </c>
      <c r="E1724" s="2" t="s">
        <v>7062</v>
      </c>
      <c r="F1724" s="2">
        <v>180.0</v>
      </c>
      <c r="G1724" s="2">
        <v>550.0</v>
      </c>
      <c r="H1724" s="2" t="b">
        <v>1</v>
      </c>
      <c r="I1724" s="2">
        <v>-1.0</v>
      </c>
      <c r="J1724" s="2" t="b">
        <v>0</v>
      </c>
      <c r="K1724" s="2" t="b">
        <v>0</v>
      </c>
      <c r="L1724" s="2" t="b">
        <v>0</v>
      </c>
      <c r="M1724" s="2" t="b">
        <v>0</v>
      </c>
      <c r="N1724" s="2" t="s">
        <v>33</v>
      </c>
      <c r="O1724" s="2">
        <v>117.0</v>
      </c>
      <c r="P1724" s="2">
        <v>3.0</v>
      </c>
      <c r="Q1724" s="2">
        <v>57.0</v>
      </c>
      <c r="R1724" s="2">
        <v>0.0</v>
      </c>
      <c r="S1724" s="3" t="s">
        <v>7063</v>
      </c>
      <c r="T1724" s="2" t="s">
        <v>7064</v>
      </c>
      <c r="Y1724" s="4" t="str">
        <f>IFERROR(__xludf.DUMMYFUNCTION("""COMPUTED_VALUE"""),"7.5099102")</f>
        <v>7.5099102</v>
      </c>
      <c r="Z1724" s="4" t="str">
        <f>IFERROR(__xludf.DUMMYFUNCTION("""COMPUTED_VALUE"""),"3.0083459")</f>
        <v>3.0083459</v>
      </c>
      <c r="AA1724" s="4" t="str">
        <f t="shared" si="1"/>
        <v>Not Neighbor</v>
      </c>
      <c r="AC1724" s="4">
        <f>IFERROR(__xludf.DUMMYFUNCTION("IFERROR(ABS(O1724-AVERAGE(FILTER(O1724:O5792,AA1724:AA5792=""Neighbor""))) / STDEV(FILTER(O1724:O5792, AA1724:AA5792 =""Neighbor"")), """")"),1.5993549986918336)</f>
        <v>1.599354999</v>
      </c>
      <c r="AD1724" s="4">
        <f>IFERROR(__xludf.DUMMYFUNCTION("IFERROR(ABS(P1724-AVERAGE(FILTER(O1724:P5792,AA1724:AA5792=""Neighbor""))) / STDEV(FILTER(P1724:P5792, AA1724:AA5792 =""Neighbor"")), """")"),1.4855384094588595)</f>
        <v>1.485538409</v>
      </c>
      <c r="AE1724" s="2">
        <f>IFERROR(__xludf.DUMMYFUNCTION("IFERROR(ABS(Q1724-AVERAGE(FILTER(Q1724:Q5792,AA1724:AA5792=""Neighbor""))) / STDEV(FILTER(Q1724:Q5792, AA1724:AA5792 =""Neighbor"")), """")"),1.3730959930621527)</f>
        <v>1.373095993</v>
      </c>
      <c r="AF1724" s="2">
        <f>IFERROR(__xludf.DUMMYFUNCTION("IFERROR(ABS(R1724-AVERAGE(FILTER(R1724:R5792,AA1724:AA5792=""Neighbor""))) / STDEV(FILTER(R1724:R5792, AA1724:AA5792 =""Neighbor"")), """")"),0.35147378610542807)</f>
        <v>0.3514737861</v>
      </c>
    </row>
    <row r="1725">
      <c r="A1725" s="2" t="s">
        <v>28</v>
      </c>
      <c r="B1725" s="2" t="s">
        <v>7043</v>
      </c>
      <c r="C1725" s="2" t="s">
        <v>7044</v>
      </c>
      <c r="D1725" s="2" t="s">
        <v>7065</v>
      </c>
      <c r="E1725" s="2" t="s">
        <v>7066</v>
      </c>
      <c r="F1725" s="2">
        <v>172.0</v>
      </c>
      <c r="G1725" s="2">
        <v>710.0</v>
      </c>
      <c r="H1725" s="2" t="b">
        <v>1</v>
      </c>
      <c r="I1725" s="2">
        <v>-1.0</v>
      </c>
      <c r="J1725" s="2" t="b">
        <v>1</v>
      </c>
      <c r="K1725" s="2" t="b">
        <v>1</v>
      </c>
      <c r="L1725" s="2" t="b">
        <v>0</v>
      </c>
      <c r="M1725" s="2" t="b">
        <v>0</v>
      </c>
      <c r="N1725" s="2" t="s">
        <v>33</v>
      </c>
      <c r="O1725" s="2">
        <v>116.0</v>
      </c>
      <c r="P1725" s="2">
        <v>7.0</v>
      </c>
      <c r="Q1725" s="2">
        <v>41.0</v>
      </c>
      <c r="R1725" s="2">
        <v>0.0</v>
      </c>
      <c r="S1725" s="3" t="s">
        <v>7067</v>
      </c>
      <c r="T1725" s="2" t="s">
        <v>7068</v>
      </c>
      <c r="Y1725" s="4" t="str">
        <f>IFERROR(__xludf.DUMMYFUNCTION("""COMPUTED_VALUE"""),"7.447738")</f>
        <v>7.447738</v>
      </c>
      <c r="Z1725" s="4" t="str">
        <f>IFERROR(__xludf.DUMMYFUNCTION("""COMPUTED_VALUE"""),"2.8379597")</f>
        <v>2.8379597</v>
      </c>
      <c r="AA1725" s="4" t="str">
        <f t="shared" si="1"/>
        <v>Neighbor</v>
      </c>
      <c r="AC1725" s="4">
        <f>IFERROR(__xludf.DUMMYFUNCTION("IFERROR(ABS(O1725-AVERAGE(FILTER(O1725:O5793,AA1725:AA5793=""Neighbor""))) / STDEV(FILTER(O1725:O5793, AA1725:AA5793 =""Neighbor"")), """")"),1.5730756237241612)</f>
        <v>1.573075624</v>
      </c>
      <c r="AD1725" s="4">
        <f>IFERROR(__xludf.DUMMYFUNCTION("IFERROR(ABS(P1725-AVERAGE(FILTER(O1725:P5793,AA1725:AA5793=""Neighbor""))) / STDEV(FILTER(P1725:P5793, AA1725:AA5793 =""Neighbor"")), """")"),1.3049796759085928)</f>
        <v>1.304979676</v>
      </c>
      <c r="AE1725" s="2">
        <f>IFERROR(__xludf.DUMMYFUNCTION("IFERROR(ABS(Q1725-AVERAGE(FILTER(Q1725:Q5793,AA1725:AA5793=""Neighbor""))) / STDEV(FILTER(Q1725:Q5793, AA1725:AA5793 =""Neighbor"")), """")"),0.7257079720877742)</f>
        <v>0.7257079721</v>
      </c>
      <c r="AF1725" s="2">
        <f>IFERROR(__xludf.DUMMYFUNCTION("IFERROR(ABS(R1725-AVERAGE(FILTER(R1725:R5793,AA1725:AA5793=""Neighbor""))) / STDEV(FILTER(R1725:R5793, AA1725:AA5793 =""Neighbor"")), """")"),0.35147378610542807)</f>
        <v>0.3514737861</v>
      </c>
    </row>
    <row r="1726">
      <c r="A1726" s="2" t="s">
        <v>28</v>
      </c>
      <c r="B1726" s="2" t="s">
        <v>7043</v>
      </c>
      <c r="C1726" s="2" t="s">
        <v>7044</v>
      </c>
      <c r="D1726" s="2" t="s">
        <v>7069</v>
      </c>
      <c r="E1726" s="2" t="s">
        <v>7070</v>
      </c>
      <c r="F1726" s="2">
        <v>225.0</v>
      </c>
      <c r="G1726" s="2">
        <v>949.0</v>
      </c>
      <c r="H1726" s="2" t="b">
        <v>1</v>
      </c>
      <c r="I1726" s="2">
        <v>-1.0</v>
      </c>
      <c r="J1726" s="2" t="b">
        <v>1</v>
      </c>
      <c r="K1726" s="2" t="b">
        <v>0</v>
      </c>
      <c r="L1726" s="2" t="b">
        <v>0</v>
      </c>
      <c r="M1726" s="2" t="b">
        <v>0</v>
      </c>
      <c r="N1726" s="2" t="s">
        <v>33</v>
      </c>
      <c r="O1726" s="2">
        <v>134.0</v>
      </c>
      <c r="P1726" s="2">
        <v>24.0</v>
      </c>
      <c r="Q1726" s="2">
        <v>56.0</v>
      </c>
      <c r="R1726" s="2">
        <v>0.0</v>
      </c>
      <c r="S1726" s="3" t="s">
        <v>7071</v>
      </c>
      <c r="T1726" s="2" t="s">
        <v>7072</v>
      </c>
      <c r="Y1726" s="4" t="str">
        <f>IFERROR(__xludf.DUMMYFUNCTION("""COMPUTED_VALUE"""),"7.447738")</f>
        <v>7.447738</v>
      </c>
      <c r="Z1726" s="4" t="str">
        <f>IFERROR(__xludf.DUMMYFUNCTION("""COMPUTED_VALUE"""),"2.8379597")</f>
        <v>2.8379597</v>
      </c>
      <c r="AA1726" s="4" t="str">
        <f t="shared" si="1"/>
        <v>Neighbor</v>
      </c>
      <c r="AC1726" s="4">
        <f>IFERROR(__xludf.DUMMYFUNCTION("IFERROR(ABS(O1726-AVERAGE(FILTER(O1726:O5794,AA1726:AA5794=""Neighbor""))) / STDEV(FILTER(O1726:O5794, AA1726:AA5794 =""Neighbor"")), """")"),2.0493661566359194)</f>
        <v>2.049366157</v>
      </c>
      <c r="AD1726" s="4">
        <f>IFERROR(__xludf.DUMMYFUNCTION("IFERROR(ABS(P1726-AVERAGE(FILTER(O1726:P5794,AA1726:AA5794=""Neighbor""))) / STDEV(FILTER(P1726:P5794, AA1726:AA5794 =""Neighbor"")), """")"),0.5361454974943212)</f>
        <v>0.5361454975</v>
      </c>
      <c r="AE1726" s="2">
        <f>IFERROR(__xludf.DUMMYFUNCTION("IFERROR(ABS(Q1726-AVERAGE(FILTER(Q1726:Q5794,AA1726:AA5794=""Neighbor""))) / STDEV(FILTER(Q1726:Q5794, AA1726:AA5794 =""Neighbor"")), """")"),1.3330674862721748)</f>
        <v>1.333067486</v>
      </c>
      <c r="AF1726" s="2">
        <f>IFERROR(__xludf.DUMMYFUNCTION("IFERROR(ABS(R1726-AVERAGE(FILTER(R1726:R5794,AA1726:AA5794=""Neighbor""))) / STDEV(FILTER(R1726:R5794, AA1726:AA5794 =""Neighbor"")), """")"),0.3516820763037323)</f>
        <v>0.3516820763</v>
      </c>
    </row>
    <row r="1727">
      <c r="A1727" s="2" t="s">
        <v>28</v>
      </c>
      <c r="B1727" s="2" t="s">
        <v>7043</v>
      </c>
      <c r="C1727" s="2" t="s">
        <v>7044</v>
      </c>
      <c r="D1727" s="2" t="s">
        <v>7073</v>
      </c>
      <c r="E1727" s="2" t="s">
        <v>7074</v>
      </c>
      <c r="F1727" s="2">
        <v>228.0</v>
      </c>
      <c r="G1727" s="2">
        <v>797.0</v>
      </c>
      <c r="H1727" s="2" t="b">
        <v>1</v>
      </c>
      <c r="I1727" s="2">
        <v>-1.0</v>
      </c>
      <c r="J1727" s="2" t="b">
        <v>1</v>
      </c>
      <c r="K1727" s="2" t="b">
        <v>0</v>
      </c>
      <c r="L1727" s="2" t="b">
        <v>0</v>
      </c>
      <c r="M1727" s="2" t="b">
        <v>0</v>
      </c>
      <c r="N1727" s="2" t="s">
        <v>33</v>
      </c>
      <c r="O1727" s="2">
        <v>156.0</v>
      </c>
      <c r="P1727" s="2">
        <v>6.0</v>
      </c>
      <c r="Q1727" s="2">
        <v>48.0</v>
      </c>
      <c r="R1727" s="2">
        <v>0.0</v>
      </c>
      <c r="S1727" s="3" t="s">
        <v>7075</v>
      </c>
      <c r="T1727" s="2" t="s">
        <v>7076</v>
      </c>
      <c r="Y1727" s="4" t="str">
        <f>IFERROR(__xludf.DUMMYFUNCTION("""COMPUTED_VALUE"""),"7.447738")</f>
        <v>7.447738</v>
      </c>
      <c r="Z1727" s="4" t="str">
        <f>IFERROR(__xludf.DUMMYFUNCTION("""COMPUTED_VALUE"""),"2.8379597")</f>
        <v>2.8379597</v>
      </c>
      <c r="AA1727" s="4" t="str">
        <f t="shared" si="1"/>
        <v>Neighbor</v>
      </c>
      <c r="AC1727" s="4">
        <f>IFERROR(__xludf.DUMMYFUNCTION("IFERROR(ABS(O1727-AVERAGE(FILTER(O1727:O5795,AA1727:AA5795=""Neighbor""))) / STDEV(FILTER(O1727:O5795, AA1727:AA5795 =""Neighbor"")), """")"),2.6346012172636466)</f>
        <v>2.634601217</v>
      </c>
      <c r="AD1727" s="4">
        <f>IFERROR(__xludf.DUMMYFUNCTION("IFERROR(ABS(P1727-AVERAGE(FILTER(O1727:P5795,AA1727:AA5795=""Neighbor""))) / STDEV(FILTER(P1727:P5795, AA1727:AA5795 =""Neighbor"")), """")"),1.345628503892462)</f>
        <v>1.345628504</v>
      </c>
      <c r="AE1727" s="2">
        <f>IFERROR(__xludf.DUMMYFUNCTION("IFERROR(ABS(Q1727-AVERAGE(FILTER(Q1727:Q5795,AA1727:AA5795=""Neighbor""))) / STDEV(FILTER(Q1727:Q5795, AA1727:AA5795 =""Neighbor"")), """")"),1.011280372141675)</f>
        <v>1.011280372</v>
      </c>
      <c r="AF1727" s="2">
        <f>IFERROR(__xludf.DUMMYFUNCTION("IFERROR(ABS(R1727-AVERAGE(FILTER(R1727:R5795,AA1727:AA5795=""Neighbor""))) / STDEV(FILTER(R1727:R5795, AA1727:AA5795 =""Neighbor"")), """")"),0.35189073730292364)</f>
        <v>0.3518907373</v>
      </c>
    </row>
    <row r="1728">
      <c r="A1728" s="2" t="s">
        <v>28</v>
      </c>
      <c r="B1728" s="2" t="s">
        <v>7043</v>
      </c>
      <c r="C1728" s="2" t="s">
        <v>7044</v>
      </c>
      <c r="D1728" s="2" t="s">
        <v>7077</v>
      </c>
      <c r="E1728" s="2" t="s">
        <v>7078</v>
      </c>
      <c r="F1728" s="2">
        <v>127.0</v>
      </c>
      <c r="G1728" s="2">
        <v>502.0</v>
      </c>
      <c r="H1728" s="2" t="b">
        <v>1</v>
      </c>
      <c r="I1728" s="2">
        <v>-1.0</v>
      </c>
      <c r="J1728" s="2" t="b">
        <v>0</v>
      </c>
      <c r="K1728" s="2" t="b">
        <v>1</v>
      </c>
      <c r="L1728" s="2" t="b">
        <v>0</v>
      </c>
      <c r="M1728" s="2" t="b">
        <v>0</v>
      </c>
      <c r="N1728" s="2" t="s">
        <v>33</v>
      </c>
      <c r="O1728" s="2">
        <v>109.0</v>
      </c>
      <c r="P1728" s="2">
        <v>0.0</v>
      </c>
      <c r="Q1728" s="2">
        <v>14.0</v>
      </c>
      <c r="R1728" s="2">
        <v>0.0</v>
      </c>
      <c r="S1728" s="3" t="s">
        <v>7079</v>
      </c>
      <c r="T1728" s="2" t="s">
        <v>7080</v>
      </c>
      <c r="Y1728" s="4" t="str">
        <f>IFERROR(__xludf.DUMMYFUNCTION("""COMPUTED_VALUE"""),"7.447738")</f>
        <v>7.447738</v>
      </c>
      <c r="Z1728" s="4" t="str">
        <f>IFERROR(__xludf.DUMMYFUNCTION("""COMPUTED_VALUE"""),"2.8379597")</f>
        <v>2.8379597</v>
      </c>
      <c r="AA1728" s="4" t="str">
        <f t="shared" si="1"/>
        <v>Neighbor</v>
      </c>
      <c r="AC1728" s="4">
        <f>IFERROR(__xludf.DUMMYFUNCTION("IFERROR(ABS(O1728-AVERAGE(FILTER(O1728:O5796,AA1728:AA5796=""Neighbor""))) / STDEV(FILTER(O1728:O5796, AA1728:AA5796 =""Neighbor"")), """")"),1.4036213659866046)</f>
        <v>1.403621366</v>
      </c>
      <c r="AD1728" s="4">
        <f>IFERROR(__xludf.DUMMYFUNCTION("IFERROR(ABS(P1728-AVERAGE(FILTER(O1728:P5796,AA1728:AA5796=""Neighbor""))) / STDEV(FILTER(P1728:P5796, AA1728:AA5796 =""Neighbor"")), """")"),1.6133758333256398)</f>
        <v>1.613375833</v>
      </c>
      <c r="AE1728" s="2">
        <f>IFERROR(__xludf.DUMMYFUNCTION("IFERROR(ABS(Q1728-AVERAGE(FILTER(Q1728:Q5796,AA1728:AA5796=""Neighbor""))) / STDEV(FILTER(Q1728:Q5796, AA1728:AA5796 =""Neighbor"")), """")"),0.36357715919283407)</f>
        <v>0.3635771592</v>
      </c>
      <c r="AF1728" s="2">
        <f>IFERROR(__xludf.DUMMYFUNCTION("IFERROR(ABS(R1728-AVERAGE(FILTER(R1728:R5796,AA1728:AA5796=""Neighbor""))) / STDEV(FILTER(R1728:R5796, AA1728:AA5796 =""Neighbor"")), """")"),0.3520997702046158)</f>
        <v>0.3520997702</v>
      </c>
    </row>
    <row r="1729">
      <c r="A1729" s="2" t="s">
        <v>28</v>
      </c>
      <c r="B1729" s="2" t="s">
        <v>7043</v>
      </c>
      <c r="C1729" s="2" t="s">
        <v>7044</v>
      </c>
      <c r="D1729" s="2" t="s">
        <v>7081</v>
      </c>
      <c r="E1729" s="2" t="s">
        <v>7082</v>
      </c>
      <c r="F1729" s="2">
        <v>170.0</v>
      </c>
      <c r="G1729" s="2">
        <v>795.0</v>
      </c>
      <c r="H1729" s="2" t="b">
        <v>1</v>
      </c>
      <c r="I1729" s="2">
        <v>-1.0</v>
      </c>
      <c r="J1729" s="2" t="b">
        <v>1</v>
      </c>
      <c r="K1729" s="2" t="b">
        <v>0</v>
      </c>
      <c r="L1729" s="2" t="b">
        <v>0</v>
      </c>
      <c r="M1729" s="2" t="b">
        <v>0</v>
      </c>
      <c r="N1729" s="2" t="s">
        <v>33</v>
      </c>
      <c r="O1729" s="2">
        <v>119.0</v>
      </c>
      <c r="P1729" s="2">
        <v>2.0</v>
      </c>
      <c r="Q1729" s="2">
        <v>40.0</v>
      </c>
      <c r="R1729" s="2">
        <v>0.0</v>
      </c>
      <c r="S1729" s="3" t="s">
        <v>7083</v>
      </c>
      <c r="T1729" s="2" t="s">
        <v>7084</v>
      </c>
      <c r="Y1729" s="4" t="str">
        <f>IFERROR(__xludf.DUMMYFUNCTION("""COMPUTED_VALUE"""),"7.447738")</f>
        <v>7.447738</v>
      </c>
      <c r="Z1729" s="4" t="str">
        <f>IFERROR(__xludf.DUMMYFUNCTION("""COMPUTED_VALUE"""),"2.8379597")</f>
        <v>2.8379597</v>
      </c>
      <c r="AA1729" s="4" t="str">
        <f t="shared" si="1"/>
        <v>Neighbor</v>
      </c>
      <c r="AC1729" s="4">
        <f>IFERROR(__xludf.DUMMYFUNCTION("IFERROR(ABS(O1729-AVERAGE(FILTER(O1729:O5797,AA1729:AA5797=""Neighbor""))) / STDEV(FILTER(O1729:O5797, AA1729:AA5797 =""Neighbor"")), """")"),1.6702496684556511)</f>
        <v>1.670249668</v>
      </c>
      <c r="AD1729" s="4">
        <f>IFERROR(__xludf.DUMMYFUNCTION("IFERROR(ABS(P1729-AVERAGE(FILTER(O1729:P5797,AA1729:AA5797=""Neighbor""))) / STDEV(FILTER(P1729:P5797, AA1729:AA5797 =""Neighbor"")), """")"),1.521920172680231)</f>
        <v>1.521920173</v>
      </c>
      <c r="AE1729" s="2">
        <f>IFERROR(__xludf.DUMMYFUNCTION("IFERROR(ABS(Q1729-AVERAGE(FILTER(Q1729:Q5797,AA1729:AA5797=""Neighbor""))) / STDEV(FILTER(Q1729:Q5797, AA1729:AA5797 =""Neighbor"")), """")"),0.6879110177509694)</f>
        <v>0.6879110178</v>
      </c>
      <c r="AF1729" s="2">
        <f>IFERROR(__xludf.DUMMYFUNCTION("IFERROR(ABS(R1729-AVERAGE(FILTER(R1729:R5797,AA1729:AA5797=""Neighbor""))) / STDEV(FILTER(R1729:R5797, AA1729:AA5797 =""Neighbor"")), """")"),0.3523091761150099)</f>
        <v>0.3523091761</v>
      </c>
    </row>
    <row r="1730">
      <c r="A1730" s="2" t="s">
        <v>28</v>
      </c>
      <c r="B1730" s="2" t="s">
        <v>7043</v>
      </c>
      <c r="C1730" s="2" t="s">
        <v>7044</v>
      </c>
      <c r="D1730" s="2" t="s">
        <v>7085</v>
      </c>
      <c r="E1730" s="2" t="s">
        <v>7086</v>
      </c>
      <c r="F1730" s="2">
        <v>184.0</v>
      </c>
      <c r="G1730" s="2">
        <v>750.0</v>
      </c>
      <c r="H1730" s="2" t="b">
        <v>1</v>
      </c>
      <c r="I1730" s="2">
        <v>-1.0</v>
      </c>
      <c r="J1730" s="2" t="b">
        <v>0</v>
      </c>
      <c r="K1730" s="2" t="b">
        <v>0</v>
      </c>
      <c r="L1730" s="2" t="b">
        <v>0</v>
      </c>
      <c r="M1730" s="2" t="b">
        <v>0</v>
      </c>
      <c r="N1730" s="2" t="s">
        <v>33</v>
      </c>
      <c r="O1730" s="2">
        <v>97.0</v>
      </c>
      <c r="P1730" s="2">
        <v>3.0</v>
      </c>
      <c r="Q1730" s="2">
        <v>57.0</v>
      </c>
      <c r="R1730" s="2">
        <v>0.0</v>
      </c>
      <c r="S1730" s="3" t="s">
        <v>7087</v>
      </c>
      <c r="T1730" s="2" t="s">
        <v>7088</v>
      </c>
      <c r="Y1730" s="4" t="str">
        <f>IFERROR(__xludf.DUMMYFUNCTION("""COMPUTED_VALUE"""),"7.447738")</f>
        <v>7.447738</v>
      </c>
      <c r="Z1730" s="4" t="str">
        <f>IFERROR(__xludf.DUMMYFUNCTION("""COMPUTED_VALUE"""),"2.8379597")</f>
        <v>2.8379597</v>
      </c>
      <c r="AA1730" s="4" t="str">
        <f t="shared" si="1"/>
        <v>Neighbor</v>
      </c>
      <c r="AC1730" s="4">
        <f>IFERROR(__xludf.DUMMYFUNCTION("IFERROR(ABS(O1730-AVERAGE(FILTER(O1730:O5798,AA1730:AA5798=""Neighbor""))) / STDEV(FILTER(O1730:O5798, AA1730:AA5798 =""Neighbor"")), """")"),1.0913434873068837)</f>
        <v>1.091343487</v>
      </c>
      <c r="AD1730" s="4">
        <f>IFERROR(__xludf.DUMMYFUNCTION("IFERROR(ABS(P1730-AVERAGE(FILTER(O1730:P5798,AA1730:AA5798=""Neighbor""))) / STDEV(FILTER(P1730:P5798, AA1730:AA5798 =""Neighbor"")), """")"),1.4751866691351583)</f>
        <v>1.475186669</v>
      </c>
      <c r="AE1730" s="2">
        <f>IFERROR(__xludf.DUMMYFUNCTION("IFERROR(ABS(Q1730-AVERAGE(FILTER(Q1730:Q5798,AA1730:AA5798=""Neighbor""))) / STDEV(FILTER(Q1730:Q5798, AA1730:AA5798 =""Neighbor"")), """")"),1.3759101355404837)</f>
        <v>1.375910136</v>
      </c>
      <c r="AF1730" s="2">
        <f>IFERROR(__xludf.DUMMYFUNCTION("IFERROR(ABS(R1730-AVERAGE(FILTER(R1730:R5798,AA1730:AA5798=""Neighbor""))) / STDEV(FILTER(R1730:R5798, AA1730:AA5798 =""Neighbor"")), """")"),0.35251895614491974)</f>
        <v>0.3525189561</v>
      </c>
    </row>
    <row r="1731">
      <c r="A1731" s="2" t="s">
        <v>28</v>
      </c>
      <c r="B1731" s="2" t="s">
        <v>7043</v>
      </c>
      <c r="C1731" s="2" t="s">
        <v>7044</v>
      </c>
      <c r="D1731" s="2" t="s">
        <v>7089</v>
      </c>
      <c r="E1731" s="2" t="s">
        <v>7090</v>
      </c>
      <c r="F1731" s="2">
        <v>189.0</v>
      </c>
      <c r="G1731" s="2">
        <v>630.0</v>
      </c>
      <c r="H1731" s="2" t="b">
        <v>1</v>
      </c>
      <c r="I1731" s="2">
        <v>-1.0</v>
      </c>
      <c r="J1731" s="2" t="b">
        <v>1</v>
      </c>
      <c r="K1731" s="2" t="b">
        <v>1</v>
      </c>
      <c r="L1731" s="2" t="b">
        <v>0</v>
      </c>
      <c r="M1731" s="2" t="b">
        <v>0</v>
      </c>
      <c r="N1731" s="2" t="s">
        <v>33</v>
      </c>
      <c r="O1731" s="2">
        <v>136.0</v>
      </c>
      <c r="P1731" s="2">
        <v>9.0</v>
      </c>
      <c r="Q1731" s="2">
        <v>33.0</v>
      </c>
      <c r="R1731" s="2">
        <v>0.0</v>
      </c>
      <c r="S1731" s="3" t="s">
        <v>7091</v>
      </c>
      <c r="T1731" s="2" t="s">
        <v>7092</v>
      </c>
      <c r="Y1731" s="4" t="str">
        <f>IFERROR(__xludf.DUMMYFUNCTION("""COMPUTED_VALUE"""),"7.447738")</f>
        <v>7.447738</v>
      </c>
      <c r="Z1731" s="4" t="str">
        <f>IFERROR(__xludf.DUMMYFUNCTION("""COMPUTED_VALUE"""),"2.8379597")</f>
        <v>2.8379597</v>
      </c>
      <c r="AA1731" s="4" t="str">
        <f t="shared" si="1"/>
        <v>Neighbor</v>
      </c>
      <c r="AC1731" s="4">
        <f>IFERROR(__xludf.DUMMYFUNCTION("IFERROR(ABS(O1731-AVERAGE(FILTER(O1731:O5799,AA1731:AA5799=""Neighbor""))) / STDEV(FILTER(O1731:O5799, AA1731:AA5799 =""Neighbor"")), """")"),2.1249262161715046)</f>
        <v>2.124926216</v>
      </c>
      <c r="AD1731" s="4">
        <f>IFERROR(__xludf.DUMMYFUNCTION("IFERROR(ABS(P1731-AVERAGE(FILTER(O1731:P5799,AA1731:AA5799=""Neighbor""))) / STDEV(FILTER(P1731:P5799, AA1731:AA5799 =""Neighbor"")), """")"),1.2037576845241051)</f>
        <v>1.203757685</v>
      </c>
      <c r="AE1731" s="2">
        <f>IFERROR(__xludf.DUMMYFUNCTION("IFERROR(ABS(Q1731-AVERAGE(FILTER(Q1731:Q5799,AA1731:AA5799=""Neighbor""))) / STDEV(FILTER(Q1731:Q5799, AA1731:AA5799 =""Neighbor"")), """")"),0.4070299431177029)</f>
        <v>0.4070299431</v>
      </c>
      <c r="AF1731" s="2">
        <f>IFERROR(__xludf.DUMMYFUNCTION("IFERROR(ABS(R1731-AVERAGE(FILTER(R1731:R5799,AA1731:AA5799=""Neighbor""))) / STDEV(FILTER(R1731:R5799, AA1731:AA5799 =""Neighbor"")), """")"),0.3527291114097959)</f>
        <v>0.3527291114</v>
      </c>
    </row>
    <row r="1732">
      <c r="A1732" s="2" t="s">
        <v>28</v>
      </c>
      <c r="B1732" s="2" t="s">
        <v>7043</v>
      </c>
      <c r="C1732" s="2" t="s">
        <v>7044</v>
      </c>
      <c r="D1732" s="2" t="s">
        <v>7093</v>
      </c>
      <c r="E1732" s="2" t="s">
        <v>7094</v>
      </c>
      <c r="F1732" s="2">
        <v>174.0</v>
      </c>
      <c r="G1732" s="2">
        <v>806.0</v>
      </c>
      <c r="H1732" s="2" t="b">
        <v>1</v>
      </c>
      <c r="I1732" s="2">
        <v>-1.0</v>
      </c>
      <c r="J1732" s="2" t="b">
        <v>1</v>
      </c>
      <c r="K1732" s="2" t="b">
        <v>0</v>
      </c>
      <c r="L1732" s="2" t="b">
        <v>0</v>
      </c>
      <c r="M1732" s="2" t="b">
        <v>0</v>
      </c>
      <c r="N1732" s="2" t="s">
        <v>33</v>
      </c>
      <c r="O1732" s="2">
        <v>123.0</v>
      </c>
      <c r="P1732" s="2">
        <v>15.0</v>
      </c>
      <c r="Q1732" s="2">
        <v>28.0</v>
      </c>
      <c r="R1732" s="2">
        <v>0.0</v>
      </c>
      <c r="S1732" s="3" t="s">
        <v>7095</v>
      </c>
      <c r="T1732" s="2" t="s">
        <v>7096</v>
      </c>
      <c r="Y1732" s="4" t="str">
        <f>IFERROR(__xludf.DUMMYFUNCTION("""COMPUTED_VALUE"""),"7.447738")</f>
        <v>7.447738</v>
      </c>
      <c r="Z1732" s="4" t="str">
        <f>IFERROR(__xludf.DUMMYFUNCTION("""COMPUTED_VALUE"""),"2.8379597")</f>
        <v>2.8379597</v>
      </c>
      <c r="AA1732" s="4" t="str">
        <f t="shared" si="1"/>
        <v>Not Neighbor</v>
      </c>
      <c r="AC1732" s="4">
        <f>IFERROR(__xludf.DUMMYFUNCTION("IFERROR(ABS(O1732-AVERAGE(FILTER(O1732:O5800,AA1732:AA5800=""Neighbor""))) / STDEV(FILTER(O1732:O5800, AA1732:AA5800 =""Neighbor"")), """")"),1.7864282353400118)</f>
        <v>1.786428235</v>
      </c>
      <c r="AD1732" s="4">
        <f>IFERROR(__xludf.DUMMYFUNCTION("IFERROR(ABS(P1732-AVERAGE(FILTER(O1732:P5800,AA1732:AA5800=""Neighbor""))) / STDEV(FILTER(P1732:P5800, AA1732:AA5800 =""Neighbor"")), """")"),0.9313265454908499)</f>
        <v>0.9313265455</v>
      </c>
      <c r="AE1732" s="2">
        <f>IFERROR(__xludf.DUMMYFUNCTION("IFERROR(ABS(Q1732-AVERAGE(FILTER(Q1732:Q5800,AA1732:AA5800=""Neighbor""))) / STDEV(FILTER(Q1732:Q5800, AA1732:AA5800 =""Neighbor"")), """")"),0.2050806018112783)</f>
        <v>0.2050806018</v>
      </c>
      <c r="AF1732" s="2">
        <f>IFERROR(__xludf.DUMMYFUNCTION("IFERROR(ABS(R1732-AVERAGE(FILTER(R1732:R5800,AA1732:AA5800=""Neighbor""))) / STDEV(FILTER(R1732:R5800, AA1732:AA5800 =""Neighbor"")), """")"),0.35293964302975195)</f>
        <v>0.352939643</v>
      </c>
    </row>
    <row r="1733">
      <c r="A1733" s="2" t="s">
        <v>28</v>
      </c>
      <c r="B1733" s="2" t="s">
        <v>7043</v>
      </c>
      <c r="C1733" s="2" t="s">
        <v>7044</v>
      </c>
      <c r="D1733" s="2" t="s">
        <v>7097</v>
      </c>
      <c r="E1733" s="2" t="s">
        <v>7098</v>
      </c>
      <c r="F1733" s="2">
        <v>174.0</v>
      </c>
      <c r="G1733" s="2">
        <v>761.0</v>
      </c>
      <c r="H1733" s="2" t="b">
        <v>1</v>
      </c>
      <c r="I1733" s="2">
        <v>-1.0</v>
      </c>
      <c r="J1733" s="2" t="b">
        <v>0</v>
      </c>
      <c r="K1733" s="2" t="b">
        <v>0</v>
      </c>
      <c r="L1733" s="2" t="b">
        <v>0</v>
      </c>
      <c r="M1733" s="2" t="b">
        <v>0</v>
      </c>
      <c r="N1733" s="2" t="s">
        <v>33</v>
      </c>
      <c r="O1733" s="2">
        <v>80.0</v>
      </c>
      <c r="P1733" s="2">
        <v>1.0</v>
      </c>
      <c r="Q1733" s="2">
        <v>32.0</v>
      </c>
      <c r="R1733" s="2">
        <v>0.0</v>
      </c>
      <c r="S1733" s="3" t="s">
        <v>7099</v>
      </c>
      <c r="T1733" s="2" t="s">
        <v>7100</v>
      </c>
      <c r="Y1733" s="4" t="str">
        <f>IFERROR(__xludf.DUMMYFUNCTION("""COMPUTED_VALUE"""),"7.4578439")</f>
        <v>7.4578439</v>
      </c>
      <c r="Z1733" s="4" t="str">
        <f>IFERROR(__xludf.DUMMYFUNCTION("""COMPUTED_VALUE"""),"2.8373607")</f>
        <v>2.8373607</v>
      </c>
      <c r="AA1733" s="4" t="str">
        <f t="shared" si="1"/>
        <v>Not Neighbor</v>
      </c>
      <c r="AC1733" s="4">
        <f>IFERROR(__xludf.DUMMYFUNCTION("IFERROR(ABS(O1733-AVERAGE(FILTER(O1733:O5801,AA1733:AA5801=""Neighbor""))) / STDEV(FILTER(O1733:O5801, AA1733:AA5801 =""Neighbor"")), """")"),0.6461003285018712)</f>
        <v>0.6461003285</v>
      </c>
      <c r="AD1733" s="4">
        <f>IFERROR(__xludf.DUMMYFUNCTION("IFERROR(ABS(P1733-AVERAGE(FILTER(O1733:P5801,AA1733:AA5801=""Neighbor""))) / STDEV(FILTER(P1733:P5801, AA1733:AA5801 =""Neighbor"")), """")"),1.561539243454045)</f>
        <v>1.561539243</v>
      </c>
      <c r="AE1733" s="2">
        <f>IFERROR(__xludf.DUMMYFUNCTION("IFERROR(ABS(Q1733-AVERAGE(FILTER(Q1733:Q5801,AA1733:AA5801=""Neighbor""))) / STDEV(FILTER(Q1733:Q5801, AA1733:AA5801 =""Neighbor"")), """")"),0.3668415794344241)</f>
        <v>0.3668415794</v>
      </c>
      <c r="AF1733" s="2">
        <f>IFERROR(__xludf.DUMMYFUNCTION("IFERROR(ABS(R1733-AVERAGE(FILTER(R1733:R5801,AA1733:AA5801=""Neighbor""))) / STDEV(FILTER(R1733:R5801, AA1733:AA5801 =""Neighbor"")), """")"),0.35293964302975195)</f>
        <v>0.352939643</v>
      </c>
    </row>
    <row r="1734">
      <c r="A1734" s="2" t="s">
        <v>28</v>
      </c>
      <c r="B1734" s="2" t="s">
        <v>7043</v>
      </c>
      <c r="C1734" s="2" t="s">
        <v>7044</v>
      </c>
      <c r="D1734" s="2" t="s">
        <v>7101</v>
      </c>
      <c r="E1734" s="2" t="s">
        <v>7102</v>
      </c>
      <c r="F1734" s="2">
        <v>184.0</v>
      </c>
      <c r="G1734" s="2">
        <v>792.0</v>
      </c>
      <c r="H1734" s="2" t="b">
        <v>1</v>
      </c>
      <c r="I1734" s="2">
        <v>-1.0</v>
      </c>
      <c r="J1734" s="2" t="b">
        <v>1</v>
      </c>
      <c r="K1734" s="2" t="b">
        <v>1</v>
      </c>
      <c r="L1734" s="2" t="b">
        <v>0</v>
      </c>
      <c r="M1734" s="2" t="b">
        <v>0</v>
      </c>
      <c r="N1734" s="2" t="s">
        <v>33</v>
      </c>
      <c r="O1734" s="2">
        <v>0.0</v>
      </c>
      <c r="P1734" s="2">
        <v>0.0</v>
      </c>
      <c r="Q1734" s="2">
        <v>0.0</v>
      </c>
      <c r="R1734" s="2">
        <v>0.0</v>
      </c>
      <c r="S1734" s="3" t="s">
        <v>7103</v>
      </c>
      <c r="T1734" s="2" t="s">
        <v>7104</v>
      </c>
      <c r="Y1734" s="4" t="str">
        <f>IFERROR(__xludf.DUMMYFUNCTION("""COMPUTED_VALUE"""),"7.447738")</f>
        <v>7.447738</v>
      </c>
      <c r="Z1734" s="4" t="str">
        <f>IFERROR(__xludf.DUMMYFUNCTION("""COMPUTED_VALUE"""),"2.8379597")</f>
        <v>2.8379597</v>
      </c>
      <c r="AA1734" s="4" t="str">
        <f t="shared" si="1"/>
        <v>Neighbor</v>
      </c>
      <c r="AC1734" s="4">
        <f>IFERROR(__xludf.DUMMYFUNCTION("IFERROR(ABS(O1734-AVERAGE(FILTER(O1734:O5802,AA1734:AA5802=""Neighbor""))) / STDEV(FILTER(O1734:O5802, AA1734:AA5802 =""Neighbor"")), """")"),1.4754399632900186)</f>
        <v>1.475439963</v>
      </c>
      <c r="AD1734" s="4">
        <f>IFERROR(__xludf.DUMMYFUNCTION("IFERROR(ABS(P1734-AVERAGE(FILTER(O1734:P5802,AA1734:AA5802=""Neighbor""))) / STDEV(FILTER(P1734:P5802, AA1734:AA5802 =""Neighbor"")), """")"),1.6065544361657016)</f>
        <v>1.606554436</v>
      </c>
      <c r="AE1734" s="2">
        <f>IFERROR(__xludf.DUMMYFUNCTION("IFERROR(ABS(Q1734-AVERAGE(FILTER(Q1734:Q5802,AA1734:AA5802=""Neighbor""))) / STDEV(FILTER(Q1734:Q5802, AA1734:AA5802 =""Neighbor"")), """")"),0.9272462415507423)</f>
        <v>0.9272462416</v>
      </c>
      <c r="AF1734" s="2">
        <f>IFERROR(__xludf.DUMMYFUNCTION("IFERROR(ABS(R1734-AVERAGE(FILTER(R1734:R5802,AA1734:AA5802=""Neighbor""))) / STDEV(FILTER(R1734:R5802, AA1734:AA5802 =""Neighbor"")), """")"),0.35293964302975195)</f>
        <v>0.352939643</v>
      </c>
    </row>
    <row r="1735">
      <c r="A1735" s="2" t="s">
        <v>28</v>
      </c>
      <c r="B1735" s="2" t="s">
        <v>7043</v>
      </c>
      <c r="C1735" s="2" t="s">
        <v>7044</v>
      </c>
      <c r="D1735" s="2" t="s">
        <v>7105</v>
      </c>
      <c r="E1735" s="2" t="s">
        <v>7106</v>
      </c>
      <c r="F1735" s="2">
        <v>181.0</v>
      </c>
      <c r="G1735" s="2">
        <v>757.0</v>
      </c>
      <c r="H1735" s="2" t="b">
        <v>1</v>
      </c>
      <c r="I1735" s="2">
        <v>-1.0</v>
      </c>
      <c r="J1735" s="2" t="b">
        <v>1</v>
      </c>
      <c r="K1735" s="2" t="b">
        <v>0</v>
      </c>
      <c r="L1735" s="2" t="b">
        <v>0</v>
      </c>
      <c r="M1735" s="2" t="b">
        <v>0</v>
      </c>
      <c r="N1735" s="2" t="s">
        <v>33</v>
      </c>
      <c r="O1735" s="2">
        <v>99.0</v>
      </c>
      <c r="P1735" s="2">
        <v>2.0</v>
      </c>
      <c r="Q1735" s="2">
        <v>65.0</v>
      </c>
      <c r="R1735" s="2">
        <v>0.0</v>
      </c>
      <c r="S1735" s="3" t="s">
        <v>7107</v>
      </c>
      <c r="T1735" s="2" t="s">
        <v>7108</v>
      </c>
      <c r="Y1735" s="4" t="str">
        <f>IFERROR(__xludf.DUMMYFUNCTION("""COMPUTED_VALUE"""),"7.447738")</f>
        <v>7.447738</v>
      </c>
      <c r="Z1735" s="4" t="str">
        <f>IFERROR(__xludf.DUMMYFUNCTION("""COMPUTED_VALUE"""),"2.8379597")</f>
        <v>2.8379597</v>
      </c>
      <c r="AA1735" s="4" t="str">
        <f t="shared" si="1"/>
        <v>Neighbor</v>
      </c>
      <c r="AC1735" s="4">
        <f>IFERROR(__xludf.DUMMYFUNCTION("IFERROR(ABS(O1735-AVERAGE(FILTER(O1735:O5803,AA1735:AA5803=""Neighbor""))) / STDEV(FILTER(O1735:O5803, AA1735:AA5803 =""Neighbor"")), """")"),1.1491183150585291)</f>
        <v>1.149118315</v>
      </c>
      <c r="AD1735" s="4">
        <f>IFERROR(__xludf.DUMMYFUNCTION("IFERROR(ABS(P1735-AVERAGE(FILTER(O1735:P5803,AA1735:AA5803=""Neighbor""))) / STDEV(FILTER(P1735:P5803, AA1735:AA5803 =""Neighbor"")), """")"),1.5178312575061184)</f>
        <v>1.517831258</v>
      </c>
      <c r="AE1735" s="2">
        <f>IFERROR(__xludf.DUMMYFUNCTION("IFERROR(ABS(Q1735-AVERAGE(FILTER(Q1735:Q5803,AA1735:AA5803=""Neighbor""))) / STDEV(FILTER(Q1735:Q5803, AA1735:AA5803 =""Neighbor"")), """")"),1.700257101582002)</f>
        <v>1.700257102</v>
      </c>
      <c r="AF1735" s="2">
        <f>IFERROR(__xludf.DUMMYFUNCTION("IFERROR(ABS(R1735-AVERAGE(FILTER(R1735:R5803,AA1735:AA5803=""Neighbor""))) / STDEV(FILTER(R1735:R5803, AA1735:AA5803 =""Neighbor"")), """")"),0.3531505521295878)</f>
        <v>0.3531505521</v>
      </c>
    </row>
    <row r="1736">
      <c r="A1736" s="2" t="s">
        <v>28</v>
      </c>
      <c r="B1736" s="2" t="s">
        <v>7043</v>
      </c>
      <c r="C1736" s="2" t="s">
        <v>7044</v>
      </c>
      <c r="D1736" s="2" t="s">
        <v>7109</v>
      </c>
      <c r="E1736" s="2" t="s">
        <v>7110</v>
      </c>
      <c r="F1736" s="2">
        <v>173.0</v>
      </c>
      <c r="G1736" s="2">
        <v>750.0</v>
      </c>
      <c r="H1736" s="2" t="b">
        <v>1</v>
      </c>
      <c r="I1736" s="2">
        <v>-1.0</v>
      </c>
      <c r="J1736" s="2" t="b">
        <v>0</v>
      </c>
      <c r="K1736" s="2" t="b">
        <v>0</v>
      </c>
      <c r="L1736" s="2" t="b">
        <v>0</v>
      </c>
      <c r="M1736" s="2" t="b">
        <v>0</v>
      </c>
      <c r="N1736" s="2" t="s">
        <v>33</v>
      </c>
      <c r="O1736" s="2">
        <v>110.0</v>
      </c>
      <c r="P1736" s="2">
        <v>7.0</v>
      </c>
      <c r="Q1736" s="2">
        <v>55.0</v>
      </c>
      <c r="R1736" s="2">
        <v>0.0</v>
      </c>
      <c r="S1736" s="3" t="s">
        <v>7111</v>
      </c>
      <c r="T1736" s="2" t="s">
        <v>7112</v>
      </c>
      <c r="Y1736" s="4" t="str">
        <f>IFERROR(__xludf.DUMMYFUNCTION("""COMPUTED_VALUE"""),"7.443454")</f>
        <v>7.443454</v>
      </c>
      <c r="Z1736" s="4" t="str">
        <f>IFERROR(__xludf.DUMMYFUNCTION("""COMPUTED_VALUE"""),"2.8377771")</f>
        <v>2.8377771</v>
      </c>
      <c r="AA1736" s="4" t="str">
        <f t="shared" si="1"/>
        <v>Neighbor</v>
      </c>
      <c r="AC1736" s="4">
        <f>IFERROR(__xludf.DUMMYFUNCTION("IFERROR(ABS(O1736-AVERAGE(FILTER(O1736:O5804,AA1736:AA5804=""Neighbor""))) / STDEV(FILTER(O1736:O5804, AA1736:AA5804 =""Neighbor"")), """")"),1.4424847375182888)</f>
        <v>1.442484738</v>
      </c>
      <c r="AD1736" s="4">
        <f>IFERROR(__xludf.DUMMYFUNCTION("IFERROR(ABS(P1736-AVERAGE(FILTER(O1736:P5804,AA1736:AA5804=""Neighbor""))) / STDEV(FILTER(P1736:P5804, AA1736:AA5804 =""Neighbor"")), """")"),1.2916826477541232)</f>
        <v>1.291682648</v>
      </c>
      <c r="AE1736" s="2">
        <f>IFERROR(__xludf.DUMMYFUNCTION("IFERROR(ABS(Q1736-AVERAGE(FILTER(Q1736:Q5804,AA1736:AA5804=""Neighbor""))) / STDEV(FILTER(Q1736:Q5804, AA1736:AA5804 =""Neighbor"")), """")"),1.2990074623071213)</f>
        <v>1.299007462</v>
      </c>
      <c r="AF1736" s="2">
        <f>IFERROR(__xludf.DUMMYFUNCTION("IFERROR(ABS(R1736-AVERAGE(FILTER(R1736:R5804,AA1736:AA5804=""Neighbor""))) / STDEV(FILTER(R1736:R5804, AA1736:AA5804 =""Neighbor"")), """")"),0.3533618398388159)</f>
        <v>0.3533618398</v>
      </c>
    </row>
    <row r="1737">
      <c r="A1737" s="2" t="s">
        <v>28</v>
      </c>
      <c r="B1737" s="2" t="s">
        <v>7043</v>
      </c>
      <c r="C1737" s="2" t="s">
        <v>7044</v>
      </c>
      <c r="D1737" s="2" t="s">
        <v>7113</v>
      </c>
      <c r="E1737" s="2" t="s">
        <v>7114</v>
      </c>
      <c r="F1737" s="2">
        <v>130.0</v>
      </c>
      <c r="G1737" s="2">
        <v>481.0</v>
      </c>
      <c r="H1737" s="2" t="b">
        <v>1</v>
      </c>
      <c r="I1737" s="2">
        <v>-1.0</v>
      </c>
      <c r="J1737" s="2" t="b">
        <v>0</v>
      </c>
      <c r="K1737" s="2" t="b">
        <v>0</v>
      </c>
      <c r="L1737" s="2" t="b">
        <v>0</v>
      </c>
      <c r="M1737" s="2" t="b">
        <v>0</v>
      </c>
      <c r="N1737" s="2" t="s">
        <v>33</v>
      </c>
      <c r="O1737" s="2">
        <v>80.0</v>
      </c>
      <c r="P1737" s="2">
        <v>1.0</v>
      </c>
      <c r="Q1737" s="2">
        <v>32.0</v>
      </c>
      <c r="R1737" s="2">
        <v>0.0</v>
      </c>
      <c r="S1737" s="3" t="s">
        <v>7115</v>
      </c>
      <c r="T1737" s="2" t="s">
        <v>7116</v>
      </c>
      <c r="Y1737" s="4" t="str">
        <f>IFERROR(__xludf.DUMMYFUNCTION("""COMPUTED_VALUE"""),"7.447738")</f>
        <v>7.447738</v>
      </c>
      <c r="Z1737" s="4" t="str">
        <f>IFERROR(__xludf.DUMMYFUNCTION("""COMPUTED_VALUE"""),"2.8379597")</f>
        <v>2.8379597</v>
      </c>
      <c r="AA1737" s="4" t="str">
        <f t="shared" si="1"/>
        <v>Not Neighbor</v>
      </c>
      <c r="AC1737" s="4">
        <f>IFERROR(__xludf.DUMMYFUNCTION("IFERROR(ABS(O1737-AVERAGE(FILTER(O1737:O5805,AA1737:AA5805=""Neighbor""))) / STDEV(FILTER(O1737:O5805, AA1737:AA5805 =""Neighbor"")), """")"),0.6481829937505524)</f>
        <v>0.6481829938</v>
      </c>
      <c r="AD1737" s="4">
        <f>IFERROR(__xludf.DUMMYFUNCTION("IFERROR(ABS(P1737-AVERAGE(FILTER(O1737:P5805,AA1737:AA5805=""Neighbor""))) / STDEV(FILTER(P1737:P5805, AA1737:AA5805 =""Neighbor"")), """")"),1.5598182809481245)</f>
        <v>1.559818281</v>
      </c>
      <c r="AE1737" s="2">
        <f>IFERROR(__xludf.DUMMYFUNCTION("IFERROR(ABS(Q1737-AVERAGE(FILTER(Q1737:Q5805,AA1737:AA5805=""Neighbor""))) / STDEV(FILTER(Q1737:Q5805, AA1737:AA5805 =""Neighbor"")), """")"),0.36953124403300996)</f>
        <v>0.369531244</v>
      </c>
      <c r="AF1737" s="2">
        <f>IFERROR(__xludf.DUMMYFUNCTION("IFERROR(ABS(R1737-AVERAGE(FILTER(R1737:R5805,AA1737:AA5805=""Neighbor""))) / STDEV(FILTER(R1737:R5805, AA1737:AA5805 =""Neighbor"")), """")"),0.353573507291687)</f>
        <v>0.3535735073</v>
      </c>
    </row>
    <row r="1738">
      <c r="A1738" s="2" t="s">
        <v>28</v>
      </c>
      <c r="B1738" s="2" t="s">
        <v>7043</v>
      </c>
      <c r="C1738" s="2" t="s">
        <v>7117</v>
      </c>
      <c r="D1738" s="2" t="s">
        <v>7118</v>
      </c>
      <c r="E1738" s="2" t="s">
        <v>7119</v>
      </c>
      <c r="F1738" s="2">
        <v>208.0</v>
      </c>
      <c r="G1738" s="2">
        <v>1241.0</v>
      </c>
      <c r="H1738" s="2" t="b">
        <v>1</v>
      </c>
      <c r="I1738" s="2">
        <v>-1.0</v>
      </c>
      <c r="J1738" s="2" t="b">
        <v>0</v>
      </c>
      <c r="K1738" s="2" t="b">
        <v>0</v>
      </c>
      <c r="L1738" s="2" t="b">
        <v>0</v>
      </c>
      <c r="M1738" s="2" t="b">
        <v>0</v>
      </c>
      <c r="N1738" s="2" t="s">
        <v>33</v>
      </c>
      <c r="O1738" s="2">
        <v>137.0</v>
      </c>
      <c r="P1738" s="2">
        <v>8.0</v>
      </c>
      <c r="Q1738" s="2">
        <v>51.0</v>
      </c>
      <c r="R1738" s="2">
        <v>0.0</v>
      </c>
      <c r="S1738" s="3" t="s">
        <v>7120</v>
      </c>
      <c r="T1738" s="2" t="s">
        <v>7121</v>
      </c>
      <c r="Y1738" s="4" t="str">
        <f>IFERROR(__xludf.DUMMYFUNCTION("""COMPUTED_VALUE"""),"7.5199689")</f>
        <v>7.5199689</v>
      </c>
      <c r="Z1738" s="4" t="str">
        <f>IFERROR(__xludf.DUMMYFUNCTION("""COMPUTED_VALUE"""),"2.7891851")</f>
        <v>2.7891851</v>
      </c>
      <c r="AA1738" s="4" t="str">
        <f t="shared" si="1"/>
        <v>Not Neighbor</v>
      </c>
      <c r="AC1738" s="4">
        <f>IFERROR(__xludf.DUMMYFUNCTION("IFERROR(ABS(O1738-AVERAGE(FILTER(O1738:O5806,AA1738:AA5806=""Neighbor""))) / STDEV(FILTER(O1738:O5806, AA1738:AA5806 =""Neighbor"")), """")"),2.1618651052974855)</f>
        <v>2.161865105</v>
      </c>
      <c r="AD1738" s="4">
        <f>IFERROR(__xludf.DUMMYFUNCTION("IFERROR(ABS(P1738-AVERAGE(FILTER(O1738:P5806,AA1738:AA5806=""Neighbor""))) / STDEV(FILTER(P1738:P5806, AA1738:AA5806 =""Neighbor"")), """")"),1.245040513434551)</f>
        <v>1.245040513</v>
      </c>
      <c r="AE1738" s="2">
        <f>IFERROR(__xludf.DUMMYFUNCTION("IFERROR(ABS(Q1738-AVERAGE(FILTER(Q1738:Q5806,AA1738:AA5806=""Neighbor""))) / STDEV(FILTER(Q1738:Q5806, AA1738:AA5806 =""Neighbor"")), """")"),1.138898747672765)</f>
        <v>1.138898748</v>
      </c>
      <c r="AF1738" s="2">
        <f>IFERROR(__xludf.DUMMYFUNCTION("IFERROR(ABS(R1738-AVERAGE(FILTER(R1738:R5806,AA1738:AA5806=""Neighbor""))) / STDEV(FILTER(R1738:R5806, AA1738:AA5806 =""Neighbor"")), """")"),0.353573507291687)</f>
        <v>0.3535735073</v>
      </c>
    </row>
    <row r="1739">
      <c r="A1739" s="2" t="s">
        <v>28</v>
      </c>
      <c r="B1739" s="2" t="s">
        <v>7043</v>
      </c>
      <c r="C1739" s="2" t="s">
        <v>7117</v>
      </c>
      <c r="D1739" s="2" t="s">
        <v>7122</v>
      </c>
      <c r="E1739" s="2" t="s">
        <v>7123</v>
      </c>
      <c r="F1739" s="2">
        <v>207.0</v>
      </c>
      <c r="G1739" s="2">
        <v>710.0</v>
      </c>
      <c r="H1739" s="2" t="b">
        <v>1</v>
      </c>
      <c r="I1739" s="2">
        <v>-1.0</v>
      </c>
      <c r="J1739" s="2" t="b">
        <v>0</v>
      </c>
      <c r="K1739" s="2" t="b">
        <v>0</v>
      </c>
      <c r="L1739" s="2" t="b">
        <v>0</v>
      </c>
      <c r="M1739" s="2" t="b">
        <v>0</v>
      </c>
      <c r="N1739" s="2" t="s">
        <v>33</v>
      </c>
      <c r="O1739" s="2">
        <v>152.0</v>
      </c>
      <c r="P1739" s="2">
        <v>2.0</v>
      </c>
      <c r="Q1739" s="2">
        <v>48.0</v>
      </c>
      <c r="R1739" s="2">
        <v>0.0</v>
      </c>
      <c r="S1739" s="3" t="s">
        <v>7124</v>
      </c>
      <c r="T1739" s="2" t="s">
        <v>7125</v>
      </c>
      <c r="Y1739" s="4" t="str">
        <f>IFERROR(__xludf.DUMMYFUNCTION("""COMPUTED_VALUE"""),"7.5266904")</f>
        <v>7.5266904</v>
      </c>
      <c r="Z1739" s="4" t="str">
        <f>IFERROR(__xludf.DUMMYFUNCTION("""COMPUTED_VALUE"""),"2.7672534")</f>
        <v>2.7672534</v>
      </c>
      <c r="AA1739" s="4" t="str">
        <f t="shared" si="1"/>
        <v>Not Neighbor</v>
      </c>
      <c r="AC1739" s="4">
        <f>IFERROR(__xludf.DUMMYFUNCTION("IFERROR(ABS(O1739-AVERAGE(FILTER(O1739:O5807,AA1739:AA5807=""Neighbor""))) / STDEV(FILTER(O1739:O5807, AA1739:AA5807 =""Neighbor"")), """")"),2.5602025030729942)</f>
        <v>2.560202503</v>
      </c>
      <c r="AD1739" s="4">
        <f>IFERROR(__xludf.DUMMYFUNCTION("IFERROR(ABS(P1739-AVERAGE(FILTER(O1739:P5807,AA1739:AA5807=""Neighbor""))) / STDEV(FILTER(P1739:P5807, AA1739:AA5807 =""Neighbor"")), """")"),1.5148500284461854)</f>
        <v>1.514850028</v>
      </c>
      <c r="AE1739" s="2">
        <f>IFERROR(__xludf.DUMMYFUNCTION("IFERROR(ABS(Q1739-AVERAGE(FILTER(Q1739:Q5807,AA1739:AA5807=""Neighbor""))) / STDEV(FILTER(Q1739:Q5807, AA1739:AA5807 =""Neighbor"")), """")"),1.0174196681506984)</f>
        <v>1.017419668</v>
      </c>
      <c r="AF1739" s="2">
        <f>IFERROR(__xludf.DUMMYFUNCTION("IFERROR(ABS(R1739-AVERAGE(FILTER(R1739:R5807,AA1739:AA5807=""Neighbor""))) / STDEV(FILTER(R1739:R5807, AA1739:AA5807 =""Neighbor"")), """")"),0.353573507291687)</f>
        <v>0.3535735073</v>
      </c>
    </row>
    <row r="1740">
      <c r="A1740" s="2" t="s">
        <v>28</v>
      </c>
      <c r="B1740" s="2" t="s">
        <v>7043</v>
      </c>
      <c r="C1740" s="2" t="s">
        <v>7117</v>
      </c>
      <c r="D1740" s="2" t="s">
        <v>7126</v>
      </c>
      <c r="E1740" s="2" t="s">
        <v>7127</v>
      </c>
      <c r="F1740" s="2">
        <v>121.0</v>
      </c>
      <c r="G1740" s="2">
        <v>718.0</v>
      </c>
      <c r="H1740" s="2" t="b">
        <v>1</v>
      </c>
      <c r="I1740" s="2">
        <v>-1.0</v>
      </c>
      <c r="J1740" s="2" t="b">
        <v>0</v>
      </c>
      <c r="K1740" s="2" t="b">
        <v>1</v>
      </c>
      <c r="L1740" s="2" t="b">
        <v>0</v>
      </c>
      <c r="M1740" s="2" t="b">
        <v>0</v>
      </c>
      <c r="N1740" s="2" t="s">
        <v>33</v>
      </c>
      <c r="O1740" s="2">
        <v>93.0</v>
      </c>
      <c r="P1740" s="2">
        <v>3.0</v>
      </c>
      <c r="Q1740" s="2">
        <v>21.0</v>
      </c>
      <c r="R1740" s="2">
        <v>0.0</v>
      </c>
      <c r="S1740" s="3" t="s">
        <v>7128</v>
      </c>
      <c r="T1740" s="2" t="s">
        <v>7129</v>
      </c>
      <c r="Y1740" s="4" t="str">
        <f>IFERROR(__xludf.DUMMYFUNCTION("""COMPUTED_VALUE"""),"7.732423")</f>
        <v>7.732423</v>
      </c>
      <c r="Z1740" s="4" t="str">
        <f>IFERROR(__xludf.DUMMYFUNCTION("""COMPUTED_VALUE"""),"2.8178291")</f>
        <v>2.8178291</v>
      </c>
      <c r="AA1740" s="4" t="str">
        <f t="shared" si="1"/>
        <v>Neighbor</v>
      </c>
      <c r="AC1740" s="4">
        <f>IFERROR(__xludf.DUMMYFUNCTION("IFERROR(ABS(O1740-AVERAGE(FILTER(O1740:O5808,AA1740:AA5808=""Neighbor""))) / STDEV(FILTER(O1740:O5808, AA1740:AA5808 =""Neighbor"")), """")"),0.9934087384893266)</f>
        <v>0.9934087385</v>
      </c>
      <c r="AD1740" s="4">
        <f>IFERROR(__xludf.DUMMYFUNCTION("IFERROR(ABS(P1740-AVERAGE(FILTER(O1740:P5808,AA1740:AA5808=""Neighbor""))) / STDEV(FILTER(P1740:P5808, AA1740:AA5808 =""Neighbor"")), """")"),1.4698817759442464)</f>
        <v>1.469881776</v>
      </c>
      <c r="AE1740" s="2">
        <f>IFERROR(__xludf.DUMMYFUNCTION("IFERROR(ABS(Q1740-AVERAGE(FILTER(Q1740:Q5808,AA1740:AA5808=""Neighbor""))) / STDEV(FILTER(Q1740:Q5808, AA1740:AA5808 =""Neighbor"")), """")"),0.0758920475479008)</f>
        <v>0.07589204755</v>
      </c>
      <c r="AF1740" s="2">
        <f>IFERROR(__xludf.DUMMYFUNCTION("IFERROR(ABS(R1740-AVERAGE(FILTER(R1740:R5808,AA1740:AA5808=""Neighbor""))) / STDEV(FILTER(R1740:R5808, AA1740:AA5808 =""Neighbor"")), """")"),0.353573507291687)</f>
        <v>0.3535735073</v>
      </c>
    </row>
    <row r="1741">
      <c r="A1741" s="2" t="s">
        <v>28</v>
      </c>
      <c r="B1741" s="2" t="s">
        <v>7043</v>
      </c>
      <c r="C1741" s="2" t="s">
        <v>7117</v>
      </c>
      <c r="D1741" s="2" t="s">
        <v>7130</v>
      </c>
      <c r="E1741" s="2" t="s">
        <v>7131</v>
      </c>
      <c r="F1741" s="2">
        <v>106.0</v>
      </c>
      <c r="G1741" s="2">
        <v>634.0</v>
      </c>
      <c r="H1741" s="2" t="b">
        <v>1</v>
      </c>
      <c r="I1741" s="2">
        <v>-1.0</v>
      </c>
      <c r="J1741" s="2" t="b">
        <v>0</v>
      </c>
      <c r="K1741" s="2" t="b">
        <v>0</v>
      </c>
      <c r="L1741" s="2" t="b">
        <v>0</v>
      </c>
      <c r="M1741" s="2" t="b">
        <v>0</v>
      </c>
      <c r="N1741" s="2" t="s">
        <v>33</v>
      </c>
      <c r="O1741" s="2">
        <v>78.0</v>
      </c>
      <c r="P1741" s="2">
        <v>2.0</v>
      </c>
      <c r="Q1741" s="2">
        <v>24.0</v>
      </c>
      <c r="R1741" s="2">
        <v>0.0</v>
      </c>
      <c r="S1741" s="3" t="s">
        <v>7132</v>
      </c>
      <c r="T1741" s="2" t="s">
        <v>7133</v>
      </c>
      <c r="Y1741" s="4" t="str">
        <f>IFERROR(__xludf.DUMMYFUNCTION("""COMPUTED_VALUE"""),"7.732423")</f>
        <v>7.732423</v>
      </c>
      <c r="Z1741" s="4" t="str">
        <f>IFERROR(__xludf.DUMMYFUNCTION("""COMPUTED_VALUE"""),"2.8178291")</f>
        <v>2.8178291</v>
      </c>
      <c r="AA1741" s="4" t="str">
        <f t="shared" si="1"/>
        <v>Not Neighbor</v>
      </c>
      <c r="AC1741" s="4">
        <f>IFERROR(__xludf.DUMMYFUNCTION("IFERROR(ABS(O1741-AVERAGE(FILTER(O1741:O5809,AA1741:AA5809=""Neighbor""))) / STDEV(FILTER(O1741:O5809, AA1741:AA5809 =""Neighbor"")), """")"),0.5961276934801614)</f>
        <v>0.5961276935</v>
      </c>
      <c r="AD1741" s="4">
        <f>IFERROR(__xludf.DUMMYFUNCTION("IFERROR(ABS(P1741-AVERAGE(FILTER(O1741:P5809,AA1741:AA5809=""Neighbor""))) / STDEV(FILTER(P1741:P5809, AA1741:AA5809 =""Neighbor"")), """")"),1.513718050465029)</f>
        <v>1.51371805</v>
      </c>
      <c r="AE1741" s="2">
        <f>IFERROR(__xludf.DUMMYFUNCTION("IFERROR(ABS(Q1741-AVERAGE(FILTER(Q1741:Q5809,AA1741:AA5809=""Neighbor""))) / STDEV(FILTER(Q1741:Q5809, AA1741:AA5809 =""Neighbor"")), """")"),0.04548188787455479)</f>
        <v>0.04548188787</v>
      </c>
      <c r="AF1741" s="2">
        <f>IFERROR(__xludf.DUMMYFUNCTION("IFERROR(ABS(R1741-AVERAGE(FILTER(R1741:R5809,AA1741:AA5809=""Neighbor""))) / STDEV(FILTER(R1741:R5809, AA1741:AA5809 =""Neighbor"")), """")"),0.35378555562721503)</f>
        <v>0.3537855556</v>
      </c>
    </row>
    <row r="1742">
      <c r="A1742" s="2" t="s">
        <v>28</v>
      </c>
      <c r="B1742" s="2" t="s">
        <v>7043</v>
      </c>
      <c r="C1742" s="2" t="s">
        <v>7117</v>
      </c>
      <c r="D1742" s="2" t="s">
        <v>7134</v>
      </c>
      <c r="E1742" s="2" t="s">
        <v>7135</v>
      </c>
      <c r="F1742" s="2">
        <v>140.0</v>
      </c>
      <c r="G1742" s="2">
        <v>795.0</v>
      </c>
      <c r="H1742" s="2" t="b">
        <v>1</v>
      </c>
      <c r="I1742" s="2">
        <v>-1.0</v>
      </c>
      <c r="J1742" s="2" t="b">
        <v>0</v>
      </c>
      <c r="K1742" s="2" t="b">
        <v>1</v>
      </c>
      <c r="L1742" s="2" t="b">
        <v>0</v>
      </c>
      <c r="M1742" s="2" t="b">
        <v>0</v>
      </c>
      <c r="N1742" s="2" t="s">
        <v>33</v>
      </c>
      <c r="O1742" s="2">
        <v>78.0</v>
      </c>
      <c r="P1742" s="2">
        <v>1.0</v>
      </c>
      <c r="Q1742" s="2">
        <v>53.0</v>
      </c>
      <c r="R1742" s="2">
        <v>0.0</v>
      </c>
      <c r="S1742" s="3" t="s">
        <v>7136</v>
      </c>
      <c r="T1742" s="2" t="s">
        <v>7137</v>
      </c>
      <c r="Y1742" s="4" t="str">
        <f>IFERROR(__xludf.DUMMYFUNCTION("""COMPUTED_VALUE"""),"7.5188438")</f>
        <v>7.5188438</v>
      </c>
      <c r="Z1742" s="4" t="str">
        <f>IFERROR(__xludf.DUMMYFUNCTION("""COMPUTED_VALUE"""),"2.9110419")</f>
        <v>2.9110419</v>
      </c>
      <c r="AA1742" s="4" t="str">
        <f t="shared" si="1"/>
        <v>Not Neighbor</v>
      </c>
      <c r="AC1742" s="4">
        <f>IFERROR(__xludf.DUMMYFUNCTION("IFERROR(ABS(O1742-AVERAGE(FILTER(O1742:O5810,AA1742:AA5810=""Neighbor""))) / STDEV(FILTER(O1742:O5810, AA1742:AA5810 =""Neighbor"")), """")"),0.5961276934801614)</f>
        <v>0.5961276935</v>
      </c>
      <c r="AD1742" s="4">
        <f>IFERROR(__xludf.DUMMYFUNCTION("IFERROR(ABS(P1742-AVERAGE(FILTER(O1742:P5810,AA1742:AA5810=""Neighbor""))) / STDEV(FILTER(P1742:P5810, AA1742:AA5810 =""Neighbor"")), """")"),1.558670235340577)</f>
        <v>1.558670235</v>
      </c>
      <c r="AE1742" s="2">
        <f>IFERROR(__xludf.DUMMYFUNCTION("IFERROR(ABS(Q1742-AVERAGE(FILTER(Q1742:Q5810,AA1742:AA5810=""Neighbor""))) / STDEV(FILTER(Q1742:Q5810, AA1742:AA5810 =""Neighbor"")), """")"),1.219156474023916)</f>
        <v>1.219156474</v>
      </c>
      <c r="AF1742" s="2">
        <f>IFERROR(__xludf.DUMMYFUNCTION("IFERROR(ABS(R1742-AVERAGE(FILTER(R1742:R5810,AA1742:AA5810=""Neighbor""))) / STDEV(FILTER(R1742:R5810, AA1742:AA5810 =""Neighbor"")), """")"),0.35378555562721503)</f>
        <v>0.3537855556</v>
      </c>
    </row>
    <row r="1743">
      <c r="A1743" s="2" t="s">
        <v>28</v>
      </c>
      <c r="B1743" s="2" t="s">
        <v>7043</v>
      </c>
      <c r="C1743" s="2" t="s">
        <v>7117</v>
      </c>
      <c r="D1743" s="2" t="s">
        <v>7138</v>
      </c>
      <c r="E1743" s="2" t="s">
        <v>7139</v>
      </c>
      <c r="F1743" s="2">
        <v>103.0</v>
      </c>
      <c r="G1743" s="2">
        <v>645.0</v>
      </c>
      <c r="H1743" s="2" t="b">
        <v>1</v>
      </c>
      <c r="I1743" s="2">
        <v>-1.0</v>
      </c>
      <c r="J1743" s="2" t="b">
        <v>1</v>
      </c>
      <c r="K1743" s="2" t="b">
        <v>0</v>
      </c>
      <c r="L1743" s="2" t="b">
        <v>0</v>
      </c>
      <c r="M1743" s="2" t="b">
        <v>0</v>
      </c>
      <c r="N1743" s="2" t="s">
        <v>33</v>
      </c>
      <c r="O1743" s="2">
        <v>63.0</v>
      </c>
      <c r="P1743" s="2">
        <v>3.0</v>
      </c>
      <c r="Q1743" s="2">
        <v>33.0</v>
      </c>
      <c r="R1743" s="2">
        <v>0.0</v>
      </c>
      <c r="S1743" s="3" t="s">
        <v>7140</v>
      </c>
      <c r="T1743" s="2" t="s">
        <v>7141</v>
      </c>
      <c r="Y1743" s="4" t="str">
        <f>IFERROR(__xludf.DUMMYFUNCTION("""COMPUTED_VALUE"""),"7.732423")</f>
        <v>7.732423</v>
      </c>
      <c r="Z1743" s="4" t="str">
        <f>IFERROR(__xludf.DUMMYFUNCTION("""COMPUTED_VALUE"""),"2.8178291")</f>
        <v>2.8178291</v>
      </c>
      <c r="AA1743" s="4" t="str">
        <f t="shared" si="1"/>
        <v>Neighbor</v>
      </c>
      <c r="AC1743" s="4">
        <f>IFERROR(__xludf.DUMMYFUNCTION("IFERROR(ABS(O1743-AVERAGE(FILTER(O1743:O5811,AA1743:AA5811=""Neighbor""))) / STDEV(FILTER(O1743:O5811, AA1743:AA5811 =""Neighbor"")), """")"),0.19779286739555224)</f>
        <v>0.1977928674</v>
      </c>
      <c r="AD1743" s="4">
        <f>IFERROR(__xludf.DUMMYFUNCTION("IFERROR(ABS(P1743-AVERAGE(FILTER(O1743:P5811,AA1743:AA5811=""Neighbor""))) / STDEV(FILTER(P1743:P5811, AA1743:AA5811 =""Neighbor"")), """")"),1.4687658655894809)</f>
        <v>1.468765866</v>
      </c>
      <c r="AE1743" s="2">
        <f>IFERROR(__xludf.DUMMYFUNCTION("IFERROR(ABS(Q1743-AVERAGE(FILTER(Q1743:Q5811,AA1743:AA5811=""Neighbor""))) / STDEV(FILTER(Q1743:Q5811, AA1743:AA5811 =""Neighbor"")), """")"),0.40972572495539106)</f>
        <v>0.409725725</v>
      </c>
      <c r="AF1743" s="2">
        <f>IFERROR(__xludf.DUMMYFUNCTION("IFERROR(ABS(R1743-AVERAGE(FILTER(R1743:R5811,AA1743:AA5811=""Neighbor""))) / STDEV(FILTER(R1743:R5811, AA1743:AA5811 =""Neighbor"")), """")"),0.35378555562721503)</f>
        <v>0.3537855556</v>
      </c>
    </row>
    <row r="1744">
      <c r="A1744" s="2" t="s">
        <v>28</v>
      </c>
      <c r="B1744" s="2" t="s">
        <v>7043</v>
      </c>
      <c r="C1744" s="2" t="s">
        <v>7117</v>
      </c>
      <c r="D1744" s="2" t="s">
        <v>7142</v>
      </c>
      <c r="E1744" s="2" t="s">
        <v>7143</v>
      </c>
      <c r="F1744" s="2">
        <v>143.0</v>
      </c>
      <c r="G1744" s="2">
        <v>529.0</v>
      </c>
      <c r="H1744" s="2" t="b">
        <v>1</v>
      </c>
      <c r="I1744" s="2">
        <v>-1.0</v>
      </c>
      <c r="J1744" s="2" t="b">
        <v>0</v>
      </c>
      <c r="K1744" s="2" t="b">
        <v>0</v>
      </c>
      <c r="L1744" s="2" t="b">
        <v>0</v>
      </c>
      <c r="M1744" s="2" t="b">
        <v>0</v>
      </c>
      <c r="N1744" s="2" t="s">
        <v>33</v>
      </c>
      <c r="O1744" s="2">
        <v>126.0</v>
      </c>
      <c r="P1744" s="2">
        <v>0.0</v>
      </c>
      <c r="Q1744" s="2">
        <v>4.0</v>
      </c>
      <c r="R1744" s="2">
        <v>0.0</v>
      </c>
      <c r="S1744" s="3" t="s">
        <v>7144</v>
      </c>
      <c r="T1744" s="2" t="s">
        <v>7145</v>
      </c>
      <c r="Y1744" s="4" t="str">
        <f>IFERROR(__xludf.DUMMYFUNCTION("""COMPUTED_VALUE"""),"7.732423")</f>
        <v>7.732423</v>
      </c>
      <c r="Z1744" s="4" t="str">
        <f>IFERROR(__xludf.DUMMYFUNCTION("""COMPUTED_VALUE"""),"2.8178291")</f>
        <v>2.8178291</v>
      </c>
      <c r="AA1744" s="4" t="str">
        <f t="shared" si="1"/>
        <v>Neighbor</v>
      </c>
      <c r="AC1744" s="4">
        <f>IFERROR(__xludf.DUMMYFUNCTION("IFERROR(ABS(O1744-AVERAGE(FILTER(O1744:O5812,AA1744:AA5812=""Neighbor""))) / STDEV(FILTER(O1744:O5812, AA1744:AA5812 =""Neighbor"")), """")"),1.8700498390506382)</f>
        <v>1.870049839</v>
      </c>
      <c r="AD1744" s="4">
        <f>IFERROR(__xludf.DUMMYFUNCTION("IFERROR(ABS(P1744-AVERAGE(FILTER(O1744:P5812,AA1744:AA5812=""Neighbor""))) / STDEV(FILTER(P1744:P5812, AA1744:AA5812 =""Neighbor"")), """")"),1.6031775924644134)</f>
        <v>1.603177592</v>
      </c>
      <c r="AE1744" s="2">
        <f>IFERROR(__xludf.DUMMYFUNCTION("IFERROR(ABS(Q1744-AVERAGE(FILTER(Q1744:Q5812,AA1744:AA5812=""Neighbor""))) / STDEV(FILTER(Q1744:Q5812, AA1744:AA5812 =""Neighbor"")), """")"),0.763171667604299)</f>
        <v>0.7631716676</v>
      </c>
      <c r="AF1744" s="2">
        <f>IFERROR(__xludf.DUMMYFUNCTION("IFERROR(ABS(R1744-AVERAGE(FILTER(R1744:R5812,AA1744:AA5812=""Neighbor""))) / STDEV(FILTER(R1744:R5812, AA1744:AA5812 =""Neighbor"")), """")"),0.3539979859892032)</f>
        <v>0.353997986</v>
      </c>
    </row>
    <row r="1745">
      <c r="A1745" s="2" t="s">
        <v>28</v>
      </c>
      <c r="B1745" s="2" t="s">
        <v>7043</v>
      </c>
      <c r="C1745" s="2" t="s">
        <v>7117</v>
      </c>
      <c r="D1745" s="2" t="s">
        <v>7146</v>
      </c>
      <c r="E1745" s="2" t="s">
        <v>7147</v>
      </c>
      <c r="F1745" s="2">
        <v>27.0</v>
      </c>
      <c r="G1745" s="2">
        <v>468.0</v>
      </c>
      <c r="H1745" s="2" t="b">
        <v>1</v>
      </c>
      <c r="I1745" s="2">
        <v>-1.0</v>
      </c>
      <c r="J1745" s="2" t="b">
        <v>1</v>
      </c>
      <c r="K1745" s="2" t="b">
        <v>0</v>
      </c>
      <c r="L1745" s="2" t="b">
        <v>0</v>
      </c>
      <c r="M1745" s="2" t="b">
        <v>0</v>
      </c>
      <c r="N1745" s="2" t="s">
        <v>33</v>
      </c>
      <c r="O1745" s="2">
        <v>23.0</v>
      </c>
      <c r="P1745" s="2">
        <v>0.0</v>
      </c>
      <c r="Q1745" s="2">
        <v>2.0</v>
      </c>
      <c r="R1745" s="2">
        <v>0.0</v>
      </c>
      <c r="S1745" s="3" t="s">
        <v>7148</v>
      </c>
      <c r="T1745" s="2" t="s">
        <v>7149</v>
      </c>
      <c r="Y1745" s="4" t="str">
        <f>IFERROR(__xludf.DUMMYFUNCTION("""COMPUTED_VALUE"""),"7.732423")</f>
        <v>7.732423</v>
      </c>
      <c r="Z1745" s="4" t="str">
        <f>IFERROR(__xludf.DUMMYFUNCTION("""COMPUTED_VALUE"""),"2.8178291")</f>
        <v>2.8178291</v>
      </c>
      <c r="AA1745" s="4" t="str">
        <f t="shared" si="1"/>
        <v>Not Neighbor</v>
      </c>
      <c r="AC1745" s="4">
        <f>IFERROR(__xludf.DUMMYFUNCTION("IFERROR(ABS(O1745-AVERAGE(FILTER(O1745:O5813,AA1745:AA5813=""Neighbor""))) / STDEV(FILTER(O1745:O5813, AA1745:AA5813 =""Neighbor"")), """")"),0.862934302627702)</f>
        <v>0.8629343026</v>
      </c>
      <c r="AD1745" s="4">
        <f>IFERROR(__xludf.DUMMYFUNCTION("IFERROR(ABS(P1745-AVERAGE(FILTER(O1745:P5813,AA1745:AA5813=""Neighbor""))) / STDEV(FILTER(P1745:P5813, AA1745:AA5813 =""Neighbor"")), """")"),1.6014403490262787)</f>
        <v>1.601440349</v>
      </c>
      <c r="AE1745" s="2">
        <f>IFERROR(__xludf.DUMMYFUNCTION("IFERROR(ABS(Q1745-AVERAGE(FILTER(Q1745:Q5813,AA1745:AA5813=""Neighbor""))) / STDEV(FILTER(Q1745:Q5813, AA1745:AA5813 =""Neighbor"")), """")"),0.8447064608097407)</f>
        <v>0.8447064608</v>
      </c>
      <c r="AF1745" s="2">
        <f>IFERROR(__xludf.DUMMYFUNCTION("IFERROR(ABS(R1745-AVERAGE(FILTER(R1745:R5813,AA1745:AA5813=""Neighbor""))) / STDEV(FILTER(R1745:R5813, AA1745:AA5813 =""Neighbor"")), """")"),0.3542107995262698)</f>
        <v>0.3542107995</v>
      </c>
    </row>
    <row r="1746">
      <c r="A1746" s="2" t="s">
        <v>28</v>
      </c>
      <c r="B1746" s="2" t="s">
        <v>7043</v>
      </c>
      <c r="C1746" s="2" t="s">
        <v>7150</v>
      </c>
      <c r="D1746" s="2" t="s">
        <v>7151</v>
      </c>
      <c r="E1746" s="2" t="s">
        <v>7152</v>
      </c>
      <c r="F1746" s="2">
        <v>200.0</v>
      </c>
      <c r="G1746" s="2">
        <v>655.0</v>
      </c>
      <c r="H1746" s="2" t="b">
        <v>1</v>
      </c>
      <c r="I1746" s="2">
        <v>-1.0</v>
      </c>
      <c r="J1746" s="2" t="b">
        <v>0</v>
      </c>
      <c r="K1746" s="2" t="b">
        <v>0</v>
      </c>
      <c r="L1746" s="2" t="b">
        <v>0</v>
      </c>
      <c r="M1746" s="2" t="b">
        <v>0</v>
      </c>
      <c r="N1746" s="2" t="s">
        <v>33</v>
      </c>
      <c r="O1746" s="2">
        <v>159.0</v>
      </c>
      <c r="P1746" s="2">
        <v>0.0</v>
      </c>
      <c r="Q1746" s="2">
        <v>42.0</v>
      </c>
      <c r="R1746" s="2">
        <v>0.0</v>
      </c>
      <c r="S1746" s="3" t="s">
        <v>7153</v>
      </c>
      <c r="T1746" s="2" t="s">
        <v>7154</v>
      </c>
      <c r="Y1746" s="4" t="str">
        <f>IFERROR(__xludf.DUMMYFUNCTION("""COMPUTED_VALUE"""),"7.4332317")</f>
        <v>7.4332317</v>
      </c>
      <c r="Z1746" s="4" t="str">
        <f>IFERROR(__xludf.DUMMYFUNCTION("""COMPUTED_VALUE"""),"2.8034001")</f>
        <v>2.8034001</v>
      </c>
      <c r="AA1746" s="4" t="str">
        <f t="shared" si="1"/>
        <v>Neighbor</v>
      </c>
      <c r="AC1746" s="4">
        <f>IFERROR(__xludf.DUMMYFUNCTION("IFERROR(ABS(O1746-AVERAGE(FILTER(O1746:O5814,AA1746:AA5814=""Neighbor""))) / STDEV(FILTER(O1746:O5814, AA1746:AA5814 =""Neighbor"")), """")"),2.7516228461350156)</f>
        <v>2.751622846</v>
      </c>
      <c r="AD1746" s="4">
        <f>IFERROR(__xludf.DUMMYFUNCTION("IFERROR(ABS(P1746-AVERAGE(FILTER(O1746:P5814,AA1746:AA5814=""Neighbor""))) / STDEV(FILTER(P1746:P5814, AA1746:AA5814 =""Neighbor"")), """")"),1.6014403490262787)</f>
        <v>1.601440349</v>
      </c>
      <c r="AE1746" s="2">
        <f>IFERROR(__xludf.DUMMYFUNCTION("IFERROR(ABS(Q1746-AVERAGE(FILTER(Q1746:Q5814,AA1746:AA5814=""Neighbor""))) / STDEV(FILTER(Q1746:Q5814, AA1746:AA5814 =""Neighbor"")), """")"),0.7730742455751579)</f>
        <v>0.7730742456</v>
      </c>
      <c r="AF1746" s="2">
        <f>IFERROR(__xludf.DUMMYFUNCTION("IFERROR(ABS(R1746-AVERAGE(FILTER(R1746:R5814,AA1746:AA5814=""Neighbor""))) / STDEV(FILTER(R1746:R5814, AA1746:AA5814 =""Neighbor"")), """")"),0.3542107995262698)</f>
        <v>0.3542107995</v>
      </c>
    </row>
    <row r="1747">
      <c r="A1747" s="2" t="s">
        <v>28</v>
      </c>
      <c r="B1747" s="2" t="s">
        <v>7043</v>
      </c>
      <c r="C1747" s="2" t="s">
        <v>7150</v>
      </c>
      <c r="D1747" s="2" t="s">
        <v>7155</v>
      </c>
      <c r="E1747" s="2" t="s">
        <v>7156</v>
      </c>
      <c r="F1747" s="2">
        <v>175.0</v>
      </c>
      <c r="G1747" s="2">
        <v>753.0</v>
      </c>
      <c r="H1747" s="2" t="b">
        <v>1</v>
      </c>
      <c r="I1747" s="2">
        <v>-1.0</v>
      </c>
      <c r="J1747" s="2" t="b">
        <v>1</v>
      </c>
      <c r="K1747" s="2" t="b">
        <v>1</v>
      </c>
      <c r="L1747" s="2" t="b">
        <v>0</v>
      </c>
      <c r="M1747" s="2" t="b">
        <v>0</v>
      </c>
      <c r="N1747" s="2" t="s">
        <v>33</v>
      </c>
      <c r="O1747" s="2">
        <v>0.0</v>
      </c>
      <c r="P1747" s="2">
        <v>0.0</v>
      </c>
      <c r="Q1747" s="2">
        <v>0.0</v>
      </c>
      <c r="R1747" s="2">
        <v>0.0</v>
      </c>
      <c r="S1747" s="3" t="s">
        <v>7157</v>
      </c>
      <c r="T1747" s="2" t="s">
        <v>7158</v>
      </c>
      <c r="Y1747" s="4" t="str">
        <f>IFERROR(__xludf.DUMMYFUNCTION("""COMPUTED_VALUE"""),"7.4332317")</f>
        <v>7.4332317</v>
      </c>
      <c r="Z1747" s="4" t="str">
        <f>IFERROR(__xludf.DUMMYFUNCTION("""COMPUTED_VALUE"""),"2.8034001")</f>
        <v>2.8034001</v>
      </c>
      <c r="AA1747" s="4" t="str">
        <f t="shared" si="1"/>
        <v>Neighbor</v>
      </c>
      <c r="AC1747" s="4">
        <f>IFERROR(__xludf.DUMMYFUNCTION("IFERROR(ABS(O1747-AVERAGE(FILTER(O1747:O5815,AA1747:AA5815=""Neighbor""))) / STDEV(FILTER(O1747:O5815, AA1747:AA5815 =""Neighbor"")), """")"),1.4764889656171876)</f>
        <v>1.476488966</v>
      </c>
      <c r="AD1747" s="4">
        <f>IFERROR(__xludf.DUMMYFUNCTION("IFERROR(ABS(P1747-AVERAGE(FILTER(O1747:P5815,AA1747:AA5815=""Neighbor""))) / STDEV(FILTER(P1747:P5815, AA1747:AA5815 =""Neighbor"")), """")"),1.598907926973365)</f>
        <v>1.598907927</v>
      </c>
      <c r="AE1747" s="2">
        <f>IFERROR(__xludf.DUMMYFUNCTION("IFERROR(ABS(Q1747-AVERAGE(FILTER(Q1747:Q5815,AA1747:AA5815=""Neighbor""))) / STDEV(FILTER(Q1747:Q5815, AA1747:AA5815 =""Neighbor"")), """")"),0.9245687718557764)</f>
        <v>0.9245687719</v>
      </c>
      <c r="AF1747" s="2">
        <f>IFERROR(__xludf.DUMMYFUNCTION("IFERROR(ABS(R1747-AVERAGE(FILTER(R1747:R5815,AA1747:AA5815=""Neighbor""))) / STDEV(FILTER(R1747:R5815, AA1747:AA5815 =""Neighbor"")), """")"),0.35442399739187397)</f>
        <v>0.3544239974</v>
      </c>
    </row>
    <row r="1748">
      <c r="A1748" s="2" t="s">
        <v>28</v>
      </c>
      <c r="B1748" s="2" t="s">
        <v>7043</v>
      </c>
      <c r="C1748" s="2" t="s">
        <v>7150</v>
      </c>
      <c r="D1748" s="2" t="s">
        <v>7159</v>
      </c>
      <c r="E1748" s="2" t="s">
        <v>7160</v>
      </c>
      <c r="F1748" s="2">
        <v>167.0</v>
      </c>
      <c r="G1748" s="2">
        <v>555.0</v>
      </c>
      <c r="H1748" s="2" t="b">
        <v>1</v>
      </c>
      <c r="I1748" s="2">
        <v>-1.0</v>
      </c>
      <c r="J1748" s="2" t="b">
        <v>0</v>
      </c>
      <c r="K1748" s="2" t="b">
        <v>0</v>
      </c>
      <c r="L1748" s="2" t="b">
        <v>0</v>
      </c>
      <c r="M1748" s="2" t="b">
        <v>0</v>
      </c>
      <c r="N1748" s="2" t="s">
        <v>33</v>
      </c>
      <c r="O1748" s="2">
        <v>103.0</v>
      </c>
      <c r="P1748" s="2">
        <v>2.0</v>
      </c>
      <c r="Q1748" s="2">
        <v>49.0</v>
      </c>
      <c r="R1748" s="2">
        <v>5.0</v>
      </c>
      <c r="S1748" s="3" t="s">
        <v>7161</v>
      </c>
      <c r="T1748" s="2" t="s">
        <v>7162</v>
      </c>
      <c r="Y1748" s="4" t="str">
        <f>IFERROR(__xludf.DUMMYFUNCTION("""COMPUTED_VALUE"""),"7.4332317")</f>
        <v>7.4332317</v>
      </c>
      <c r="Z1748" s="4" t="str">
        <f>IFERROR(__xludf.DUMMYFUNCTION("""COMPUTED_VALUE"""),"2.8034001")</f>
        <v>2.8034001</v>
      </c>
      <c r="AA1748" s="4" t="str">
        <f t="shared" si="1"/>
        <v>Neighbor</v>
      </c>
      <c r="AC1748" s="4">
        <f>IFERROR(__xludf.DUMMYFUNCTION("IFERROR(ABS(O1748-AVERAGE(FILTER(O1748:O5816,AA1748:AA5816=""Neighbor""))) / STDEV(FILTER(O1748:O5816, AA1748:AA5816 =""Neighbor"")), """")"),1.2699335835912262)</f>
        <v>1.269933584</v>
      </c>
      <c r="AD1748" s="4">
        <f>IFERROR(__xludf.DUMMYFUNCTION("IFERROR(ABS(P1748-AVERAGE(FILTER(O1748:P5816,AA1748:AA5816=""Neighbor""))) / STDEV(FILTER(P1748:P5816, AA1748:AA5816 =""Neighbor"")), """")"),1.5103974690764637)</f>
        <v>1.510397469</v>
      </c>
      <c r="AE1748" s="2">
        <f>IFERROR(__xludf.DUMMYFUNCTION("IFERROR(ABS(Q1748-AVERAGE(FILTER(Q1748:Q5816,AA1748:AA5816=""Neighbor""))) / STDEV(FILTER(Q1748:Q5816, AA1748:AA5816 =""Neighbor"")), """")"),1.0557134265874406)</f>
        <v>1.055713427</v>
      </c>
      <c r="AF1748" s="2">
        <f>IFERROR(__xludf.DUMMYFUNCTION("IFERROR(ABS(R1748-AVERAGE(FILTER(R1748:R5816,AA1748:AA5816=""Neighbor""))) / STDEV(FILTER(R1748:R5816, AA1748:AA5816 =""Neighbor"")), """")"),5.429922958319854)</f>
        <v>5.429922958</v>
      </c>
    </row>
    <row r="1749">
      <c r="A1749" s="2" t="s">
        <v>28</v>
      </c>
      <c r="B1749" s="2" t="s">
        <v>7043</v>
      </c>
      <c r="C1749" s="2" t="s">
        <v>7150</v>
      </c>
      <c r="D1749" s="2" t="s">
        <v>7163</v>
      </c>
      <c r="E1749" s="2" t="s">
        <v>7164</v>
      </c>
      <c r="F1749" s="2">
        <v>162.0</v>
      </c>
      <c r="G1749" s="2">
        <v>688.0</v>
      </c>
      <c r="H1749" s="2" t="b">
        <v>1</v>
      </c>
      <c r="I1749" s="2">
        <v>-1.0</v>
      </c>
      <c r="J1749" s="2" t="b">
        <v>0</v>
      </c>
      <c r="K1749" s="2" t="b">
        <v>0</v>
      </c>
      <c r="L1749" s="2" t="b">
        <v>0</v>
      </c>
      <c r="M1749" s="2" t="b">
        <v>0</v>
      </c>
      <c r="N1749" s="2" t="s">
        <v>33</v>
      </c>
      <c r="O1749" s="2">
        <v>74.0</v>
      </c>
      <c r="P1749" s="2">
        <v>11.0</v>
      </c>
      <c r="Q1749" s="2">
        <v>73.0</v>
      </c>
      <c r="R1749" s="2">
        <v>0.0</v>
      </c>
      <c r="S1749" s="3" t="s">
        <v>7165</v>
      </c>
      <c r="T1749" s="2" t="s">
        <v>7166</v>
      </c>
      <c r="Y1749" s="4" t="str">
        <f>IFERROR(__xludf.DUMMYFUNCTION("""COMPUTED_VALUE"""),"7.4332317")</f>
        <v>7.4332317</v>
      </c>
      <c r="Z1749" s="4" t="str">
        <f>IFERROR(__xludf.DUMMYFUNCTION("""COMPUTED_VALUE"""),"2.8034001")</f>
        <v>2.8034001</v>
      </c>
      <c r="AA1749" s="4" t="str">
        <f t="shared" si="1"/>
        <v>Not Neighbor</v>
      </c>
      <c r="AC1749" s="4">
        <f>IFERROR(__xludf.DUMMYFUNCTION("IFERROR(ABS(O1749-AVERAGE(FILTER(O1749:O5817,AA1749:AA5817=""Neighbor""))) / STDEV(FILTER(O1749:O5817, AA1749:AA5817 =""Neighbor"")), """")"),0.4974859828406312)</f>
        <v>0.4974859828</v>
      </c>
      <c r="AD1749" s="4">
        <f>IFERROR(__xludf.DUMMYFUNCTION("IFERROR(ABS(P1749-AVERAGE(FILTER(O1749:P5817,AA1749:AA5817=""Neighbor""))) / STDEV(FILTER(P1749:P5817, AA1749:AA5817 =""Neighbor"")), """")"),1.1051177182506036)</f>
        <v>1.105117718</v>
      </c>
      <c r="AE1749" s="2">
        <f>IFERROR(__xludf.DUMMYFUNCTION("IFERROR(ABS(Q1749-AVERAGE(FILTER(Q1749:Q5817,AA1749:AA5817=""Neighbor""))) / STDEV(FILTER(Q1749:Q5817, AA1749:AA5817 =""Neighbor"")), """")"),2.0273566020357845)</f>
        <v>2.027356602</v>
      </c>
      <c r="AF1749" s="2">
        <f>IFERROR(__xludf.DUMMYFUNCTION("IFERROR(ABS(R1749-AVERAGE(FILTER(R1749:R5817,AA1749:AA5817=""Neighbor""))) / STDEV(FILTER(R1749:R5817, AA1749:AA5817 =""Neighbor"")), """")"),0.35427930678744485)</f>
        <v>0.3542793068</v>
      </c>
    </row>
    <row r="1750">
      <c r="A1750" s="2" t="s">
        <v>28</v>
      </c>
      <c r="B1750" s="2" t="s">
        <v>7043</v>
      </c>
      <c r="C1750" s="2" t="s">
        <v>7150</v>
      </c>
      <c r="D1750" s="2" t="s">
        <v>7167</v>
      </c>
      <c r="E1750" s="2" t="s">
        <v>7168</v>
      </c>
      <c r="F1750" s="2">
        <v>131.0</v>
      </c>
      <c r="G1750" s="2">
        <v>618.0</v>
      </c>
      <c r="H1750" s="2" t="b">
        <v>1</v>
      </c>
      <c r="I1750" s="2">
        <v>-1.0</v>
      </c>
      <c r="J1750" s="2" t="b">
        <v>0</v>
      </c>
      <c r="K1750" s="2" t="b">
        <v>0</v>
      </c>
      <c r="L1750" s="2" t="b">
        <v>0</v>
      </c>
      <c r="M1750" s="2" t="b">
        <v>0</v>
      </c>
      <c r="N1750" s="2" t="s">
        <v>33</v>
      </c>
      <c r="O1750" s="2">
        <v>90.0</v>
      </c>
      <c r="P1750" s="2">
        <v>4.0</v>
      </c>
      <c r="Q1750" s="2">
        <v>29.0</v>
      </c>
      <c r="R1750" s="2">
        <v>0.0</v>
      </c>
      <c r="S1750" s="3" t="s">
        <v>7169</v>
      </c>
      <c r="T1750" s="2" t="s">
        <v>7170</v>
      </c>
      <c r="Y1750" s="4" t="str">
        <f>IFERROR(__xludf.DUMMYFUNCTION("""COMPUTED_VALUE"""),"7.376677")</f>
        <v>7.376677</v>
      </c>
      <c r="Z1750" s="4" t="str">
        <f>IFERROR(__xludf.DUMMYFUNCTION("""COMPUTED_VALUE"""),"2.889375")</f>
        <v>2.889375</v>
      </c>
      <c r="AA1750" s="4" t="str">
        <f t="shared" si="1"/>
        <v>Not Neighbor</v>
      </c>
      <c r="AC1750" s="4">
        <f>IFERROR(__xludf.DUMMYFUNCTION("IFERROR(ABS(O1750-AVERAGE(FILTER(O1750:O5818,AA1750:AA5818=""Neighbor""))) / STDEV(FILTER(O1750:O5818, AA1750:AA5818 =""Neighbor"")), """")"),0.9246473219388919)</f>
        <v>0.9246473219</v>
      </c>
      <c r="AD1750" s="4">
        <f>IFERROR(__xludf.DUMMYFUNCTION("IFERROR(ABS(P1750-AVERAGE(FILTER(O1750:P5818,AA1750:AA5818=""Neighbor""))) / STDEV(FILTER(P1750:P5818, AA1750:AA5818 =""Neighbor"")), """")"),1.4193176177501758)</f>
        <v>1.419317618</v>
      </c>
      <c r="AE1750" s="2">
        <f>IFERROR(__xludf.DUMMYFUNCTION("IFERROR(ABS(Q1750-AVERAGE(FILTER(Q1750:Q5818,AA1750:AA5818=""Neighbor""))) / STDEV(FILTER(Q1750:Q5818, AA1750:AA5818 =""Neighbor"")), """")"),0.24820790344853783)</f>
        <v>0.2482079034</v>
      </c>
      <c r="AF1750" s="2">
        <f>IFERROR(__xludf.DUMMYFUNCTION("IFERROR(ABS(R1750-AVERAGE(FILTER(R1750:R5818,AA1750:AA5818=""Neighbor""))) / STDEV(FILTER(R1750:R5818, AA1750:AA5818 =""Neighbor"")), """")"),0.35427930678744485)</f>
        <v>0.3542793068</v>
      </c>
    </row>
    <row r="1751">
      <c r="A1751" s="2" t="s">
        <v>28</v>
      </c>
      <c r="B1751" s="2" t="s">
        <v>7043</v>
      </c>
      <c r="C1751" s="2" t="s">
        <v>7150</v>
      </c>
      <c r="D1751" s="2" t="s">
        <v>7171</v>
      </c>
      <c r="E1751" s="2" t="s">
        <v>7172</v>
      </c>
      <c r="F1751" s="2">
        <v>104.0</v>
      </c>
      <c r="G1751" s="2">
        <v>448.0</v>
      </c>
      <c r="H1751" s="2" t="b">
        <v>1</v>
      </c>
      <c r="I1751" s="2">
        <v>-1.0</v>
      </c>
      <c r="J1751" s="2" t="b">
        <v>0</v>
      </c>
      <c r="K1751" s="2" t="b">
        <v>0</v>
      </c>
      <c r="L1751" s="2" t="b">
        <v>0</v>
      </c>
      <c r="M1751" s="2" t="b">
        <v>0</v>
      </c>
      <c r="N1751" s="2" t="s">
        <v>33</v>
      </c>
      <c r="O1751" s="2">
        <v>59.0</v>
      </c>
      <c r="P1751" s="2">
        <v>0.0</v>
      </c>
      <c r="Q1751" s="2">
        <v>42.0</v>
      </c>
      <c r="R1751" s="2">
        <v>0.0</v>
      </c>
      <c r="S1751" s="3" t="s">
        <v>7173</v>
      </c>
      <c r="T1751" s="2" t="s">
        <v>7174</v>
      </c>
      <c r="Y1751" s="4" t="str">
        <f>IFERROR(__xludf.DUMMYFUNCTION("""COMPUTED_VALUE"""),"7.4332317")</f>
        <v>7.4332317</v>
      </c>
      <c r="Z1751" s="4" t="str">
        <f>IFERROR(__xludf.DUMMYFUNCTION("""COMPUTED_VALUE"""),"2.8034001")</f>
        <v>2.8034001</v>
      </c>
      <c r="AA1751" s="4" t="str">
        <f t="shared" si="1"/>
        <v>Not Neighbor</v>
      </c>
      <c r="AC1751" s="4">
        <f>IFERROR(__xludf.DUMMYFUNCTION("IFERROR(ABS(O1751-AVERAGE(FILTER(O1751:O5819,AA1751:AA5819=""Neighbor""))) / STDEV(FILTER(O1751:O5819, AA1751:AA5819 =""Neighbor"")), """")"),0.0970222274360119)</f>
        <v>0.09702222744</v>
      </c>
      <c r="AD1751" s="4">
        <f>IFERROR(__xludf.DUMMYFUNCTION("IFERROR(ABS(P1751-AVERAGE(FILTER(O1751:P5819,AA1751:AA5819=""Neighbor""))) / STDEV(FILTER(P1751:P5819, AA1751:AA5819 =""Neighbor"")), """")"),1.5988604174642174)</f>
        <v>1.598860417</v>
      </c>
      <c r="AE1751" s="2">
        <f>IFERROR(__xludf.DUMMYFUNCTION("IFERROR(ABS(Q1751-AVERAGE(FILTER(Q1751:Q5819,AA1751:AA5819=""Neighbor""))) / STDEV(FILTER(Q1751:Q5819, AA1751:AA5819 =""Neighbor"")), """")"),0.7738654734856789)</f>
        <v>0.7738654735</v>
      </c>
      <c r="AF1751" s="2">
        <f>IFERROR(__xludf.DUMMYFUNCTION("IFERROR(ABS(R1751-AVERAGE(FILTER(R1751:R5819,AA1751:AA5819=""Neighbor""))) / STDEV(FILTER(R1751:R5819, AA1751:AA5819 =""Neighbor"")), """")"),0.35427930678744485)</f>
        <v>0.3542793068</v>
      </c>
    </row>
    <row r="1752">
      <c r="A1752" s="2" t="s">
        <v>28</v>
      </c>
      <c r="B1752" s="2" t="s">
        <v>7043</v>
      </c>
      <c r="C1752" s="2" t="s">
        <v>7175</v>
      </c>
      <c r="D1752" s="2" t="s">
        <v>7176</v>
      </c>
      <c r="E1752" s="2" t="s">
        <v>7177</v>
      </c>
      <c r="F1752" s="2">
        <v>198.0</v>
      </c>
      <c r="G1752" s="2">
        <v>1295.0</v>
      </c>
      <c r="H1752" s="2" t="b">
        <v>1</v>
      </c>
      <c r="I1752" s="2">
        <v>-1.0</v>
      </c>
      <c r="J1752" s="2" t="b">
        <v>0</v>
      </c>
      <c r="K1752" s="2" t="b">
        <v>0</v>
      </c>
      <c r="L1752" s="2" t="b">
        <v>0</v>
      </c>
      <c r="M1752" s="2" t="b">
        <v>0</v>
      </c>
      <c r="N1752" s="2" t="s">
        <v>33</v>
      </c>
      <c r="O1752" s="2">
        <v>134.0</v>
      </c>
      <c r="P1752" s="2">
        <v>0.0</v>
      </c>
      <c r="Q1752" s="2">
        <v>37.0</v>
      </c>
      <c r="R1752" s="2">
        <v>0.0</v>
      </c>
      <c r="S1752" s="3" t="s">
        <v>7178</v>
      </c>
      <c r="T1752" s="2" t="s">
        <v>7179</v>
      </c>
      <c r="Y1752" s="4" t="str">
        <f>IFERROR(__xludf.DUMMYFUNCTION("""COMPUTED_VALUE"""),"7.5562493")</f>
        <v>7.5562493</v>
      </c>
      <c r="Z1752" s="4" t="str">
        <f>IFERROR(__xludf.DUMMYFUNCTION("""COMPUTED_VALUE"""),"2.7442217")</f>
        <v>2.7442217</v>
      </c>
      <c r="AA1752" s="4" t="str">
        <f t="shared" si="1"/>
        <v>Neighbor</v>
      </c>
      <c r="AC1752" s="4">
        <f>IFERROR(__xludf.DUMMYFUNCTION("IFERROR(ABS(O1752-AVERAGE(FILTER(O1752:O5820,AA1752:AA5820=""Neighbor""))) / STDEV(FILTER(O1752:O5820, AA1752:AA5820 =""Neighbor"")), """")"),2.099341004459109)</f>
        <v>2.099341004</v>
      </c>
      <c r="AD1752" s="4">
        <f>IFERROR(__xludf.DUMMYFUNCTION("IFERROR(ABS(P1752-AVERAGE(FILTER(O1752:P5820,AA1752:AA5820=""Neighbor""))) / STDEV(FILTER(P1752:P5820, AA1752:AA5820 =""Neighbor"")), """")"),1.5988604174642174)</f>
        <v>1.598860417</v>
      </c>
      <c r="AE1752" s="2">
        <f>IFERROR(__xludf.DUMMYFUNCTION("IFERROR(ABS(Q1752-AVERAGE(FILTER(Q1752:Q5820,AA1752:AA5820=""Neighbor""))) / STDEV(FILTER(Q1752:Q5820, AA1752:AA5820 =""Neighbor"")), """")"),0.5716894850098554)</f>
        <v>0.571689485</v>
      </c>
      <c r="AF1752" s="2">
        <f>IFERROR(__xludf.DUMMYFUNCTION("IFERROR(ABS(R1752-AVERAGE(FILTER(R1752:R5820,AA1752:AA5820=""Neighbor""))) / STDEV(FILTER(R1752:R5820, AA1752:AA5820 =""Neighbor"")), """")"),0.35427930678744485)</f>
        <v>0.3542793068</v>
      </c>
    </row>
    <row r="1753">
      <c r="A1753" s="2" t="s">
        <v>28</v>
      </c>
      <c r="B1753" s="2" t="s">
        <v>7043</v>
      </c>
      <c r="C1753" s="2" t="s">
        <v>7175</v>
      </c>
      <c r="D1753" s="2" t="s">
        <v>7180</v>
      </c>
      <c r="E1753" s="2" t="s">
        <v>7181</v>
      </c>
      <c r="F1753" s="2">
        <v>188.0</v>
      </c>
      <c r="G1753" s="2">
        <v>1335.0</v>
      </c>
      <c r="H1753" s="2" t="b">
        <v>1</v>
      </c>
      <c r="I1753" s="2">
        <v>-1.0</v>
      </c>
      <c r="J1753" s="2" t="b">
        <v>1</v>
      </c>
      <c r="K1753" s="2" t="b">
        <v>0</v>
      </c>
      <c r="L1753" s="2" t="b">
        <v>0</v>
      </c>
      <c r="M1753" s="2" t="b">
        <v>0</v>
      </c>
      <c r="N1753" s="2" t="s">
        <v>33</v>
      </c>
      <c r="O1753" s="2">
        <v>165.0</v>
      </c>
      <c r="P1753" s="2">
        <v>1.0</v>
      </c>
      <c r="Q1753" s="2">
        <v>17.0</v>
      </c>
      <c r="R1753" s="2">
        <v>0.0</v>
      </c>
      <c r="S1753" s="3" t="s">
        <v>7182</v>
      </c>
      <c r="T1753" s="2" t="s">
        <v>7183</v>
      </c>
      <c r="Y1753" s="4" t="str">
        <f>IFERROR(__xludf.DUMMYFUNCTION("""COMPUTED_VALUE"""),"7.5621474")</f>
        <v>7.5621474</v>
      </c>
      <c r="Z1753" s="4" t="str">
        <f>IFERROR(__xludf.DUMMYFUNCTION("""COMPUTED_VALUE"""),"2.7506055")</f>
        <v>2.7506055</v>
      </c>
      <c r="AA1753" s="4" t="str">
        <f t="shared" si="1"/>
        <v>Neighbor</v>
      </c>
      <c r="AC1753" s="4">
        <f>IFERROR(__xludf.DUMMYFUNCTION("IFERROR(ABS(O1753-AVERAGE(FILTER(O1753:O5821,AA1753:AA5821=""Neighbor""))) / STDEV(FILTER(O1753:O5821, AA1753:AA5821 =""Neighbor"")), """")"),2.9346091963000944)</f>
        <v>2.934609196</v>
      </c>
      <c r="AD1753" s="4">
        <f>IFERROR(__xludf.DUMMYFUNCTION("IFERROR(ABS(P1753-AVERAGE(FILTER(O1753:P5821,AA1753:AA5821=""Neighbor""))) / STDEV(FILTER(P1753:P5821, AA1753:AA5821 =""Neighbor"")), """")"),1.5520516284221026)</f>
        <v>1.552051628</v>
      </c>
      <c r="AE1753" s="2">
        <f>IFERROR(__xludf.DUMMYFUNCTION("IFERROR(ABS(Q1753-AVERAGE(FILTER(Q1753:Q5821,AA1753:AA5821=""Neighbor""))) / STDEV(FILTER(Q1753:Q5821, AA1753:AA5821 =""Neighbor"")), """")"),0.23631494225756788)</f>
        <v>0.2363149423</v>
      </c>
      <c r="AF1753" s="2">
        <f>IFERROR(__xludf.DUMMYFUNCTION("IFERROR(ABS(R1753-AVERAGE(FILTER(R1753:R5821,AA1753:AA5821=""Neighbor""))) / STDEV(FILTER(R1753:R5821, AA1753:AA5821 =""Neighbor"")), """")"),0.3544932415784547)</f>
        <v>0.3544932416</v>
      </c>
    </row>
    <row r="1754">
      <c r="A1754" s="2" t="s">
        <v>28</v>
      </c>
      <c r="B1754" s="2" t="s">
        <v>7043</v>
      </c>
      <c r="C1754" s="2" t="s">
        <v>7175</v>
      </c>
      <c r="D1754" s="2" t="s">
        <v>7184</v>
      </c>
      <c r="E1754" s="2" t="s">
        <v>7185</v>
      </c>
      <c r="F1754" s="2">
        <v>269.0</v>
      </c>
      <c r="G1754" s="2">
        <v>1408.0</v>
      </c>
      <c r="H1754" s="2" t="b">
        <v>1</v>
      </c>
      <c r="I1754" s="2">
        <v>-1.0</v>
      </c>
      <c r="J1754" s="2" t="b">
        <v>1</v>
      </c>
      <c r="K1754" s="2" t="b">
        <v>1</v>
      </c>
      <c r="L1754" s="2" t="b">
        <v>0</v>
      </c>
      <c r="M1754" s="2" t="b">
        <v>0</v>
      </c>
      <c r="N1754" s="2" t="s">
        <v>33</v>
      </c>
      <c r="O1754" s="2">
        <v>0.0</v>
      </c>
      <c r="P1754" s="2">
        <v>0.0</v>
      </c>
      <c r="Q1754" s="2">
        <v>0.0</v>
      </c>
      <c r="R1754" s="2">
        <v>0.0</v>
      </c>
      <c r="S1754" s="3" t="s">
        <v>7186</v>
      </c>
      <c r="T1754" s="2" t="s">
        <v>7187</v>
      </c>
      <c r="Y1754" s="4" t="str">
        <f>IFERROR(__xludf.DUMMYFUNCTION("""COMPUTED_VALUE"""),"7.5621474")</f>
        <v>7.5621474</v>
      </c>
      <c r="Z1754" s="4" t="str">
        <f>IFERROR(__xludf.DUMMYFUNCTION("""COMPUTED_VALUE"""),"2.7506055")</f>
        <v>2.7506055</v>
      </c>
      <c r="AA1754" s="4" t="str">
        <f t="shared" si="1"/>
        <v>Not Neighbor</v>
      </c>
      <c r="AC1754" s="4">
        <f>IFERROR(__xludf.DUMMYFUNCTION("IFERROR(ABS(O1754-AVERAGE(FILTER(O1754:O5822,AA1754:AA5822=""Neighbor""))) / STDEV(FILTER(O1754:O5822, AA1754:AA5822 =""Neighbor"")), """")"),1.4815290868277093)</f>
        <v>1.481529087</v>
      </c>
      <c r="AD1754" s="4">
        <f>IFERROR(__xludf.DUMMYFUNCTION("IFERROR(ABS(P1754-AVERAGE(FILTER(O1754:P5822,AA1754:AA5822=""Neighbor""))) / STDEV(FILTER(P1754:P5822, AA1754:AA5822 =""Neighbor"")), """")"),1.5941633952038539)</f>
        <v>1.594163395</v>
      </c>
      <c r="AE1754" s="2">
        <f>IFERROR(__xludf.DUMMYFUNCTION("IFERROR(ABS(Q1754-AVERAGE(FILTER(Q1754:Q5822,AA1754:AA5822=""Neighbor""))) / STDEV(FILTER(Q1754:Q5822, AA1754:AA5822 =""Neighbor"")), """")"),0.9232498798521441)</f>
        <v>0.9232498799</v>
      </c>
      <c r="AF1754" s="2">
        <f>IFERROR(__xludf.DUMMYFUNCTION("IFERROR(ABS(R1754-AVERAGE(FILTER(R1754:R5822,AA1754:AA5822=""Neighbor""))) / STDEV(FILTER(R1754:R5822, AA1754:AA5822 =""Neighbor"")), """")"),0.3547075644524915)</f>
        <v>0.3547075645</v>
      </c>
    </row>
    <row r="1755">
      <c r="A1755" s="2" t="s">
        <v>28</v>
      </c>
      <c r="B1755" s="2" t="s">
        <v>7043</v>
      </c>
      <c r="C1755" s="2" t="s">
        <v>7175</v>
      </c>
      <c r="D1755" s="2" t="s">
        <v>7188</v>
      </c>
      <c r="E1755" s="2" t="s">
        <v>7189</v>
      </c>
      <c r="F1755" s="2">
        <v>29.0</v>
      </c>
      <c r="G1755" s="2">
        <v>824.0</v>
      </c>
      <c r="H1755" s="2" t="b">
        <v>1</v>
      </c>
      <c r="I1755" s="2">
        <v>-1.0</v>
      </c>
      <c r="J1755" s="2" t="b">
        <v>0</v>
      </c>
      <c r="K1755" s="2" t="b">
        <v>0</v>
      </c>
      <c r="L1755" s="2" t="b">
        <v>0</v>
      </c>
      <c r="M1755" s="2" t="b">
        <v>0</v>
      </c>
      <c r="N1755" s="2" t="s">
        <v>33</v>
      </c>
      <c r="O1755" s="2">
        <v>21.0</v>
      </c>
      <c r="P1755" s="2">
        <v>0.0</v>
      </c>
      <c r="Q1755" s="2">
        <v>4.0</v>
      </c>
      <c r="R1755" s="2">
        <v>0.0</v>
      </c>
      <c r="S1755" s="3" t="s">
        <v>7190</v>
      </c>
      <c r="T1755" s="2" t="s">
        <v>7191</v>
      </c>
      <c r="Y1755" s="4" t="str">
        <f>IFERROR(__xludf.DUMMYFUNCTION("""COMPUTED_VALUE"""),"7.6352741")</f>
        <v>7.6352741</v>
      </c>
      <c r="Z1755" s="4" t="str">
        <f>IFERROR(__xludf.DUMMYFUNCTION("""COMPUTED_VALUE"""),"2.7481176")</f>
        <v>2.7481176</v>
      </c>
      <c r="AA1755" s="4" t="str">
        <f t="shared" si="1"/>
        <v>Not Neighbor</v>
      </c>
      <c r="AC1755" s="4">
        <f>IFERROR(__xludf.DUMMYFUNCTION("IFERROR(ABS(O1755-AVERAGE(FILTER(O1755:O5823,AA1755:AA5823=""Neighbor""))) / STDEV(FILTER(O1755:O5823, AA1755:AA5823 =""Neighbor"")), """")"),0.9175303525533114)</f>
        <v>0.9175303526</v>
      </c>
      <c r="AD1755" s="4">
        <f>IFERROR(__xludf.DUMMYFUNCTION("IFERROR(ABS(P1755-AVERAGE(FILTER(O1755:P5823,AA1755:AA5823=""Neighbor""))) / STDEV(FILTER(P1755:P5823, AA1755:AA5823 =""Neighbor"")), """")"),1.5941633952038539)</f>
        <v>1.594163395</v>
      </c>
      <c r="AE1755" s="2">
        <f>IFERROR(__xludf.DUMMYFUNCTION("IFERROR(ABS(Q1755-AVERAGE(FILTER(Q1755:Q5823,AA1755:AA5823=""Neighbor""))) / STDEV(FILTER(Q1755:Q5823, AA1755:AA5823 =""Neighbor"")), """")"),0.761649656210777)</f>
        <v>0.7616496562</v>
      </c>
      <c r="AF1755" s="2">
        <f>IFERROR(__xludf.DUMMYFUNCTION("IFERROR(ABS(R1755-AVERAGE(FILTER(R1755:R5823,AA1755:AA5823=""Neighbor""))) / STDEV(FILTER(R1755:R5823, AA1755:AA5823 =""Neighbor"")), """")"),0.3547075644524915)</f>
        <v>0.3547075645</v>
      </c>
    </row>
    <row r="1756">
      <c r="A1756" s="2" t="s">
        <v>28</v>
      </c>
      <c r="B1756" s="2" t="s">
        <v>7043</v>
      </c>
      <c r="C1756" s="2" t="s">
        <v>7192</v>
      </c>
      <c r="D1756" s="2" t="s">
        <v>7193</v>
      </c>
      <c r="E1756" s="2" t="s">
        <v>7194</v>
      </c>
      <c r="F1756" s="2">
        <v>195.0</v>
      </c>
      <c r="G1756" s="2">
        <v>970.0</v>
      </c>
      <c r="H1756" s="2" t="b">
        <v>1</v>
      </c>
      <c r="I1756" s="2">
        <v>-1.0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s">
        <v>33</v>
      </c>
      <c r="O1756" s="2">
        <v>102.0</v>
      </c>
      <c r="P1756" s="2">
        <v>34.0</v>
      </c>
      <c r="Q1756" s="2">
        <v>42.0</v>
      </c>
      <c r="R1756" s="2">
        <v>1.0</v>
      </c>
      <c r="S1756" s="3" t="s">
        <v>7195</v>
      </c>
      <c r="T1756" s="2" t="s">
        <v>7196</v>
      </c>
      <c r="Y1756" s="4" t="str">
        <f>IFERROR(__xludf.DUMMYFUNCTION("""COMPUTED_VALUE"""),"7.416667")</f>
        <v>7.416667</v>
      </c>
      <c r="Z1756" s="4" t="str">
        <f>IFERROR(__xludf.DUMMYFUNCTION("""COMPUTED_VALUE"""),"2.75")</f>
        <v>2.75</v>
      </c>
      <c r="AA1756" s="4" t="str">
        <f t="shared" si="1"/>
        <v>Neighbor</v>
      </c>
      <c r="AC1756" s="4">
        <f>IFERROR(__xludf.DUMMYFUNCTION("IFERROR(ABS(O1756-AVERAGE(FILTER(O1756:O5824,AA1756:AA5824=""Neighbor""))) / STDEV(FILTER(O1756:O5824, AA1756:AA5824 =""Neighbor"")), """")"),1.257893336790795)</f>
        <v>1.257893337</v>
      </c>
      <c r="AD1756" s="4">
        <f>IFERROR(__xludf.DUMMYFUNCTION("IFERROR(ABS(P1756-AVERAGE(FILTER(O1756:P5824,AA1756:AA5824=""Neighbor""))) / STDEV(FILTER(P1756:P5824, AA1756:AA5824 =""Neighbor"")), """")"),0.0689066798810448)</f>
        <v>0.06890667988</v>
      </c>
      <c r="AE1756" s="2">
        <f>IFERROR(__xludf.DUMMYFUNCTION("IFERROR(ABS(Q1756-AVERAGE(FILTER(Q1756:Q5824,AA1756:AA5824=""Neighbor""))) / STDEV(FILTER(Q1756:Q5824, AA1756:AA5824 =""Neighbor"")), """")"),0.773552468382211)</f>
        <v>0.7735524684</v>
      </c>
      <c r="AF1756" s="2">
        <f>IFERROR(__xludf.DUMMYFUNCTION("IFERROR(ABS(R1756-AVERAGE(FILTER(R1756:R5824,AA1756:AA5824=""Neighbor""))) / STDEV(FILTER(R1756:R5824, AA1756:AA5824 =""Neighbor"")), """")"),0.8192356203902742)</f>
        <v>0.8192356204</v>
      </c>
    </row>
    <row r="1757">
      <c r="A1757" s="2" t="s">
        <v>28</v>
      </c>
      <c r="B1757" s="2" t="s">
        <v>7043</v>
      </c>
      <c r="C1757" s="2" t="s">
        <v>7192</v>
      </c>
      <c r="D1757" s="2" t="s">
        <v>7197</v>
      </c>
      <c r="E1757" s="2" t="s">
        <v>7198</v>
      </c>
      <c r="F1757" s="2">
        <v>135.0</v>
      </c>
      <c r="G1757" s="2">
        <v>640.0</v>
      </c>
      <c r="H1757" s="2" t="b">
        <v>1</v>
      </c>
      <c r="I1757" s="2">
        <v>-1.0</v>
      </c>
      <c r="J1757" s="2" t="b">
        <v>0</v>
      </c>
      <c r="K1757" s="2" t="b">
        <v>0</v>
      </c>
      <c r="L1757" s="2" t="b">
        <v>0</v>
      </c>
      <c r="M1757" s="2" t="b">
        <v>0</v>
      </c>
      <c r="N1757" s="2" t="s">
        <v>33</v>
      </c>
      <c r="O1757" s="2">
        <v>85.0</v>
      </c>
      <c r="P1757" s="2">
        <v>8.0</v>
      </c>
      <c r="Q1757" s="2">
        <v>31.0</v>
      </c>
      <c r="R1757" s="2">
        <v>1.0</v>
      </c>
      <c r="S1757" s="3" t="s">
        <v>7199</v>
      </c>
      <c r="T1757" s="2" t="s">
        <v>7200</v>
      </c>
      <c r="Y1757" s="4" t="str">
        <f>IFERROR(__xludf.DUMMYFUNCTION("""COMPUTED_VALUE"""),"7.416667")</f>
        <v>7.416667</v>
      </c>
      <c r="Z1757" s="4" t="str">
        <f>IFERROR(__xludf.DUMMYFUNCTION("""COMPUTED_VALUE"""),"2.75")</f>
        <v>2.75</v>
      </c>
      <c r="AA1757" s="4" t="str">
        <f t="shared" si="1"/>
        <v>Not Neighbor</v>
      </c>
      <c r="AC1757" s="4">
        <f>IFERROR(__xludf.DUMMYFUNCTION("IFERROR(ABS(O1757-AVERAGE(FILTER(O1757:O5825,AA1757:AA5825=""Neighbor""))) / STDEV(FILTER(O1757:O5825, AA1757:AA5825 =""Neighbor"")), """")"),0.8029296475193565)</f>
        <v>0.8029296475</v>
      </c>
      <c r="AD1757" s="4">
        <f>IFERROR(__xludf.DUMMYFUNCTION("IFERROR(ABS(P1757-AVERAGE(FILTER(O1757:P5825,AA1757:AA5825=""Neighbor""))) / STDEV(FILTER(P1757:P5825, AA1757:AA5825 =""Neighbor"")), """")"),1.2334854595064464)</f>
        <v>1.23348546</v>
      </c>
      <c r="AE1757" s="2">
        <f>IFERROR(__xludf.DUMMYFUNCTION("IFERROR(ABS(Q1757-AVERAGE(FILTER(Q1757:Q5825,AA1757:AA5825=""Neighbor""))) / STDEV(FILTER(Q1757:Q5825, AA1757:AA5825 =""Neighbor"")), """")"),0.3299132584046088)</f>
        <v>0.3299132584</v>
      </c>
      <c r="AF1757" s="2">
        <f>IFERROR(__xludf.DUMMYFUNCTION("IFERROR(ABS(R1757-AVERAGE(FILTER(R1757:R5825,AA1757:AA5825=""Neighbor""))) / STDEV(FILTER(R1757:R5825, AA1757:AA5825 =""Neighbor"")), """")"),0.8199725133260098)</f>
        <v>0.8199725133</v>
      </c>
    </row>
    <row r="1758">
      <c r="A1758" s="2" t="s">
        <v>28</v>
      </c>
      <c r="B1758" s="2" t="s">
        <v>7043</v>
      </c>
      <c r="C1758" s="2" t="s">
        <v>7192</v>
      </c>
      <c r="D1758" s="2" t="s">
        <v>7201</v>
      </c>
      <c r="E1758" s="2" t="s">
        <v>7202</v>
      </c>
      <c r="F1758" s="2">
        <v>239.0</v>
      </c>
      <c r="G1758" s="2">
        <v>992.0</v>
      </c>
      <c r="H1758" s="2" t="b">
        <v>1</v>
      </c>
      <c r="I1758" s="2">
        <v>-1.0</v>
      </c>
      <c r="J1758" s="2" t="b">
        <v>0</v>
      </c>
      <c r="K1758" s="2" t="b">
        <v>0</v>
      </c>
      <c r="L1758" s="2" t="b">
        <v>0</v>
      </c>
      <c r="M1758" s="2" t="b">
        <v>0</v>
      </c>
      <c r="N1758" s="2" t="s">
        <v>33</v>
      </c>
      <c r="O1758" s="2">
        <v>128.0</v>
      </c>
      <c r="P1758" s="2">
        <v>17.0</v>
      </c>
      <c r="Q1758" s="2">
        <v>74.0</v>
      </c>
      <c r="R1758" s="2">
        <v>2.0</v>
      </c>
      <c r="S1758" s="3" t="s">
        <v>7203</v>
      </c>
      <c r="T1758" s="2" t="s">
        <v>7204</v>
      </c>
      <c r="Y1758" s="4" t="str">
        <f>IFERROR(__xludf.DUMMYFUNCTION("""COMPUTED_VALUE"""),"7.3918402")</f>
        <v>7.3918402</v>
      </c>
      <c r="Z1758" s="4" t="str">
        <f>IFERROR(__xludf.DUMMYFUNCTION("""COMPUTED_VALUE"""),"2.7530936")</f>
        <v>2.7530936</v>
      </c>
      <c r="AA1758" s="4" t="str">
        <f t="shared" si="1"/>
        <v>Neighbor</v>
      </c>
      <c r="AC1758" s="4">
        <f>IFERROR(__xludf.DUMMYFUNCTION("IFERROR(ABS(O1758-AVERAGE(FILTER(O1758:O5826,AA1758:AA5826=""Neighbor""))) / STDEV(FILTER(O1758:O5826, AA1758:AA5826 =""Neighbor"")), """")"),1.9581477505071374)</f>
        <v>1.958147751</v>
      </c>
      <c r="AD1758" s="4">
        <f>IFERROR(__xludf.DUMMYFUNCTION("IFERROR(ABS(P1758-AVERAGE(FILTER(O1758:P5826,AA1758:AA5826=""Neighbor""))) / STDEV(FILTER(P1758:P5826, AA1758:AA5826 =""Neighbor"")), """")"),0.8298151098994871)</f>
        <v>0.8298151099</v>
      </c>
      <c r="AE1758" s="2">
        <f>IFERROR(__xludf.DUMMYFUNCTION("IFERROR(ABS(Q1758-AVERAGE(FILTER(Q1758:Q5826,AA1758:AA5826=""Neighbor""))) / STDEV(FILTER(Q1758:Q5826, AA1758:AA5826 =""Neighbor"")), """")"),2.0667404768401534)</f>
        <v>2.066740477</v>
      </c>
      <c r="AF1758" s="2">
        <f>IFERROR(__xludf.DUMMYFUNCTION("IFERROR(ABS(R1758-AVERAGE(FILTER(R1758:R5826,AA1758:AA5826=""Neighbor""))) / STDEV(FILTER(R1758:R5826, AA1758:AA5826 =""Neighbor"")), """")"),1.9937082065153215)</f>
        <v>1.993708207</v>
      </c>
    </row>
    <row r="1759">
      <c r="A1759" s="2" t="s">
        <v>28</v>
      </c>
      <c r="B1759" s="2" t="s">
        <v>7043</v>
      </c>
      <c r="C1759" s="2" t="s">
        <v>7192</v>
      </c>
      <c r="D1759" s="2" t="s">
        <v>7205</v>
      </c>
      <c r="E1759" s="2" t="s">
        <v>7206</v>
      </c>
      <c r="F1759" s="2">
        <v>124.0</v>
      </c>
      <c r="G1759" s="2">
        <v>742.0</v>
      </c>
      <c r="H1759" s="2" t="b">
        <v>1</v>
      </c>
      <c r="I1759" s="2">
        <v>-1.0</v>
      </c>
      <c r="J1759" s="2" t="b">
        <v>0</v>
      </c>
      <c r="K1759" s="2" t="b">
        <v>1</v>
      </c>
      <c r="L1759" s="2" t="b">
        <v>0</v>
      </c>
      <c r="M1759" s="2" t="b">
        <v>0</v>
      </c>
      <c r="N1759" s="2" t="s">
        <v>33</v>
      </c>
      <c r="O1759" s="2">
        <v>76.0</v>
      </c>
      <c r="P1759" s="2">
        <v>3.0</v>
      </c>
      <c r="Q1759" s="2">
        <v>31.0</v>
      </c>
      <c r="R1759" s="2">
        <v>0.0</v>
      </c>
      <c r="S1759" s="3" t="s">
        <v>7207</v>
      </c>
      <c r="T1759" s="2" t="s">
        <v>7208</v>
      </c>
      <c r="Y1759" s="4" t="str">
        <f>IFERROR(__xludf.DUMMYFUNCTION("""COMPUTED_VALUE"""),"7.3918402")</f>
        <v>7.3918402</v>
      </c>
      <c r="Z1759" s="4" t="str">
        <f>IFERROR(__xludf.DUMMYFUNCTION("""COMPUTED_VALUE"""),"2.7530936")</f>
        <v>2.7530936</v>
      </c>
      <c r="AA1759" s="4" t="str">
        <f t="shared" si="1"/>
        <v>Neighbor</v>
      </c>
      <c r="AC1759" s="4">
        <f>IFERROR(__xludf.DUMMYFUNCTION("IFERROR(ABS(O1759-AVERAGE(FILTER(O1759:O5827,AA1759:AA5827=""Neighbor""))) / STDEV(FILTER(O1759:O5827, AA1759:AA5827 =""Neighbor"")), """")"),0.5641142061482713)</f>
        <v>0.5641142061</v>
      </c>
      <c r="AD1759" s="4">
        <f>IFERROR(__xludf.DUMMYFUNCTION("IFERROR(ABS(P1759-AVERAGE(FILTER(O1759:P5827,AA1759:AA5827=""Neighbor""))) / STDEV(FILTER(P1759:P5827, AA1759:AA5827 =""Neighbor"")), """")"),1.4551758029384754)</f>
        <v>1.455175803</v>
      </c>
      <c r="AE1759" s="2">
        <f>IFERROR(__xludf.DUMMYFUNCTION("IFERROR(ABS(Q1759-AVERAGE(FILTER(Q1759:Q5827,AA1759:AA5827=""Neighbor""))) / STDEV(FILTER(Q1759:Q5827, AA1759:AA5827 =""Neighbor"")), """")"),0.3327288017690119)</f>
        <v>0.3327288018</v>
      </c>
      <c r="AF1759" s="2">
        <f>IFERROR(__xludf.DUMMYFUNCTION("IFERROR(ABS(R1759-AVERAGE(FILTER(R1759:R5827,AA1759:AA5827=""Neighbor""))) / STDEV(FILTER(R1759:R5827, AA1759:AA5827 =""Neighbor"")), """")"),0.3521811556944744)</f>
        <v>0.3521811557</v>
      </c>
    </row>
    <row r="1760">
      <c r="A1760" s="2" t="s">
        <v>28</v>
      </c>
      <c r="B1760" s="2" t="s">
        <v>7043</v>
      </c>
      <c r="C1760" s="2" t="s">
        <v>7192</v>
      </c>
      <c r="D1760" s="2" t="s">
        <v>7209</v>
      </c>
      <c r="E1760" s="2" t="s">
        <v>7210</v>
      </c>
      <c r="F1760" s="2">
        <v>187.0</v>
      </c>
      <c r="G1760" s="2">
        <v>888.0</v>
      </c>
      <c r="H1760" s="2" t="b">
        <v>1</v>
      </c>
      <c r="I1760" s="2">
        <v>-1.0</v>
      </c>
      <c r="J1760" s="2" t="b">
        <v>1</v>
      </c>
      <c r="K1760" s="2" t="b">
        <v>0</v>
      </c>
      <c r="L1760" s="2" t="b">
        <v>0</v>
      </c>
      <c r="M1760" s="2" t="b">
        <v>0</v>
      </c>
      <c r="N1760" s="2" t="s">
        <v>33</v>
      </c>
      <c r="O1760" s="2">
        <v>82.0</v>
      </c>
      <c r="P1760" s="2">
        <v>7.0</v>
      </c>
      <c r="Q1760" s="2">
        <v>68.0</v>
      </c>
      <c r="R1760" s="2">
        <v>0.0</v>
      </c>
      <c r="S1760" s="3" t="s">
        <v>7211</v>
      </c>
      <c r="T1760" s="2" t="s">
        <v>7212</v>
      </c>
      <c r="Y1760" s="4" t="str">
        <f>IFERROR(__xludf.DUMMYFUNCTION("""COMPUTED_VALUE"""),"7.3918402")</f>
        <v>7.3918402</v>
      </c>
      <c r="Z1760" s="4" t="str">
        <f>IFERROR(__xludf.DUMMYFUNCTION("""COMPUTED_VALUE"""),"2.7530936")</f>
        <v>2.7530936</v>
      </c>
      <c r="AA1760" s="4" t="str">
        <f t="shared" si="1"/>
        <v>Neighbor</v>
      </c>
      <c r="AC1760" s="4">
        <f>IFERROR(__xludf.DUMMYFUNCTION("IFERROR(ABS(O1760-AVERAGE(FILTER(O1760:O5828,AA1760:AA5828=""Neighbor""))) / STDEV(FILTER(O1760:O5828, AA1760:AA5828 =""Neighbor"")), """")"),0.7258962824185423)</f>
        <v>0.7258962824</v>
      </c>
      <c r="AD1760" s="4">
        <f>IFERROR(__xludf.DUMMYFUNCTION("IFERROR(ABS(P1760-AVERAGE(FILTER(O1760:P5828,AA1760:AA5828=""Neighbor""))) / STDEV(FILTER(P1760:P5828, AA1760:AA5828 =""Neighbor"")), """")"),1.2752095030411161)</f>
        <v>1.275209503</v>
      </c>
      <c r="AE1760" s="2">
        <f>IFERROR(__xludf.DUMMYFUNCTION("IFERROR(ABS(Q1760-AVERAGE(FILTER(Q1760:Q5828,AA1760:AA5828=""Neighbor""))) / STDEV(FILTER(Q1760:Q5828, AA1760:AA5828 =""Neighbor"")), """")"),1.8293366522099217)</f>
        <v>1.829336652</v>
      </c>
      <c r="AF1760" s="2">
        <f>IFERROR(__xludf.DUMMYFUNCTION("IFERROR(ABS(R1760-AVERAGE(FILTER(R1760:R5828,AA1760:AA5828=""Neighbor""))) / STDEV(FILTER(R1760:R5828, AA1760:AA5828 =""Neighbor"")), """")"),0.35239445815409676)</f>
        <v>0.3523944582</v>
      </c>
    </row>
    <row r="1761">
      <c r="A1761" s="2" t="s">
        <v>28</v>
      </c>
      <c r="B1761" s="2" t="s">
        <v>7043</v>
      </c>
      <c r="C1761" s="2" t="s">
        <v>7192</v>
      </c>
      <c r="D1761" s="2" t="s">
        <v>7213</v>
      </c>
      <c r="E1761" s="2" t="s">
        <v>7214</v>
      </c>
      <c r="F1761" s="2">
        <v>180.0</v>
      </c>
      <c r="G1761" s="2">
        <v>663.0</v>
      </c>
      <c r="H1761" s="2" t="b">
        <v>1</v>
      </c>
      <c r="I1761" s="2">
        <v>-1.0</v>
      </c>
      <c r="J1761" s="2" t="b">
        <v>1</v>
      </c>
      <c r="K1761" s="2" t="b">
        <v>0</v>
      </c>
      <c r="L1761" s="2" t="b">
        <v>0</v>
      </c>
      <c r="M1761" s="2" t="b">
        <v>0</v>
      </c>
      <c r="N1761" s="2" t="s">
        <v>33</v>
      </c>
      <c r="O1761" s="2">
        <v>137.0</v>
      </c>
      <c r="P1761" s="2">
        <v>6.0</v>
      </c>
      <c r="Q1761" s="2">
        <v>30.0</v>
      </c>
      <c r="R1761" s="2">
        <v>0.0</v>
      </c>
      <c r="S1761" s="3" t="s">
        <v>7215</v>
      </c>
      <c r="T1761" s="2" t="s">
        <v>7216</v>
      </c>
      <c r="Y1761" s="4" t="str">
        <f>IFERROR(__xludf.DUMMYFUNCTION("""COMPUTED_VALUE"""),"7.3918402")</f>
        <v>7.3918402</v>
      </c>
      <c r="Z1761" s="4" t="str">
        <f>IFERROR(__xludf.DUMMYFUNCTION("""COMPUTED_VALUE"""),"2.7530936")</f>
        <v>2.7530936</v>
      </c>
      <c r="AA1761" s="4" t="str">
        <f t="shared" si="1"/>
        <v>Not Neighbor</v>
      </c>
      <c r="AC1761" s="4">
        <f>IFERROR(__xludf.DUMMYFUNCTION("IFERROR(ABS(O1761-AVERAGE(FILTER(O1761:O5829,AA1761:AA5829=""Neighbor""))) / STDEV(FILTER(O1761:O5829, AA1761:AA5829 =""Neighbor"")), """")"),2.2054447328563205)</f>
        <v>2.205444733</v>
      </c>
      <c r="AD1761" s="4">
        <f>IFERROR(__xludf.DUMMYFUNCTION("IFERROR(ABS(P1761-AVERAGE(FILTER(O1761:P5829,AA1761:AA5829=""Neighbor""))) / STDEV(FILTER(P1761:P5829, AA1761:AA5829 =""Neighbor"")), """")"),1.3189846637782434)</f>
        <v>1.318984664</v>
      </c>
      <c r="AE1761" s="2">
        <f>IFERROR(__xludf.DUMMYFUNCTION("IFERROR(ABS(Q1761-AVERAGE(FILTER(Q1761:Q5829,AA1761:AA5829=""Neighbor""))) / STDEV(FILTER(Q1761:Q5829, AA1761:AA5829 =""Neighbor"")), """")"),0.2948347456097091)</f>
        <v>0.2948347456</v>
      </c>
      <c r="AF1761" s="2">
        <f>IFERROR(__xludf.DUMMYFUNCTION("IFERROR(ABS(R1761-AVERAGE(FILTER(R1761:R5829,AA1761:AA5829=""Neighbor""))) / STDEV(FILTER(R1761:R5829, AA1761:AA5829 =""Neighbor"")), """")"),0.35260814870552326)</f>
        <v>0.3526081487</v>
      </c>
    </row>
    <row r="1762">
      <c r="A1762" s="2" t="s">
        <v>28</v>
      </c>
      <c r="B1762" s="2" t="s">
        <v>7043</v>
      </c>
      <c r="C1762" s="2" t="s">
        <v>7192</v>
      </c>
      <c r="D1762" s="2" t="s">
        <v>7217</v>
      </c>
      <c r="E1762" s="2" t="s">
        <v>7218</v>
      </c>
      <c r="F1762" s="2">
        <v>135.0</v>
      </c>
      <c r="G1762" s="2">
        <v>639.0</v>
      </c>
      <c r="H1762" s="2" t="b">
        <v>1</v>
      </c>
      <c r="I1762" s="2">
        <v>-1.0</v>
      </c>
      <c r="J1762" s="2" t="b">
        <v>0</v>
      </c>
      <c r="K1762" s="2" t="b">
        <v>0</v>
      </c>
      <c r="L1762" s="2" t="b">
        <v>0</v>
      </c>
      <c r="M1762" s="2" t="b">
        <v>0</v>
      </c>
      <c r="N1762" s="2" t="s">
        <v>33</v>
      </c>
      <c r="O1762" s="2">
        <v>83.0</v>
      </c>
      <c r="P1762" s="2">
        <v>1.0</v>
      </c>
      <c r="Q1762" s="2">
        <v>39.0</v>
      </c>
      <c r="R1762" s="2">
        <v>0.0</v>
      </c>
      <c r="S1762" s="3" t="s">
        <v>7219</v>
      </c>
      <c r="T1762" s="2" t="s">
        <v>7220</v>
      </c>
      <c r="Y1762" s="4" t="str">
        <f>IFERROR(__xludf.DUMMYFUNCTION("""COMPUTED_VALUE"""),"7.354684")</f>
        <v>7.354684</v>
      </c>
      <c r="Z1762" s="4" t="str">
        <f>IFERROR(__xludf.DUMMYFUNCTION("""COMPUTED_VALUE"""),"2.788077")</f>
        <v>2.788077</v>
      </c>
      <c r="AA1762" s="4" t="str">
        <f t="shared" si="1"/>
        <v>Not Neighbor</v>
      </c>
      <c r="AC1762" s="4">
        <f>IFERROR(__xludf.DUMMYFUNCTION("IFERROR(ABS(O1762-AVERAGE(FILTER(O1762:O5830,AA1762:AA5830=""Neighbor""))) / STDEV(FILTER(O1762:O5830, AA1762:AA5830 =""Neighbor"")), """")"),0.7533846598886655)</f>
        <v>0.7533846599</v>
      </c>
      <c r="AD1762" s="4">
        <f>IFERROR(__xludf.DUMMYFUNCTION("IFERROR(ABS(P1762-AVERAGE(FILTER(O1762:P5830,AA1762:AA5830=""Neighbor""))) / STDEV(FILTER(P1762:P5830, AA1762:AA5830 =""Neighbor"")), """")"),1.5429431129968612)</f>
        <v>1.542943113</v>
      </c>
      <c r="AE1762" s="2">
        <f>IFERROR(__xludf.DUMMYFUNCTION("IFERROR(ABS(Q1762-AVERAGE(FILTER(Q1762:Q5830,AA1762:AA5830=""Neighbor""))) / STDEV(FILTER(Q1762:Q5830, AA1762:AA5830 =""Neighbor"")), """")"),0.659289324356567)</f>
        <v>0.6592893244</v>
      </c>
      <c r="AF1762" s="2">
        <f>IFERROR(__xludf.DUMMYFUNCTION("IFERROR(ABS(R1762-AVERAGE(FILTER(R1762:R5830,AA1762:AA5830=""Neighbor""))) / STDEV(FILTER(R1762:R5830, AA1762:AA5830 =""Neighbor"")), """")"),0.35260814870552326)</f>
        <v>0.3526081487</v>
      </c>
    </row>
    <row r="1763">
      <c r="A1763" s="2" t="s">
        <v>28</v>
      </c>
      <c r="B1763" s="2" t="s">
        <v>7043</v>
      </c>
      <c r="C1763" s="2" t="s">
        <v>7192</v>
      </c>
      <c r="D1763" s="2" t="s">
        <v>7221</v>
      </c>
      <c r="E1763" s="2" t="s">
        <v>7222</v>
      </c>
      <c r="F1763" s="2">
        <v>71.0</v>
      </c>
      <c r="G1763" s="2">
        <v>418.0</v>
      </c>
      <c r="H1763" s="2" t="b">
        <v>1</v>
      </c>
      <c r="I1763" s="2">
        <v>-1.0</v>
      </c>
      <c r="J1763" s="2" t="b">
        <v>0</v>
      </c>
      <c r="K1763" s="2" t="b">
        <v>1</v>
      </c>
      <c r="L1763" s="2" t="b">
        <v>0</v>
      </c>
      <c r="M1763" s="2" t="b">
        <v>0</v>
      </c>
      <c r="N1763" s="2" t="s">
        <v>33</v>
      </c>
      <c r="O1763" s="2">
        <v>35.0</v>
      </c>
      <c r="P1763" s="2">
        <v>4.0</v>
      </c>
      <c r="Q1763" s="2">
        <v>29.0</v>
      </c>
      <c r="R1763" s="2">
        <v>0.0</v>
      </c>
      <c r="S1763" s="3" t="s">
        <v>7223</v>
      </c>
      <c r="T1763" s="2" t="s">
        <v>7224</v>
      </c>
      <c r="Y1763" s="4" t="str">
        <f>IFERROR(__xludf.DUMMYFUNCTION("""COMPUTED_VALUE"""),"7.3918402")</f>
        <v>7.3918402</v>
      </c>
      <c r="Z1763" s="4" t="str">
        <f>IFERROR(__xludf.DUMMYFUNCTION("""COMPUTED_VALUE"""),"2.7530936")</f>
        <v>2.7530936</v>
      </c>
      <c r="AA1763" s="4" t="str">
        <f t="shared" si="1"/>
        <v>Not Neighbor</v>
      </c>
      <c r="AC1763" s="4">
        <f>IFERROR(__xludf.DUMMYFUNCTION("IFERROR(ABS(O1763-AVERAGE(FILTER(O1763:O5831,AA1763:AA5831=""Neighbor""))) / STDEV(FILTER(O1763:O5831, AA1763:AA5831 =""Neighbor"")), """")"),0.537335404971472)</f>
        <v>0.537335405</v>
      </c>
      <c r="AD1763" s="4">
        <f>IFERROR(__xludf.DUMMYFUNCTION("IFERROR(ABS(P1763-AVERAGE(FILTER(O1763:P5831,AA1763:AA5831=""Neighbor""))) / STDEV(FILTER(P1763:P5831, AA1763:AA5831 =""Neighbor"")), """")"),1.4085680434656904)</f>
        <v>1.408568043</v>
      </c>
      <c r="AE1763" s="2">
        <f>IFERROR(__xludf.DUMMYFUNCTION("IFERROR(ABS(Q1763-AVERAGE(FILTER(Q1763:Q5831,AA1763:AA5831=""Neighbor""))) / STDEV(FILTER(Q1763:Q5831, AA1763:AA5831 =""Neighbor"")), """")"),0.2543397924156138)</f>
        <v>0.2543397924</v>
      </c>
      <c r="AF1763" s="2">
        <f>IFERROR(__xludf.DUMMYFUNCTION("IFERROR(ABS(R1763-AVERAGE(FILTER(R1763:R5831,AA1763:AA5831=""Neighbor""))) / STDEV(FILTER(R1763:R5831, AA1763:AA5831 =""Neighbor"")), """")"),0.35260814870552326)</f>
        <v>0.3526081487</v>
      </c>
    </row>
    <row r="1764">
      <c r="A1764" s="2" t="s">
        <v>28</v>
      </c>
      <c r="B1764" s="2" t="s">
        <v>7043</v>
      </c>
      <c r="C1764" s="2" t="s">
        <v>7225</v>
      </c>
      <c r="D1764" s="2" t="s">
        <v>7226</v>
      </c>
      <c r="E1764" s="2" t="s">
        <v>7227</v>
      </c>
      <c r="F1764" s="2">
        <v>215.0</v>
      </c>
      <c r="G1764" s="2">
        <v>720.0</v>
      </c>
      <c r="H1764" s="2" t="b">
        <v>1</v>
      </c>
      <c r="I1764" s="2">
        <v>-1.0</v>
      </c>
      <c r="J1764" s="2" t="b">
        <v>1</v>
      </c>
      <c r="K1764" s="2" t="b">
        <v>0</v>
      </c>
      <c r="L1764" s="2" t="b">
        <v>0</v>
      </c>
      <c r="M1764" s="2" t="b">
        <v>0</v>
      </c>
      <c r="N1764" s="2" t="s">
        <v>33</v>
      </c>
      <c r="O1764" s="2">
        <v>125.0</v>
      </c>
      <c r="P1764" s="2">
        <v>3.0</v>
      </c>
      <c r="Q1764" s="2">
        <v>61.0</v>
      </c>
      <c r="R1764" s="2">
        <v>0.0</v>
      </c>
      <c r="S1764" s="3" t="s">
        <v>7228</v>
      </c>
      <c r="T1764" s="2" t="s">
        <v>7229</v>
      </c>
      <c r="Y1764" s="4" t="str">
        <f>IFERROR(__xludf.DUMMYFUNCTION("""COMPUTED_VALUE"""),"7.4323048")</f>
        <v>7.4323048</v>
      </c>
      <c r="Z1764" s="4" t="str">
        <f>IFERROR(__xludf.DUMMYFUNCTION("""COMPUTED_VALUE"""),"2.9355812")</f>
        <v>2.9355812</v>
      </c>
      <c r="AA1764" s="4" t="str">
        <f t="shared" si="1"/>
        <v>Neighbor</v>
      </c>
      <c r="AC1764" s="4">
        <f>IFERROR(__xludf.DUMMYFUNCTION("IFERROR(ABS(O1764-AVERAGE(FILTER(O1764:O5832,AA1764:AA5832=""Neighbor""))) / STDEV(FILTER(O1764:O5832, AA1764:AA5832 =""Neighbor"")), """")"),1.882764716641286)</f>
        <v>1.882764717</v>
      </c>
      <c r="AD1764" s="4">
        <f>IFERROR(__xludf.DUMMYFUNCTION("IFERROR(ABS(P1764-AVERAGE(FILTER(O1764:P5832,AA1764:AA5832=""Neighbor""))) / STDEV(FILTER(P1764:P5832, AA1764:AA5832 =""Neighbor"")), """")"),1.4533597333094141)</f>
        <v>1.453359733</v>
      </c>
      <c r="AE1764" s="2">
        <f>IFERROR(__xludf.DUMMYFUNCTION("IFERROR(ABS(Q1764-AVERAGE(FILTER(Q1764:Q5832,AA1764:AA5832=""Neighbor""))) / STDEV(FILTER(Q1764:Q5832, AA1764:AA5832 =""Neighbor"")), """")"),1.5501782946266642)</f>
        <v>1.550178295</v>
      </c>
      <c r="AF1764" s="2">
        <f>IFERROR(__xludf.DUMMYFUNCTION("IFERROR(ABS(R1764-AVERAGE(FILTER(R1764:R5832,AA1764:AA5832=""Neighbor""))) / STDEV(FILTER(R1764:R5832, AA1764:AA5832 =""Neighbor"")), """")"),0.35260814870552326)</f>
        <v>0.3526081487</v>
      </c>
    </row>
    <row r="1765">
      <c r="A1765" s="2" t="s">
        <v>28</v>
      </c>
      <c r="B1765" s="2" t="s">
        <v>7043</v>
      </c>
      <c r="C1765" s="2" t="s">
        <v>7225</v>
      </c>
      <c r="D1765" s="2" t="s">
        <v>7230</v>
      </c>
      <c r="E1765" s="2" t="s">
        <v>7231</v>
      </c>
      <c r="F1765" s="2">
        <v>186.0</v>
      </c>
      <c r="G1765" s="2">
        <v>628.0</v>
      </c>
      <c r="H1765" s="2" t="b">
        <v>1</v>
      </c>
      <c r="I1765" s="2">
        <v>-1.0</v>
      </c>
      <c r="J1765" s="2" t="b">
        <v>1</v>
      </c>
      <c r="K1765" s="2" t="b">
        <v>0</v>
      </c>
      <c r="L1765" s="2" t="b">
        <v>0</v>
      </c>
      <c r="M1765" s="2" t="b">
        <v>0</v>
      </c>
      <c r="N1765" s="2" t="s">
        <v>33</v>
      </c>
      <c r="O1765" s="2">
        <v>121.0</v>
      </c>
      <c r="P1765" s="2">
        <v>0.0</v>
      </c>
      <c r="Q1765" s="2">
        <v>50.0</v>
      </c>
      <c r="R1765" s="2">
        <v>4.0</v>
      </c>
      <c r="S1765" s="3" t="s">
        <v>7232</v>
      </c>
      <c r="T1765" s="2" t="s">
        <v>7233</v>
      </c>
      <c r="Y1765" s="4" t="str">
        <f>IFERROR(__xludf.DUMMYFUNCTION("""COMPUTED_VALUE"""),"7.4305251")</f>
        <v>7.4305251</v>
      </c>
      <c r="Z1765" s="4" t="str">
        <f>IFERROR(__xludf.DUMMYFUNCTION("""COMPUTED_VALUE"""),"2.9332029")</f>
        <v>2.9332029</v>
      </c>
      <c r="AA1765" s="4" t="str">
        <f t="shared" si="1"/>
        <v>Neighbor</v>
      </c>
      <c r="AC1765" s="4">
        <f>IFERROR(__xludf.DUMMYFUNCTION("IFERROR(ABS(O1765-AVERAGE(FILTER(O1765:O5833,AA1765:AA5833=""Neighbor""))) / STDEV(FILTER(O1765:O5833, AA1765:AA5833 =""Neighbor"")), """")"),1.779696262739625)</f>
        <v>1.779696263</v>
      </c>
      <c r="AD1765" s="4">
        <f>IFERROR(__xludf.DUMMYFUNCTION("IFERROR(ABS(P1765-AVERAGE(FILTER(O1765:P5833,AA1765:AA5833=""Neighbor""))) / STDEV(FILTER(P1765:P5833, AA1765:AA5833 =""Neighbor"")), """")"),1.5857814810799407)</f>
        <v>1.585781481</v>
      </c>
      <c r="AE1765" s="2">
        <f>IFERROR(__xludf.DUMMYFUNCTION("IFERROR(ABS(Q1765-AVERAGE(FILTER(Q1765:Q5833,AA1765:AA5833=""Neighbor""))) / STDEV(FILTER(Q1765:Q5833, AA1765:AA5833 =""Neighbor"")), """")"),1.1072522115541445)</f>
        <v>1.107252212</v>
      </c>
      <c r="AF1765" s="2">
        <f>IFERROR(__xludf.DUMMYFUNCTION("IFERROR(ABS(R1765-AVERAGE(FILTER(R1765:R5833,AA1765:AA5833=""Neighbor""))) / STDEV(FILTER(R1765:R5833, AA1765:AA5833 =""Neighbor"")), """")"),4.343013187122339)</f>
        <v>4.343013187</v>
      </c>
    </row>
    <row r="1766">
      <c r="A1766" s="2" t="s">
        <v>28</v>
      </c>
      <c r="B1766" s="2" t="s">
        <v>7043</v>
      </c>
      <c r="C1766" s="2" t="s">
        <v>7225</v>
      </c>
      <c r="D1766" s="2" t="s">
        <v>7234</v>
      </c>
      <c r="E1766" s="2" t="s">
        <v>7235</v>
      </c>
      <c r="F1766" s="2">
        <v>219.0</v>
      </c>
      <c r="G1766" s="2">
        <v>823.0</v>
      </c>
      <c r="H1766" s="2" t="b">
        <v>1</v>
      </c>
      <c r="I1766" s="2">
        <v>-1.0</v>
      </c>
      <c r="J1766" s="2" t="b">
        <v>1</v>
      </c>
      <c r="K1766" s="2" t="b">
        <v>0</v>
      </c>
      <c r="L1766" s="2" t="b">
        <v>0</v>
      </c>
      <c r="M1766" s="2" t="b">
        <v>0</v>
      </c>
      <c r="N1766" s="2" t="s">
        <v>33</v>
      </c>
      <c r="O1766" s="2">
        <v>99.0</v>
      </c>
      <c r="P1766" s="2">
        <v>0.0</v>
      </c>
      <c r="Q1766" s="2">
        <v>104.0</v>
      </c>
      <c r="R1766" s="2">
        <v>0.0</v>
      </c>
      <c r="S1766" s="3" t="s">
        <v>7236</v>
      </c>
      <c r="T1766" s="2" t="s">
        <v>7237</v>
      </c>
      <c r="Y1766" s="4" t="str">
        <f>IFERROR(__xludf.DUMMYFUNCTION("""COMPUTED_VALUE"""),"7.4305251")</f>
        <v>7.4305251</v>
      </c>
      <c r="Z1766" s="4" t="str">
        <f>IFERROR(__xludf.DUMMYFUNCTION("""COMPUTED_VALUE"""),"2.9332029")</f>
        <v>2.9332029</v>
      </c>
      <c r="AA1766" s="4" t="str">
        <f t="shared" si="1"/>
        <v>Neighbor</v>
      </c>
      <c r="AC1766" s="4">
        <f>IFERROR(__xludf.DUMMYFUNCTION("IFERROR(ABS(O1766-AVERAGE(FILTER(O1766:O5834,AA1766:AA5834=""Neighbor""))) / STDEV(FILTER(O1766:O5834, AA1766:AA5834 =""Neighbor"")), """")"),1.190625656421182)</f>
        <v>1.190625656</v>
      </c>
      <c r="AD1766" s="4">
        <f>IFERROR(__xludf.DUMMYFUNCTION("IFERROR(ABS(P1766-AVERAGE(FILTER(O1766:P5834,AA1766:AA5834=""Neighbor""))) / STDEV(FILTER(P1766:P5834, AA1766:AA5834 =""Neighbor"")), """")"),1.584144680510088)</f>
        <v>1.584144681</v>
      </c>
      <c r="AE1766" s="2">
        <f>IFERROR(__xludf.DUMMYFUNCTION("IFERROR(ABS(Q1766-AVERAGE(FILTER(Q1766:Q5834,AA1766:AA5834=""Neighbor""))) / STDEV(FILTER(Q1766:Q5834, AA1766:AA5834 =""Neighbor"")), """")"),3.297249287377336)</f>
        <v>3.297249287</v>
      </c>
      <c r="AF1766" s="2">
        <f>IFERROR(__xludf.DUMMYFUNCTION("IFERROR(ABS(R1766-AVERAGE(FILTER(R1766:R5834,AA1766:AA5834=""Neighbor""))) / STDEV(FILTER(R1766:R5834, AA1766:AA5834 =""Neighbor"")), """")"),0.35154405604183764)</f>
        <v>0.351544056</v>
      </c>
    </row>
    <row r="1767">
      <c r="A1767" s="2" t="s">
        <v>28</v>
      </c>
      <c r="B1767" s="2" t="s">
        <v>7043</v>
      </c>
      <c r="C1767" s="2" t="s">
        <v>7225</v>
      </c>
      <c r="D1767" s="2" t="s">
        <v>7238</v>
      </c>
      <c r="E1767" s="2" t="s">
        <v>7239</v>
      </c>
      <c r="F1767" s="2">
        <v>181.0</v>
      </c>
      <c r="G1767" s="2">
        <v>629.0</v>
      </c>
      <c r="H1767" s="2" t="b">
        <v>1</v>
      </c>
      <c r="I1767" s="2">
        <v>-1.0</v>
      </c>
      <c r="J1767" s="2" t="b">
        <v>1</v>
      </c>
      <c r="K1767" s="2" t="b">
        <v>0</v>
      </c>
      <c r="L1767" s="2" t="b">
        <v>0</v>
      </c>
      <c r="M1767" s="2" t="b">
        <v>0</v>
      </c>
      <c r="N1767" s="2" t="s">
        <v>33</v>
      </c>
      <c r="O1767" s="2">
        <v>115.0</v>
      </c>
      <c r="P1767" s="2">
        <v>1.0</v>
      </c>
      <c r="Q1767" s="2">
        <v>53.0</v>
      </c>
      <c r="R1767" s="2">
        <v>0.0</v>
      </c>
      <c r="S1767" s="3" t="s">
        <v>7240</v>
      </c>
      <c r="T1767" s="2" t="s">
        <v>7241</v>
      </c>
      <c r="Y1767" s="4" t="str">
        <f>IFERROR(__xludf.DUMMYFUNCTION("""COMPUTED_VALUE"""),"7.423806")</f>
        <v>7.423806</v>
      </c>
      <c r="Z1767" s="4" t="str">
        <f>IFERROR(__xludf.DUMMYFUNCTION("""COMPUTED_VALUE"""),"2.928208")</f>
        <v>2.928208</v>
      </c>
      <c r="AA1767" s="4" t="str">
        <f t="shared" si="1"/>
        <v>Neighbor</v>
      </c>
      <c r="AC1767" s="4">
        <f>IFERROR(__xludf.DUMMYFUNCTION("IFERROR(ABS(O1767-AVERAGE(FILTER(O1767:O5835,AA1767:AA5835=""Neighbor""))) / STDEV(FILTER(O1767:O5835, AA1767:AA5835 =""Neighbor"")), """")"),1.6236268182622327)</f>
        <v>1.623626818</v>
      </c>
      <c r="AD1767" s="4">
        <f>IFERROR(__xludf.DUMMYFUNCTION("IFERROR(ABS(P1767-AVERAGE(FILTER(O1767:P5835,AA1767:AA5835=""Neighbor""))) / STDEV(FILTER(P1767:P5835, AA1767:AA5835 =""Neighbor"")), """")"),1.5382878214097766)</f>
        <v>1.538287821</v>
      </c>
      <c r="AE1767" s="2">
        <f>IFERROR(__xludf.DUMMYFUNCTION("IFERROR(ABS(Q1767-AVERAGE(FILTER(Q1767:Q5835,AA1767:AA5835=""Neighbor""))) / STDEV(FILTER(Q1767:Q5835, AA1767:AA5835 =""Neighbor"")), """")"),1.240418145220277)</f>
        <v>1.240418145</v>
      </c>
      <c r="AF1767" s="2">
        <f>IFERROR(__xludf.DUMMYFUNCTION("IFERROR(ABS(R1767-AVERAGE(FILTER(R1767:R5835,AA1767:AA5835=""Neighbor""))) / STDEV(FILTER(R1767:R5835, AA1767:AA5835 =""Neighbor"")), """")"),0.35175780887630703)</f>
        <v>0.3517578089</v>
      </c>
    </row>
    <row r="1768">
      <c r="A1768" s="2" t="s">
        <v>28</v>
      </c>
      <c r="B1768" s="2" t="s">
        <v>7043</v>
      </c>
      <c r="C1768" s="2" t="s">
        <v>7225</v>
      </c>
      <c r="D1768" s="2" t="s">
        <v>7242</v>
      </c>
      <c r="E1768" s="2" t="s">
        <v>7243</v>
      </c>
      <c r="F1768" s="2">
        <v>186.0</v>
      </c>
      <c r="G1768" s="2">
        <v>414.0</v>
      </c>
      <c r="H1768" s="2" t="b">
        <v>1</v>
      </c>
      <c r="I1768" s="2">
        <v>-1.0</v>
      </c>
      <c r="J1768" s="2" t="b">
        <v>1</v>
      </c>
      <c r="K1768" s="2" t="b">
        <v>1</v>
      </c>
      <c r="L1768" s="2" t="b">
        <v>0</v>
      </c>
      <c r="M1768" s="2" t="b">
        <v>0</v>
      </c>
      <c r="N1768" s="2" t="s">
        <v>33</v>
      </c>
      <c r="O1768" s="2">
        <v>134.0</v>
      </c>
      <c r="P1768" s="2">
        <v>5.0</v>
      </c>
      <c r="Q1768" s="2">
        <v>45.0</v>
      </c>
      <c r="R1768" s="2">
        <v>0.0</v>
      </c>
      <c r="S1768" s="3" t="s">
        <v>7244</v>
      </c>
      <c r="T1768" s="2" t="s">
        <v>7245</v>
      </c>
      <c r="Y1768" s="4" t="str">
        <f>IFERROR(__xludf.DUMMYFUNCTION("""COMPUTED_VALUE"""),"7.4305251")</f>
        <v>7.4305251</v>
      </c>
      <c r="Z1768" s="4" t="str">
        <f>IFERROR(__xludf.DUMMYFUNCTION("""COMPUTED_VALUE"""),"2.9332029")</f>
        <v>2.9332029</v>
      </c>
      <c r="AA1768" s="4" t="str">
        <f t="shared" si="1"/>
        <v>Not Neighbor</v>
      </c>
      <c r="AC1768" s="4">
        <f>IFERROR(__xludf.DUMMYFUNCTION("IFERROR(ABS(O1768-AVERAGE(FILTER(O1768:O5836,AA1768:AA5836=""Neighbor""))) / STDEV(FILTER(O1768:O5836, AA1768:AA5836 =""Neighbor"")), """")"),2.1396277476986167)</f>
        <v>2.139627748</v>
      </c>
      <c r="AD1768" s="4">
        <f>IFERROR(__xludf.DUMMYFUNCTION("IFERROR(ABS(P1768-AVERAGE(FILTER(O1768:P5836,AA1768:AA5836=""Neighbor""))) / STDEV(FILTER(P1768:P5836, AA1768:AA5836 =""Neighbor"")), """")"),1.35777616573142)</f>
        <v>1.357776166</v>
      </c>
      <c r="AE1768" s="2">
        <f>IFERROR(__xludf.DUMMYFUNCTION("IFERROR(ABS(Q1768-AVERAGE(FILTER(Q1768:Q5836,AA1768:AA5836=""Neighbor""))) / STDEV(FILTER(Q1768:Q5836, AA1768:AA5836 =""Neighbor"")), """")"),0.9160339600914004)</f>
        <v>0.9160339601</v>
      </c>
      <c r="AF1768" s="2">
        <f>IFERROR(__xludf.DUMMYFUNCTION("IFERROR(ABS(R1768-AVERAGE(FILTER(R1768:R5836,AA1768:AA5836=""Neighbor""))) / STDEV(FILTER(R1768:R5836, AA1768:AA5836 =""Neighbor"")), """")"),0.3519719521514227)</f>
        <v>0.3519719522</v>
      </c>
    </row>
    <row r="1769">
      <c r="A1769" s="2" t="s">
        <v>28</v>
      </c>
      <c r="B1769" s="2" t="s">
        <v>7043</v>
      </c>
      <c r="C1769" s="2" t="s">
        <v>7225</v>
      </c>
      <c r="D1769" s="2" t="s">
        <v>7246</v>
      </c>
      <c r="E1769" s="2" t="s">
        <v>7247</v>
      </c>
      <c r="F1769" s="2">
        <v>126.0</v>
      </c>
      <c r="G1769" s="2">
        <v>455.0</v>
      </c>
      <c r="H1769" s="2" t="b">
        <v>1</v>
      </c>
      <c r="I1769" s="2">
        <v>-1.0</v>
      </c>
      <c r="J1769" s="2" t="b">
        <v>0</v>
      </c>
      <c r="K1769" s="2" t="b">
        <v>0</v>
      </c>
      <c r="L1769" s="2" t="b">
        <v>0</v>
      </c>
      <c r="M1769" s="2" t="b">
        <v>0</v>
      </c>
      <c r="N1769" s="2" t="s">
        <v>33</v>
      </c>
      <c r="O1769" s="2">
        <v>117.0</v>
      </c>
      <c r="P1769" s="2">
        <v>0.0</v>
      </c>
      <c r="Q1769" s="2">
        <v>6.0</v>
      </c>
      <c r="R1769" s="2">
        <v>0.0</v>
      </c>
      <c r="S1769" s="3" t="s">
        <v>7248</v>
      </c>
      <c r="T1769" s="2" t="s">
        <v>7249</v>
      </c>
      <c r="Y1769" s="4" t="str">
        <f>IFERROR(__xludf.DUMMYFUNCTION("""COMPUTED_VALUE"""),"7.4034174")</f>
        <v>7.4034174</v>
      </c>
      <c r="Z1769" s="4" t="str">
        <f>IFERROR(__xludf.DUMMYFUNCTION("""COMPUTED_VALUE"""),"2.9233696")</f>
        <v>2.9233696</v>
      </c>
      <c r="AA1769" s="4" t="str">
        <f t="shared" si="1"/>
        <v>Not Neighbor</v>
      </c>
      <c r="AC1769" s="4">
        <f>IFERROR(__xludf.DUMMYFUNCTION("IFERROR(ABS(O1769-AVERAGE(FILTER(O1769:O5837,AA1769:AA5837=""Neighbor""))) / STDEV(FILTER(O1769:O5837, AA1769:AA5837 =""Neighbor"")), """")"),1.6808140924406187)</f>
        <v>1.680814092</v>
      </c>
      <c r="AD1769" s="4">
        <f>IFERROR(__xludf.DUMMYFUNCTION("IFERROR(ABS(P1769-AVERAGE(FILTER(O1769:P5837,AA1769:AA5837=""Neighbor""))) / STDEV(FILTER(P1769:P5837, AA1769:AA5837 =""Neighbor"")), """")"),1.581468114985292)</f>
        <v>1.581468115</v>
      </c>
      <c r="AE1769" s="2">
        <f>IFERROR(__xludf.DUMMYFUNCTION("IFERROR(ABS(Q1769-AVERAGE(FILTER(Q1769:Q5837,AA1769:AA5837=""Neighbor""))) / STDEV(FILTER(Q1769:Q5837, AA1769:AA5837 =""Neighbor"")), """")"),0.6736740098394189)</f>
        <v>0.6736740098</v>
      </c>
      <c r="AF1769" s="2">
        <f>IFERROR(__xludf.DUMMYFUNCTION("IFERROR(ABS(R1769-AVERAGE(FILTER(R1769:R5837,AA1769:AA5837=""Neighbor""))) / STDEV(FILTER(R1769:R5837, AA1769:AA5837 =""Neighbor"")), """")"),0.3519719521514227)</f>
        <v>0.3519719522</v>
      </c>
    </row>
    <row r="1770">
      <c r="A1770" s="2" t="s">
        <v>28</v>
      </c>
      <c r="B1770" s="2" t="s">
        <v>7043</v>
      </c>
      <c r="C1770" s="2" t="s">
        <v>7250</v>
      </c>
      <c r="D1770" s="2" t="s">
        <v>7251</v>
      </c>
      <c r="E1770" s="2" t="s">
        <v>7252</v>
      </c>
      <c r="F1770" s="2">
        <v>255.0</v>
      </c>
      <c r="G1770" s="2">
        <v>827.0</v>
      </c>
      <c r="H1770" s="2" t="b">
        <v>1</v>
      </c>
      <c r="I1770" s="2">
        <v>-1.0</v>
      </c>
      <c r="J1770" s="2" t="b">
        <v>0</v>
      </c>
      <c r="K1770" s="2" t="b">
        <v>0</v>
      </c>
      <c r="L1770" s="2" t="b">
        <v>0</v>
      </c>
      <c r="M1770" s="2" t="b">
        <v>0</v>
      </c>
      <c r="N1770" s="2" t="s">
        <v>33</v>
      </c>
      <c r="O1770" s="2">
        <v>159.0</v>
      </c>
      <c r="P1770" s="2">
        <v>0.0</v>
      </c>
      <c r="Q1770" s="2">
        <v>81.0</v>
      </c>
      <c r="R1770" s="2">
        <v>0.0</v>
      </c>
      <c r="S1770" s="3" t="s">
        <v>7253</v>
      </c>
      <c r="T1770" s="2" t="s">
        <v>7254</v>
      </c>
      <c r="Y1770" s="4" t="str">
        <f>IFERROR(__xludf.DUMMYFUNCTION("""COMPUTED_VALUE"""),"7.4967186")</f>
        <v>7.4967186</v>
      </c>
      <c r="Z1770" s="4" t="str">
        <f>IFERROR(__xludf.DUMMYFUNCTION("""COMPUTED_VALUE"""),"2.9552012")</f>
        <v>2.9552012</v>
      </c>
      <c r="AA1770" s="4" t="str">
        <f t="shared" si="1"/>
        <v>Not Neighbor</v>
      </c>
      <c r="AC1770" s="4">
        <f>IFERROR(__xludf.DUMMYFUNCTION("IFERROR(ABS(O1770-AVERAGE(FILTER(O1770:O5838,AA1770:AA5838=""Neighbor""))) / STDEV(FILTER(O1770:O5838, AA1770:AA5838 =""Neighbor"")), """")"),2.81435371131332)</f>
        <v>2.814353711</v>
      </c>
      <c r="AD1770" s="4">
        <f>IFERROR(__xludf.DUMMYFUNCTION("IFERROR(ABS(P1770-AVERAGE(FILTER(O1770:P5838,AA1770:AA5838=""Neighbor""))) / STDEV(FILTER(P1770:P5838, AA1770:AA5838 =""Neighbor"")), """")"),1.581468114985292)</f>
        <v>1.581468115</v>
      </c>
      <c r="AE1770" s="2">
        <f>IFERROR(__xludf.DUMMYFUNCTION("IFERROR(ABS(Q1770-AVERAGE(FILTER(Q1770:Q5838,AA1770:AA5838=""Neighbor""))) / STDEV(FILTER(Q1770:Q5838, AA1770:AA5838 =""Neighbor"")), """")"),2.383456701566003)</f>
        <v>2.383456702</v>
      </c>
      <c r="AF1770" s="2">
        <f>IFERROR(__xludf.DUMMYFUNCTION("IFERROR(ABS(R1770-AVERAGE(FILTER(R1770:R5838,AA1770:AA5838=""Neighbor""))) / STDEV(FILTER(R1770:R5838, AA1770:AA5838 =""Neighbor"")), """")"),0.3519719521514227)</f>
        <v>0.3519719522</v>
      </c>
    </row>
    <row r="1771">
      <c r="A1771" s="2" t="s">
        <v>28</v>
      </c>
      <c r="B1771" s="2" t="s">
        <v>7043</v>
      </c>
      <c r="C1771" s="2" t="s">
        <v>7250</v>
      </c>
      <c r="D1771" s="2" t="s">
        <v>7255</v>
      </c>
      <c r="E1771" s="2" t="s">
        <v>7256</v>
      </c>
      <c r="F1771" s="2">
        <v>230.0</v>
      </c>
      <c r="G1771" s="2">
        <v>799.0</v>
      </c>
      <c r="H1771" s="2" t="b">
        <v>1</v>
      </c>
      <c r="I1771" s="2">
        <v>-1.0</v>
      </c>
      <c r="J1771" s="2" t="b">
        <v>0</v>
      </c>
      <c r="K1771" s="2" t="b">
        <v>0</v>
      </c>
      <c r="L1771" s="2" t="b">
        <v>0</v>
      </c>
      <c r="M1771" s="2" t="b">
        <v>0</v>
      </c>
      <c r="N1771" s="2" t="s">
        <v>33</v>
      </c>
      <c r="O1771" s="2">
        <v>148.0</v>
      </c>
      <c r="P1771" s="2">
        <v>1.0</v>
      </c>
      <c r="Q1771" s="2">
        <v>74.0</v>
      </c>
      <c r="R1771" s="2">
        <v>0.0</v>
      </c>
      <c r="S1771" s="3" t="s">
        <v>7257</v>
      </c>
      <c r="T1771" s="2" t="s">
        <v>7258</v>
      </c>
      <c r="Y1771" s="4" t="str">
        <f>IFERROR(__xludf.DUMMYFUNCTION("""COMPUTED_VALUE"""),"7.5472059")</f>
        <v>7.5472059</v>
      </c>
      <c r="Z1771" s="4" t="str">
        <f>IFERROR(__xludf.DUMMYFUNCTION("""COMPUTED_VALUE"""),"2.9675572")</f>
        <v>2.9675572</v>
      </c>
      <c r="AA1771" s="4" t="str">
        <f t="shared" si="1"/>
        <v>Neighbor</v>
      </c>
      <c r="AC1771" s="4">
        <f>IFERROR(__xludf.DUMMYFUNCTION("IFERROR(ABS(O1771-AVERAGE(FILTER(O1771:O5839,AA1771:AA5839=""Neighbor""))) / STDEV(FILTER(O1771:O5839, AA1771:AA5839 =""Neighbor"")), """")"),2.5174742873228504)</f>
        <v>2.517474287</v>
      </c>
      <c r="AD1771" s="4">
        <f>IFERROR(__xludf.DUMMYFUNCTION("IFERROR(ABS(P1771-AVERAGE(FILTER(O1771:P5839,AA1771:AA5839=""Neighbor""))) / STDEV(FILTER(P1771:P5839, AA1771:AA5839 =""Neighbor"")), """")"),1.5367297251345178)</f>
        <v>1.536729725</v>
      </c>
      <c r="AE1771" s="2">
        <f>IFERROR(__xludf.DUMMYFUNCTION("IFERROR(ABS(Q1771-AVERAGE(FILTER(Q1771:Q5839,AA1771:AA5839=""Neighbor""))) / STDEV(FILTER(Q1771:Q5839, AA1771:AA5839 =""Neighbor"")), """")"),2.09812450183483)</f>
        <v>2.098124502</v>
      </c>
      <c r="AF1771" s="2">
        <f>IFERROR(__xludf.DUMMYFUNCTION("IFERROR(ABS(R1771-AVERAGE(FILTER(R1771:R5839,AA1771:AA5839=""Neighbor""))) / STDEV(FILTER(R1771:R5839, AA1771:AA5839 =""Neighbor"")), """")"),0.3519719521514227)</f>
        <v>0.3519719522</v>
      </c>
    </row>
    <row r="1772">
      <c r="A1772" s="2" t="s">
        <v>28</v>
      </c>
      <c r="B1772" s="2" t="s">
        <v>7043</v>
      </c>
      <c r="C1772" s="2" t="s">
        <v>7250</v>
      </c>
      <c r="D1772" s="2" t="s">
        <v>7259</v>
      </c>
      <c r="E1772" s="2" t="s">
        <v>7260</v>
      </c>
      <c r="F1772" s="2">
        <v>94.0</v>
      </c>
      <c r="G1772" s="2">
        <v>233.0</v>
      </c>
      <c r="H1772" s="2" t="b">
        <v>1</v>
      </c>
      <c r="I1772" s="2">
        <v>-1.0</v>
      </c>
      <c r="J1772" s="2" t="b">
        <v>1</v>
      </c>
      <c r="K1772" s="2" t="b">
        <v>0</v>
      </c>
      <c r="L1772" s="2" t="b">
        <v>0</v>
      </c>
      <c r="M1772" s="2" t="b">
        <v>0</v>
      </c>
      <c r="N1772" s="2" t="s">
        <v>33</v>
      </c>
      <c r="O1772" s="2">
        <v>59.0</v>
      </c>
      <c r="P1772" s="2">
        <v>2.0</v>
      </c>
      <c r="Q1772" s="2">
        <v>32.0</v>
      </c>
      <c r="R1772" s="2">
        <v>0.0</v>
      </c>
      <c r="S1772" s="3" t="s">
        <v>7261</v>
      </c>
      <c r="T1772" s="2" t="s">
        <v>7262</v>
      </c>
      <c r="Y1772" s="4" t="str">
        <f>IFERROR(__xludf.DUMMYFUNCTION("""COMPUTED_VALUE"""),"7.5414442")</f>
        <v>7.5414442</v>
      </c>
      <c r="Z1772" s="4" t="str">
        <f>IFERROR(__xludf.DUMMYFUNCTION("""COMPUTED_VALUE"""),"2.9715014")</f>
        <v>2.9715014</v>
      </c>
      <c r="AA1772" s="4" t="str">
        <f t="shared" si="1"/>
        <v>Neighbor</v>
      </c>
      <c r="AC1772" s="4">
        <f>IFERROR(__xludf.DUMMYFUNCTION("IFERROR(ABS(O1772-AVERAGE(FILTER(O1772:O5840,AA1772:AA5840=""Neighbor""))) / STDEV(FILTER(O1772:O5840, AA1772:AA5840 =""Neighbor"")), """")"),0.11852805496467972)</f>
        <v>0.118528055</v>
      </c>
      <c r="AD1772" s="4">
        <f>IFERROR(__xludf.DUMMYFUNCTION("IFERROR(ABS(P1772-AVERAGE(FILTER(O1772:P5840,AA1772:AA5840=""Neighbor""))) / STDEV(FILTER(P1772:P5840, AA1772:AA5840 =""Neighbor"")), """")"),1.4896438583160554)</f>
        <v>1.489643858</v>
      </c>
      <c r="AE1772" s="2">
        <f>IFERROR(__xludf.DUMMYFUNCTION("IFERROR(ABS(Q1772-AVERAGE(FILTER(Q1772:Q5840,AA1772:AA5840=""Neighbor""))) / STDEV(FILTER(Q1772:Q5840, AA1772:AA5840 =""Neighbor"")), """")"),0.38913057180663196)</f>
        <v>0.3891305718</v>
      </c>
      <c r="AF1772" s="2">
        <f>IFERROR(__xludf.DUMMYFUNCTION("IFERROR(ABS(R1772-AVERAGE(FILTER(R1772:R5840,AA1772:AA5840=""Neighbor""))) / STDEV(FILTER(R1772:R5840, AA1772:AA5840 =""Neighbor"")), """")"),0.35218648705741085)</f>
        <v>0.3521864871</v>
      </c>
    </row>
    <row r="1773">
      <c r="A1773" s="2" t="s">
        <v>28</v>
      </c>
      <c r="B1773" s="2" t="s">
        <v>7043</v>
      </c>
      <c r="C1773" s="2" t="s">
        <v>7250</v>
      </c>
      <c r="D1773" s="2" t="s">
        <v>7263</v>
      </c>
      <c r="E1773" s="2" t="s">
        <v>7264</v>
      </c>
      <c r="F1773" s="2">
        <v>142.0</v>
      </c>
      <c r="G1773" s="2">
        <v>453.0</v>
      </c>
      <c r="H1773" s="2" t="b">
        <v>1</v>
      </c>
      <c r="I1773" s="2">
        <v>-1.0</v>
      </c>
      <c r="J1773" s="2" t="b">
        <v>0</v>
      </c>
      <c r="K1773" s="2" t="b">
        <v>0</v>
      </c>
      <c r="L1773" s="2" t="b">
        <v>0</v>
      </c>
      <c r="M1773" s="2" t="b">
        <v>0</v>
      </c>
      <c r="N1773" s="2" t="s">
        <v>33</v>
      </c>
      <c r="O1773" s="2">
        <v>113.0</v>
      </c>
      <c r="P1773" s="2">
        <v>6.0</v>
      </c>
      <c r="Q1773" s="2">
        <v>22.0</v>
      </c>
      <c r="R1773" s="2">
        <v>0.0</v>
      </c>
      <c r="S1773" s="3" t="s">
        <v>7265</v>
      </c>
      <c r="T1773" s="2" t="s">
        <v>7266</v>
      </c>
      <c r="Y1773" s="4" t="str">
        <f>IFERROR(__xludf.DUMMYFUNCTION("""COMPUTED_VALUE"""),"7.5472059")</f>
        <v>7.5472059</v>
      </c>
      <c r="Z1773" s="4" t="str">
        <f>IFERROR(__xludf.DUMMYFUNCTION("""COMPUTED_VALUE"""),"2.9675572")</f>
        <v>2.9675572</v>
      </c>
      <c r="AA1773" s="4" t="str">
        <f t="shared" si="1"/>
        <v>Not Neighbor</v>
      </c>
      <c r="AC1773" s="4">
        <f>IFERROR(__xludf.DUMMYFUNCTION("IFERROR(ABS(O1773-AVERAGE(FILTER(O1773:O5841,AA1773:AA5841=""Neighbor""))) / STDEV(FILTER(O1773:O5841, AA1773:AA5841 =""Neighbor"")), """")"),1.5794697387335028)</f>
        <v>1.579469739</v>
      </c>
      <c r="AD1773" s="4">
        <f>IFERROR(__xludf.DUMMYFUNCTION("IFERROR(ABS(P1773-AVERAGE(FILTER(O1773:P5841,AA1773:AA5841=""Neighbor""))) / STDEV(FILTER(P1773:P5841, AA1773:AA5841 =""Neighbor"")), """")"),1.3105440968506168)</f>
        <v>1.310544097</v>
      </c>
      <c r="AE1773" s="2">
        <f>IFERROR(__xludf.DUMMYFUNCTION("IFERROR(ABS(Q1773-AVERAGE(FILTER(Q1773:Q5841,AA1773:AA5841=""Neighbor""))) / STDEV(FILTER(Q1773:Q5841, AA1773:AA5841 =""Neighbor"")), """")"),0.018812045528148552)</f>
        <v>0.01881204553</v>
      </c>
      <c r="AF1773" s="2">
        <f>IFERROR(__xludf.DUMMYFUNCTION("IFERROR(ABS(R1773-AVERAGE(FILTER(R1773:R5841,AA1773:AA5841=""Neighbor""))) / STDEV(FILTER(R1773:R5841, AA1773:AA5841 =""Neighbor"")), """")"),0.3524014147895834)</f>
        <v>0.3524014148</v>
      </c>
    </row>
    <row r="1774">
      <c r="A1774" s="2" t="s">
        <v>28</v>
      </c>
      <c r="B1774" s="2" t="s">
        <v>7043</v>
      </c>
      <c r="C1774" s="2" t="s">
        <v>7267</v>
      </c>
      <c r="D1774" s="2" t="s">
        <v>7268</v>
      </c>
      <c r="E1774" s="2" t="s">
        <v>7269</v>
      </c>
      <c r="F1774" s="2">
        <v>202.0</v>
      </c>
      <c r="G1774" s="2">
        <v>848.0</v>
      </c>
      <c r="H1774" s="2" t="b">
        <v>1</v>
      </c>
      <c r="I1774" s="2">
        <v>-1.0</v>
      </c>
      <c r="J1774" s="2" t="b">
        <v>0</v>
      </c>
      <c r="K1774" s="2" t="b">
        <v>0</v>
      </c>
      <c r="L1774" s="2" t="b">
        <v>0</v>
      </c>
      <c r="M1774" s="2" t="b">
        <v>0</v>
      </c>
      <c r="N1774" s="2" t="s">
        <v>33</v>
      </c>
      <c r="O1774" s="2">
        <v>0.0</v>
      </c>
      <c r="P1774" s="2">
        <v>5.0</v>
      </c>
      <c r="Q1774" s="2">
        <v>60.0</v>
      </c>
      <c r="R1774" s="2">
        <v>0.0</v>
      </c>
      <c r="S1774" s="3" t="s">
        <v>7270</v>
      </c>
      <c r="T1774" s="2" t="s">
        <v>7271</v>
      </c>
      <c r="Y1774" s="4" t="str">
        <f>IFERROR(__xludf.DUMMYFUNCTION("""COMPUTED_VALUE"""),"7.3256577")</f>
        <v>7.3256577</v>
      </c>
      <c r="Z1774" s="4" t="str">
        <f>IFERROR(__xludf.DUMMYFUNCTION("""COMPUTED_VALUE"""),"2.8996533")</f>
        <v>2.8996533</v>
      </c>
      <c r="AA1774" s="4" t="str">
        <f t="shared" si="1"/>
        <v>Not Neighbor</v>
      </c>
      <c r="AC1774" s="4">
        <f>IFERROR(__xludf.DUMMYFUNCTION("IFERROR(ABS(O1774-AVERAGE(FILTER(O1774:O5842,AA1774:AA5842=""Neighbor""))) / STDEV(FILTER(O1774:O5842, AA1774:AA5842 =""Neighbor"")), """")"),1.4775494938309592)</f>
        <v>1.477549494</v>
      </c>
      <c r="AD1774" s="4">
        <f>IFERROR(__xludf.DUMMYFUNCTION("IFERROR(ABS(P1774-AVERAGE(FILTER(O1774:P5842,AA1774:AA5842=""Neighbor""))) / STDEV(FILTER(P1774:P5842, AA1774:AA5842 =""Neighbor"")), """")"),1.3552543193114974)</f>
        <v>1.355254319</v>
      </c>
      <c r="AE1774" s="2">
        <f>IFERROR(__xludf.DUMMYFUNCTION("IFERROR(ABS(Q1774-AVERAGE(FILTER(Q1774:Q5842,AA1774:AA5842=""Neighbor""))) / STDEV(FILTER(Q1774:Q5842, AA1774:AA5842 =""Neighbor"")), """")"),1.5322943499059911)</f>
        <v>1.53229435</v>
      </c>
      <c r="AF1774" s="2">
        <f>IFERROR(__xludf.DUMMYFUNCTION("IFERROR(ABS(R1774-AVERAGE(FILTER(R1774:R5842,AA1774:AA5842=""Neighbor""))) / STDEV(FILTER(R1774:R5842, AA1774:AA5842 =""Neighbor"")), """")"),0.3524014147895834)</f>
        <v>0.3524014148</v>
      </c>
    </row>
    <row r="1775">
      <c r="A1775" s="2" t="s">
        <v>28</v>
      </c>
      <c r="B1775" s="2" t="s">
        <v>7043</v>
      </c>
      <c r="C1775" s="2" t="s">
        <v>7267</v>
      </c>
      <c r="D1775" s="2" t="s">
        <v>7272</v>
      </c>
      <c r="E1775" s="2" t="s">
        <v>7273</v>
      </c>
      <c r="F1775" s="2">
        <v>140.0</v>
      </c>
      <c r="G1775" s="2">
        <v>393.0</v>
      </c>
      <c r="H1775" s="2" t="b">
        <v>1</v>
      </c>
      <c r="I1775" s="2">
        <v>-1.0</v>
      </c>
      <c r="J1775" s="2" t="b">
        <v>0</v>
      </c>
      <c r="K1775" s="2" t="b">
        <v>0</v>
      </c>
      <c r="L1775" s="2" t="b">
        <v>0</v>
      </c>
      <c r="M1775" s="2" t="b">
        <v>0</v>
      </c>
      <c r="N1775" s="2" t="s">
        <v>33</v>
      </c>
      <c r="O1775" s="2">
        <v>82.0</v>
      </c>
      <c r="P1775" s="2">
        <v>0.0</v>
      </c>
      <c r="Q1775" s="2">
        <v>56.0</v>
      </c>
      <c r="R1775" s="2">
        <v>0.0</v>
      </c>
      <c r="S1775" s="3" t="s">
        <v>7274</v>
      </c>
      <c r="T1775" s="2" t="s">
        <v>7275</v>
      </c>
      <c r="Y1775" s="4" t="str">
        <f>IFERROR(__xludf.DUMMYFUNCTION("""COMPUTED_VALUE"""),"7.3640699")</f>
        <v>7.3640699</v>
      </c>
      <c r="Z1775" s="4" t="str">
        <f>IFERROR(__xludf.DUMMYFUNCTION("""COMPUTED_VALUE"""),"2.8776638")</f>
        <v>2.8776638</v>
      </c>
      <c r="AA1775" s="4" t="str">
        <f t="shared" si="1"/>
        <v>Neighbor</v>
      </c>
      <c r="AC1775" s="4">
        <f>IFERROR(__xludf.DUMMYFUNCTION("IFERROR(ABS(O1775-AVERAGE(FILTER(O1775:O5843,AA1775:AA5843=""Neighbor""))) / STDEV(FILTER(O1775:O5843, AA1775:AA5843 =""Neighbor"")), """")"),0.7408184448441371)</f>
        <v>0.7408184448</v>
      </c>
      <c r="AD1775" s="4">
        <f>IFERROR(__xludf.DUMMYFUNCTION("IFERROR(ABS(P1775-AVERAGE(FILTER(O1775:P5843,AA1775:AA5843=""Neighbor""))) / STDEV(FILTER(P1775:P5843, AA1775:AA5843 =""Neighbor"")), """")"),1.5788054316159004)</f>
        <v>1.578805432</v>
      </c>
      <c r="AE1775" s="2">
        <f>IFERROR(__xludf.DUMMYFUNCTION("IFERROR(ABS(Q1775-AVERAGE(FILTER(Q1775:Q5843,AA1775:AA5843=""Neighbor""))) / STDEV(FILTER(Q1775:Q5843, AA1775:AA5843 =""Neighbor"")), """")"),1.3690199924918711)</f>
        <v>1.369019992</v>
      </c>
      <c r="AF1775" s="2">
        <f>IFERROR(__xludf.DUMMYFUNCTION("IFERROR(ABS(R1775-AVERAGE(FILTER(R1775:R5843,AA1775:AA5843=""Neighbor""))) / STDEV(FILTER(R1775:R5843, AA1775:AA5843 =""Neighbor"")), """")"),0.3524014147895834)</f>
        <v>0.3524014148</v>
      </c>
    </row>
    <row r="1776">
      <c r="A1776" s="2" t="s">
        <v>28</v>
      </c>
      <c r="B1776" s="2" t="s">
        <v>7043</v>
      </c>
      <c r="C1776" s="2" t="s">
        <v>7267</v>
      </c>
      <c r="D1776" s="2" t="s">
        <v>7276</v>
      </c>
      <c r="E1776" s="2" t="s">
        <v>7277</v>
      </c>
      <c r="F1776" s="2">
        <v>161.0</v>
      </c>
      <c r="G1776" s="2">
        <v>501.0</v>
      </c>
      <c r="H1776" s="2" t="b">
        <v>1</v>
      </c>
      <c r="I1776" s="2">
        <v>-1.0</v>
      </c>
      <c r="J1776" s="2" t="b">
        <v>1</v>
      </c>
      <c r="K1776" s="2" t="b">
        <v>0</v>
      </c>
      <c r="L1776" s="2" t="b">
        <v>0</v>
      </c>
      <c r="M1776" s="2" t="b">
        <v>0</v>
      </c>
      <c r="N1776" s="2" t="s">
        <v>33</v>
      </c>
      <c r="O1776" s="2">
        <v>91.0</v>
      </c>
      <c r="P1776" s="2">
        <v>1.0</v>
      </c>
      <c r="Q1776" s="2">
        <v>65.0</v>
      </c>
      <c r="R1776" s="2">
        <v>0.0</v>
      </c>
      <c r="S1776" s="3" t="s">
        <v>7278</v>
      </c>
      <c r="T1776" s="2" t="s">
        <v>7279</v>
      </c>
      <c r="Y1776" s="4" t="str">
        <f>IFERROR(__xludf.DUMMYFUNCTION("""COMPUTED_VALUE"""),"7.3640699")</f>
        <v>7.3640699</v>
      </c>
      <c r="Z1776" s="4" t="str">
        <f>IFERROR(__xludf.DUMMYFUNCTION("""COMPUTED_VALUE"""),"2.8776638")</f>
        <v>2.8776638</v>
      </c>
      <c r="AA1776" s="4" t="str">
        <f t="shared" si="1"/>
        <v>Neighbor</v>
      </c>
      <c r="AC1776" s="4">
        <f>IFERROR(__xludf.DUMMYFUNCTION("IFERROR(ABS(O1776-AVERAGE(FILTER(O1776:O5844,AA1776:AA5844=""Neighbor""))) / STDEV(FILTER(O1776:O5844, AA1776:AA5844 =""Neighbor"")), """")"),0.9848622912927557)</f>
        <v>0.9848622913</v>
      </c>
      <c r="AD1776" s="4">
        <f>IFERROR(__xludf.DUMMYFUNCTION("IFERROR(ABS(P1776-AVERAGE(FILTER(O1776:P5844,AA1776:AA5844=""Neighbor""))) / STDEV(FILTER(P1776:P5844, AA1776:AA5844 =""Neighbor"")), """")"),1.5334116201164059)</f>
        <v>1.53341162</v>
      </c>
      <c r="AE1776" s="2">
        <f>IFERROR(__xludf.DUMMYFUNCTION("IFERROR(ABS(Q1776-AVERAGE(FILTER(Q1776:Q5844,AA1776:AA5844=""Neighbor""))) / STDEV(FILTER(Q1776:Q5844, AA1776:AA5844 =""Neighbor"")), """")"),1.7387070000048217)</f>
        <v>1.738707</v>
      </c>
      <c r="AF1776" s="2">
        <f>IFERROR(__xludf.DUMMYFUNCTION("IFERROR(ABS(R1776-AVERAGE(FILTER(R1776:R5844,AA1776:AA5844=""Neighbor""))) / STDEV(FILTER(R1776:R5844, AA1776:AA5844 =""Neighbor"")), """")"),0.35261673654836845)</f>
        <v>0.3526167365</v>
      </c>
    </row>
    <row r="1777">
      <c r="A1777" s="2" t="s">
        <v>28</v>
      </c>
      <c r="B1777" s="2" t="s">
        <v>7043</v>
      </c>
      <c r="C1777" s="2" t="s">
        <v>7267</v>
      </c>
      <c r="D1777" s="2" t="s">
        <v>7280</v>
      </c>
      <c r="E1777" s="2" t="s">
        <v>7281</v>
      </c>
      <c r="F1777" s="2">
        <v>98.0</v>
      </c>
      <c r="G1777" s="2">
        <v>267.0</v>
      </c>
      <c r="H1777" s="2" t="b">
        <v>1</v>
      </c>
      <c r="I1777" s="2">
        <v>-1.0</v>
      </c>
      <c r="J1777" s="2" t="b">
        <v>1</v>
      </c>
      <c r="K1777" s="2" t="b">
        <v>0</v>
      </c>
      <c r="L1777" s="2" t="b">
        <v>0</v>
      </c>
      <c r="M1777" s="2" t="b">
        <v>0</v>
      </c>
      <c r="N1777" s="2" t="s">
        <v>33</v>
      </c>
      <c r="O1777" s="2">
        <v>42.0</v>
      </c>
      <c r="P1777" s="2">
        <v>0.0</v>
      </c>
      <c r="Q1777" s="2">
        <v>51.0</v>
      </c>
      <c r="R1777" s="2">
        <v>0.0</v>
      </c>
      <c r="S1777" s="3" t="s">
        <v>7282</v>
      </c>
      <c r="T1777" s="2" t="s">
        <v>7283</v>
      </c>
      <c r="Y1777" s="4" t="str">
        <f>IFERROR(__xludf.DUMMYFUNCTION("""COMPUTED_VALUE"""),"7.3640699")</f>
        <v>7.3640699</v>
      </c>
      <c r="Z1777" s="4" t="str">
        <f>IFERROR(__xludf.DUMMYFUNCTION("""COMPUTED_VALUE"""),"2.8776638")</f>
        <v>2.8776638</v>
      </c>
      <c r="AA1777" s="4" t="str">
        <f t="shared" si="1"/>
        <v>Neighbor</v>
      </c>
      <c r="AC1777" s="4">
        <f>IFERROR(__xludf.DUMMYFUNCTION("IFERROR(ABS(O1777-AVERAGE(FILTER(O1777:O5845,AA1777:AA5845=""Neighbor""))) / STDEV(FILTER(O1777:O5845, AA1777:AA5845 =""Neighbor"")), """")"),0.3393444084346866)</f>
        <v>0.3393444084</v>
      </c>
      <c r="AD1777" s="4">
        <f>IFERROR(__xludf.DUMMYFUNCTION("IFERROR(ABS(P1777-AVERAGE(FILTER(O1777:P5845,AA1777:AA5845=""Neighbor""))) / STDEV(FILTER(P1777:P5845, AA1777:AA5845 =""Neighbor"")), """")"),1.577117692440325)</f>
        <v>1.577117692</v>
      </c>
      <c r="AE1777" s="2">
        <f>IFERROR(__xludf.DUMMYFUNCTION("IFERROR(ABS(Q1777-AVERAGE(FILTER(Q1777:Q5845,AA1777:AA5845=""Neighbor""))) / STDEV(FILTER(Q1777:Q5845, AA1777:AA5845 =""Neighbor"")), """")"),1.1701614650048997)</f>
        <v>1.170161465</v>
      </c>
      <c r="AF1777" s="2">
        <f>IFERROR(__xludf.DUMMYFUNCTION("IFERROR(ABS(R1777-AVERAGE(FILTER(R1777:R5845,AA1777:AA5845=""Neighbor""))) / STDEV(FILTER(R1777:R5845, AA1777:AA5845 =""Neighbor"")), """")"),0.35283245353933496)</f>
        <v>0.3528324535</v>
      </c>
    </row>
    <row r="1778">
      <c r="A1778" s="2" t="s">
        <v>28</v>
      </c>
      <c r="B1778" s="2" t="s">
        <v>7043</v>
      </c>
      <c r="C1778" s="2" t="s">
        <v>7267</v>
      </c>
      <c r="D1778" s="2" t="s">
        <v>7284</v>
      </c>
      <c r="E1778" s="2" t="s">
        <v>7285</v>
      </c>
      <c r="F1778" s="2">
        <v>143.0</v>
      </c>
      <c r="G1778" s="2">
        <v>499.0</v>
      </c>
      <c r="H1778" s="2" t="b">
        <v>1</v>
      </c>
      <c r="I1778" s="2">
        <v>-1.0</v>
      </c>
      <c r="J1778" s="2" t="b">
        <v>0</v>
      </c>
      <c r="K1778" s="2" t="b">
        <v>0</v>
      </c>
      <c r="L1778" s="2" t="b">
        <v>0</v>
      </c>
      <c r="M1778" s="2" t="b">
        <v>0</v>
      </c>
      <c r="N1778" s="2" t="s">
        <v>33</v>
      </c>
      <c r="O1778" s="2">
        <v>87.0</v>
      </c>
      <c r="P1778" s="2">
        <v>0.0</v>
      </c>
      <c r="Q1778" s="2">
        <v>50.0</v>
      </c>
      <c r="R1778" s="2">
        <v>0.0</v>
      </c>
      <c r="S1778" s="3" t="s">
        <v>7286</v>
      </c>
      <c r="T1778" s="2" t="s">
        <v>7287</v>
      </c>
      <c r="Y1778" s="4" t="str">
        <f>IFERROR(__xludf.DUMMYFUNCTION("""COMPUTED_VALUE"""),"7.3640699")</f>
        <v>7.3640699</v>
      </c>
      <c r="Z1778" s="4" t="str">
        <f>IFERROR(__xludf.DUMMYFUNCTION("""COMPUTED_VALUE"""),"2.8776638")</f>
        <v>2.8776638</v>
      </c>
      <c r="AA1778" s="4" t="str">
        <f t="shared" si="1"/>
        <v>Neighbor</v>
      </c>
      <c r="AC1778" s="4">
        <f>IFERROR(__xludf.DUMMYFUNCTION("IFERROR(ABS(O1778-AVERAGE(FILTER(O1778:O5846,AA1778:AA5846=""Neighbor""))) / STDEV(FILTER(O1778:O5846, AA1778:AA5846 =""Neighbor"")), """")"),0.8769412750872545)</f>
        <v>0.8769412751</v>
      </c>
      <c r="AD1778" s="4">
        <f>IFERROR(__xludf.DUMMYFUNCTION("IFERROR(ABS(P1778-AVERAGE(FILTER(O1778:P5846,AA1778:AA5846=""Neighbor""))) / STDEV(FILTER(P1778:P5846, AA1778:AA5846 =""Neighbor"")), """")"),1.5773961602932465)</f>
        <v>1.57739616</v>
      </c>
      <c r="AE1778" s="2">
        <f>IFERROR(__xludf.DUMMYFUNCTION("IFERROR(ABS(Q1778-AVERAGE(FILTER(Q1778:Q5846,AA1778:AA5846=""Neighbor""))) / STDEV(FILTER(Q1778:Q5846, AA1778:AA5846 =""Neighbor"")), """")"),1.1307831369133934)</f>
        <v>1.130783137</v>
      </c>
      <c r="AF1778" s="2">
        <f>IFERROR(__xludf.DUMMYFUNCTION("IFERROR(ABS(R1778-AVERAGE(FILTER(R1778:R5846,AA1778:AA5846=""Neighbor""))) / STDEV(FILTER(R1778:R5846, AA1778:AA5846 =""Neighbor"")), """")"),0.35304856697322334)</f>
        <v>0.353048567</v>
      </c>
    </row>
    <row r="1779">
      <c r="A1779" s="2" t="s">
        <v>28</v>
      </c>
      <c r="B1779" s="2" t="s">
        <v>7043</v>
      </c>
      <c r="C1779" s="2" t="s">
        <v>7267</v>
      </c>
      <c r="D1779" s="2" t="s">
        <v>7288</v>
      </c>
      <c r="E1779" s="2" t="s">
        <v>7289</v>
      </c>
      <c r="F1779" s="2">
        <v>157.0</v>
      </c>
      <c r="G1779" s="2">
        <v>553.0</v>
      </c>
      <c r="H1779" s="2" t="b">
        <v>1</v>
      </c>
      <c r="I1779" s="2">
        <v>-1.0</v>
      </c>
      <c r="J1779" s="2" t="b">
        <v>1</v>
      </c>
      <c r="K1779" s="2" t="b">
        <v>0</v>
      </c>
      <c r="L1779" s="2" t="b">
        <v>0</v>
      </c>
      <c r="M1779" s="2" t="b">
        <v>0</v>
      </c>
      <c r="N1779" s="2" t="s">
        <v>33</v>
      </c>
      <c r="O1779" s="2">
        <v>109.0</v>
      </c>
      <c r="P1779" s="2">
        <v>1.0</v>
      </c>
      <c r="Q1779" s="2">
        <v>37.0</v>
      </c>
      <c r="R1779" s="2">
        <v>0.0</v>
      </c>
      <c r="S1779" s="3" t="s">
        <v>7290</v>
      </c>
      <c r="T1779" s="2" t="s">
        <v>7291</v>
      </c>
      <c r="Y1779" s="4" t="str">
        <f>IFERROR(__xludf.DUMMYFUNCTION("""COMPUTED_VALUE"""),"7.3640699")</f>
        <v>7.3640699</v>
      </c>
      <c r="Z1779" s="4" t="str">
        <f>IFERROR(__xludf.DUMMYFUNCTION("""COMPUTED_VALUE"""),"2.8776638")</f>
        <v>2.8776638</v>
      </c>
      <c r="AA1779" s="4" t="str">
        <f t="shared" si="1"/>
        <v>Neighbor</v>
      </c>
      <c r="AC1779" s="4">
        <f>IFERROR(__xludf.DUMMYFUNCTION("IFERROR(ABS(O1779-AVERAGE(FILTER(O1779:O5847,AA1779:AA5847=""Neighbor""))) / STDEV(FILTER(O1779:O5847, AA1779:AA5847 =""Neighbor"")), """")"),1.4724428036763728)</f>
        <v>1.472442804</v>
      </c>
      <c r="AD1779" s="4">
        <f>IFERROR(__xludf.DUMMYFUNCTION("IFERROR(ABS(P1779-AVERAGE(FILTER(O1779:P5847,AA1779:AA5847=""Neighbor""))) / STDEV(FILTER(P1779:P5847, AA1779:AA5847 =""Neighbor"")), """")"),1.5319178033134033)</f>
        <v>1.531917803</v>
      </c>
      <c r="AE1779" s="2">
        <f>IFERROR(__xludf.DUMMYFUNCTION("IFERROR(ABS(Q1779-AVERAGE(FILTER(Q1779:Q5847,AA1779:AA5847=""Neighbor""))) / STDEV(FILTER(Q1779:Q5847, AA1779:AA5847 =""Neighbor"")), """")"),0.6005192693795115)</f>
        <v>0.6005192694</v>
      </c>
      <c r="AF1779" s="2">
        <f>IFERROR(__xludf.DUMMYFUNCTION("IFERROR(ABS(R1779-AVERAGE(FILTER(R1779:R5847,AA1779:AA5847=""Neighbor""))) / STDEV(FILTER(R1779:R5847, AA1779:AA5847 =""Neighbor"")), """")"),0.3532650780659733)</f>
        <v>0.3532650781</v>
      </c>
    </row>
    <row r="1780">
      <c r="A1780" s="2" t="s">
        <v>28</v>
      </c>
      <c r="B1780" s="2" t="s">
        <v>7043</v>
      </c>
      <c r="C1780" s="2" t="s">
        <v>7267</v>
      </c>
      <c r="D1780" s="2" t="s">
        <v>7292</v>
      </c>
      <c r="E1780" s="2" t="s">
        <v>7293</v>
      </c>
      <c r="F1780" s="2">
        <v>85.0</v>
      </c>
      <c r="G1780" s="2">
        <v>374.0</v>
      </c>
      <c r="H1780" s="2" t="b">
        <v>1</v>
      </c>
      <c r="I1780" s="2">
        <v>-1.0</v>
      </c>
      <c r="J1780" s="2" t="b">
        <v>1</v>
      </c>
      <c r="K1780" s="2" t="b">
        <v>0</v>
      </c>
      <c r="L1780" s="2" t="b">
        <v>0</v>
      </c>
      <c r="M1780" s="2" t="b">
        <v>0</v>
      </c>
      <c r="N1780" s="2" t="s">
        <v>33</v>
      </c>
      <c r="O1780" s="2">
        <v>58.0</v>
      </c>
      <c r="P1780" s="2">
        <v>0.0</v>
      </c>
      <c r="Q1780" s="2">
        <v>21.0</v>
      </c>
      <c r="R1780" s="2">
        <v>0.0</v>
      </c>
      <c r="S1780" s="3" t="s">
        <v>7294</v>
      </c>
      <c r="T1780" s="2" t="s">
        <v>7295</v>
      </c>
      <c r="Y1780" s="4" t="str">
        <f>IFERROR(__xludf.DUMMYFUNCTION("""COMPUTED_VALUE"""),"7.3640699")</f>
        <v>7.3640699</v>
      </c>
      <c r="Z1780" s="4" t="str">
        <f>IFERROR(__xludf.DUMMYFUNCTION("""COMPUTED_VALUE"""),"2.8776638")</f>
        <v>2.8776638</v>
      </c>
      <c r="AA1780" s="4" t="str">
        <f t="shared" si="1"/>
        <v>Not Neighbor</v>
      </c>
      <c r="AC1780" s="4">
        <f>IFERROR(__xludf.DUMMYFUNCTION("IFERROR(ABS(O1780-AVERAGE(FILTER(O1780:O5848,AA1780:AA5848=""Neighbor""))) / STDEV(FILTER(O1780:O5848, AA1780:AA5848 =""Neighbor"")), """")"),0.09559589445476584)</f>
        <v>0.09559589445</v>
      </c>
      <c r="AD1780" s="4">
        <f>IFERROR(__xludf.DUMMYFUNCTION("IFERROR(ABS(P1780-AVERAGE(FILTER(O1780:P5848,AA1780:AA5848=""Neighbor""))) / STDEV(FILTER(P1780:P5848, AA1780:AA5848 =""Neighbor"")), """")"),1.5751470958301936)</f>
        <v>1.575147096</v>
      </c>
      <c r="AE1780" s="2">
        <f>IFERROR(__xludf.DUMMYFUNCTION("IFERROR(ABS(Q1780-AVERAGE(FILTER(Q1780:Q5848,AA1780:AA5848=""Neighbor""))) / STDEV(FILTER(Q1780:Q5848, AA1780:AA5848 =""Neighbor"")), """")"),0.05317092900522513)</f>
        <v>0.05317092901</v>
      </c>
      <c r="AF1780" s="2">
        <f>IFERROR(__xludf.DUMMYFUNCTION("IFERROR(ABS(R1780-AVERAGE(FILTER(R1780:R5848,AA1780:AA5848=""Neighbor""))) / STDEV(FILTER(R1780:R5848, AA1780:AA5848 =""Neighbor"")), """")"),0.35348198803875336)</f>
        <v>0.353481988</v>
      </c>
    </row>
    <row r="1781">
      <c r="A1781" s="2" t="s">
        <v>28</v>
      </c>
      <c r="B1781" s="2" t="s">
        <v>7043</v>
      </c>
      <c r="C1781" s="2" t="s">
        <v>7267</v>
      </c>
      <c r="D1781" s="2" t="s">
        <v>7296</v>
      </c>
      <c r="E1781" s="2" t="s">
        <v>7297</v>
      </c>
      <c r="F1781" s="2">
        <v>69.0</v>
      </c>
      <c r="G1781" s="2">
        <v>322.0</v>
      </c>
      <c r="H1781" s="2" t="b">
        <v>1</v>
      </c>
      <c r="I1781" s="2">
        <v>-1.0</v>
      </c>
      <c r="J1781" s="2" t="b">
        <v>0</v>
      </c>
      <c r="K1781" s="2" t="b">
        <v>1</v>
      </c>
      <c r="L1781" s="2" t="b">
        <v>0</v>
      </c>
      <c r="M1781" s="2" t="b">
        <v>0</v>
      </c>
      <c r="N1781" s="2" t="s">
        <v>33</v>
      </c>
      <c r="O1781" s="2">
        <v>41.0</v>
      </c>
      <c r="P1781" s="2">
        <v>0.0</v>
      </c>
      <c r="Q1781" s="2">
        <v>28.0</v>
      </c>
      <c r="R1781" s="2">
        <v>0.0</v>
      </c>
      <c r="S1781" s="3" t="s">
        <v>7298</v>
      </c>
      <c r="T1781" s="2" t="s">
        <v>7299</v>
      </c>
      <c r="Y1781" s="4" t="str">
        <f>IFERROR(__xludf.DUMMYFUNCTION("""COMPUTED_VALUE"""),"7.376677")</f>
        <v>7.376677</v>
      </c>
      <c r="Z1781" s="4" t="str">
        <f>IFERROR(__xludf.DUMMYFUNCTION("""COMPUTED_VALUE"""),"2.889375")</f>
        <v>2.889375</v>
      </c>
      <c r="AA1781" s="4" t="str">
        <f t="shared" si="1"/>
        <v>Not Neighbor</v>
      </c>
      <c r="AC1781" s="4">
        <f>IFERROR(__xludf.DUMMYFUNCTION("IFERROR(ABS(O1781-AVERAGE(FILTER(O1781:O5849,AA1781:AA5849=""Neighbor""))) / STDEV(FILTER(O1781:O5849, AA1781:AA5849 =""Neighbor"")), """")"),0.364204395663936)</f>
        <v>0.3642043957</v>
      </c>
      <c r="AD1781" s="4">
        <f>IFERROR(__xludf.DUMMYFUNCTION("IFERROR(ABS(P1781-AVERAGE(FILTER(O1781:P5849,AA1781:AA5849=""Neighbor""))) / STDEV(FILTER(P1781:P5849, AA1781:AA5849 =""Neighbor"")), """")"),1.5751470958301936)</f>
        <v>1.575147096</v>
      </c>
      <c r="AE1781" s="2">
        <f>IFERROR(__xludf.DUMMYFUNCTION("IFERROR(ABS(Q1781-AVERAGE(FILTER(Q1781:Q5849,AA1781:AA5849=""Neighbor""))) / STDEV(FILTER(Q1781:Q5849, AA1781:AA5849 =""Neighbor"")), """")"),0.23301377711113386)</f>
        <v>0.2330137771</v>
      </c>
      <c r="AF1781" s="2">
        <f>IFERROR(__xludf.DUMMYFUNCTION("IFERROR(ABS(R1781-AVERAGE(FILTER(R1781:R5849,AA1781:AA5849=""Neighbor""))) / STDEV(FILTER(R1781:R5849, AA1781:AA5849 =""Neighbor"")), """")"),0.35348198803875336)</f>
        <v>0.353481988</v>
      </c>
    </row>
    <row r="1782">
      <c r="A1782" s="2" t="s">
        <v>28</v>
      </c>
      <c r="B1782" s="2" t="s">
        <v>7043</v>
      </c>
      <c r="C1782" s="2" t="s">
        <v>7267</v>
      </c>
      <c r="D1782" s="2" t="s">
        <v>7300</v>
      </c>
      <c r="E1782" s="2" t="s">
        <v>7301</v>
      </c>
      <c r="F1782" s="2">
        <v>79.0</v>
      </c>
      <c r="G1782" s="2">
        <v>304.0</v>
      </c>
      <c r="H1782" s="2" t="b">
        <v>1</v>
      </c>
      <c r="I1782" s="2">
        <v>-1.0</v>
      </c>
      <c r="J1782" s="2" t="b">
        <v>1</v>
      </c>
      <c r="K1782" s="2" t="b">
        <v>0</v>
      </c>
      <c r="L1782" s="2" t="b">
        <v>0</v>
      </c>
      <c r="M1782" s="2" t="b">
        <v>0</v>
      </c>
      <c r="N1782" s="2" t="s">
        <v>33</v>
      </c>
      <c r="O1782" s="2">
        <v>48.0</v>
      </c>
      <c r="P1782" s="2">
        <v>1.0</v>
      </c>
      <c r="Q1782" s="2">
        <v>24.0</v>
      </c>
      <c r="R1782" s="2">
        <v>0.0</v>
      </c>
      <c r="S1782" s="3" t="s">
        <v>7302</v>
      </c>
      <c r="T1782" s="2" t="s">
        <v>7303</v>
      </c>
      <c r="Y1782" s="4" t="str">
        <f>IFERROR(__xludf.DUMMYFUNCTION("""COMPUTED_VALUE"""),"7.3640699")</f>
        <v>7.3640699</v>
      </c>
      <c r="Z1782" s="4" t="str">
        <f>IFERROR(__xludf.DUMMYFUNCTION("""COMPUTED_VALUE"""),"2.8776638")</f>
        <v>2.8776638</v>
      </c>
      <c r="AA1782" s="4" t="str">
        <f t="shared" si="1"/>
        <v>Neighbor</v>
      </c>
      <c r="AC1782" s="4">
        <f>IFERROR(__xludf.DUMMYFUNCTION("IFERROR(ABS(O1782-AVERAGE(FILTER(O1782:O5850,AA1782:AA5850=""Neighbor""))) / STDEV(FILTER(O1782:O5850, AA1782:AA5850 =""Neighbor"")), """")"),0.17487486443858816)</f>
        <v>0.1748748644</v>
      </c>
      <c r="AD1782" s="4">
        <f>IFERROR(__xludf.DUMMYFUNCTION("IFERROR(ABS(P1782-AVERAGE(FILTER(O1782:P5850,AA1782:AA5850=""Neighbor""))) / STDEV(FILTER(P1782:P5850, AA1782:AA5850 =""Neighbor"")), """")"),1.530499101137279)</f>
        <v>1.530499101</v>
      </c>
      <c r="AE1782" s="2">
        <f>IFERROR(__xludf.DUMMYFUNCTION("IFERROR(ABS(Q1782-AVERAGE(FILTER(Q1782:Q5850,AA1782:AA5850=""Neighbor""))) / STDEV(FILTER(Q1782:Q5850, AA1782:AA5850 =""Neighbor"")), """")"),0.06947965933035728)</f>
        <v>0.06947965933</v>
      </c>
      <c r="AF1782" s="2">
        <f>IFERROR(__xludf.DUMMYFUNCTION("IFERROR(ABS(R1782-AVERAGE(FILTER(R1782:R5850,AA1782:AA5850=""Neighbor""))) / STDEV(FILTER(R1782:R5850, AA1782:AA5850 =""Neighbor"")), """")"),0.35348198803875336)</f>
        <v>0.353481988</v>
      </c>
    </row>
    <row r="1783">
      <c r="A1783" s="2" t="s">
        <v>28</v>
      </c>
      <c r="B1783" s="2" t="s">
        <v>7043</v>
      </c>
      <c r="C1783" s="2" t="s">
        <v>7267</v>
      </c>
      <c r="D1783" s="2" t="s">
        <v>7304</v>
      </c>
      <c r="E1783" s="2" t="s">
        <v>7305</v>
      </c>
      <c r="F1783" s="2">
        <v>112.0</v>
      </c>
      <c r="G1783" s="2">
        <v>439.0</v>
      </c>
      <c r="H1783" s="2" t="b">
        <v>1</v>
      </c>
      <c r="I1783" s="2">
        <v>-1.0</v>
      </c>
      <c r="J1783" s="2" t="b">
        <v>0</v>
      </c>
      <c r="K1783" s="2" t="b">
        <v>0</v>
      </c>
      <c r="L1783" s="2" t="b">
        <v>0</v>
      </c>
      <c r="M1783" s="2" t="b">
        <v>0</v>
      </c>
      <c r="N1783" s="2" t="s">
        <v>33</v>
      </c>
      <c r="O1783" s="2">
        <v>56.0</v>
      </c>
      <c r="P1783" s="2">
        <v>0.0</v>
      </c>
      <c r="Q1783" s="2">
        <v>52.0</v>
      </c>
      <c r="R1783" s="2">
        <v>0.0</v>
      </c>
      <c r="S1783" s="3" t="s">
        <v>7306</v>
      </c>
      <c r="T1783" s="2" t="s">
        <v>7307</v>
      </c>
      <c r="Y1783" s="4" t="str">
        <f>IFERROR(__xludf.DUMMYFUNCTION("""COMPUTED_VALUE"""),"7.3640699")</f>
        <v>7.3640699</v>
      </c>
      <c r="Z1783" s="4" t="str">
        <f>IFERROR(__xludf.DUMMYFUNCTION("""COMPUTED_VALUE"""),"2.8776638")</f>
        <v>2.8776638</v>
      </c>
      <c r="AA1783" s="4" t="str">
        <f t="shared" si="1"/>
        <v>Not Neighbor</v>
      </c>
      <c r="AC1783" s="4">
        <f>IFERROR(__xludf.DUMMYFUNCTION("IFERROR(ABS(O1783-AVERAGE(FILTER(O1783:O5851,AA1783:AA5851=""Neighbor""))) / STDEV(FILTER(O1783:O5851, AA1783:AA5851 =""Neighbor"")), """")"),0.041288500114148564)</f>
        <v>0.04128850011</v>
      </c>
      <c r="AD1783" s="4">
        <f>IFERROR(__xludf.DUMMYFUNCTION("IFERROR(ABS(P1783-AVERAGE(FILTER(O1783:P5851,AA1783:AA5851=""Neighbor""))) / STDEV(FILTER(P1783:P5851, AA1783:AA5851 =""Neighbor"")), """")"),1.5752032255051425)</f>
        <v>1.575203226</v>
      </c>
      <c r="AE1783" s="2">
        <f>IFERROR(__xludf.DUMMYFUNCTION("IFERROR(ABS(Q1783-AVERAGE(FILTER(Q1783:Q5851,AA1783:AA5851=""Neighbor""))) / STDEV(FILTER(Q1783:Q5851, AA1783:AA5851 =""Neighbor"")), """")"),1.2136332527440168)</f>
        <v>1.213633253</v>
      </c>
      <c r="AF1783" s="2">
        <f>IFERROR(__xludf.DUMMYFUNCTION("IFERROR(ABS(R1783-AVERAGE(FILTER(R1783:R5851,AA1783:AA5851=""Neighbor""))) / STDEV(FILTER(R1783:R5851, AA1783:AA5851 =""Neighbor"")), """")"),0.3536992981179882)</f>
        <v>0.3536992981</v>
      </c>
    </row>
    <row r="1784">
      <c r="A1784" s="2" t="s">
        <v>28</v>
      </c>
      <c r="B1784" s="2" t="s">
        <v>7043</v>
      </c>
      <c r="C1784" s="2" t="s">
        <v>7308</v>
      </c>
      <c r="D1784" s="2" t="s">
        <v>7309</v>
      </c>
      <c r="E1784" s="2" t="s">
        <v>7310</v>
      </c>
      <c r="F1784" s="2">
        <v>151.0</v>
      </c>
      <c r="G1784" s="2">
        <v>567.0</v>
      </c>
      <c r="H1784" s="2" t="b">
        <v>1</v>
      </c>
      <c r="I1784" s="2">
        <v>-1.0</v>
      </c>
      <c r="J1784" s="2" t="b">
        <v>0</v>
      </c>
      <c r="K1784" s="2" t="b">
        <v>0</v>
      </c>
      <c r="L1784" s="2" t="b">
        <v>0</v>
      </c>
      <c r="M1784" s="2" t="b">
        <v>0</v>
      </c>
      <c r="N1784" s="2" t="s">
        <v>33</v>
      </c>
      <c r="O1784" s="2">
        <v>110.0</v>
      </c>
      <c r="P1784" s="2">
        <v>1.0</v>
      </c>
      <c r="Q1784" s="2">
        <v>28.0</v>
      </c>
      <c r="R1784" s="2">
        <v>2.0</v>
      </c>
      <c r="S1784" s="3" t="s">
        <v>7311</v>
      </c>
      <c r="T1784" s="2" t="s">
        <v>7312</v>
      </c>
      <c r="Y1784" s="4" t="str">
        <f>IFERROR(__xludf.DUMMYFUNCTION("""COMPUTED_VALUE"""),"7.471427")</f>
        <v>7.471427</v>
      </c>
      <c r="Z1784" s="4" t="str">
        <f>IFERROR(__xludf.DUMMYFUNCTION("""COMPUTED_VALUE"""),"2.979005")</f>
        <v>2.979005</v>
      </c>
      <c r="AA1784" s="4" t="str">
        <f t="shared" si="1"/>
        <v>Not Neighbor</v>
      </c>
      <c r="AC1784" s="4">
        <f>IFERROR(__xludf.DUMMYFUNCTION("IFERROR(ABS(O1784-AVERAGE(FILTER(O1784:O5852,AA1784:AA5852=""Neighbor""))) / STDEV(FILTER(O1784:O5852, AA1784:AA5852 =""Neighbor"")), """")"),1.5010558436914525)</f>
        <v>1.501055844</v>
      </c>
      <c r="AD1784" s="4">
        <f>IFERROR(__xludf.DUMMYFUNCTION("IFERROR(ABS(P1784-AVERAGE(FILTER(O1784:P5852,AA1784:AA5852=""Neighbor""))) / STDEV(FILTER(P1784:P5852, AA1784:AA5852 =""Neighbor"")), """")"),1.5305685606951318)</f>
        <v>1.530568561</v>
      </c>
      <c r="AE1784" s="2">
        <f>IFERROR(__xludf.DUMMYFUNCTION("IFERROR(ABS(Q1784-AVERAGE(FILTER(Q1784:Q5852,AA1784:AA5852=""Neighbor""))) / STDEV(FILTER(Q1784:Q5852, AA1784:AA5852 =""Neighbor"")), """")"),0.23296286440671424)</f>
        <v>0.2329628644</v>
      </c>
      <c r="AF1784" s="2">
        <f>IFERROR(__xludf.DUMMYFUNCTION("IFERROR(ABS(R1784-AVERAGE(FILTER(R1784:R5852,AA1784:AA5852=""Neighbor""))) / STDEV(FILTER(R1784:R5852, AA1784:AA5852 =""Neighbor"")), """")"),2.0060171871363273)</f>
        <v>2.006017187</v>
      </c>
    </row>
    <row r="1785">
      <c r="A1785" s="2" t="s">
        <v>28</v>
      </c>
      <c r="B1785" s="2" t="s">
        <v>7043</v>
      </c>
      <c r="C1785" s="2" t="s">
        <v>7308</v>
      </c>
      <c r="D1785" s="2" t="s">
        <v>7313</v>
      </c>
      <c r="E1785" s="2" t="s">
        <v>7314</v>
      </c>
      <c r="F1785" s="2">
        <v>269.0</v>
      </c>
      <c r="G1785" s="2">
        <v>759.0</v>
      </c>
      <c r="H1785" s="2" t="b">
        <v>1</v>
      </c>
      <c r="I1785" s="2">
        <v>-1.0</v>
      </c>
      <c r="J1785" s="2" t="b">
        <v>1</v>
      </c>
      <c r="K1785" s="2" t="b">
        <v>1</v>
      </c>
      <c r="L1785" s="2" t="b">
        <v>0</v>
      </c>
      <c r="M1785" s="2" t="b">
        <v>0</v>
      </c>
      <c r="N1785" s="2" t="s">
        <v>33</v>
      </c>
      <c r="O1785" s="2">
        <v>160.0</v>
      </c>
      <c r="P1785" s="2">
        <v>0.0</v>
      </c>
      <c r="Q1785" s="2">
        <v>91.0</v>
      </c>
      <c r="R1785" s="2">
        <v>4.0</v>
      </c>
      <c r="S1785" s="3" t="s">
        <v>7315</v>
      </c>
      <c r="T1785" s="2" t="s">
        <v>7316</v>
      </c>
      <c r="Y1785" s="4" t="str">
        <f>IFERROR(__xludf.DUMMYFUNCTION("""COMPUTED_VALUE"""),"7.4551074")</f>
        <v>7.4551074</v>
      </c>
      <c r="Z1785" s="4" t="str">
        <f>IFERROR(__xludf.DUMMYFUNCTION("""COMPUTED_VALUE"""),"3.006548")</f>
        <v>3.006548</v>
      </c>
      <c r="AA1785" s="4" t="str">
        <f t="shared" si="1"/>
        <v>Not Neighbor</v>
      </c>
      <c r="AC1785" s="4">
        <f>IFERROR(__xludf.DUMMYFUNCTION("IFERROR(ABS(O1785-AVERAGE(FILTER(O1785:O5853,AA1785:AA5853=""Neighbor""))) / STDEV(FILTER(O1785:O5853, AA1785:AA5853 =""Neighbor"")), """")"),2.8526922729296973)</f>
        <v>2.852692273</v>
      </c>
      <c r="AD1785" s="4">
        <f>IFERROR(__xludf.DUMMYFUNCTION("IFERROR(ABS(P1785-AVERAGE(FILTER(O1785:P5853,AA1785:AA5853=""Neighbor""))) / STDEV(FILTER(P1785:P5853, AA1785:AA5853 =""Neighbor"")), """")"),1.5752032255051425)</f>
        <v>1.575203226</v>
      </c>
      <c r="AE1785" s="2">
        <f>IFERROR(__xludf.DUMMYFUNCTION("IFERROR(ABS(Q1785-AVERAGE(FILTER(Q1785:Q5853,AA1785:AA5853=""Neighbor""))) / STDEV(FILTER(Q1785:Q5853, AA1785:AA5853 =""Neighbor"")), """")"),2.807222633792133)</f>
        <v>2.807222634</v>
      </c>
      <c r="AF1785" s="2">
        <f>IFERROR(__xludf.DUMMYFUNCTION("IFERROR(ABS(R1785-AVERAGE(FILTER(R1785:R5853,AA1785:AA5853=""Neighbor""))) / STDEV(FILTER(R1785:R5853, AA1785:AA5853 =""Neighbor"")), """")"),4.365733672390643)</f>
        <v>4.365733672</v>
      </c>
    </row>
    <row r="1786">
      <c r="A1786" s="2" t="s">
        <v>28</v>
      </c>
      <c r="B1786" s="2" t="s">
        <v>7043</v>
      </c>
      <c r="C1786" s="2" t="s">
        <v>7308</v>
      </c>
      <c r="D1786" s="2" t="s">
        <v>7317</v>
      </c>
      <c r="E1786" s="2" t="s">
        <v>7318</v>
      </c>
      <c r="F1786" s="2">
        <v>108.0</v>
      </c>
      <c r="G1786" s="2">
        <v>403.0</v>
      </c>
      <c r="H1786" s="2" t="b">
        <v>1</v>
      </c>
      <c r="I1786" s="2">
        <v>-1.0</v>
      </c>
      <c r="J1786" s="2" t="b">
        <v>0</v>
      </c>
      <c r="K1786" s="2" t="b">
        <v>0</v>
      </c>
      <c r="L1786" s="2" t="b">
        <v>0</v>
      </c>
      <c r="M1786" s="2" t="b">
        <v>0</v>
      </c>
      <c r="N1786" s="2" t="s">
        <v>33</v>
      </c>
      <c r="O1786" s="2">
        <v>82.0</v>
      </c>
      <c r="P1786" s="2">
        <v>4.0</v>
      </c>
      <c r="Q1786" s="2">
        <v>20.0</v>
      </c>
      <c r="R1786" s="2">
        <v>0.0</v>
      </c>
      <c r="S1786" s="3" t="s">
        <v>7319</v>
      </c>
      <c r="T1786" s="2" t="s">
        <v>7320</v>
      </c>
      <c r="Y1786" s="4" t="str">
        <f>IFERROR(__xludf.DUMMYFUNCTION("""COMPUTED_VALUE"""),"7.4562164")</f>
        <v>7.4562164</v>
      </c>
      <c r="Z1786" s="4" t="str">
        <f>IFERROR(__xludf.DUMMYFUNCTION("""COMPUTED_VALUE"""),"2.9797433")</f>
        <v>2.9797433</v>
      </c>
      <c r="AA1786" s="4" t="str">
        <f t="shared" si="1"/>
        <v>Not Neighbor</v>
      </c>
      <c r="AC1786" s="4">
        <f>IFERROR(__xludf.DUMMYFUNCTION("IFERROR(ABS(O1786-AVERAGE(FILTER(O1786:O5854,AA1786:AA5854=""Neighbor""))) / STDEV(FILTER(O1786:O5854, AA1786:AA5854 =""Neighbor"")), """")"),0.7441394433180357)</f>
        <v>0.7441394433</v>
      </c>
      <c r="AD1786" s="4">
        <f>IFERROR(__xludf.DUMMYFUNCTION("IFERROR(ABS(P1786-AVERAGE(FILTER(O1786:P5854,AA1786:AA5854=""Neighbor""))) / STDEV(FILTER(P1786:P5854, AA1786:AA5854 =""Neighbor"")), """")"),1.3966645662651003)</f>
        <v>1.396664566</v>
      </c>
      <c r="AE1786" s="2">
        <f>IFERROR(__xludf.DUMMYFUNCTION("IFERROR(ABS(Q1786-AVERAGE(FILTER(Q1786:Q5854,AA1786:AA5854=""Neighbor""))) / STDEV(FILTER(Q1786:Q5854, AA1786:AA5854 =""Neighbor"")), """")"),0.09392726503905324)</f>
        <v>0.09392726504</v>
      </c>
      <c r="AF1786" s="2">
        <f>IFERROR(__xludf.DUMMYFUNCTION("IFERROR(ABS(R1786-AVERAGE(FILTER(R1786:R5854,AA1786:AA5854=""Neighbor""))) / STDEV(FILTER(R1786:R5854, AA1786:AA5854 =""Neighbor"")), """")"),0.3536992981179882)</f>
        <v>0.3536992981</v>
      </c>
    </row>
    <row r="1787">
      <c r="A1787" s="2" t="s">
        <v>28</v>
      </c>
      <c r="B1787" s="2" t="s">
        <v>7043</v>
      </c>
      <c r="C1787" s="2" t="s">
        <v>7308</v>
      </c>
      <c r="D1787" s="2" t="s">
        <v>7321</v>
      </c>
      <c r="E1787" s="2" t="s">
        <v>7322</v>
      </c>
      <c r="F1787" s="2">
        <v>93.0</v>
      </c>
      <c r="G1787" s="2">
        <v>675.0</v>
      </c>
      <c r="H1787" s="2" t="b">
        <v>1</v>
      </c>
      <c r="I1787" s="2">
        <v>-1.0</v>
      </c>
      <c r="J1787" s="2" t="b">
        <v>0</v>
      </c>
      <c r="K1787" s="2" t="b">
        <v>0</v>
      </c>
      <c r="L1787" s="2" t="b">
        <v>0</v>
      </c>
      <c r="M1787" s="2" t="b">
        <v>0</v>
      </c>
      <c r="N1787" s="2" t="s">
        <v>33</v>
      </c>
      <c r="O1787" s="2">
        <v>5.0</v>
      </c>
      <c r="P1787" s="2">
        <v>0.0</v>
      </c>
      <c r="Q1787" s="2">
        <v>30.0</v>
      </c>
      <c r="R1787" s="2">
        <v>52.0</v>
      </c>
      <c r="S1787" s="3" t="s">
        <v>7323</v>
      </c>
      <c r="T1787" s="2" t="s">
        <v>7324</v>
      </c>
      <c r="Y1787" s="4" t="str">
        <f>IFERROR(__xludf.DUMMYFUNCTION("""COMPUTED_VALUE"""),"7.471427")</f>
        <v>7.471427</v>
      </c>
      <c r="Z1787" s="4" t="str">
        <f>IFERROR(__xludf.DUMMYFUNCTION("""COMPUTED_VALUE"""),"2.979005")</f>
        <v>2.979005</v>
      </c>
      <c r="AA1787" s="4" t="str">
        <f t="shared" si="1"/>
        <v>Not Neighbor</v>
      </c>
      <c r="AC1787" s="4">
        <f>IFERROR(__xludf.DUMMYFUNCTION("IFERROR(ABS(O1787-AVERAGE(FILTER(O1787:O5855,AA1787:AA5855=""Neighbor""))) / STDEV(FILTER(O1787:O5855, AA1787:AA5855 =""Neighbor"")), """")"),1.3373806577088607)</f>
        <v>1.337380658</v>
      </c>
      <c r="AD1787" s="4">
        <f>IFERROR(__xludf.DUMMYFUNCTION("IFERROR(ABS(P1787-AVERAGE(FILTER(O1787:P5855,AA1787:AA5855=""Neighbor""))) / STDEV(FILTER(P1787:P5855, AA1787:AA5855 =""Neighbor"")), """")"),1.5752032255051425)</f>
        <v>1.575203226</v>
      </c>
      <c r="AE1787" s="2">
        <f>IFERROR(__xludf.DUMMYFUNCTION("IFERROR(ABS(Q1787-AVERAGE(FILTER(Q1787:Q5855,AA1787:AA5855=""Neighbor""))) / STDEV(FILTER(Q1787:Q5855, AA1787:AA5855 =""Neighbor"")), """")"),0.3146853967681561)</f>
        <v>0.3146853968</v>
      </c>
      <c r="AF1787" s="2">
        <f>IFERROR(__xludf.DUMMYFUNCTION("IFERROR(ABS(R1787-AVERAGE(FILTER(R1787:R5855,AA1787:AA5855=""Neighbor""))) / STDEV(FILTER(R1787:R5855, AA1787:AA5855 =""Neighbor"")), """")"),60.99892931849421)</f>
        <v>60.99892932</v>
      </c>
    </row>
    <row r="1788">
      <c r="A1788" s="2" t="s">
        <v>28</v>
      </c>
      <c r="B1788" s="2" t="s">
        <v>7043</v>
      </c>
      <c r="C1788" s="2" t="s">
        <v>7308</v>
      </c>
      <c r="D1788" s="2" t="s">
        <v>7325</v>
      </c>
      <c r="E1788" s="2" t="s">
        <v>7326</v>
      </c>
      <c r="F1788" s="2">
        <v>99.0</v>
      </c>
      <c r="G1788" s="2">
        <v>471.0</v>
      </c>
      <c r="H1788" s="2" t="b">
        <v>1</v>
      </c>
      <c r="I1788" s="2">
        <v>-1.0</v>
      </c>
      <c r="J1788" s="2" t="b">
        <v>0</v>
      </c>
      <c r="K1788" s="2" t="b">
        <v>0</v>
      </c>
      <c r="L1788" s="2" t="b">
        <v>0</v>
      </c>
      <c r="M1788" s="2" t="b">
        <v>0</v>
      </c>
      <c r="N1788" s="2" t="s">
        <v>33</v>
      </c>
      <c r="O1788" s="2">
        <v>1.0</v>
      </c>
      <c r="P1788" s="2">
        <v>2.0</v>
      </c>
      <c r="Q1788" s="2">
        <v>23.0</v>
      </c>
      <c r="R1788" s="2">
        <v>0.0</v>
      </c>
      <c r="S1788" s="3" t="s">
        <v>7327</v>
      </c>
      <c r="T1788" s="2" t="s">
        <v>7328</v>
      </c>
      <c r="Y1788" s="4" t="str">
        <f>IFERROR(__xludf.DUMMYFUNCTION("""COMPUTED_VALUE"""),"7.4597461")</f>
        <v>7.4597461</v>
      </c>
      <c r="Z1788" s="4" t="str">
        <f>IFERROR(__xludf.DUMMYFUNCTION("""COMPUTED_VALUE"""),"3.0010374")</f>
        <v>3.0010374</v>
      </c>
      <c r="AA1788" s="4" t="str">
        <f t="shared" si="1"/>
        <v>Not Neighbor</v>
      </c>
      <c r="AC1788" s="4">
        <f>IFERROR(__xludf.DUMMYFUNCTION("IFERROR(ABS(O1788-AVERAGE(FILTER(O1788:O5856,AA1788:AA5856=""Neighbor""))) / STDEV(FILTER(O1788:O5856, AA1788:AA5856 =""Neighbor"")), """")"),1.4455115720479204)</f>
        <v>1.445511572</v>
      </c>
      <c r="AD1788" s="4">
        <f>IFERROR(__xludf.DUMMYFUNCTION("IFERROR(ABS(P1788-AVERAGE(FILTER(O1788:P5856,AA1788:AA5856=""Neighbor""))) / STDEV(FILTER(P1788:P5856, AA1788:AA5856 =""Neighbor"")), """")"),1.4859338958851214)</f>
        <v>1.485933896</v>
      </c>
      <c r="AE1788" s="2">
        <f>IFERROR(__xludf.DUMMYFUNCTION("IFERROR(ABS(Q1788-AVERAGE(FILTER(Q1788:Q5856,AA1788:AA5856=""Neighbor""))) / STDEV(FILTER(Q1788:Q5856, AA1788:AA5856 =""Neighbor"")), """")"),0.028656533503109562)</f>
        <v>0.0286565335</v>
      </c>
      <c r="AF1788" s="2">
        <f>IFERROR(__xludf.DUMMYFUNCTION("IFERROR(ABS(R1788-AVERAGE(FILTER(R1788:R5856,AA1788:AA5856=""Neighbor""))) / STDEV(FILTER(R1788:R5856, AA1788:AA5856 =""Neighbor"")), """")"),0.3536992981179882)</f>
        <v>0.3536992981</v>
      </c>
    </row>
    <row r="1789">
      <c r="A1789" s="2" t="s">
        <v>28</v>
      </c>
      <c r="B1789" s="2" t="s">
        <v>7043</v>
      </c>
      <c r="C1789" s="2" t="s">
        <v>7308</v>
      </c>
      <c r="D1789" s="2" t="s">
        <v>7329</v>
      </c>
      <c r="E1789" s="2" t="s">
        <v>7330</v>
      </c>
      <c r="F1789" s="2">
        <v>66.0</v>
      </c>
      <c r="G1789" s="2">
        <v>294.0</v>
      </c>
      <c r="H1789" s="2" t="b">
        <v>1</v>
      </c>
      <c r="I1789" s="2">
        <v>-1.0</v>
      </c>
      <c r="J1789" s="2" t="b">
        <v>0</v>
      </c>
      <c r="K1789" s="2" t="b">
        <v>0</v>
      </c>
      <c r="L1789" s="2" t="b">
        <v>0</v>
      </c>
      <c r="M1789" s="2" t="b">
        <v>0</v>
      </c>
      <c r="N1789" s="2" t="s">
        <v>33</v>
      </c>
      <c r="O1789" s="2">
        <v>59.0</v>
      </c>
      <c r="P1789" s="2">
        <v>0.0</v>
      </c>
      <c r="Q1789" s="2">
        <v>6.0</v>
      </c>
      <c r="R1789" s="2">
        <v>0.0</v>
      </c>
      <c r="S1789" s="3" t="s">
        <v>7331</v>
      </c>
      <c r="T1789" s="2" t="s">
        <v>7332</v>
      </c>
      <c r="Y1789" s="4" t="str">
        <f>IFERROR(__xludf.DUMMYFUNCTION("""COMPUTED_VALUE"""),"7.4929176")</f>
        <v>7.4929176</v>
      </c>
      <c r="Z1789" s="4" t="str">
        <f>IFERROR(__xludf.DUMMYFUNCTION("""COMPUTED_VALUE"""),"2.9975593")</f>
        <v>2.9975593</v>
      </c>
      <c r="AA1789" s="4" t="str">
        <f t="shared" si="1"/>
        <v>Not Neighbor</v>
      </c>
      <c r="AC1789" s="4">
        <f>IFERROR(__xludf.DUMMYFUNCTION("IFERROR(ABS(O1789-AVERAGE(FILTER(O1789:O5857,AA1789:AA5857=""Neighbor""))) / STDEV(FILTER(O1789:O5857, AA1789:AA5857 =""Neighbor"")), """")"),0.12238668586844323)</f>
        <v>0.1223866859</v>
      </c>
      <c r="AD1789" s="4">
        <f>IFERROR(__xludf.DUMMYFUNCTION("IFERROR(ABS(P1789-AVERAGE(FILTER(O1789:P5857,AA1789:AA5857=""Neighbor""))) / STDEV(FILTER(P1789:P5857, AA1789:AA5857 =""Neighbor"")), """")"),1.5752032255051425)</f>
        <v>1.575203226</v>
      </c>
      <c r="AE1789" s="2">
        <f>IFERROR(__xludf.DUMMYFUNCTION("IFERROR(ABS(Q1789-AVERAGE(FILTER(Q1789:Q5857,AA1789:AA5857=""Neighbor""))) / STDEV(FILTER(Q1789:Q5857, AA1789:AA5857 =""Neighbor"")), """")"),0.6659849915691464)</f>
        <v>0.6659849916</v>
      </c>
      <c r="AF1789" s="2">
        <f>IFERROR(__xludf.DUMMYFUNCTION("IFERROR(ABS(R1789-AVERAGE(FILTER(R1789:R5857,AA1789:AA5857=""Neighbor""))) / STDEV(FILTER(R1789:R5857, AA1789:AA5857 =""Neighbor"")), """")"),0.3536992981179882)</f>
        <v>0.3536992981</v>
      </c>
    </row>
    <row r="1790">
      <c r="A1790" s="2" t="s">
        <v>28</v>
      </c>
      <c r="B1790" s="2" t="s">
        <v>7043</v>
      </c>
      <c r="C1790" s="2" t="s">
        <v>7333</v>
      </c>
      <c r="D1790" s="2" t="s">
        <v>7334</v>
      </c>
      <c r="E1790" s="2" t="s">
        <v>7335</v>
      </c>
      <c r="F1790" s="2">
        <v>239.0</v>
      </c>
      <c r="G1790" s="2">
        <v>1022.0</v>
      </c>
      <c r="H1790" s="2" t="b">
        <v>1</v>
      </c>
      <c r="I1790" s="2">
        <v>-1.0</v>
      </c>
      <c r="J1790" s="2" t="b">
        <v>0</v>
      </c>
      <c r="K1790" s="2" t="b">
        <v>0</v>
      </c>
      <c r="L1790" s="2" t="b">
        <v>0</v>
      </c>
      <c r="M1790" s="2" t="b">
        <v>0</v>
      </c>
      <c r="N1790" s="2" t="s">
        <v>33</v>
      </c>
      <c r="O1790" s="2">
        <v>155.0</v>
      </c>
      <c r="P1790" s="2">
        <v>5.0</v>
      </c>
      <c r="Q1790" s="2">
        <v>60.0</v>
      </c>
      <c r="R1790" s="2">
        <v>1.0</v>
      </c>
      <c r="S1790" s="3" t="s">
        <v>7336</v>
      </c>
      <c r="T1790" s="2" t="s">
        <v>7337</v>
      </c>
      <c r="Y1790" s="4" t="str">
        <f>IFERROR(__xludf.DUMMYFUNCTION("""COMPUTED_VALUE"""),"7.4169322")</f>
        <v>7.4169322</v>
      </c>
      <c r="Z1790" s="4" t="str">
        <f>IFERROR(__xludf.DUMMYFUNCTION("""COMPUTED_VALUE"""),"3.0476046")</f>
        <v>3.0476046</v>
      </c>
      <c r="AA1790" s="4" t="str">
        <f t="shared" si="1"/>
        <v>Neighbor</v>
      </c>
      <c r="AC1790" s="4">
        <f>IFERROR(__xludf.DUMMYFUNCTION("IFERROR(ABS(O1790-AVERAGE(FILTER(O1790:O5858,AA1790:AA5858=""Neighbor""))) / STDEV(FILTER(O1790:O5858, AA1790:AA5858 =""Neighbor"")), """")"),2.7175286300058725)</f>
        <v>2.71752863</v>
      </c>
      <c r="AD1790" s="4">
        <f>IFERROR(__xludf.DUMMYFUNCTION("IFERROR(ABS(P1790-AVERAGE(FILTER(O1790:P5858,AA1790:AA5858=""Neighbor""))) / STDEV(FILTER(P1790:P5858, AA1790:AA5858 =""Neighbor"")), """")"),1.3520299014550898)</f>
        <v>1.352029901</v>
      </c>
      <c r="AE1790" s="2">
        <f>IFERROR(__xludf.DUMMYFUNCTION("IFERROR(ABS(Q1790-AVERAGE(FILTER(Q1790:Q5858,AA1790:AA5858=""Neighbor""))) / STDEV(FILTER(Q1790:Q5858, AA1790:AA5858 =""Neighbor"")), """")"),1.5405233821897841)</f>
        <v>1.540523382</v>
      </c>
      <c r="AF1790" s="2">
        <f>IFERROR(__xludf.DUMMYFUNCTION("IFERROR(ABS(R1790-AVERAGE(FILTER(R1790:R5858,AA1790:AA5858=""Neighbor""))) / STDEV(FILTER(R1790:R5858, AA1790:AA5858 =""Neighbor"")), """")"),0.8261589445091695)</f>
        <v>0.8261589445</v>
      </c>
    </row>
    <row r="1791">
      <c r="A1791" s="2" t="s">
        <v>28</v>
      </c>
      <c r="B1791" s="2" t="s">
        <v>7043</v>
      </c>
      <c r="C1791" s="2" t="s">
        <v>7333</v>
      </c>
      <c r="D1791" s="2" t="s">
        <v>7338</v>
      </c>
      <c r="E1791" s="2" t="s">
        <v>7339</v>
      </c>
      <c r="F1791" s="2">
        <v>184.0</v>
      </c>
      <c r="G1791" s="2">
        <v>795.0</v>
      </c>
      <c r="H1791" s="2" t="b">
        <v>1</v>
      </c>
      <c r="I1791" s="2">
        <v>-1.0</v>
      </c>
      <c r="J1791" s="2" t="b">
        <v>0</v>
      </c>
      <c r="K1791" s="2" t="b">
        <v>0</v>
      </c>
      <c r="L1791" s="2" t="b">
        <v>0</v>
      </c>
      <c r="M1791" s="2" t="b">
        <v>0</v>
      </c>
      <c r="N1791" s="2" t="s">
        <v>33</v>
      </c>
      <c r="O1791" s="2">
        <v>121.0</v>
      </c>
      <c r="P1791" s="2">
        <v>11.0</v>
      </c>
      <c r="Q1791" s="2">
        <v>26.0</v>
      </c>
      <c r="R1791" s="2">
        <v>0.0</v>
      </c>
      <c r="S1791" s="3" t="s">
        <v>7340</v>
      </c>
      <c r="T1791" s="2" t="s">
        <v>7341</v>
      </c>
      <c r="Y1791" s="4" t="str">
        <f>IFERROR(__xludf.DUMMYFUNCTION("""COMPUTED_VALUE"""),"7.4169322")</f>
        <v>7.4169322</v>
      </c>
      <c r="Z1791" s="4" t="str">
        <f>IFERROR(__xludf.DUMMYFUNCTION("""COMPUTED_VALUE"""),"3.0476046")</f>
        <v>3.0476046</v>
      </c>
      <c r="AA1791" s="4" t="str">
        <f t="shared" si="1"/>
        <v>Neighbor</v>
      </c>
      <c r="AC1791" s="4">
        <f>IFERROR(__xludf.DUMMYFUNCTION("IFERROR(ABS(O1791-AVERAGE(FILTER(O1791:O5859,AA1791:AA5859=""Neighbor""))) / STDEV(FILTER(O1791:O5859, AA1791:AA5859 =""Neighbor"")), """")"),1.8077395418981328)</f>
        <v>1.807739542</v>
      </c>
      <c r="AD1791" s="4">
        <f>IFERROR(__xludf.DUMMYFUNCTION("IFERROR(ABS(P1791-AVERAGE(FILTER(O1791:P5859,AA1791:AA5859=""Neighbor""))) / STDEV(FILTER(P1791:P5859, AA1791:AA5859 =""Neighbor"")), """")"),1.0815892619136023)</f>
        <v>1.081589262</v>
      </c>
      <c r="AE1791" s="2">
        <f>IFERROR(__xludf.DUMMYFUNCTION("IFERROR(ABS(Q1791-AVERAGE(FILTER(Q1791:Q5859,AA1791:AA5859=""Neighbor""))) / STDEV(FILTER(Q1791:Q5859, AA1791:AA5859 =""Neighbor"")), """")"),0.15304313364614552)</f>
        <v>0.1530431336</v>
      </c>
      <c r="AF1791" s="2">
        <f>IFERROR(__xludf.DUMMYFUNCTION("IFERROR(ABS(R1791-AVERAGE(FILTER(R1791:R5859,AA1791:AA5859=""Neighbor""))) / STDEV(FILTER(R1791:R5859, AA1791:AA5859 =""Neighbor"")), """")"),0.352733172079274)</f>
        <v>0.3527331721</v>
      </c>
    </row>
    <row r="1792">
      <c r="A1792" s="2" t="s">
        <v>28</v>
      </c>
      <c r="B1792" s="2" t="s">
        <v>7043</v>
      </c>
      <c r="C1792" s="2" t="s">
        <v>7333</v>
      </c>
      <c r="D1792" s="2" t="s">
        <v>7342</v>
      </c>
      <c r="E1792" s="2" t="s">
        <v>7343</v>
      </c>
      <c r="F1792" s="2">
        <v>164.0</v>
      </c>
      <c r="G1792" s="2">
        <v>683.0</v>
      </c>
      <c r="H1792" s="2" t="b">
        <v>1</v>
      </c>
      <c r="I1792" s="2">
        <v>-1.0</v>
      </c>
      <c r="J1792" s="2" t="b">
        <v>0</v>
      </c>
      <c r="K1792" s="2" t="b">
        <v>0</v>
      </c>
      <c r="L1792" s="2" t="b">
        <v>0</v>
      </c>
      <c r="M1792" s="2" t="b">
        <v>0</v>
      </c>
      <c r="N1792" s="2" t="s">
        <v>33</v>
      </c>
      <c r="O1792" s="2">
        <v>84.0</v>
      </c>
      <c r="P1792" s="2">
        <v>7.0</v>
      </c>
      <c r="Q1792" s="2">
        <v>61.0</v>
      </c>
      <c r="R1792" s="2">
        <v>1.0</v>
      </c>
      <c r="S1792" s="3" t="s">
        <v>7344</v>
      </c>
      <c r="T1792" s="2" t="s">
        <v>7345</v>
      </c>
      <c r="Y1792" s="4" t="str">
        <f>IFERROR(__xludf.DUMMYFUNCTION("""COMPUTED_VALUE"""),"7.4169322")</f>
        <v>7.4169322</v>
      </c>
      <c r="Z1792" s="4" t="str">
        <f>IFERROR(__xludf.DUMMYFUNCTION("""COMPUTED_VALUE"""),"3.0476046")</f>
        <v>3.0476046</v>
      </c>
      <c r="AA1792" s="4" t="str">
        <f t="shared" si="1"/>
        <v>Neighbor</v>
      </c>
      <c r="AC1792" s="4">
        <f>IFERROR(__xludf.DUMMYFUNCTION("IFERROR(ABS(O1792-AVERAGE(FILTER(O1792:O5860,AA1792:AA5860=""Neighbor""))) / STDEV(FILTER(O1792:O5860, AA1792:AA5860 =""Neighbor"")), """")"),0.8069932285503687)</f>
        <v>0.8069932286</v>
      </c>
      <c r="AD1792" s="4">
        <f>IFERROR(__xludf.DUMMYFUNCTION("IFERROR(ABS(P1792-AVERAGE(FILTER(O1792:P5860,AA1792:AA5860=""Neighbor""))) / STDEV(FILTER(P1792:P5860, AA1792:AA5860 =""Neighbor"")), """")"),1.2578953249676539)</f>
        <v>1.257895325</v>
      </c>
      <c r="AE1792" s="2">
        <f>IFERROR(__xludf.DUMMYFUNCTION("IFERROR(ABS(Q1792-AVERAGE(FILTER(Q1792:Q5860,AA1792:AA5860=""Neighbor""))) / STDEV(FILTER(Q1792:Q5860, AA1792:AA5860 =""Neighbor"")), """")"),1.5835866751292005)</f>
        <v>1.583586675</v>
      </c>
      <c r="AF1792" s="2">
        <f>IFERROR(__xludf.DUMMYFUNCTION("IFERROR(ABS(R1792-AVERAGE(FILTER(R1792:R5860,AA1792:AA5860=""Neighbor""))) / STDEV(FILTER(R1792:R5860, AA1792:AA5860 =""Neighbor"")), """")"),0.8261366374720385)</f>
        <v>0.8261366375</v>
      </c>
    </row>
    <row r="1793">
      <c r="A1793" s="2" t="s">
        <v>28</v>
      </c>
      <c r="B1793" s="2" t="s">
        <v>7043</v>
      </c>
      <c r="C1793" s="2" t="s">
        <v>7333</v>
      </c>
      <c r="D1793" s="2" t="s">
        <v>7346</v>
      </c>
      <c r="E1793" s="2" t="s">
        <v>7347</v>
      </c>
      <c r="F1793" s="2">
        <v>55.0</v>
      </c>
      <c r="G1793" s="2">
        <v>486.0</v>
      </c>
      <c r="H1793" s="2" t="b">
        <v>1</v>
      </c>
      <c r="I1793" s="2">
        <v>-1.0</v>
      </c>
      <c r="J1793" s="2" t="b">
        <v>1</v>
      </c>
      <c r="K1793" s="2" t="b">
        <v>0</v>
      </c>
      <c r="L1793" s="2" t="b">
        <v>0</v>
      </c>
      <c r="M1793" s="2" t="b">
        <v>0</v>
      </c>
      <c r="N1793" s="2" t="s">
        <v>33</v>
      </c>
      <c r="O1793" s="2">
        <v>47.0</v>
      </c>
      <c r="P1793" s="2">
        <v>4.0</v>
      </c>
      <c r="Q1793" s="2">
        <v>3.0</v>
      </c>
      <c r="R1793" s="2">
        <v>0.0</v>
      </c>
      <c r="S1793" s="3" t="s">
        <v>7348</v>
      </c>
      <c r="T1793" s="2" t="s">
        <v>7349</v>
      </c>
      <c r="Y1793" s="4" t="str">
        <f>IFERROR(__xludf.DUMMYFUNCTION("""COMPUTED_VALUE"""),"7.4169322")</f>
        <v>7.4169322</v>
      </c>
      <c r="Z1793" s="4" t="str">
        <f>IFERROR(__xludf.DUMMYFUNCTION("""COMPUTED_VALUE"""),"3.0476046")</f>
        <v>3.0476046</v>
      </c>
      <c r="AA1793" s="4" t="str">
        <f t="shared" si="1"/>
        <v>Neighbor</v>
      </c>
      <c r="AC1793" s="4">
        <f>IFERROR(__xludf.DUMMYFUNCTION("IFERROR(ABS(O1793-AVERAGE(FILTER(O1793:O5861,AA1793:AA5861=""Neighbor""))) / STDEV(FILTER(O1793:O5861, AA1793:AA5861 =""Neighbor"")), """")"),0.1970721656790175)</f>
        <v>0.1970721657</v>
      </c>
      <c r="AD1793" s="4">
        <f>IFERROR(__xludf.DUMMYFUNCTION("IFERROR(ABS(P1793-AVERAGE(FILTER(O1793:P5861,AA1793:AA5861=""Neighbor""))) / STDEV(FILTER(P1793:P5861, AA1793:AA5861 =""Neighbor"")), """")"),1.3905334932766553)</f>
        <v>1.390533493</v>
      </c>
      <c r="AE1793" s="2">
        <f>IFERROR(__xludf.DUMMYFUNCTION("IFERROR(ABS(Q1793-AVERAGE(FILTER(Q1793:Q5861,AA1793:AA5861=""Neighbor""))) / STDEV(FILTER(Q1793:Q5861, AA1793:AA5861 =""Neighbor"")), """")"),0.7858003688985631)</f>
        <v>0.7858003689</v>
      </c>
      <c r="AF1793" s="2">
        <f>IFERROR(__xludf.DUMMYFUNCTION("IFERROR(ABS(R1793-AVERAGE(FILTER(R1793:R5861,AA1793:AA5861=""Neighbor""))) / STDEV(FILTER(R1793:R5861, AA1793:AA5861 =""Neighbor"")), """")"),0.3519822955390527)</f>
        <v>0.3519822955</v>
      </c>
    </row>
    <row r="1794">
      <c r="A1794" s="2" t="s">
        <v>28</v>
      </c>
      <c r="B1794" s="2" t="s">
        <v>7043</v>
      </c>
      <c r="C1794" s="2" t="s">
        <v>7333</v>
      </c>
      <c r="D1794" s="2" t="s">
        <v>7350</v>
      </c>
      <c r="E1794" s="2" t="s">
        <v>7351</v>
      </c>
      <c r="F1794" s="2">
        <v>111.0</v>
      </c>
      <c r="G1794" s="2">
        <v>388.0</v>
      </c>
      <c r="H1794" s="2" t="b">
        <v>1</v>
      </c>
      <c r="I1794" s="2">
        <v>-1.0</v>
      </c>
      <c r="J1794" s="2" t="b">
        <v>1</v>
      </c>
      <c r="K1794" s="2" t="b">
        <v>0</v>
      </c>
      <c r="L1794" s="2" t="b">
        <v>0</v>
      </c>
      <c r="M1794" s="2" t="b">
        <v>0</v>
      </c>
      <c r="N1794" s="2" t="s">
        <v>33</v>
      </c>
      <c r="O1794" s="2">
        <v>63.0</v>
      </c>
      <c r="P1794" s="2">
        <v>2.0</v>
      </c>
      <c r="Q1794" s="2">
        <v>46.0</v>
      </c>
      <c r="R1794" s="2">
        <v>0.0</v>
      </c>
      <c r="S1794" s="3" t="s">
        <v>7352</v>
      </c>
      <c r="T1794" s="2" t="s">
        <v>7353</v>
      </c>
      <c r="Y1794" s="4" t="str">
        <f>IFERROR(__xludf.DUMMYFUNCTION("""COMPUTED_VALUE"""),"7.4169322")</f>
        <v>7.4169322</v>
      </c>
      <c r="Z1794" s="4" t="str">
        <f>IFERROR(__xludf.DUMMYFUNCTION("""COMPUTED_VALUE"""),"3.0476046")</f>
        <v>3.0476046</v>
      </c>
      <c r="AA1794" s="4" t="str">
        <f t="shared" si="1"/>
        <v>Neighbor</v>
      </c>
      <c r="AC1794" s="4">
        <f>IFERROR(__xludf.DUMMYFUNCTION("IFERROR(ABS(O1794-AVERAGE(FILTER(O1794:O5862,AA1794:AA5862=""Neighbor""))) / STDEV(FILTER(O1794:O5862, AA1794:AA5862 =""Neighbor"")), """")"),0.23709267521931832)</f>
        <v>0.2370926752</v>
      </c>
      <c r="AD1794" s="4">
        <f>IFERROR(__xludf.DUMMYFUNCTION("IFERROR(ABS(P1794-AVERAGE(FILTER(O1794:P5862,AA1794:AA5862=""Neighbor""))) / STDEV(FILTER(P1794:P5862, AA1794:AA5862 =""Neighbor"")), """")"),1.4795784045054332)</f>
        <v>1.479578405</v>
      </c>
      <c r="AE1794" s="2">
        <f>IFERROR(__xludf.DUMMYFUNCTION("IFERROR(ABS(Q1794-AVERAGE(FILTER(Q1794:Q5862,AA1794:AA5862=""Neighbor""))) / STDEV(FILTER(Q1794:Q5862, AA1794:AA5862 =""Neighbor"")), """")"),0.972011922672312)</f>
        <v>0.9720119227</v>
      </c>
      <c r="AF1794" s="2">
        <f>IFERROR(__xludf.DUMMYFUNCTION("IFERROR(ABS(R1794-AVERAGE(FILTER(R1794:R5862,AA1794:AA5862=""Neighbor""))) / STDEV(FILTER(R1794:R5862, AA1794:AA5862 =""Neighbor"")), """")"),0.35219942884168176)</f>
        <v>0.3521994288</v>
      </c>
    </row>
    <row r="1795">
      <c r="A1795" s="2" t="s">
        <v>28</v>
      </c>
      <c r="B1795" s="2" t="s">
        <v>7043</v>
      </c>
      <c r="C1795" s="2" t="s">
        <v>7333</v>
      </c>
      <c r="D1795" s="2" t="s">
        <v>7354</v>
      </c>
      <c r="E1795" s="2" t="s">
        <v>7355</v>
      </c>
      <c r="F1795" s="2">
        <v>156.0</v>
      </c>
      <c r="G1795" s="2">
        <v>654.0</v>
      </c>
      <c r="H1795" s="2" t="b">
        <v>1</v>
      </c>
      <c r="I1795" s="2">
        <v>-1.0</v>
      </c>
      <c r="J1795" s="2" t="b">
        <v>0</v>
      </c>
      <c r="K1795" s="2" t="b">
        <v>1</v>
      </c>
      <c r="L1795" s="2" t="b">
        <v>0</v>
      </c>
      <c r="M1795" s="2" t="b">
        <v>0</v>
      </c>
      <c r="N1795" s="2" t="s">
        <v>33</v>
      </c>
      <c r="O1795" s="2">
        <v>117.0</v>
      </c>
      <c r="P1795" s="2">
        <v>12.0</v>
      </c>
      <c r="Q1795" s="2">
        <v>25.0</v>
      </c>
      <c r="R1795" s="2">
        <v>0.0</v>
      </c>
      <c r="S1795" s="3" t="s">
        <v>7356</v>
      </c>
      <c r="T1795" s="2" t="s">
        <v>7357</v>
      </c>
      <c r="Y1795" s="4" t="str">
        <f>IFERROR(__xludf.DUMMYFUNCTION("""COMPUTED_VALUE"""),"7.4169322")</f>
        <v>7.4169322</v>
      </c>
      <c r="Z1795" s="4" t="str">
        <f>IFERROR(__xludf.DUMMYFUNCTION("""COMPUTED_VALUE"""),"3.0476046")</f>
        <v>3.0476046</v>
      </c>
      <c r="AA1795" s="4" t="str">
        <f t="shared" si="1"/>
        <v>Not Neighbor</v>
      </c>
      <c r="AC1795" s="4">
        <f>IFERROR(__xludf.DUMMYFUNCTION("IFERROR(ABS(O1795-AVERAGE(FILTER(O1795:O5863,AA1795:AA5863=""Neighbor""))) / STDEV(FILTER(O1795:O5863, AA1795:AA5863 =""Neighbor"")), """")"),1.7021546726414447)</f>
        <v>1.702154673</v>
      </c>
      <c r="AD1795" s="4">
        <f>IFERROR(__xludf.DUMMYFUNCTION("IFERROR(ABS(P1795-AVERAGE(FILTER(O1795:P5863,AA1795:AA5863=""Neighbor""))) / STDEV(FILTER(P1795:P5863, AA1795:AA5863 =""Neighbor"")), """")"),1.033815528623215)</f>
        <v>1.033815529</v>
      </c>
      <c r="AE1795" s="2">
        <f>IFERROR(__xludf.DUMMYFUNCTION("IFERROR(ABS(Q1795-AVERAGE(FILTER(Q1795:Q5863,AA1795:AA5863=""Neighbor""))) / STDEV(FILTER(Q1795:Q5863, AA1795:AA5863 =""Neighbor"")), """")"),0.11427031557091033)</f>
        <v>0.1142703156</v>
      </c>
      <c r="AF1795" s="2">
        <f>IFERROR(__xludf.DUMMYFUNCTION("IFERROR(ABS(R1795-AVERAGE(FILTER(R1795:R5863,AA1795:AA5863=""Neighbor""))) / STDEV(FILTER(R1795:R5863, AA1795:AA5863 =""Neighbor"")), """")"),0.35241696453855914)</f>
        <v>0.3524169645</v>
      </c>
    </row>
    <row r="1796">
      <c r="A1796" s="2" t="s">
        <v>28</v>
      </c>
      <c r="B1796" s="2" t="s">
        <v>7043</v>
      </c>
      <c r="C1796" s="2" t="s">
        <v>7333</v>
      </c>
      <c r="D1796" s="2" t="s">
        <v>7358</v>
      </c>
      <c r="E1796" s="2" t="s">
        <v>7359</v>
      </c>
      <c r="F1796" s="2">
        <v>179.0</v>
      </c>
      <c r="G1796" s="2">
        <v>532.0</v>
      </c>
      <c r="H1796" s="2" t="b">
        <v>1</v>
      </c>
      <c r="I1796" s="2">
        <v>-1.0</v>
      </c>
      <c r="J1796" s="2" t="b">
        <v>1</v>
      </c>
      <c r="K1796" s="2" t="b">
        <v>1</v>
      </c>
      <c r="L1796" s="2" t="b">
        <v>0</v>
      </c>
      <c r="M1796" s="2" t="b">
        <v>0</v>
      </c>
      <c r="N1796" s="2" t="s">
        <v>33</v>
      </c>
      <c r="O1796" s="2">
        <v>95.0</v>
      </c>
      <c r="P1796" s="2">
        <v>0.0</v>
      </c>
      <c r="Q1796" s="2">
        <v>77.0</v>
      </c>
      <c r="R1796" s="2">
        <v>0.0</v>
      </c>
      <c r="S1796" s="3" t="s">
        <v>7360</v>
      </c>
      <c r="T1796" s="2" t="s">
        <v>7361</v>
      </c>
      <c r="Y1796" s="4" t="str">
        <f>IFERROR(__xludf.DUMMYFUNCTION("""COMPUTED_VALUE"""),"7.3692188")</f>
        <v>7.3692188</v>
      </c>
      <c r="Z1796" s="4" t="str">
        <f>IFERROR(__xludf.DUMMYFUNCTION("""COMPUTED_VALUE"""),"2.9421014")</f>
        <v>2.9421014</v>
      </c>
      <c r="AA1796" s="4" t="str">
        <f t="shared" si="1"/>
        <v>Not Neighbor</v>
      </c>
      <c r="AC1796" s="4">
        <f>IFERROR(__xludf.DUMMYFUNCTION("IFERROR(ABS(O1796-AVERAGE(FILTER(O1796:O5864,AA1796:AA5864=""Neighbor""))) / STDEV(FILTER(O1796:O5864, AA1796:AA5864 =""Neighbor"")), """")"),1.105333612880182)</f>
        <v>1.105333613</v>
      </c>
      <c r="AD1796" s="4">
        <f>IFERROR(__xludf.DUMMYFUNCTION("IFERROR(ABS(P1796-AVERAGE(FILTER(O1796:P5864,AA1796:AA5864=""Neighbor""))) / STDEV(FILTER(P1796:P5864, AA1796:AA5864 =""Neighbor"")), """")"),1.5683018563821567)</f>
        <v>1.568301856</v>
      </c>
      <c r="AE1796" s="2">
        <f>IFERROR(__xludf.DUMMYFUNCTION("IFERROR(ABS(Q1796-AVERAGE(FILTER(Q1796:Q5864,AA1796:AA5864=""Neighbor""))) / STDEV(FILTER(Q1796:Q5864, AA1796:AA5864 =""Neighbor"")), """")"),2.2407779047070484)</f>
        <v>2.240777905</v>
      </c>
      <c r="AF1796" s="2">
        <f>IFERROR(__xludf.DUMMYFUNCTION("IFERROR(ABS(R1796-AVERAGE(FILTER(R1796:R5864,AA1796:AA5864=""Neighbor""))) / STDEV(FILTER(R1796:R5864, AA1796:AA5864 =""Neighbor"")), """")"),0.35241696453855914)</f>
        <v>0.3524169645</v>
      </c>
    </row>
    <row r="1797">
      <c r="A1797" s="2" t="s">
        <v>28</v>
      </c>
      <c r="B1797" s="2" t="s">
        <v>7043</v>
      </c>
      <c r="C1797" s="2" t="s">
        <v>7333</v>
      </c>
      <c r="D1797" s="2" t="s">
        <v>7362</v>
      </c>
      <c r="E1797" s="2" t="s">
        <v>7363</v>
      </c>
      <c r="F1797" s="2">
        <v>163.0</v>
      </c>
      <c r="G1797" s="2">
        <v>750.0</v>
      </c>
      <c r="H1797" s="2" t="b">
        <v>1</v>
      </c>
      <c r="I1797" s="2">
        <v>-1.0</v>
      </c>
      <c r="J1797" s="2" t="b">
        <v>1</v>
      </c>
      <c r="K1797" s="2" t="b">
        <v>0</v>
      </c>
      <c r="L1797" s="2" t="b">
        <v>0</v>
      </c>
      <c r="M1797" s="2" t="b">
        <v>0</v>
      </c>
      <c r="N1797" s="2" t="s">
        <v>33</v>
      </c>
      <c r="O1797" s="2">
        <v>109.0</v>
      </c>
      <c r="P1797" s="2">
        <v>10.0</v>
      </c>
      <c r="Q1797" s="2">
        <v>34.0</v>
      </c>
      <c r="R1797" s="2">
        <v>0.0</v>
      </c>
      <c r="S1797" s="3" t="s">
        <v>7364</v>
      </c>
      <c r="T1797" s="2" t="s">
        <v>7365</v>
      </c>
      <c r="Y1797" s="4" t="str">
        <f>IFERROR(__xludf.DUMMYFUNCTION("""COMPUTED_VALUE"""),"7.4169322")</f>
        <v>7.4169322</v>
      </c>
      <c r="Z1797" s="4" t="str">
        <f>IFERROR(__xludf.DUMMYFUNCTION("""COMPUTED_VALUE"""),"3.0476046")</f>
        <v>3.0476046</v>
      </c>
      <c r="AA1797" s="4" t="str">
        <f t="shared" si="1"/>
        <v>Not Neighbor</v>
      </c>
      <c r="AC1797" s="4">
        <f>IFERROR(__xludf.DUMMYFUNCTION("IFERROR(ABS(O1797-AVERAGE(FILTER(O1797:O5865,AA1797:AA5865=""Neighbor""))) / STDEV(FILTER(O1797:O5865, AA1797:AA5865 =""Neighbor"")), """")"),1.4851288327282584)</f>
        <v>1.485128833</v>
      </c>
      <c r="AD1797" s="4">
        <f>IFERROR(__xludf.DUMMYFUNCTION("IFERROR(ABS(P1797-AVERAGE(FILTER(O1797:P5865,AA1797:AA5865=""Neighbor""))) / STDEV(FILTER(P1797:P5865, AA1797:AA5865 =""Neighbor"")), """")"),1.1228965832497053)</f>
        <v>1.122896583</v>
      </c>
      <c r="AE1797" s="2">
        <f>IFERROR(__xludf.DUMMYFUNCTION("IFERROR(ABS(Q1797-AVERAGE(FILTER(Q1797:Q5865,AA1797:AA5865=""Neighbor""))) / STDEV(FILTER(Q1797:Q5865, AA1797:AA5865 =""Neighbor"")), """")"),0.48231970599831886)</f>
        <v>0.482319706</v>
      </c>
      <c r="AF1797" s="2">
        <f>IFERROR(__xludf.DUMMYFUNCTION("IFERROR(ABS(R1797-AVERAGE(FILTER(R1797:R5865,AA1797:AA5865=""Neighbor""))) / STDEV(FILTER(R1797:R5865, AA1797:AA5865 =""Neighbor"")), """")"),0.35241696453855914)</f>
        <v>0.3524169645</v>
      </c>
    </row>
    <row r="1798">
      <c r="A1798" s="2" t="s">
        <v>28</v>
      </c>
      <c r="B1798" s="2" t="s">
        <v>7366</v>
      </c>
      <c r="C1798" s="2" t="s">
        <v>7367</v>
      </c>
      <c r="D1798" s="2" t="s">
        <v>7368</v>
      </c>
      <c r="E1798" s="2" t="s">
        <v>7369</v>
      </c>
      <c r="F1798" s="2">
        <v>215.0</v>
      </c>
      <c r="G1798" s="2">
        <v>750.0</v>
      </c>
      <c r="H1798" s="2" t="b">
        <v>1</v>
      </c>
      <c r="I1798" s="2">
        <v>-1.0</v>
      </c>
      <c r="J1798" s="2" t="b">
        <v>0</v>
      </c>
      <c r="K1798" s="2" t="b">
        <v>0</v>
      </c>
      <c r="L1798" s="2" t="b">
        <v>0</v>
      </c>
      <c r="M1798" s="2" t="b">
        <v>0</v>
      </c>
      <c r="N1798" s="2" t="s">
        <v>33</v>
      </c>
      <c r="O1798" s="2">
        <v>118.0</v>
      </c>
      <c r="P1798" s="2">
        <v>6.0</v>
      </c>
      <c r="Q1798" s="2">
        <v>74.0</v>
      </c>
      <c r="R1798" s="2">
        <v>0.0</v>
      </c>
      <c r="S1798" s="3" t="s">
        <v>7370</v>
      </c>
      <c r="T1798" s="2" t="s">
        <v>7371</v>
      </c>
      <c r="Y1798" s="4" t="str">
        <f>IFERROR(__xludf.DUMMYFUNCTION("""COMPUTED_VALUE"""),"6.5343396")</f>
        <v>6.5343396</v>
      </c>
      <c r="Z1798" s="4" t="str">
        <f>IFERROR(__xludf.DUMMYFUNCTION("""COMPUTED_VALUE"""),"2.8415046")</f>
        <v>2.8415046</v>
      </c>
      <c r="AA1798" s="4" t="str">
        <f t="shared" si="1"/>
        <v>Neighbor</v>
      </c>
      <c r="AC1798" s="4">
        <f>IFERROR(__xludf.DUMMYFUNCTION("IFERROR(ABS(O1798-AVERAGE(FILTER(O1798:O5866,AA1798:AA5866=""Neighbor""))) / STDEV(FILTER(O1798:O5866, AA1798:AA5866 =""Neighbor"")), """")"),1.729282902630593)</f>
        <v>1.729282903</v>
      </c>
      <c r="AD1798" s="4">
        <f>IFERROR(__xludf.DUMMYFUNCTION("IFERROR(ABS(P1798-AVERAGE(FILTER(O1798:P5866,AA1798:AA5866=""Neighbor""))) / STDEV(FILTER(P1798:P5866, AA1798:AA5866 =""Neighbor"")), """")"),1.301058692502686)</f>
        <v>1.301058693</v>
      </c>
      <c r="AE1798" s="2">
        <f>IFERROR(__xludf.DUMMYFUNCTION("IFERROR(ABS(Q1798-AVERAGE(FILTER(Q1798:Q5866,AA1798:AA5866=""Neighbor""))) / STDEV(FILTER(Q1798:Q5866, AA1798:AA5866 =""Neighbor"")), """")"),2.1180947745645793)</f>
        <v>2.118094775</v>
      </c>
      <c r="AF1798" s="2">
        <f>IFERROR(__xludf.DUMMYFUNCTION("IFERROR(ABS(R1798-AVERAGE(FILTER(R1798:R5866,AA1798:AA5866=""Neighbor""))) / STDEV(FILTER(R1798:R5866, AA1798:AA5866 =""Neighbor"")), """")"),0.35241696453855914)</f>
        <v>0.3524169645</v>
      </c>
    </row>
    <row r="1799">
      <c r="A1799" s="2" t="s">
        <v>28</v>
      </c>
      <c r="B1799" s="2" t="s">
        <v>7366</v>
      </c>
      <c r="C1799" s="2" t="s">
        <v>7367</v>
      </c>
      <c r="D1799" s="2" t="s">
        <v>7372</v>
      </c>
      <c r="E1799" s="2" t="s">
        <v>7373</v>
      </c>
      <c r="F1799" s="2">
        <v>210.0</v>
      </c>
      <c r="G1799" s="2">
        <v>750.0</v>
      </c>
      <c r="H1799" s="2" t="b">
        <v>1</v>
      </c>
      <c r="I1799" s="2">
        <v>-1.0</v>
      </c>
      <c r="J1799" s="2" t="b">
        <v>1</v>
      </c>
      <c r="K1799" s="2" t="b">
        <v>0</v>
      </c>
      <c r="L1799" s="2" t="b">
        <v>0</v>
      </c>
      <c r="M1799" s="2" t="b">
        <v>0</v>
      </c>
      <c r="N1799" s="2" t="s">
        <v>33</v>
      </c>
      <c r="O1799" s="2">
        <v>117.0</v>
      </c>
      <c r="P1799" s="2">
        <v>2.0</v>
      </c>
      <c r="Q1799" s="2">
        <v>75.0</v>
      </c>
      <c r="R1799" s="2">
        <v>3.0</v>
      </c>
      <c r="S1799" s="3" t="s">
        <v>7374</v>
      </c>
      <c r="T1799" s="2" t="s">
        <v>7375</v>
      </c>
      <c r="Y1799" s="4" t="str">
        <f>IFERROR(__xludf.DUMMYFUNCTION("""COMPUTED_VALUE"""),"6.5343396")</f>
        <v>6.5343396</v>
      </c>
      <c r="Z1799" s="4" t="str">
        <f>IFERROR(__xludf.DUMMYFUNCTION("""COMPUTED_VALUE"""),"2.8415046")</f>
        <v>2.8415046</v>
      </c>
      <c r="AA1799" s="4" t="str">
        <f t="shared" si="1"/>
        <v>Neighbor</v>
      </c>
      <c r="AC1799" s="4">
        <f>IFERROR(__xludf.DUMMYFUNCTION("IFERROR(ABS(O1799-AVERAGE(FILTER(O1799:O5867,AA1799:AA5867=""Neighbor""))) / STDEV(FILTER(O1799:O5867, AA1799:AA5867 =""Neighbor"")), """")"),1.7059351426507556)</f>
        <v>1.705935143</v>
      </c>
      <c r="AD1799" s="4">
        <f>IFERROR(__xludf.DUMMYFUNCTION("IFERROR(ABS(P1799-AVERAGE(FILTER(O1799:P5867,AA1799:AA5867=""Neighbor""))) / STDEV(FILTER(P1799:P5867, AA1799:AA5867 =""Neighbor"")), """")"),1.4772596234347029)</f>
        <v>1.477259623</v>
      </c>
      <c r="AE1799" s="2">
        <f>IFERROR(__xludf.DUMMYFUNCTION("IFERROR(ABS(Q1799-AVERAGE(FILTER(Q1799:Q5867,AA1799:AA5867=""Neighbor""))) / STDEV(FILTER(Q1799:Q5867, AA1799:AA5867 =""Neighbor"")), """")"),2.1654936323320433)</f>
        <v>2.165493632</v>
      </c>
      <c r="AF1799" s="2">
        <f>IFERROR(__xludf.DUMMYFUNCTION("IFERROR(ABS(R1799-AVERAGE(FILTER(R1799:R5867,AA1799:AA5867=""Neighbor""))) / STDEV(FILTER(R1799:R5867, AA1799:AA5867 =""Neighbor"")), """")"),3.1788999422781505)</f>
        <v>3.178899942</v>
      </c>
    </row>
    <row r="1800">
      <c r="A1800" s="2" t="s">
        <v>28</v>
      </c>
      <c r="B1800" s="2" t="s">
        <v>7366</v>
      </c>
      <c r="C1800" s="2" t="s">
        <v>7367</v>
      </c>
      <c r="D1800" s="2" t="s">
        <v>7376</v>
      </c>
      <c r="E1800" s="2" t="s">
        <v>7377</v>
      </c>
      <c r="F1800" s="2">
        <v>239.0</v>
      </c>
      <c r="G1800" s="2">
        <v>907.0</v>
      </c>
      <c r="H1800" s="2" t="b">
        <v>1</v>
      </c>
      <c r="I1800" s="2">
        <v>-1.0</v>
      </c>
      <c r="J1800" s="2" t="b">
        <v>1</v>
      </c>
      <c r="K1800" s="2" t="b">
        <v>0</v>
      </c>
      <c r="L1800" s="2" t="b">
        <v>0</v>
      </c>
      <c r="M1800" s="2" t="b">
        <v>0</v>
      </c>
      <c r="N1800" s="2" t="s">
        <v>33</v>
      </c>
      <c r="O1800" s="2">
        <v>104.0</v>
      </c>
      <c r="P1800" s="2">
        <v>7.0</v>
      </c>
      <c r="Q1800" s="2">
        <v>115.0</v>
      </c>
      <c r="R1800" s="2">
        <v>0.0</v>
      </c>
      <c r="S1800" s="3" t="s">
        <v>7378</v>
      </c>
      <c r="T1800" s="2" t="s">
        <v>7379</v>
      </c>
      <c r="Y1800" s="4" t="str">
        <f>IFERROR(__xludf.DUMMYFUNCTION("""COMPUTED_VALUE"""),"6.5343396")</f>
        <v>6.5343396</v>
      </c>
      <c r="Z1800" s="4" t="str">
        <f>IFERROR(__xludf.DUMMYFUNCTION("""COMPUTED_VALUE"""),"2.8415046")</f>
        <v>2.8415046</v>
      </c>
      <c r="AA1800" s="4" t="str">
        <f t="shared" si="1"/>
        <v>Neighbor</v>
      </c>
      <c r="AC1800" s="4">
        <f>IFERROR(__xludf.DUMMYFUNCTION("IFERROR(ABS(O1800-AVERAGE(FILTER(O1800:O5868,AA1800:AA5868=""Neighbor""))) / STDEV(FILTER(O1800:O5868, AA1800:AA5868 =""Neighbor"")), """")"),1.3561936225323463)</f>
        <v>1.356193623</v>
      </c>
      <c r="AD1800" s="4">
        <f>IFERROR(__xludf.DUMMYFUNCTION("IFERROR(ABS(P1800-AVERAGE(FILTER(O1800:P5868,AA1800:AA5868=""Neighbor""))) / STDEV(FILTER(P1800:P5868, AA1800:AA5868 =""Neighbor"")), """")"),1.2530451274438117)</f>
        <v>1.253045127</v>
      </c>
      <c r="AE1800" s="2">
        <f>IFERROR(__xludf.DUMMYFUNCTION("IFERROR(ABS(Q1800-AVERAGE(FILTER(Q1800:Q5868,AA1800:AA5868=""Neighbor""))) / STDEV(FILTER(Q1800:Q5868, AA1800:AA5868 =""Neighbor"")), """")"),3.8145992324150737)</f>
        <v>3.814599232</v>
      </c>
      <c r="AF1800" s="2">
        <f>IFERROR(__xludf.DUMMYFUNCTION("IFERROR(ABS(R1800-AVERAGE(FILTER(R1800:R5868,AA1800:AA5868=""Neighbor""))) / STDEV(FILTER(R1800:R5868, AA1800:AA5868 =""Neighbor"")), """")"),0.3508999666775691)</f>
        <v>0.3508999667</v>
      </c>
    </row>
    <row r="1801">
      <c r="A1801" s="2" t="s">
        <v>28</v>
      </c>
      <c r="B1801" s="2" t="s">
        <v>7366</v>
      </c>
      <c r="C1801" s="2" t="s">
        <v>7367</v>
      </c>
      <c r="D1801" s="2" t="s">
        <v>7380</v>
      </c>
      <c r="E1801" s="2" t="s">
        <v>7381</v>
      </c>
      <c r="F1801" s="2">
        <v>222.0</v>
      </c>
      <c r="G1801" s="2">
        <v>944.0</v>
      </c>
      <c r="H1801" s="2" t="b">
        <v>1</v>
      </c>
      <c r="I1801" s="2">
        <v>-1.0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s">
        <v>33</v>
      </c>
      <c r="O1801" s="2">
        <v>91.0</v>
      </c>
      <c r="P1801" s="2">
        <v>1.0</v>
      </c>
      <c r="Q1801" s="2">
        <v>92.0</v>
      </c>
      <c r="R1801" s="2">
        <v>0.0</v>
      </c>
      <c r="S1801" s="3" t="s">
        <v>7382</v>
      </c>
      <c r="T1801" s="2" t="s">
        <v>7383</v>
      </c>
      <c r="Y1801" s="4" t="str">
        <f>IFERROR(__xludf.DUMMYFUNCTION("""COMPUTED_VALUE"""),"6.5367148")</f>
        <v>6.5367148</v>
      </c>
      <c r="Z1801" s="4" t="str">
        <f>IFERROR(__xludf.DUMMYFUNCTION("""COMPUTED_VALUE"""),"2.8337153")</f>
        <v>2.8337153</v>
      </c>
      <c r="AA1801" s="4" t="str">
        <f t="shared" si="1"/>
        <v>Neighbor</v>
      </c>
      <c r="AC1801" s="4">
        <f>IFERROR(__xludf.DUMMYFUNCTION("IFERROR(ABS(O1801-AVERAGE(FILTER(O1801:O5869,AA1801:AA5869=""Neighbor""))) / STDEV(FILTER(O1801:O5869, AA1801:AA5869 =""Neighbor"")), """")"),1.004728989273525)</f>
        <v>1.004728989</v>
      </c>
      <c r="AD1801" s="4">
        <f>IFERROR(__xludf.DUMMYFUNCTION("IFERROR(ABS(P1801-AVERAGE(FILTER(O1801:P5869,AA1801:AA5869=""Neighbor""))) / STDEV(FILTER(P1801:P5869, AA1801:AA5869 =""Neighbor"")), """")"),1.518385104537866)</f>
        <v>1.518385105</v>
      </c>
      <c r="AE1801" s="2">
        <f>IFERROR(__xludf.DUMMYFUNCTION("IFERROR(ABS(Q1801-AVERAGE(FILTER(Q1801:Q5869,AA1801:AA5869=""Neighbor""))) / STDEV(FILTER(Q1801:Q5869, AA1801:AA5869 =""Neighbor"")), """")"),2.896287806746189)</f>
        <v>2.896287807</v>
      </c>
      <c r="AF1801" s="2">
        <f>IFERROR(__xludf.DUMMYFUNCTION("IFERROR(ABS(R1801-AVERAGE(FILTER(R1801:R5869,AA1801:AA5869=""Neighbor""))) / STDEV(FILTER(R1801:R5869, AA1801:AA5869 =""Neighbor"")), """")"),0.35111723941809353)</f>
        <v>0.3511172394</v>
      </c>
    </row>
    <row r="1802">
      <c r="A1802" s="2" t="s">
        <v>28</v>
      </c>
      <c r="B1802" s="2" t="s">
        <v>7366</v>
      </c>
      <c r="C1802" s="2" t="s">
        <v>7367</v>
      </c>
      <c r="D1802" s="2" t="s">
        <v>7384</v>
      </c>
      <c r="E1802" s="2" t="s">
        <v>7385</v>
      </c>
      <c r="F1802" s="2">
        <v>199.0</v>
      </c>
      <c r="G1802" s="2">
        <v>654.0</v>
      </c>
      <c r="H1802" s="2" t="b">
        <v>1</v>
      </c>
      <c r="I1802" s="2">
        <v>-1.0</v>
      </c>
      <c r="J1802" s="2" t="b">
        <v>0</v>
      </c>
      <c r="K1802" s="2" t="b">
        <v>0</v>
      </c>
      <c r="L1802" s="2" t="b">
        <v>0</v>
      </c>
      <c r="M1802" s="2" t="b">
        <v>0</v>
      </c>
      <c r="N1802" s="2" t="s">
        <v>33</v>
      </c>
      <c r="O1802" s="2">
        <v>78.0</v>
      </c>
      <c r="P1802" s="2">
        <v>2.0</v>
      </c>
      <c r="Q1802" s="2">
        <v>79.0</v>
      </c>
      <c r="R1802" s="2">
        <v>0.0</v>
      </c>
      <c r="S1802" s="3" t="s">
        <v>7386</v>
      </c>
      <c r="T1802" s="2" t="s">
        <v>7387</v>
      </c>
      <c r="Y1802" s="4" t="str">
        <f>IFERROR(__xludf.DUMMYFUNCTION("""COMPUTED_VALUE"""),"6.5343396")</f>
        <v>6.5343396</v>
      </c>
      <c r="Z1802" s="4" t="str">
        <f>IFERROR(__xludf.DUMMYFUNCTION("""COMPUTED_VALUE"""),"2.8415046")</f>
        <v>2.8415046</v>
      </c>
      <c r="AA1802" s="4" t="str">
        <f t="shared" si="1"/>
        <v>Neighbor</v>
      </c>
      <c r="AC1802" s="4">
        <f>IFERROR(__xludf.DUMMYFUNCTION("IFERROR(ABS(O1802-AVERAGE(FILTER(O1802:O5870,AA1802:AA5870=""Neighbor""))) / STDEV(FILTER(O1802:O5870, AA1802:AA5870 =""Neighbor"")), """")"),0.6522499765684536)</f>
        <v>0.6522499766</v>
      </c>
      <c r="AD1802" s="4">
        <f>IFERROR(__xludf.DUMMYFUNCTION("IFERROR(ABS(P1802-AVERAGE(FILTER(O1802:P5870,AA1802:AA5870=""Neighbor""))) / STDEV(FILTER(P1802:P5870, AA1802:AA5870 =""Neighbor"")), """")"),1.4729235149483697)</f>
        <v>1.472923515</v>
      </c>
      <c r="AE1802" s="2">
        <f>IFERROR(__xludf.DUMMYFUNCTION("IFERROR(ABS(Q1802-AVERAGE(FILTER(Q1802:Q5870,AA1802:AA5870=""Neighbor""))) / STDEV(FILTER(Q1802:Q5870, AA1802:AA5870 =""Neighbor"")), """")"),2.3714224085267515)</f>
        <v>2.371422409</v>
      </c>
      <c r="AF1802" s="2">
        <f>IFERROR(__xludf.DUMMYFUNCTION("IFERROR(ABS(R1802-AVERAGE(FILTER(R1802:R5870,AA1802:AA5870=""Neighbor""))) / STDEV(FILTER(R1802:R5870, AA1802:AA5870 =""Neighbor"")), """")"),0.3513349163144376)</f>
        <v>0.3513349163</v>
      </c>
    </row>
    <row r="1803">
      <c r="A1803" s="2" t="s">
        <v>28</v>
      </c>
      <c r="B1803" s="2" t="s">
        <v>7366</v>
      </c>
      <c r="C1803" s="2" t="s">
        <v>7367</v>
      </c>
      <c r="D1803" s="2" t="s">
        <v>7388</v>
      </c>
      <c r="E1803" s="2" t="s">
        <v>7389</v>
      </c>
      <c r="F1803" s="2">
        <v>125.0</v>
      </c>
      <c r="G1803" s="2">
        <v>737.0</v>
      </c>
      <c r="H1803" s="2" t="b">
        <v>1</v>
      </c>
      <c r="I1803" s="2">
        <v>-1.0</v>
      </c>
      <c r="J1803" s="2" t="b">
        <v>0</v>
      </c>
      <c r="K1803" s="2" t="b">
        <v>0</v>
      </c>
      <c r="L1803" s="2" t="b">
        <v>0</v>
      </c>
      <c r="M1803" s="2" t="b">
        <v>0</v>
      </c>
      <c r="N1803" s="2" t="s">
        <v>33</v>
      </c>
      <c r="O1803" s="2">
        <v>49.0</v>
      </c>
      <c r="P1803" s="2">
        <v>1.0</v>
      </c>
      <c r="Q1803" s="2">
        <v>60.0</v>
      </c>
      <c r="R1803" s="2">
        <v>0.0</v>
      </c>
      <c r="S1803" s="3" t="s">
        <v>7390</v>
      </c>
      <c r="T1803" s="2" t="s">
        <v>7391</v>
      </c>
      <c r="Y1803" s="4" t="str">
        <f>IFERROR(__xludf.DUMMYFUNCTION("""COMPUTED_VALUE"""),"6.5343396")</f>
        <v>6.5343396</v>
      </c>
      <c r="Z1803" s="4" t="str">
        <f>IFERROR(__xludf.DUMMYFUNCTION("""COMPUTED_VALUE"""),"2.8415046")</f>
        <v>2.8415046</v>
      </c>
      <c r="AA1803" s="4" t="str">
        <f t="shared" si="1"/>
        <v>Neighbor</v>
      </c>
      <c r="AC1803" s="4">
        <f>IFERROR(__xludf.DUMMYFUNCTION("IFERROR(ABS(O1803-AVERAGE(FILTER(O1803:O5871,AA1803:AA5871=""Neighbor""))) / STDEV(FILTER(O1803:O5871, AA1803:AA5871 =""Neighbor"")), """")"),0.13577443520579446)</f>
        <v>0.1357744352</v>
      </c>
      <c r="AD1803" s="4">
        <f>IFERROR(__xludf.DUMMYFUNCTION("IFERROR(ABS(P1803-AVERAGE(FILTER(O1803:P5871,AA1803:AA5871=""Neighbor""))) / STDEV(FILTER(P1803:P5871, AA1803:AA5871 =""Neighbor"")), """")"),1.5166524317438808)</f>
        <v>1.516652432</v>
      </c>
      <c r="AE1803" s="2">
        <f>IFERROR(__xludf.DUMMYFUNCTION("IFERROR(ABS(Q1803-AVERAGE(FILTER(Q1803:Q5871,AA1803:AA5871=""Neighbor""))) / STDEV(FILTER(Q1803:Q5871, AA1803:AA5871 =""Neighbor"")), """")"),1.5888893169515712)</f>
        <v>1.588889317</v>
      </c>
      <c r="AF1803" s="2">
        <f>IFERROR(__xludf.DUMMYFUNCTION("IFERROR(ABS(R1803-AVERAGE(FILTER(R1803:R5871,AA1803:AA5871=""Neighbor""))) / STDEV(FILTER(R1803:R5871, AA1803:AA5871 =""Neighbor"")), """")"),0.35155299862128525)</f>
        <v>0.3515529986</v>
      </c>
    </row>
    <row r="1804">
      <c r="A1804" s="2" t="s">
        <v>28</v>
      </c>
      <c r="B1804" s="2" t="s">
        <v>7366</v>
      </c>
      <c r="C1804" s="2" t="s">
        <v>7392</v>
      </c>
      <c r="D1804" s="2" t="s">
        <v>7393</v>
      </c>
      <c r="E1804" s="2" t="s">
        <v>7394</v>
      </c>
      <c r="F1804" s="2">
        <v>247.0</v>
      </c>
      <c r="G1804" s="2">
        <v>664.0</v>
      </c>
      <c r="H1804" s="2" t="b">
        <v>1</v>
      </c>
      <c r="I1804" s="2">
        <v>-1.0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s">
        <v>33</v>
      </c>
      <c r="O1804" s="2">
        <v>105.0</v>
      </c>
      <c r="P1804" s="2">
        <v>18.0</v>
      </c>
      <c r="Q1804" s="2">
        <v>115.0</v>
      </c>
      <c r="R1804" s="2">
        <v>0.0</v>
      </c>
      <c r="S1804" s="3" t="s">
        <v>7395</v>
      </c>
      <c r="T1804" s="2" t="s">
        <v>7396</v>
      </c>
      <c r="Y1804" s="4" t="str">
        <f>IFERROR(__xludf.DUMMYFUNCTION("""COMPUTED_VALUE"""),"6.5343396")</f>
        <v>6.5343396</v>
      </c>
      <c r="Z1804" s="4" t="str">
        <f>IFERROR(__xludf.DUMMYFUNCTION("""COMPUTED_VALUE"""),"2.8415046")</f>
        <v>2.8415046</v>
      </c>
      <c r="AA1804" s="4" t="str">
        <f t="shared" si="1"/>
        <v>Not Neighbor</v>
      </c>
      <c r="AC1804" s="4">
        <f>IFERROR(__xludf.DUMMYFUNCTION("IFERROR(ABS(O1804-AVERAGE(FILTER(O1804:O5872,AA1804:AA5872=""Neighbor""))) / STDEV(FILTER(O1804:O5872, AA1804:AA5872 =""Neighbor"")), """")"),1.3860162387509458)</f>
        <v>1.386016239</v>
      </c>
      <c r="AD1804" s="4">
        <f>IFERROR(__xludf.DUMMYFUNCTION("IFERROR(ABS(P1804-AVERAGE(FILTER(O1804:P5872,AA1804:AA5872=""Neighbor""))) / STDEV(FILTER(P1804:P5872, AA1804:AA5872 =""Neighbor"")), """")"),0.7611410961119044)</f>
        <v>0.7611410961</v>
      </c>
      <c r="AE1804" s="2">
        <f>IFERROR(__xludf.DUMMYFUNCTION("IFERROR(ABS(Q1804-AVERAGE(FILTER(Q1804:Q5872,AA1804:AA5872=""Neighbor""))) / STDEV(FILTER(Q1804:Q5872, AA1804:AA5872 =""Neighbor"")), """")"),3.8844457837797943)</f>
        <v>3.884445784</v>
      </c>
      <c r="AF1804" s="2">
        <f>IFERROR(__xludf.DUMMYFUNCTION("IFERROR(ABS(R1804-AVERAGE(FILTER(R1804:R5872,AA1804:AA5872=""Neighbor""))) / STDEV(FILTER(R1804:R5872, AA1804:AA5872 =""Neighbor"")), """")"),0.35177148759878146)</f>
        <v>0.3517714876</v>
      </c>
    </row>
    <row r="1805">
      <c r="A1805" s="2" t="s">
        <v>28</v>
      </c>
      <c r="B1805" s="2" t="s">
        <v>7366</v>
      </c>
      <c r="C1805" s="2" t="s">
        <v>7392</v>
      </c>
      <c r="D1805" s="2" t="s">
        <v>7397</v>
      </c>
      <c r="E1805" s="2" t="s">
        <v>7398</v>
      </c>
      <c r="F1805" s="2">
        <v>204.0</v>
      </c>
      <c r="G1805" s="2">
        <v>832.0</v>
      </c>
      <c r="H1805" s="2" t="b">
        <v>1</v>
      </c>
      <c r="I1805" s="2">
        <v>-1.0</v>
      </c>
      <c r="J1805" s="2" t="b">
        <v>0</v>
      </c>
      <c r="K1805" s="2" t="b">
        <v>0</v>
      </c>
      <c r="L1805" s="2" t="b">
        <v>0</v>
      </c>
      <c r="M1805" s="2" t="b">
        <v>0</v>
      </c>
      <c r="N1805" s="2" t="s">
        <v>33</v>
      </c>
      <c r="O1805" s="2">
        <v>64.0</v>
      </c>
      <c r="P1805" s="2">
        <v>7.0</v>
      </c>
      <c r="Q1805" s="2">
        <v>70.0</v>
      </c>
      <c r="R1805" s="2">
        <v>0.0</v>
      </c>
      <c r="S1805" s="3" t="s">
        <v>7399</v>
      </c>
      <c r="T1805" s="2" t="s">
        <v>7400</v>
      </c>
      <c r="Y1805" s="4" t="str">
        <f>IFERROR(__xludf.DUMMYFUNCTION("""COMPUTED_VALUE"""),"6.5709958")</f>
        <v>6.5709958</v>
      </c>
      <c r="Z1805" s="4" t="str">
        <f>IFERROR(__xludf.DUMMYFUNCTION("""COMPUTED_VALUE"""),"2.8155769")</f>
        <v>2.8155769</v>
      </c>
      <c r="AA1805" s="4" t="str">
        <f t="shared" si="1"/>
        <v>Neighbor</v>
      </c>
      <c r="AC1805" s="4">
        <f>IFERROR(__xludf.DUMMYFUNCTION("IFERROR(ABS(O1805-AVERAGE(FILTER(O1805:O5873,AA1805:AA5873=""Neighbor""))) / STDEV(FILTER(O1805:O5873, AA1805:AA5873 =""Neighbor"")), """")"),0.2717920843392494)</f>
        <v>0.2717920843</v>
      </c>
      <c r="AD1805" s="4">
        <f>IFERROR(__xludf.DUMMYFUNCTION("IFERROR(ABS(P1805-AVERAGE(FILTER(O1805:P5873,AA1805:AA5873=""Neighbor""))) / STDEV(FILTER(P1805:P5873, AA1805:AA5873 =""Neighbor"")), """")"),1.2500294861458237)</f>
        <v>1.250029486</v>
      </c>
      <c r="AE1805" s="2">
        <f>IFERROR(__xludf.DUMMYFUNCTION("IFERROR(ABS(Q1805-AVERAGE(FILTER(Q1805:Q5873,AA1805:AA5873=""Neighbor""))) / STDEV(FILTER(Q1805:Q5873, AA1805:AA5873 =""Neighbor"")), """")"),2.0088061376043806)</f>
        <v>2.008806138</v>
      </c>
      <c r="AF1805" s="2">
        <f>IFERROR(__xludf.DUMMYFUNCTION("IFERROR(ABS(R1805-AVERAGE(FILTER(R1805:R5873,AA1805:AA5873=""Neighbor""))) / STDEV(FILTER(R1805:R5873, AA1805:AA5873 =""Neighbor"")), """")"),0.35177148759878146)</f>
        <v>0.3517714876</v>
      </c>
    </row>
    <row r="1806">
      <c r="A1806" s="2" t="s">
        <v>28</v>
      </c>
      <c r="B1806" s="2" t="s">
        <v>7366</v>
      </c>
      <c r="C1806" s="2" t="s">
        <v>7392</v>
      </c>
      <c r="D1806" s="2" t="s">
        <v>7401</v>
      </c>
      <c r="E1806" s="2" t="s">
        <v>7402</v>
      </c>
      <c r="F1806" s="2">
        <v>173.0</v>
      </c>
      <c r="G1806" s="2">
        <v>427.0</v>
      </c>
      <c r="H1806" s="2" t="b">
        <v>1</v>
      </c>
      <c r="I1806" s="2">
        <v>-1.0</v>
      </c>
      <c r="J1806" s="2" t="b">
        <v>1</v>
      </c>
      <c r="K1806" s="2" t="b">
        <v>1</v>
      </c>
      <c r="L1806" s="2" t="b">
        <v>0</v>
      </c>
      <c r="M1806" s="2" t="b">
        <v>0</v>
      </c>
      <c r="N1806" s="2" t="s">
        <v>33</v>
      </c>
      <c r="O1806" s="2">
        <v>71.0</v>
      </c>
      <c r="P1806" s="2">
        <v>7.0</v>
      </c>
      <c r="Q1806" s="2">
        <v>82.0</v>
      </c>
      <c r="R1806" s="2">
        <v>0.0</v>
      </c>
      <c r="S1806" s="3" t="s">
        <v>7403</v>
      </c>
      <c r="T1806" s="2" t="s">
        <v>7404</v>
      </c>
      <c r="Y1806" s="4" t="str">
        <f>IFERROR(__xludf.DUMMYFUNCTION("""COMPUTED_VALUE"""),"6.5709958")</f>
        <v>6.5709958</v>
      </c>
      <c r="Z1806" s="4" t="str">
        <f>IFERROR(__xludf.DUMMYFUNCTION("""COMPUTED_VALUE"""),"2.8155769")</f>
        <v>2.8155769</v>
      </c>
      <c r="AA1806" s="4" t="str">
        <f t="shared" si="1"/>
        <v>Not Neighbor</v>
      </c>
      <c r="AC1806" s="4">
        <f>IFERROR(__xludf.DUMMYFUNCTION("IFERROR(ABS(O1806-AVERAGE(FILTER(O1806:O5874,AA1806:AA5874=""Neighbor""))) / STDEV(FILTER(O1806:O5874, AA1806:AA5874 =""Neighbor"")), """")"),0.4620893915672936)</f>
        <v>0.4620893916</v>
      </c>
      <c r="AD1806" s="4">
        <f>IFERROR(__xludf.DUMMYFUNCTION("IFERROR(ABS(P1806-AVERAGE(FILTER(O1806:P5874,AA1806:AA5874=""Neighbor""))) / STDEV(FILTER(P1806:P5874, AA1806:AA5874 =""Neighbor"")), """")"),1.2494351945835478)</f>
        <v>1.249435195</v>
      </c>
      <c r="AE1806" s="2">
        <f>IFERROR(__xludf.DUMMYFUNCTION("IFERROR(ABS(Q1806-AVERAGE(FILTER(Q1806:Q5874,AA1806:AA5874=""Neighbor""))) / STDEV(FILTER(Q1806:Q5874, AA1806:AA5874 =""Neighbor"")), """")"),2.515450641347153)</f>
        <v>2.515450641</v>
      </c>
      <c r="AF1806" s="2">
        <f>IFERROR(__xludf.DUMMYFUNCTION("IFERROR(ABS(R1806-AVERAGE(FILTER(R1806:R5874,AA1806:AA5874=""Neighbor""))) / STDEV(FILTER(R1806:R5874, AA1806:AA5874 =""Neighbor"")), """")"),0.3519903845125615)</f>
        <v>0.3519903845</v>
      </c>
    </row>
    <row r="1807">
      <c r="A1807" s="2" t="s">
        <v>28</v>
      </c>
      <c r="B1807" s="2" t="s">
        <v>7366</v>
      </c>
      <c r="C1807" s="2" t="s">
        <v>7392</v>
      </c>
      <c r="D1807" s="2" t="s">
        <v>7405</v>
      </c>
      <c r="E1807" s="2" t="s">
        <v>7406</v>
      </c>
      <c r="F1807" s="2">
        <v>250.0</v>
      </c>
      <c r="G1807" s="2">
        <v>739.0</v>
      </c>
      <c r="H1807" s="2" t="b">
        <v>1</v>
      </c>
      <c r="I1807" s="2">
        <v>-1.0</v>
      </c>
      <c r="J1807" s="2" t="b">
        <v>0</v>
      </c>
      <c r="K1807" s="2" t="b">
        <v>0</v>
      </c>
      <c r="L1807" s="2" t="b">
        <v>0</v>
      </c>
      <c r="M1807" s="2" t="b">
        <v>0</v>
      </c>
      <c r="N1807" s="2" t="s">
        <v>33</v>
      </c>
      <c r="O1807" s="2">
        <v>80.0</v>
      </c>
      <c r="P1807" s="2">
        <v>15.0</v>
      </c>
      <c r="Q1807" s="2">
        <v>107.0</v>
      </c>
      <c r="R1807" s="2">
        <v>0.0</v>
      </c>
      <c r="S1807" s="3" t="s">
        <v>7407</v>
      </c>
      <c r="T1807" s="2" t="s">
        <v>7408</v>
      </c>
      <c r="Y1807" s="4" t="str">
        <f>IFERROR(__xludf.DUMMYFUNCTION("""COMPUTED_VALUE"""),"6.632461")</f>
        <v>6.632461</v>
      </c>
      <c r="Z1807" s="4" t="str">
        <f>IFERROR(__xludf.DUMMYFUNCTION("""COMPUTED_VALUE"""),"2.8196978")</f>
        <v>2.8196978</v>
      </c>
      <c r="AA1807" s="4" t="str">
        <f t="shared" si="1"/>
        <v>Not Neighbor</v>
      </c>
      <c r="AC1807" s="4">
        <f>IFERROR(__xludf.DUMMYFUNCTION("IFERROR(ABS(O1807-AVERAGE(FILTER(O1807:O5875,AA1807:AA5875=""Neighbor""))) / STDEV(FILTER(O1807:O5875, AA1807:AA5875 =""Neighbor"")), """")"),0.7065495858157973)</f>
        <v>0.7065495858</v>
      </c>
      <c r="AD1807" s="4">
        <f>IFERROR(__xludf.DUMMYFUNCTION("IFERROR(ABS(P1807-AVERAGE(FILTER(O1807:P5875,AA1807:AA5875=""Neighbor""))) / STDEV(FILTER(P1807:P5875, AA1807:AA5875 =""Neighbor"")), """")"),0.8940437970465979)</f>
        <v>0.894043797</v>
      </c>
      <c r="AE1807" s="2">
        <f>IFERROR(__xludf.DUMMYFUNCTION("IFERROR(ABS(Q1807-AVERAGE(FILTER(Q1807:Q5875,AA1807:AA5875=""Neighbor""))) / STDEV(FILTER(Q1807:Q5875, AA1807:AA5875 =""Neighbor"")), """")"),3.559234903866995)</f>
        <v>3.559234904</v>
      </c>
      <c r="AF1807" s="2">
        <f>IFERROR(__xludf.DUMMYFUNCTION("IFERROR(ABS(R1807-AVERAGE(FILTER(R1807:R5875,AA1807:AA5875=""Neighbor""))) / STDEV(FILTER(R1807:R5875, AA1807:AA5875 =""Neighbor"")), """")"),0.3519903845125615)</f>
        <v>0.3519903845</v>
      </c>
    </row>
    <row r="1808">
      <c r="A1808" s="2" t="s">
        <v>28</v>
      </c>
      <c r="B1808" s="2" t="s">
        <v>7366</v>
      </c>
      <c r="C1808" s="2" t="s">
        <v>7392</v>
      </c>
      <c r="D1808" s="2" t="s">
        <v>7409</v>
      </c>
      <c r="E1808" s="2" t="s">
        <v>7410</v>
      </c>
      <c r="F1808" s="2">
        <v>244.0</v>
      </c>
      <c r="G1808" s="2">
        <v>938.0</v>
      </c>
      <c r="H1808" s="2" t="b">
        <v>1</v>
      </c>
      <c r="I1808" s="2">
        <v>-1.0</v>
      </c>
      <c r="J1808" s="2" t="b">
        <v>0</v>
      </c>
      <c r="K1808" s="2" t="b">
        <v>0</v>
      </c>
      <c r="L1808" s="2" t="b">
        <v>0</v>
      </c>
      <c r="M1808" s="2" t="b">
        <v>0</v>
      </c>
      <c r="N1808" s="2" t="s">
        <v>33</v>
      </c>
      <c r="O1808" s="2">
        <v>122.0</v>
      </c>
      <c r="P1808" s="2">
        <v>3.0</v>
      </c>
      <c r="Q1808" s="2">
        <v>99.0</v>
      </c>
      <c r="R1808" s="2">
        <v>3.0</v>
      </c>
      <c r="S1808" s="3" t="s">
        <v>7411</v>
      </c>
      <c r="T1808" s="2" t="s">
        <v>7412</v>
      </c>
      <c r="Y1808" s="4" t="str">
        <f>IFERROR(__xludf.DUMMYFUNCTION("""COMPUTED_VALUE"""),"6.5618595")</f>
        <v>6.5618595</v>
      </c>
      <c r="Z1808" s="4" t="str">
        <f>IFERROR(__xludf.DUMMYFUNCTION("""COMPUTED_VALUE"""),"2.7946075")</f>
        <v>2.7946075</v>
      </c>
      <c r="AA1808" s="4" t="str">
        <f t="shared" si="1"/>
        <v>Not Neighbor</v>
      </c>
      <c r="AC1808" s="4">
        <f>IFERROR(__xludf.DUMMYFUNCTION("IFERROR(ABS(O1808-AVERAGE(FILTER(O1808:O5876,AA1808:AA5876=""Neighbor""))) / STDEV(FILTER(O1808:O5876, AA1808:AA5876 =""Neighbor"")), """")"),1.8473638256421478)</f>
        <v>1.847363826</v>
      </c>
      <c r="AD1808" s="4">
        <f>IFERROR(__xludf.DUMMYFUNCTION("IFERROR(ABS(P1808-AVERAGE(FILTER(O1808:P5876,AA1808:AA5876=""Neighbor""))) / STDEV(FILTER(P1808:P5876, AA1808:AA5876 =""Neighbor"")), """")"),1.4271308933520226)</f>
        <v>1.427130893</v>
      </c>
      <c r="AE1808" s="2">
        <f>IFERROR(__xludf.DUMMYFUNCTION("IFERROR(ABS(Q1808-AVERAGE(FILTER(Q1808:Q5876,AA1808:AA5876=""Neighbor""))) / STDEV(FILTER(Q1808:Q5876, AA1808:AA5876 =""Neighbor"")), """")"),3.2252239398606455)</f>
        <v>3.22522394</v>
      </c>
      <c r="AF1808" s="2">
        <f>IFERROR(__xludf.DUMMYFUNCTION("IFERROR(ABS(R1808-AVERAGE(FILTER(R1808:R5876,AA1808:AA5876=""Neighbor""))) / STDEV(FILTER(R1808:R5876, AA1808:AA5876 =""Neighbor"")), """")"),3.1888496916621274)</f>
        <v>3.188849692</v>
      </c>
    </row>
    <row r="1809">
      <c r="A1809" s="2" t="s">
        <v>28</v>
      </c>
      <c r="B1809" s="2" t="s">
        <v>7366</v>
      </c>
      <c r="C1809" s="2" t="s">
        <v>7392</v>
      </c>
      <c r="D1809" s="2" t="s">
        <v>7413</v>
      </c>
      <c r="E1809" s="2" t="s">
        <v>7414</v>
      </c>
      <c r="F1809" s="2">
        <v>169.0</v>
      </c>
      <c r="G1809" s="2">
        <v>755.0</v>
      </c>
      <c r="H1809" s="2" t="b">
        <v>1</v>
      </c>
      <c r="I1809" s="2">
        <v>-1.0</v>
      </c>
      <c r="J1809" s="2" t="b">
        <v>0</v>
      </c>
      <c r="K1809" s="2" t="b">
        <v>0</v>
      </c>
      <c r="L1809" s="2" t="b">
        <v>0</v>
      </c>
      <c r="M1809" s="2" t="b">
        <v>0</v>
      </c>
      <c r="N1809" s="2" t="s">
        <v>33</v>
      </c>
      <c r="O1809" s="2">
        <v>0.0</v>
      </c>
      <c r="P1809" s="2">
        <v>0.0</v>
      </c>
      <c r="Q1809" s="2">
        <v>0.0</v>
      </c>
      <c r="R1809" s="2">
        <v>0.0</v>
      </c>
      <c r="S1809" s="3" t="s">
        <v>7415</v>
      </c>
      <c r="T1809" s="2" t="s">
        <v>7416</v>
      </c>
      <c r="Y1809" s="4" t="str">
        <f>IFERROR(__xludf.DUMMYFUNCTION("""COMPUTED_VALUE"""),"6.5369341")</f>
        <v>6.5369341</v>
      </c>
      <c r="Z1809" s="4" t="str">
        <f>IFERROR(__xludf.DUMMYFUNCTION("""COMPUTED_VALUE"""),"2.8539702")</f>
        <v>2.8539702</v>
      </c>
      <c r="AA1809" s="4" t="str">
        <f t="shared" si="1"/>
        <v>Not Neighbor</v>
      </c>
      <c r="AC1809" s="4">
        <f>IFERROR(__xludf.DUMMYFUNCTION("IFERROR(ABS(O1809-AVERAGE(FILTER(O1809:O5877,AA1809:AA5877=""Neighbor""))) / STDEV(FILTER(O1809:O5877, AA1809:AA5877 =""Neighbor"")), """")"),1.4664299186153464)</f>
        <v>1.466429919</v>
      </c>
      <c r="AD1809" s="4">
        <f>IFERROR(__xludf.DUMMYFUNCTION("IFERROR(ABS(P1809-AVERAGE(FILTER(O1809:P5877,AA1809:AA5877=""Neighbor""))) / STDEV(FILTER(P1809:P5877, AA1809:AA5877 =""Neighbor"")), """")"),1.5604026674283789)</f>
        <v>1.560402667</v>
      </c>
      <c r="AE1809" s="2">
        <f>IFERROR(__xludf.DUMMYFUNCTION("IFERROR(ABS(Q1809-AVERAGE(FILTER(Q1809:Q5877,AA1809:AA5877=""Neighbor""))) / STDEV(FILTER(Q1809:Q5877, AA1809:AA5877 =""Neighbor"")), """")"),0.908161739717929)</f>
        <v>0.9081617397</v>
      </c>
      <c r="AF1809" s="2">
        <f>IFERROR(__xludf.DUMMYFUNCTION("IFERROR(ABS(R1809-AVERAGE(FILTER(R1809:R5877,AA1809:AA5877=""Neighbor""))) / STDEV(FILTER(R1809:R5877, AA1809:AA5877 =""Neighbor"")), """")"),0.3519903845125615)</f>
        <v>0.3519903845</v>
      </c>
    </row>
    <row r="1810">
      <c r="A1810" s="2" t="s">
        <v>28</v>
      </c>
      <c r="B1810" s="2" t="s">
        <v>7366</v>
      </c>
      <c r="C1810" s="2" t="s">
        <v>7392</v>
      </c>
      <c r="D1810" s="2" t="s">
        <v>7417</v>
      </c>
      <c r="E1810" s="2" t="s">
        <v>7418</v>
      </c>
      <c r="F1810" s="2">
        <v>270.0</v>
      </c>
      <c r="G1810" s="2">
        <v>822.0</v>
      </c>
      <c r="H1810" s="2" t="b">
        <v>1</v>
      </c>
      <c r="I1810" s="2">
        <v>-1.0</v>
      </c>
      <c r="J1810" s="2" t="b">
        <v>0</v>
      </c>
      <c r="K1810" s="2" t="b">
        <v>1</v>
      </c>
      <c r="L1810" s="2" t="b">
        <v>0</v>
      </c>
      <c r="M1810" s="2" t="b">
        <v>0</v>
      </c>
      <c r="N1810" s="2" t="s">
        <v>33</v>
      </c>
      <c r="O1810" s="2">
        <v>156.0</v>
      </c>
      <c r="P1810" s="2">
        <v>0.0</v>
      </c>
      <c r="Q1810" s="2">
        <v>84.0</v>
      </c>
      <c r="R1810" s="2">
        <v>0.0</v>
      </c>
      <c r="S1810" s="3" t="s">
        <v>7419</v>
      </c>
      <c r="T1810" s="2" t="s">
        <v>7420</v>
      </c>
      <c r="Y1810" s="4" t="str">
        <f>IFERROR(__xludf.DUMMYFUNCTION("""COMPUTED_VALUE"""),"6.5343396")</f>
        <v>6.5343396</v>
      </c>
      <c r="Z1810" s="4" t="str">
        <f>IFERROR(__xludf.DUMMYFUNCTION("""COMPUTED_VALUE"""),"2.8415046")</f>
        <v>2.8415046</v>
      </c>
      <c r="AA1810" s="4" t="str">
        <f t="shared" si="1"/>
        <v>Not Neighbor</v>
      </c>
      <c r="AC1810" s="4">
        <f>IFERROR(__xludf.DUMMYFUNCTION("IFERROR(ABS(O1810-AVERAGE(FILTER(O1810:O5878,AA1810:AA5878=""Neighbor""))) / STDEV(FILTER(O1810:O5878, AA1810:AA5878 =""Neighbor"")), """")"),2.770880115025384)</f>
        <v>2.770880115</v>
      </c>
      <c r="AD1810" s="4">
        <f>IFERROR(__xludf.DUMMYFUNCTION("IFERROR(ABS(P1810-AVERAGE(FILTER(O1810:P5878,AA1810:AA5878=""Neighbor""))) / STDEV(FILTER(P1810:P5878, AA1810:AA5878 =""Neighbor"")), """")"),1.5604026674283789)</f>
        <v>1.560402667</v>
      </c>
      <c r="AE1810" s="2">
        <f>IFERROR(__xludf.DUMMYFUNCTION("IFERROR(ABS(Q1810-AVERAGE(FILTER(Q1810:Q5878,AA1810:AA5878=""Neighbor""))) / STDEV(FILTER(Q1810:Q5878, AA1810:AA5878 =""Neighbor"")), """")"),2.5989533823487405)</f>
        <v>2.598953382</v>
      </c>
      <c r="AF1810" s="2">
        <f>IFERROR(__xludf.DUMMYFUNCTION("IFERROR(ABS(R1810-AVERAGE(FILTER(R1810:R5878,AA1810:AA5878=""Neighbor""))) / STDEV(FILTER(R1810:R5878, AA1810:AA5878 =""Neighbor"")), """")"),0.3519903845125615)</f>
        <v>0.3519903845</v>
      </c>
    </row>
    <row r="1811">
      <c r="A1811" s="2" t="s">
        <v>28</v>
      </c>
      <c r="B1811" s="2" t="s">
        <v>7366</v>
      </c>
      <c r="C1811" s="2" t="s">
        <v>7421</v>
      </c>
      <c r="D1811" s="2" t="s">
        <v>7422</v>
      </c>
      <c r="E1811" s="2" t="s">
        <v>7423</v>
      </c>
      <c r="F1811" s="2">
        <v>216.0</v>
      </c>
      <c r="G1811" s="2">
        <v>798.0</v>
      </c>
      <c r="H1811" s="2" t="b">
        <v>1</v>
      </c>
      <c r="I1811" s="2">
        <v>-1.0</v>
      </c>
      <c r="J1811" s="2" t="b">
        <v>0</v>
      </c>
      <c r="K1811" s="2" t="b">
        <v>0</v>
      </c>
      <c r="L1811" s="2" t="b">
        <v>0</v>
      </c>
      <c r="M1811" s="2" t="b">
        <v>0</v>
      </c>
      <c r="N1811" s="2" t="s">
        <v>33</v>
      </c>
      <c r="O1811" s="2">
        <v>42.0</v>
      </c>
      <c r="P1811" s="2">
        <v>3.0</v>
      </c>
      <c r="Q1811" s="2">
        <v>138.0</v>
      </c>
      <c r="R1811" s="2">
        <v>1.0</v>
      </c>
      <c r="S1811" s="3" t="s">
        <v>7424</v>
      </c>
      <c r="T1811" s="2" t="s">
        <v>7425</v>
      </c>
      <c r="Y1811" s="4" t="str">
        <f>IFERROR(__xludf.DUMMYFUNCTION("""COMPUTED_VALUE"""),"6.5803673")</f>
        <v>6.5803673</v>
      </c>
      <c r="Z1811" s="4" t="str">
        <f>IFERROR(__xludf.DUMMYFUNCTION("""COMPUTED_VALUE"""),"2.7627933")</f>
        <v>2.7627933</v>
      </c>
      <c r="AA1811" s="4" t="str">
        <f t="shared" si="1"/>
        <v>Not Neighbor</v>
      </c>
      <c r="AC1811" s="4">
        <f>IFERROR(__xludf.DUMMYFUNCTION("IFERROR(ABS(O1811-AVERAGE(FILTER(O1811:O5879,AA1811:AA5879=""Neighbor""))) / STDEV(FILTER(O1811:O5879, AA1811:AA5879 =""Neighbor"")), """")"),0.325615678788996)</f>
        <v>0.3256156788</v>
      </c>
      <c r="AD1811" s="4">
        <f>IFERROR(__xludf.DUMMYFUNCTION("IFERROR(ABS(P1811-AVERAGE(FILTER(O1811:P5879,AA1811:AA5879=""Neighbor""))) / STDEV(FILTER(P1811:P5879, AA1811:AA5879 =""Neighbor"")), """")"),1.4271308933520226)</f>
        <v>1.427130893</v>
      </c>
      <c r="AE1811" s="2">
        <f>IFERROR(__xludf.DUMMYFUNCTION("IFERROR(ABS(Q1811-AVERAGE(FILTER(Q1811:Q5879,AA1811:AA5879=""Neighbor""))) / STDEV(FILTER(Q1811:Q5879, AA1811:AA5879 =""Neighbor"")), """")"),4.8535273893915996)</f>
        <v>4.853527389</v>
      </c>
      <c r="AF1811" s="2">
        <f>IFERROR(__xludf.DUMMYFUNCTION("IFERROR(ABS(R1811-AVERAGE(FILTER(R1811:R5879,AA1811:AA5879=""Neighbor""))) / STDEV(FILTER(R1811:R5879, AA1811:AA5879 =""Neighbor"")), """")"),0.8282896408790016)</f>
        <v>0.8282896409</v>
      </c>
    </row>
    <row r="1812">
      <c r="A1812" s="2" t="s">
        <v>28</v>
      </c>
      <c r="B1812" s="2" t="s">
        <v>7366</v>
      </c>
      <c r="C1812" s="2" t="s">
        <v>7421</v>
      </c>
      <c r="D1812" s="2" t="s">
        <v>7426</v>
      </c>
      <c r="E1812" s="2" t="s">
        <v>7427</v>
      </c>
      <c r="F1812" s="2">
        <v>256.0</v>
      </c>
      <c r="G1812" s="2">
        <v>919.0</v>
      </c>
      <c r="H1812" s="2" t="b">
        <v>1</v>
      </c>
      <c r="I1812" s="2">
        <v>-1.0</v>
      </c>
      <c r="J1812" s="2" t="b">
        <v>0</v>
      </c>
      <c r="K1812" s="2" t="b">
        <v>0</v>
      </c>
      <c r="L1812" s="2" t="b">
        <v>0</v>
      </c>
      <c r="M1812" s="2" t="b">
        <v>0</v>
      </c>
      <c r="N1812" s="2" t="s">
        <v>33</v>
      </c>
      <c r="O1812" s="2">
        <v>55.0</v>
      </c>
      <c r="P1812" s="2">
        <v>12.0</v>
      </c>
      <c r="Q1812" s="2">
        <v>178.0</v>
      </c>
      <c r="R1812" s="2">
        <v>1.0</v>
      </c>
      <c r="S1812" s="3" t="s">
        <v>7428</v>
      </c>
      <c r="T1812" s="2" t="s">
        <v>7429</v>
      </c>
      <c r="Y1812" s="4" t="str">
        <f>IFERROR(__xludf.DUMMYFUNCTION("""COMPUTED_VALUE"""),"6.5343396")</f>
        <v>6.5343396</v>
      </c>
      <c r="Z1812" s="4" t="str">
        <f>IFERROR(__xludf.DUMMYFUNCTION("""COMPUTED_VALUE"""),"2.8415046")</f>
        <v>2.8415046</v>
      </c>
      <c r="AA1812" s="4" t="str">
        <f t="shared" si="1"/>
        <v>Not Neighbor</v>
      </c>
      <c r="AC1812" s="4">
        <f>IFERROR(__xludf.DUMMYFUNCTION("IFERROR(ABS(O1812-AVERAGE(FILTER(O1812:O5880,AA1812:AA5880=""Neighbor""))) / STDEV(FILTER(O1812:O5880, AA1812:AA5880 =""Neighbor"")), """")"),0.027493490681064863)</f>
        <v>0.02749349068</v>
      </c>
      <c r="AD1812" s="4">
        <f>IFERROR(__xludf.DUMMYFUNCTION("IFERROR(ABS(P1812-AVERAGE(FILTER(O1812:P5880,AA1812:AA5880=""Neighbor""))) / STDEV(FILTER(P1812:P5880, AA1812:AA5880 =""Neighbor"")), """")"),1.027315571122954)</f>
        <v>1.027315571</v>
      </c>
      <c r="AE1812" s="2">
        <f>IFERROR(__xludf.DUMMYFUNCTION("IFERROR(ABS(Q1812-AVERAGE(FILTER(Q1812:Q5880,AA1812:AA5880=""Neighbor""))) / STDEV(FILTER(Q1812:Q5880, AA1812:AA5880 =""Neighbor"")), """")"),6.523582209423346)</f>
        <v>6.523582209</v>
      </c>
      <c r="AF1812" s="2">
        <f>IFERROR(__xludf.DUMMYFUNCTION("IFERROR(ABS(R1812-AVERAGE(FILTER(R1812:R5880,AA1812:AA5880=""Neighbor""))) / STDEV(FILTER(R1812:R5880, AA1812:AA5880 =""Neighbor"")), """")"),0.8282896408790016)</f>
        <v>0.8282896409</v>
      </c>
    </row>
    <row r="1813">
      <c r="A1813" s="2" t="s">
        <v>28</v>
      </c>
      <c r="B1813" s="2" t="s">
        <v>7366</v>
      </c>
      <c r="C1813" s="2" t="s">
        <v>7421</v>
      </c>
      <c r="D1813" s="2" t="s">
        <v>7430</v>
      </c>
      <c r="E1813" s="2" t="s">
        <v>7431</v>
      </c>
      <c r="F1813" s="2">
        <v>95.0</v>
      </c>
      <c r="G1813" s="2">
        <v>253.0</v>
      </c>
      <c r="H1813" s="2" t="b">
        <v>1</v>
      </c>
      <c r="I1813" s="2">
        <v>-1.0</v>
      </c>
      <c r="J1813" s="2" t="b">
        <v>0</v>
      </c>
      <c r="K1813" s="2" t="b">
        <v>0</v>
      </c>
      <c r="L1813" s="2" t="b">
        <v>0</v>
      </c>
      <c r="M1813" s="2" t="b">
        <v>0</v>
      </c>
      <c r="N1813" s="2" t="s">
        <v>33</v>
      </c>
      <c r="O1813" s="2">
        <v>23.0</v>
      </c>
      <c r="P1813" s="2">
        <v>2.0</v>
      </c>
      <c r="Q1813" s="2">
        <v>49.0</v>
      </c>
      <c r="R1813" s="2">
        <v>0.0</v>
      </c>
      <c r="S1813" s="3" t="s">
        <v>7432</v>
      </c>
      <c r="T1813" s="2" t="s">
        <v>7433</v>
      </c>
      <c r="Y1813" s="4" t="str">
        <f>IFERROR(__xludf.DUMMYFUNCTION("""COMPUTED_VALUE"""),"6.580426")</f>
        <v>6.580426</v>
      </c>
      <c r="Z1813" s="4" t="str">
        <f>IFERROR(__xludf.DUMMYFUNCTION("""COMPUTED_VALUE"""),"2.7628416")</f>
        <v>2.7628416</v>
      </c>
      <c r="AA1813" s="4" t="str">
        <f t="shared" si="1"/>
        <v>Not Neighbor</v>
      </c>
      <c r="AC1813" s="4">
        <f>IFERROR(__xludf.DUMMYFUNCTION("IFERROR(ABS(O1813-AVERAGE(FILTER(O1813:O5881,AA1813:AA5881=""Neighbor""))) / STDEV(FILTER(O1813:O5881, AA1813:AA5881 =""Neighbor"")), """")"),0.8416983110913927)</f>
        <v>0.8416983111</v>
      </c>
      <c r="AD1813" s="4">
        <f>IFERROR(__xludf.DUMMYFUNCTION("IFERROR(ABS(P1813-AVERAGE(FILTER(O1813:P5881,AA1813:AA5881=""Neighbor""))) / STDEV(FILTER(P1813:P5881, AA1813:AA5881 =""Neighbor"")), """")"),1.4715548180441413)</f>
        <v>1.471554818</v>
      </c>
      <c r="AE1813" s="2">
        <f>IFERROR(__xludf.DUMMYFUNCTION("IFERROR(ABS(Q1813-AVERAGE(FILTER(Q1813:Q5881,AA1813:AA5881=""Neighbor""))) / STDEV(FILTER(Q1813:Q5881, AA1813:AA5881 =""Neighbor"")), """")"),1.1376554148209614)</f>
        <v>1.137655415</v>
      </c>
      <c r="AF1813" s="2">
        <f>IFERROR(__xludf.DUMMYFUNCTION("IFERROR(ABS(R1813-AVERAGE(FILTER(R1813:R5881,AA1813:AA5881=""Neighbor""))) / STDEV(FILTER(R1813:R5881, AA1813:AA5881 =""Neighbor"")), """")"),0.3519903845125615)</f>
        <v>0.3519903845</v>
      </c>
    </row>
    <row r="1814">
      <c r="A1814" s="2" t="s">
        <v>28</v>
      </c>
      <c r="B1814" s="2" t="s">
        <v>7366</v>
      </c>
      <c r="C1814" s="2" t="s">
        <v>7421</v>
      </c>
      <c r="D1814" s="2" t="s">
        <v>7434</v>
      </c>
      <c r="E1814" s="2" t="s">
        <v>7435</v>
      </c>
      <c r="F1814" s="2">
        <v>133.0</v>
      </c>
      <c r="G1814" s="2">
        <v>422.0</v>
      </c>
      <c r="H1814" s="2" t="b">
        <v>1</v>
      </c>
      <c r="I1814" s="2">
        <v>-1.0</v>
      </c>
      <c r="J1814" s="2" t="b">
        <v>0</v>
      </c>
      <c r="K1814" s="2" t="b">
        <v>0</v>
      </c>
      <c r="L1814" s="2" t="b">
        <v>0</v>
      </c>
      <c r="M1814" s="2" t="b">
        <v>0</v>
      </c>
      <c r="N1814" s="2" t="s">
        <v>33</v>
      </c>
      <c r="O1814" s="2">
        <v>49.0</v>
      </c>
      <c r="P1814" s="2">
        <v>2.0</v>
      </c>
      <c r="Q1814" s="2">
        <v>77.0</v>
      </c>
      <c r="R1814" s="2">
        <v>0.0</v>
      </c>
      <c r="S1814" s="3" t="s">
        <v>7436</v>
      </c>
      <c r="T1814" s="2" t="s">
        <v>7437</v>
      </c>
      <c r="Y1814" s="4" t="str">
        <f>IFERROR(__xludf.DUMMYFUNCTION("""COMPUTED_VALUE"""),"6.6027332")</f>
        <v>6.6027332</v>
      </c>
      <c r="Z1814" s="4" t="str">
        <f>IFERROR(__xludf.DUMMYFUNCTION("""COMPUTED_VALUE"""),"2.7680247")</f>
        <v>2.7680247</v>
      </c>
      <c r="AA1814" s="4" t="str">
        <f t="shared" si="1"/>
        <v>Neighbor</v>
      </c>
      <c r="AC1814" s="4">
        <f>IFERROR(__xludf.DUMMYFUNCTION("IFERROR(ABS(O1814-AVERAGE(FILTER(O1814:O5882,AA1814:AA5882=""Neighbor""))) / STDEV(FILTER(O1814:O5882, AA1814:AA5882 =""Neighbor"")), """")"),0.13547997215127092)</f>
        <v>0.1354799722</v>
      </c>
      <c r="AD1814" s="4">
        <f>IFERROR(__xludf.DUMMYFUNCTION("IFERROR(ABS(P1814-AVERAGE(FILTER(O1814:P5882,AA1814:AA5882=""Neighbor""))) / STDEV(FILTER(P1814:P5882, AA1814:AA5882 =""Neighbor"")), """")"),1.4715548180441413)</f>
        <v>1.471554818</v>
      </c>
      <c r="AE1814" s="2">
        <f>IFERROR(__xludf.DUMMYFUNCTION("IFERROR(ABS(Q1814-AVERAGE(FILTER(Q1814:Q5882,AA1814:AA5882=""Neighbor""))) / STDEV(FILTER(Q1814:Q5882, AA1814:AA5882 =""Neighbor"")), """")"),2.3066937888431847)</f>
        <v>2.306693789</v>
      </c>
      <c r="AF1814" s="2">
        <f>IFERROR(__xludf.DUMMYFUNCTION("IFERROR(ABS(R1814-AVERAGE(FILTER(R1814:R5882,AA1814:AA5882=""Neighbor""))) / STDEV(FILTER(R1814:R5882, AA1814:AA5882 =""Neighbor"")), """")"),0.3519903845125615)</f>
        <v>0.3519903845</v>
      </c>
    </row>
    <row r="1815">
      <c r="A1815" s="2" t="s">
        <v>28</v>
      </c>
      <c r="B1815" s="2" t="s">
        <v>7366</v>
      </c>
      <c r="C1815" s="2" t="s">
        <v>7421</v>
      </c>
      <c r="D1815" s="2" t="s">
        <v>7438</v>
      </c>
      <c r="E1815" s="2" t="s">
        <v>7439</v>
      </c>
      <c r="F1815" s="2">
        <v>213.0</v>
      </c>
      <c r="G1815" s="2">
        <v>786.0</v>
      </c>
      <c r="H1815" s="2" t="b">
        <v>1</v>
      </c>
      <c r="I1815" s="2">
        <v>-1.0</v>
      </c>
      <c r="J1815" s="2" t="b">
        <v>0</v>
      </c>
      <c r="K1815" s="2" t="b">
        <v>1</v>
      </c>
      <c r="L1815" s="2" t="b">
        <v>0</v>
      </c>
      <c r="M1815" s="2" t="b">
        <v>0</v>
      </c>
      <c r="N1815" s="2" t="s">
        <v>33</v>
      </c>
      <c r="O1815" s="2">
        <v>54.0</v>
      </c>
      <c r="P1815" s="2">
        <v>9.0</v>
      </c>
      <c r="Q1815" s="2">
        <v>120.0</v>
      </c>
      <c r="R1815" s="2">
        <v>0.0</v>
      </c>
      <c r="S1815" s="3" t="s">
        <v>7440</v>
      </c>
      <c r="T1815" s="2" t="s">
        <v>7441</v>
      </c>
      <c r="Y1815" s="4" t="str">
        <f>IFERROR(__xludf.DUMMYFUNCTION("""COMPUTED_VALUE"""),"6.6027332")</f>
        <v>6.6027332</v>
      </c>
      <c r="Z1815" s="4" t="str">
        <f>IFERROR(__xludf.DUMMYFUNCTION("""COMPUTED_VALUE"""),"2.7680247")</f>
        <v>2.7680247</v>
      </c>
      <c r="AA1815" s="4" t="str">
        <f t="shared" si="1"/>
        <v>Not Neighbor</v>
      </c>
      <c r="AC1815" s="4">
        <f>IFERROR(__xludf.DUMMYFUNCTION("IFERROR(ABS(O1815-AVERAGE(FILTER(O1815:O5883,AA1815:AA5883=""Neighbor""))) / STDEV(FILTER(O1815:O5883, AA1815:AA5883 =""Neighbor"")), """")"),1.807820847525306E-4)</f>
        <v>0.0001807820848</v>
      </c>
      <c r="AD1815" s="4">
        <f>IFERROR(__xludf.DUMMYFUNCTION("IFERROR(ABS(P1815-AVERAGE(FILTER(O1815:P5883,AA1815:AA5883=""Neighbor""))) / STDEV(FILTER(P1815:P5883, AA1815:AA5883 =""Neighbor"")), """")"),1.160676320315696)</f>
        <v>1.16067632</v>
      </c>
      <c r="AE1815" s="2">
        <f>IFERROR(__xludf.DUMMYFUNCTION("IFERROR(ABS(Q1815-AVERAGE(FILTER(Q1815:Q5883,AA1815:AA5883=""Neighbor""))) / STDEV(FILTER(Q1815:Q5883, AA1815:AA5883 =""Neighbor"")), """")"),4.114464910285893)</f>
        <v>4.11446491</v>
      </c>
      <c r="AF1815" s="2">
        <f>IFERROR(__xludf.DUMMYFUNCTION("IFERROR(ABS(R1815-AVERAGE(FILTER(R1815:R5883,AA1815:AA5883=""Neighbor""))) / STDEV(FILTER(R1815:R5883, AA1815:AA5883 =""Neighbor"")), """")"),0.35220969063378305)</f>
        <v>0.3522096906</v>
      </c>
    </row>
    <row r="1816">
      <c r="A1816" s="2" t="s">
        <v>28</v>
      </c>
      <c r="B1816" s="2" t="s">
        <v>7366</v>
      </c>
      <c r="C1816" s="2" t="s">
        <v>7421</v>
      </c>
      <c r="D1816" s="2" t="s">
        <v>7442</v>
      </c>
      <c r="E1816" s="2" t="s">
        <v>7443</v>
      </c>
      <c r="F1816" s="2">
        <v>214.0</v>
      </c>
      <c r="G1816" s="2">
        <v>797.0</v>
      </c>
      <c r="H1816" s="2" t="b">
        <v>1</v>
      </c>
      <c r="I1816" s="2">
        <v>-1.0</v>
      </c>
      <c r="J1816" s="2" t="b">
        <v>0</v>
      </c>
      <c r="K1816" s="2" t="b">
        <v>0</v>
      </c>
      <c r="L1816" s="2" t="b">
        <v>0</v>
      </c>
      <c r="M1816" s="2" t="b">
        <v>0</v>
      </c>
      <c r="N1816" s="2" t="s">
        <v>33</v>
      </c>
      <c r="O1816" s="2">
        <v>73.0</v>
      </c>
      <c r="P1816" s="2">
        <v>4.0</v>
      </c>
      <c r="Q1816" s="2">
        <v>120.0</v>
      </c>
      <c r="R1816" s="2">
        <v>1.0</v>
      </c>
      <c r="S1816" s="3" t="s">
        <v>7444</v>
      </c>
      <c r="T1816" s="2" t="s">
        <v>7445</v>
      </c>
      <c r="Y1816" s="4" t="str">
        <f>IFERROR(__xludf.DUMMYFUNCTION("""COMPUTED_VALUE"""),"6.5343396")</f>
        <v>6.5343396</v>
      </c>
      <c r="Z1816" s="4" t="str">
        <f>IFERROR(__xludf.DUMMYFUNCTION("""COMPUTED_VALUE"""),"2.8415046")</f>
        <v>2.8415046</v>
      </c>
      <c r="AA1816" s="4" t="str">
        <f t="shared" si="1"/>
        <v>Not Neighbor</v>
      </c>
      <c r="AC1816" s="4">
        <f>IFERROR(__xludf.DUMMYFUNCTION("IFERROR(ABS(O1816-AVERAGE(FILTER(O1816:O5884,AA1816:AA5884=""Neighbor""))) / STDEV(FILTER(O1816:O5884, AA1816:AA5884 =""Neighbor"")), """")"),0.5159822002310375)</f>
        <v>0.5159822002</v>
      </c>
      <c r="AD1816" s="4">
        <f>IFERROR(__xludf.DUMMYFUNCTION("IFERROR(ABS(P1816-AVERAGE(FILTER(O1816:P5884,AA1816:AA5884=""Neighbor""))) / STDEV(FILTER(P1816:P5884, AA1816:AA5884 =""Neighbor"")), """")"),1.3827221755940453)</f>
        <v>1.382722176</v>
      </c>
      <c r="AE1816" s="2">
        <f>IFERROR(__xludf.DUMMYFUNCTION("IFERROR(ABS(Q1816-AVERAGE(FILTER(Q1816:Q5884,AA1816:AA5884=""Neighbor""))) / STDEV(FILTER(Q1816:Q5884, AA1816:AA5884 =""Neighbor"")), """")"),4.114464910285893)</f>
        <v>4.11446491</v>
      </c>
      <c r="AF1816" s="2">
        <f>IFERROR(__xludf.DUMMYFUNCTION("IFERROR(ABS(R1816-AVERAGE(FILTER(R1816:R5884,AA1816:AA5884=""Neighbor""))) / STDEV(FILTER(R1816:R5884, AA1816:AA5884 =""Neighbor"")), """")"),0.8274963735336464)</f>
        <v>0.8274963735</v>
      </c>
    </row>
    <row r="1817">
      <c r="A1817" s="2" t="s">
        <v>28</v>
      </c>
      <c r="B1817" s="2" t="s">
        <v>7366</v>
      </c>
      <c r="C1817" s="2" t="s">
        <v>7421</v>
      </c>
      <c r="D1817" s="2" t="s">
        <v>7446</v>
      </c>
      <c r="E1817" s="2" t="s">
        <v>7447</v>
      </c>
      <c r="F1817" s="2">
        <v>301.0</v>
      </c>
      <c r="G1817" s="2">
        <v>960.0</v>
      </c>
      <c r="H1817" s="2" t="b">
        <v>1</v>
      </c>
      <c r="I1817" s="2">
        <v>-1.0</v>
      </c>
      <c r="J1817" s="2" t="b">
        <v>0</v>
      </c>
      <c r="K1817" s="2" t="b">
        <v>0</v>
      </c>
      <c r="L1817" s="2" t="b">
        <v>0</v>
      </c>
      <c r="M1817" s="2" t="b">
        <v>0</v>
      </c>
      <c r="N1817" s="2" t="s">
        <v>33</v>
      </c>
      <c r="O1817" s="2">
        <v>41.0</v>
      </c>
      <c r="P1817" s="2">
        <v>0.0</v>
      </c>
      <c r="Q1817" s="2">
        <v>202.0</v>
      </c>
      <c r="R1817" s="2">
        <v>0.0</v>
      </c>
      <c r="S1817" s="3" t="s">
        <v>7448</v>
      </c>
      <c r="T1817" s="2" t="s">
        <v>7449</v>
      </c>
      <c r="Y1817" s="4" t="str">
        <f>IFERROR(__xludf.DUMMYFUNCTION("""COMPUTED_VALUE"""),"6.6027332")</f>
        <v>6.6027332</v>
      </c>
      <c r="Z1817" s="4" t="str">
        <f>IFERROR(__xludf.DUMMYFUNCTION("""COMPUTED_VALUE"""),"2.7680247")</f>
        <v>2.7680247</v>
      </c>
      <c r="AA1817" s="4" t="str">
        <f t="shared" si="1"/>
        <v>Not Neighbor</v>
      </c>
      <c r="AC1817" s="4">
        <f>IFERROR(__xludf.DUMMYFUNCTION("IFERROR(ABS(O1817-AVERAGE(FILTER(O1817:O5885,AA1817:AA5885=""Neighbor""))) / STDEV(FILTER(O1817:O5885, AA1817:AA5885 =""Neighbor"")), """")"),0.3527359776995477)</f>
        <v>0.3527359777</v>
      </c>
      <c r="AD1817" s="4">
        <f>IFERROR(__xludf.DUMMYFUNCTION("IFERROR(ABS(P1817-AVERAGE(FILTER(O1817:P5885,AA1817:AA5885=""Neighbor""))) / STDEV(FILTER(P1817:P5885, AA1817:AA5885 =""Neighbor"")), """")"),1.5603588598167248)</f>
        <v>1.56035886</v>
      </c>
      <c r="AE1817" s="2">
        <f>IFERROR(__xludf.DUMMYFUNCTION("IFERROR(ABS(Q1817-AVERAGE(FILTER(Q1817:Q5885,AA1817:AA5885=""Neighbor""))) / STDEV(FILTER(Q1817:Q5885, AA1817:AA5885 =""Neighbor"")), """")"),7.546336575636293)</f>
        <v>7.546336576</v>
      </c>
      <c r="AF1817" s="2">
        <f>IFERROR(__xludf.DUMMYFUNCTION("IFERROR(ABS(R1817-AVERAGE(FILTER(R1817:R5885,AA1817:AA5885=""Neighbor""))) / STDEV(FILTER(R1817:R5885, AA1817:AA5885 =""Neighbor"")), """")"),0.35220969063378305)</f>
        <v>0.3522096906</v>
      </c>
    </row>
    <row r="1818">
      <c r="A1818" s="2" t="s">
        <v>28</v>
      </c>
      <c r="B1818" s="2" t="s">
        <v>7366</v>
      </c>
      <c r="C1818" s="2" t="s">
        <v>7421</v>
      </c>
      <c r="D1818" s="2" t="s">
        <v>7450</v>
      </c>
      <c r="E1818" s="2" t="s">
        <v>7451</v>
      </c>
      <c r="F1818" s="2">
        <v>194.0</v>
      </c>
      <c r="G1818" s="2">
        <v>753.0</v>
      </c>
      <c r="H1818" s="2" t="b">
        <v>1</v>
      </c>
      <c r="I1818" s="2">
        <v>-1.0</v>
      </c>
      <c r="J1818" s="2" t="b">
        <v>0</v>
      </c>
      <c r="K1818" s="2" t="b">
        <v>0</v>
      </c>
      <c r="L1818" s="2" t="b">
        <v>0</v>
      </c>
      <c r="M1818" s="2" t="b">
        <v>0</v>
      </c>
      <c r="N1818" s="2" t="s">
        <v>33</v>
      </c>
      <c r="O1818" s="2">
        <v>42.0</v>
      </c>
      <c r="P1818" s="2">
        <v>1.0</v>
      </c>
      <c r="Q1818" s="2">
        <v>128.0</v>
      </c>
      <c r="R1818" s="2">
        <v>3.0</v>
      </c>
      <c r="S1818" s="3" t="s">
        <v>7452</v>
      </c>
      <c r="T1818" s="2" t="s">
        <v>7453</v>
      </c>
      <c r="Y1818" s="4" t="str">
        <f>IFERROR(__xludf.DUMMYFUNCTION("""COMPUTED_VALUE"""),"6.6326846")</f>
        <v>6.6326846</v>
      </c>
      <c r="Z1818" s="4" t="str">
        <f>IFERROR(__xludf.DUMMYFUNCTION("""COMPUTED_VALUE"""),"2.7798484")</f>
        <v>2.7798484</v>
      </c>
      <c r="AA1818" s="4" t="str">
        <f t="shared" si="1"/>
        <v>Not Neighbor</v>
      </c>
      <c r="AC1818" s="4">
        <f>IFERROR(__xludf.DUMMYFUNCTION("IFERROR(ABS(O1818-AVERAGE(FILTER(O1818:O5886,AA1818:AA5886=""Neighbor""))) / STDEV(FILTER(O1818:O5886, AA1818:AA5886 =""Neighbor"")), """")"),0.3255885346392169)</f>
        <v>0.3255885346</v>
      </c>
      <c r="AD1818" s="4">
        <f>IFERROR(__xludf.DUMMYFUNCTION("IFERROR(ABS(P1818-AVERAGE(FILTER(O1818:P5886,AA1818:AA5886=""Neighbor""))) / STDEV(FILTER(P1818:P5886, AA1818:AA5886 =""Neighbor"")), """")"),1.5159496887610548)</f>
        <v>1.515949689</v>
      </c>
      <c r="AE1818" s="2">
        <f>IFERROR(__xludf.DUMMYFUNCTION("IFERROR(ABS(Q1818-AVERAGE(FILTER(Q1818:Q5886,AA1818:AA5886=""Neighbor""))) / STDEV(FILTER(Q1818:Q5886, AA1818:AA5886 =""Neighbor"")), """")"),4.449281658124956)</f>
        <v>4.449281658</v>
      </c>
      <c r="AF1818" s="2">
        <f>IFERROR(__xludf.DUMMYFUNCTION("IFERROR(ABS(R1818-AVERAGE(FILTER(R1818:R5886,AA1818:AA5886=""Neighbor""))) / STDEV(FILTER(R1818:R5886, AA1818:AA5886 =""Neighbor"")), """")"),3.1869085018685053)</f>
        <v>3.186908502</v>
      </c>
    </row>
    <row r="1819">
      <c r="A1819" s="2" t="s">
        <v>28</v>
      </c>
      <c r="B1819" s="2" t="s">
        <v>7366</v>
      </c>
      <c r="C1819" s="2" t="s">
        <v>7421</v>
      </c>
      <c r="D1819" s="2" t="s">
        <v>7454</v>
      </c>
      <c r="E1819" s="2" t="s">
        <v>7455</v>
      </c>
      <c r="F1819" s="2">
        <v>182.0</v>
      </c>
      <c r="G1819" s="2">
        <v>567.0</v>
      </c>
      <c r="H1819" s="2" t="b">
        <v>1</v>
      </c>
      <c r="I1819" s="2">
        <v>-1.0</v>
      </c>
      <c r="J1819" s="2" t="b">
        <v>0</v>
      </c>
      <c r="K1819" s="2" t="b">
        <v>0</v>
      </c>
      <c r="L1819" s="2" t="b">
        <v>0</v>
      </c>
      <c r="M1819" s="2" t="b">
        <v>0</v>
      </c>
      <c r="N1819" s="2" t="s">
        <v>33</v>
      </c>
      <c r="O1819" s="2">
        <v>114.0</v>
      </c>
      <c r="P1819" s="2">
        <v>3.0</v>
      </c>
      <c r="Q1819" s="2">
        <v>50.0</v>
      </c>
      <c r="R1819" s="2">
        <v>1.0</v>
      </c>
      <c r="S1819" s="3" t="s">
        <v>7456</v>
      </c>
      <c r="T1819" s="2" t="s">
        <v>7457</v>
      </c>
      <c r="Y1819" s="4" t="str">
        <f>IFERROR(__xludf.DUMMYFUNCTION("""COMPUTED_VALUE"""),"6.6027332")</f>
        <v>6.6027332</v>
      </c>
      <c r="Z1819" s="4" t="str">
        <f>IFERROR(__xludf.DUMMYFUNCTION("""COMPUTED_VALUE"""),"2.7680247")</f>
        <v>2.7680247</v>
      </c>
      <c r="AA1819" s="4" t="str">
        <f t="shared" si="1"/>
        <v>Not Neighbor</v>
      </c>
      <c r="AC1819" s="4">
        <f>IFERROR(__xludf.DUMMYFUNCTION("IFERROR(ABS(O1819-AVERAGE(FILTER(O1819:O5887,AA1819:AA5887=""Neighbor""))) / STDEV(FILTER(O1819:O5887, AA1819:AA5887 =""Neighbor"")), """")"),1.6290273657045997)</f>
        <v>1.629027366</v>
      </c>
      <c r="AD1819" s="4">
        <f>IFERROR(__xludf.DUMMYFUNCTION("IFERROR(ABS(P1819-AVERAGE(FILTER(O1819:P5887,AA1819:AA5887=""Neighbor""))) / STDEV(FILTER(P1819:P5887, AA1819:AA5887 =""Neighbor"")), """")"),1.427131346649715)</f>
        <v>1.427131347</v>
      </c>
      <c r="AE1819" s="2">
        <f>IFERROR(__xludf.DUMMYFUNCTION("IFERROR(ABS(Q1819-AVERAGE(FILTER(Q1819:Q5887,AA1819:AA5887=""Neighbor""))) / STDEV(FILTER(Q1819:Q5887, AA1819:AA5887 =""Neighbor"")), """")"),1.1848183666940886)</f>
        <v>1.184818367</v>
      </c>
      <c r="AF1819" s="2">
        <f>IFERROR(__xludf.DUMMYFUNCTION("IFERROR(ABS(R1819-AVERAGE(FILTER(R1819:R5887,AA1819:AA5887=""Neighbor""))) / STDEV(FILTER(R1819:R5887, AA1819:AA5887 =""Neighbor"")), """")"),0.8274963735336464)</f>
        <v>0.8274963735</v>
      </c>
    </row>
    <row r="1820">
      <c r="A1820" s="2" t="s">
        <v>28</v>
      </c>
      <c r="B1820" s="2" t="s">
        <v>7366</v>
      </c>
      <c r="C1820" s="2" t="s">
        <v>7421</v>
      </c>
      <c r="D1820" s="2" t="s">
        <v>7458</v>
      </c>
      <c r="E1820" s="2" t="s">
        <v>7459</v>
      </c>
      <c r="F1820" s="2">
        <v>221.0</v>
      </c>
      <c r="G1820" s="2">
        <v>801.0</v>
      </c>
      <c r="H1820" s="2" t="b">
        <v>1</v>
      </c>
      <c r="I1820" s="2">
        <v>-1.0</v>
      </c>
      <c r="J1820" s="2" t="b">
        <v>0</v>
      </c>
      <c r="K1820" s="2" t="b">
        <v>0</v>
      </c>
      <c r="L1820" s="2" t="b">
        <v>0</v>
      </c>
      <c r="M1820" s="2" t="b">
        <v>0</v>
      </c>
      <c r="N1820" s="2" t="s">
        <v>33</v>
      </c>
      <c r="O1820" s="2">
        <v>110.0</v>
      </c>
      <c r="P1820" s="2">
        <v>7.0</v>
      </c>
      <c r="Q1820" s="2">
        <v>77.0</v>
      </c>
      <c r="R1820" s="2">
        <v>0.0</v>
      </c>
      <c r="S1820" s="3" t="s">
        <v>7460</v>
      </c>
      <c r="T1820" s="2" t="s">
        <v>7461</v>
      </c>
      <c r="Y1820" s="4" t="str">
        <f>IFERROR(__xludf.DUMMYFUNCTION("""COMPUTED_VALUE"""),"6.5974805")</f>
        <v>6.5974805</v>
      </c>
      <c r="Z1820" s="4" t="str">
        <f>IFERROR(__xludf.DUMMYFUNCTION("""COMPUTED_VALUE"""),"2.7530936")</f>
        <v>2.7530936</v>
      </c>
      <c r="AA1820" s="4" t="str">
        <f t="shared" si="1"/>
        <v>Neighbor</v>
      </c>
      <c r="AC1820" s="4">
        <f>IFERROR(__xludf.DUMMYFUNCTION("IFERROR(ABS(O1820-AVERAGE(FILTER(O1820:O5888,AA1820:AA5888=""Neighbor""))) / STDEV(FILTER(O1820:O5888, AA1820:AA5888 =""Neighbor"")), """")"),1.5204375934632766)</f>
        <v>1.520437593</v>
      </c>
      <c r="AD1820" s="4">
        <f>IFERROR(__xludf.DUMMYFUNCTION("IFERROR(ABS(P1820-AVERAGE(FILTER(O1820:P5888,AA1820:AA5888=""Neighbor""))) / STDEV(FILTER(P1820:P5888, AA1820:AA5888 =""Neighbor"")), """")"),1.2494946624270356)</f>
        <v>1.249494662</v>
      </c>
      <c r="AE1820" s="2">
        <f>IFERROR(__xludf.DUMMYFUNCTION("IFERROR(ABS(Q1820-AVERAGE(FILTER(Q1820:Q5888,AA1820:AA5888=""Neighbor""))) / STDEV(FILTER(Q1820:Q5888, AA1820:AA5888 =""Neighbor"")), """")"),2.3148248906509274)</f>
        <v>2.314824891</v>
      </c>
      <c r="AF1820" s="2">
        <f>IFERROR(__xludf.DUMMYFUNCTION("IFERROR(ABS(R1820-AVERAGE(FILTER(R1820:R5888,AA1820:AA5888=""Neighbor""))) / STDEV(FILTER(R1820:R5888, AA1820:AA5888 =""Neighbor"")), """")"),0.35220969063378305)</f>
        <v>0.3522096906</v>
      </c>
    </row>
    <row r="1821">
      <c r="A1821" s="2" t="s">
        <v>28</v>
      </c>
      <c r="B1821" s="2" t="s">
        <v>7366</v>
      </c>
      <c r="C1821" s="2" t="s">
        <v>7421</v>
      </c>
      <c r="D1821" s="2" t="s">
        <v>7462</v>
      </c>
      <c r="E1821" s="2" t="s">
        <v>7463</v>
      </c>
      <c r="F1821" s="2">
        <v>194.0</v>
      </c>
      <c r="G1821" s="2">
        <v>990.0</v>
      </c>
      <c r="H1821" s="2" t="b">
        <v>1</v>
      </c>
      <c r="I1821" s="2">
        <v>-1.0</v>
      </c>
      <c r="J1821" s="2" t="b">
        <v>0</v>
      </c>
      <c r="K1821" s="2" t="b">
        <v>0</v>
      </c>
      <c r="L1821" s="2" t="b">
        <v>0</v>
      </c>
      <c r="M1821" s="2" t="b">
        <v>0</v>
      </c>
      <c r="N1821" s="2" t="s">
        <v>33</v>
      </c>
      <c r="O1821" s="2">
        <v>99.0</v>
      </c>
      <c r="P1821" s="2">
        <v>5.0</v>
      </c>
      <c r="Q1821" s="2">
        <v>29.0</v>
      </c>
      <c r="R1821" s="2">
        <v>0.0</v>
      </c>
      <c r="S1821" s="3" t="s">
        <v>7464</v>
      </c>
      <c r="T1821" s="2" t="s">
        <v>7465</v>
      </c>
      <c r="Y1821" s="4" t="str">
        <f>IFERROR(__xludf.DUMMYFUNCTION("""COMPUTED_VALUE"""),"6.5974805")</f>
        <v>6.5974805</v>
      </c>
      <c r="Z1821" s="4" t="str">
        <f>IFERROR(__xludf.DUMMYFUNCTION("""COMPUTED_VALUE"""),"2.7530936")</f>
        <v>2.7530936</v>
      </c>
      <c r="AA1821" s="4" t="str">
        <f t="shared" si="1"/>
        <v>Not Neighbor</v>
      </c>
      <c r="AC1821" s="4">
        <f>IFERROR(__xludf.DUMMYFUNCTION("IFERROR(ABS(O1821-AVERAGE(FILTER(O1821:O5889,AA1821:AA5889=""Neighbor""))) / STDEV(FILTER(O1821:O5889, AA1821:AA5889 =""Neighbor"")), """")"),1.2244004324615871)</f>
        <v>1.224400432</v>
      </c>
      <c r="AD1821" s="4">
        <f>IFERROR(__xludf.DUMMYFUNCTION("IFERROR(ABS(P1821-AVERAGE(FILTER(O1821:P5889,AA1821:AA5889=""Neighbor""))) / STDEV(FILTER(P1821:P5889, AA1821:AA5889 =""Neighbor"")), """")"),1.3365432853690575)</f>
        <v>1.336543285</v>
      </c>
      <c r="AE1821" s="2">
        <f>IFERROR(__xludf.DUMMYFUNCTION("IFERROR(ABS(Q1821-AVERAGE(FILTER(Q1821:Q5889,AA1821:AA5889=""Neighbor""))) / STDEV(FILTER(Q1821:Q5889, AA1821:AA5889 =""Neighbor"")), """")"),0.3092479964171272)</f>
        <v>0.3092479964</v>
      </c>
      <c r="AF1821" s="2">
        <f>IFERROR(__xludf.DUMMYFUNCTION("IFERROR(ABS(R1821-AVERAGE(FILTER(R1821:R5889,AA1821:AA5889=""Neighbor""))) / STDEV(FILTER(R1821:R5889, AA1821:AA5889 =""Neighbor"")), """")"),0.3524294072391573)</f>
        <v>0.3524294072</v>
      </c>
    </row>
    <row r="1822">
      <c r="A1822" s="2" t="s">
        <v>28</v>
      </c>
      <c r="B1822" s="2" t="s">
        <v>7366</v>
      </c>
      <c r="C1822" s="2" t="s">
        <v>7421</v>
      </c>
      <c r="D1822" s="2" t="s">
        <v>7466</v>
      </c>
      <c r="E1822" s="2" t="s">
        <v>7467</v>
      </c>
      <c r="F1822" s="2">
        <v>233.0</v>
      </c>
      <c r="G1822" s="2">
        <v>809.0</v>
      </c>
      <c r="H1822" s="2" t="b">
        <v>1</v>
      </c>
      <c r="I1822" s="2">
        <v>-1.0</v>
      </c>
      <c r="J1822" s="2" t="b">
        <v>0</v>
      </c>
      <c r="K1822" s="2" t="b">
        <v>0</v>
      </c>
      <c r="L1822" s="2" t="b">
        <v>0</v>
      </c>
      <c r="M1822" s="2" t="b">
        <v>0</v>
      </c>
      <c r="N1822" s="2" t="s">
        <v>33</v>
      </c>
      <c r="O1822" s="2">
        <v>94.0</v>
      </c>
      <c r="P1822" s="2">
        <v>9.0</v>
      </c>
      <c r="Q1822" s="2">
        <v>83.0</v>
      </c>
      <c r="R1822" s="2">
        <v>2.0</v>
      </c>
      <c r="S1822" s="3" t="s">
        <v>7468</v>
      </c>
      <c r="T1822" s="2" t="s">
        <v>7469</v>
      </c>
      <c r="Y1822" s="4" t="str">
        <f>IFERROR(__xludf.DUMMYFUNCTION("""COMPUTED_VALUE"""),"6.6027332")</f>
        <v>6.6027332</v>
      </c>
      <c r="Z1822" s="4" t="str">
        <f>IFERROR(__xludf.DUMMYFUNCTION("""COMPUTED_VALUE"""),"2.7680247")</f>
        <v>2.7680247</v>
      </c>
      <c r="AA1822" s="4" t="str">
        <f t="shared" si="1"/>
        <v>Not Neighbor</v>
      </c>
      <c r="AC1822" s="4">
        <f>IFERROR(__xludf.DUMMYFUNCTION("IFERROR(ABS(O1822-AVERAGE(FILTER(O1822:O5890,AA1822:AA5890=""Neighbor""))) / STDEV(FILTER(O1822:O5890, AA1822:AA5890 =""Neighbor"")), """")"),1.088563887269606)</f>
        <v>1.088563887</v>
      </c>
      <c r="AD1822" s="4">
        <f>IFERROR(__xludf.DUMMYFUNCTION("IFERROR(ABS(P1822-AVERAGE(FILTER(O1822:P5890,AA1822:AA5890=""Neighbor""))) / STDEV(FILTER(P1822:P5890, AA1822:AA5890 =""Neighbor"")), """")"),1.1589885480234503)</f>
        <v>1.158988548</v>
      </c>
      <c r="AE1822" s="2">
        <f>IFERROR(__xludf.DUMMYFUNCTION("IFERROR(ABS(Q1822-AVERAGE(FILTER(Q1822:Q5890,AA1822:AA5890=""Neighbor""))) / STDEV(FILTER(Q1822:Q5890, AA1822:AA5890 =""Neighbor"")), """")"),2.5747669330876697)</f>
        <v>2.574766933</v>
      </c>
      <c r="AF1822" s="2">
        <f>IFERROR(__xludf.DUMMYFUNCTION("IFERROR(ABS(R1822-AVERAGE(FILTER(R1822:R5890,AA1822:AA5890=""Neighbor""))) / STDEV(FILTER(R1822:R5890, AA1822:AA5890 =""Neighbor"")), """")"),2.005834284323977)</f>
        <v>2.005834284</v>
      </c>
    </row>
    <row r="1823">
      <c r="A1823" s="2" t="s">
        <v>28</v>
      </c>
      <c r="B1823" s="2" t="s">
        <v>7366</v>
      </c>
      <c r="C1823" s="2" t="s">
        <v>7421</v>
      </c>
      <c r="D1823" s="2" t="s">
        <v>7470</v>
      </c>
      <c r="E1823" s="2" t="s">
        <v>7471</v>
      </c>
      <c r="F1823" s="2">
        <v>162.0</v>
      </c>
      <c r="G1823" s="2">
        <v>928.0</v>
      </c>
      <c r="H1823" s="2" t="b">
        <v>1</v>
      </c>
      <c r="I1823" s="2">
        <v>-1.0</v>
      </c>
      <c r="J1823" s="2" t="b">
        <v>0</v>
      </c>
      <c r="K1823" s="2" t="b">
        <v>0</v>
      </c>
      <c r="L1823" s="2" t="b">
        <v>0</v>
      </c>
      <c r="M1823" s="2" t="b">
        <v>0</v>
      </c>
      <c r="N1823" s="2" t="s">
        <v>33</v>
      </c>
      <c r="O1823" s="2">
        <v>82.0</v>
      </c>
      <c r="P1823" s="2">
        <v>24.0</v>
      </c>
      <c r="Q1823" s="2">
        <v>28.0</v>
      </c>
      <c r="R1823" s="2">
        <v>0.0</v>
      </c>
      <c r="S1823" s="3" t="s">
        <v>7472</v>
      </c>
      <c r="T1823" s="2" t="s">
        <v>7473</v>
      </c>
      <c r="Y1823" s="4" t="str">
        <f>IFERROR(__xludf.DUMMYFUNCTION("""COMPUTED_VALUE"""),"6.6161959")</f>
        <v>6.6161959</v>
      </c>
      <c r="Z1823" s="4" t="str">
        <f>IFERROR(__xludf.DUMMYFUNCTION("""COMPUTED_VALUE"""),"2.7456298")</f>
        <v>2.7456298</v>
      </c>
      <c r="AA1823" s="4" t="str">
        <f t="shared" si="1"/>
        <v>Not Neighbor</v>
      </c>
      <c r="AC1823" s="4">
        <f>IFERROR(__xludf.DUMMYFUNCTION("IFERROR(ABS(O1823-AVERAGE(FILTER(O1823:O5891,AA1823:AA5891=""Neighbor""))) / STDEV(FILTER(O1823:O5891, AA1823:AA5891 =""Neighbor"")), """")"),0.762556178808851)</f>
        <v>0.7625561788</v>
      </c>
      <c r="AD1823" s="4">
        <f>IFERROR(__xludf.DUMMYFUNCTION("IFERROR(ABS(P1823-AVERAGE(FILTER(O1823:P5891,AA1823:AA5891=""Neighbor""))) / STDEV(FILTER(P1823:P5891, AA1823:AA5891 =""Neighbor"")), """")"),0.4931582829774237)</f>
        <v>0.493158283</v>
      </c>
      <c r="AE1823" s="2">
        <f>IFERROR(__xludf.DUMMYFUNCTION("IFERROR(ABS(Q1823-AVERAGE(FILTER(Q1823:Q5891,AA1823:AA5891=""Neighbor""))) / STDEV(FILTER(Q1823:Q5891, AA1823:AA5891 =""Neighbor"")), """")"),0.26729394203433937)</f>
        <v>0.267293942</v>
      </c>
      <c r="AF1823" s="2">
        <f>IFERROR(__xludf.DUMMYFUNCTION("IFERROR(ABS(R1823-AVERAGE(FILTER(R1823:R5891,AA1823:AA5891=""Neighbor""))) / STDEV(FILTER(R1823:R5891, AA1823:AA5891 =""Neighbor"")), """")"),0.3524294072391573)</f>
        <v>0.3524294072</v>
      </c>
    </row>
    <row r="1824">
      <c r="A1824" s="2" t="s">
        <v>28</v>
      </c>
      <c r="B1824" s="2" t="s">
        <v>7366</v>
      </c>
      <c r="C1824" s="2" t="s">
        <v>7421</v>
      </c>
      <c r="D1824" s="2" t="s">
        <v>7474</v>
      </c>
      <c r="E1824" s="2" t="s">
        <v>7475</v>
      </c>
      <c r="F1824" s="2">
        <v>214.0</v>
      </c>
      <c r="G1824" s="2">
        <v>722.0</v>
      </c>
      <c r="H1824" s="2" t="b">
        <v>1</v>
      </c>
      <c r="I1824" s="2">
        <v>-1.0</v>
      </c>
      <c r="J1824" s="2" t="b">
        <v>0</v>
      </c>
      <c r="K1824" s="2" t="b">
        <v>0</v>
      </c>
      <c r="L1824" s="2" t="b">
        <v>0</v>
      </c>
      <c r="M1824" s="2" t="b">
        <v>0</v>
      </c>
      <c r="N1824" s="2" t="s">
        <v>33</v>
      </c>
      <c r="O1824" s="2">
        <v>66.0</v>
      </c>
      <c r="P1824" s="2">
        <v>5.0</v>
      </c>
      <c r="Q1824" s="2">
        <v>92.0</v>
      </c>
      <c r="R1824" s="2">
        <v>0.0</v>
      </c>
      <c r="S1824" s="3" t="s">
        <v>7476</v>
      </c>
      <c r="T1824" s="2" t="s">
        <v>7477</v>
      </c>
      <c r="Y1824" s="4" t="str">
        <f>IFERROR(__xludf.DUMMYFUNCTION("""COMPUTED_VALUE"""),"6.6027332")</f>
        <v>6.6027332</v>
      </c>
      <c r="Z1824" s="4" t="str">
        <f>IFERROR(__xludf.DUMMYFUNCTION("""COMPUTED_VALUE"""),"2.7680247")</f>
        <v>2.7680247</v>
      </c>
      <c r="AA1824" s="4" t="str">
        <f t="shared" si="1"/>
        <v>Neighbor</v>
      </c>
      <c r="AC1824" s="4">
        <f>IFERROR(__xludf.DUMMYFUNCTION("IFERROR(ABS(O1824-AVERAGE(FILTER(O1824:O5892,AA1824:AA5892=""Neighbor""))) / STDEV(FILTER(O1824:O5892, AA1824:AA5892 =""Neighbor"")), """")"),0.32787923419451104)</f>
        <v>0.3278792342</v>
      </c>
      <c r="AD1824" s="4">
        <f>IFERROR(__xludf.DUMMYFUNCTION("IFERROR(ABS(P1824-AVERAGE(FILTER(O1824:P5892,AA1824:AA5892=""Neighbor""))) / STDEV(FILTER(P1824:P5892, AA1824:AA5892 =""Neighbor"")), """")"),1.3365432853690575)</f>
        <v>1.336543285</v>
      </c>
      <c r="AE1824" s="2">
        <f>IFERROR(__xludf.DUMMYFUNCTION("IFERROR(ABS(Q1824-AVERAGE(FILTER(Q1824:Q5892,AA1824:AA5892=""Neighbor""))) / STDEV(FILTER(Q1824:Q5892, AA1824:AA5892 =""Neighbor"")), """")"),2.95235342253276)</f>
        <v>2.952353423</v>
      </c>
      <c r="AF1824" s="2">
        <f>IFERROR(__xludf.DUMMYFUNCTION("IFERROR(ABS(R1824-AVERAGE(FILTER(R1824:R5892,AA1824:AA5892=""Neighbor""))) / STDEV(FILTER(R1824:R5892, AA1824:AA5892 =""Neighbor"")), """")"),0.3524294072391573)</f>
        <v>0.3524294072</v>
      </c>
    </row>
    <row r="1825">
      <c r="A1825" s="2" t="s">
        <v>28</v>
      </c>
      <c r="B1825" s="2" t="s">
        <v>7366</v>
      </c>
      <c r="C1825" s="2" t="s">
        <v>7421</v>
      </c>
      <c r="D1825" s="2" t="s">
        <v>7478</v>
      </c>
      <c r="E1825" s="2" t="s">
        <v>7479</v>
      </c>
      <c r="F1825" s="2">
        <v>152.0</v>
      </c>
      <c r="G1825" s="2">
        <v>741.0</v>
      </c>
      <c r="H1825" s="2" t="b">
        <v>1</v>
      </c>
      <c r="I1825" s="2">
        <v>-1.0</v>
      </c>
      <c r="J1825" s="2" t="b">
        <v>0</v>
      </c>
      <c r="K1825" s="2" t="b">
        <v>0</v>
      </c>
      <c r="L1825" s="2" t="b">
        <v>0</v>
      </c>
      <c r="M1825" s="2" t="b">
        <v>0</v>
      </c>
      <c r="N1825" s="2" t="s">
        <v>33</v>
      </c>
      <c r="O1825" s="2">
        <v>38.0</v>
      </c>
      <c r="P1825" s="2">
        <v>7.0</v>
      </c>
      <c r="Q1825" s="2">
        <v>91.0</v>
      </c>
      <c r="R1825" s="2">
        <v>1.0</v>
      </c>
      <c r="S1825" s="3" t="s">
        <v>7480</v>
      </c>
      <c r="T1825" s="2" t="s">
        <v>7481</v>
      </c>
      <c r="Y1825" s="4" t="str">
        <f>IFERROR(__xludf.DUMMYFUNCTION("""COMPUTED_VALUE"""),"6.6027332")</f>
        <v>6.6027332</v>
      </c>
      <c r="Z1825" s="4" t="str">
        <f>IFERROR(__xludf.DUMMYFUNCTION("""COMPUTED_VALUE"""),"2.7680247")</f>
        <v>2.7680247</v>
      </c>
      <c r="AA1825" s="4" t="str">
        <f t="shared" si="1"/>
        <v>Neighbor</v>
      </c>
      <c r="AC1825" s="4">
        <f>IFERROR(__xludf.DUMMYFUNCTION("IFERROR(ABS(O1825-AVERAGE(FILTER(O1825:O5893,AA1825:AA5893=""Neighbor""))) / STDEV(FILTER(O1825:O5893, AA1825:AA5893 =""Neighbor"")), """")"),0.43222599727342914)</f>
        <v>0.4322259973</v>
      </c>
      <c r="AD1825" s="4">
        <f>IFERROR(__xludf.DUMMYFUNCTION("IFERROR(ABS(P1825-AVERAGE(FILTER(O1825:P5893,AA1825:AA5893=""Neighbor""))) / STDEV(FILTER(P1825:P5893, AA1825:AA5893 =""Neighbor"")), """")"),1.2472268911752302)</f>
        <v>1.247226891</v>
      </c>
      <c r="AE1825" s="2">
        <f>IFERROR(__xludf.DUMMYFUNCTION("IFERROR(ABS(Q1825-AVERAGE(FILTER(Q1825:Q5893,AA1825:AA5893=""Neighbor""))) / STDEV(FILTER(Q1825:Q5893, AA1825:AA5893 =""Neighbor"")), """")"),2.9262990440837084)</f>
        <v>2.926299044</v>
      </c>
      <c r="AF1825" s="2">
        <f>IFERROR(__xludf.DUMMYFUNCTION("IFERROR(ABS(R1825-AVERAGE(FILTER(R1825:R5893,AA1825:AA5893=""Neighbor""))) / STDEV(FILTER(R1825:R5893, AA1825:AA5893 =""Neighbor"")), """")"),0.8259078343305437)</f>
        <v>0.8259078343</v>
      </c>
    </row>
    <row r="1826">
      <c r="A1826" s="2" t="s">
        <v>28</v>
      </c>
      <c r="B1826" s="2" t="s">
        <v>7366</v>
      </c>
      <c r="C1826" s="2" t="s">
        <v>7421</v>
      </c>
      <c r="D1826" s="2" t="s">
        <v>7482</v>
      </c>
      <c r="E1826" s="2" t="s">
        <v>7483</v>
      </c>
      <c r="F1826" s="2">
        <v>280.0</v>
      </c>
      <c r="G1826" s="2">
        <v>813.0</v>
      </c>
      <c r="H1826" s="2" t="b">
        <v>1</v>
      </c>
      <c r="I1826" s="2">
        <v>-1.0</v>
      </c>
      <c r="J1826" s="2" t="b">
        <v>0</v>
      </c>
      <c r="K1826" s="2" t="b">
        <v>0</v>
      </c>
      <c r="L1826" s="2" t="b">
        <v>0</v>
      </c>
      <c r="M1826" s="2" t="b">
        <v>0</v>
      </c>
      <c r="N1826" s="2" t="s">
        <v>33</v>
      </c>
      <c r="O1826" s="2">
        <v>74.0</v>
      </c>
      <c r="P1826" s="2">
        <v>1.0</v>
      </c>
      <c r="Q1826" s="2">
        <v>170.0</v>
      </c>
      <c r="R1826" s="2">
        <v>2.0</v>
      </c>
      <c r="S1826" s="3" t="s">
        <v>7484</v>
      </c>
      <c r="T1826" s="2" t="s">
        <v>7485</v>
      </c>
      <c r="Y1826" s="4" t="str">
        <f>IFERROR(__xludf.DUMMYFUNCTION("""COMPUTED_VALUE"""),"6.6027332")</f>
        <v>6.6027332</v>
      </c>
      <c r="Z1826" s="4" t="str">
        <f>IFERROR(__xludf.DUMMYFUNCTION("""COMPUTED_VALUE"""),"2.7680247")</f>
        <v>2.7680247</v>
      </c>
      <c r="AA1826" s="4" t="str">
        <f t="shared" si="1"/>
        <v>Neighbor</v>
      </c>
      <c r="AC1826" s="4">
        <f>IFERROR(__xludf.DUMMYFUNCTION("IFERROR(ABS(O1826-AVERAGE(FILTER(O1826:O5894,AA1826:AA5894=""Neighbor""))) / STDEV(FILTER(O1826:O5894, AA1826:AA5894 =""Neighbor"")), """")"),0.5445834918454686)</f>
        <v>0.5445834918</v>
      </c>
      <c r="AD1826" s="4">
        <f>IFERROR(__xludf.DUMMYFUNCTION("IFERROR(ABS(P1826-AVERAGE(FILTER(O1826:P5894,AA1826:AA5894=""Neighbor""))) / STDEV(FILTER(P1826:P5894, AA1826:AA5894 =""Neighbor"")), """")"),1.513371522368866)</f>
        <v>1.513371522</v>
      </c>
      <c r="AE1826" s="2">
        <f>IFERROR(__xludf.DUMMYFUNCTION("IFERROR(ABS(Q1826-AVERAGE(FILTER(Q1826:Q5894,AA1826:AA5894=""Neighbor""))) / STDEV(FILTER(Q1826:Q5894, AA1826:AA5894 =""Neighbor"")), """")"),6.284864199944381)</f>
        <v>6.2848642</v>
      </c>
      <c r="AF1826" s="2">
        <f>IFERROR(__xludf.DUMMYFUNCTION("IFERROR(ABS(R1826-AVERAGE(FILTER(R1826:R5894,AA1826:AA5894=""Neighbor""))) / STDEV(FILTER(R1826:R5894, AA1826:AA5894 =""Neighbor"")), """")"),2.0050305352967106)</f>
        <v>2.005030535</v>
      </c>
    </row>
    <row r="1827">
      <c r="A1827" s="2" t="s">
        <v>28</v>
      </c>
      <c r="B1827" s="2" t="s">
        <v>7366</v>
      </c>
      <c r="C1827" s="2" t="s">
        <v>7421</v>
      </c>
      <c r="D1827" s="2" t="s">
        <v>7486</v>
      </c>
      <c r="E1827" s="2" t="s">
        <v>7487</v>
      </c>
      <c r="F1827" s="2">
        <v>201.0</v>
      </c>
      <c r="G1827" s="2">
        <v>731.0</v>
      </c>
      <c r="H1827" s="2" t="b">
        <v>1</v>
      </c>
      <c r="I1827" s="2">
        <v>-1.0</v>
      </c>
      <c r="J1827" s="2" t="b">
        <v>1</v>
      </c>
      <c r="K1827" s="2" t="b">
        <v>0</v>
      </c>
      <c r="L1827" s="2" t="b">
        <v>0</v>
      </c>
      <c r="M1827" s="2" t="b">
        <v>0</v>
      </c>
      <c r="N1827" s="2" t="s">
        <v>33</v>
      </c>
      <c r="O1827" s="2">
        <v>114.0</v>
      </c>
      <c r="P1827" s="2">
        <v>3.0</v>
      </c>
      <c r="Q1827" s="2">
        <v>50.0</v>
      </c>
      <c r="R1827" s="2">
        <v>0.0</v>
      </c>
      <c r="S1827" s="3" t="s">
        <v>7488</v>
      </c>
      <c r="T1827" s="2" t="s">
        <v>7489</v>
      </c>
      <c r="Y1827" s="4" t="str">
        <f>IFERROR(__xludf.DUMMYFUNCTION("""COMPUTED_VALUE"""),"6.6027332")</f>
        <v>6.6027332</v>
      </c>
      <c r="Z1827" s="4" t="str">
        <f>IFERROR(__xludf.DUMMYFUNCTION("""COMPUTED_VALUE"""),"2.7680247")</f>
        <v>2.7680247</v>
      </c>
      <c r="AA1827" s="4" t="str">
        <f t="shared" si="1"/>
        <v>Neighbor</v>
      </c>
      <c r="AC1827" s="4">
        <f>IFERROR(__xludf.DUMMYFUNCTION("IFERROR(ABS(O1827-AVERAGE(FILTER(O1827:O5895,AA1827:AA5895=""Neighbor""))) / STDEV(FILTER(O1827:O5895, AA1827:AA5895 =""Neighbor"")), """")"),1.6302120653626093)</f>
        <v>1.630212065</v>
      </c>
      <c r="AD1827" s="4">
        <f>IFERROR(__xludf.DUMMYFUNCTION("IFERROR(ABS(P1827-AVERAGE(FILTER(O1827:P5895,AA1827:AA5895=""Neighbor""))) / STDEV(FILTER(P1827:P5895, AA1827:AA5895 =""Neighbor"")), """")"),1.424126877601656)</f>
        <v>1.424126878</v>
      </c>
      <c r="AE1827" s="2">
        <f>IFERROR(__xludf.DUMMYFUNCTION("IFERROR(ABS(Q1827-AVERAGE(FILTER(Q1827:Q5895,AA1827:AA5895=""Neighbor""))) / STDEV(FILTER(Q1827:Q5895, AA1827:AA5895 =""Neighbor"")), """")"),1.2410941809414644)</f>
        <v>1.241094181</v>
      </c>
      <c r="AF1827" s="2">
        <f>IFERROR(__xludf.DUMMYFUNCTION("IFERROR(ABS(R1827-AVERAGE(FILTER(R1827:R5895,AA1827:AA5895=""Neighbor""))) / STDEV(FILTER(R1827:R5895, AA1827:AA5895 =""Neighbor"")), """")"),0.350023684044411)</f>
        <v>0.350023684</v>
      </c>
    </row>
    <row r="1828">
      <c r="A1828" s="2" t="s">
        <v>28</v>
      </c>
      <c r="B1828" s="2" t="s">
        <v>7366</v>
      </c>
      <c r="C1828" s="2" t="s">
        <v>7421</v>
      </c>
      <c r="D1828" s="2" t="s">
        <v>7490</v>
      </c>
      <c r="E1828" s="2" t="s">
        <v>7491</v>
      </c>
      <c r="F1828" s="2">
        <v>203.0</v>
      </c>
      <c r="G1828" s="2">
        <v>687.0</v>
      </c>
      <c r="H1828" s="2" t="b">
        <v>1</v>
      </c>
      <c r="I1828" s="2">
        <v>-1.0</v>
      </c>
      <c r="J1828" s="2" t="b">
        <v>0</v>
      </c>
      <c r="K1828" s="2" t="b">
        <v>0</v>
      </c>
      <c r="L1828" s="2" t="b">
        <v>0</v>
      </c>
      <c r="M1828" s="2" t="b">
        <v>0</v>
      </c>
      <c r="N1828" s="2" t="s">
        <v>33</v>
      </c>
      <c r="O1828" s="2">
        <v>106.0</v>
      </c>
      <c r="P1828" s="2">
        <v>5.0</v>
      </c>
      <c r="Q1828" s="2">
        <v>70.0</v>
      </c>
      <c r="R1828" s="2">
        <v>0.0</v>
      </c>
      <c r="S1828" s="3" t="s">
        <v>7492</v>
      </c>
      <c r="T1828" s="2" t="s">
        <v>7493</v>
      </c>
      <c r="Y1828" s="4" t="str">
        <f>IFERROR(__xludf.DUMMYFUNCTION("""COMPUTED_VALUE"""),"6.6027332")</f>
        <v>6.6027332</v>
      </c>
      <c r="Z1828" s="4" t="str">
        <f>IFERROR(__xludf.DUMMYFUNCTION("""COMPUTED_VALUE"""),"2.7680247")</f>
        <v>2.7680247</v>
      </c>
      <c r="AA1828" s="4" t="str">
        <f t="shared" si="1"/>
        <v>Not Neighbor</v>
      </c>
      <c r="AC1828" s="4">
        <f>IFERROR(__xludf.DUMMYFUNCTION("IFERROR(ABS(O1828-AVERAGE(FILTER(O1828:O5896,AA1828:AA5896=""Neighbor""))) / STDEV(FILTER(O1828:O5896, AA1828:AA5896 =""Neighbor"")), """")"),1.4162989409987372)</f>
        <v>1.416298941</v>
      </c>
      <c r="AD1828" s="4">
        <f>IFERROR(__xludf.DUMMYFUNCTION("IFERROR(ABS(P1828-AVERAGE(FILTER(O1828:P5896,AA1828:AA5896=""Neighbor""))) / STDEV(FILTER(P1828:P5896, AA1828:AA5896 =""Neighbor"")), """")"),1.3338127291669961)</f>
        <v>1.333812729</v>
      </c>
      <c r="AE1828" s="2">
        <f>IFERROR(__xludf.DUMMYFUNCTION("IFERROR(ABS(Q1828-AVERAGE(FILTER(Q1828:Q5896,AA1828:AA5896=""Neighbor""))) / STDEV(FILTER(Q1828:Q5896, AA1828:AA5896 =""Neighbor"")), """")"),2.108223686661247)</f>
        <v>2.108223687</v>
      </c>
      <c r="AF1828" s="2">
        <f>IFERROR(__xludf.DUMMYFUNCTION("IFERROR(ABS(R1828-AVERAGE(FILTER(R1828:R5896,AA1828:AA5896=""Neighbor""))) / STDEV(FILTER(R1828:R5896, AA1828:AA5896 =""Neighbor"")), """")"),0.35024271033149407)</f>
        <v>0.3502427103</v>
      </c>
    </row>
    <row r="1829">
      <c r="A1829" s="2" t="s">
        <v>28</v>
      </c>
      <c r="B1829" s="2" t="s">
        <v>7366</v>
      </c>
      <c r="C1829" s="2" t="s">
        <v>7421</v>
      </c>
      <c r="D1829" s="2" t="s">
        <v>7494</v>
      </c>
      <c r="E1829" s="2" t="s">
        <v>7495</v>
      </c>
      <c r="F1829" s="2">
        <v>239.0</v>
      </c>
      <c r="G1829" s="2">
        <v>750.0</v>
      </c>
      <c r="H1829" s="2" t="b">
        <v>1</v>
      </c>
      <c r="I1829" s="2">
        <v>-1.0</v>
      </c>
      <c r="J1829" s="2" t="b">
        <v>0</v>
      </c>
      <c r="K1829" s="2" t="b">
        <v>0</v>
      </c>
      <c r="L1829" s="2" t="b">
        <v>0</v>
      </c>
      <c r="M1829" s="2" t="b">
        <v>0</v>
      </c>
      <c r="N1829" s="2" t="s">
        <v>33</v>
      </c>
      <c r="O1829" s="2">
        <v>67.0</v>
      </c>
      <c r="P1829" s="2">
        <v>5.0</v>
      </c>
      <c r="Q1829" s="2">
        <v>144.0</v>
      </c>
      <c r="R1829" s="2">
        <v>0.0</v>
      </c>
      <c r="S1829" s="3" t="s">
        <v>7496</v>
      </c>
      <c r="T1829" s="2" t="s">
        <v>7497</v>
      </c>
      <c r="Y1829" s="4" t="str">
        <f>IFERROR(__xludf.DUMMYFUNCTION("""COMPUTED_VALUE"""),"6.5850059")</f>
        <v>6.5850059</v>
      </c>
      <c r="Z1829" s="4" t="str">
        <f>IFERROR(__xludf.DUMMYFUNCTION("""COMPUTED_VALUE"""),"2.768269")</f>
        <v>2.768269</v>
      </c>
      <c r="AA1829" s="4" t="str">
        <f t="shared" si="1"/>
        <v>Not Neighbor</v>
      </c>
      <c r="AC1829" s="4">
        <f>IFERROR(__xludf.DUMMYFUNCTION("IFERROR(ABS(O1829-AVERAGE(FILTER(O1829:O5897,AA1829:AA5897=""Neighbor""))) / STDEV(FILTER(O1829:O5897, AA1829:AA5897 =""Neighbor"")), """")"),0.3572116267624891)</f>
        <v>0.3572116268</v>
      </c>
      <c r="AD1829" s="4">
        <f>IFERROR(__xludf.DUMMYFUNCTION("IFERROR(ABS(P1829-AVERAGE(FILTER(O1829:P5897,AA1829:AA5897=""Neighbor""))) / STDEV(FILTER(P1829:P5897, AA1829:AA5897 =""Neighbor"")), """")"),1.3338127291669961)</f>
        <v>1.333812729</v>
      </c>
      <c r="AE1829" s="2">
        <f>IFERROR(__xludf.DUMMYFUNCTION("IFERROR(ABS(Q1829-AVERAGE(FILTER(Q1829:Q5897,AA1829:AA5897=""Neighbor""))) / STDEV(FILTER(Q1829:Q5897, AA1829:AA5897 =""Neighbor"")), """")"),5.310085090797751)</f>
        <v>5.310085091</v>
      </c>
      <c r="AF1829" s="2">
        <f>IFERROR(__xludf.DUMMYFUNCTION("IFERROR(ABS(R1829-AVERAGE(FILTER(R1829:R5897,AA1829:AA5897=""Neighbor""))) / STDEV(FILTER(R1829:R5897, AA1829:AA5897 =""Neighbor"")), """")"),0.35024271033149407)</f>
        <v>0.3502427103</v>
      </c>
    </row>
    <row r="1830">
      <c r="A1830" s="2" t="s">
        <v>28</v>
      </c>
      <c r="B1830" s="2" t="s">
        <v>7366</v>
      </c>
      <c r="C1830" s="2" t="s">
        <v>7421</v>
      </c>
      <c r="D1830" s="2" t="s">
        <v>7498</v>
      </c>
      <c r="E1830" s="2" t="s">
        <v>7499</v>
      </c>
      <c r="F1830" s="2">
        <v>129.0</v>
      </c>
      <c r="G1830" s="2">
        <v>415.0</v>
      </c>
      <c r="H1830" s="2" t="b">
        <v>1</v>
      </c>
      <c r="I1830" s="2">
        <v>-1.0</v>
      </c>
      <c r="J1830" s="2" t="b">
        <v>0</v>
      </c>
      <c r="K1830" s="2" t="b">
        <v>0</v>
      </c>
      <c r="L1830" s="2" t="b">
        <v>0</v>
      </c>
      <c r="M1830" s="2" t="b">
        <v>0</v>
      </c>
      <c r="N1830" s="2" t="s">
        <v>33</v>
      </c>
      <c r="O1830" s="2">
        <v>45.0</v>
      </c>
      <c r="P1830" s="2">
        <v>0.0</v>
      </c>
      <c r="Q1830" s="2">
        <v>78.0</v>
      </c>
      <c r="R1830" s="2">
        <v>0.0</v>
      </c>
      <c r="S1830" s="3" t="s">
        <v>7500</v>
      </c>
      <c r="T1830" s="2" t="s">
        <v>7501</v>
      </c>
      <c r="Y1830" s="4" t="str">
        <f>IFERROR(__xludf.DUMMYFUNCTION("""COMPUTED_VALUE"""),"6.6027332")</f>
        <v>6.6027332</v>
      </c>
      <c r="Z1830" s="4" t="str">
        <f>IFERROR(__xludf.DUMMYFUNCTION("""COMPUTED_VALUE"""),"2.7680247")</f>
        <v>2.7680247</v>
      </c>
      <c r="AA1830" s="4" t="str">
        <f t="shared" si="1"/>
        <v>Neighbor</v>
      </c>
      <c r="AC1830" s="4">
        <f>IFERROR(__xludf.DUMMYFUNCTION("IFERROR(ABS(O1830-AVERAGE(FILTER(O1830:O5898,AA1830:AA5898=""Neighbor""))) / STDEV(FILTER(O1830:O5898, AA1830:AA5898 =""Neighbor"")), """")"),0.24022224280667656)</f>
        <v>0.2402222428</v>
      </c>
      <c r="AD1830" s="4">
        <f>IFERROR(__xludf.DUMMYFUNCTION("IFERROR(ABS(P1830-AVERAGE(FILTER(O1830:P5898,AA1830:AA5898=""Neighbor""))) / STDEV(FILTER(P1830:P5898, AA1830:AA5898 =""Neighbor"")), """")"),1.5554141023050694)</f>
        <v>1.555414102</v>
      </c>
      <c r="AE1830" s="2">
        <f>IFERROR(__xludf.DUMMYFUNCTION("IFERROR(ABS(Q1830-AVERAGE(FILTER(Q1830:Q5898,AA1830:AA5898=""Neighbor""))) / STDEV(FILTER(Q1830:Q5898, AA1830:AA5898 =""Neighbor"")), """")"),2.454370865486815)</f>
        <v>2.454370865</v>
      </c>
      <c r="AF1830" s="2">
        <f>IFERROR(__xludf.DUMMYFUNCTION("IFERROR(ABS(R1830-AVERAGE(FILTER(R1830:R5898,AA1830:AA5898=""Neighbor""))) / STDEV(FILTER(R1830:R5898, AA1830:AA5898 =""Neighbor"")), """")"),0.35024271033149407)</f>
        <v>0.3502427103</v>
      </c>
    </row>
    <row r="1831">
      <c r="A1831" s="2" t="s">
        <v>28</v>
      </c>
      <c r="B1831" s="2" t="s">
        <v>7366</v>
      </c>
      <c r="C1831" s="2" t="s">
        <v>7421</v>
      </c>
      <c r="D1831" s="2" t="s">
        <v>7502</v>
      </c>
      <c r="E1831" s="2" t="s">
        <v>7503</v>
      </c>
      <c r="F1831" s="2">
        <v>111.0</v>
      </c>
      <c r="G1831" s="2">
        <v>427.0</v>
      </c>
      <c r="H1831" s="2" t="b">
        <v>1</v>
      </c>
      <c r="I1831" s="2">
        <v>-1.0</v>
      </c>
      <c r="J1831" s="2" t="b">
        <v>0</v>
      </c>
      <c r="K1831" s="2" t="b">
        <v>0</v>
      </c>
      <c r="L1831" s="2" t="b">
        <v>0</v>
      </c>
      <c r="M1831" s="2" t="b">
        <v>0</v>
      </c>
      <c r="N1831" s="2" t="s">
        <v>33</v>
      </c>
      <c r="O1831" s="2">
        <v>25.0</v>
      </c>
      <c r="P1831" s="2">
        <v>4.0</v>
      </c>
      <c r="Q1831" s="2">
        <v>68.0</v>
      </c>
      <c r="R1831" s="2">
        <v>0.0</v>
      </c>
      <c r="S1831" s="3" t="s">
        <v>7504</v>
      </c>
      <c r="T1831" s="2" t="s">
        <v>7505</v>
      </c>
      <c r="Y1831" s="4" t="str">
        <f>IFERROR(__xludf.DUMMYFUNCTION("""COMPUTED_VALUE"""),"6.6047315")</f>
        <v>6.6047315</v>
      </c>
      <c r="Z1831" s="4" t="str">
        <f>IFERROR(__xludf.DUMMYFUNCTION("""COMPUTED_VALUE"""),"2.7758037")</f>
        <v>2.7758037</v>
      </c>
      <c r="AA1831" s="4" t="str">
        <f t="shared" si="1"/>
        <v>Not Neighbor</v>
      </c>
      <c r="AC1831" s="4">
        <f>IFERROR(__xludf.DUMMYFUNCTION("IFERROR(ABS(O1831-AVERAGE(FILTER(O1831:O5899,AA1831:AA5899=""Neighbor""))) / STDEV(FILTER(O1831:O5899, AA1831:AA5899 =""Neighbor"")), """")"),0.7831997302644649)</f>
        <v>0.7831997303</v>
      </c>
      <c r="AD1831" s="4">
        <f>IFERROR(__xludf.DUMMYFUNCTION("IFERROR(ABS(P1831-AVERAGE(FILTER(O1831:P5899,AA1831:AA5899=""Neighbor""))) / STDEV(FILTER(P1831:P5899, AA1831:AA5899 =""Neighbor"")), """")"),1.378390783241457)</f>
        <v>1.378390783</v>
      </c>
      <c r="AE1831" s="2">
        <f>IFERROR(__xludf.DUMMYFUNCTION("IFERROR(ABS(Q1831-AVERAGE(FILTER(Q1831:Q5899,AA1831:AA5899=""Neighbor""))) / STDEV(FILTER(Q1831:Q5899, AA1831:AA5899 =""Neighbor"")), """")"),2.0301492353257737)</f>
        <v>2.030149235</v>
      </c>
      <c r="AF1831" s="2">
        <f>IFERROR(__xludf.DUMMYFUNCTION("IFERROR(ABS(R1831-AVERAGE(FILTER(R1831:R5899,AA1831:AA5899=""Neighbor""))) / STDEV(FILTER(R1831:R5899, AA1831:AA5899 =""Neighbor"")), """")"),0.35046214835840717)</f>
        <v>0.3504621484</v>
      </c>
    </row>
    <row r="1832">
      <c r="A1832" s="2" t="s">
        <v>28</v>
      </c>
      <c r="B1832" s="2" t="s">
        <v>7366</v>
      </c>
      <c r="C1832" s="2" t="s">
        <v>7506</v>
      </c>
      <c r="D1832" s="2" t="s">
        <v>7507</v>
      </c>
      <c r="E1832" s="2" t="s">
        <v>7508</v>
      </c>
      <c r="F1832" s="2">
        <v>202.0</v>
      </c>
      <c r="G1832" s="2">
        <v>410.0</v>
      </c>
      <c r="H1832" s="2" t="b">
        <v>1</v>
      </c>
      <c r="I1832" s="2">
        <v>-1.0</v>
      </c>
      <c r="J1832" s="2" t="b">
        <v>1</v>
      </c>
      <c r="K1832" s="2" t="b">
        <v>0</v>
      </c>
      <c r="L1832" s="2" t="b">
        <v>0</v>
      </c>
      <c r="M1832" s="2" t="b">
        <v>0</v>
      </c>
      <c r="N1832" s="2" t="s">
        <v>33</v>
      </c>
      <c r="O1832" s="2">
        <v>90.0</v>
      </c>
      <c r="P1832" s="2">
        <v>5.0</v>
      </c>
      <c r="Q1832" s="2">
        <v>96.0</v>
      </c>
      <c r="R1832" s="2">
        <v>0.0</v>
      </c>
      <c r="S1832" s="3" t="s">
        <v>7509</v>
      </c>
      <c r="T1832" s="2" t="s">
        <v>7510</v>
      </c>
      <c r="Y1832" s="4" t="str">
        <f>IFERROR(__xludf.DUMMYFUNCTION("""COMPUTED_VALUE"""),"6.5083536")</f>
        <v>6.5083536</v>
      </c>
      <c r="Z1832" s="4" t="str">
        <f>IFERROR(__xludf.DUMMYFUNCTION("""COMPUTED_VALUE"""),"2.7220024")</f>
        <v>2.7220024</v>
      </c>
      <c r="AA1832" s="4" t="str">
        <f t="shared" si="1"/>
        <v>Neighbor</v>
      </c>
      <c r="AC1832" s="4">
        <f>IFERROR(__xludf.DUMMYFUNCTION("IFERROR(ABS(O1832-AVERAGE(FILTER(O1832:O5900,AA1832:AA5900=""Neighbor""))) / STDEV(FILTER(O1832:O5900, AA1832:AA5900 =""Neighbor"")), """")"),0.9810163430002777)</f>
        <v>0.981016343</v>
      </c>
      <c r="AD1832" s="4">
        <f>IFERROR(__xludf.DUMMYFUNCTION("IFERROR(ABS(P1832-AVERAGE(FILTER(O1832:P5900,AA1832:AA5900=""Neighbor""))) / STDEV(FILTER(P1832:P5900, AA1832:AA5900 =""Neighbor"")), """")"),1.3340822710388494)</f>
        <v>1.334082271</v>
      </c>
      <c r="AE1832" s="2">
        <f>IFERROR(__xludf.DUMMYFUNCTION("IFERROR(ABS(Q1832-AVERAGE(FILTER(Q1832:Q5900,AA1832:AA5900=""Neighbor""))) / STDEV(FILTER(Q1832:Q5900, AA1832:AA5900 =""Neighbor"")), """")"),3.245087500096255)</f>
        <v>3.2450875</v>
      </c>
      <c r="AF1832" s="2">
        <f>IFERROR(__xludf.DUMMYFUNCTION("IFERROR(ABS(R1832-AVERAGE(FILTER(R1832:R5900,AA1832:AA5900=""Neighbor""))) / STDEV(FILTER(R1832:R5900, AA1832:AA5900 =""Neighbor"")), """")"),0.35046214835840717)</f>
        <v>0.3504621484</v>
      </c>
    </row>
    <row r="1833">
      <c r="A1833" s="2" t="s">
        <v>28</v>
      </c>
      <c r="B1833" s="2" t="s">
        <v>7366</v>
      </c>
      <c r="C1833" s="2" t="s">
        <v>7506</v>
      </c>
      <c r="D1833" s="2" t="s">
        <v>7511</v>
      </c>
      <c r="E1833" s="2" t="s">
        <v>7512</v>
      </c>
      <c r="F1833" s="2">
        <v>215.0</v>
      </c>
      <c r="G1833" s="2">
        <v>698.0</v>
      </c>
      <c r="H1833" s="2" t="b">
        <v>1</v>
      </c>
      <c r="I1833" s="2">
        <v>-1.0</v>
      </c>
      <c r="J1833" s="2" t="b">
        <v>0</v>
      </c>
      <c r="K1833" s="2" t="b">
        <v>1</v>
      </c>
      <c r="L1833" s="2" t="b">
        <v>0</v>
      </c>
      <c r="M1833" s="2" t="b">
        <v>0</v>
      </c>
      <c r="N1833" s="2" t="s">
        <v>33</v>
      </c>
      <c r="O1833" s="2">
        <v>110.0</v>
      </c>
      <c r="P1833" s="2">
        <v>9.0</v>
      </c>
      <c r="Q1833" s="2">
        <v>83.0</v>
      </c>
      <c r="R1833" s="2">
        <v>0.0</v>
      </c>
      <c r="S1833" s="3" t="s">
        <v>7513</v>
      </c>
      <c r="T1833" s="2" t="s">
        <v>7514</v>
      </c>
      <c r="Y1833" s="4" t="str">
        <f>IFERROR(__xludf.DUMMYFUNCTION("""COMPUTED_VALUE"""),"6.5083536")</f>
        <v>6.5083536</v>
      </c>
      <c r="Z1833" s="4" t="str">
        <f>IFERROR(__xludf.DUMMYFUNCTION("""COMPUTED_VALUE"""),"2.7220024")</f>
        <v>2.7220024</v>
      </c>
      <c r="AA1833" s="4" t="str">
        <f t="shared" si="1"/>
        <v>Not Neighbor</v>
      </c>
      <c r="AC1833" s="4">
        <f>IFERROR(__xludf.DUMMYFUNCTION("IFERROR(ABS(O1833-AVERAGE(FILTER(O1833:O5901,AA1833:AA5901=""Neighbor""))) / STDEV(FILTER(O1833:O5901, AA1833:AA5901 =""Neighbor"")), """")"),1.5249182015614318)</f>
        <v>1.524918202</v>
      </c>
      <c r="AD1833" s="4">
        <f>IFERROR(__xludf.DUMMYFUNCTION("IFERROR(ABS(P1833-AVERAGE(FILTER(O1833:P5901,AA1833:AA5901=""Neighbor""))) / STDEV(FILTER(P1833:P5901, AA1833:AA5901 =""Neighbor"")), """")"),1.1557512714087117)</f>
        <v>1.155751271</v>
      </c>
      <c r="AE1833" s="2">
        <f>IFERROR(__xludf.DUMMYFUNCTION("IFERROR(ABS(Q1833-AVERAGE(FILTER(Q1833:Q5901,AA1833:AA5901=""Neighbor""))) / STDEV(FILTER(Q1833:Q5901, AA1833:AA5901 =""Neighbor"")), """")"),2.699098545758454)</f>
        <v>2.699098546</v>
      </c>
      <c r="AF1833" s="2">
        <f>IFERROR(__xludf.DUMMYFUNCTION("IFERROR(ABS(R1833-AVERAGE(FILTER(R1833:R5901,AA1833:AA5901=""Neighbor""))) / STDEV(FILTER(R1833:R5901, AA1833:AA5901 =""Neighbor"")), """")"),0.3506819994169565)</f>
        <v>0.3506819994</v>
      </c>
    </row>
    <row r="1834">
      <c r="A1834" s="2" t="s">
        <v>28</v>
      </c>
      <c r="B1834" s="2" t="s">
        <v>7366</v>
      </c>
      <c r="C1834" s="2" t="s">
        <v>7506</v>
      </c>
      <c r="D1834" s="2" t="s">
        <v>7515</v>
      </c>
      <c r="E1834" s="2" t="s">
        <v>7516</v>
      </c>
      <c r="F1834" s="2">
        <v>132.0</v>
      </c>
      <c r="G1834" s="2">
        <v>975.0</v>
      </c>
      <c r="H1834" s="2" t="b">
        <v>1</v>
      </c>
      <c r="I1834" s="2">
        <v>-1.0</v>
      </c>
      <c r="J1834" s="2" t="b">
        <v>0</v>
      </c>
      <c r="K1834" s="2" t="b">
        <v>0</v>
      </c>
      <c r="L1834" s="2" t="b">
        <v>0</v>
      </c>
      <c r="M1834" s="2" t="b">
        <v>0</v>
      </c>
      <c r="N1834" s="2" t="s">
        <v>33</v>
      </c>
      <c r="O1834" s="2">
        <v>106.0</v>
      </c>
      <c r="P1834" s="2">
        <v>1.0</v>
      </c>
      <c r="Q1834" s="2">
        <v>12.0</v>
      </c>
      <c r="R1834" s="2">
        <v>0.0</v>
      </c>
      <c r="S1834" s="3" t="s">
        <v>7517</v>
      </c>
      <c r="T1834" s="2" t="s">
        <v>7518</v>
      </c>
      <c r="Y1834" s="4" t="str">
        <f>IFERROR(__xludf.DUMMYFUNCTION("""COMPUTED_VALUE"""),"6.4650045")</f>
        <v>6.4650045</v>
      </c>
      <c r="Z1834" s="4" t="str">
        <f>IFERROR(__xludf.DUMMYFUNCTION("""COMPUTED_VALUE"""),"2.7135312")</f>
        <v>2.7135312</v>
      </c>
      <c r="AA1834" s="4" t="str">
        <f t="shared" si="1"/>
        <v>Not Neighbor</v>
      </c>
      <c r="AC1834" s="4">
        <f>IFERROR(__xludf.DUMMYFUNCTION("IFERROR(ABS(O1834-AVERAGE(FILTER(O1834:O5902,AA1834:AA5902=""Neighbor""))) / STDEV(FILTER(O1834:O5902, AA1834:AA5902 =""Neighbor"")), """")"),1.4163532791304918)</f>
        <v>1.416353279</v>
      </c>
      <c r="AD1834" s="4">
        <f>IFERROR(__xludf.DUMMYFUNCTION("IFERROR(ABS(P1834-AVERAGE(FILTER(O1834:P5902,AA1834:AA5902=""Neighbor""))) / STDEV(FILTER(P1834:P5902, AA1834:AA5902 =""Neighbor"")), """")"),1.5100713491280784)</f>
        <v>1.510071349</v>
      </c>
      <c r="AE1834" s="2">
        <f>IFERROR(__xludf.DUMMYFUNCTION("IFERROR(ABS(Q1834-AVERAGE(FILTER(Q1834:Q5902,AA1834:AA5902=""Neighbor""))) / STDEV(FILTER(Q1834:Q5902, AA1834:AA5902 =""Neighbor"")), """")"),0.3982308540837551)</f>
        <v>0.3982308541</v>
      </c>
      <c r="AF1834" s="2">
        <f>IFERROR(__xludf.DUMMYFUNCTION("IFERROR(ABS(R1834-AVERAGE(FILTER(R1834:R5902,AA1834:AA5902=""Neighbor""))) / STDEV(FILTER(R1834:R5902, AA1834:AA5902 =""Neighbor"")), """")"),0.3506819994169565)</f>
        <v>0.3506819994</v>
      </c>
    </row>
    <row r="1835">
      <c r="A1835" s="2" t="s">
        <v>28</v>
      </c>
      <c r="B1835" s="2" t="s">
        <v>7366</v>
      </c>
      <c r="C1835" s="2" t="s">
        <v>7506</v>
      </c>
      <c r="D1835" s="2" t="s">
        <v>7519</v>
      </c>
      <c r="E1835" s="2" t="s">
        <v>7520</v>
      </c>
      <c r="F1835" s="2">
        <v>111.0</v>
      </c>
      <c r="G1835" s="2">
        <v>271.0</v>
      </c>
      <c r="H1835" s="2" t="b">
        <v>1</v>
      </c>
      <c r="I1835" s="2">
        <v>-1.0</v>
      </c>
      <c r="J1835" s="2" t="b">
        <v>0</v>
      </c>
      <c r="K1835" s="2" t="b">
        <v>0</v>
      </c>
      <c r="L1835" s="2" t="b">
        <v>0</v>
      </c>
      <c r="M1835" s="2" t="b">
        <v>0</v>
      </c>
      <c r="N1835" s="2" t="s">
        <v>33</v>
      </c>
      <c r="O1835" s="2">
        <v>49.0</v>
      </c>
      <c r="P1835" s="2">
        <v>1.0</v>
      </c>
      <c r="Q1835" s="2">
        <v>34.0</v>
      </c>
      <c r="R1835" s="2">
        <v>0.0</v>
      </c>
      <c r="S1835" s="3" t="s">
        <v>7521</v>
      </c>
      <c r="T1835" s="2" t="s">
        <v>7522</v>
      </c>
      <c r="Y1835" s="4" t="str">
        <f>IFERROR(__xludf.DUMMYFUNCTION("""COMPUTED_VALUE"""),"6.5122892")</f>
        <v>6.5122892</v>
      </c>
      <c r="Z1835" s="4" t="str">
        <f>IFERROR(__xludf.DUMMYFUNCTION("""COMPUTED_VALUE"""),"2.7331928")</f>
        <v>2.7331928</v>
      </c>
      <c r="AA1835" s="4" t="str">
        <f t="shared" si="1"/>
        <v>Neighbor</v>
      </c>
      <c r="AC1835" s="4">
        <f>IFERROR(__xludf.DUMMYFUNCTION("IFERROR(ABS(O1835-AVERAGE(FILTER(O1835:O5903,AA1835:AA5903=""Neighbor""))) / STDEV(FILTER(O1835:O5903, AA1835:AA5903 =""Neighbor"")), """")"),0.1306968655104017)</f>
        <v>0.1306968655</v>
      </c>
      <c r="AD1835" s="4">
        <f>IFERROR(__xludf.DUMMYFUNCTION("IFERROR(ABS(P1835-AVERAGE(FILTER(O1835:P5903,AA1835:AA5903=""Neighbor""))) / STDEV(FILTER(P1835:P5903, AA1835:AA5903 =""Neighbor"")), """")"),1.5100713491280784)</f>
        <v>1.510071349</v>
      </c>
      <c r="AE1835" s="2">
        <f>IFERROR(__xludf.DUMMYFUNCTION("IFERROR(ABS(Q1835-AVERAGE(FILTER(Q1835:Q5903,AA1835:AA5903=""Neighbor""))) / STDEV(FILTER(Q1835:Q5903, AA1835:AA5903 =""Neighbor"")), """")"),0.5615050162898872)</f>
        <v>0.5615050163</v>
      </c>
      <c r="AF1835" s="2">
        <f>IFERROR(__xludf.DUMMYFUNCTION("IFERROR(ABS(R1835-AVERAGE(FILTER(R1835:R5903,AA1835:AA5903=""Neighbor""))) / STDEV(FILTER(R1835:R5903, AA1835:AA5903 =""Neighbor"")), """")"),0.3506819994169565)</f>
        <v>0.3506819994</v>
      </c>
    </row>
    <row r="1836">
      <c r="A1836" s="2" t="s">
        <v>28</v>
      </c>
      <c r="B1836" s="2" t="s">
        <v>7366</v>
      </c>
      <c r="C1836" s="2" t="s">
        <v>7506</v>
      </c>
      <c r="D1836" s="2" t="s">
        <v>7523</v>
      </c>
      <c r="E1836" s="2" t="s">
        <v>7524</v>
      </c>
      <c r="F1836" s="2">
        <v>212.0</v>
      </c>
      <c r="G1836" s="2">
        <v>583.0</v>
      </c>
      <c r="H1836" s="2" t="b">
        <v>1</v>
      </c>
      <c r="I1836" s="2">
        <v>-1.0</v>
      </c>
      <c r="J1836" s="2" t="b">
        <v>0</v>
      </c>
      <c r="K1836" s="2" t="b">
        <v>0</v>
      </c>
      <c r="L1836" s="2" t="b">
        <v>0</v>
      </c>
      <c r="M1836" s="2" t="b">
        <v>0</v>
      </c>
      <c r="N1836" s="2" t="s">
        <v>33</v>
      </c>
      <c r="O1836" s="2">
        <v>67.0</v>
      </c>
      <c r="P1836" s="2">
        <v>1.0</v>
      </c>
      <c r="Q1836" s="2">
        <v>117.0</v>
      </c>
      <c r="R1836" s="2">
        <v>6.0</v>
      </c>
      <c r="S1836" s="3" t="s">
        <v>7525</v>
      </c>
      <c r="T1836" s="2" t="s">
        <v>7526</v>
      </c>
      <c r="Y1836" s="4" t="str">
        <f>IFERROR(__xludf.DUMMYFUNCTION("""COMPUTED_VALUE"""),"6.5122892")</f>
        <v>6.5122892</v>
      </c>
      <c r="Z1836" s="4" t="str">
        <f>IFERROR(__xludf.DUMMYFUNCTION("""COMPUTED_VALUE"""),"2.7331928")</f>
        <v>2.7331928</v>
      </c>
      <c r="AA1836" s="4" t="str">
        <f t="shared" si="1"/>
        <v>Not Neighbor</v>
      </c>
      <c r="AC1836" s="4">
        <f>IFERROR(__xludf.DUMMYFUNCTION("IFERROR(ABS(O1836-AVERAGE(FILTER(O1836:O5904,AA1836:AA5904=""Neighbor""))) / STDEV(FILTER(O1836:O5904, AA1836:AA5904 =""Neighbor"")), """")"),0.3575020159687189)</f>
        <v>0.357502016</v>
      </c>
      <c r="AD1836" s="4">
        <f>IFERROR(__xludf.DUMMYFUNCTION("IFERROR(ABS(P1836-AVERAGE(FILTER(O1836:P5904,AA1836:AA5904=""Neighbor""))) / STDEV(FILTER(P1836:P5904, AA1836:AA5904 =""Neighbor"")), """")"),1.5101185643633603)</f>
        <v>1.510118564</v>
      </c>
      <c r="AE1836" s="2">
        <f>IFERROR(__xludf.DUMMYFUNCTION("IFERROR(ABS(Q1836-AVERAGE(FILTER(Q1836:Q5904,AA1836:AA5904=""Neighbor""))) / STDEV(FILTER(Q1836:Q5904, AA1836:AA5904 =""Neighbor"")), """")"),4.181351796038524)</f>
        <v>4.181351796</v>
      </c>
      <c r="AF1836" s="2">
        <f>IFERROR(__xludf.DUMMYFUNCTION("IFERROR(ABS(R1836-AVERAGE(FILTER(R1836:R5904,AA1836:AA5904=""Neighbor""))) / STDEV(FILTER(R1836:R5904, AA1836:AA5904 =""Neighbor"")), """")"),6.7172719262600875)</f>
        <v>6.717271926</v>
      </c>
    </row>
    <row r="1837">
      <c r="A1837" s="2" t="s">
        <v>28</v>
      </c>
      <c r="B1837" s="2" t="s">
        <v>7366</v>
      </c>
      <c r="C1837" s="2" t="s">
        <v>7506</v>
      </c>
      <c r="D1837" s="2" t="s">
        <v>7527</v>
      </c>
      <c r="E1837" s="2" t="s">
        <v>7528</v>
      </c>
      <c r="F1837" s="2">
        <v>146.0</v>
      </c>
      <c r="G1837" s="2">
        <v>425.0</v>
      </c>
      <c r="H1837" s="2" t="b">
        <v>1</v>
      </c>
      <c r="I1837" s="2">
        <v>-1.0</v>
      </c>
      <c r="J1837" s="2" t="b">
        <v>0</v>
      </c>
      <c r="K1837" s="2" t="b">
        <v>0</v>
      </c>
      <c r="L1837" s="2" t="b">
        <v>0</v>
      </c>
      <c r="M1837" s="2" t="b">
        <v>0</v>
      </c>
      <c r="N1837" s="2" t="s">
        <v>33</v>
      </c>
      <c r="O1837" s="2">
        <v>65.0</v>
      </c>
      <c r="P1837" s="2">
        <v>0.0</v>
      </c>
      <c r="Q1837" s="2">
        <v>52.0</v>
      </c>
      <c r="R1837" s="2">
        <v>0.0</v>
      </c>
      <c r="S1837" s="3" t="s">
        <v>7529</v>
      </c>
      <c r="T1837" s="2" t="s">
        <v>7530</v>
      </c>
      <c r="Y1837" s="4" t="str">
        <f>IFERROR(__xludf.DUMMYFUNCTION("""COMPUTED_VALUE"""),"6.4932302")</f>
        <v>6.4932302</v>
      </c>
      <c r="Z1837" s="4" t="str">
        <f>IFERROR(__xludf.DUMMYFUNCTION("""COMPUTED_VALUE"""),"2.7484286")</f>
        <v>2.7484286</v>
      </c>
      <c r="AA1837" s="4" t="str">
        <f t="shared" si="1"/>
        <v>Not Neighbor</v>
      </c>
      <c r="AC1837" s="4">
        <f>IFERROR(__xludf.DUMMYFUNCTION("IFERROR(ABS(O1837-AVERAGE(FILTER(O1837:O5905,AA1837:AA5905=""Neighbor""))) / STDEV(FILTER(O1837:O5905, AA1837:AA5905 =""Neighbor"")), """")"),0.30324943711578894)</f>
        <v>0.3032494371</v>
      </c>
      <c r="AD1837" s="4">
        <f>IFERROR(__xludf.DUMMYFUNCTION("IFERROR(ABS(P1837-AVERAGE(FILTER(O1837:P5905,AA1837:AA5905=""Neighbor""))) / STDEV(FILTER(P1837:P5905, AA1837:AA5905 =""Neighbor"")), """")"),1.5543952783528039)</f>
        <v>1.554395278</v>
      </c>
      <c r="AE1837" s="2">
        <f>IFERROR(__xludf.DUMMYFUNCTION("IFERROR(ABS(Q1837-AVERAGE(FILTER(Q1837:Q5905,AA1837:AA5905=""Neighbor""))) / STDEV(FILTER(Q1837:Q5905, AA1837:AA5905 =""Neighbor"")), """")"),1.3468556733531698)</f>
        <v>1.346855673</v>
      </c>
      <c r="AF1837" s="2">
        <f>IFERROR(__xludf.DUMMYFUNCTION("IFERROR(ABS(R1837-AVERAGE(FILTER(R1837:R5905,AA1837:AA5905=""Neighbor""))) / STDEV(FILTER(R1837:R5905, AA1837:AA5905 =""Neighbor"")), """")"),0.35090226480463144)</f>
        <v>0.3509022648</v>
      </c>
    </row>
    <row r="1838">
      <c r="A1838" s="2" t="s">
        <v>28</v>
      </c>
      <c r="B1838" s="2" t="s">
        <v>7366</v>
      </c>
      <c r="C1838" s="2" t="s">
        <v>7506</v>
      </c>
      <c r="D1838" s="2" t="s">
        <v>7531</v>
      </c>
      <c r="E1838" s="2" t="s">
        <v>7532</v>
      </c>
      <c r="F1838" s="2">
        <v>205.0</v>
      </c>
      <c r="G1838" s="2">
        <v>544.0</v>
      </c>
      <c r="H1838" s="2" t="b">
        <v>1</v>
      </c>
      <c r="I1838" s="2">
        <v>-1.0</v>
      </c>
      <c r="J1838" s="2" t="b">
        <v>1</v>
      </c>
      <c r="K1838" s="2" t="b">
        <v>0</v>
      </c>
      <c r="L1838" s="2" t="b">
        <v>0</v>
      </c>
      <c r="M1838" s="2" t="b">
        <v>0</v>
      </c>
      <c r="N1838" s="2" t="s">
        <v>33</v>
      </c>
      <c r="O1838" s="2">
        <v>75.0</v>
      </c>
      <c r="P1838" s="2">
        <v>1.0</v>
      </c>
      <c r="Q1838" s="2">
        <v>122.0</v>
      </c>
      <c r="R1838" s="2">
        <v>0.0</v>
      </c>
      <c r="S1838" s="3" t="s">
        <v>7533</v>
      </c>
      <c r="T1838" s="2" t="s">
        <v>7534</v>
      </c>
      <c r="Y1838" s="4" t="str">
        <f>IFERROR(__xludf.DUMMYFUNCTION("""COMPUTED_VALUE"""),"6.5122892")</f>
        <v>6.5122892</v>
      </c>
      <c r="Z1838" s="4" t="str">
        <f>IFERROR(__xludf.DUMMYFUNCTION("""COMPUTED_VALUE"""),"2.7331928")</f>
        <v>2.7331928</v>
      </c>
      <c r="AA1838" s="4" t="str">
        <f t="shared" si="1"/>
        <v>Not Neighbor</v>
      </c>
      <c r="AC1838" s="4">
        <f>IFERROR(__xludf.DUMMYFUNCTION("IFERROR(ABS(O1838-AVERAGE(FILTER(O1838:O5906,AA1838:AA5906=""Neighbor""))) / STDEV(FILTER(O1838:O5906, AA1838:AA5906 =""Neighbor"")), """")"),0.5745123313804384)</f>
        <v>0.5745123314</v>
      </c>
      <c r="AD1838" s="4">
        <f>IFERROR(__xludf.DUMMYFUNCTION("IFERROR(ABS(P1838-AVERAGE(FILTER(O1838:P5906,AA1838:AA5906=""Neighbor""))) / STDEV(FILTER(P1838:P5906, AA1838:AA5906 =""Neighbor"")), """")"),1.5101185643633603)</f>
        <v>1.510118564</v>
      </c>
      <c r="AE1838" s="2">
        <f>IFERROR(__xludf.DUMMYFUNCTION("IFERROR(ABS(Q1838-AVERAGE(FILTER(Q1838:Q5906,AA1838:AA5906=""Neighbor""))) / STDEV(FILTER(Q1838:Q5906, AA1838:AA5906 =""Neighbor"")), """")"),4.399389959322012)</f>
        <v>4.399389959</v>
      </c>
      <c r="AF1838" s="2">
        <f>IFERROR(__xludf.DUMMYFUNCTION("IFERROR(ABS(R1838-AVERAGE(FILTER(R1838:R5906,AA1838:AA5906=""Neighbor""))) / STDEV(FILTER(R1838:R5906, AA1838:AA5906 =""Neighbor"")), """")"),0.35090226480463144)</f>
        <v>0.3509022648</v>
      </c>
    </row>
    <row r="1839">
      <c r="A1839" s="2" t="s">
        <v>28</v>
      </c>
      <c r="B1839" s="2" t="s">
        <v>7366</v>
      </c>
      <c r="C1839" s="2" t="s">
        <v>7506</v>
      </c>
      <c r="D1839" s="2" t="s">
        <v>7535</v>
      </c>
      <c r="E1839" s="2" t="s">
        <v>7536</v>
      </c>
      <c r="F1839" s="2">
        <v>187.0</v>
      </c>
      <c r="G1839" s="2">
        <v>696.0</v>
      </c>
      <c r="H1839" s="2" t="b">
        <v>1</v>
      </c>
      <c r="I1839" s="2">
        <v>-1.0</v>
      </c>
      <c r="J1839" s="2" t="b">
        <v>0</v>
      </c>
      <c r="K1839" s="2" t="b">
        <v>0</v>
      </c>
      <c r="L1839" s="2" t="b">
        <v>0</v>
      </c>
      <c r="M1839" s="2" t="b">
        <v>0</v>
      </c>
      <c r="N1839" s="2" t="s">
        <v>33</v>
      </c>
      <c r="O1839" s="2">
        <v>48.0</v>
      </c>
      <c r="P1839" s="2">
        <v>4.0</v>
      </c>
      <c r="Q1839" s="2">
        <v>106.0</v>
      </c>
      <c r="R1839" s="2">
        <v>6.0</v>
      </c>
      <c r="S1839" s="3" t="s">
        <v>7537</v>
      </c>
      <c r="T1839" s="2" t="s">
        <v>7538</v>
      </c>
      <c r="Y1839" s="4" t="str">
        <f>IFERROR(__xludf.DUMMYFUNCTION("""COMPUTED_VALUE"""),"6.5343396")</f>
        <v>6.5343396</v>
      </c>
      <c r="Z1839" s="4" t="str">
        <f>IFERROR(__xludf.DUMMYFUNCTION("""COMPUTED_VALUE"""),"2.8415046")</f>
        <v>2.8415046</v>
      </c>
      <c r="AA1839" s="4" t="str">
        <f t="shared" si="1"/>
        <v>Not Neighbor</v>
      </c>
      <c r="AC1839" s="4">
        <f>IFERROR(__xludf.DUMMYFUNCTION("IFERROR(ABS(O1839-AVERAGE(FILTER(O1839:O5907,AA1839:AA5907=""Neighbor""))) / STDEV(FILTER(O1839:O5907, AA1839:AA5907 =""Neighbor"")), """")"),0.15789748313411522)</f>
        <v>0.1578974831</v>
      </c>
      <c r="AD1839" s="4">
        <f>IFERROR(__xludf.DUMMYFUNCTION("IFERROR(ABS(P1839-AVERAGE(FILTER(O1839:P5907,AA1839:AA5907=""Neighbor""))) / STDEV(FILTER(P1839:P5907, AA1839:AA5907 =""Neighbor"")), """")"),1.37728842239503)</f>
        <v>1.377288422</v>
      </c>
      <c r="AE1839" s="2">
        <f>IFERROR(__xludf.DUMMYFUNCTION("IFERROR(ABS(Q1839-AVERAGE(FILTER(Q1839:Q5907,AA1839:AA5907=""Neighbor""))) / STDEV(FILTER(Q1839:Q5907, AA1839:AA5907 =""Neighbor"")), """")"),3.7016678368148486)</f>
        <v>3.701667837</v>
      </c>
      <c r="AF1839" s="2">
        <f>IFERROR(__xludf.DUMMYFUNCTION("IFERROR(ABS(R1839-AVERAGE(FILTER(R1839:R5907,AA1839:AA5907=""Neighbor""))) / STDEV(FILTER(R1839:R5907, AA1839:AA5907 =""Neighbor"")), """")"),6.7172719262600875)</f>
        <v>6.717271926</v>
      </c>
    </row>
    <row r="1840">
      <c r="A1840" s="2" t="s">
        <v>28</v>
      </c>
      <c r="B1840" s="2" t="s">
        <v>7366</v>
      </c>
      <c r="C1840" s="2" t="s">
        <v>7506</v>
      </c>
      <c r="D1840" s="2" t="s">
        <v>7539</v>
      </c>
      <c r="E1840" s="2" t="s">
        <v>7540</v>
      </c>
      <c r="F1840" s="2">
        <v>274.0</v>
      </c>
      <c r="G1840" s="2">
        <v>997.0</v>
      </c>
      <c r="H1840" s="2" t="b">
        <v>1</v>
      </c>
      <c r="I1840" s="2">
        <v>-1.0</v>
      </c>
      <c r="J1840" s="2" t="b">
        <v>0</v>
      </c>
      <c r="K1840" s="2" t="b">
        <v>0</v>
      </c>
      <c r="L1840" s="2" t="b">
        <v>0</v>
      </c>
      <c r="M1840" s="2" t="b">
        <v>0</v>
      </c>
      <c r="N1840" s="2" t="s">
        <v>33</v>
      </c>
      <c r="O1840" s="2">
        <v>156.0</v>
      </c>
      <c r="P1840" s="2">
        <v>6.0</v>
      </c>
      <c r="Q1840" s="2">
        <v>62.0</v>
      </c>
      <c r="R1840" s="2">
        <v>0.0</v>
      </c>
      <c r="S1840" s="3" t="s">
        <v>7541</v>
      </c>
      <c r="T1840" s="2" t="s">
        <v>7542</v>
      </c>
      <c r="Y1840" s="4" t="str">
        <f>IFERROR(__xludf.DUMMYFUNCTION("""COMPUTED_VALUE"""),"6.5163185")</f>
        <v>6.5163185</v>
      </c>
      <c r="Z1840" s="4" t="str">
        <f>IFERROR(__xludf.DUMMYFUNCTION("""COMPUTED_VALUE"""),"2.7269756")</f>
        <v>2.7269756</v>
      </c>
      <c r="AA1840" s="4" t="str">
        <f t="shared" si="1"/>
        <v>Not Neighbor</v>
      </c>
      <c r="AC1840" s="4">
        <f>IFERROR(__xludf.DUMMYFUNCTION("IFERROR(ABS(O1840-AVERAGE(FILTER(O1840:O5908,AA1840:AA5908=""Neighbor""))) / STDEV(FILTER(O1840:O5908, AA1840:AA5908 =""Neighbor"")), """")"),2.7717417749240996)</f>
        <v>2.771741775</v>
      </c>
      <c r="AD1840" s="4">
        <f>IFERROR(__xludf.DUMMYFUNCTION("IFERROR(ABS(P1840-AVERAGE(FILTER(O1840:P5908,AA1840:AA5908=""Neighbor""))) / STDEV(FILTER(P1840:P5908, AA1840:AA5908 =""Neighbor"")), """")"),1.2887349944161428)</f>
        <v>1.288734994</v>
      </c>
      <c r="AE1840" s="2">
        <f>IFERROR(__xludf.DUMMYFUNCTION("IFERROR(ABS(Q1840-AVERAGE(FILTER(Q1840:Q5908,AA1840:AA5908=""Neighbor""))) / STDEV(FILTER(Q1840:Q5908, AA1840:AA5908 =""Neighbor"")), """")"),1.7829319999201476)</f>
        <v>1.782932</v>
      </c>
      <c r="AF1840" s="2">
        <f>IFERROR(__xludf.DUMMYFUNCTION("IFERROR(ABS(R1840-AVERAGE(FILTER(R1840:R5908,AA1840:AA5908=""Neighbor""))) / STDEV(FILTER(R1840:R5908, AA1840:AA5908 =""Neighbor"")), """")"),0.35090226480463144)</f>
        <v>0.3509022648</v>
      </c>
    </row>
    <row r="1841">
      <c r="A1841" s="2" t="s">
        <v>28</v>
      </c>
      <c r="B1841" s="2" t="s">
        <v>7366</v>
      </c>
      <c r="C1841" s="2" t="s">
        <v>7506</v>
      </c>
      <c r="D1841" s="2" t="s">
        <v>7543</v>
      </c>
      <c r="E1841" s="2" t="s">
        <v>7544</v>
      </c>
      <c r="F1841" s="2">
        <v>166.0</v>
      </c>
      <c r="G1841" s="2">
        <v>420.0</v>
      </c>
      <c r="H1841" s="2" t="b">
        <v>1</v>
      </c>
      <c r="I1841" s="2">
        <v>-1.0</v>
      </c>
      <c r="J1841" s="2" t="b">
        <v>0</v>
      </c>
      <c r="K1841" s="2" t="b">
        <v>1</v>
      </c>
      <c r="L1841" s="2" t="b">
        <v>0</v>
      </c>
      <c r="M1841" s="2" t="b">
        <v>0</v>
      </c>
      <c r="N1841" s="2" t="s">
        <v>33</v>
      </c>
      <c r="O1841" s="2">
        <v>99.0</v>
      </c>
      <c r="P1841" s="2">
        <v>0.0</v>
      </c>
      <c r="Q1841" s="2">
        <v>57.0</v>
      </c>
      <c r="R1841" s="2">
        <v>0.0</v>
      </c>
      <c r="S1841" s="3" t="s">
        <v>7545</v>
      </c>
      <c r="T1841" s="2" t="s">
        <v>7546</v>
      </c>
      <c r="Y1841" s="4" t="str">
        <f>IFERROR(__xludf.DUMMYFUNCTION("""COMPUTED_VALUE"""),"6.8211218")</f>
        <v>6.8211218</v>
      </c>
      <c r="Z1841" s="4" t="str">
        <f>IFERROR(__xludf.DUMMYFUNCTION("""COMPUTED_VALUE"""),"2.7637738")</f>
        <v>2.7637738</v>
      </c>
      <c r="AA1841" s="4" t="str">
        <f t="shared" si="1"/>
        <v>Not Neighbor</v>
      </c>
      <c r="AC1841" s="4">
        <f>IFERROR(__xludf.DUMMYFUNCTION("IFERROR(ABS(O1841-AVERAGE(FILTER(O1841:O5909,AA1841:AA5909=""Neighbor""))) / STDEV(FILTER(O1841:O5909, AA1841:AA5909 =""Neighbor"")), """")"),1.2255432776155974)</f>
        <v>1.225543278</v>
      </c>
      <c r="AD1841" s="4">
        <f>IFERROR(__xludf.DUMMYFUNCTION("IFERROR(ABS(P1841-AVERAGE(FILTER(O1841:P5909,AA1841:AA5909=""Neighbor""))) / STDEV(FILTER(P1841:P5909, AA1841:AA5909 =""Neighbor"")), """")"),1.5543952783528039)</f>
        <v>1.554395278</v>
      </c>
      <c r="AE1841" s="2">
        <f>IFERROR(__xludf.DUMMYFUNCTION("IFERROR(ABS(Q1841-AVERAGE(FILTER(Q1841:Q5909,AA1841:AA5909=""Neighbor""))) / STDEV(FILTER(Q1841:Q5909, AA1841:AA5909 =""Neighbor"")), """")"),1.5648938366366587)</f>
        <v>1.564893837</v>
      </c>
      <c r="AF1841" s="2">
        <f>IFERROR(__xludf.DUMMYFUNCTION("IFERROR(ABS(R1841-AVERAGE(FILTER(R1841:R5909,AA1841:AA5909=""Neighbor""))) / STDEV(FILTER(R1841:R5909, AA1841:AA5909 =""Neighbor"")), """")"),0.35090226480463144)</f>
        <v>0.3509022648</v>
      </c>
    </row>
    <row r="1842">
      <c r="A1842" s="2" t="s">
        <v>28</v>
      </c>
      <c r="B1842" s="2" t="s">
        <v>7366</v>
      </c>
      <c r="C1842" s="2" t="s">
        <v>7506</v>
      </c>
      <c r="D1842" s="2" t="s">
        <v>7547</v>
      </c>
      <c r="E1842" s="2" t="s">
        <v>7548</v>
      </c>
      <c r="F1842" s="2">
        <v>246.0</v>
      </c>
      <c r="G1842" s="2">
        <v>713.0</v>
      </c>
      <c r="H1842" s="2" t="b">
        <v>1</v>
      </c>
      <c r="I1842" s="2">
        <v>-1.0</v>
      </c>
      <c r="J1842" s="2" t="b">
        <v>0</v>
      </c>
      <c r="K1842" s="2" t="b">
        <v>0</v>
      </c>
      <c r="L1842" s="2" t="b">
        <v>0</v>
      </c>
      <c r="M1842" s="2" t="b">
        <v>0</v>
      </c>
      <c r="N1842" s="2" t="s">
        <v>33</v>
      </c>
      <c r="O1842" s="2">
        <v>0.0</v>
      </c>
      <c r="P1842" s="2">
        <v>0.0</v>
      </c>
      <c r="Q1842" s="2">
        <v>0.0</v>
      </c>
      <c r="R1842" s="2">
        <v>0.0</v>
      </c>
      <c r="S1842" s="3" t="s">
        <v>7549</v>
      </c>
      <c r="T1842" s="2" t="s">
        <v>7550</v>
      </c>
      <c r="Y1842" s="4" t="str">
        <f>IFERROR(__xludf.DUMMYFUNCTION("""COMPUTED_VALUE"""),"6.5122892")</f>
        <v>6.5122892</v>
      </c>
      <c r="Z1842" s="4" t="str">
        <f>IFERROR(__xludf.DUMMYFUNCTION("""COMPUTED_VALUE"""),"2.7331928")</f>
        <v>2.7331928</v>
      </c>
      <c r="AA1842" s="4" t="str">
        <f t="shared" si="1"/>
        <v>Not Neighbor</v>
      </c>
      <c r="AC1842" s="4">
        <f>IFERROR(__xludf.DUMMYFUNCTION("IFERROR(ABS(O1842-AVERAGE(FILTER(O1842:O5910,AA1842:AA5910=""Neighbor""))) / STDEV(FILTER(O1842:O5910, AA1842:AA5910 =""Neighbor"")), """")"),1.459959375604433)</f>
        <v>1.459959376</v>
      </c>
      <c r="AD1842" s="4">
        <f>IFERROR(__xludf.DUMMYFUNCTION("IFERROR(ABS(P1842-AVERAGE(FILTER(O1842:P5910,AA1842:AA5910=""Neighbor""))) / STDEV(FILTER(P1842:P5910, AA1842:AA5910 =""Neighbor"")), """")"),1.5543952783528039)</f>
        <v>1.554395278</v>
      </c>
      <c r="AE1842" s="2">
        <f>IFERROR(__xludf.DUMMYFUNCTION("IFERROR(ABS(Q1842-AVERAGE(FILTER(Q1842:Q5910,AA1842:AA5910=""Neighbor""))) / STDEV(FILTER(Q1842:Q5910, AA1842:AA5910 =""Neighbor"")), """")"),0.9207412247951132)</f>
        <v>0.9207412248</v>
      </c>
      <c r="AF1842" s="2">
        <f>IFERROR(__xludf.DUMMYFUNCTION("IFERROR(ABS(R1842-AVERAGE(FILTER(R1842:R5910,AA1842:AA5910=""Neighbor""))) / STDEV(FILTER(R1842:R5910, AA1842:AA5910 =""Neighbor"")), """")"),0.35090226480463144)</f>
        <v>0.3509022648</v>
      </c>
    </row>
    <row r="1843">
      <c r="A1843" s="2" t="s">
        <v>28</v>
      </c>
      <c r="B1843" s="2" t="s">
        <v>7366</v>
      </c>
      <c r="C1843" s="2" t="s">
        <v>7506</v>
      </c>
      <c r="D1843" s="2" t="s">
        <v>7551</v>
      </c>
      <c r="E1843" s="2" t="s">
        <v>7552</v>
      </c>
      <c r="F1843" s="2">
        <v>284.0</v>
      </c>
      <c r="G1843" s="2">
        <v>1090.0</v>
      </c>
      <c r="H1843" s="2" t="b">
        <v>1</v>
      </c>
      <c r="I1843" s="2">
        <v>-1.0</v>
      </c>
      <c r="J1843" s="2" t="b">
        <v>0</v>
      </c>
      <c r="K1843" s="2" t="b">
        <v>0</v>
      </c>
      <c r="L1843" s="2" t="b">
        <v>0</v>
      </c>
      <c r="M1843" s="2" t="b">
        <v>0</v>
      </c>
      <c r="N1843" s="2" t="s">
        <v>33</v>
      </c>
      <c r="O1843" s="2">
        <v>68.0</v>
      </c>
      <c r="P1843" s="2">
        <v>3.0</v>
      </c>
      <c r="Q1843" s="2">
        <v>181.0</v>
      </c>
      <c r="R1843" s="2">
        <v>0.0</v>
      </c>
      <c r="S1843" s="3" t="s">
        <v>7553</v>
      </c>
      <c r="T1843" s="2" t="s">
        <v>7554</v>
      </c>
      <c r="Y1843" s="4" t="str">
        <f>IFERROR(__xludf.DUMMYFUNCTION("""COMPUTED_VALUE"""),"6.540151")</f>
        <v>6.540151</v>
      </c>
      <c r="Z1843" s="4" t="str">
        <f>IFERROR(__xludf.DUMMYFUNCTION("""COMPUTED_VALUE"""),"2.7543376")</f>
        <v>2.7543376</v>
      </c>
      <c r="AA1843" s="4" t="str">
        <f t="shared" si="1"/>
        <v>Not Neighbor</v>
      </c>
      <c r="AC1843" s="4">
        <f>IFERROR(__xludf.DUMMYFUNCTION("IFERROR(ABS(O1843-AVERAGE(FILTER(O1843:O5911,AA1843:AA5911=""Neighbor""))) / STDEV(FILTER(O1843:O5911, AA1843:AA5911 =""Neighbor"")), """")"),0.38462830539518383)</f>
        <v>0.3846283054</v>
      </c>
      <c r="AD1843" s="4">
        <f>IFERROR(__xludf.DUMMYFUNCTION("IFERROR(ABS(P1843-AVERAGE(FILTER(O1843:P5911,AA1843:AA5911=""Neighbor""))) / STDEV(FILTER(P1843:P5911, AA1843:AA5911 =""Neighbor"")), """")"),1.4215651363844735)</f>
        <v>1.421565136</v>
      </c>
      <c r="AE1843" s="2">
        <f>IFERROR(__xludf.DUMMYFUNCTION("IFERROR(ABS(Q1843-AVERAGE(FILTER(Q1843:Q5911,AA1843:AA5911=""Neighbor""))) / STDEV(FILTER(Q1843:Q5911, AA1843:AA5911 =""Neighbor"")), """")"),6.97224028606718)</f>
        <v>6.972240286</v>
      </c>
      <c r="AF1843" s="2">
        <f>IFERROR(__xludf.DUMMYFUNCTION("IFERROR(ABS(R1843-AVERAGE(FILTER(R1843:R5911,AA1843:AA5911=""Neighbor""))) / STDEV(FILTER(R1843:R5911, AA1843:AA5911 =""Neighbor"")), """")"),0.35090226480463144)</f>
        <v>0.3509022648</v>
      </c>
    </row>
    <row r="1844">
      <c r="A1844" s="2" t="s">
        <v>28</v>
      </c>
      <c r="B1844" s="2" t="s">
        <v>7366</v>
      </c>
      <c r="C1844" s="2" t="s">
        <v>7506</v>
      </c>
      <c r="D1844" s="2" t="s">
        <v>7555</v>
      </c>
      <c r="E1844" s="2" t="s">
        <v>7556</v>
      </c>
      <c r="F1844" s="2">
        <v>233.0</v>
      </c>
      <c r="G1844" s="2">
        <v>742.0</v>
      </c>
      <c r="H1844" s="2" t="b">
        <v>1</v>
      </c>
      <c r="I1844" s="2">
        <v>-1.0</v>
      </c>
      <c r="J1844" s="2" t="b">
        <v>0</v>
      </c>
      <c r="K1844" s="2" t="b">
        <v>0</v>
      </c>
      <c r="L1844" s="2" t="b">
        <v>0</v>
      </c>
      <c r="M1844" s="2" t="b">
        <v>0</v>
      </c>
      <c r="N1844" s="2" t="s">
        <v>33</v>
      </c>
      <c r="O1844" s="2">
        <v>99.0</v>
      </c>
      <c r="P1844" s="2">
        <v>2.0</v>
      </c>
      <c r="Q1844" s="2">
        <v>119.0</v>
      </c>
      <c r="R1844" s="2">
        <v>1.0</v>
      </c>
      <c r="S1844" s="3" t="s">
        <v>7557</v>
      </c>
      <c r="T1844" s="2" t="s">
        <v>7558</v>
      </c>
      <c r="Y1844" s="4" t="str">
        <f>IFERROR(__xludf.DUMMYFUNCTION("""COMPUTED_VALUE"""),"6.5122892")</f>
        <v>6.5122892</v>
      </c>
      <c r="Z1844" s="4" t="str">
        <f>IFERROR(__xludf.DUMMYFUNCTION("""COMPUTED_VALUE"""),"2.7331928")</f>
        <v>2.7331928</v>
      </c>
      <c r="AA1844" s="4" t="str">
        <f t="shared" si="1"/>
        <v>Not Neighbor</v>
      </c>
      <c r="AC1844" s="4">
        <f>IFERROR(__xludf.DUMMYFUNCTION("IFERROR(ABS(O1844-AVERAGE(FILTER(O1844:O5912,AA1844:AA5912=""Neighbor""))) / STDEV(FILTER(O1844:O5912, AA1844:AA5912 =""Neighbor"")), """")"),1.2255432776155974)</f>
        <v>1.225543278</v>
      </c>
      <c r="AD1844" s="4">
        <f>IFERROR(__xludf.DUMMYFUNCTION("IFERROR(ABS(P1844-AVERAGE(FILTER(O1844:P5912,AA1844:AA5912=""Neighbor""))) / STDEV(FILTER(P1844:P5912, AA1844:AA5912 =""Neighbor"")), """")"),1.465841850373917)</f>
        <v>1.46584185</v>
      </c>
      <c r="AE1844" s="2">
        <f>IFERROR(__xludf.DUMMYFUNCTION("IFERROR(ABS(Q1844-AVERAGE(FILTER(Q1844:Q5912,AA1844:AA5912=""Neighbor""))) / STDEV(FILTER(Q1844:Q5912, AA1844:AA5912 =""Neighbor"")), """")"),4.268567061351919)</f>
        <v>4.268567061</v>
      </c>
      <c r="AF1844" s="2">
        <f>IFERROR(__xludf.DUMMYFUNCTION("IFERROR(ABS(R1844-AVERAGE(FILTER(R1844:R5912,AA1844:AA5912=""Neighbor""))) / STDEV(FILTER(R1844:R5912, AA1844:AA5912 =""Neighbor"")), """")"),0.8271267670394884)</f>
        <v>0.827126767</v>
      </c>
    </row>
    <row r="1845">
      <c r="A1845" s="2" t="s">
        <v>28</v>
      </c>
      <c r="B1845" s="2" t="s">
        <v>7366</v>
      </c>
      <c r="C1845" s="2" t="s">
        <v>7506</v>
      </c>
      <c r="D1845" s="2" t="s">
        <v>7559</v>
      </c>
      <c r="E1845" s="2" t="s">
        <v>7560</v>
      </c>
      <c r="F1845" s="2">
        <v>164.0</v>
      </c>
      <c r="G1845" s="2">
        <v>738.0</v>
      </c>
      <c r="H1845" s="2" t="b">
        <v>1</v>
      </c>
      <c r="I1845" s="2">
        <v>-1.0</v>
      </c>
      <c r="J1845" s="2" t="b">
        <v>0</v>
      </c>
      <c r="K1845" s="2" t="b">
        <v>0</v>
      </c>
      <c r="L1845" s="2" t="b">
        <v>0</v>
      </c>
      <c r="M1845" s="2" t="b">
        <v>0</v>
      </c>
      <c r="N1845" s="2" t="s">
        <v>33</v>
      </c>
      <c r="O1845" s="2">
        <v>74.0</v>
      </c>
      <c r="P1845" s="2">
        <v>2.0</v>
      </c>
      <c r="Q1845" s="2">
        <v>71.0</v>
      </c>
      <c r="R1845" s="2">
        <v>0.0</v>
      </c>
      <c r="S1845" s="3" t="s">
        <v>7561</v>
      </c>
      <c r="T1845" s="2" t="s">
        <v>7562</v>
      </c>
      <c r="Y1845" s="4" t="str">
        <f>IFERROR(__xludf.DUMMYFUNCTION("""COMPUTED_VALUE"""),"6.5674422")</f>
        <v>6.5674422</v>
      </c>
      <c r="Z1845" s="4" t="str">
        <f>IFERROR(__xludf.DUMMYFUNCTION("""COMPUTED_VALUE"""),"2.7599364")</f>
        <v>2.7599364</v>
      </c>
      <c r="AA1845" s="4" t="str">
        <f t="shared" si="1"/>
        <v>Not Neighbor</v>
      </c>
      <c r="AC1845" s="4">
        <f>IFERROR(__xludf.DUMMYFUNCTION("IFERROR(ABS(O1845-AVERAGE(FILTER(O1845:O5913,AA1845:AA5913=""Neighbor""))) / STDEV(FILTER(O1845:O5913, AA1845:AA5913 =""Neighbor"")), """")"),0.5473860419539736)</f>
        <v>0.547386042</v>
      </c>
      <c r="AD1845" s="4">
        <f>IFERROR(__xludf.DUMMYFUNCTION("IFERROR(ABS(P1845-AVERAGE(FILTER(O1845:P5913,AA1845:AA5913=""Neighbor""))) / STDEV(FILTER(P1845:P5913, AA1845:AA5913 =""Neighbor"")), """")"),1.465841850373917)</f>
        <v>1.46584185</v>
      </c>
      <c r="AE1845" s="2">
        <f>IFERROR(__xludf.DUMMYFUNCTION("IFERROR(ABS(Q1845-AVERAGE(FILTER(Q1845:Q5913,AA1845:AA5913=""Neighbor""))) / STDEV(FILTER(Q1845:Q5913, AA1845:AA5913 =""Neighbor"")), """")"),2.175400693830427)</f>
        <v>2.175400694</v>
      </c>
      <c r="AF1845" s="2">
        <f>IFERROR(__xludf.DUMMYFUNCTION("IFERROR(ABS(R1845-AVERAGE(FILTER(R1845:R5913,AA1845:AA5913=""Neighbor""))) / STDEV(FILTER(R1845:R5913, AA1845:AA5913 =""Neighbor"")), """")"),0.35090226480463144)</f>
        <v>0.3509022648</v>
      </c>
    </row>
    <row r="1846">
      <c r="A1846" s="2" t="s">
        <v>28</v>
      </c>
      <c r="B1846" s="2" t="s">
        <v>7366</v>
      </c>
      <c r="C1846" s="2" t="s">
        <v>7506</v>
      </c>
      <c r="D1846" s="2" t="s">
        <v>7563</v>
      </c>
      <c r="E1846" s="2" t="s">
        <v>7564</v>
      </c>
      <c r="F1846" s="2">
        <v>131.0</v>
      </c>
      <c r="G1846" s="2">
        <v>446.0</v>
      </c>
      <c r="H1846" s="2" t="b">
        <v>1</v>
      </c>
      <c r="I1846" s="2">
        <v>-1.0</v>
      </c>
      <c r="J1846" s="2" t="b">
        <v>0</v>
      </c>
      <c r="K1846" s="2" t="b">
        <v>0</v>
      </c>
      <c r="L1846" s="2" t="b">
        <v>0</v>
      </c>
      <c r="M1846" s="2" t="b">
        <v>0</v>
      </c>
      <c r="N1846" s="2" t="s">
        <v>33</v>
      </c>
      <c r="O1846" s="2">
        <v>65.0</v>
      </c>
      <c r="P1846" s="2">
        <v>1.0</v>
      </c>
      <c r="Q1846" s="2">
        <v>57.0</v>
      </c>
      <c r="R1846" s="2">
        <v>0.0</v>
      </c>
      <c r="S1846" s="3" t="s">
        <v>7565</v>
      </c>
      <c r="T1846" s="2" t="s">
        <v>7566</v>
      </c>
      <c r="Y1846" s="4" t="str">
        <f>IFERROR(__xludf.DUMMYFUNCTION("""COMPUTED_VALUE"""),"6.5343396")</f>
        <v>6.5343396</v>
      </c>
      <c r="Z1846" s="4" t="str">
        <f>IFERROR(__xludf.DUMMYFUNCTION("""COMPUTED_VALUE"""),"2.8415046")</f>
        <v>2.8415046</v>
      </c>
      <c r="AA1846" s="4" t="str">
        <f t="shared" si="1"/>
        <v>Neighbor</v>
      </c>
      <c r="AC1846" s="4">
        <f>IFERROR(__xludf.DUMMYFUNCTION("IFERROR(ABS(O1846-AVERAGE(FILTER(O1846:O5914,AA1846:AA5914=""Neighbor""))) / STDEV(FILTER(O1846:O5914, AA1846:AA5914 =""Neighbor"")), """")"),0.30324943711578894)</f>
        <v>0.3032494371</v>
      </c>
      <c r="AD1846" s="4">
        <f>IFERROR(__xludf.DUMMYFUNCTION("IFERROR(ABS(P1846-AVERAGE(FILTER(O1846:P5914,AA1846:AA5914=""Neighbor""))) / STDEV(FILTER(P1846:P5914, AA1846:AA5914 =""Neighbor"")), """")"),1.5101185643633603)</f>
        <v>1.510118564</v>
      </c>
      <c r="AE1846" s="2">
        <f>IFERROR(__xludf.DUMMYFUNCTION("IFERROR(ABS(Q1846-AVERAGE(FILTER(Q1846:Q5914,AA1846:AA5914=""Neighbor""))) / STDEV(FILTER(Q1846:Q5914, AA1846:AA5914 =""Neighbor"")), """")"),1.5648938366366587)</f>
        <v>1.564893837</v>
      </c>
      <c r="AF1846" s="2">
        <f>IFERROR(__xludf.DUMMYFUNCTION("IFERROR(ABS(R1846-AVERAGE(FILTER(R1846:R5914,AA1846:AA5914=""Neighbor""))) / STDEV(FILTER(R1846:R5914, AA1846:AA5914 =""Neighbor"")), """")"),0.35090226480463144)</f>
        <v>0.3509022648</v>
      </c>
    </row>
    <row r="1847">
      <c r="A1847" s="2" t="s">
        <v>28</v>
      </c>
      <c r="B1847" s="2" t="s">
        <v>7366</v>
      </c>
      <c r="C1847" s="2" t="s">
        <v>7506</v>
      </c>
      <c r="D1847" s="2" t="s">
        <v>7567</v>
      </c>
      <c r="E1847" s="2" t="s">
        <v>7568</v>
      </c>
      <c r="F1847" s="2">
        <v>93.0</v>
      </c>
      <c r="G1847" s="2">
        <v>369.0</v>
      </c>
      <c r="H1847" s="2" t="b">
        <v>1</v>
      </c>
      <c r="I1847" s="2">
        <v>-1.0</v>
      </c>
      <c r="J1847" s="2" t="b">
        <v>0</v>
      </c>
      <c r="K1847" s="2" t="b">
        <v>0</v>
      </c>
      <c r="L1847" s="2" t="b">
        <v>0</v>
      </c>
      <c r="M1847" s="2" t="b">
        <v>0</v>
      </c>
      <c r="N1847" s="2" t="s">
        <v>33</v>
      </c>
      <c r="O1847" s="2">
        <v>45.0</v>
      </c>
      <c r="P1847" s="2">
        <v>3.0</v>
      </c>
      <c r="Q1847" s="2">
        <v>34.0</v>
      </c>
      <c r="R1847" s="2">
        <v>0.0</v>
      </c>
      <c r="S1847" s="3" t="s">
        <v>7569</v>
      </c>
      <c r="T1847" s="2" t="s">
        <v>7570</v>
      </c>
      <c r="Y1847" s="4" t="str">
        <f>IFERROR(__xludf.DUMMYFUNCTION("""COMPUTED_VALUE"""),"6.5343396")</f>
        <v>6.5343396</v>
      </c>
      <c r="Z1847" s="4" t="str">
        <f>IFERROR(__xludf.DUMMYFUNCTION("""COMPUTED_VALUE"""),"2.8415046")</f>
        <v>2.8415046</v>
      </c>
      <c r="AA1847" s="4" t="str">
        <f t="shared" si="1"/>
        <v>Neighbor</v>
      </c>
      <c r="AC1847" s="4">
        <f>IFERROR(__xludf.DUMMYFUNCTION("IFERROR(ABS(O1847-AVERAGE(FILTER(O1847:O5915,AA1847:AA5915=""Neighbor""))) / STDEV(FILTER(O1847:O5915, AA1847:AA5915 =""Neighbor"")), """")"),0.23881473951894439)</f>
        <v>0.2388147395</v>
      </c>
      <c r="AD1847" s="4">
        <f>IFERROR(__xludf.DUMMYFUNCTION("IFERROR(ABS(P1847-AVERAGE(FILTER(O1847:P5915,AA1847:AA5915=""Neighbor""))) / STDEV(FILTER(P1847:P5915, AA1847:AA5915 =""Neighbor"")), """")"),1.4212430394515787)</f>
        <v>1.421243039</v>
      </c>
      <c r="AE1847" s="2">
        <f>IFERROR(__xludf.DUMMYFUNCTION("IFERROR(ABS(Q1847-AVERAGE(FILTER(Q1847:Q5915,AA1847:AA5915=""Neighbor""))) / STDEV(FILTER(Q1847:Q5915, AA1847:AA5915 =""Neighbor"")), """")"),0.5641323870135946)</f>
        <v>0.564132387</v>
      </c>
      <c r="AF1847" s="2">
        <f>IFERROR(__xludf.DUMMYFUNCTION("IFERROR(ABS(R1847-AVERAGE(FILTER(R1847:R5915,AA1847:AA5915=""Neighbor""))) / STDEV(FILTER(R1847:R5915, AA1847:AA5915 =""Neighbor"")), """")"),0.3511229458246344)</f>
        <v>0.3511229458</v>
      </c>
    </row>
    <row r="1848">
      <c r="A1848" s="2" t="s">
        <v>28</v>
      </c>
      <c r="B1848" s="2" t="s">
        <v>7366</v>
      </c>
      <c r="C1848" s="2" t="s">
        <v>7506</v>
      </c>
      <c r="D1848" s="2" t="s">
        <v>7571</v>
      </c>
      <c r="E1848" s="2" t="s">
        <v>7572</v>
      </c>
      <c r="F1848" s="2">
        <v>112.0</v>
      </c>
      <c r="G1848" s="2">
        <v>515.0</v>
      </c>
      <c r="H1848" s="2" t="b">
        <v>1</v>
      </c>
      <c r="I1848" s="2">
        <v>-1.0</v>
      </c>
      <c r="J1848" s="2" t="b">
        <v>0</v>
      </c>
      <c r="K1848" s="2" t="b">
        <v>0</v>
      </c>
      <c r="L1848" s="2" t="b">
        <v>0</v>
      </c>
      <c r="M1848" s="2" t="b">
        <v>0</v>
      </c>
      <c r="N1848" s="2" t="s">
        <v>33</v>
      </c>
      <c r="O1848" s="2">
        <v>55.0</v>
      </c>
      <c r="P1848" s="2">
        <v>1.0</v>
      </c>
      <c r="Q1848" s="2">
        <v>45.0</v>
      </c>
      <c r="R1848" s="2">
        <v>0.0</v>
      </c>
      <c r="S1848" s="3" t="s">
        <v>7573</v>
      </c>
      <c r="T1848" s="2" t="s">
        <v>7574</v>
      </c>
      <c r="Y1848" s="4" t="str">
        <f>IFERROR(__xludf.DUMMYFUNCTION("""COMPUTED_VALUE"""),"6.5343396")</f>
        <v>6.5343396</v>
      </c>
      <c r="Z1848" s="4" t="str">
        <f>IFERROR(__xludf.DUMMYFUNCTION("""COMPUTED_VALUE"""),"2.8415046")</f>
        <v>2.8415046</v>
      </c>
      <c r="AA1848" s="4" t="str">
        <f t="shared" si="1"/>
        <v>Not Neighbor</v>
      </c>
      <c r="AC1848" s="4">
        <f>IFERROR(__xludf.DUMMYFUNCTION("IFERROR(ABS(O1848-AVERAGE(FILTER(O1848:O5916,AA1848:AA5916=""Neighbor""))) / STDEV(FILTER(O1848:O5916, AA1848:AA5916 =""Neighbor"")), """")"),0.03202506079983506)</f>
        <v>0.0320250608</v>
      </c>
      <c r="AD1848" s="4">
        <f>IFERROR(__xludf.DUMMYFUNCTION("IFERROR(ABS(P1848-AVERAGE(FILTER(O1848:P5916,AA1848:AA5916=""Neighbor""))) / STDEV(FILTER(P1848:P5916, AA1848:AA5916 =""Neighbor"")), """")"),1.5097728087866902)</f>
        <v>1.509772809</v>
      </c>
      <c r="AE1848" s="2">
        <f>IFERROR(__xludf.DUMMYFUNCTION("IFERROR(ABS(Q1848-AVERAGE(FILTER(Q1848:Q5916,AA1848:AA5916=""Neighbor""))) / STDEV(FILTER(Q1848:Q5916, AA1848:AA5916 =""Neighbor"")), """")"),1.044440982341771)</f>
        <v>1.044440982</v>
      </c>
      <c r="AF1848" s="2">
        <f>IFERROR(__xludf.DUMMYFUNCTION("IFERROR(ABS(R1848-AVERAGE(FILTER(R1848:R5916,AA1848:AA5916=""Neighbor""))) / STDEV(FILTER(R1848:R5916, AA1848:AA5916 =""Neighbor"")), """")"),0.3513440437859153)</f>
        <v>0.3513440438</v>
      </c>
    </row>
    <row r="1849">
      <c r="A1849" s="2" t="s">
        <v>28</v>
      </c>
      <c r="B1849" s="2" t="s">
        <v>7366</v>
      </c>
      <c r="C1849" s="2" t="s">
        <v>7506</v>
      </c>
      <c r="D1849" s="2" t="s">
        <v>7575</v>
      </c>
      <c r="E1849" s="2" t="s">
        <v>7576</v>
      </c>
      <c r="F1849" s="2">
        <v>167.0</v>
      </c>
      <c r="G1849" s="2">
        <v>449.0</v>
      </c>
      <c r="H1849" s="2" t="b">
        <v>1</v>
      </c>
      <c r="I1849" s="2">
        <v>-1.0</v>
      </c>
      <c r="J1849" s="2" t="b">
        <v>0</v>
      </c>
      <c r="K1849" s="2" t="b">
        <v>0</v>
      </c>
      <c r="L1849" s="2" t="b">
        <v>0</v>
      </c>
      <c r="M1849" s="2" t="b">
        <v>0</v>
      </c>
      <c r="N1849" s="2" t="s">
        <v>33</v>
      </c>
      <c r="O1849" s="2">
        <v>58.0</v>
      </c>
      <c r="P1849" s="2">
        <v>1.0</v>
      </c>
      <c r="Q1849" s="2">
        <v>94.0</v>
      </c>
      <c r="R1849" s="2">
        <v>0.0</v>
      </c>
      <c r="S1849" s="3" t="s">
        <v>7577</v>
      </c>
      <c r="T1849" s="2" t="s">
        <v>7578</v>
      </c>
      <c r="Y1849" s="4" t="str">
        <f>IFERROR(__xludf.DUMMYFUNCTION("""COMPUTED_VALUE"""),"6.5122892")</f>
        <v>6.5122892</v>
      </c>
      <c r="Z1849" s="4" t="str">
        <f>IFERROR(__xludf.DUMMYFUNCTION("""COMPUTED_VALUE"""),"2.7331928")</f>
        <v>2.7331928</v>
      </c>
      <c r="AA1849" s="4" t="str">
        <f t="shared" si="1"/>
        <v>Not Neighbor</v>
      </c>
      <c r="AC1849" s="4">
        <f>IFERROR(__xludf.DUMMYFUNCTION("IFERROR(ABS(O1849-AVERAGE(FILTER(O1849:O5917,AA1849:AA5917=""Neighbor""))) / STDEV(FILTER(O1849:O5917, AA1849:AA5917 =""Neighbor"")), """")"),0.11331944590710881)</f>
        <v>0.1133194459</v>
      </c>
      <c r="AD1849" s="4">
        <f>IFERROR(__xludf.DUMMYFUNCTION("IFERROR(ABS(P1849-AVERAGE(FILTER(O1849:P5917,AA1849:AA5917=""Neighbor""))) / STDEV(FILTER(P1849:P5917, AA1849:AA5917 =""Neighbor"")), """")"),1.5097728087866902)</f>
        <v>1.509772809</v>
      </c>
      <c r="AE1849" s="2">
        <f>IFERROR(__xludf.DUMMYFUNCTION("IFERROR(ABS(Q1849-AVERAGE(FILTER(Q1849:Q5917,AA1849:AA5917=""Neighbor""))) / STDEV(FILTER(Q1849:Q5917, AA1849:AA5917 =""Neighbor"")), """")"),3.1821395828789885)</f>
        <v>3.182139583</v>
      </c>
      <c r="AF1849" s="2">
        <f>IFERROR(__xludf.DUMMYFUNCTION("IFERROR(ABS(R1849-AVERAGE(FILTER(R1849:R5917,AA1849:AA5917=""Neighbor""))) / STDEV(FILTER(R1849:R5917, AA1849:AA5917 =""Neighbor"")), """")"),0.3513440437859153)</f>
        <v>0.3513440438</v>
      </c>
    </row>
    <row r="1850">
      <c r="A1850" s="2" t="s">
        <v>28</v>
      </c>
      <c r="B1850" s="2" t="s">
        <v>7366</v>
      </c>
      <c r="C1850" s="2" t="s">
        <v>7579</v>
      </c>
      <c r="D1850" s="2" t="s">
        <v>7580</v>
      </c>
      <c r="E1850" s="2" t="s">
        <v>7581</v>
      </c>
      <c r="F1850" s="2">
        <v>165.0</v>
      </c>
      <c r="G1850" s="2">
        <v>910.0</v>
      </c>
      <c r="H1850" s="2" t="b">
        <v>1</v>
      </c>
      <c r="I1850" s="2">
        <v>-1.0</v>
      </c>
      <c r="J1850" s="2" t="b">
        <v>0</v>
      </c>
      <c r="K1850" s="2" t="b">
        <v>0</v>
      </c>
      <c r="L1850" s="2" t="b">
        <v>0</v>
      </c>
      <c r="M1850" s="2" t="b">
        <v>0</v>
      </c>
      <c r="N1850" s="2" t="s">
        <v>33</v>
      </c>
      <c r="O1850" s="2">
        <v>63.0</v>
      </c>
      <c r="P1850" s="2">
        <v>10.0</v>
      </c>
      <c r="Q1850" s="2">
        <v>85.0</v>
      </c>
      <c r="R1850" s="2">
        <v>0.0</v>
      </c>
      <c r="S1850" s="3" t="s">
        <v>7582</v>
      </c>
      <c r="T1850" s="2" t="s">
        <v>7583</v>
      </c>
      <c r="Y1850" s="4" t="str">
        <f>IFERROR(__xludf.DUMMYFUNCTION("""COMPUTED_VALUE"""),"6.5343396")</f>
        <v>6.5343396</v>
      </c>
      <c r="Z1850" s="4" t="str">
        <f>IFERROR(__xludf.DUMMYFUNCTION("""COMPUTED_VALUE"""),"2.8415046")</f>
        <v>2.8415046</v>
      </c>
      <c r="AA1850" s="4" t="str">
        <f t="shared" si="1"/>
        <v>Neighbor</v>
      </c>
      <c r="AC1850" s="4">
        <f>IFERROR(__xludf.DUMMYFUNCTION("IFERROR(ABS(O1850-AVERAGE(FILTER(O1850:O5918,AA1850:AA5918=""Neighbor""))) / STDEV(FILTER(O1850:O5918, AA1850:AA5918 =""Neighbor"")), """")"),0.24881008775256505)</f>
        <v>0.2488100878</v>
      </c>
      <c r="AD1850" s="4">
        <f>IFERROR(__xludf.DUMMYFUNCTION("IFERROR(ABS(P1850-AVERAGE(FILTER(O1850:P5918,AA1850:AA5918=""Neighbor""))) / STDEV(FILTER(P1850:P5918, AA1850:AA5918 =""Neighbor"")), """")"),1.1115467659717284)</f>
        <v>1.111546766</v>
      </c>
      <c r="AE1850" s="2">
        <f>IFERROR(__xludf.DUMMYFUNCTION("IFERROR(ABS(Q1850-AVERAGE(FILTER(Q1850:Q5918,AA1850:AA5918=""Neighbor""))) / STDEV(FILTER(Q1850:Q5918, AA1850:AA5918 =""Neighbor"")), """")"),2.7895010644129687)</f>
        <v>2.789501064</v>
      </c>
      <c r="AF1850" s="2">
        <f>IFERROR(__xludf.DUMMYFUNCTION("IFERROR(ABS(R1850-AVERAGE(FILTER(R1850:R5918,AA1850:AA5918=""Neighbor""))) / STDEV(FILTER(R1850:R5918, AA1850:AA5918 =""Neighbor"")), """")"),0.3513440437859153)</f>
        <v>0.3513440438</v>
      </c>
    </row>
    <row r="1851">
      <c r="A1851" s="2" t="s">
        <v>28</v>
      </c>
      <c r="B1851" s="2" t="s">
        <v>7366</v>
      </c>
      <c r="C1851" s="2" t="s">
        <v>7579</v>
      </c>
      <c r="D1851" s="2" t="s">
        <v>7584</v>
      </c>
      <c r="E1851" s="2" t="s">
        <v>7585</v>
      </c>
      <c r="F1851" s="2">
        <v>212.0</v>
      </c>
      <c r="G1851" s="2">
        <v>750.0</v>
      </c>
      <c r="H1851" s="2" t="b">
        <v>1</v>
      </c>
      <c r="I1851" s="2">
        <v>-1.0</v>
      </c>
      <c r="J1851" s="2" t="b">
        <v>0</v>
      </c>
      <c r="K1851" s="2" t="b">
        <v>0</v>
      </c>
      <c r="L1851" s="2" t="b">
        <v>0</v>
      </c>
      <c r="M1851" s="2" t="b">
        <v>0</v>
      </c>
      <c r="N1851" s="2" t="s">
        <v>33</v>
      </c>
      <c r="O1851" s="2">
        <v>75.0</v>
      </c>
      <c r="P1851" s="2">
        <v>20.0</v>
      </c>
      <c r="Q1851" s="2">
        <v>104.0</v>
      </c>
      <c r="R1851" s="2">
        <v>1.0</v>
      </c>
      <c r="S1851" s="3" t="s">
        <v>7586</v>
      </c>
      <c r="T1851" s="2" t="s">
        <v>7587</v>
      </c>
      <c r="Y1851" s="4" t="str">
        <f>IFERROR(__xludf.DUMMYFUNCTION("""COMPUTED_VALUE"""),"6.5343396")</f>
        <v>6.5343396</v>
      </c>
      <c r="Z1851" s="4" t="str">
        <f>IFERROR(__xludf.DUMMYFUNCTION("""COMPUTED_VALUE"""),"2.8415046")</f>
        <v>2.8415046</v>
      </c>
      <c r="AA1851" s="4" t="str">
        <f t="shared" si="1"/>
        <v>Neighbor</v>
      </c>
      <c r="AC1851" s="4">
        <f>IFERROR(__xludf.DUMMYFUNCTION("IFERROR(ABS(O1851-AVERAGE(FILTER(O1851:O5919,AA1851:AA5919=""Neighbor""))) / STDEV(FILTER(O1851:O5919, AA1851:AA5919 =""Neighbor"")), """")"),0.573964462021334)</f>
        <v>0.573964462</v>
      </c>
      <c r="AD1851" s="4">
        <f>IFERROR(__xludf.DUMMYFUNCTION("IFERROR(ABS(P1851-AVERAGE(FILTER(O1851:P5919,AA1851:AA5919=""Neighbor""))) / STDEV(FILTER(P1851:P5919, AA1851:AA5919 =""Neighbor"")), """")"),0.668659273940169)</f>
        <v>0.6686592739</v>
      </c>
      <c r="AE1851" s="2">
        <f>IFERROR(__xludf.DUMMYFUNCTION("IFERROR(ABS(Q1851-AVERAGE(FILTER(Q1851:Q5919,AA1851:AA5919=""Neighbor""))) / STDEV(FILTER(Q1851:Q5919, AA1851:AA5919 =""Neighbor"")), """")"),3.6354490148837026)</f>
        <v>3.635449015</v>
      </c>
      <c r="AF1851" s="2">
        <f>IFERROR(__xludf.DUMMYFUNCTION("IFERROR(ABS(R1851-AVERAGE(FILTER(R1851:R5919,AA1851:AA5919=""Neighbor""))) / STDEV(FILTER(R1851:R5919, AA1851:AA5919 =""Neighbor"")), """")"),0.8247252234661596)</f>
        <v>0.8247252235</v>
      </c>
    </row>
    <row r="1852">
      <c r="A1852" s="2" t="s">
        <v>28</v>
      </c>
      <c r="B1852" s="2" t="s">
        <v>7366</v>
      </c>
      <c r="C1852" s="2" t="s">
        <v>7579</v>
      </c>
      <c r="D1852" s="2" t="s">
        <v>7588</v>
      </c>
      <c r="E1852" s="2" t="s">
        <v>7589</v>
      </c>
      <c r="F1852" s="2">
        <v>139.0</v>
      </c>
      <c r="G1852" s="2">
        <v>750.0</v>
      </c>
      <c r="H1852" s="2" t="b">
        <v>1</v>
      </c>
      <c r="I1852" s="2">
        <v>-1.0</v>
      </c>
      <c r="J1852" s="2" t="b">
        <v>0</v>
      </c>
      <c r="K1852" s="2" t="b">
        <v>0</v>
      </c>
      <c r="L1852" s="2" t="b">
        <v>0</v>
      </c>
      <c r="M1852" s="2" t="b">
        <v>0</v>
      </c>
      <c r="N1852" s="2" t="s">
        <v>33</v>
      </c>
      <c r="O1852" s="2">
        <v>53.0</v>
      </c>
      <c r="P1852" s="2">
        <v>3.0</v>
      </c>
      <c r="Q1852" s="2">
        <v>74.0</v>
      </c>
      <c r="R1852" s="2">
        <v>0.0</v>
      </c>
      <c r="S1852" s="3" t="s">
        <v>7590</v>
      </c>
      <c r="T1852" s="2" t="s">
        <v>7591</v>
      </c>
      <c r="Y1852" s="4" t="str">
        <f>IFERROR(__xludf.DUMMYFUNCTION("""COMPUTED_VALUE"""),"6.5343396")</f>
        <v>6.5343396</v>
      </c>
      <c r="Z1852" s="4" t="str">
        <f>IFERROR(__xludf.DUMMYFUNCTION("""COMPUTED_VALUE"""),"2.8415046")</f>
        <v>2.8415046</v>
      </c>
      <c r="AA1852" s="4" t="str">
        <f t="shared" si="1"/>
        <v>Neighbor</v>
      </c>
      <c r="AC1852" s="4">
        <f>IFERROR(__xludf.DUMMYFUNCTION("IFERROR(ABS(O1852-AVERAGE(FILTER(O1852:O5920,AA1852:AA5920=""Neighbor""))) / STDEV(FILTER(O1852:O5920, AA1852:AA5920 =""Neighbor"")), """")"),0.02122645589364128)</f>
        <v>0.02122645589</v>
      </c>
      <c r="AD1852" s="4">
        <f>IFERROR(__xludf.DUMMYFUNCTION("IFERROR(ABS(P1852-AVERAGE(FILTER(O1852:P5920,AA1852:AA5920=""Neighbor""))) / STDEV(FILTER(P1852:P5920, AA1852:AA5920 =""Neighbor"")), """")"),1.4190807115583282)</f>
        <v>1.419080712</v>
      </c>
      <c r="AE1852" s="2">
        <f>IFERROR(__xludf.DUMMYFUNCTION("IFERROR(ABS(Q1852-AVERAGE(FILTER(Q1852:Q5920,AA1852:AA5920=""Neighbor""))) / STDEV(FILTER(Q1852:Q5920, AA1852:AA5920 =""Neighbor"")), """")"),2.341900964782947)</f>
        <v>2.341900965</v>
      </c>
      <c r="AF1852" s="2">
        <f>IFERROR(__xludf.DUMMYFUNCTION("IFERROR(ABS(R1852-AVERAGE(FILTER(R1852:R5920,AA1852:AA5920=""Neighbor""))) / STDEV(FILTER(R1852:R5920, AA1852:AA5920 =""Neighbor"")), """")"),0.3505748840186507)</f>
        <v>0.350574884</v>
      </c>
    </row>
    <row r="1853">
      <c r="A1853" s="2" t="s">
        <v>28</v>
      </c>
      <c r="B1853" s="2" t="s">
        <v>7366</v>
      </c>
      <c r="C1853" s="2" t="s">
        <v>7579</v>
      </c>
      <c r="D1853" s="2" t="s">
        <v>7592</v>
      </c>
      <c r="E1853" s="2" t="s">
        <v>7593</v>
      </c>
      <c r="F1853" s="2">
        <v>203.0</v>
      </c>
      <c r="G1853" s="2">
        <v>781.0</v>
      </c>
      <c r="H1853" s="2" t="b">
        <v>1</v>
      </c>
      <c r="I1853" s="2">
        <v>-1.0</v>
      </c>
      <c r="J1853" s="2" t="b">
        <v>0</v>
      </c>
      <c r="K1853" s="2" t="b">
        <v>0</v>
      </c>
      <c r="L1853" s="2" t="b">
        <v>0</v>
      </c>
      <c r="M1853" s="2" t="b">
        <v>0</v>
      </c>
      <c r="N1853" s="2" t="s">
        <v>33</v>
      </c>
      <c r="O1853" s="2">
        <v>62.0</v>
      </c>
      <c r="P1853" s="2">
        <v>1.0</v>
      </c>
      <c r="Q1853" s="2">
        <v>124.0</v>
      </c>
      <c r="R1853" s="2">
        <v>0.0</v>
      </c>
      <c r="S1853" s="3" t="s">
        <v>7594</v>
      </c>
      <c r="T1853" s="2" t="s">
        <v>7595</v>
      </c>
      <c r="Y1853" s="4" t="str">
        <f>IFERROR(__xludf.DUMMYFUNCTION("""COMPUTED_VALUE"""),"6.5343396")</f>
        <v>6.5343396</v>
      </c>
      <c r="Z1853" s="4" t="str">
        <f>IFERROR(__xludf.DUMMYFUNCTION("""COMPUTED_VALUE"""),"2.8415046")</f>
        <v>2.8415046</v>
      </c>
      <c r="AA1853" s="4" t="str">
        <f t="shared" si="1"/>
        <v>Neighbor</v>
      </c>
      <c r="AC1853" s="4">
        <f>IFERROR(__xludf.DUMMYFUNCTION("IFERROR(ABS(O1853-AVERAGE(FILTER(O1853:O5921,AA1853:AA5921=""Neighbor""))) / STDEV(FILTER(O1853:O5921, AA1853:AA5921 =""Neighbor"")), """")"),0.2222870888736088)</f>
        <v>0.2222870889</v>
      </c>
      <c r="AD1853" s="4">
        <f>IFERROR(__xludf.DUMMYFUNCTION("IFERROR(ABS(P1853-AVERAGE(FILTER(O1853:P5921,AA1853:AA5921=""Neighbor""))) / STDEV(FILTER(P1853:P5921, AA1853:AA5921 =""Neighbor"")), """")"),1.507284908876109)</f>
        <v>1.507284909</v>
      </c>
      <c r="AE1853" s="2">
        <f>IFERROR(__xludf.DUMMYFUNCTION("IFERROR(ABS(Q1853-AVERAGE(FILTER(Q1853:Q5921,AA1853:AA5921=""Neighbor""))) / STDEV(FILTER(Q1853:Q5921, AA1853:AA5921 =""Neighbor"")), """")"),4.561040238509975)</f>
        <v>4.561040239</v>
      </c>
      <c r="AF1853" s="2">
        <f>IFERROR(__xludf.DUMMYFUNCTION("IFERROR(ABS(R1853-AVERAGE(FILTER(R1853:R5921,AA1853:AA5921=""Neighbor""))) / STDEV(FILTER(R1853:R5921, AA1853:AA5921 =""Neighbor"")), """")"),0.3507963058120435)</f>
        <v>0.3507963058</v>
      </c>
    </row>
    <row r="1854">
      <c r="A1854" s="2" t="s">
        <v>28</v>
      </c>
      <c r="B1854" s="2" t="s">
        <v>7366</v>
      </c>
      <c r="C1854" s="2" t="s">
        <v>7579</v>
      </c>
      <c r="D1854" s="2" t="s">
        <v>7596</v>
      </c>
      <c r="E1854" s="2" t="s">
        <v>7597</v>
      </c>
      <c r="F1854" s="2">
        <v>154.0</v>
      </c>
      <c r="G1854" s="2">
        <v>347.0</v>
      </c>
      <c r="H1854" s="2" t="b">
        <v>1</v>
      </c>
      <c r="I1854" s="2">
        <v>-1.0</v>
      </c>
      <c r="J1854" s="2" t="b">
        <v>0</v>
      </c>
      <c r="K1854" s="2" t="b">
        <v>0</v>
      </c>
      <c r="L1854" s="2" t="b">
        <v>0</v>
      </c>
      <c r="M1854" s="2" t="b">
        <v>0</v>
      </c>
      <c r="N1854" s="2" t="s">
        <v>33</v>
      </c>
      <c r="O1854" s="2">
        <v>53.0</v>
      </c>
      <c r="P1854" s="2">
        <v>2.0</v>
      </c>
      <c r="Q1854" s="2">
        <v>95.0</v>
      </c>
      <c r="R1854" s="2">
        <v>0.0</v>
      </c>
      <c r="S1854" s="3" t="s">
        <v>7598</v>
      </c>
      <c r="T1854" s="2" t="s">
        <v>7599</v>
      </c>
      <c r="Y1854" s="4" t="str">
        <f>IFERROR(__xludf.DUMMYFUNCTION("""COMPUTED_VALUE"""),"6.5343396")</f>
        <v>6.5343396</v>
      </c>
      <c r="Z1854" s="4" t="str">
        <f>IFERROR(__xludf.DUMMYFUNCTION("""COMPUTED_VALUE"""),"2.8415046")</f>
        <v>2.8415046</v>
      </c>
      <c r="AA1854" s="4" t="str">
        <f t="shared" si="1"/>
        <v>Neighbor</v>
      </c>
      <c r="AC1854" s="4">
        <f>IFERROR(__xludf.DUMMYFUNCTION("IFERROR(ABS(O1854-AVERAGE(FILTER(O1854:O5922,AA1854:AA5922=""Neighbor""))) / STDEV(FILTER(O1854:O5922, AA1854:AA5922 =""Neighbor"")), """")"),0.020976541600851925)</f>
        <v>0.0209765416</v>
      </c>
      <c r="AD1854" s="4">
        <f>IFERROR(__xludf.DUMMYFUNCTION("IFERROR(ABS(P1854-AVERAGE(FILTER(O1854:P5922,AA1854:AA5922=""Neighbor""))) / STDEV(FILTER(P1854:P5922, AA1854:AA5922 =""Neighbor"")), """")"),1.4628401171027183)</f>
        <v>1.462840117</v>
      </c>
      <c r="AE1854" s="2">
        <f>IFERROR(__xludf.DUMMYFUNCTION("IFERROR(ABS(Q1854-AVERAGE(FILTER(Q1854:Q5922,AA1854:AA5922=""Neighbor""))) / STDEV(FILTER(Q1854:Q5922, AA1854:AA5922 =""Neighbor"")), """")"),3.321439726329863)</f>
        <v>3.321439726</v>
      </c>
      <c r="AF1854" s="2">
        <f>IFERROR(__xludf.DUMMYFUNCTION("IFERROR(ABS(R1854-AVERAGE(FILTER(R1854:R5922,AA1854:AA5922=""Neighbor""))) / STDEV(FILTER(R1854:R5922, AA1854:AA5922 =""Neighbor"")), """")"),0.35101814774498735)</f>
        <v>0.3510181477</v>
      </c>
    </row>
    <row r="1855">
      <c r="A1855" s="2" t="s">
        <v>28</v>
      </c>
      <c r="B1855" s="2" t="s">
        <v>7366</v>
      </c>
      <c r="C1855" s="2" t="s">
        <v>7579</v>
      </c>
      <c r="D1855" s="2" t="s">
        <v>7600</v>
      </c>
      <c r="E1855" s="2" t="s">
        <v>7601</v>
      </c>
      <c r="F1855" s="2">
        <v>161.0</v>
      </c>
      <c r="G1855" s="2">
        <v>503.0</v>
      </c>
      <c r="H1855" s="2" t="b">
        <v>1</v>
      </c>
      <c r="I1855" s="2">
        <v>-1.0</v>
      </c>
      <c r="J1855" s="2" t="b">
        <v>0</v>
      </c>
      <c r="K1855" s="2" t="b">
        <v>0</v>
      </c>
      <c r="L1855" s="2" t="b">
        <v>0</v>
      </c>
      <c r="M1855" s="2" t="b">
        <v>0</v>
      </c>
      <c r="N1855" s="2" t="s">
        <v>33</v>
      </c>
      <c r="O1855" s="2">
        <v>45.0</v>
      </c>
      <c r="P1855" s="2">
        <v>2.0</v>
      </c>
      <c r="Q1855" s="2">
        <v>98.0</v>
      </c>
      <c r="R1855" s="2">
        <v>0.0</v>
      </c>
      <c r="S1855" s="3" t="s">
        <v>7602</v>
      </c>
      <c r="T1855" s="2" t="s">
        <v>7603</v>
      </c>
      <c r="Y1855" s="4" t="str">
        <f>IFERROR(__xludf.DUMMYFUNCTION("""COMPUTED_VALUE"""),"6.5343396")</f>
        <v>6.5343396</v>
      </c>
      <c r="Z1855" s="4" t="str">
        <f>IFERROR(__xludf.DUMMYFUNCTION("""COMPUTED_VALUE"""),"2.8415046")</f>
        <v>2.8415046</v>
      </c>
      <c r="AA1855" s="4" t="str">
        <f t="shared" si="1"/>
        <v>Not Neighbor</v>
      </c>
      <c r="AC1855" s="4">
        <f>IFERROR(__xludf.DUMMYFUNCTION("IFERROR(ABS(O1855-AVERAGE(FILTER(O1855:O5923,AA1855:AA5923=""Neighbor""))) / STDEV(FILTER(O1855:O5923, AA1855:AA5923 =""Neighbor"")), """")"),0.23721736730459947)</f>
        <v>0.2372173673</v>
      </c>
      <c r="AD1855" s="4">
        <f>IFERROR(__xludf.DUMMYFUNCTION("IFERROR(ABS(P1855-AVERAGE(FILTER(O1855:P5923,AA1855:AA5923=""Neighbor""))) / STDEV(FILTER(P1855:P5923, AA1855:AA5923 =""Neighbor"")), """")"),1.462731086879324)</f>
        <v>1.462731087</v>
      </c>
      <c r="AE1855" s="2">
        <f>IFERROR(__xludf.DUMMYFUNCTION("IFERROR(ABS(Q1855-AVERAGE(FILTER(Q1855:Q5923,AA1855:AA5923=""Neighbor""))) / STDEV(FILTER(Q1855:Q5923, AA1855:AA5923 =""Neighbor"")), """")"),3.479130318302854)</f>
        <v>3.479130318</v>
      </c>
      <c r="AF1855" s="2">
        <f>IFERROR(__xludf.DUMMYFUNCTION("IFERROR(ABS(R1855-AVERAGE(FILTER(R1855:R5923,AA1855:AA5923=""Neighbor""))) / STDEV(FILTER(R1855:R5923, AA1855:AA5923 =""Neighbor"")), """")"),0.35124041114799986)</f>
        <v>0.3512404111</v>
      </c>
    </row>
    <row r="1856">
      <c r="A1856" s="2" t="s">
        <v>28</v>
      </c>
      <c r="B1856" s="2" t="s">
        <v>7366</v>
      </c>
      <c r="C1856" s="2" t="s">
        <v>7579</v>
      </c>
      <c r="D1856" s="2" t="s">
        <v>7604</v>
      </c>
      <c r="E1856" s="2" t="s">
        <v>7605</v>
      </c>
      <c r="F1856" s="2">
        <v>199.0</v>
      </c>
      <c r="G1856" s="2">
        <v>750.0</v>
      </c>
      <c r="H1856" s="2" t="b">
        <v>1</v>
      </c>
      <c r="I1856" s="2">
        <v>-1.0</v>
      </c>
      <c r="J1856" s="2" t="b">
        <v>0</v>
      </c>
      <c r="K1856" s="2" t="b">
        <v>0</v>
      </c>
      <c r="L1856" s="2" t="b">
        <v>0</v>
      </c>
      <c r="M1856" s="2" t="b">
        <v>0</v>
      </c>
      <c r="N1856" s="2" t="s">
        <v>33</v>
      </c>
      <c r="O1856" s="2">
        <v>63.0</v>
      </c>
      <c r="P1856" s="2">
        <v>3.0</v>
      </c>
      <c r="Q1856" s="2">
        <v>105.0</v>
      </c>
      <c r="R1856" s="2">
        <v>0.0</v>
      </c>
      <c r="S1856" s="3" t="s">
        <v>7606</v>
      </c>
      <c r="T1856" s="2" t="s">
        <v>7607</v>
      </c>
      <c r="Y1856" s="4" t="str">
        <f>IFERROR(__xludf.DUMMYFUNCTION("""COMPUTED_VALUE"""),"6.5192537")</f>
        <v>6.5192537</v>
      </c>
      <c r="Z1856" s="4" t="str">
        <f>IFERROR(__xludf.DUMMYFUNCTION("""COMPUTED_VALUE"""),"2.8070467")</f>
        <v>2.8070467</v>
      </c>
      <c r="AA1856" s="4" t="str">
        <f t="shared" si="1"/>
        <v>Not Neighbor</v>
      </c>
      <c r="AC1856" s="4">
        <f>IFERROR(__xludf.DUMMYFUNCTION("IFERROR(ABS(O1856-AVERAGE(FILTER(O1856:O5924,AA1856:AA5924=""Neighbor""))) / STDEV(FILTER(O1856:O5924, AA1856:AA5924 =""Neighbor"")), """")"),0.2492978813802966)</f>
        <v>0.2492978814</v>
      </c>
      <c r="AD1856" s="4">
        <f>IFERROR(__xludf.DUMMYFUNCTION("IFERROR(ABS(P1856-AVERAGE(FILTER(O1856:P5924,AA1856:AA5924=""Neighbor""))) / STDEV(FILTER(P1856:P5924, AA1856:AA5924 =""Neighbor"")), """")"),1.418575047936391)</f>
        <v>1.418575048</v>
      </c>
      <c r="AE1856" s="2">
        <f>IFERROR(__xludf.DUMMYFUNCTION("IFERROR(ABS(Q1856-AVERAGE(FILTER(Q1856:Q5924,AA1856:AA5924=""Neighbor""))) / STDEV(FILTER(Q1856:Q5924, AA1856:AA5924 =""Neighbor"")), """")"),3.793919893684558)</f>
        <v>3.793919894</v>
      </c>
      <c r="AF1856" s="2">
        <f>IFERROR(__xludf.DUMMYFUNCTION("IFERROR(ABS(R1856-AVERAGE(FILTER(R1856:R5924,AA1856:AA5924=""Neighbor""))) / STDEV(FILTER(R1856:R5924, AA1856:AA5924 =""Neighbor"")), """")"),0.35124041114799986)</f>
        <v>0.3512404111</v>
      </c>
    </row>
    <row r="1857">
      <c r="A1857" s="2" t="s">
        <v>28</v>
      </c>
      <c r="B1857" s="2" t="s">
        <v>7366</v>
      </c>
      <c r="C1857" s="2" t="s">
        <v>7608</v>
      </c>
      <c r="D1857" s="2" t="s">
        <v>7609</v>
      </c>
      <c r="E1857" s="2" t="s">
        <v>7610</v>
      </c>
      <c r="F1857" s="2">
        <v>146.0</v>
      </c>
      <c r="G1857" s="2">
        <v>451.0</v>
      </c>
      <c r="H1857" s="2" t="b">
        <v>1</v>
      </c>
      <c r="I1857" s="2">
        <v>-1.0</v>
      </c>
      <c r="J1857" s="2" t="b">
        <v>0</v>
      </c>
      <c r="K1857" s="2" t="b">
        <v>1</v>
      </c>
      <c r="L1857" s="2" t="b">
        <v>0</v>
      </c>
      <c r="M1857" s="2" t="b">
        <v>0</v>
      </c>
      <c r="N1857" s="2" t="s">
        <v>33</v>
      </c>
      <c r="O1857" s="2">
        <v>62.0</v>
      </c>
      <c r="P1857" s="2">
        <v>5.0</v>
      </c>
      <c r="Q1857" s="2">
        <v>49.0</v>
      </c>
      <c r="R1857" s="2">
        <v>1.0</v>
      </c>
      <c r="S1857" s="3" t="s">
        <v>7611</v>
      </c>
      <c r="T1857" s="2" t="s">
        <v>7612</v>
      </c>
      <c r="Y1857" s="4" t="str">
        <f>IFERROR(__xludf.DUMMYFUNCTION("""COMPUTED_VALUE"""),"6.5343396")</f>
        <v>6.5343396</v>
      </c>
      <c r="Z1857" s="4" t="str">
        <f>IFERROR(__xludf.DUMMYFUNCTION("""COMPUTED_VALUE"""),"2.8415046")</f>
        <v>2.8415046</v>
      </c>
      <c r="AA1857" s="4" t="str">
        <f t="shared" si="1"/>
        <v>Neighbor</v>
      </c>
      <c r="AC1857" s="4">
        <f>IFERROR(__xludf.DUMMYFUNCTION("IFERROR(ABS(O1857-AVERAGE(FILTER(O1857:O5925,AA1857:AA5925=""Neighbor""))) / STDEV(FILTER(O1857:O5925, AA1857:AA5925 =""Neighbor"")), """")"),0.22226925645335793)</f>
        <v>0.2222692565</v>
      </c>
      <c r="AD1857" s="4">
        <f>IFERROR(__xludf.DUMMYFUNCTION("IFERROR(ABS(P1857-AVERAGE(FILTER(O1857:P5925,AA1857:AA5925=""Neighbor""))) / STDEV(FILTER(P1857:P5925, AA1857:AA5925 =""Neighbor"")), """")"),1.3302629700505253)</f>
        <v>1.33026297</v>
      </c>
      <c r="AE1857" s="2">
        <f>IFERROR(__xludf.DUMMYFUNCTION("IFERROR(ABS(Q1857-AVERAGE(FILTER(Q1857:Q5925,AA1857:AA5925=""Neighbor""))) / STDEV(FILTER(Q1857:Q5925, AA1857:AA5925 =""Neighbor"")), """")"),1.275603290630924)</f>
        <v>1.275603291</v>
      </c>
      <c r="AF1857" s="2">
        <f>IFERROR(__xludf.DUMMYFUNCTION("IFERROR(ABS(R1857-AVERAGE(FILTER(R1857:R5925,AA1857:AA5925=""Neighbor""))) / STDEV(FILTER(R1857:R5925, AA1857:AA5925 =""Neighbor"")), """")"),0.8230954540487091)</f>
        <v>0.823095454</v>
      </c>
    </row>
    <row r="1858">
      <c r="A1858" s="2" t="s">
        <v>28</v>
      </c>
      <c r="B1858" s="2" t="s">
        <v>7366</v>
      </c>
      <c r="C1858" s="2" t="s">
        <v>7608</v>
      </c>
      <c r="D1858" s="2" t="s">
        <v>7613</v>
      </c>
      <c r="E1858" s="2" t="s">
        <v>7614</v>
      </c>
      <c r="F1858" s="2">
        <v>53.0</v>
      </c>
      <c r="G1858" s="2">
        <v>235.0</v>
      </c>
      <c r="H1858" s="2" t="b">
        <v>1</v>
      </c>
      <c r="I1858" s="2">
        <v>-1.0</v>
      </c>
      <c r="J1858" s="2" t="b">
        <v>0</v>
      </c>
      <c r="K1858" s="2" t="b">
        <v>0</v>
      </c>
      <c r="L1858" s="2" t="b">
        <v>0</v>
      </c>
      <c r="M1858" s="2" t="b">
        <v>0</v>
      </c>
      <c r="N1858" s="2" t="s">
        <v>33</v>
      </c>
      <c r="O1858" s="2">
        <v>21.0</v>
      </c>
      <c r="P1858" s="2">
        <v>0.0</v>
      </c>
      <c r="Q1858" s="2">
        <v>22.0</v>
      </c>
      <c r="R1858" s="2">
        <v>0.0</v>
      </c>
      <c r="S1858" s="3" t="s">
        <v>7615</v>
      </c>
      <c r="T1858" s="2" t="s">
        <v>7616</v>
      </c>
      <c r="Y1858" s="4" t="str">
        <f>IFERROR(__xludf.DUMMYFUNCTION("""COMPUTED_VALUE"""),"6.5343396")</f>
        <v>6.5343396</v>
      </c>
      <c r="Z1858" s="4" t="str">
        <f>IFERROR(__xludf.DUMMYFUNCTION("""COMPUTED_VALUE"""),"2.8415046")</f>
        <v>2.8415046</v>
      </c>
      <c r="AA1858" s="4" t="str">
        <f t="shared" si="1"/>
        <v>Not Neighbor</v>
      </c>
      <c r="AC1858" s="4">
        <f>IFERROR(__xludf.DUMMYFUNCTION("IFERROR(ABS(O1858-AVERAGE(FILTER(O1858:O5926,AA1858:AA5926=""Neighbor""))) / STDEV(FILTER(O1858:O5926, AA1858:AA5926 =""Neighbor"")), """")"),0.8851774384010668)</f>
        <v>0.8851774384</v>
      </c>
      <c r="AD1858" s="4">
        <f>IFERROR(__xludf.DUMMYFUNCTION("IFERROR(ABS(P1858-AVERAGE(FILTER(O1858:P5926,AA1858:AA5926=""Neighbor""))) / STDEV(FILTER(P1858:P5926, AA1858:AA5926 =""Neighbor"")), """")"),1.5504729382323061)</f>
        <v>1.550472938</v>
      </c>
      <c r="AE1858" s="2">
        <f>IFERROR(__xludf.DUMMYFUNCTION("IFERROR(ABS(Q1858-AVERAGE(FILTER(Q1858:Q5926,AA1858:AA5926=""Neighbor""))) / STDEV(FILTER(Q1858:Q5926, AA1858:AA5926 =""Neighbor"")), """")"),0.06287866245279915)</f>
        <v>0.06287866245</v>
      </c>
      <c r="AF1858" s="2">
        <f>IFERROR(__xludf.DUMMYFUNCTION("IFERROR(ABS(R1858-AVERAGE(FILTER(R1858:R5926,AA1858:AA5926=""Neighbor""))) / STDEV(FILTER(R1858:R5926, AA1858:AA5926 =""Neighbor"")), """")"),0.35024662617732666)</f>
        <v>0.3502466262</v>
      </c>
    </row>
    <row r="1859">
      <c r="A1859" s="2" t="s">
        <v>28</v>
      </c>
      <c r="B1859" s="2" t="s">
        <v>7366</v>
      </c>
      <c r="C1859" s="2" t="s">
        <v>7617</v>
      </c>
      <c r="D1859" s="2" t="s">
        <v>7618</v>
      </c>
      <c r="E1859" s="2" t="s">
        <v>7619</v>
      </c>
      <c r="F1859" s="2">
        <v>187.0</v>
      </c>
      <c r="G1859" s="2">
        <v>526.0</v>
      </c>
      <c r="H1859" s="2" t="b">
        <v>1</v>
      </c>
      <c r="I1859" s="2">
        <v>-1.0</v>
      </c>
      <c r="J1859" s="2" t="b">
        <v>0</v>
      </c>
      <c r="K1859" s="2" t="b">
        <v>0</v>
      </c>
      <c r="L1859" s="2" t="b">
        <v>0</v>
      </c>
      <c r="M1859" s="2" t="b">
        <v>0</v>
      </c>
      <c r="N1859" s="2" t="s">
        <v>33</v>
      </c>
      <c r="O1859" s="2">
        <v>72.0</v>
      </c>
      <c r="P1859" s="2">
        <v>2.0</v>
      </c>
      <c r="Q1859" s="2">
        <v>82.0</v>
      </c>
      <c r="R1859" s="2">
        <v>0.0</v>
      </c>
      <c r="S1859" s="3" t="s">
        <v>7620</v>
      </c>
      <c r="T1859" s="2" t="s">
        <v>7621</v>
      </c>
      <c r="Y1859" s="4" t="str">
        <f>IFERROR(__xludf.DUMMYFUNCTION("""COMPUTED_VALUE"""),"6.5057543")</f>
        <v>6.5057543</v>
      </c>
      <c r="Z1859" s="4" t="str">
        <f>IFERROR(__xludf.DUMMYFUNCTION("""COMPUTED_VALUE"""),"2.8321576")</f>
        <v>2.8321576</v>
      </c>
      <c r="AA1859" s="4" t="str">
        <f t="shared" si="1"/>
        <v>Not Neighbor</v>
      </c>
      <c r="AC1859" s="4">
        <f>IFERROR(__xludf.DUMMYFUNCTION("IFERROR(ABS(O1859-AVERAGE(FILTER(O1859:O5927,AA1859:AA5927=""Neighbor""))) / STDEV(FILTER(O1859:O5927, AA1859:AA5927 =""Neighbor"")), """")"),0.4925419202744788)</f>
        <v>0.4925419203</v>
      </c>
      <c r="AD1859" s="4">
        <f>IFERROR(__xludf.DUMMYFUNCTION("IFERROR(ABS(P1859-AVERAGE(FILTER(O1859:P5927,AA1859:AA5927=""Neighbor""))) / STDEV(FILTER(P1859:P5927, AA1859:AA5927 =""Neighbor"")), """")"),1.4621979458501977)</f>
        <v>1.462197946</v>
      </c>
      <c r="AE1859" s="2">
        <f>IFERROR(__xludf.DUMMYFUNCTION("IFERROR(ABS(Q1859-AVERAGE(FILTER(Q1859:Q5927,AA1859:AA5927=""Neighbor""))) / STDEV(FILTER(Q1859:Q5927, AA1859:AA5927 =""Neighbor"")), """")"),2.762035474290825)</f>
        <v>2.762035474</v>
      </c>
      <c r="AF1859" s="2">
        <f>IFERROR(__xludf.DUMMYFUNCTION("IFERROR(ABS(R1859-AVERAGE(FILTER(R1859:R5927,AA1859:AA5927=""Neighbor""))) / STDEV(FILTER(R1859:R5927, AA1859:AA5927 =""Neighbor"")), """")"),0.35024662617732666)</f>
        <v>0.3502466262</v>
      </c>
    </row>
    <row r="1860">
      <c r="A1860" s="2" t="s">
        <v>28</v>
      </c>
      <c r="B1860" s="2" t="s">
        <v>7366</v>
      </c>
      <c r="C1860" s="2" t="s">
        <v>7617</v>
      </c>
      <c r="D1860" s="2" t="s">
        <v>7622</v>
      </c>
      <c r="E1860" s="2" t="s">
        <v>7623</v>
      </c>
      <c r="F1860" s="2">
        <v>272.0</v>
      </c>
      <c r="G1860" s="2">
        <v>733.0</v>
      </c>
      <c r="H1860" s="2" t="b">
        <v>1</v>
      </c>
      <c r="I1860" s="2">
        <v>-1.0</v>
      </c>
      <c r="J1860" s="2" t="b">
        <v>0</v>
      </c>
      <c r="K1860" s="2" t="b">
        <v>1</v>
      </c>
      <c r="L1860" s="2" t="b">
        <v>0</v>
      </c>
      <c r="M1860" s="2" t="b">
        <v>0</v>
      </c>
      <c r="N1860" s="2" t="s">
        <v>33</v>
      </c>
      <c r="O1860" s="2">
        <v>85.0</v>
      </c>
      <c r="P1860" s="2">
        <v>2.0</v>
      </c>
      <c r="Q1860" s="2">
        <v>120.0</v>
      </c>
      <c r="R1860" s="2">
        <v>0.0</v>
      </c>
      <c r="S1860" s="3" t="s">
        <v>7624</v>
      </c>
      <c r="T1860" s="2" t="s">
        <v>7625</v>
      </c>
      <c r="Y1860" s="4" t="str">
        <f>IFERROR(__xludf.DUMMYFUNCTION("""COMPUTED_VALUE"""),"8.0901453")</f>
        <v>8.0901453</v>
      </c>
      <c r="Z1860" s="4" t="str">
        <f>IFERROR(__xludf.DUMMYFUNCTION("""COMPUTED_VALUE"""),"3.3514863")</f>
        <v>3.3514863</v>
      </c>
      <c r="AA1860" s="4" t="str">
        <f t="shared" si="1"/>
        <v>Not Neighbor</v>
      </c>
      <c r="AC1860" s="4">
        <f>IFERROR(__xludf.DUMMYFUNCTION("IFERROR(ABS(O1860-AVERAGE(FILTER(O1860:O5928,AA1860:AA5928=""Neighbor""))) / STDEV(FILTER(O1860:O5928, AA1860:AA5928 =""Neighbor"")), """")"),0.8437252862113825)</f>
        <v>0.8437252862</v>
      </c>
      <c r="AD1860" s="4">
        <f>IFERROR(__xludf.DUMMYFUNCTION("IFERROR(ABS(P1860-AVERAGE(FILTER(O1860:P5928,AA1860:AA5928=""Neighbor""))) / STDEV(FILTER(P1860:P5928, AA1860:AA5928 =""Neighbor"")), """")"),1.4621979458501977)</f>
        <v>1.462197946</v>
      </c>
      <c r="AE1860" s="2">
        <f>IFERROR(__xludf.DUMMYFUNCTION("IFERROR(ABS(Q1860-AVERAGE(FILTER(Q1860:Q5928,AA1860:AA5928=""Neighbor""))) / STDEV(FILTER(Q1860:Q5928, AA1860:AA5928 =""Neighbor"")), """")"),4.471501455121574)</f>
        <v>4.471501455</v>
      </c>
      <c r="AF1860" s="2">
        <f>IFERROR(__xludf.DUMMYFUNCTION("IFERROR(ABS(R1860-AVERAGE(FILTER(R1860:R5928,AA1860:AA5928=""Neighbor""))) / STDEV(FILTER(R1860:R5928, AA1860:AA5928 =""Neighbor"")), """")"),0.35024662617732666)</f>
        <v>0.3502466262</v>
      </c>
    </row>
    <row r="1861">
      <c r="A1861" s="2" t="s">
        <v>28</v>
      </c>
      <c r="B1861" s="2" t="s">
        <v>7366</v>
      </c>
      <c r="C1861" s="2" t="s">
        <v>7617</v>
      </c>
      <c r="D1861" s="2" t="s">
        <v>7626</v>
      </c>
      <c r="E1861" s="2" t="s">
        <v>7627</v>
      </c>
      <c r="F1861" s="2">
        <v>168.0</v>
      </c>
      <c r="G1861" s="2">
        <v>404.0</v>
      </c>
      <c r="H1861" s="2" t="b">
        <v>1</v>
      </c>
      <c r="I1861" s="2">
        <v>-1.0</v>
      </c>
      <c r="J1861" s="2" t="b">
        <v>0</v>
      </c>
      <c r="K1861" s="2" t="b">
        <v>0</v>
      </c>
      <c r="L1861" s="2" t="b">
        <v>0</v>
      </c>
      <c r="M1861" s="2" t="b">
        <v>0</v>
      </c>
      <c r="N1861" s="2" t="s">
        <v>33</v>
      </c>
      <c r="O1861" s="2">
        <v>68.0</v>
      </c>
      <c r="P1861" s="2">
        <v>4.0</v>
      </c>
      <c r="Q1861" s="2">
        <v>84.0</v>
      </c>
      <c r="R1861" s="2">
        <v>0.0</v>
      </c>
      <c r="S1861" s="3" t="s">
        <v>7628</v>
      </c>
      <c r="T1861" s="2" t="s">
        <v>7629</v>
      </c>
      <c r="Y1861" s="4" t="str">
        <f>IFERROR(__xludf.DUMMYFUNCTION("""COMPUTED_VALUE"""),"6.5343396")</f>
        <v>6.5343396</v>
      </c>
      <c r="Z1861" s="4" t="str">
        <f>IFERROR(__xludf.DUMMYFUNCTION("""COMPUTED_VALUE"""),"2.8415046")</f>
        <v>2.8415046</v>
      </c>
      <c r="AA1861" s="4" t="str">
        <f t="shared" si="1"/>
        <v>Not Neighbor</v>
      </c>
      <c r="AC1861" s="4">
        <f>IFERROR(__xludf.DUMMYFUNCTION("IFERROR(ABS(O1861-AVERAGE(FILTER(O1861:O5929,AA1861:AA5929=""Neighbor""))) / STDEV(FILTER(O1861:O5929, AA1861:AA5929 =""Neighbor"")), """")"),0.3844854999862007)</f>
        <v>0.3844855</v>
      </c>
      <c r="AD1861" s="4">
        <f>IFERROR(__xludf.DUMMYFUNCTION("IFERROR(ABS(P1861-AVERAGE(FILTER(O1861:P5929,AA1861:AA5929=""Neighbor""))) / STDEV(FILTER(P1861:P5929, AA1861:AA5929 =""Neighbor"")), """")"),1.373922953468089)</f>
        <v>1.373922953</v>
      </c>
      <c r="AE1861" s="2">
        <f>IFERROR(__xludf.DUMMYFUNCTION("IFERROR(ABS(Q1861-AVERAGE(FILTER(Q1861:Q5929,AA1861:AA5929=""Neighbor""))) / STDEV(FILTER(Q1861:Q5929, AA1861:AA5929 =""Neighbor"")), """")"),2.8520073680187594)</f>
        <v>2.852007368</v>
      </c>
      <c r="AF1861" s="2">
        <f>IFERROR(__xludf.DUMMYFUNCTION("IFERROR(ABS(R1861-AVERAGE(FILTER(R1861:R5929,AA1861:AA5929=""Neighbor""))) / STDEV(FILTER(R1861:R5929, AA1861:AA5929 =""Neighbor"")), """")"),0.35024662617732666)</f>
        <v>0.3502466262</v>
      </c>
    </row>
    <row r="1862">
      <c r="A1862" s="2" t="s">
        <v>28</v>
      </c>
      <c r="B1862" s="2" t="s">
        <v>7366</v>
      </c>
      <c r="C1862" s="2" t="s">
        <v>7617</v>
      </c>
      <c r="D1862" s="2" t="s">
        <v>7630</v>
      </c>
      <c r="E1862" s="2" t="s">
        <v>7631</v>
      </c>
      <c r="F1862" s="2">
        <v>198.0</v>
      </c>
      <c r="G1862" s="2">
        <v>631.0</v>
      </c>
      <c r="H1862" s="2" t="b">
        <v>1</v>
      </c>
      <c r="I1862" s="2">
        <v>-1.0</v>
      </c>
      <c r="J1862" s="2" t="b">
        <v>0</v>
      </c>
      <c r="K1862" s="2" t="b">
        <v>0</v>
      </c>
      <c r="L1862" s="2" t="b">
        <v>0</v>
      </c>
      <c r="M1862" s="2" t="b">
        <v>0</v>
      </c>
      <c r="N1862" s="2" t="s">
        <v>33</v>
      </c>
      <c r="O1862" s="2">
        <v>107.0</v>
      </c>
      <c r="P1862" s="2">
        <v>4.0</v>
      </c>
      <c r="Q1862" s="2">
        <v>73.0</v>
      </c>
      <c r="R1862" s="2">
        <v>0.0</v>
      </c>
      <c r="S1862" s="3" t="s">
        <v>7632</v>
      </c>
      <c r="T1862" s="2" t="s">
        <v>7633</v>
      </c>
      <c r="Y1862" s="4" t="str">
        <f>IFERROR(__xludf.DUMMYFUNCTION("""COMPUTED_VALUE"""),"6.4744916")</f>
        <v>6.4744916</v>
      </c>
      <c r="Z1862" s="4" t="str">
        <f>IFERROR(__xludf.DUMMYFUNCTION("""COMPUTED_VALUE"""),"2.8277963")</f>
        <v>2.8277963</v>
      </c>
      <c r="AA1862" s="4" t="str">
        <f t="shared" si="1"/>
        <v>Neighbor</v>
      </c>
      <c r="AC1862" s="4">
        <f>IFERROR(__xludf.DUMMYFUNCTION("IFERROR(ABS(O1862-AVERAGE(FILTER(O1862:O5930,AA1862:AA5930=""Neighbor""))) / STDEV(FILTER(O1862:O5930, AA1862:AA5930 =""Neighbor"")), """")"),1.438035597796912)</f>
        <v>1.438035598</v>
      </c>
      <c r="AD1862" s="4">
        <f>IFERROR(__xludf.DUMMYFUNCTION("IFERROR(ABS(P1862-AVERAGE(FILTER(O1862:P5930,AA1862:AA5930=""Neighbor""))) / STDEV(FILTER(P1862:P5930, AA1862:AA5930 =""Neighbor"")), """")"),1.373922953468089)</f>
        <v>1.373922953</v>
      </c>
      <c r="AE1862" s="2">
        <f>IFERROR(__xludf.DUMMYFUNCTION("IFERROR(ABS(Q1862-AVERAGE(FILTER(Q1862:Q5930,AA1862:AA5930=""Neighbor""))) / STDEV(FILTER(Q1862:Q5930, AA1862:AA5930 =""Neighbor"")), """")"),2.357161952515121)</f>
        <v>2.357161953</v>
      </c>
      <c r="AF1862" s="2">
        <f>IFERROR(__xludf.DUMMYFUNCTION("IFERROR(ABS(R1862-AVERAGE(FILTER(R1862:R5930,AA1862:AA5930=""Neighbor""))) / STDEV(FILTER(R1862:R5930, AA1862:AA5930 =""Neighbor"")), """")"),0.35024662617732666)</f>
        <v>0.3502466262</v>
      </c>
    </row>
    <row r="1863">
      <c r="A1863" s="2" t="s">
        <v>28</v>
      </c>
      <c r="B1863" s="2" t="s">
        <v>7366</v>
      </c>
      <c r="C1863" s="2" t="s">
        <v>7617</v>
      </c>
      <c r="D1863" s="2" t="s">
        <v>7634</v>
      </c>
      <c r="E1863" s="2" t="s">
        <v>7635</v>
      </c>
      <c r="F1863" s="2">
        <v>199.0</v>
      </c>
      <c r="G1863" s="2">
        <v>668.0</v>
      </c>
      <c r="H1863" s="2" t="b">
        <v>1</v>
      </c>
      <c r="I1863" s="2">
        <v>-1.0</v>
      </c>
      <c r="J1863" s="2" t="b">
        <v>0</v>
      </c>
      <c r="K1863" s="2" t="b">
        <v>0</v>
      </c>
      <c r="L1863" s="2" t="b">
        <v>0</v>
      </c>
      <c r="M1863" s="2" t="b">
        <v>0</v>
      </c>
      <c r="N1863" s="2" t="s">
        <v>33</v>
      </c>
      <c r="O1863" s="2">
        <v>93.0</v>
      </c>
      <c r="P1863" s="2">
        <v>8.0</v>
      </c>
      <c r="Q1863" s="2">
        <v>92.0</v>
      </c>
      <c r="R1863" s="2">
        <v>0.0</v>
      </c>
      <c r="S1863" s="3" t="s">
        <v>7636</v>
      </c>
      <c r="T1863" s="2" t="s">
        <v>7637</v>
      </c>
      <c r="Y1863" s="4" t="str">
        <f>IFERROR(__xludf.DUMMYFUNCTION("""COMPUTED_VALUE"""),"6.4744916")</f>
        <v>6.4744916</v>
      </c>
      <c r="Z1863" s="4" t="str">
        <f>IFERROR(__xludf.DUMMYFUNCTION("""COMPUTED_VALUE"""),"2.8277963")</f>
        <v>2.8277963</v>
      </c>
      <c r="AA1863" s="4" t="str">
        <f t="shared" si="1"/>
        <v>Not Neighbor</v>
      </c>
      <c r="AC1863" s="4">
        <f>IFERROR(__xludf.DUMMYFUNCTION("IFERROR(ABS(O1863-AVERAGE(FILTER(O1863:O5931,AA1863:AA5931=""Neighbor""))) / STDEV(FILTER(O1863:O5931, AA1863:AA5931 =""Neighbor"")), """")"),1.0621087509050846)</f>
        <v>1.062108751</v>
      </c>
      <c r="AD1863" s="4">
        <f>IFERROR(__xludf.DUMMYFUNCTION("IFERROR(ABS(P1863-AVERAGE(FILTER(O1863:P5931,AA1863:AA5931=""Neighbor""))) / STDEV(FILTER(P1863:P5931, AA1863:AA5931 =""Neighbor"")), """")"),1.1958847483818749)</f>
        <v>1.195884748</v>
      </c>
      <c r="AE1863" s="2">
        <f>IFERROR(__xludf.DUMMYFUNCTION("IFERROR(ABS(Q1863-AVERAGE(FILTER(Q1863:Q5931,AA1863:AA5931=""Neighbor""))) / STDEV(FILTER(Q1863:Q5931, AA1863:AA5931 =""Neighbor"")), """")"),3.2228986250701044)</f>
        <v>3.222898625</v>
      </c>
      <c r="AF1863" s="2">
        <f>IFERROR(__xludf.DUMMYFUNCTION("IFERROR(ABS(R1863-AVERAGE(FILTER(R1863:R5931,AA1863:AA5931=""Neighbor""))) / STDEV(FILTER(R1863:R5931, AA1863:AA5931 =""Neighbor"")), """")"),0.35046879488907656)</f>
        <v>0.3504687949</v>
      </c>
    </row>
    <row r="1864">
      <c r="A1864" s="2" t="s">
        <v>28</v>
      </c>
      <c r="B1864" s="2" t="s">
        <v>7366</v>
      </c>
      <c r="C1864" s="2" t="s">
        <v>7617</v>
      </c>
      <c r="D1864" s="2" t="s">
        <v>7638</v>
      </c>
      <c r="E1864" s="2" t="s">
        <v>7639</v>
      </c>
      <c r="F1864" s="2">
        <v>161.0</v>
      </c>
      <c r="G1864" s="2">
        <v>430.0</v>
      </c>
      <c r="H1864" s="2" t="b">
        <v>1</v>
      </c>
      <c r="I1864" s="2">
        <v>-1.0</v>
      </c>
      <c r="J1864" s="2" t="b">
        <v>0</v>
      </c>
      <c r="K1864" s="2" t="b">
        <v>0</v>
      </c>
      <c r="L1864" s="2" t="b">
        <v>0</v>
      </c>
      <c r="M1864" s="2" t="b">
        <v>0</v>
      </c>
      <c r="N1864" s="2" t="s">
        <v>33</v>
      </c>
      <c r="O1864" s="2">
        <v>45.0</v>
      </c>
      <c r="P1864" s="2">
        <v>1.0</v>
      </c>
      <c r="Q1864" s="2">
        <v>107.0</v>
      </c>
      <c r="R1864" s="2">
        <v>0.0</v>
      </c>
      <c r="S1864" s="3" t="s">
        <v>7640</v>
      </c>
      <c r="T1864" s="2" t="s">
        <v>7641</v>
      </c>
      <c r="Y1864" s="4" t="str">
        <f>IFERROR(__xludf.DUMMYFUNCTION("""COMPUTED_VALUE"""),"6.5343396")</f>
        <v>6.5343396</v>
      </c>
      <c r="Z1864" s="4" t="str">
        <f>IFERROR(__xludf.DUMMYFUNCTION("""COMPUTED_VALUE"""),"2.8415046")</f>
        <v>2.8415046</v>
      </c>
      <c r="AA1864" s="4" t="str">
        <f t="shared" si="1"/>
        <v>Not Neighbor</v>
      </c>
      <c r="AC1864" s="4">
        <f>IFERROR(__xludf.DUMMYFUNCTION("IFERROR(ABS(O1864-AVERAGE(FILTER(O1864:O5932,AA1864:AA5932=""Neighbor""))) / STDEV(FILTER(O1864:O5932, AA1864:AA5932 =""Neighbor"")), """")"),0.23535485981622106)</f>
        <v>0.2353548598</v>
      </c>
      <c r="AD1864" s="4">
        <f>IFERROR(__xludf.DUMMYFUNCTION("IFERROR(ABS(P1864-AVERAGE(FILTER(O1864:P5932,AA1864:AA5932=""Neighbor""))) / STDEV(FILTER(P1864:P5932, AA1864:AA5932 =""Neighbor"")), """")"),1.5047255656677578)</f>
        <v>1.504725566</v>
      </c>
      <c r="AE1864" s="2">
        <f>IFERROR(__xludf.DUMMYFUNCTION("IFERROR(ABS(Q1864-AVERAGE(FILTER(Q1864:Q5932,AA1864:AA5932=""Neighbor""))) / STDEV(FILTER(Q1864:Q5932, AA1864:AA5932 =""Neighbor"")), """")"),3.899437945112366)</f>
        <v>3.899437945</v>
      </c>
      <c r="AF1864" s="2">
        <f>IFERROR(__xludf.DUMMYFUNCTION("IFERROR(ABS(R1864-AVERAGE(FILTER(R1864:R5932,AA1864:AA5932=""Neighbor""))) / STDEV(FILTER(R1864:R5932, AA1864:AA5932 =""Neighbor"")), """")"),0.35046879488907656)</f>
        <v>0.3504687949</v>
      </c>
    </row>
    <row r="1865">
      <c r="A1865" s="2" t="s">
        <v>28</v>
      </c>
      <c r="B1865" s="2" t="s">
        <v>7366</v>
      </c>
      <c r="C1865" s="2" t="s">
        <v>7617</v>
      </c>
      <c r="D1865" s="2" t="s">
        <v>7642</v>
      </c>
      <c r="E1865" s="2" t="s">
        <v>7643</v>
      </c>
      <c r="F1865" s="2">
        <v>205.0</v>
      </c>
      <c r="G1865" s="2">
        <v>618.0</v>
      </c>
      <c r="H1865" s="2" t="b">
        <v>1</v>
      </c>
      <c r="I1865" s="2">
        <v>-1.0</v>
      </c>
      <c r="J1865" s="2" t="b">
        <v>0</v>
      </c>
      <c r="K1865" s="2" t="b">
        <v>0</v>
      </c>
      <c r="L1865" s="2" t="b">
        <v>0</v>
      </c>
      <c r="M1865" s="2" t="b">
        <v>0</v>
      </c>
      <c r="N1865" s="2" t="s">
        <v>33</v>
      </c>
      <c r="O1865" s="2">
        <v>56.0</v>
      </c>
      <c r="P1865" s="2">
        <v>1.0</v>
      </c>
      <c r="Q1865" s="2">
        <v>135.0</v>
      </c>
      <c r="R1865" s="2">
        <v>0.0</v>
      </c>
      <c r="S1865" s="3" t="s">
        <v>7644</v>
      </c>
      <c r="T1865" s="2" t="s">
        <v>7645</v>
      </c>
      <c r="Y1865" s="4" t="str">
        <f>IFERROR(__xludf.DUMMYFUNCTION("""COMPUTED_VALUE"""),"6.4779464")</f>
        <v>6.4779464</v>
      </c>
      <c r="Z1865" s="4" t="str">
        <f>IFERROR(__xludf.DUMMYFUNCTION("""COMPUTED_VALUE"""),"2.8047504")</f>
        <v>2.8047504</v>
      </c>
      <c r="AA1865" s="4" t="str">
        <f t="shared" si="1"/>
        <v>Not Neighbor</v>
      </c>
      <c r="AC1865" s="4">
        <f>IFERROR(__xludf.DUMMYFUNCTION("IFERROR(ABS(O1865-AVERAGE(FILTER(O1865:O5933,AA1865:AA5933=""Neighbor""))) / STDEV(FILTER(O1865:O5933, AA1865:AA5933 =""Neighbor"")), """")"),0.061980550974078154)</f>
        <v>0.06198055097</v>
      </c>
      <c r="AD1865" s="4">
        <f>IFERROR(__xludf.DUMMYFUNCTION("IFERROR(ABS(P1865-AVERAGE(FILTER(O1865:P5933,AA1865:AA5933=""Neighbor""))) / STDEV(FILTER(P1865:P5933, AA1865:AA5933 =""Neighbor"")), """")"),1.5047255656677578)</f>
        <v>1.504725566</v>
      </c>
      <c r="AE1865" s="2">
        <f>IFERROR(__xludf.DUMMYFUNCTION("IFERROR(ABS(Q1865-AVERAGE(FILTER(Q1865:Q5933,AA1865:AA5933=""Neighbor""))) / STDEV(FILTER(Q1865:Q5933, AA1865:AA5933 =""Neighbor"")), """")"),5.162311342524588)</f>
        <v>5.162311343</v>
      </c>
      <c r="AF1865" s="2">
        <f>IFERROR(__xludf.DUMMYFUNCTION("IFERROR(ABS(R1865-AVERAGE(FILTER(R1865:R5933,AA1865:AA5933=""Neighbor""))) / STDEV(FILTER(R1865:R5933, AA1865:AA5933 =""Neighbor"")), """")"),0.35046879488907656)</f>
        <v>0.3504687949</v>
      </c>
    </row>
    <row r="1866">
      <c r="A1866" s="2" t="s">
        <v>28</v>
      </c>
      <c r="B1866" s="2" t="s">
        <v>7366</v>
      </c>
      <c r="C1866" s="2" t="s">
        <v>7617</v>
      </c>
      <c r="D1866" s="2" t="s">
        <v>7646</v>
      </c>
      <c r="E1866" s="2" t="s">
        <v>7647</v>
      </c>
      <c r="F1866" s="2">
        <v>230.0</v>
      </c>
      <c r="G1866" s="2">
        <v>725.0</v>
      </c>
      <c r="H1866" s="2" t="b">
        <v>1</v>
      </c>
      <c r="I1866" s="2">
        <v>-1.0</v>
      </c>
      <c r="J1866" s="2" t="b">
        <v>0</v>
      </c>
      <c r="K1866" s="2" t="b">
        <v>0</v>
      </c>
      <c r="L1866" s="2" t="b">
        <v>0</v>
      </c>
      <c r="M1866" s="2" t="b">
        <v>0</v>
      </c>
      <c r="N1866" s="2" t="s">
        <v>33</v>
      </c>
      <c r="O1866" s="2">
        <v>105.0</v>
      </c>
      <c r="P1866" s="2">
        <v>6.0</v>
      </c>
      <c r="Q1866" s="2">
        <v>114.0</v>
      </c>
      <c r="R1866" s="2">
        <v>0.0</v>
      </c>
      <c r="S1866" s="3" t="s">
        <v>7648</v>
      </c>
      <c r="T1866" s="2" t="s">
        <v>7649</v>
      </c>
      <c r="Y1866" s="4" t="str">
        <f>IFERROR(__xludf.DUMMYFUNCTION("""COMPUTED_VALUE"""),"6.5343396")</f>
        <v>6.5343396</v>
      </c>
      <c r="Z1866" s="4" t="str">
        <f>IFERROR(__xludf.DUMMYFUNCTION("""COMPUTED_VALUE"""),"2.8415046")</f>
        <v>2.8415046</v>
      </c>
      <c r="AA1866" s="4" t="str">
        <f t="shared" si="1"/>
        <v>Not Neighbor</v>
      </c>
      <c r="AC1866" s="4">
        <f>IFERROR(__xludf.DUMMYFUNCTION("IFERROR(ABS(O1866-AVERAGE(FILTER(O1866:O5934,AA1866:AA5934=""Neighbor""))) / STDEV(FILTER(O1866:O5934, AA1866:AA5934 =""Neighbor"")), """")"),1.3864746535854109)</f>
        <v>1.386474654</v>
      </c>
      <c r="AD1866" s="4">
        <f>IFERROR(__xludf.DUMMYFUNCTION("IFERROR(ABS(P1866-AVERAGE(FILTER(O1866:P5934,AA1866:AA5934=""Neighbor""))) / STDEV(FILTER(P1866:P5934, AA1866:AA5934 =""Neighbor"")), """")"),1.2841249818921272)</f>
        <v>1.284124982</v>
      </c>
      <c r="AE1866" s="2">
        <f>IFERROR(__xludf.DUMMYFUNCTION("IFERROR(ABS(Q1866-AVERAGE(FILTER(Q1866:Q5934,AA1866:AA5934=""Neighbor""))) / STDEV(FILTER(Q1866:Q5934, AA1866:AA5934 =""Neighbor"")), """")"),4.215156294465421)</f>
        <v>4.215156294</v>
      </c>
      <c r="AF1866" s="2">
        <f>IFERROR(__xludf.DUMMYFUNCTION("IFERROR(ABS(R1866-AVERAGE(FILTER(R1866:R5934,AA1866:AA5934=""Neighbor""))) / STDEV(FILTER(R1866:R5934, AA1866:AA5934 =""Neighbor"")), """")"),0.35046879488907656)</f>
        <v>0.3504687949</v>
      </c>
    </row>
    <row r="1867">
      <c r="A1867" s="2" t="s">
        <v>28</v>
      </c>
      <c r="B1867" s="2" t="s">
        <v>7366</v>
      </c>
      <c r="C1867" s="2" t="s">
        <v>7617</v>
      </c>
      <c r="D1867" s="2" t="s">
        <v>7650</v>
      </c>
      <c r="E1867" s="2" t="s">
        <v>7651</v>
      </c>
      <c r="F1867" s="2">
        <v>200.0</v>
      </c>
      <c r="G1867" s="2">
        <v>647.0</v>
      </c>
      <c r="H1867" s="2" t="b">
        <v>1</v>
      </c>
      <c r="I1867" s="2">
        <v>-1.0</v>
      </c>
      <c r="J1867" s="2" t="b">
        <v>0</v>
      </c>
      <c r="K1867" s="2" t="b">
        <v>1</v>
      </c>
      <c r="L1867" s="2" t="b">
        <v>0</v>
      </c>
      <c r="M1867" s="2" t="b">
        <v>0</v>
      </c>
      <c r="N1867" s="2" t="s">
        <v>33</v>
      </c>
      <c r="O1867" s="2">
        <v>113.0</v>
      </c>
      <c r="P1867" s="2">
        <v>1.0</v>
      </c>
      <c r="Q1867" s="2">
        <v>71.0</v>
      </c>
      <c r="R1867" s="2">
        <v>0.0</v>
      </c>
      <c r="S1867" s="3" t="s">
        <v>7652</v>
      </c>
      <c r="T1867" s="2" t="s">
        <v>7653</v>
      </c>
      <c r="Y1867" s="4" t="str">
        <f>IFERROR(__xludf.DUMMYFUNCTION("""COMPUTED_VALUE"""),"6.4592107")</f>
        <v>6.4592107</v>
      </c>
      <c r="Z1867" s="4" t="str">
        <f>IFERROR(__xludf.DUMMYFUNCTION("""COMPUTED_VALUE"""),"2.8234354")</f>
        <v>2.8234354</v>
      </c>
      <c r="AA1867" s="4" t="str">
        <f t="shared" si="1"/>
        <v>Not Neighbor</v>
      </c>
      <c r="AC1867" s="4">
        <f>IFERROR(__xludf.DUMMYFUNCTION("IFERROR(ABS(O1867-AVERAGE(FILTER(O1867:O5935,AA1867:AA5935=""Neighbor""))) / STDEV(FILTER(O1867:O5935, AA1867:AA5935 =""Neighbor"")), """")"),1.6027185887056286)</f>
        <v>1.602718589</v>
      </c>
      <c r="AD1867" s="4">
        <f>IFERROR(__xludf.DUMMYFUNCTION("IFERROR(ABS(P1867-AVERAGE(FILTER(O1867:P5935,AA1867:AA5935=""Neighbor""))) / STDEV(FILTER(P1867:P5935, AA1867:AA5935 =""Neighbor"")), """")"),1.5047255656677578)</f>
        <v>1.504725566</v>
      </c>
      <c r="AE1867" s="2">
        <f>IFERROR(__xludf.DUMMYFUNCTION("IFERROR(ABS(Q1867-AVERAGE(FILTER(Q1867:Q5935,AA1867:AA5935=""Neighbor""))) / STDEV(FILTER(Q1867:Q5935, AA1867:AA5935 =""Neighbor"")), """")"),2.275743577010938)</f>
        <v>2.275743577</v>
      </c>
      <c r="AF1867" s="2">
        <f>IFERROR(__xludf.DUMMYFUNCTION("IFERROR(ABS(R1867-AVERAGE(FILTER(R1867:R5935,AA1867:AA5935=""Neighbor""))) / STDEV(FILTER(R1867:R5935, AA1867:AA5935 =""Neighbor"")), """")"),0.35046879488907656)</f>
        <v>0.3504687949</v>
      </c>
    </row>
    <row r="1868">
      <c r="A1868" s="2" t="s">
        <v>28</v>
      </c>
      <c r="B1868" s="2" t="s">
        <v>7366</v>
      </c>
      <c r="C1868" s="2" t="s">
        <v>7617</v>
      </c>
      <c r="D1868" s="2" t="s">
        <v>7654</v>
      </c>
      <c r="E1868" s="2" t="s">
        <v>7655</v>
      </c>
      <c r="F1868" s="2">
        <v>193.0</v>
      </c>
      <c r="G1868" s="2">
        <v>574.0</v>
      </c>
      <c r="H1868" s="2" t="b">
        <v>1</v>
      </c>
      <c r="I1868" s="2">
        <v>-1.0</v>
      </c>
      <c r="J1868" s="2" t="b">
        <v>0</v>
      </c>
      <c r="K1868" s="2" t="b">
        <v>0</v>
      </c>
      <c r="L1868" s="2" t="b">
        <v>0</v>
      </c>
      <c r="M1868" s="2" t="b">
        <v>0</v>
      </c>
      <c r="N1868" s="2" t="s">
        <v>33</v>
      </c>
      <c r="O1868" s="2">
        <v>96.0</v>
      </c>
      <c r="P1868" s="2">
        <v>1.0</v>
      </c>
      <c r="Q1868" s="2">
        <v>74.0</v>
      </c>
      <c r="R1868" s="2">
        <v>0.0</v>
      </c>
      <c r="S1868" s="3" t="s">
        <v>7656</v>
      </c>
      <c r="T1868" s="2" t="s">
        <v>7657</v>
      </c>
      <c r="Y1868" s="4" t="str">
        <f>IFERROR(__xludf.DUMMYFUNCTION("""COMPUTED_VALUE"""),"6.5343396")</f>
        <v>6.5343396</v>
      </c>
      <c r="Z1868" s="4" t="str">
        <f>IFERROR(__xludf.DUMMYFUNCTION("""COMPUTED_VALUE"""),"2.8415046")</f>
        <v>2.8415046</v>
      </c>
      <c r="AA1868" s="4" t="str">
        <f t="shared" si="1"/>
        <v>Not Neighbor</v>
      </c>
      <c r="AC1868" s="4">
        <f>IFERROR(__xludf.DUMMYFUNCTION("IFERROR(ABS(O1868-AVERAGE(FILTER(O1868:O5936,AA1868:AA5936=""Neighbor""))) / STDEV(FILTER(O1868:O5936, AA1868:AA5936 =""Neighbor"")), """")"),1.1432002265751662)</f>
        <v>1.143200227</v>
      </c>
      <c r="AD1868" s="4">
        <f>IFERROR(__xludf.DUMMYFUNCTION("IFERROR(ABS(P1868-AVERAGE(FILTER(O1868:P5936,AA1868:AA5936=""Neighbor""))) / STDEV(FILTER(P1868:P5936, AA1868:AA5936 =""Neighbor"")), """")"),1.5047255656677578)</f>
        <v>1.504725566</v>
      </c>
      <c r="AE1868" s="2">
        <f>IFERROR(__xludf.DUMMYFUNCTION("IFERROR(ABS(Q1868-AVERAGE(FILTER(Q1868:Q5936,AA1868:AA5936=""Neighbor""))) / STDEV(FILTER(Q1868:Q5936, AA1868:AA5936 =""Neighbor"")), """")"),2.4110514410193904)</f>
        <v>2.411051441</v>
      </c>
      <c r="AF1868" s="2">
        <f>IFERROR(__xludf.DUMMYFUNCTION("IFERROR(ABS(R1868-AVERAGE(FILTER(R1868:R5936,AA1868:AA5936=""Neighbor""))) / STDEV(FILTER(R1868:R5936, AA1868:AA5936 =""Neighbor"")), """")"),0.35046879488907656)</f>
        <v>0.3504687949</v>
      </c>
    </row>
    <row r="1869">
      <c r="A1869" s="2" t="s">
        <v>28</v>
      </c>
      <c r="B1869" s="2" t="s">
        <v>7366</v>
      </c>
      <c r="C1869" s="2" t="s">
        <v>7617</v>
      </c>
      <c r="D1869" s="2" t="s">
        <v>7658</v>
      </c>
      <c r="E1869" s="2" t="s">
        <v>7659</v>
      </c>
      <c r="F1869" s="2">
        <v>207.0</v>
      </c>
      <c r="G1869" s="2">
        <v>589.0</v>
      </c>
      <c r="H1869" s="2" t="b">
        <v>1</v>
      </c>
      <c r="I1869" s="2">
        <v>-1.0</v>
      </c>
      <c r="J1869" s="2" t="b">
        <v>0</v>
      </c>
      <c r="K1869" s="2" t="b">
        <v>1</v>
      </c>
      <c r="L1869" s="2" t="b">
        <v>0</v>
      </c>
      <c r="M1869" s="2" t="b">
        <v>0</v>
      </c>
      <c r="N1869" s="2" t="s">
        <v>33</v>
      </c>
      <c r="O1869" s="2">
        <v>79.0</v>
      </c>
      <c r="P1869" s="2">
        <v>5.0</v>
      </c>
      <c r="Q1869" s="2">
        <v>101.0</v>
      </c>
      <c r="R1869" s="2">
        <v>0.0</v>
      </c>
      <c r="S1869" s="3" t="s">
        <v>7660</v>
      </c>
      <c r="T1869" s="2" t="s">
        <v>7661</v>
      </c>
      <c r="Y1869" s="4" t="str">
        <f>IFERROR(__xludf.DUMMYFUNCTION("""COMPUTED_VALUE"""),"6.4425652")</f>
        <v>6.4425652</v>
      </c>
      <c r="Z1869" s="4" t="str">
        <f>IFERROR(__xludf.DUMMYFUNCTION("""COMPUTED_VALUE"""),"2.8641993")</f>
        <v>2.8641993</v>
      </c>
      <c r="AA1869" s="4" t="str">
        <f t="shared" si="1"/>
        <v>Not Neighbor</v>
      </c>
      <c r="AC1869" s="4">
        <f>IFERROR(__xludf.DUMMYFUNCTION("IFERROR(ABS(O1869-AVERAGE(FILTER(O1869:O5937,AA1869:AA5937=""Neighbor""))) / STDEV(FILTER(O1869:O5937, AA1869:AA5937 =""Neighbor"")), """")"),0.6836818644447038)</f>
        <v>0.6836818644</v>
      </c>
      <c r="AD1869" s="4">
        <f>IFERROR(__xludf.DUMMYFUNCTION("IFERROR(ABS(P1869-AVERAGE(FILTER(O1869:P5937,AA1869:AA5937=""Neighbor""))) / STDEV(FILTER(P1869:P5937, AA1869:AA5937 =""Neighbor"")), """")"),1.3282450986472534)</f>
        <v>1.328245099</v>
      </c>
      <c r="AE1869" s="2">
        <f>IFERROR(__xludf.DUMMYFUNCTION("IFERROR(ABS(Q1869-AVERAGE(FILTER(Q1869:Q5937,AA1869:AA5937=""Neighbor""))) / STDEV(FILTER(Q1869:Q5937, AA1869:AA5937 =""Neighbor"")), """")"),3.6288222170954616)</f>
        <v>3.628822217</v>
      </c>
      <c r="AF1869" s="2">
        <f>IFERROR(__xludf.DUMMYFUNCTION("IFERROR(ABS(R1869-AVERAGE(FILTER(R1869:R5937,AA1869:AA5937=""Neighbor""))) / STDEV(FILTER(R1869:R5937, AA1869:AA5937 =""Neighbor"")), """")"),0.35046879488907656)</f>
        <v>0.3504687949</v>
      </c>
    </row>
    <row r="1870">
      <c r="A1870" s="2" t="s">
        <v>28</v>
      </c>
      <c r="B1870" s="2" t="s">
        <v>7366</v>
      </c>
      <c r="C1870" s="2" t="s">
        <v>7617</v>
      </c>
      <c r="D1870" s="2" t="s">
        <v>7662</v>
      </c>
      <c r="E1870" s="2" t="s">
        <v>7663</v>
      </c>
      <c r="F1870" s="2">
        <v>250.0</v>
      </c>
      <c r="G1870" s="2">
        <v>616.0</v>
      </c>
      <c r="H1870" s="2" t="b">
        <v>1</v>
      </c>
      <c r="I1870" s="2">
        <v>-1.0</v>
      </c>
      <c r="J1870" s="2" t="b">
        <v>0</v>
      </c>
      <c r="K1870" s="2" t="b">
        <v>0</v>
      </c>
      <c r="L1870" s="2" t="b">
        <v>0</v>
      </c>
      <c r="M1870" s="2" t="b">
        <v>0</v>
      </c>
      <c r="N1870" s="2" t="s">
        <v>33</v>
      </c>
      <c r="O1870" s="2">
        <v>88.0</v>
      </c>
      <c r="P1870" s="2">
        <v>3.0</v>
      </c>
      <c r="Q1870" s="2">
        <v>131.0</v>
      </c>
      <c r="R1870" s="2">
        <v>0.0</v>
      </c>
      <c r="S1870" s="3" t="s">
        <v>7664</v>
      </c>
      <c r="T1870" s="2" t="s">
        <v>7665</v>
      </c>
      <c r="Y1870" s="4" t="str">
        <f>IFERROR(__xludf.DUMMYFUNCTION("""COMPUTED_VALUE"""),"6.5343396")</f>
        <v>6.5343396</v>
      </c>
      <c r="Z1870" s="4" t="str">
        <f>IFERROR(__xludf.DUMMYFUNCTION("""COMPUTED_VALUE"""),"2.8415046")</f>
        <v>2.8415046</v>
      </c>
      <c r="AA1870" s="4" t="str">
        <f t="shared" si="1"/>
        <v>Not Neighbor</v>
      </c>
      <c r="AC1870" s="4">
        <f>IFERROR(__xludf.DUMMYFUNCTION("IFERROR(ABS(O1870-AVERAGE(FILTER(O1870:O5938,AA1870:AA5938=""Neighbor""))) / STDEV(FILTER(O1870:O5938, AA1870:AA5938 =""Neighbor"")), """")"),0.9269562914549486)</f>
        <v>0.9269562915</v>
      </c>
      <c r="AD1870" s="4">
        <f>IFERROR(__xludf.DUMMYFUNCTION("IFERROR(ABS(P1870-AVERAGE(FILTER(O1870:P5938,AA1870:AA5938=""Neighbor""))) / STDEV(FILTER(P1870:P5938, AA1870:AA5938 =""Neighbor"")), """")"),1.4164853321575057)</f>
        <v>1.416485332</v>
      </c>
      <c r="AE1870" s="2">
        <f>IFERROR(__xludf.DUMMYFUNCTION("IFERROR(ABS(Q1870-AVERAGE(FILTER(Q1870:Q5938,AA1870:AA5938=""Neighbor""))) / STDEV(FILTER(Q1870:Q5938, AA1870:AA5938 =""Neighbor"")), """")"),4.981900857179985)</f>
        <v>4.981900857</v>
      </c>
      <c r="AF1870" s="2">
        <f>IFERROR(__xludf.DUMMYFUNCTION("IFERROR(ABS(R1870-AVERAGE(FILTER(R1870:R5938,AA1870:AA5938=""Neighbor""))) / STDEV(FILTER(R1870:R5938, AA1870:AA5938 =""Neighbor"")), """")"),0.35046879488907656)</f>
        <v>0.3504687949</v>
      </c>
    </row>
    <row r="1871">
      <c r="A1871" s="2" t="s">
        <v>28</v>
      </c>
      <c r="B1871" s="2" t="s">
        <v>7366</v>
      </c>
      <c r="C1871" s="2" t="s">
        <v>7666</v>
      </c>
      <c r="D1871" s="2" t="s">
        <v>7667</v>
      </c>
      <c r="E1871" s="2" t="s">
        <v>7668</v>
      </c>
      <c r="F1871" s="2">
        <v>225.0</v>
      </c>
      <c r="G1871" s="2">
        <v>475.0</v>
      </c>
      <c r="H1871" s="2" t="b">
        <v>1</v>
      </c>
      <c r="I1871" s="2">
        <v>-1.0</v>
      </c>
      <c r="J1871" s="2" t="b">
        <v>0</v>
      </c>
      <c r="K1871" s="2" t="b">
        <v>0</v>
      </c>
      <c r="L1871" s="2" t="b">
        <v>0</v>
      </c>
      <c r="M1871" s="2" t="b">
        <v>0</v>
      </c>
      <c r="N1871" s="2" t="s">
        <v>33</v>
      </c>
      <c r="O1871" s="2">
        <v>70.0</v>
      </c>
      <c r="P1871" s="2">
        <v>2.0</v>
      </c>
      <c r="Q1871" s="2">
        <v>129.0</v>
      </c>
      <c r="R1871" s="2">
        <v>0.0</v>
      </c>
      <c r="S1871" s="3" t="s">
        <v>7669</v>
      </c>
      <c r="T1871" s="2" t="s">
        <v>7670</v>
      </c>
      <c r="Y1871" s="4" t="str">
        <f>IFERROR(__xludf.DUMMYFUNCTION("""COMPUTED_VALUE"""),"6.4955687")</f>
        <v>6.4955687</v>
      </c>
      <c r="Z1871" s="4" t="str">
        <f>IFERROR(__xludf.DUMMYFUNCTION("""COMPUTED_VALUE"""),"2.8676861")</f>
        <v>2.8676861</v>
      </c>
      <c r="AA1871" s="4" t="str">
        <f t="shared" si="1"/>
        <v>Neighbor</v>
      </c>
      <c r="AC1871" s="4">
        <f>IFERROR(__xludf.DUMMYFUNCTION("IFERROR(ABS(O1871-AVERAGE(FILTER(O1871:O5939,AA1871:AA5939=""Neighbor""))) / STDEV(FILTER(O1871:O5939, AA1871:AA5939 =""Neighbor"")), """")"),0.440407437434459)</f>
        <v>0.4404074374</v>
      </c>
      <c r="AD1871" s="4">
        <f>IFERROR(__xludf.DUMMYFUNCTION("IFERROR(ABS(P1871-AVERAGE(FILTER(O1871:P5939,AA1871:AA5939=""Neighbor""))) / STDEV(FILTER(P1871:P5939, AA1871:AA5939 =""Neighbor"")), """")"),1.4606054489126319)</f>
        <v>1.460605449</v>
      </c>
      <c r="AE1871" s="2">
        <f>IFERROR(__xludf.DUMMYFUNCTION("IFERROR(ABS(Q1871-AVERAGE(FILTER(Q1871:Q5939,AA1871:AA5939=""Neighbor""))) / STDEV(FILTER(Q1871:Q5939, AA1871:AA5939 =""Neighbor"")), """")"),4.891695614507683)</f>
        <v>4.891695615</v>
      </c>
      <c r="AF1871" s="2">
        <f>IFERROR(__xludf.DUMMYFUNCTION("IFERROR(ABS(R1871-AVERAGE(FILTER(R1871:R5939,AA1871:AA5939=""Neighbor""))) / STDEV(FILTER(R1871:R5939, AA1871:AA5939 =""Neighbor"")), """")"),0.35046879488907656)</f>
        <v>0.3504687949</v>
      </c>
    </row>
    <row r="1872">
      <c r="A1872" s="2" t="s">
        <v>28</v>
      </c>
      <c r="B1872" s="2" t="s">
        <v>7366</v>
      </c>
      <c r="C1872" s="2" t="s">
        <v>7666</v>
      </c>
      <c r="D1872" s="2" t="s">
        <v>7671</v>
      </c>
      <c r="E1872" s="2" t="s">
        <v>7672</v>
      </c>
      <c r="F1872" s="2">
        <v>128.0</v>
      </c>
      <c r="G1872" s="2">
        <v>347.0</v>
      </c>
      <c r="H1872" s="2" t="b">
        <v>1</v>
      </c>
      <c r="I1872" s="2">
        <v>-1.0</v>
      </c>
      <c r="J1872" s="2" t="b">
        <v>0</v>
      </c>
      <c r="K1872" s="2" t="b">
        <v>0</v>
      </c>
      <c r="L1872" s="2" t="b">
        <v>0</v>
      </c>
      <c r="M1872" s="2" t="b">
        <v>0</v>
      </c>
      <c r="N1872" s="2" t="s">
        <v>33</v>
      </c>
      <c r="O1872" s="2">
        <v>72.0</v>
      </c>
      <c r="P1872" s="2">
        <v>1.0</v>
      </c>
      <c r="Q1872" s="2">
        <v>52.0</v>
      </c>
      <c r="R1872" s="2">
        <v>0.0</v>
      </c>
      <c r="S1872" s="3" t="s">
        <v>7673</v>
      </c>
      <c r="T1872" s="2" t="s">
        <v>7674</v>
      </c>
      <c r="Y1872" s="4" t="str">
        <f>IFERROR(__xludf.DUMMYFUNCTION("""COMPUTED_VALUE"""),"6.4955687")</f>
        <v>6.4955687</v>
      </c>
      <c r="Z1872" s="4" t="str">
        <f>IFERROR(__xludf.DUMMYFUNCTION("""COMPUTED_VALUE"""),"2.8676861")</f>
        <v>2.8676861</v>
      </c>
      <c r="AA1872" s="4" t="str">
        <f t="shared" si="1"/>
        <v>Not Neighbor</v>
      </c>
      <c r="AC1872" s="4">
        <f>IFERROR(__xludf.DUMMYFUNCTION("IFERROR(ABS(O1872-AVERAGE(FILTER(O1872:O5940,AA1872:AA5940=""Neighbor""))) / STDEV(FILTER(O1872:O5940, AA1872:AA5940 =""Neighbor"")), """")"),0.49474123027526135)</f>
        <v>0.4947412303</v>
      </c>
      <c r="AD1872" s="4">
        <f>IFERROR(__xludf.DUMMYFUNCTION("IFERROR(ABS(P1872-AVERAGE(FILTER(O1872:P5940,AA1872:AA5940=""Neighbor""))) / STDEV(FILTER(P1872:P5940, AA1872:AA5940 =""Neighbor"")), """")"),1.5041777780813277)</f>
        <v>1.504177778</v>
      </c>
      <c r="AE1872" s="2">
        <f>IFERROR(__xludf.DUMMYFUNCTION("IFERROR(ABS(Q1872-AVERAGE(FILTER(Q1872:Q5940,AA1872:AA5940=""Neighbor""))) / STDEV(FILTER(Q1872:Q5940, AA1872:AA5940 =""Neighbor"")), """")"),1.4432390217757218)</f>
        <v>1.443239022</v>
      </c>
      <c r="AF1872" s="2">
        <f>IFERROR(__xludf.DUMMYFUNCTION("IFERROR(ABS(R1872-AVERAGE(FILTER(R1872:R5940,AA1872:AA5940=""Neighbor""))) / STDEV(FILTER(R1872:R5940, AA1872:AA5940 =""Neighbor"")), """")"),0.3506913869785789)</f>
        <v>0.350691387</v>
      </c>
    </row>
    <row r="1873">
      <c r="A1873" s="2" t="s">
        <v>28</v>
      </c>
      <c r="B1873" s="2" t="s">
        <v>7366</v>
      </c>
      <c r="C1873" s="2" t="s">
        <v>7666</v>
      </c>
      <c r="D1873" s="2" t="s">
        <v>7675</v>
      </c>
      <c r="E1873" s="2" t="s">
        <v>7676</v>
      </c>
      <c r="F1873" s="2">
        <v>329.0</v>
      </c>
      <c r="G1873" s="2">
        <v>852.0</v>
      </c>
      <c r="H1873" s="2" t="b">
        <v>1</v>
      </c>
      <c r="I1873" s="2">
        <v>-1.0</v>
      </c>
      <c r="J1873" s="2" t="b">
        <v>0</v>
      </c>
      <c r="K1873" s="2" t="b">
        <v>0</v>
      </c>
      <c r="L1873" s="2" t="b">
        <v>0</v>
      </c>
      <c r="M1873" s="2" t="b">
        <v>0</v>
      </c>
      <c r="N1873" s="2" t="s">
        <v>33</v>
      </c>
      <c r="O1873" s="2">
        <v>157.0</v>
      </c>
      <c r="P1873" s="2">
        <v>0.0</v>
      </c>
      <c r="Q1873" s="2">
        <v>158.0</v>
      </c>
      <c r="R1873" s="2">
        <v>0.0</v>
      </c>
      <c r="S1873" s="3" t="s">
        <v>7677</v>
      </c>
      <c r="T1873" s="2" t="s">
        <v>7678</v>
      </c>
      <c r="Y1873" s="4" t="str">
        <f>IFERROR(__xludf.DUMMYFUNCTION("""COMPUTED_VALUE"""),"6.8211218")</f>
        <v>6.8211218</v>
      </c>
      <c r="Z1873" s="4" t="str">
        <f>IFERROR(__xludf.DUMMYFUNCTION("""COMPUTED_VALUE"""),"2.7637738")</f>
        <v>2.7637738</v>
      </c>
      <c r="AA1873" s="4" t="str">
        <f t="shared" si="1"/>
        <v>Not Neighbor</v>
      </c>
      <c r="AC1873" s="4">
        <f>IFERROR(__xludf.DUMMYFUNCTION("IFERROR(ABS(O1873-AVERAGE(FILTER(O1873:O5941,AA1873:AA5941=""Neighbor""))) / STDEV(FILTER(O1873:O5941, AA1873:AA5941 =""Neighbor"")), """")"),2.791284185208142)</f>
        <v>2.791284185</v>
      </c>
      <c r="AD1873" s="4">
        <f>IFERROR(__xludf.DUMMYFUNCTION("IFERROR(ABS(P1873-AVERAGE(FILTER(O1873:P5941,AA1873:AA5941=""Neighbor""))) / STDEV(FILTER(P1873:P5941, AA1873:AA5941 =""Neighbor"")), """")"),1.548283143627114)</f>
        <v>1.548283144</v>
      </c>
      <c r="AE1873" s="2">
        <f>IFERROR(__xludf.DUMMYFUNCTION("IFERROR(ABS(Q1873-AVERAGE(FILTER(Q1873:Q5941,AA1873:AA5941=""Neighbor""))) / STDEV(FILTER(Q1873:Q5941, AA1873:AA5941 =""Neighbor"")), """")"),6.287574182620765)</f>
        <v>6.287574183</v>
      </c>
      <c r="AF1873" s="2">
        <f>IFERROR(__xludf.DUMMYFUNCTION("IFERROR(ABS(R1873-AVERAGE(FILTER(R1873:R5941,AA1873:AA5941=""Neighbor""))) / STDEV(FILTER(R1873:R5941, AA1873:AA5941 =""Neighbor"")), """")"),0.3506913869785789)</f>
        <v>0.350691387</v>
      </c>
    </row>
    <row r="1874">
      <c r="A1874" s="2" t="s">
        <v>28</v>
      </c>
      <c r="B1874" s="2" t="s">
        <v>7366</v>
      </c>
      <c r="C1874" s="2" t="s">
        <v>7666</v>
      </c>
      <c r="D1874" s="2" t="s">
        <v>7679</v>
      </c>
      <c r="E1874" s="2" t="s">
        <v>7680</v>
      </c>
      <c r="F1874" s="2">
        <v>227.0</v>
      </c>
      <c r="G1874" s="2">
        <v>757.0</v>
      </c>
      <c r="H1874" s="2" t="b">
        <v>1</v>
      </c>
      <c r="I1874" s="2">
        <v>-1.0</v>
      </c>
      <c r="J1874" s="2" t="b">
        <v>0</v>
      </c>
      <c r="K1874" s="2" t="b">
        <v>1</v>
      </c>
      <c r="L1874" s="2" t="b">
        <v>0</v>
      </c>
      <c r="M1874" s="2" t="b">
        <v>0</v>
      </c>
      <c r="N1874" s="2" t="s">
        <v>33</v>
      </c>
      <c r="O1874" s="2">
        <v>69.0</v>
      </c>
      <c r="P1874" s="2">
        <v>5.0</v>
      </c>
      <c r="Q1874" s="2">
        <v>137.0</v>
      </c>
      <c r="R1874" s="2">
        <v>0.0</v>
      </c>
      <c r="S1874" s="3" t="s">
        <v>7681</v>
      </c>
      <c r="T1874" s="2" t="s">
        <v>7682</v>
      </c>
      <c r="Y1874" s="4" t="str">
        <f>IFERROR(__xludf.DUMMYFUNCTION("""COMPUTED_VALUE"""),"6.5343396")</f>
        <v>6.5343396</v>
      </c>
      <c r="Z1874" s="4" t="str">
        <f>IFERROR(__xludf.DUMMYFUNCTION("""COMPUTED_VALUE"""),"2.8415046")</f>
        <v>2.8415046</v>
      </c>
      <c r="AA1874" s="4" t="str">
        <f t="shared" si="1"/>
        <v>Neighbor</v>
      </c>
      <c r="AC1874" s="4">
        <f>IFERROR(__xludf.DUMMYFUNCTION("IFERROR(ABS(O1874-AVERAGE(FILTER(O1874:O5942,AA1874:AA5942=""Neighbor""))) / STDEV(FILTER(O1874:O5942, AA1874:AA5942 =""Neighbor"")), """")"),0.41368677304233614)</f>
        <v>0.413686773</v>
      </c>
      <c r="AD1874" s="4">
        <f>IFERROR(__xludf.DUMMYFUNCTION("IFERROR(ABS(P1874-AVERAGE(FILTER(O1874:P5942,AA1874:AA5942=""Neighbor""))) / STDEV(FILTER(P1874:P5942, AA1874:AA5942 =""Neighbor"")), """")"),1.327756315898182)</f>
        <v>1.327756316</v>
      </c>
      <c r="AE1874" s="2">
        <f>IFERROR(__xludf.DUMMYFUNCTION("IFERROR(ABS(Q1874-AVERAGE(FILTER(Q1874:Q5942,AA1874:AA5942=""Neighbor""))) / STDEV(FILTER(Q1874:Q5942, AA1874:AA5942 =""Neighbor"")), """")"),5.327847405472218)</f>
        <v>5.327847405</v>
      </c>
      <c r="AF1874" s="2">
        <f>IFERROR(__xludf.DUMMYFUNCTION("IFERROR(ABS(R1874-AVERAGE(FILTER(R1874:R5942,AA1874:AA5942=""Neighbor""))) / STDEV(FILTER(R1874:R5942, AA1874:AA5942 =""Neighbor"")), """")"),0.3506913869785789)</f>
        <v>0.350691387</v>
      </c>
    </row>
    <row r="1875">
      <c r="A1875" s="2" t="s">
        <v>28</v>
      </c>
      <c r="B1875" s="2" t="s">
        <v>7366</v>
      </c>
      <c r="C1875" s="2" t="s">
        <v>7666</v>
      </c>
      <c r="D1875" s="2" t="s">
        <v>7683</v>
      </c>
      <c r="E1875" s="2" t="s">
        <v>7684</v>
      </c>
      <c r="F1875" s="2">
        <v>229.0</v>
      </c>
      <c r="G1875" s="2">
        <v>627.0</v>
      </c>
      <c r="H1875" s="2" t="b">
        <v>1</v>
      </c>
      <c r="I1875" s="2">
        <v>-1.0</v>
      </c>
      <c r="J1875" s="2" t="b">
        <v>0</v>
      </c>
      <c r="K1875" s="2" t="b">
        <v>0</v>
      </c>
      <c r="L1875" s="2" t="b">
        <v>0</v>
      </c>
      <c r="M1875" s="2" t="b">
        <v>0</v>
      </c>
      <c r="N1875" s="2" t="s">
        <v>33</v>
      </c>
      <c r="O1875" s="2">
        <v>60.0</v>
      </c>
      <c r="P1875" s="2">
        <v>0.0</v>
      </c>
      <c r="Q1875" s="2">
        <v>150.0</v>
      </c>
      <c r="R1875" s="2">
        <v>1.0</v>
      </c>
      <c r="S1875" s="3" t="s">
        <v>7685</v>
      </c>
      <c r="T1875" s="2" t="s">
        <v>7686</v>
      </c>
      <c r="Y1875" s="4" t="str">
        <f>IFERROR(__xludf.DUMMYFUNCTION("""COMPUTED_VALUE"""),"6.5343396")</f>
        <v>6.5343396</v>
      </c>
      <c r="Z1875" s="4" t="str">
        <f>IFERROR(__xludf.DUMMYFUNCTION("""COMPUTED_VALUE"""),"2.8415046")</f>
        <v>2.8415046</v>
      </c>
      <c r="AA1875" s="4" t="str">
        <f t="shared" si="1"/>
        <v>Neighbor</v>
      </c>
      <c r="AC1875" s="4">
        <f>IFERROR(__xludf.DUMMYFUNCTION("IFERROR(ABS(O1875-AVERAGE(FILTER(O1875:O5943,AA1875:AA5943=""Neighbor""))) / STDEV(FILTER(O1875:O5943, AA1875:AA5943 =""Neighbor"")), """")"),0.17091207285042742)</f>
        <v>0.1709120729</v>
      </c>
      <c r="AD1875" s="4">
        <f>IFERROR(__xludf.DUMMYFUNCTION("IFERROR(ABS(P1875-AVERAGE(FILTER(O1875:P5943,AA1875:AA5943=""Neighbor""))) / STDEV(FILTER(P1875:P5943, AA1875:AA5943 =""Neighbor"")), """")"),1.547537181408466)</f>
        <v>1.547537181</v>
      </c>
      <c r="AE1875" s="2">
        <f>IFERROR(__xludf.DUMMYFUNCTION("IFERROR(ABS(Q1875-AVERAGE(FILTER(Q1875:Q5943,AA1875:AA5943=""Neighbor""))) / STDEV(FILTER(Q1875:Q5943, AA1875:AA5943 =""Neighbor"")), """")"),6.022459663318976)</f>
        <v>6.022459663</v>
      </c>
      <c r="AF1875" s="2">
        <f>IFERROR(__xludf.DUMMYFUNCTION("IFERROR(ABS(R1875-AVERAGE(FILTER(R1875:R5943,AA1875:AA5943=""Neighbor""))) / STDEV(FILTER(R1875:R5943, AA1875:AA5943 =""Neighbor"")), """")"),0.8214587179685853)</f>
        <v>0.821458718</v>
      </c>
    </row>
    <row r="1876">
      <c r="A1876" s="2" t="s">
        <v>28</v>
      </c>
      <c r="B1876" s="2" t="s">
        <v>7366</v>
      </c>
      <c r="C1876" s="2" t="s">
        <v>7666</v>
      </c>
      <c r="D1876" s="2" t="s">
        <v>7687</v>
      </c>
      <c r="E1876" s="2" t="s">
        <v>7688</v>
      </c>
      <c r="F1876" s="2">
        <v>237.0</v>
      </c>
      <c r="G1876" s="2">
        <v>831.0</v>
      </c>
      <c r="H1876" s="2" t="b">
        <v>1</v>
      </c>
      <c r="I1876" s="2">
        <v>-1.0</v>
      </c>
      <c r="J1876" s="2" t="b">
        <v>0</v>
      </c>
      <c r="K1876" s="2" t="b">
        <v>0</v>
      </c>
      <c r="L1876" s="2" t="b">
        <v>0</v>
      </c>
      <c r="M1876" s="2" t="b">
        <v>0</v>
      </c>
      <c r="N1876" s="2" t="s">
        <v>33</v>
      </c>
      <c r="O1876" s="2">
        <v>116.0</v>
      </c>
      <c r="P1876" s="2">
        <v>0.0</v>
      </c>
      <c r="Q1876" s="2">
        <v>93.0</v>
      </c>
      <c r="R1876" s="2">
        <v>4.0</v>
      </c>
      <c r="S1876" s="3" t="s">
        <v>7689</v>
      </c>
      <c r="T1876" s="2" t="s">
        <v>7690</v>
      </c>
      <c r="Y1876" s="4" t="str">
        <f>IFERROR(__xludf.DUMMYFUNCTION("""COMPUTED_VALUE"""),"6.5343396")</f>
        <v>6.5343396</v>
      </c>
      <c r="Z1876" s="4" t="str">
        <f>IFERROR(__xludf.DUMMYFUNCTION("""COMPUTED_VALUE"""),"2.8415046")</f>
        <v>2.8415046</v>
      </c>
      <c r="AA1876" s="4" t="str">
        <f t="shared" si="1"/>
        <v>Not Neighbor</v>
      </c>
      <c r="AC1876" s="4">
        <f>IFERROR(__xludf.DUMMYFUNCTION("IFERROR(ABS(O1876-AVERAGE(FILTER(O1876:O5944,AA1876:AA5944=""Neighbor""))) / STDEV(FILTER(O1876:O5944, AA1876:AA5944 =""Neighbor"")), """")"),1.6824837902270524)</f>
        <v>1.68248379</v>
      </c>
      <c r="AD1876" s="4">
        <f>IFERROR(__xludf.DUMMYFUNCTION("IFERROR(ABS(P1876-AVERAGE(FILTER(O1876:P5944,AA1876:AA5944=""Neighbor""))) / STDEV(FILTER(P1876:P5944, AA1876:AA5944 =""Neighbor"")), """")"),1.5473809761865884)</f>
        <v>1.547380976</v>
      </c>
      <c r="AE1876" s="2">
        <f>IFERROR(__xludf.DUMMYFUNCTION("IFERROR(ABS(Q1876-AVERAGE(FILTER(Q1876:Q5944,AA1876:AA5944=""Neighbor""))) / STDEV(FILTER(Q1876:Q5944, AA1876:AA5944 =""Neighbor"")), """")"),3.4527994231613763)</f>
        <v>3.452799423</v>
      </c>
      <c r="AF1876" s="2">
        <f>IFERROR(__xludf.DUMMYFUNCTION("IFERROR(ABS(R1876-AVERAGE(FILTER(R1876:R5944,AA1876:AA5944=""Neighbor""))) / STDEV(FILTER(R1876:R5944, AA1876:AA5944 =""Neighbor"")), """")"),4.338710772224015)</f>
        <v>4.338710772</v>
      </c>
    </row>
    <row r="1877">
      <c r="A1877" s="2" t="s">
        <v>28</v>
      </c>
      <c r="B1877" s="2" t="s">
        <v>7366</v>
      </c>
      <c r="C1877" s="2" t="s">
        <v>7691</v>
      </c>
      <c r="D1877" s="2" t="s">
        <v>7692</v>
      </c>
      <c r="E1877" s="2" t="s">
        <v>7693</v>
      </c>
      <c r="F1877" s="2">
        <v>220.0</v>
      </c>
      <c r="G1877" s="2">
        <v>964.0</v>
      </c>
      <c r="H1877" s="2" t="b">
        <v>1</v>
      </c>
      <c r="I1877" s="2">
        <v>-1.0</v>
      </c>
      <c r="J1877" s="2" t="b">
        <v>0</v>
      </c>
      <c r="K1877" s="2" t="b">
        <v>0</v>
      </c>
      <c r="L1877" s="2" t="b">
        <v>0</v>
      </c>
      <c r="M1877" s="2" t="b">
        <v>0</v>
      </c>
      <c r="N1877" s="2" t="s">
        <v>33</v>
      </c>
      <c r="O1877" s="2">
        <v>111.0</v>
      </c>
      <c r="P1877" s="2">
        <v>31.0</v>
      </c>
      <c r="Q1877" s="2">
        <v>58.0</v>
      </c>
      <c r="R1877" s="2">
        <v>0.0</v>
      </c>
      <c r="S1877" s="3" t="s">
        <v>7694</v>
      </c>
      <c r="T1877" s="2" t="s">
        <v>7695</v>
      </c>
      <c r="Y1877" s="4" t="str">
        <f>IFERROR(__xludf.DUMMYFUNCTION("""COMPUTED_VALUE"""),"7.8720018")</f>
        <v>7.8720018</v>
      </c>
      <c r="Z1877" s="4" t="str">
        <f>IFERROR(__xludf.DUMMYFUNCTION("""COMPUTED_VALUE"""),"3.2325969")</f>
        <v>3.2325969</v>
      </c>
      <c r="AA1877" s="4" t="str">
        <f t="shared" si="1"/>
        <v>Not Neighbor</v>
      </c>
      <c r="AC1877" s="4">
        <f>IFERROR(__xludf.DUMMYFUNCTION("IFERROR(ABS(O1877-AVERAGE(FILTER(O1877:O5945,AA1877:AA5945=""Neighbor""))) / STDEV(FILTER(O1877:O5945, AA1877:AA5945 =""Neighbor"")), """")"),1.5475309314931187)</f>
        <v>1.547530931</v>
      </c>
      <c r="AD1877" s="4">
        <f>IFERROR(__xludf.DUMMYFUNCTION("IFERROR(ABS(P1877-AVERAGE(FILTER(O1877:P5945,AA1877:AA5945=""Neighbor""))) / STDEV(FILTER(P1877:P5945, AA1877:AA5945 =""Neighbor"")), """")"),0.18105307962558234)</f>
        <v>0.1810530796</v>
      </c>
      <c r="AE1877" s="2">
        <f>IFERROR(__xludf.DUMMYFUNCTION("IFERROR(ABS(Q1877-AVERAGE(FILTER(Q1877:Q5945,AA1877:AA5945=""Neighbor""))) / STDEV(FILTER(Q1877:Q5945, AA1877:AA5945 =""Neighbor"")), """")"),1.7941496511882806)</f>
        <v>1.794149651</v>
      </c>
      <c r="AF1877" s="2">
        <f>IFERROR(__xludf.DUMMYFUNCTION("IFERROR(ABS(R1877-AVERAGE(FILTER(R1877:R5945,AA1877:AA5945=""Neighbor""))) / STDEV(FILTER(R1877:R5945, AA1877:AA5945 =""Neighbor"")), """")"),0.34991748944952966)</f>
        <v>0.3499174894</v>
      </c>
    </row>
    <row r="1878">
      <c r="A1878" s="2" t="s">
        <v>28</v>
      </c>
      <c r="B1878" s="2" t="s">
        <v>7366</v>
      </c>
      <c r="C1878" s="2" t="s">
        <v>7691</v>
      </c>
      <c r="D1878" s="2" t="s">
        <v>7696</v>
      </c>
      <c r="E1878" s="2" t="s">
        <v>7697</v>
      </c>
      <c r="F1878" s="2">
        <v>148.0</v>
      </c>
      <c r="G1878" s="2">
        <v>455.0</v>
      </c>
      <c r="H1878" s="2" t="b">
        <v>1</v>
      </c>
      <c r="I1878" s="2">
        <v>-1.0</v>
      </c>
      <c r="J1878" s="2" t="b">
        <v>0</v>
      </c>
      <c r="K1878" s="2" t="b">
        <v>0</v>
      </c>
      <c r="L1878" s="2" t="b">
        <v>0</v>
      </c>
      <c r="M1878" s="2" t="b">
        <v>0</v>
      </c>
      <c r="N1878" s="2" t="s">
        <v>33</v>
      </c>
      <c r="O1878" s="2">
        <v>61.0</v>
      </c>
      <c r="P1878" s="2">
        <v>8.0</v>
      </c>
      <c r="Q1878" s="2">
        <v>59.0</v>
      </c>
      <c r="R1878" s="2">
        <v>0.0</v>
      </c>
      <c r="S1878" s="3" t="s">
        <v>7698</v>
      </c>
      <c r="T1878" s="2" t="s">
        <v>7699</v>
      </c>
      <c r="Y1878" s="4" t="str">
        <f>IFERROR(__xludf.DUMMYFUNCTION("""COMPUTED_VALUE"""),"6.651348")</f>
        <v>6.651348</v>
      </c>
      <c r="Z1878" s="4" t="str">
        <f>IFERROR(__xludf.DUMMYFUNCTION("""COMPUTED_VALUE"""),"2.7835829")</f>
        <v>2.7835829</v>
      </c>
      <c r="AA1878" s="4" t="str">
        <f t="shared" si="1"/>
        <v>Not Neighbor</v>
      </c>
      <c r="AC1878" s="4">
        <f>IFERROR(__xludf.DUMMYFUNCTION("IFERROR(ABS(O1878-AVERAGE(FILTER(O1878:O5946,AA1878:AA5946=""Neighbor""))) / STDEV(FILTER(O1878:O5946, AA1878:AA5946 =""Neighbor"")), """")"),0.19800234415378265)</f>
        <v>0.1980023442</v>
      </c>
      <c r="AD1878" s="4">
        <f>IFERROR(__xludf.DUMMYFUNCTION("IFERROR(ABS(P1878-AVERAGE(FILTER(O1878:P5946,AA1878:AA5946=""Neighbor""))) / STDEV(FILTER(P1878:P5946, AA1878:AA5946 =""Neighbor"")), """")"),1.194780228686974)</f>
        <v>1.194780229</v>
      </c>
      <c r="AE1878" s="2">
        <f>IFERROR(__xludf.DUMMYFUNCTION("IFERROR(ABS(Q1878-AVERAGE(FILTER(Q1878:Q5946,AA1878:AA5946=""Neighbor""))) / STDEV(FILTER(Q1878:Q5946, AA1878:AA5946 =""Neighbor"")), """")"),1.8415396446732262)</f>
        <v>1.841539645</v>
      </c>
      <c r="AF1878" s="2">
        <f>IFERROR(__xludf.DUMMYFUNCTION("IFERROR(ABS(R1878-AVERAGE(FILTER(R1878:R5946,AA1878:AA5946=""Neighbor""))) / STDEV(FILTER(R1878:R5946, AA1878:AA5946 =""Neighbor"")), """")"),0.34991748944952966)</f>
        <v>0.3499174894</v>
      </c>
    </row>
    <row r="1879">
      <c r="A1879" s="2" t="s">
        <v>28</v>
      </c>
      <c r="B1879" s="2" t="s">
        <v>7366</v>
      </c>
      <c r="C1879" s="2" t="s">
        <v>7691</v>
      </c>
      <c r="D1879" s="2" t="s">
        <v>7700</v>
      </c>
      <c r="E1879" s="2" t="s">
        <v>7701</v>
      </c>
      <c r="F1879" s="2">
        <v>202.0</v>
      </c>
      <c r="G1879" s="2">
        <v>904.0</v>
      </c>
      <c r="H1879" s="2" t="b">
        <v>1</v>
      </c>
      <c r="I1879" s="2">
        <v>-1.0</v>
      </c>
      <c r="J1879" s="2" t="b">
        <v>0</v>
      </c>
      <c r="K1879" s="2" t="b">
        <v>0</v>
      </c>
      <c r="L1879" s="2" t="b">
        <v>0</v>
      </c>
      <c r="M1879" s="2" t="b">
        <v>0</v>
      </c>
      <c r="N1879" s="2" t="s">
        <v>33</v>
      </c>
      <c r="O1879" s="2">
        <v>81.0</v>
      </c>
      <c r="P1879" s="2">
        <v>10.0</v>
      </c>
      <c r="Q1879" s="2">
        <v>77.0</v>
      </c>
      <c r="R1879" s="2">
        <v>1.0</v>
      </c>
      <c r="S1879" s="3" t="s">
        <v>7702</v>
      </c>
      <c r="T1879" s="2" t="s">
        <v>7703</v>
      </c>
      <c r="Y1879" s="4" t="str">
        <f>IFERROR(__xludf.DUMMYFUNCTION("""COMPUTED_VALUE"""),"6.6817221")</f>
        <v>6.6817221</v>
      </c>
      <c r="Z1879" s="4" t="str">
        <f>IFERROR(__xludf.DUMMYFUNCTION("""COMPUTED_VALUE"""),"2.7724992")</f>
        <v>2.7724992</v>
      </c>
      <c r="AA1879" s="4" t="str">
        <f t="shared" si="1"/>
        <v>Not Neighbor</v>
      </c>
      <c r="AC1879" s="4">
        <f>IFERROR(__xludf.DUMMYFUNCTION("IFERROR(ABS(O1879-AVERAGE(FILTER(O1879:O5947,AA1879:AA5947=""Neighbor""))) / STDEV(FILTER(O1879:O5947, AA1879:AA5947 =""Neighbor"")), """")"),0.7378137790895171)</f>
        <v>0.7378137791</v>
      </c>
      <c r="AD1879" s="4">
        <f>IFERROR(__xludf.DUMMYFUNCTION("IFERROR(ABS(P1879-AVERAGE(FILTER(O1879:P5947,AA1879:AA5947=""Neighbor""))) / STDEV(FILTER(P1879:P5947, AA1879:AA5947 =""Neighbor"")), """")"),1.1066300418120705)</f>
        <v>1.106630042</v>
      </c>
      <c r="AE1879" s="2">
        <f>IFERROR(__xludf.DUMMYFUNCTION("IFERROR(ABS(Q1879-AVERAGE(FILTER(Q1879:Q5947,AA1879:AA5947=""Neighbor""))) / STDEV(FILTER(Q1879:Q5947, AA1879:AA5947 =""Neighbor"")), """")"),2.6945595274022467)</f>
        <v>2.694559527</v>
      </c>
      <c r="AF1879" s="2">
        <f>IFERROR(__xludf.DUMMYFUNCTION("IFERROR(ABS(R1879-AVERAGE(FILTER(R1879:R5947,AA1879:AA5947=""Neighbor""))) / STDEV(FILTER(R1879:R5947, AA1879:AA5947 =""Neighbor"")), """")"),0.8222395759688568)</f>
        <v>0.822239576</v>
      </c>
    </row>
    <row r="1880">
      <c r="A1880" s="2" t="s">
        <v>28</v>
      </c>
      <c r="B1880" s="2" t="s">
        <v>7366</v>
      </c>
      <c r="C1880" s="2" t="s">
        <v>7691</v>
      </c>
      <c r="D1880" s="2" t="s">
        <v>7704</v>
      </c>
      <c r="E1880" s="2" t="s">
        <v>7705</v>
      </c>
      <c r="F1880" s="2">
        <v>188.0</v>
      </c>
      <c r="G1880" s="2">
        <v>843.0</v>
      </c>
      <c r="H1880" s="2" t="b">
        <v>1</v>
      </c>
      <c r="I1880" s="2">
        <v>-1.0</v>
      </c>
      <c r="J1880" s="2" t="b">
        <v>0</v>
      </c>
      <c r="K1880" s="2" t="b">
        <v>0</v>
      </c>
      <c r="L1880" s="2" t="b">
        <v>0</v>
      </c>
      <c r="M1880" s="2" t="b">
        <v>0</v>
      </c>
      <c r="N1880" s="2" t="s">
        <v>33</v>
      </c>
      <c r="O1880" s="2">
        <v>81.0</v>
      </c>
      <c r="P1880" s="2">
        <v>14.0</v>
      </c>
      <c r="Q1880" s="2">
        <v>81.0</v>
      </c>
      <c r="R1880" s="2">
        <v>1.0</v>
      </c>
      <c r="S1880" s="3" t="s">
        <v>7706</v>
      </c>
      <c r="T1880" s="2" t="s">
        <v>7707</v>
      </c>
      <c r="Y1880" s="4" t="str">
        <f>IFERROR(__xludf.DUMMYFUNCTION("""COMPUTED_VALUE"""),"6.8211218")</f>
        <v>6.8211218</v>
      </c>
      <c r="Z1880" s="4" t="str">
        <f>IFERROR(__xludf.DUMMYFUNCTION("""COMPUTED_VALUE"""),"2.7637738")</f>
        <v>2.7637738</v>
      </c>
      <c r="AA1880" s="4" t="str">
        <f t="shared" si="1"/>
        <v>Not Neighbor</v>
      </c>
      <c r="AC1880" s="4">
        <f>IFERROR(__xludf.DUMMYFUNCTION("IFERROR(ABS(O1880-AVERAGE(FILTER(O1880:O5948,AA1880:AA5948=""Neighbor""))) / STDEV(FILTER(O1880:O5948, AA1880:AA5948 =""Neighbor"")), """")"),0.7378137790895171)</f>
        <v>0.7378137791</v>
      </c>
      <c r="AD1880" s="4">
        <f>IFERROR(__xludf.DUMMYFUNCTION("IFERROR(ABS(P1880-AVERAGE(FILTER(O1880:P5948,AA1880:AA5948=""Neighbor""))) / STDEV(FILTER(P1880:P5948, AA1880:AA5948 =""Neighbor"")), """")"),0.9303296680622631)</f>
        <v>0.9303296681</v>
      </c>
      <c r="AE1880" s="2">
        <f>IFERROR(__xludf.DUMMYFUNCTION("IFERROR(ABS(Q1880-AVERAGE(FILTER(Q1880:Q5948,AA1880:AA5948=""Neighbor""))) / STDEV(FILTER(Q1880:Q5948, AA1880:AA5948 =""Neighbor"")), """")"),2.8841195013420293)</f>
        <v>2.884119501</v>
      </c>
      <c r="AF1880" s="2">
        <f>IFERROR(__xludf.DUMMYFUNCTION("IFERROR(ABS(R1880-AVERAGE(FILTER(R1880:R5948,AA1880:AA5948=""Neighbor""))) / STDEV(FILTER(R1880:R5948, AA1880:AA5948 =""Neighbor"")), """")"),0.8222395759688568)</f>
        <v>0.822239576</v>
      </c>
    </row>
    <row r="1881">
      <c r="A1881" s="2" t="s">
        <v>28</v>
      </c>
      <c r="B1881" s="2" t="s">
        <v>7366</v>
      </c>
      <c r="C1881" s="2" t="s">
        <v>7691</v>
      </c>
      <c r="D1881" s="2" t="s">
        <v>7708</v>
      </c>
      <c r="E1881" s="2" t="s">
        <v>7709</v>
      </c>
      <c r="F1881" s="2">
        <v>134.0</v>
      </c>
      <c r="G1881" s="2">
        <v>753.0</v>
      </c>
      <c r="H1881" s="2" t="b">
        <v>1</v>
      </c>
      <c r="I1881" s="2">
        <v>-1.0</v>
      </c>
      <c r="J1881" s="2" t="b">
        <v>0</v>
      </c>
      <c r="K1881" s="2" t="b">
        <v>0</v>
      </c>
      <c r="L1881" s="2" t="b">
        <v>0</v>
      </c>
      <c r="M1881" s="2" t="b">
        <v>0</v>
      </c>
      <c r="N1881" s="2" t="s">
        <v>33</v>
      </c>
      <c r="O1881" s="2">
        <v>50.0</v>
      </c>
      <c r="P1881" s="2">
        <v>10.0</v>
      </c>
      <c r="Q1881" s="2">
        <v>65.0</v>
      </c>
      <c r="R1881" s="2">
        <v>0.0</v>
      </c>
      <c r="S1881" s="3" t="s">
        <v>7710</v>
      </c>
      <c r="T1881" s="2" t="s">
        <v>7711</v>
      </c>
      <c r="Y1881" s="4" t="str">
        <f>IFERROR(__xludf.DUMMYFUNCTION("""COMPUTED_VALUE"""),"7.8720018")</f>
        <v>7.8720018</v>
      </c>
      <c r="Z1881" s="4" t="str">
        <f>IFERROR(__xludf.DUMMYFUNCTION("""COMPUTED_VALUE"""),"3.2325969")</f>
        <v>3.2325969</v>
      </c>
      <c r="AA1881" s="4" t="str">
        <f t="shared" si="1"/>
        <v>Neighbor</v>
      </c>
      <c r="AC1881" s="4">
        <f>IFERROR(__xludf.DUMMYFUNCTION("IFERROR(ABS(O1881-AVERAGE(FILTER(O1881:O5949,AA1881:AA5949=""Neighbor""))) / STDEV(FILTER(O1881:O5949, AA1881:AA5949 =""Neighbor"")), """")"),0.09889394506087128)</f>
        <v>0.09889394506</v>
      </c>
      <c r="AD1881" s="4">
        <f>IFERROR(__xludf.DUMMYFUNCTION("IFERROR(ABS(P1881-AVERAGE(FILTER(O1881:P5949,AA1881:AA5949=""Neighbor""))) / STDEV(FILTER(P1881:P5949, AA1881:AA5949 =""Neighbor"")), """")"),1.1066300418120705)</f>
        <v>1.106630042</v>
      </c>
      <c r="AE1881" s="2">
        <f>IFERROR(__xludf.DUMMYFUNCTION("IFERROR(ABS(Q1881-AVERAGE(FILTER(Q1881:Q5949,AA1881:AA5949=""Neighbor""))) / STDEV(FILTER(Q1881:Q5949, AA1881:AA5949 =""Neighbor"")), """")"),2.1258796055828997)</f>
        <v>2.125879606</v>
      </c>
      <c r="AF1881" s="2">
        <f>IFERROR(__xludf.DUMMYFUNCTION("IFERROR(ABS(R1881-AVERAGE(FILTER(R1881:R5949,AA1881:AA5949=""Neighbor""))) / STDEV(FILTER(R1881:R5949, AA1881:AA5949 =""Neighbor"")), """")"),0.34991748944952966)</f>
        <v>0.3499174894</v>
      </c>
    </row>
    <row r="1882">
      <c r="A1882" s="2" t="s">
        <v>28</v>
      </c>
      <c r="B1882" s="2" t="s">
        <v>7366</v>
      </c>
      <c r="C1882" s="2" t="s">
        <v>7691</v>
      </c>
      <c r="D1882" s="2" t="s">
        <v>7712</v>
      </c>
      <c r="E1882" s="2" t="s">
        <v>7713</v>
      </c>
      <c r="F1882" s="2">
        <v>188.0</v>
      </c>
      <c r="G1882" s="2">
        <v>787.0</v>
      </c>
      <c r="H1882" s="2" t="b">
        <v>1</v>
      </c>
      <c r="I1882" s="2">
        <v>-1.0</v>
      </c>
      <c r="J1882" s="2" t="b">
        <v>0</v>
      </c>
      <c r="K1882" s="2" t="b">
        <v>0</v>
      </c>
      <c r="L1882" s="2" t="b">
        <v>0</v>
      </c>
      <c r="M1882" s="2" t="b">
        <v>0</v>
      </c>
      <c r="N1882" s="2" t="s">
        <v>33</v>
      </c>
      <c r="O1882" s="2">
        <v>97.0</v>
      </c>
      <c r="P1882" s="2">
        <v>20.0</v>
      </c>
      <c r="Q1882" s="2">
        <v>29.0</v>
      </c>
      <c r="R1882" s="2">
        <v>1.0</v>
      </c>
      <c r="S1882" s="3" t="s">
        <v>7714</v>
      </c>
      <c r="T1882" s="2" t="s">
        <v>7715</v>
      </c>
      <c r="Y1882" s="4" t="str">
        <f>IFERROR(__xludf.DUMMYFUNCTION("""COMPUTED_VALUE"""),"7.8720018")</f>
        <v>7.8720018</v>
      </c>
      <c r="Z1882" s="4" t="str">
        <f>IFERROR(__xludf.DUMMYFUNCTION("""COMPUTED_VALUE"""),"3.2325969")</f>
        <v>3.2325969</v>
      </c>
      <c r="AA1882" s="4" t="str">
        <f t="shared" si="1"/>
        <v>Neighbor</v>
      </c>
      <c r="AC1882" s="4">
        <f>IFERROR(__xludf.DUMMYFUNCTION("IFERROR(ABS(O1882-AVERAGE(FILTER(O1882:O5950,AA1882:AA5950=""Neighbor""))) / STDEV(FILTER(O1882:O5950, AA1882:AA5950 =""Neighbor"")), """")"),1.1688923440374264)</f>
        <v>1.168892344</v>
      </c>
      <c r="AD1882" s="4">
        <f>IFERROR(__xludf.DUMMYFUNCTION("IFERROR(ABS(P1882-AVERAGE(FILTER(O1882:P5950,AA1882:AA5950=""Neighbor""))) / STDEV(FILTER(P1882:P5950, AA1882:AA5950 =""Neighbor"")), """")"),0.6657879217059551)</f>
        <v>0.6657879217</v>
      </c>
      <c r="AE1882" s="2">
        <f>IFERROR(__xludf.DUMMYFUNCTION("IFERROR(ABS(Q1882-AVERAGE(FILTER(Q1882:Q5950,AA1882:AA5950=""Neighbor""))) / STDEV(FILTER(Q1882:Q5950, AA1882:AA5950 =""Neighbor"")), """")"),0.42310471952291573)</f>
        <v>0.4231047195</v>
      </c>
      <c r="AF1882" s="2">
        <f>IFERROR(__xludf.DUMMYFUNCTION("IFERROR(ABS(R1882-AVERAGE(FILTER(R1882:R5950,AA1882:AA5950=""Neighbor""))) / STDEV(FILTER(R1882:R5950, AA1882:AA5950 =""Neighbor"")), """")"),0.8214320675927882)</f>
        <v>0.8214320676</v>
      </c>
    </row>
    <row r="1883">
      <c r="A1883" s="2" t="s">
        <v>28</v>
      </c>
      <c r="B1883" s="2" t="s">
        <v>7366</v>
      </c>
      <c r="C1883" s="2" t="s">
        <v>7691</v>
      </c>
      <c r="D1883" s="2" t="s">
        <v>7716</v>
      </c>
      <c r="E1883" s="2" t="s">
        <v>7717</v>
      </c>
      <c r="F1883" s="2">
        <v>205.0</v>
      </c>
      <c r="G1883" s="2">
        <v>574.0</v>
      </c>
      <c r="H1883" s="2" t="b">
        <v>1</v>
      </c>
      <c r="I1883" s="2">
        <v>-1.0</v>
      </c>
      <c r="J1883" s="2" t="b">
        <v>0</v>
      </c>
      <c r="K1883" s="2" t="b">
        <v>0</v>
      </c>
      <c r="L1883" s="2" t="b">
        <v>0</v>
      </c>
      <c r="M1883" s="2" t="b">
        <v>0</v>
      </c>
      <c r="N1883" s="2" t="s">
        <v>33</v>
      </c>
      <c r="O1883" s="2">
        <v>61.0</v>
      </c>
      <c r="P1883" s="2">
        <v>4.0</v>
      </c>
      <c r="Q1883" s="2">
        <v>100.0</v>
      </c>
      <c r="R1883" s="2">
        <v>2.0</v>
      </c>
      <c r="S1883" s="3" t="s">
        <v>7718</v>
      </c>
      <c r="T1883" s="2" t="s">
        <v>7719</v>
      </c>
      <c r="Y1883" s="4" t="str">
        <f>IFERROR(__xludf.DUMMYFUNCTION("""COMPUTED_VALUE"""),"7.8720018")</f>
        <v>7.8720018</v>
      </c>
      <c r="Z1883" s="4" t="str">
        <f>IFERROR(__xludf.DUMMYFUNCTION("""COMPUTED_VALUE"""),"3.2325969")</f>
        <v>3.2325969</v>
      </c>
      <c r="AA1883" s="4" t="str">
        <f t="shared" si="1"/>
        <v>Not Neighbor</v>
      </c>
      <c r="AC1883" s="4">
        <f>IFERROR(__xludf.DUMMYFUNCTION("IFERROR(ABS(O1883-AVERAGE(FILTER(O1883:O5951,AA1883:AA5951=""Neighbor""))) / STDEV(FILTER(O1883:O5951, AA1883:AA5951 =""Neighbor"")), """")"),0.19915011763715113)</f>
        <v>0.1991501176</v>
      </c>
      <c r="AD1883" s="4">
        <f>IFERROR(__xludf.DUMMYFUNCTION("IFERROR(ABS(P1883-AVERAGE(FILTER(O1883:P5951,AA1883:AA5951=""Neighbor""))) / STDEV(FILTER(P1883:P5951, AA1883:AA5951 =""Neighbor"")), """")"),1.3686887220122208)</f>
        <v>1.368688722</v>
      </c>
      <c r="AE1883" s="2">
        <f>IFERROR(__xludf.DUMMYFUNCTION("IFERROR(ABS(Q1883-AVERAGE(FILTER(Q1883:Q5951,AA1883:AA5951=""Neighbor""))) / STDEV(FILTER(Q1883:Q5951, AA1883:AA5951 =""Neighbor"")), """")"),3.793268993302282)</f>
        <v>3.793268993</v>
      </c>
      <c r="AF1883" s="2">
        <f>IFERROR(__xludf.DUMMYFUNCTION("IFERROR(ABS(R1883-AVERAGE(FILTER(R1883:R5951,AA1883:AA5951=""Neighbor""))) / STDEV(FILTER(R1883:R5951, AA1883:AA5951 =""Neighbor"")), """")"),1.9935707068669024)</f>
        <v>1.993570707</v>
      </c>
    </row>
    <row r="1884">
      <c r="A1884" s="2" t="s">
        <v>28</v>
      </c>
      <c r="B1884" s="2" t="s">
        <v>7366</v>
      </c>
      <c r="C1884" s="2" t="s">
        <v>7691</v>
      </c>
      <c r="D1884" s="2" t="s">
        <v>7720</v>
      </c>
      <c r="E1884" s="2" t="s">
        <v>7721</v>
      </c>
      <c r="F1884" s="2">
        <v>151.0</v>
      </c>
      <c r="G1884" s="2">
        <v>805.0</v>
      </c>
      <c r="H1884" s="2" t="b">
        <v>1</v>
      </c>
      <c r="I1884" s="2">
        <v>-1.0</v>
      </c>
      <c r="J1884" s="2" t="b">
        <v>0</v>
      </c>
      <c r="K1884" s="2" t="b">
        <v>0</v>
      </c>
      <c r="L1884" s="2" t="b">
        <v>0</v>
      </c>
      <c r="M1884" s="2" t="b">
        <v>0</v>
      </c>
      <c r="N1884" s="2" t="s">
        <v>33</v>
      </c>
      <c r="O1884" s="2">
        <v>75.0</v>
      </c>
      <c r="P1884" s="2">
        <v>11.0</v>
      </c>
      <c r="Q1884" s="2">
        <v>54.0</v>
      </c>
      <c r="R1884" s="2">
        <v>0.0</v>
      </c>
      <c r="S1884" s="3" t="s">
        <v>7722</v>
      </c>
      <c r="T1884" s="2" t="s">
        <v>7723</v>
      </c>
      <c r="Y1884" s="4" t="str">
        <f>IFERROR(__xludf.DUMMYFUNCTION("""COMPUTED_VALUE"""),"6.6614743")</f>
        <v>6.6614743</v>
      </c>
      <c r="Z1884" s="4" t="str">
        <f>IFERROR(__xludf.DUMMYFUNCTION("""COMPUTED_VALUE"""),"2.7630471")</f>
        <v>2.7630471</v>
      </c>
      <c r="AA1884" s="4" t="str">
        <f t="shared" si="1"/>
        <v>Not Neighbor</v>
      </c>
      <c r="AC1884" s="4">
        <f>IFERROR(__xludf.DUMMYFUNCTION("IFERROR(ABS(O1884-AVERAGE(FILTER(O1884:O5952,AA1884:AA5952=""Neighbor""))) / STDEV(FILTER(O1884:O5952, AA1884:AA5952 =""Neighbor"")), """")"),0.5768846040185908)</f>
        <v>0.576884604</v>
      </c>
      <c r="AD1884" s="4">
        <f>IFERROR(__xludf.DUMMYFUNCTION("IFERROR(ABS(P1884-AVERAGE(FILTER(O1884:P5952,AA1884:AA5952=""Neighbor""))) / STDEV(FILTER(P1884:P5952, AA1884:AA5952 =""Neighbor"")), """")"),1.0604952138772847)</f>
        <v>1.060495214</v>
      </c>
      <c r="AE1884" s="2">
        <f>IFERROR(__xludf.DUMMYFUNCTION("IFERROR(ABS(Q1884-AVERAGE(FILTER(Q1884:Q5952,AA1884:AA5952=""Neighbor""))) / STDEV(FILTER(Q1884:Q5952, AA1884:AA5952 =""Neighbor"")), """")"),1.6099659545096203)</f>
        <v>1.609965955</v>
      </c>
      <c r="AF1884" s="2">
        <f>IFERROR(__xludf.DUMMYFUNCTION("IFERROR(ABS(R1884-AVERAGE(FILTER(R1884:R5952,AA1884:AA5952=""Neighbor""))) / STDEV(FILTER(R1884:R5952, AA1884:AA5952 =""Neighbor"")), """")"),0.34914139384968473)</f>
        <v>0.3491413938</v>
      </c>
    </row>
    <row r="1885">
      <c r="A1885" s="2" t="s">
        <v>28</v>
      </c>
      <c r="B1885" s="2" t="s">
        <v>7366</v>
      </c>
      <c r="C1885" s="2" t="s">
        <v>7724</v>
      </c>
      <c r="D1885" s="2" t="s">
        <v>7725</v>
      </c>
      <c r="E1885" s="2" t="s">
        <v>7726</v>
      </c>
      <c r="F1885" s="2">
        <v>100.0</v>
      </c>
      <c r="G1885" s="2">
        <v>481.0</v>
      </c>
      <c r="H1885" s="2" t="b">
        <v>1</v>
      </c>
      <c r="I1885" s="2">
        <v>-1.0</v>
      </c>
      <c r="J1885" s="2" t="b">
        <v>0</v>
      </c>
      <c r="K1885" s="2" t="b">
        <v>0</v>
      </c>
      <c r="L1885" s="2" t="b">
        <v>0</v>
      </c>
      <c r="M1885" s="2" t="b">
        <v>0</v>
      </c>
      <c r="N1885" s="2" t="s">
        <v>33</v>
      </c>
      <c r="O1885" s="2">
        <v>47.0</v>
      </c>
      <c r="P1885" s="2">
        <v>3.0</v>
      </c>
      <c r="Q1885" s="2">
        <v>34.0</v>
      </c>
      <c r="R1885" s="2">
        <v>1.0</v>
      </c>
      <c r="S1885" s="3" t="s">
        <v>7727</v>
      </c>
      <c r="T1885" s="2" t="s">
        <v>7728</v>
      </c>
      <c r="Y1885" s="4" t="str">
        <f>IFERROR(__xludf.DUMMYFUNCTION("""COMPUTED_VALUE"""),"6.8058454")</f>
        <v>6.8058454</v>
      </c>
      <c r="Z1885" s="4" t="str">
        <f>IFERROR(__xludf.DUMMYFUNCTION("""COMPUTED_VALUE"""),"2.7580701")</f>
        <v>2.7580701</v>
      </c>
      <c r="AA1885" s="4" t="str">
        <f t="shared" si="1"/>
        <v>Not Neighbor</v>
      </c>
      <c r="AC1885" s="4">
        <f>IFERROR(__xludf.DUMMYFUNCTION("IFERROR(ABS(O1885-AVERAGE(FILTER(O1885:O5953,AA1885:AA5953=""Neighbor""))) / STDEV(FILTER(O1885:O5953, AA1885:AA5953 =""Neighbor"")), """")"),0.17858436874428857)</f>
        <v>0.1785843687</v>
      </c>
      <c r="AD1885" s="4">
        <f>IFERROR(__xludf.DUMMYFUNCTION("IFERROR(ABS(P1885-AVERAGE(FILTER(O1885:P5953,AA1885:AA5953=""Neighbor""))) / STDEV(FILTER(P1885:P5953, AA1885:AA5953 =""Neighbor"")), """")"),1.4127163660314974)</f>
        <v>1.412716366</v>
      </c>
      <c r="AE1885" s="2">
        <f>IFERROR(__xludf.DUMMYFUNCTION("IFERROR(ABS(Q1885-AVERAGE(FILTER(Q1885:Q5953,AA1885:AA5953=""Neighbor""))) / STDEV(FILTER(Q1885:Q5953, AA1885:AA5953 =""Neighbor"")), """")"),0.6607037637302025)</f>
        <v>0.6607037637</v>
      </c>
      <c r="AF1885" s="2">
        <f>IFERROR(__xludf.DUMMYFUNCTION("IFERROR(ABS(R1885-AVERAGE(FILTER(R1885:R5953,AA1885:AA5953=""Neighbor""))) / STDEV(FILTER(R1885:R5953, AA1885:AA5953 =""Neighbor"")), """")"),0.8222146565086088)</f>
        <v>0.8222146565</v>
      </c>
    </row>
    <row r="1886">
      <c r="A1886" s="2" t="s">
        <v>28</v>
      </c>
      <c r="B1886" s="2" t="s">
        <v>7366</v>
      </c>
      <c r="C1886" s="2" t="s">
        <v>7724</v>
      </c>
      <c r="D1886" s="2" t="s">
        <v>7729</v>
      </c>
      <c r="E1886" s="2" t="s">
        <v>7730</v>
      </c>
      <c r="F1886" s="2">
        <v>161.0</v>
      </c>
      <c r="G1886" s="2">
        <v>545.0</v>
      </c>
      <c r="H1886" s="2" t="b">
        <v>1</v>
      </c>
      <c r="I1886" s="2">
        <v>-1.0</v>
      </c>
      <c r="J1886" s="2" t="b">
        <v>0</v>
      </c>
      <c r="K1886" s="2" t="b">
        <v>0</v>
      </c>
      <c r="L1886" s="2" t="b">
        <v>0</v>
      </c>
      <c r="M1886" s="2" t="b">
        <v>0</v>
      </c>
      <c r="N1886" s="2" t="s">
        <v>33</v>
      </c>
      <c r="O1886" s="2">
        <v>51.0</v>
      </c>
      <c r="P1886" s="2">
        <v>5.0</v>
      </c>
      <c r="Q1886" s="2">
        <v>89.0</v>
      </c>
      <c r="R1886" s="2">
        <v>2.0</v>
      </c>
      <c r="S1886" s="3" t="s">
        <v>7731</v>
      </c>
      <c r="T1886" s="2" t="s">
        <v>7732</v>
      </c>
      <c r="Y1886" s="4" t="str">
        <f>IFERROR(__xludf.DUMMYFUNCTION("""COMPUTED_VALUE"""),"6.8211218")</f>
        <v>6.8211218</v>
      </c>
      <c r="Z1886" s="4" t="str">
        <f>IFERROR(__xludf.DUMMYFUNCTION("""COMPUTED_VALUE"""),"2.7637738")</f>
        <v>2.7637738</v>
      </c>
      <c r="AA1886" s="4" t="str">
        <f t="shared" si="1"/>
        <v>Not Neighbor</v>
      </c>
      <c r="AC1886" s="4">
        <f>IFERROR(__xludf.DUMMYFUNCTION("IFERROR(ABS(O1886-AVERAGE(FILTER(O1886:O5954,AA1886:AA5954=""Neighbor""))) / STDEV(FILTER(O1886:O5954, AA1886:AA5954 =""Neighbor"")), """")"),0.07066022977816296)</f>
        <v>0.07066022978</v>
      </c>
      <c r="AD1886" s="4">
        <f>IFERROR(__xludf.DUMMYFUNCTION("IFERROR(ABS(P1886-AVERAGE(FILTER(O1886:P5954,AA1886:AA5954=""Neighbor""))) / STDEV(FILTER(P1886:P5954, AA1886:AA5954 =""Neighbor"")), """")"),1.3246610779929442)</f>
        <v>1.324661078</v>
      </c>
      <c r="AE1886" s="2">
        <f>IFERROR(__xludf.DUMMYFUNCTION("IFERROR(ABS(Q1886-AVERAGE(FILTER(Q1886:Q5954,AA1886:AA5954=""Neighbor""))) / STDEV(FILTER(Q1886:Q5954, AA1886:AA5954 =""Neighbor"")), """")"),3.271174788373602)</f>
        <v>3.271174788</v>
      </c>
      <c r="AF1886" s="2">
        <f>IFERROR(__xludf.DUMMYFUNCTION("IFERROR(ABS(R1886-AVERAGE(FILTER(R1886:R5954,AA1886:AA5954=""Neighbor""))) / STDEV(FILTER(R1886:R5954, AA1886:AA5954 =""Neighbor"")), """")"),1.9935707068669024)</f>
        <v>1.993570707</v>
      </c>
    </row>
    <row r="1887">
      <c r="A1887" s="2" t="s">
        <v>28</v>
      </c>
      <c r="B1887" s="2" t="s">
        <v>7366</v>
      </c>
      <c r="C1887" s="2" t="s">
        <v>7724</v>
      </c>
      <c r="D1887" s="2" t="s">
        <v>7733</v>
      </c>
      <c r="E1887" s="2" t="s">
        <v>7734</v>
      </c>
      <c r="F1887" s="2">
        <v>101.0</v>
      </c>
      <c r="G1887" s="2">
        <v>339.0</v>
      </c>
      <c r="H1887" s="2" t="b">
        <v>1</v>
      </c>
      <c r="I1887" s="2">
        <v>-1.0</v>
      </c>
      <c r="J1887" s="2" t="b">
        <v>0</v>
      </c>
      <c r="K1887" s="2" t="b">
        <v>0</v>
      </c>
      <c r="L1887" s="2" t="b">
        <v>0</v>
      </c>
      <c r="M1887" s="2" t="b">
        <v>0</v>
      </c>
      <c r="N1887" s="2" t="s">
        <v>33</v>
      </c>
      <c r="O1887" s="2">
        <v>40.0</v>
      </c>
      <c r="P1887" s="2">
        <v>1.0</v>
      </c>
      <c r="Q1887" s="2">
        <v>53.0</v>
      </c>
      <c r="R1887" s="2">
        <v>3.0</v>
      </c>
      <c r="S1887" s="3" t="s">
        <v>7735</v>
      </c>
      <c r="T1887" s="2" t="s">
        <v>7736</v>
      </c>
      <c r="Y1887" s="4" t="str">
        <f>IFERROR(__xludf.DUMMYFUNCTION("""COMPUTED_VALUE"""),"6.7762322")</f>
        <v>6.7762322</v>
      </c>
      <c r="Z1887" s="4" t="str">
        <f>IFERROR(__xludf.DUMMYFUNCTION("""COMPUTED_VALUE"""),"2.7904302")</f>
        <v>2.7904302</v>
      </c>
      <c r="AA1887" s="4" t="str">
        <f t="shared" si="1"/>
        <v>Neighbor</v>
      </c>
      <c r="AC1887" s="4">
        <f>IFERROR(__xludf.DUMMYFUNCTION("IFERROR(ABS(O1887-AVERAGE(FILTER(O1887:O5955,AA1887:AA5955=""Neighbor""))) / STDEV(FILTER(O1887:O5955, AA1887:AA5955 =""Neighbor"")), """")"),0.3674516119350084)</f>
        <v>0.3674516119</v>
      </c>
      <c r="AD1887" s="4">
        <f>IFERROR(__xludf.DUMMYFUNCTION("IFERROR(ABS(P1887-AVERAGE(FILTER(O1887:P5955,AA1887:AA5955=""Neighbor""))) / STDEV(FILTER(P1887:P5955, AA1887:AA5955 =""Neighbor"")), """")"),1.5007716540700506)</f>
        <v>1.500771654</v>
      </c>
      <c r="AE1887" s="2">
        <f>IFERROR(__xludf.DUMMYFUNCTION("IFERROR(ABS(Q1887-AVERAGE(FILTER(Q1887:Q5955,AA1887:AA5955=""Neighbor""))) / STDEV(FILTER(Q1887:Q5955, AA1887:AA5955 =""Neighbor"")), """")"),1.5625028449706495)</f>
        <v>1.562502845</v>
      </c>
      <c r="AF1887" s="2">
        <f>IFERROR(__xludf.DUMMYFUNCTION("IFERROR(ABS(R1887-AVERAGE(FILTER(R1887:R5955,AA1887:AA5955=""Neighbor""))) / STDEV(FILTER(R1887:R5955, AA1887:AA5955 =""Neighbor"")), """")"),3.164926757225196)</f>
        <v>3.164926757</v>
      </c>
    </row>
    <row r="1888">
      <c r="A1888" s="2" t="s">
        <v>28</v>
      </c>
      <c r="B1888" s="2" t="s">
        <v>7366</v>
      </c>
      <c r="C1888" s="2" t="s">
        <v>7724</v>
      </c>
      <c r="D1888" s="2" t="s">
        <v>7737</v>
      </c>
      <c r="E1888" s="2" t="s">
        <v>7738</v>
      </c>
      <c r="F1888" s="2">
        <v>165.0</v>
      </c>
      <c r="G1888" s="2">
        <v>524.0</v>
      </c>
      <c r="H1888" s="2" t="b">
        <v>1</v>
      </c>
      <c r="I1888" s="2">
        <v>-1.0</v>
      </c>
      <c r="J1888" s="2" t="b">
        <v>0</v>
      </c>
      <c r="K1888" s="2" t="b">
        <v>0</v>
      </c>
      <c r="L1888" s="2" t="b">
        <v>0</v>
      </c>
      <c r="M1888" s="2" t="b">
        <v>0</v>
      </c>
      <c r="N1888" s="2" t="s">
        <v>33</v>
      </c>
      <c r="O1888" s="2">
        <v>57.0</v>
      </c>
      <c r="P1888" s="2">
        <v>1.0</v>
      </c>
      <c r="Q1888" s="2">
        <v>76.0</v>
      </c>
      <c r="R1888" s="2">
        <v>0.0</v>
      </c>
      <c r="S1888" s="3" t="s">
        <v>7739</v>
      </c>
      <c r="T1888" s="2" t="s">
        <v>7740</v>
      </c>
      <c r="Y1888" s="4" t="str">
        <f>IFERROR(__xludf.DUMMYFUNCTION("""COMPUTED_VALUE"""),"6.7762322")</f>
        <v>6.7762322</v>
      </c>
      <c r="Z1888" s="4" t="str">
        <f>IFERROR(__xludf.DUMMYFUNCTION("""COMPUTED_VALUE"""),"2.7904302")</f>
        <v>2.7904302</v>
      </c>
      <c r="AA1888" s="4" t="str">
        <f t="shared" si="1"/>
        <v>Not Neighbor</v>
      </c>
      <c r="AC1888" s="4">
        <f>IFERROR(__xludf.DUMMYFUNCTION("IFERROR(ABS(O1888-AVERAGE(FILTER(O1888:O5956,AA1888:AA5956=""Neighbor""))) / STDEV(FILTER(O1888:O5956, AA1888:AA5956 =""Neighbor"")), """")"),0.09076272850707119)</f>
        <v>0.09076272851</v>
      </c>
      <c r="AD1888" s="4">
        <f>IFERROR(__xludf.DUMMYFUNCTION("IFERROR(ABS(P1888-AVERAGE(FILTER(O1888:P5956,AA1888:AA5956=""Neighbor""))) / STDEV(FILTER(P1888:P5956, AA1888:AA5956 =""Neighbor"")), """")"),1.5010492553161923)</f>
        <v>1.501049255</v>
      </c>
      <c r="AE1888" s="2">
        <f>IFERROR(__xludf.DUMMYFUNCTION("IFERROR(ABS(Q1888-AVERAGE(FILTER(Q1888:Q5956,AA1888:AA5956=""Neighbor""))) / STDEV(FILTER(Q1888:Q5956, AA1888:AA5956 =""Neighbor"")), """")"),2.6581235085849935)</f>
        <v>2.658123509</v>
      </c>
      <c r="AF1888" s="2">
        <f>IFERROR(__xludf.DUMMYFUNCTION("IFERROR(ABS(R1888-AVERAGE(FILTER(R1888:R5956,AA1888:AA5956=""Neighbor""))) / STDEV(FILTER(R1888:R5956, AA1888:AA5956 =""Neighbor"")), """")"),0.34732908705003995)</f>
        <v>0.3473290871</v>
      </c>
    </row>
    <row r="1889">
      <c r="A1889" s="2" t="s">
        <v>28</v>
      </c>
      <c r="B1889" s="2" t="s">
        <v>7366</v>
      </c>
      <c r="C1889" s="2" t="s">
        <v>7724</v>
      </c>
      <c r="D1889" s="2" t="s">
        <v>7741</v>
      </c>
      <c r="E1889" s="2" t="s">
        <v>7742</v>
      </c>
      <c r="F1889" s="2">
        <v>182.0</v>
      </c>
      <c r="G1889" s="2">
        <v>750.0</v>
      </c>
      <c r="H1889" s="2" t="b">
        <v>1</v>
      </c>
      <c r="I1889" s="2">
        <v>-1.0</v>
      </c>
      <c r="J1889" s="2" t="b">
        <v>1</v>
      </c>
      <c r="K1889" s="2" t="b">
        <v>1</v>
      </c>
      <c r="L1889" s="2" t="b">
        <v>0</v>
      </c>
      <c r="M1889" s="2" t="b">
        <v>0</v>
      </c>
      <c r="N1889" s="2" t="s">
        <v>33</v>
      </c>
      <c r="O1889" s="2">
        <v>110.0</v>
      </c>
      <c r="P1889" s="2">
        <v>1.0</v>
      </c>
      <c r="Q1889" s="2">
        <v>56.0</v>
      </c>
      <c r="R1889" s="2">
        <v>0.0</v>
      </c>
      <c r="S1889" s="3" t="s">
        <v>7743</v>
      </c>
      <c r="T1889" s="2" t="s">
        <v>7744</v>
      </c>
      <c r="Y1889" s="4" t="str">
        <f>IFERROR(__xludf.DUMMYFUNCTION("""COMPUTED_VALUE"""),"6.8058454")</f>
        <v>6.8058454</v>
      </c>
      <c r="Z1889" s="4" t="str">
        <f>IFERROR(__xludf.DUMMYFUNCTION("""COMPUTED_VALUE"""),"2.7580701")</f>
        <v>2.7580701</v>
      </c>
      <c r="AA1889" s="4" t="str">
        <f t="shared" si="1"/>
        <v>Not Neighbor</v>
      </c>
      <c r="AC1889" s="4">
        <f>IFERROR(__xludf.DUMMYFUNCTION("IFERROR(ABS(O1889-AVERAGE(FILTER(O1889:O5957,AA1889:AA5957=""Neighbor""))) / STDEV(FILTER(O1889:O5957, AA1889:AA5957 =""Neighbor"")), """")"),1.520053018980185)</f>
        <v>1.520053019</v>
      </c>
      <c r="AD1889" s="4">
        <f>IFERROR(__xludf.DUMMYFUNCTION("IFERROR(ABS(P1889-AVERAGE(FILTER(O1889:P5957,AA1889:AA5957=""Neighbor""))) / STDEV(FILTER(P1889:P5957, AA1889:AA5957 =""Neighbor"")), """")"),1.5010492553161923)</f>
        <v>1.501049255</v>
      </c>
      <c r="AE1889" s="2">
        <f>IFERROR(__xludf.DUMMYFUNCTION("IFERROR(ABS(Q1889-AVERAGE(FILTER(Q1889:Q5957,AA1889:AA5957=""Neighbor""))) / STDEV(FILTER(Q1889:Q5957, AA1889:AA5957 =""Neighbor"")), """")"),1.7080787545447238)</f>
        <v>1.708078755</v>
      </c>
      <c r="AF1889" s="2">
        <f>IFERROR(__xludf.DUMMYFUNCTION("IFERROR(ABS(R1889-AVERAGE(FILTER(R1889:R5957,AA1889:AA5957=""Neighbor""))) / STDEV(FILTER(R1889:R5957, AA1889:AA5957 =""Neighbor"")), """")"),0.34732908705003995)</f>
        <v>0.3473290871</v>
      </c>
    </row>
    <row r="1890">
      <c r="A1890" s="2" t="s">
        <v>28</v>
      </c>
      <c r="B1890" s="2" t="s">
        <v>7366</v>
      </c>
      <c r="C1890" s="2" t="s">
        <v>7724</v>
      </c>
      <c r="D1890" s="2" t="s">
        <v>7745</v>
      </c>
      <c r="E1890" s="2" t="s">
        <v>7746</v>
      </c>
      <c r="F1890" s="2">
        <v>96.0</v>
      </c>
      <c r="G1890" s="2">
        <v>387.0</v>
      </c>
      <c r="H1890" s="2" t="b">
        <v>1</v>
      </c>
      <c r="I1890" s="2">
        <v>-1.0</v>
      </c>
      <c r="J1890" s="2" t="b">
        <v>0</v>
      </c>
      <c r="K1890" s="2" t="b">
        <v>0</v>
      </c>
      <c r="L1890" s="2" t="b">
        <v>0</v>
      </c>
      <c r="M1890" s="2" t="b">
        <v>0</v>
      </c>
      <c r="N1890" s="2" t="s">
        <v>33</v>
      </c>
      <c r="O1890" s="2">
        <v>22.0</v>
      </c>
      <c r="P1890" s="2">
        <v>0.0</v>
      </c>
      <c r="Q1890" s="2">
        <v>52.0</v>
      </c>
      <c r="R1890" s="2">
        <v>3.0</v>
      </c>
      <c r="S1890" s="3" t="s">
        <v>7747</v>
      </c>
      <c r="T1890" s="2" t="s">
        <v>7748</v>
      </c>
      <c r="Y1890" s="4" t="str">
        <f>IFERROR(__xludf.DUMMYFUNCTION("""COMPUTED_VALUE"""),"8.9640864")</f>
        <v>8.9640864</v>
      </c>
      <c r="Z1890" s="4" t="str">
        <f>IFERROR(__xludf.DUMMYFUNCTION("""COMPUTED_VALUE"""),"7.3813708")</f>
        <v>7.3813708</v>
      </c>
      <c r="AA1890" s="4" t="str">
        <f t="shared" si="1"/>
        <v>Not Neighbor</v>
      </c>
      <c r="AC1890" s="4">
        <f>IFERROR(__xludf.DUMMYFUNCTION("IFERROR(ABS(O1890-AVERAGE(FILTER(O1890:O5958,AA1890:AA5958=""Neighbor""))) / STDEV(FILTER(O1890:O5958, AA1890:AA5958 =""Neighbor"")), """")"),0.8531082180317776)</f>
        <v>0.853108218</v>
      </c>
      <c r="AD1890" s="4">
        <f>IFERROR(__xludf.DUMMYFUNCTION("IFERROR(ABS(P1890-AVERAGE(FILTER(O1890:P5958,AA1890:AA5958=""Neighbor""))) / STDEV(FILTER(P1890:P5958, AA1890:AA5958 =""Neighbor"")), """")"),1.545063590759121)</f>
        <v>1.545063591</v>
      </c>
      <c r="AE1890" s="2">
        <f>IFERROR(__xludf.DUMMYFUNCTION("IFERROR(ABS(Q1890-AVERAGE(FILTER(Q1890:Q5958,AA1890:AA5958=""Neighbor""))) / STDEV(FILTER(Q1890:Q5958, AA1890:AA5958 =""Neighbor"")), """")"),1.5180698037366698)</f>
        <v>1.518069804</v>
      </c>
      <c r="AF1890" s="2">
        <f>IFERROR(__xludf.DUMMYFUNCTION("IFERROR(ABS(R1890-AVERAGE(FILTER(R1890:R5958,AA1890:AA5958=""Neighbor""))) / STDEV(FILTER(R1890:R5958, AA1890:AA5958 =""Neighbor"")), """")"),3.184967497080482)</f>
        <v>3.184967497</v>
      </c>
    </row>
    <row r="1891">
      <c r="A1891" s="2" t="s">
        <v>28</v>
      </c>
      <c r="B1891" s="2" t="s">
        <v>7366</v>
      </c>
      <c r="C1891" s="2" t="s">
        <v>7724</v>
      </c>
      <c r="D1891" s="2" t="s">
        <v>7749</v>
      </c>
      <c r="E1891" s="2" t="s">
        <v>7750</v>
      </c>
      <c r="F1891" s="2">
        <v>175.0</v>
      </c>
      <c r="G1891" s="2">
        <v>506.0</v>
      </c>
      <c r="H1891" s="2" t="b">
        <v>1</v>
      </c>
      <c r="I1891" s="2">
        <v>-1.0</v>
      </c>
      <c r="J1891" s="2" t="b">
        <v>0</v>
      </c>
      <c r="K1891" s="2" t="b">
        <v>0</v>
      </c>
      <c r="L1891" s="2" t="b">
        <v>0</v>
      </c>
      <c r="M1891" s="2" t="b">
        <v>0</v>
      </c>
      <c r="N1891" s="2" t="s">
        <v>33</v>
      </c>
      <c r="O1891" s="2">
        <v>122.0</v>
      </c>
      <c r="P1891" s="2">
        <v>2.0</v>
      </c>
      <c r="Q1891" s="2">
        <v>42.0</v>
      </c>
      <c r="R1891" s="2">
        <v>1.0</v>
      </c>
      <c r="S1891" s="3" t="s">
        <v>7751</v>
      </c>
      <c r="T1891" s="2" t="s">
        <v>7752</v>
      </c>
      <c r="Y1891" s="4" t="str">
        <f>IFERROR(__xludf.DUMMYFUNCTION("""COMPUTED_VALUE"""),"6.8198712")</f>
        <v>6.8198712</v>
      </c>
      <c r="Z1891" s="4" t="str">
        <f>IFERROR(__xludf.DUMMYFUNCTION("""COMPUTED_VALUE"""),"2.7624249")</f>
        <v>2.7624249</v>
      </c>
      <c r="AA1891" s="4" t="str">
        <f t="shared" si="1"/>
        <v>Not Neighbor</v>
      </c>
      <c r="AC1891" s="4">
        <f>IFERROR(__xludf.DUMMYFUNCTION("IFERROR(ABS(O1891-AVERAGE(FILTER(O1891:O5959,AA1891:AA5959=""Neighbor""))) / STDEV(FILTER(O1891:O5959, AA1891:AA5959 =""Neighbor"")), """")"),1.8436659149363617)</f>
        <v>1.843665915</v>
      </c>
      <c r="AD1891" s="4">
        <f>IFERROR(__xludf.DUMMYFUNCTION("IFERROR(ABS(P1891-AVERAGE(FILTER(O1891:P5959,AA1891:AA5959=""Neighbor""))) / STDEV(FILTER(P1891:P5959, AA1891:AA5959 =""Neighbor"")), """")"),1.4570349198732635)</f>
        <v>1.45703492</v>
      </c>
      <c r="AE1891" s="2">
        <f>IFERROR(__xludf.DUMMYFUNCTION("IFERROR(ABS(Q1891-AVERAGE(FILTER(Q1891:Q5959,AA1891:AA5959=""Neighbor""))) / STDEV(FILTER(Q1891:Q5959, AA1891:AA5959 =""Neighbor"")), """")"),1.043047426716535)</f>
        <v>1.043047427</v>
      </c>
      <c r="AF1891" s="2">
        <f>IFERROR(__xludf.DUMMYFUNCTION("IFERROR(ABS(R1891-AVERAGE(FILTER(R1891:R5959,AA1891:AA5959=""Neighbor""))) / STDEV(FILTER(R1891:R5959, AA1891:AA5959 =""Neighbor"")), """")"),0.8301031076601341)</f>
        <v>0.8301031077</v>
      </c>
    </row>
    <row r="1892">
      <c r="A1892" s="2" t="s">
        <v>28</v>
      </c>
      <c r="B1892" s="2" t="s">
        <v>7366</v>
      </c>
      <c r="C1892" s="2" t="s">
        <v>7724</v>
      </c>
      <c r="D1892" s="2" t="s">
        <v>7753</v>
      </c>
      <c r="E1892" s="2" t="s">
        <v>7754</v>
      </c>
      <c r="F1892" s="2">
        <v>118.0</v>
      </c>
      <c r="G1892" s="2">
        <v>374.0</v>
      </c>
      <c r="H1892" s="2" t="b">
        <v>1</v>
      </c>
      <c r="I1892" s="2">
        <v>-1.0</v>
      </c>
      <c r="J1892" s="2" t="b">
        <v>0</v>
      </c>
      <c r="K1892" s="2" t="b">
        <v>0</v>
      </c>
      <c r="L1892" s="2" t="b">
        <v>0</v>
      </c>
      <c r="M1892" s="2" t="b">
        <v>0</v>
      </c>
      <c r="N1892" s="2" t="s">
        <v>33</v>
      </c>
      <c r="O1892" s="2">
        <v>59.0</v>
      </c>
      <c r="P1892" s="2">
        <v>0.0</v>
      </c>
      <c r="Q1892" s="2">
        <v>57.0</v>
      </c>
      <c r="R1892" s="2">
        <v>0.0</v>
      </c>
      <c r="S1892" s="3" t="s">
        <v>7755</v>
      </c>
      <c r="T1892" s="2" t="s">
        <v>7756</v>
      </c>
      <c r="Y1892" s="4" t="str">
        <f>IFERROR(__xludf.DUMMYFUNCTION("""COMPUTED_VALUE"""),"6.8488517")</f>
        <v>6.8488517</v>
      </c>
      <c r="Z1892" s="4" t="str">
        <f>IFERROR(__xludf.DUMMYFUNCTION("""COMPUTED_VALUE"""),"2.7857615")</f>
        <v>2.7857615</v>
      </c>
      <c r="AA1892" s="4" t="str">
        <f t="shared" si="1"/>
        <v>Not Neighbor</v>
      </c>
      <c r="AC1892" s="4">
        <f>IFERROR(__xludf.DUMMYFUNCTION("IFERROR(ABS(O1892-AVERAGE(FILTER(O1892:O5960,AA1892:AA5960=""Neighbor""))) / STDEV(FILTER(O1892:O5960, AA1892:AA5960 =""Neighbor"")), """")"),0.14469821116643397)</f>
        <v>0.1446982112</v>
      </c>
      <c r="AD1892" s="4">
        <f>IFERROR(__xludf.DUMMYFUNCTION("IFERROR(ABS(P1892-AVERAGE(FILTER(O1892:P5960,AA1892:AA5960=""Neighbor""))) / STDEV(FILTER(P1892:P5960, AA1892:AA5960 =""Neighbor"")), """")"),1.545063590759121)</f>
        <v>1.545063591</v>
      </c>
      <c r="AE1892" s="2">
        <f>IFERROR(__xludf.DUMMYFUNCTION("IFERROR(ABS(Q1892-AVERAGE(FILTER(Q1892:Q5960,AA1892:AA5960=""Neighbor""))) / STDEV(FILTER(Q1892:Q5960, AA1892:AA5960 =""Neighbor"")), """")"),1.7555809922467371)</f>
        <v>1.755580992</v>
      </c>
      <c r="AF1892" s="2">
        <f>IFERROR(__xludf.DUMMYFUNCTION("IFERROR(ABS(R1892-AVERAGE(FILTER(R1892:R5960,AA1892:AA5960=""Neighbor""))) / STDEV(FILTER(R1892:R5960, AA1892:AA5960 =""Neighbor"")), """")"),0.34732908705003995)</f>
        <v>0.3473290871</v>
      </c>
    </row>
    <row r="1893">
      <c r="A1893" s="2" t="s">
        <v>28</v>
      </c>
      <c r="B1893" s="2" t="s">
        <v>7366</v>
      </c>
      <c r="C1893" s="2" t="s">
        <v>7724</v>
      </c>
      <c r="D1893" s="2" t="s">
        <v>7757</v>
      </c>
      <c r="E1893" s="2" t="s">
        <v>7758</v>
      </c>
      <c r="F1893" s="2">
        <v>158.0</v>
      </c>
      <c r="G1893" s="2">
        <v>678.0</v>
      </c>
      <c r="H1893" s="2" t="b">
        <v>1</v>
      </c>
      <c r="I1893" s="2">
        <v>-1.0</v>
      </c>
      <c r="J1893" s="2" t="b">
        <v>0</v>
      </c>
      <c r="K1893" s="2" t="b">
        <v>0</v>
      </c>
      <c r="L1893" s="2" t="b">
        <v>0</v>
      </c>
      <c r="M1893" s="2" t="b">
        <v>0</v>
      </c>
      <c r="N1893" s="2" t="s">
        <v>33</v>
      </c>
      <c r="O1893" s="2">
        <v>0.0</v>
      </c>
      <c r="P1893" s="2">
        <v>0.0</v>
      </c>
      <c r="Q1893" s="2">
        <v>0.0</v>
      </c>
      <c r="R1893" s="2">
        <v>0.0</v>
      </c>
      <c r="S1893" s="3" t="s">
        <v>7759</v>
      </c>
      <c r="T1893" s="2" t="s">
        <v>7760</v>
      </c>
      <c r="Y1893" s="4" t="str">
        <f>IFERROR(__xludf.DUMMYFUNCTION("""COMPUTED_VALUE"""),"6.5343396")</f>
        <v>6.5343396</v>
      </c>
      <c r="Z1893" s="4" t="str">
        <f>IFERROR(__xludf.DUMMYFUNCTION("""COMPUTED_VALUE"""),"2.8415046")</f>
        <v>2.8415046</v>
      </c>
      <c r="AA1893" s="4" t="str">
        <f t="shared" si="1"/>
        <v>Not Neighbor</v>
      </c>
      <c r="AC1893" s="4">
        <f>IFERROR(__xludf.DUMMYFUNCTION("IFERROR(ABS(O1893-AVERAGE(FILTER(O1893:O5961,AA1893:AA5961=""Neighbor""))) / STDEV(FILTER(O1893:O5961, AA1893:AA5961 =""Neighbor"")), """")"),1.4463985272847681)</f>
        <v>1.446398527</v>
      </c>
      <c r="AD1893" s="4">
        <f>IFERROR(__xludf.DUMMYFUNCTION("IFERROR(ABS(P1893-AVERAGE(FILTER(O1893:P5961,AA1893:AA5961=""Neighbor""))) / STDEV(FILTER(P1893:P5961, AA1893:AA5961 =""Neighbor"")), """")"),1.545063590759121)</f>
        <v>1.545063591</v>
      </c>
      <c r="AE1893" s="2">
        <f>IFERROR(__xludf.DUMMYFUNCTION("IFERROR(ABS(Q1893-AVERAGE(FILTER(Q1893:Q5961,AA1893:AA5961=""Neighbor""))) / STDEV(FILTER(Q1893:Q5961, AA1893:AA5961 =""Neighbor"")), """")"),0.952046556768031)</f>
        <v>0.9520465568</v>
      </c>
      <c r="AF1893" s="2">
        <f>IFERROR(__xludf.DUMMYFUNCTION("IFERROR(ABS(R1893-AVERAGE(FILTER(R1893:R5961,AA1893:AA5961=""Neighbor""))) / STDEV(FILTER(R1893:R5961, AA1893:AA5961 =""Neighbor"")), """")"),0.34732908705003995)</f>
        <v>0.3473290871</v>
      </c>
    </row>
    <row r="1894">
      <c r="A1894" s="2" t="s">
        <v>28</v>
      </c>
      <c r="B1894" s="2" t="s">
        <v>7366</v>
      </c>
      <c r="C1894" s="2" t="s">
        <v>7724</v>
      </c>
      <c r="D1894" s="2" t="s">
        <v>7761</v>
      </c>
      <c r="E1894" s="2" t="s">
        <v>7762</v>
      </c>
      <c r="F1894" s="2">
        <v>169.0</v>
      </c>
      <c r="G1894" s="2">
        <v>856.0</v>
      </c>
      <c r="H1894" s="2" t="b">
        <v>1</v>
      </c>
      <c r="I1894" s="2">
        <v>-1.0</v>
      </c>
      <c r="J1894" s="2" t="b">
        <v>0</v>
      </c>
      <c r="K1894" s="2" t="b">
        <v>0</v>
      </c>
      <c r="L1894" s="2" t="b">
        <v>0</v>
      </c>
      <c r="M1894" s="2" t="b">
        <v>0</v>
      </c>
      <c r="N1894" s="2" t="s">
        <v>33</v>
      </c>
      <c r="O1894" s="2">
        <v>66.0</v>
      </c>
      <c r="P1894" s="2">
        <v>3.0</v>
      </c>
      <c r="Q1894" s="2">
        <v>42.0</v>
      </c>
      <c r="R1894" s="2">
        <v>1.0</v>
      </c>
      <c r="S1894" s="3" t="s">
        <v>7763</v>
      </c>
      <c r="T1894" s="2" t="s">
        <v>7764</v>
      </c>
      <c r="Y1894" s="4" t="str">
        <f>IFERROR(__xludf.DUMMYFUNCTION("""COMPUTED_VALUE"""),"6.7283689")</f>
        <v>6.7283689</v>
      </c>
      <c r="Z1894" s="4" t="str">
        <f>IFERROR(__xludf.DUMMYFUNCTION("""COMPUTED_VALUE"""),"2.7910333")</f>
        <v>2.7910333</v>
      </c>
      <c r="AA1894" s="4" t="str">
        <f t="shared" si="1"/>
        <v>Not Neighbor</v>
      </c>
      <c r="AC1894" s="4">
        <f>IFERROR(__xludf.DUMMYFUNCTION("IFERROR(ABS(O1894-AVERAGE(FILTER(O1894:O5962,AA1894:AA5962=""Neighbor""))) / STDEV(FILTER(O1894:O5962, AA1894:AA5962 =""Neighbor"")), """")"),0.33347240047420373)</f>
        <v>0.3334724005</v>
      </c>
      <c r="AD1894" s="4">
        <f>IFERROR(__xludf.DUMMYFUNCTION("IFERROR(ABS(P1894-AVERAGE(FILTER(O1894:P5962,AA1894:AA5962=""Neighbor""))) / STDEV(FILTER(P1894:P5962, AA1894:AA5962 =""Neighbor"")), """")"),1.4130205844303347)</f>
        <v>1.413020584</v>
      </c>
      <c r="AE1894" s="2">
        <f>IFERROR(__xludf.DUMMYFUNCTION("IFERROR(ABS(Q1894-AVERAGE(FILTER(Q1894:Q5962,AA1894:AA5962=""Neighbor""))) / STDEV(FILTER(Q1894:Q5962, AA1894:AA5962 =""Neighbor"")), """")"),1.043047426716535)</f>
        <v>1.043047427</v>
      </c>
      <c r="AF1894" s="2">
        <f>IFERROR(__xludf.DUMMYFUNCTION("IFERROR(ABS(R1894-AVERAGE(FILTER(R1894:R5962,AA1894:AA5962=""Neighbor""))) / STDEV(FILTER(R1894:R5962, AA1894:AA5962 =""Neighbor"")), """")"),0.8301031076601341)</f>
        <v>0.8301031077</v>
      </c>
    </row>
    <row r="1895">
      <c r="A1895" s="2" t="s">
        <v>28</v>
      </c>
      <c r="B1895" s="2" t="s">
        <v>7366</v>
      </c>
      <c r="C1895" s="2" t="s">
        <v>7724</v>
      </c>
      <c r="D1895" s="2" t="s">
        <v>7765</v>
      </c>
      <c r="E1895" s="2" t="s">
        <v>7766</v>
      </c>
      <c r="F1895" s="2">
        <v>118.0</v>
      </c>
      <c r="G1895" s="2">
        <v>425.0</v>
      </c>
      <c r="H1895" s="2" t="b">
        <v>1</v>
      </c>
      <c r="I1895" s="2">
        <v>-1.0</v>
      </c>
      <c r="J1895" s="2" t="b">
        <v>0</v>
      </c>
      <c r="K1895" s="2" t="b">
        <v>0</v>
      </c>
      <c r="L1895" s="2" t="b">
        <v>0</v>
      </c>
      <c r="M1895" s="2" t="b">
        <v>0</v>
      </c>
      <c r="N1895" s="2" t="s">
        <v>33</v>
      </c>
      <c r="O1895" s="2">
        <v>37.0</v>
      </c>
      <c r="P1895" s="2">
        <v>0.0</v>
      </c>
      <c r="Q1895" s="2">
        <v>48.0</v>
      </c>
      <c r="R1895" s="2">
        <v>1.0</v>
      </c>
      <c r="S1895" s="3" t="s">
        <v>7767</v>
      </c>
      <c r="T1895" s="2" t="s">
        <v>7768</v>
      </c>
      <c r="Y1895" s="4" t="str">
        <f>IFERROR(__xludf.DUMMYFUNCTION("""COMPUTED_VALUE"""),"6.7563094")</f>
        <v>6.7563094</v>
      </c>
      <c r="Z1895" s="4" t="str">
        <f>IFERROR(__xludf.DUMMYFUNCTION("""COMPUTED_VALUE"""),"2.9167955")</f>
        <v>2.9167955</v>
      </c>
      <c r="AA1895" s="4" t="str">
        <f t="shared" si="1"/>
        <v>Not Neighbor</v>
      </c>
      <c r="AC1895" s="4">
        <f>IFERROR(__xludf.DUMMYFUNCTION("IFERROR(ABS(O1895-AVERAGE(FILTER(O1895:O5963,AA1895:AA5963=""Neighbor""))) / STDEV(FILTER(O1895:O5963, AA1895:AA5963 =""Neighbor"")), """")"),0.44859209808655665)</f>
        <v>0.4485920981</v>
      </c>
      <c r="AD1895" s="4">
        <f>IFERROR(__xludf.DUMMYFUNCTION("IFERROR(ABS(P1895-AVERAGE(FILTER(O1895:P5963,AA1895:AA5963=""Neighbor""))) / STDEV(FILTER(P1895:P5963, AA1895:AA5963 =""Neighbor"")), """")"),1.545063590759121)</f>
        <v>1.545063591</v>
      </c>
      <c r="AE1895" s="2">
        <f>IFERROR(__xludf.DUMMYFUNCTION("IFERROR(ABS(Q1895-AVERAGE(FILTER(Q1895:Q5963,AA1895:AA5963=""Neighbor""))) / STDEV(FILTER(Q1895:Q5963, AA1895:AA5963 =""Neighbor"")), """")"),1.328060852928616)</f>
        <v>1.328060853</v>
      </c>
      <c r="AF1895" s="2">
        <f>IFERROR(__xludf.DUMMYFUNCTION("IFERROR(ABS(R1895-AVERAGE(FILTER(R1895:R5963,AA1895:AA5963=""Neighbor""))) / STDEV(FILTER(R1895:R5963, AA1895:AA5963 =""Neighbor"")), """")"),0.8301031076601341)</f>
        <v>0.8301031077</v>
      </c>
    </row>
    <row r="1896">
      <c r="A1896" s="2" t="s">
        <v>28</v>
      </c>
      <c r="B1896" s="2" t="s">
        <v>7366</v>
      </c>
      <c r="C1896" s="2" t="s">
        <v>7724</v>
      </c>
      <c r="D1896" s="2" t="s">
        <v>7769</v>
      </c>
      <c r="E1896" s="2" t="s">
        <v>7770</v>
      </c>
      <c r="F1896" s="2">
        <v>70.0</v>
      </c>
      <c r="G1896" s="2">
        <v>305.0</v>
      </c>
      <c r="H1896" s="2" t="b">
        <v>1</v>
      </c>
      <c r="I1896" s="2">
        <v>-1.0</v>
      </c>
      <c r="J1896" s="2" t="b">
        <v>0</v>
      </c>
      <c r="K1896" s="2" t="b">
        <v>0</v>
      </c>
      <c r="L1896" s="2" t="b">
        <v>0</v>
      </c>
      <c r="M1896" s="2" t="b">
        <v>0</v>
      </c>
      <c r="N1896" s="2" t="s">
        <v>33</v>
      </c>
      <c r="O1896" s="2">
        <v>38.0</v>
      </c>
      <c r="P1896" s="2">
        <v>0.0</v>
      </c>
      <c r="Q1896" s="2">
        <v>23.0</v>
      </c>
      <c r="R1896" s="2">
        <v>3.0</v>
      </c>
      <c r="S1896" s="3" t="s">
        <v>7771</v>
      </c>
      <c r="T1896" s="2" t="s">
        <v>7772</v>
      </c>
      <c r="Y1896" s="4" t="str">
        <f>IFERROR(__xludf.DUMMYFUNCTION("""COMPUTED_VALUE"""),"6.6194131")</f>
        <v>6.6194131</v>
      </c>
      <c r="Z1896" s="4" t="str">
        <f>IFERROR(__xludf.DUMMYFUNCTION("""COMPUTED_VALUE"""),"3.5104537")</f>
        <v>3.5104537</v>
      </c>
      <c r="AA1896" s="4" t="str">
        <f t="shared" si="1"/>
        <v>Not Neighbor</v>
      </c>
      <c r="AC1896" s="4">
        <f>IFERROR(__xludf.DUMMYFUNCTION("IFERROR(ABS(O1896-AVERAGE(FILTER(O1896:O5964,AA1896:AA5964=""Neighbor""))) / STDEV(FILTER(O1896:O5964, AA1896:AA5964 =""Neighbor"")), """")"),0.42162435675687526)</f>
        <v>0.4216243568</v>
      </c>
      <c r="AD1896" s="4">
        <f>IFERROR(__xludf.DUMMYFUNCTION("IFERROR(ABS(P1896-AVERAGE(FILTER(O1896:P5964,AA1896:AA5964=""Neighbor""))) / STDEV(FILTER(P1896:P5964, AA1896:AA5964 =""Neighbor"")), """")"),1.545063590759121)</f>
        <v>1.545063591</v>
      </c>
      <c r="AE1896" s="2">
        <f>IFERROR(__xludf.DUMMYFUNCTION("IFERROR(ABS(Q1896-AVERAGE(FILTER(Q1896:Q5964,AA1896:AA5964=""Neighbor""))) / STDEV(FILTER(Q1896:Q5964, AA1896:AA5964 =""Neighbor"")), """")"),0.14050491037827897)</f>
        <v>0.1405049104</v>
      </c>
      <c r="AF1896" s="2">
        <f>IFERROR(__xludf.DUMMYFUNCTION("IFERROR(ABS(R1896-AVERAGE(FILTER(R1896:R5964,AA1896:AA5964=""Neighbor""))) / STDEV(FILTER(R1896:R5964, AA1896:AA5964 =""Neighbor"")), """")"),3.184967497080482)</f>
        <v>3.184967497</v>
      </c>
    </row>
    <row r="1897">
      <c r="A1897" s="2" t="s">
        <v>28</v>
      </c>
      <c r="B1897" s="2" t="s">
        <v>7366</v>
      </c>
      <c r="C1897" s="2" t="s">
        <v>7724</v>
      </c>
      <c r="D1897" s="2" t="s">
        <v>7773</v>
      </c>
      <c r="E1897" s="2" t="s">
        <v>7774</v>
      </c>
      <c r="F1897" s="2">
        <v>102.0</v>
      </c>
      <c r="G1897" s="2">
        <v>305.0</v>
      </c>
      <c r="H1897" s="2" t="b">
        <v>1</v>
      </c>
      <c r="I1897" s="2">
        <v>-1.0</v>
      </c>
      <c r="J1897" s="2" t="b">
        <v>0</v>
      </c>
      <c r="K1897" s="2" t="b">
        <v>1</v>
      </c>
      <c r="L1897" s="2" t="b">
        <v>0</v>
      </c>
      <c r="M1897" s="2" t="b">
        <v>0</v>
      </c>
      <c r="N1897" s="2" t="s">
        <v>33</v>
      </c>
      <c r="O1897" s="2">
        <v>39.0</v>
      </c>
      <c r="P1897" s="2">
        <v>1.0</v>
      </c>
      <c r="Q1897" s="2">
        <v>37.0</v>
      </c>
      <c r="R1897" s="2">
        <v>1.0</v>
      </c>
      <c r="S1897" s="3" t="s">
        <v>7775</v>
      </c>
      <c r="T1897" s="2" t="s">
        <v>7776</v>
      </c>
      <c r="Y1897" s="4" t="str">
        <f>IFERROR(__xludf.DUMMYFUNCTION("""COMPUTED_VALUE"""),"6.5343396")</f>
        <v>6.5343396</v>
      </c>
      <c r="Z1897" s="4" t="str">
        <f>IFERROR(__xludf.DUMMYFUNCTION("""COMPUTED_VALUE"""),"2.8415046")</f>
        <v>2.8415046</v>
      </c>
      <c r="AA1897" s="4" t="str">
        <f t="shared" si="1"/>
        <v>Not Neighbor</v>
      </c>
      <c r="AC1897" s="4">
        <f>IFERROR(__xludf.DUMMYFUNCTION("IFERROR(ABS(O1897-AVERAGE(FILTER(O1897:O5965,AA1897:AA5965=""Neighbor""))) / STDEV(FILTER(O1897:O5965, AA1897:AA5965 =""Neighbor"")), """")"),0.3946566154271939)</f>
        <v>0.3946566154</v>
      </c>
      <c r="AD1897" s="4">
        <f>IFERROR(__xludf.DUMMYFUNCTION("IFERROR(ABS(P1897-AVERAGE(FILTER(O1897:P5965,AA1897:AA5965=""Neighbor""))) / STDEV(FILTER(P1897:P5965, AA1897:AA5965 =""Neighbor"")), """")"),1.5010492553161923)</f>
        <v>1.501049255</v>
      </c>
      <c r="AE1897" s="2">
        <f>IFERROR(__xludf.DUMMYFUNCTION("IFERROR(ABS(Q1897-AVERAGE(FILTER(Q1897:Q5965,AA1897:AA5965=""Neighbor""))) / STDEV(FILTER(Q1897:Q5965, AA1897:AA5965 =""Neighbor"")), """")"),0.8055362382064677)</f>
        <v>0.8055362382</v>
      </c>
      <c r="AF1897" s="2">
        <f>IFERROR(__xludf.DUMMYFUNCTION("IFERROR(ABS(R1897-AVERAGE(FILTER(R1897:R5965,AA1897:AA5965=""Neighbor""))) / STDEV(FILTER(R1897:R5965, AA1897:AA5965 =""Neighbor"")), """")"),0.8301031076601341)</f>
        <v>0.8301031077</v>
      </c>
    </row>
    <row r="1898">
      <c r="A1898" s="2" t="s">
        <v>28</v>
      </c>
      <c r="B1898" s="2" t="s">
        <v>7366</v>
      </c>
      <c r="C1898" s="2" t="s">
        <v>7724</v>
      </c>
      <c r="D1898" s="2" t="s">
        <v>7777</v>
      </c>
      <c r="E1898" s="2" t="s">
        <v>7778</v>
      </c>
      <c r="F1898" s="2">
        <v>75.0</v>
      </c>
      <c r="G1898" s="2">
        <v>271.0</v>
      </c>
      <c r="H1898" s="2" t="b">
        <v>1</v>
      </c>
      <c r="I1898" s="2">
        <v>-1.0</v>
      </c>
      <c r="J1898" s="2" t="b">
        <v>0</v>
      </c>
      <c r="K1898" s="2" t="b">
        <v>0</v>
      </c>
      <c r="L1898" s="2" t="b">
        <v>0</v>
      </c>
      <c r="M1898" s="2" t="b">
        <v>0</v>
      </c>
      <c r="N1898" s="2" t="s">
        <v>33</v>
      </c>
      <c r="O1898" s="2">
        <v>43.0</v>
      </c>
      <c r="P1898" s="2">
        <v>2.0</v>
      </c>
      <c r="Q1898" s="2">
        <v>15.0</v>
      </c>
      <c r="R1898" s="2">
        <v>0.0</v>
      </c>
      <c r="S1898" s="3" t="s">
        <v>7779</v>
      </c>
      <c r="T1898" s="2" t="s">
        <v>7780</v>
      </c>
      <c r="Y1898" s="4" t="str">
        <f>IFERROR(__xludf.DUMMYFUNCTION("""COMPUTED_VALUE"""),"6.7484719")</f>
        <v>6.7484719</v>
      </c>
      <c r="Z1898" s="4" t="str">
        <f>IFERROR(__xludf.DUMMYFUNCTION("""COMPUTED_VALUE"""),"2.7932316")</f>
        <v>2.7932316</v>
      </c>
      <c r="AA1898" s="4" t="str">
        <f t="shared" si="1"/>
        <v>Not Neighbor</v>
      </c>
      <c r="AC1898" s="4">
        <f>IFERROR(__xludf.DUMMYFUNCTION("IFERROR(ABS(O1898-AVERAGE(FILTER(O1898:O5966,AA1898:AA5966=""Neighbor""))) / STDEV(FILTER(O1898:O5966, AA1898:AA5966 =""Neighbor"")), """")"),0.2867856501084683)</f>
        <v>0.2867856501</v>
      </c>
      <c r="AD1898" s="4">
        <f>IFERROR(__xludf.DUMMYFUNCTION("IFERROR(ABS(P1898-AVERAGE(FILTER(O1898:P5966,AA1898:AA5966=""Neighbor""))) / STDEV(FILTER(P1898:P5966, AA1898:AA5966 =""Neighbor"")), """")"),1.4570349198732635)</f>
        <v>1.45703492</v>
      </c>
      <c r="AE1898" s="2">
        <f>IFERROR(__xludf.DUMMYFUNCTION("IFERROR(ABS(Q1898-AVERAGE(FILTER(Q1898:Q5966,AA1898:AA5966=""Neighbor""))) / STDEV(FILTER(Q1898:Q5966, AA1898:AA5966 =""Neighbor"")), """")"),0.23951299123782885)</f>
        <v>0.2395129912</v>
      </c>
      <c r="AF1898" s="2">
        <f>IFERROR(__xludf.DUMMYFUNCTION("IFERROR(ABS(R1898-AVERAGE(FILTER(R1898:R5966,AA1898:AA5966=""Neighbor""))) / STDEV(FILTER(R1898:R5966, AA1898:AA5966 =""Neighbor"")), """")"),0.34732908705003995)</f>
        <v>0.3473290871</v>
      </c>
    </row>
    <row r="1899">
      <c r="A1899" s="2" t="s">
        <v>28</v>
      </c>
      <c r="B1899" s="2" t="s">
        <v>7366</v>
      </c>
      <c r="C1899" s="2" t="s">
        <v>7724</v>
      </c>
      <c r="D1899" s="2" t="s">
        <v>7781</v>
      </c>
      <c r="E1899" s="2" t="s">
        <v>7782</v>
      </c>
      <c r="F1899" s="2">
        <v>87.0</v>
      </c>
      <c r="G1899" s="2">
        <v>272.0</v>
      </c>
      <c r="H1899" s="2" t="b">
        <v>1</v>
      </c>
      <c r="I1899" s="2">
        <v>-1.0</v>
      </c>
      <c r="J1899" s="2" t="b">
        <v>0</v>
      </c>
      <c r="K1899" s="2" t="b">
        <v>0</v>
      </c>
      <c r="L1899" s="2" t="b">
        <v>0</v>
      </c>
      <c r="M1899" s="2" t="b">
        <v>0</v>
      </c>
      <c r="N1899" s="2" t="s">
        <v>33</v>
      </c>
      <c r="O1899" s="2">
        <v>30.0</v>
      </c>
      <c r="P1899" s="2">
        <v>0.0</v>
      </c>
      <c r="Q1899" s="2">
        <v>40.0</v>
      </c>
      <c r="R1899" s="2">
        <v>0.0</v>
      </c>
      <c r="S1899" s="3" t="s">
        <v>7783</v>
      </c>
      <c r="T1899" s="2" t="s">
        <v>7784</v>
      </c>
      <c r="Y1899" s="4" t="str">
        <f>IFERROR(__xludf.DUMMYFUNCTION("""COMPUTED_VALUE"""),"6.7670448")</f>
        <v>6.7670448</v>
      </c>
      <c r="Z1899" s="4" t="str">
        <f>IFERROR(__xludf.DUMMYFUNCTION("""COMPUTED_VALUE"""),"2.7882508")</f>
        <v>2.7882508</v>
      </c>
      <c r="AA1899" s="4" t="str">
        <f t="shared" si="1"/>
        <v>Not Neighbor</v>
      </c>
      <c r="AC1899" s="4">
        <f>IFERROR(__xludf.DUMMYFUNCTION("IFERROR(ABS(O1899-AVERAGE(FILTER(O1899:O5967,AA1899:AA5967=""Neighbor""))) / STDEV(FILTER(O1899:O5967, AA1899:AA5967 =""Neighbor"")), """")"),0.6373662873943264)</f>
        <v>0.6373662874</v>
      </c>
      <c r="AD1899" s="4">
        <f>IFERROR(__xludf.DUMMYFUNCTION("IFERROR(ABS(P1899-AVERAGE(FILTER(O1899:P5967,AA1899:AA5967=""Neighbor""))) / STDEV(FILTER(P1899:P5967, AA1899:AA5967 =""Neighbor"")), """")"),1.545063590759121)</f>
        <v>1.545063591</v>
      </c>
      <c r="AE1899" s="2">
        <f>IFERROR(__xludf.DUMMYFUNCTION("IFERROR(ABS(Q1899-AVERAGE(FILTER(Q1899:Q5967,AA1899:AA5967=""Neighbor""))) / STDEV(FILTER(Q1899:Q5967, AA1899:AA5967 =""Neighbor"")), """")"),0.948042951312508)</f>
        <v>0.9480429513</v>
      </c>
      <c r="AF1899" s="2">
        <f>IFERROR(__xludf.DUMMYFUNCTION("IFERROR(ABS(R1899-AVERAGE(FILTER(R1899:R5967,AA1899:AA5967=""Neighbor""))) / STDEV(FILTER(R1899:R5967, AA1899:AA5967 =""Neighbor"")), """")"),0.34732908705003995)</f>
        <v>0.3473290871</v>
      </c>
    </row>
    <row r="1900">
      <c r="A1900" s="2" t="s">
        <v>28</v>
      </c>
      <c r="B1900" s="2" t="s">
        <v>7366</v>
      </c>
      <c r="C1900" s="2" t="s">
        <v>7724</v>
      </c>
      <c r="D1900" s="2" t="s">
        <v>7785</v>
      </c>
      <c r="E1900" s="2" t="s">
        <v>7786</v>
      </c>
      <c r="F1900" s="2">
        <v>99.0</v>
      </c>
      <c r="G1900" s="2">
        <v>375.0</v>
      </c>
      <c r="H1900" s="2" t="b">
        <v>1</v>
      </c>
      <c r="I1900" s="2">
        <v>-1.0</v>
      </c>
      <c r="J1900" s="2" t="b">
        <v>1</v>
      </c>
      <c r="K1900" s="2" t="b">
        <v>0</v>
      </c>
      <c r="L1900" s="2" t="b">
        <v>0</v>
      </c>
      <c r="M1900" s="2" t="b">
        <v>0</v>
      </c>
      <c r="N1900" s="2" t="s">
        <v>33</v>
      </c>
      <c r="O1900" s="2">
        <v>34.0</v>
      </c>
      <c r="P1900" s="2">
        <v>0.0</v>
      </c>
      <c r="Q1900" s="2">
        <v>61.0</v>
      </c>
      <c r="R1900" s="2">
        <v>0.0</v>
      </c>
      <c r="S1900" s="3" t="s">
        <v>7787</v>
      </c>
      <c r="T1900" s="2" t="s">
        <v>7788</v>
      </c>
      <c r="Y1900" s="4" t="str">
        <f>IFERROR(__xludf.DUMMYFUNCTION("""COMPUTED_VALUE"""),"6.7888565")</f>
        <v>6.7888565</v>
      </c>
      <c r="Z1900" s="4" t="str">
        <f>IFERROR(__xludf.DUMMYFUNCTION("""COMPUTED_VALUE"""),"2.7459408")</f>
        <v>2.7459408</v>
      </c>
      <c r="AA1900" s="4" t="str">
        <f t="shared" si="1"/>
        <v>Not Neighbor</v>
      </c>
      <c r="AC1900" s="4">
        <f>IFERROR(__xludf.DUMMYFUNCTION("IFERROR(ABS(O1900-AVERAGE(FILTER(O1900:O5968,AA1900:AA5968=""Neighbor""))) / STDEV(FILTER(O1900:O5968, AA1900:AA5968 =""Neighbor"")), """")"),0.5294953220756009)</f>
        <v>0.5294953221</v>
      </c>
      <c r="AD1900" s="4">
        <f>IFERROR(__xludf.DUMMYFUNCTION("IFERROR(ABS(P1900-AVERAGE(FILTER(O1900:P5968,AA1900:AA5968=""Neighbor""))) / STDEV(FILTER(P1900:P5968, AA1900:AA5968 =""Neighbor"")), """")"),1.545063590759121)</f>
        <v>1.545063591</v>
      </c>
      <c r="AE1900" s="2">
        <f>IFERROR(__xludf.DUMMYFUNCTION("IFERROR(ABS(Q1900-AVERAGE(FILTER(Q1900:Q5968,AA1900:AA5968=""Neighbor""))) / STDEV(FILTER(Q1900:Q5968, AA1900:AA5968 =""Neighbor"")), """")"),1.9455899430547912)</f>
        <v>1.945589943</v>
      </c>
      <c r="AF1900" s="2">
        <f>IFERROR(__xludf.DUMMYFUNCTION("IFERROR(ABS(R1900-AVERAGE(FILTER(R1900:R5968,AA1900:AA5968=""Neighbor""))) / STDEV(FILTER(R1900:R5968, AA1900:AA5968 =""Neighbor"")), """")"),0.34732908705003995)</f>
        <v>0.3473290871</v>
      </c>
    </row>
    <row r="1901">
      <c r="A1901" s="2" t="s">
        <v>28</v>
      </c>
      <c r="B1901" s="2" t="s">
        <v>7366</v>
      </c>
      <c r="C1901" s="2" t="s">
        <v>7724</v>
      </c>
      <c r="D1901" s="2" t="s">
        <v>7789</v>
      </c>
      <c r="E1901" s="2" t="s">
        <v>7790</v>
      </c>
      <c r="F1901" s="2">
        <v>117.0</v>
      </c>
      <c r="G1901" s="2">
        <v>534.0</v>
      </c>
      <c r="H1901" s="2" t="b">
        <v>1</v>
      </c>
      <c r="I1901" s="2">
        <v>-1.0</v>
      </c>
      <c r="J1901" s="2" t="b">
        <v>0</v>
      </c>
      <c r="K1901" s="2" t="b">
        <v>0</v>
      </c>
      <c r="L1901" s="2" t="b">
        <v>0</v>
      </c>
      <c r="M1901" s="2" t="b">
        <v>0</v>
      </c>
      <c r="N1901" s="2" t="s">
        <v>33</v>
      </c>
      <c r="O1901" s="2">
        <v>43.0</v>
      </c>
      <c r="P1901" s="2">
        <v>2.0</v>
      </c>
      <c r="Q1901" s="2">
        <v>46.0</v>
      </c>
      <c r="R1901" s="2">
        <v>4.0</v>
      </c>
      <c r="S1901" s="3" t="s">
        <v>7791</v>
      </c>
      <c r="T1901" s="2" t="s">
        <v>7792</v>
      </c>
      <c r="Y1901" s="4" t="str">
        <f>IFERROR(__xludf.DUMMYFUNCTION("""COMPUTED_VALUE"""),"6.7762322")</f>
        <v>6.7762322</v>
      </c>
      <c r="Z1901" s="4" t="str">
        <f>IFERROR(__xludf.DUMMYFUNCTION("""COMPUTED_VALUE"""),"2.7904302")</f>
        <v>2.7904302</v>
      </c>
      <c r="AA1901" s="4" t="str">
        <f t="shared" si="1"/>
        <v>Neighbor</v>
      </c>
      <c r="AC1901" s="4">
        <f>IFERROR(__xludf.DUMMYFUNCTION("IFERROR(ABS(O1901-AVERAGE(FILTER(O1901:O5969,AA1901:AA5969=""Neighbor""))) / STDEV(FILTER(O1901:O5969, AA1901:AA5969 =""Neighbor"")), """")"),0.2867856501084683)</f>
        <v>0.2867856501</v>
      </c>
      <c r="AD1901" s="4">
        <f>IFERROR(__xludf.DUMMYFUNCTION("IFERROR(ABS(P1901-AVERAGE(FILTER(O1901:P5969,AA1901:AA5969=""Neighbor""))) / STDEV(FILTER(P1901:P5969, AA1901:AA5969 =""Neighbor"")), """")"),1.4570349198732635)</f>
        <v>1.45703492</v>
      </c>
      <c r="AE1901" s="2">
        <f>IFERROR(__xludf.DUMMYFUNCTION("IFERROR(ABS(Q1901-AVERAGE(FILTER(Q1901:Q5969,AA1901:AA5969=""Neighbor""))) / STDEV(FILTER(Q1901:Q5969, AA1901:AA5969 =""Neighbor"")), """")"),1.2330563775245889)</f>
        <v>1.233056378</v>
      </c>
      <c r="AF1901" s="2">
        <f>IFERROR(__xludf.DUMMYFUNCTION("IFERROR(ABS(R1901-AVERAGE(FILTER(R1901:R5969,AA1901:AA5969=""Neighbor""))) / STDEV(FILTER(R1901:R5969, AA1901:AA5969 =""Neighbor"")), """")"),4.362399691790656)</f>
        <v>4.362399692</v>
      </c>
    </row>
    <row r="1902">
      <c r="A1902" s="2" t="s">
        <v>28</v>
      </c>
      <c r="B1902" s="2" t="s">
        <v>7366</v>
      </c>
      <c r="C1902" s="2" t="s">
        <v>7724</v>
      </c>
      <c r="D1902" s="2" t="s">
        <v>7793</v>
      </c>
      <c r="E1902" s="2" t="s">
        <v>7794</v>
      </c>
      <c r="F1902" s="2">
        <v>96.0</v>
      </c>
      <c r="G1902" s="2">
        <v>334.0</v>
      </c>
      <c r="H1902" s="2" t="b">
        <v>1</v>
      </c>
      <c r="I1902" s="2">
        <v>-1.0</v>
      </c>
      <c r="J1902" s="2" t="b">
        <v>0</v>
      </c>
      <c r="K1902" s="2" t="b">
        <v>1</v>
      </c>
      <c r="L1902" s="2" t="b">
        <v>0</v>
      </c>
      <c r="M1902" s="2" t="b">
        <v>0</v>
      </c>
      <c r="N1902" s="2" t="s">
        <v>33</v>
      </c>
      <c r="O1902" s="2">
        <v>31.0</v>
      </c>
      <c r="P1902" s="2">
        <v>1.0</v>
      </c>
      <c r="Q1902" s="2">
        <v>52.0</v>
      </c>
      <c r="R1902" s="2">
        <v>0.0</v>
      </c>
      <c r="S1902" s="3" t="s">
        <v>7795</v>
      </c>
      <c r="T1902" s="2" t="s">
        <v>7796</v>
      </c>
      <c r="Y1902" s="4" t="str">
        <f>IFERROR(__xludf.DUMMYFUNCTION("""COMPUTED_VALUE"""),"6.7762322")</f>
        <v>6.7762322</v>
      </c>
      <c r="Z1902" s="4" t="str">
        <f>IFERROR(__xludf.DUMMYFUNCTION("""COMPUTED_VALUE"""),"2.7904302")</f>
        <v>2.7904302</v>
      </c>
      <c r="AA1902" s="4" t="str">
        <f t="shared" si="1"/>
        <v>Neighbor</v>
      </c>
      <c r="AC1902" s="4">
        <f>IFERROR(__xludf.DUMMYFUNCTION("IFERROR(ABS(O1902-AVERAGE(FILTER(O1902:O5970,AA1902:AA5970=""Neighbor""))) / STDEV(FILTER(O1902:O5970, AA1902:AA5970 =""Neighbor"")), """")"),0.6104059197404126)</f>
        <v>0.6104059197</v>
      </c>
      <c r="AD1902" s="4">
        <f>IFERROR(__xludf.DUMMYFUNCTION("IFERROR(ABS(P1902-AVERAGE(FILTER(O1902:P5970,AA1902:AA5970=""Neighbor""))) / STDEV(FILTER(P1902:P5970, AA1902:AA5970 =""Neighbor"")), """")"),1.5011779642965983)</f>
        <v>1.501177964</v>
      </c>
      <c r="AE1902" s="2">
        <f>IFERROR(__xludf.DUMMYFUNCTION("IFERROR(ABS(Q1902-AVERAGE(FILTER(Q1902:Q5970,AA1902:AA5970=""Neighbor""))) / STDEV(FILTER(Q1902:Q5970, AA1902:AA5970 =""Neighbor"")), """")"),1.5199288606480166)</f>
        <v>1.519928861</v>
      </c>
      <c r="AF1902" s="2">
        <f>IFERROR(__xludf.DUMMYFUNCTION("IFERROR(ABS(R1902-AVERAGE(FILTER(R1902:R5970,AA1902:AA5970=""Neighbor""))) / STDEV(FILTER(R1902:R5970, AA1902:AA5970 =""Neighbor"")), """")"),0.34593788194916236)</f>
        <v>0.3459378819</v>
      </c>
    </row>
    <row r="1903">
      <c r="A1903" s="2" t="s">
        <v>28</v>
      </c>
      <c r="B1903" s="2" t="s">
        <v>7366</v>
      </c>
      <c r="C1903" s="2" t="s">
        <v>7724</v>
      </c>
      <c r="D1903" s="2" t="s">
        <v>7797</v>
      </c>
      <c r="E1903" s="2" t="s">
        <v>7798</v>
      </c>
      <c r="F1903" s="2">
        <v>46.0</v>
      </c>
      <c r="G1903" s="2">
        <v>155.0</v>
      </c>
      <c r="H1903" s="2" t="b">
        <v>1</v>
      </c>
      <c r="I1903" s="2">
        <v>-1.0</v>
      </c>
      <c r="J1903" s="2" t="b">
        <v>1</v>
      </c>
      <c r="K1903" s="2" t="b">
        <v>0</v>
      </c>
      <c r="L1903" s="2" t="b">
        <v>0</v>
      </c>
      <c r="M1903" s="2" t="b">
        <v>0</v>
      </c>
      <c r="N1903" s="2" t="s">
        <v>33</v>
      </c>
      <c r="O1903" s="2">
        <v>48.0</v>
      </c>
      <c r="P1903" s="2">
        <v>28.0</v>
      </c>
      <c r="Q1903" s="2">
        <v>60.0</v>
      </c>
      <c r="R1903" s="2">
        <v>0.0</v>
      </c>
      <c r="S1903" s="3" t="s">
        <v>7799</v>
      </c>
      <c r="T1903" s="2" t="s">
        <v>7800</v>
      </c>
      <c r="Y1903" s="4" t="str">
        <f>IFERROR(__xludf.DUMMYFUNCTION("""COMPUTED_VALUE"""),"6.7762322")</f>
        <v>6.7762322</v>
      </c>
      <c r="Z1903" s="4" t="str">
        <f>IFERROR(__xludf.DUMMYFUNCTION("""COMPUTED_VALUE"""),"2.7904302")</f>
        <v>2.7904302</v>
      </c>
      <c r="AA1903" s="4" t="str">
        <f t="shared" si="1"/>
        <v>Not Neighbor</v>
      </c>
      <c r="AC1903" s="4">
        <f>IFERROR(__xludf.DUMMYFUNCTION("IFERROR(ABS(O1903-AVERAGE(FILTER(O1903:O5971,AA1903:AA5971=""Neighbor""))) / STDEV(FILTER(O1903:O5971, AA1903:AA5971 =""Neighbor"")), """")"),0.15283631876207193)</f>
        <v>0.1528363188</v>
      </c>
      <c r="AD1903" s="4">
        <f>IFERROR(__xludf.DUMMYFUNCTION("IFERROR(ABS(P1903-AVERAGE(FILTER(O1903:P5971,AA1903:AA5971=""Neighbor""))) / STDEV(FILTER(P1903:P5971, AA1903:AA5971 =""Neighbor"")), """")"),0.3140549708905649)</f>
        <v>0.3140549709</v>
      </c>
      <c r="AE1903" s="2">
        <f>IFERROR(__xludf.DUMMYFUNCTION("IFERROR(ABS(Q1903-AVERAGE(FILTER(Q1903:Q5971,AA1903:AA5971=""Neighbor""))) / STDEV(FILTER(Q1903:Q5971, AA1903:AA5971 =""Neighbor"")), """")"),1.9032234536893602)</f>
        <v>1.903223454</v>
      </c>
      <c r="AF1903" s="2">
        <f>IFERROR(__xludf.DUMMYFUNCTION("IFERROR(ABS(R1903-AVERAGE(FILTER(R1903:R5971,AA1903:AA5971=""Neighbor""))) / STDEV(FILTER(R1903:R5971, AA1903:AA5971 =""Neighbor"")), """")"),0.3461587259259987)</f>
        <v>0.3461587259</v>
      </c>
    </row>
    <row r="1904">
      <c r="A1904" s="2" t="s">
        <v>28</v>
      </c>
      <c r="B1904" s="2" t="s">
        <v>7366</v>
      </c>
      <c r="C1904" s="2" t="s">
        <v>7724</v>
      </c>
      <c r="D1904" s="2" t="s">
        <v>7801</v>
      </c>
      <c r="E1904" s="2" t="s">
        <v>7802</v>
      </c>
      <c r="F1904" s="2">
        <v>115.0</v>
      </c>
      <c r="G1904" s="2">
        <v>580.0</v>
      </c>
      <c r="H1904" s="2" t="b">
        <v>1</v>
      </c>
      <c r="I1904" s="2">
        <v>-1.0</v>
      </c>
      <c r="J1904" s="2" t="b">
        <v>0</v>
      </c>
      <c r="K1904" s="2" t="b">
        <v>0</v>
      </c>
      <c r="L1904" s="2" t="b">
        <v>0</v>
      </c>
      <c r="M1904" s="2" t="b">
        <v>0</v>
      </c>
      <c r="N1904" s="2" t="s">
        <v>33</v>
      </c>
      <c r="O1904" s="2">
        <v>21.0</v>
      </c>
      <c r="P1904" s="2">
        <v>3.0</v>
      </c>
      <c r="Q1904" s="2">
        <v>67.0</v>
      </c>
      <c r="R1904" s="2">
        <v>2.0</v>
      </c>
      <c r="S1904" s="3" t="s">
        <v>7803</v>
      </c>
      <c r="T1904" s="2" t="s">
        <v>7804</v>
      </c>
      <c r="Y1904" s="4" t="str">
        <f>IFERROR(__xludf.DUMMYFUNCTION("""COMPUTED_VALUE"""),"6.8211218")</f>
        <v>6.8211218</v>
      </c>
      <c r="Z1904" s="4" t="str">
        <f>IFERROR(__xludf.DUMMYFUNCTION("""COMPUTED_VALUE"""),"2.7637738")</f>
        <v>2.7637738</v>
      </c>
      <c r="AA1904" s="4" t="str">
        <f t="shared" si="1"/>
        <v>Not Neighbor</v>
      </c>
      <c r="AC1904" s="4">
        <f>IFERROR(__xludf.DUMMYFUNCTION("IFERROR(ABS(O1904-AVERAGE(FILTER(O1904:O5972,AA1904:AA5972=""Neighbor""))) / STDEV(FILTER(O1904:O5972, AA1904:AA5972 =""Neighbor"")), """")"),0.8803236625657599)</f>
        <v>0.8803236626</v>
      </c>
      <c r="AD1904" s="4">
        <f>IFERROR(__xludf.DUMMYFUNCTION("IFERROR(ABS(P1904-AVERAGE(FILTER(O1904:P5972,AA1904:AA5972=""Neighbor""))) / STDEV(FILTER(P1904:P5972, AA1904:AA5972 =""Neighbor"")), """")"),1.4137118359482632)</f>
        <v>1.413711836</v>
      </c>
      <c r="AE1904" s="2">
        <f>IFERROR(__xludf.DUMMYFUNCTION("IFERROR(ABS(Q1904-AVERAGE(FILTER(Q1904:Q5972,AA1904:AA5972=""Neighbor""))) / STDEV(FILTER(Q1904:Q5972, AA1904:AA5972 =""Neighbor"")), """")"),2.2360880673062895)</f>
        <v>2.236088067</v>
      </c>
      <c r="AF1904" s="2">
        <f>IFERROR(__xludf.DUMMYFUNCTION("IFERROR(ABS(R1904-AVERAGE(FILTER(R1904:R5972,AA1904:AA5972=""Neighbor""))) / STDEV(FILTER(R1904:R5972, AA1904:AA5972 =""Neighbor"")), """")"),2.0321553439655693)</f>
        <v>2.032155344</v>
      </c>
    </row>
    <row r="1905">
      <c r="A1905" s="2" t="s">
        <v>28</v>
      </c>
      <c r="B1905" s="2" t="s">
        <v>7366</v>
      </c>
      <c r="C1905" s="2" t="s">
        <v>7805</v>
      </c>
      <c r="D1905" s="2" t="s">
        <v>7806</v>
      </c>
      <c r="E1905" s="2" t="s">
        <v>7807</v>
      </c>
      <c r="F1905" s="2">
        <v>158.0</v>
      </c>
      <c r="G1905" s="2">
        <v>893.0</v>
      </c>
      <c r="H1905" s="2" t="b">
        <v>1</v>
      </c>
      <c r="I1905" s="2">
        <v>-1.0</v>
      </c>
      <c r="J1905" s="2" t="b">
        <v>0</v>
      </c>
      <c r="K1905" s="2" t="b">
        <v>0</v>
      </c>
      <c r="L1905" s="2" t="b">
        <v>0</v>
      </c>
      <c r="M1905" s="2" t="b">
        <v>0</v>
      </c>
      <c r="N1905" s="2" t="s">
        <v>33</v>
      </c>
      <c r="O1905" s="2">
        <v>85.0</v>
      </c>
      <c r="P1905" s="2">
        <v>39.0</v>
      </c>
      <c r="Q1905" s="2">
        <v>13.0</v>
      </c>
      <c r="R1905" s="2">
        <v>0.0</v>
      </c>
      <c r="S1905" s="3" t="s">
        <v>7808</v>
      </c>
      <c r="T1905" s="2" t="s">
        <v>7809</v>
      </c>
      <c r="Y1905" s="4" t="str">
        <f>IFERROR(__xludf.DUMMYFUNCTION("""COMPUTED_VALUE"""),"6.6401727")</f>
        <v>6.6401727</v>
      </c>
      <c r="Z1905" s="4" t="str">
        <f>IFERROR(__xludf.DUMMYFUNCTION("""COMPUTED_VALUE"""),"2.7530936")</f>
        <v>2.7530936</v>
      </c>
      <c r="AA1905" s="4" t="str">
        <f t="shared" si="1"/>
        <v>Neighbor</v>
      </c>
      <c r="AC1905" s="4">
        <f>IFERROR(__xludf.DUMMYFUNCTION("IFERROR(ABS(O1905-AVERAGE(FILTER(O1905:O5973,AA1905:AA5973=""Neighbor""))) / STDEV(FILTER(O1905:O5973, AA1905:AA5973 =""Neighbor"")), """")"),0.8440907820059449)</f>
        <v>0.844090782</v>
      </c>
      <c r="AD1905" s="4">
        <f>IFERROR(__xludf.DUMMYFUNCTION("IFERROR(ABS(P1905-AVERAGE(FILTER(O1905:P5973,AA1905:AA5973=""Neighbor""))) / STDEV(FILTER(P1905:P5973, AA1905:AA5973 =""Neighbor"")), """")"),0.16979404973482234)</f>
        <v>0.1697940497</v>
      </c>
      <c r="AE1905" s="2">
        <f>IFERROR(__xludf.DUMMYFUNCTION("IFERROR(ABS(Q1905-AVERAGE(FILTER(Q1905:Q5973,AA1905:AA5973=""Neighbor""))) / STDEV(FILTER(Q1905:Q5973, AA1905:AA5973 =""Neighbor"")), """")"),0.331724666310022)</f>
        <v>0.3317246663</v>
      </c>
      <c r="AF1905" s="2">
        <f>IFERROR(__xludf.DUMMYFUNCTION("IFERROR(ABS(R1905-AVERAGE(FILTER(R1905:R5973,AA1905:AA5973=""Neighbor""))) / STDEV(FILTER(R1905:R5973, AA1905:AA5973 =""Neighbor"")), """")"),0.3461587259259987)</f>
        <v>0.3461587259</v>
      </c>
    </row>
    <row r="1906">
      <c r="A1906" s="2" t="s">
        <v>28</v>
      </c>
      <c r="B1906" s="2" t="s">
        <v>7366</v>
      </c>
      <c r="C1906" s="2" t="s">
        <v>7805</v>
      </c>
      <c r="D1906" s="2" t="s">
        <v>7810</v>
      </c>
      <c r="E1906" s="2" t="s">
        <v>7811</v>
      </c>
      <c r="F1906" s="2">
        <v>261.0</v>
      </c>
      <c r="G1906" s="2">
        <v>1347.0</v>
      </c>
      <c r="H1906" s="2" t="b">
        <v>1</v>
      </c>
      <c r="I1906" s="2">
        <v>-1.0</v>
      </c>
      <c r="J1906" s="2" t="b">
        <v>0</v>
      </c>
      <c r="K1906" s="2" t="b">
        <v>0</v>
      </c>
      <c r="L1906" s="2" t="b">
        <v>0</v>
      </c>
      <c r="M1906" s="2" t="b">
        <v>0</v>
      </c>
      <c r="N1906" s="2" t="s">
        <v>33</v>
      </c>
      <c r="O1906" s="2">
        <v>117.0</v>
      </c>
      <c r="P1906" s="2">
        <v>99.0</v>
      </c>
      <c r="Q1906" s="2">
        <v>23.0</v>
      </c>
      <c r="R1906" s="2">
        <v>4.0</v>
      </c>
      <c r="S1906" s="3" t="s">
        <v>7812</v>
      </c>
      <c r="T1906" s="2" t="s">
        <v>7813</v>
      </c>
      <c r="Y1906" s="4" t="str">
        <f>IFERROR(__xludf.DUMMYFUNCTION("""COMPUTED_VALUE"""),"6.6401727")</f>
        <v>6.6401727</v>
      </c>
      <c r="Z1906" s="4" t="str">
        <f>IFERROR(__xludf.DUMMYFUNCTION("""COMPUTED_VALUE"""),"2.7530936")</f>
        <v>2.7530936</v>
      </c>
      <c r="AA1906" s="4" t="str">
        <f t="shared" si="1"/>
        <v>Not Neighbor</v>
      </c>
      <c r="AC1906" s="4">
        <f>IFERROR(__xludf.DUMMYFUNCTION("IFERROR(ABS(O1906-AVERAGE(FILTER(O1906:O5974,AA1906:AA5974=""Neighbor""))) / STDEV(FILTER(O1906:O5974, AA1906:AA5974 =""Neighbor"")), """")"),1.7069827333547067)</f>
        <v>1.706982733</v>
      </c>
      <c r="AD1906" s="4">
        <f>IFERROR(__xludf.DUMMYFUNCTION("IFERROR(ABS(P1906-AVERAGE(FILTER(O1906:P5974,AA1906:AA5974=""Neighbor""))) / STDEV(FILTER(P1906:P5974, AA1906:AA5974 =""Neighbor"")), """")"),2.8102746090429886)</f>
        <v>2.810274609</v>
      </c>
      <c r="AE1906" s="2">
        <f>IFERROR(__xludf.DUMMYFUNCTION("IFERROR(ABS(Q1906-AVERAGE(FILTER(Q1906:Q5974,AA1906:AA5974=""Neighbor""))) / STDEV(FILTER(Q1906:Q5974, AA1906:AA5974 =""Neighbor"")), """")"),0.14334414449414276)</f>
        <v>0.1433441445</v>
      </c>
      <c r="AF1906" s="2">
        <f>IFERROR(__xludf.DUMMYFUNCTION("IFERROR(ABS(R1906-AVERAGE(FILTER(R1906:R5974,AA1906:AA5974=""Neighbor""))) / STDEV(FILTER(R1906:R5974, AA1906:AA5974 =""Neighbor"")), """")"),4.407855210893393)</f>
        <v>4.407855211</v>
      </c>
    </row>
    <row r="1907">
      <c r="A1907" s="2" t="s">
        <v>28</v>
      </c>
      <c r="B1907" s="2" t="s">
        <v>7366</v>
      </c>
      <c r="C1907" s="2" t="s">
        <v>7805</v>
      </c>
      <c r="D1907" s="2" t="s">
        <v>7814</v>
      </c>
      <c r="E1907" s="2" t="s">
        <v>7815</v>
      </c>
      <c r="F1907" s="2">
        <v>123.0</v>
      </c>
      <c r="G1907" s="2">
        <v>750.0</v>
      </c>
      <c r="H1907" s="2" t="b">
        <v>1</v>
      </c>
      <c r="I1907" s="2">
        <v>-1.0</v>
      </c>
      <c r="J1907" s="2" t="b">
        <v>0</v>
      </c>
      <c r="K1907" s="2" t="b">
        <v>0</v>
      </c>
      <c r="L1907" s="2" t="b">
        <v>0</v>
      </c>
      <c r="M1907" s="2" t="b">
        <v>0</v>
      </c>
      <c r="N1907" s="2" t="s">
        <v>33</v>
      </c>
      <c r="O1907" s="2">
        <v>59.0</v>
      </c>
      <c r="P1907" s="2">
        <v>20.0</v>
      </c>
      <c r="Q1907" s="2">
        <v>25.0</v>
      </c>
      <c r="R1907" s="2">
        <v>0.0</v>
      </c>
      <c r="S1907" s="3" t="s">
        <v>7816</v>
      </c>
      <c r="T1907" s="2" t="s">
        <v>7817</v>
      </c>
      <c r="Y1907" s="4" t="str">
        <f>IFERROR(__xludf.DUMMYFUNCTION("""COMPUTED_VALUE"""),"6.5343396")</f>
        <v>6.5343396</v>
      </c>
      <c r="Z1907" s="4" t="str">
        <f>IFERROR(__xludf.DUMMYFUNCTION("""COMPUTED_VALUE"""),"2.8415046")</f>
        <v>2.8415046</v>
      </c>
      <c r="AA1907" s="4" t="str">
        <f t="shared" si="1"/>
        <v>Not Neighbor</v>
      </c>
      <c r="AC1907" s="4">
        <f>IFERROR(__xludf.DUMMYFUNCTION("IFERROR(ABS(O1907-AVERAGE(FILTER(O1907:O5975,AA1907:AA5975=""Neighbor""))) / STDEV(FILTER(O1907:O5975, AA1907:AA5975 =""Neighbor"")), """")"),0.14448839290142376)</f>
        <v>0.1444883929</v>
      </c>
      <c r="AD1907" s="4">
        <f>IFERROR(__xludf.DUMMYFUNCTION("IFERROR(ABS(P1907-AVERAGE(FILTER(O1907:P5975,AA1907:AA5975=""Neighbor""))) / STDEV(FILTER(P1907:P5975, AA1907:AA5975 =""Neighbor"")), """")"),0.6645839864206429)</f>
        <v>0.6645839864</v>
      </c>
      <c r="AE1907" s="2">
        <f>IFERROR(__xludf.DUMMYFUNCTION("IFERROR(ABS(Q1907-AVERAGE(FILTER(Q1907:Q5975,AA1907:AA5975=""Neighbor""))) / STDEV(FILTER(Q1907:Q5975, AA1907:AA5975 =""Neighbor"")), """")"),0.23839994323031177)</f>
        <v>0.2383999432</v>
      </c>
      <c r="AF1907" s="2">
        <f>IFERROR(__xludf.DUMMYFUNCTION("IFERROR(ABS(R1907-AVERAGE(FILTER(R1907:R5975,AA1907:AA5975=""Neighbor""))) / STDEV(FILTER(R1907:R5975, AA1907:AA5975 =""Neighbor"")), """")"),0.3463799934600355)</f>
        <v>0.3463799935</v>
      </c>
    </row>
    <row r="1908">
      <c r="A1908" s="2" t="s">
        <v>28</v>
      </c>
      <c r="B1908" s="2" t="s">
        <v>7366</v>
      </c>
      <c r="C1908" s="2" t="s">
        <v>7805</v>
      </c>
      <c r="D1908" s="2" t="s">
        <v>7818</v>
      </c>
      <c r="E1908" s="2" t="s">
        <v>7819</v>
      </c>
      <c r="F1908" s="2">
        <v>283.0</v>
      </c>
      <c r="G1908" s="2">
        <v>2031.0</v>
      </c>
      <c r="H1908" s="2" t="b">
        <v>1</v>
      </c>
      <c r="I1908" s="2">
        <v>-1.0</v>
      </c>
      <c r="J1908" s="2" t="b">
        <v>0</v>
      </c>
      <c r="K1908" s="2" t="b">
        <v>0</v>
      </c>
      <c r="L1908" s="2" t="b">
        <v>0</v>
      </c>
      <c r="M1908" s="2" t="b">
        <v>0</v>
      </c>
      <c r="N1908" s="2" t="s">
        <v>33</v>
      </c>
      <c r="O1908" s="2">
        <v>135.0</v>
      </c>
      <c r="P1908" s="2">
        <v>66.0</v>
      </c>
      <c r="Q1908" s="2">
        <v>54.0</v>
      </c>
      <c r="R1908" s="2">
        <v>0.0</v>
      </c>
      <c r="S1908" s="3" t="s">
        <v>7820</v>
      </c>
      <c r="T1908" s="2" t="s">
        <v>7821</v>
      </c>
      <c r="Y1908" s="4" t="str">
        <f>IFERROR(__xludf.DUMMYFUNCTION("""COMPUTED_VALUE"""),"6.635792")</f>
        <v>6.635792</v>
      </c>
      <c r="Z1908" s="4" t="str">
        <f>IFERROR(__xludf.DUMMYFUNCTION("""COMPUTED_VALUE"""),"2.7387285")</f>
        <v>2.7387285</v>
      </c>
      <c r="AA1908" s="4" t="str">
        <f t="shared" si="1"/>
        <v>Neighbor</v>
      </c>
      <c r="AC1908" s="4">
        <f>IFERROR(__xludf.DUMMYFUNCTION("IFERROR(ABS(O1908-AVERAGE(FILTER(O1908:O5976,AA1908:AA5976=""Neighbor""))) / STDEV(FILTER(O1908:O5976, AA1908:AA5976 =""Neighbor"")), """")"),2.1918947700471048)</f>
        <v>2.19189477</v>
      </c>
      <c r="AD1908" s="4">
        <f>IFERROR(__xludf.DUMMYFUNCTION("IFERROR(ABS(P1908-AVERAGE(FILTER(O1908:P5976,AA1908:AA5976=""Neighbor""))) / STDEV(FILTER(P1908:P5976, AA1908:AA5976 =""Neighbor"")), """")"),1.3587513982796997)</f>
        <v>1.358751398</v>
      </c>
      <c r="AE1908" s="2">
        <f>IFERROR(__xludf.DUMMYFUNCTION("IFERROR(ABS(Q1908-AVERAGE(FILTER(Q1908:Q5976,AA1908:AA5976=""Neighbor""))) / STDEV(FILTER(Q1908:Q5976, AA1908:AA5976 =""Neighbor"")), """")"),1.6167090249047624)</f>
        <v>1.616709025</v>
      </c>
      <c r="AF1908" s="2">
        <f>IFERROR(__xludf.DUMMYFUNCTION("IFERROR(ABS(R1908-AVERAGE(FILTER(R1908:R5976,AA1908:AA5976=""Neighbor""))) / STDEV(FILTER(R1908:R5976, AA1908:AA5976 =""Neighbor"")), """")"),0.3463799934600355)</f>
        <v>0.3463799935</v>
      </c>
    </row>
    <row r="1909">
      <c r="A1909" s="2" t="s">
        <v>28</v>
      </c>
      <c r="B1909" s="2" t="s">
        <v>7366</v>
      </c>
      <c r="C1909" s="2" t="s">
        <v>7805</v>
      </c>
      <c r="D1909" s="2" t="s">
        <v>7822</v>
      </c>
      <c r="E1909" s="2" t="s">
        <v>7823</v>
      </c>
      <c r="F1909" s="2">
        <v>186.0</v>
      </c>
      <c r="G1909" s="2">
        <v>1277.0</v>
      </c>
      <c r="H1909" s="2" t="b">
        <v>1</v>
      </c>
      <c r="I1909" s="2">
        <v>-1.0</v>
      </c>
      <c r="J1909" s="2" t="b">
        <v>0</v>
      </c>
      <c r="K1909" s="2" t="b">
        <v>1</v>
      </c>
      <c r="L1909" s="2" t="b">
        <v>0</v>
      </c>
      <c r="M1909" s="2" t="b">
        <v>0</v>
      </c>
      <c r="N1909" s="2" t="s">
        <v>33</v>
      </c>
      <c r="O1909" s="2">
        <v>81.0</v>
      </c>
      <c r="P1909" s="2">
        <v>38.0</v>
      </c>
      <c r="Q1909" s="2">
        <v>31.0</v>
      </c>
      <c r="R1909" s="2">
        <v>1.0</v>
      </c>
      <c r="S1909" s="3" t="s">
        <v>7824</v>
      </c>
      <c r="T1909" s="2" t="s">
        <v>7825</v>
      </c>
      <c r="Y1909" s="4" t="str">
        <f>IFERROR(__xludf.DUMMYFUNCTION("""COMPUTED_VALUE"""),"6.6348824")</f>
        <v>6.6348824</v>
      </c>
      <c r="Z1909" s="4" t="str">
        <f>IFERROR(__xludf.DUMMYFUNCTION("""COMPUTED_VALUE"""),"2.7477948")</f>
        <v>2.7477948</v>
      </c>
      <c r="AA1909" s="4" t="str">
        <f t="shared" si="1"/>
        <v>Not Neighbor</v>
      </c>
      <c r="AC1909" s="4">
        <f>IFERROR(__xludf.DUMMYFUNCTION("IFERROR(ABS(O1909-AVERAGE(FILTER(O1909:O5977,AA1909:AA5977=""Neighbor""))) / STDEV(FILTER(O1909:O5977, AA1909:AA5977 =""Neighbor"")), """")"),0.7412858573416157)</f>
        <v>0.7412858573</v>
      </c>
      <c r="AD1909" s="4">
        <f>IFERROR(__xludf.DUMMYFUNCTION("IFERROR(ABS(P1909-AVERAGE(FILTER(O1909:P5977,AA1909:AA5977=""Neighbor""))) / STDEV(FILTER(P1909:P5977, AA1909:AA5977 =""Neighbor"")), """")"),0.13072645061746102)</f>
        <v>0.1307264506</v>
      </c>
      <c r="AE1909" s="2">
        <f>IFERROR(__xludf.DUMMYFUNCTION("IFERROR(ABS(Q1909-AVERAGE(FILTER(Q1909:Q5977,AA1909:AA5977=""Neighbor""))) / STDEV(FILTER(Q1909:Q5977, AA1909:AA5977 =""Neighbor"")), """")"),0.525904316717047)</f>
        <v>0.5259043167</v>
      </c>
      <c r="AF1909" s="2">
        <f>IFERROR(__xludf.DUMMYFUNCTION("IFERROR(ABS(R1909-AVERAGE(FILTER(R1909:R5977,AA1909:AA5977=""Neighbor""))) / STDEV(FILTER(R1909:R5977, AA1909:AA5977 =""Neighbor"")), """")"),0.8413586022607161)</f>
        <v>0.8413586023</v>
      </c>
    </row>
    <row r="1910">
      <c r="A1910" s="2" t="s">
        <v>28</v>
      </c>
      <c r="B1910" s="2" t="s">
        <v>7366</v>
      </c>
      <c r="C1910" s="2" t="s">
        <v>7805</v>
      </c>
      <c r="D1910" s="2" t="s">
        <v>7826</v>
      </c>
      <c r="E1910" s="2" t="s">
        <v>7827</v>
      </c>
      <c r="F1910" s="2">
        <v>96.0</v>
      </c>
      <c r="G1910" s="2">
        <v>784.0</v>
      </c>
      <c r="H1910" s="2" t="b">
        <v>1</v>
      </c>
      <c r="I1910" s="2">
        <v>-1.0</v>
      </c>
      <c r="J1910" s="2" t="b">
        <v>0</v>
      </c>
      <c r="K1910" s="2" t="b">
        <v>0</v>
      </c>
      <c r="L1910" s="2" t="b">
        <v>0</v>
      </c>
      <c r="M1910" s="2" t="b">
        <v>0</v>
      </c>
      <c r="N1910" s="2" t="s">
        <v>33</v>
      </c>
      <c r="O1910" s="2">
        <v>58.0</v>
      </c>
      <c r="P1910" s="2">
        <v>7.0</v>
      </c>
      <c r="Q1910" s="2">
        <v>17.0</v>
      </c>
      <c r="R1910" s="2">
        <v>1.0</v>
      </c>
      <c r="S1910" s="3" t="s">
        <v>7828</v>
      </c>
      <c r="T1910" s="2" t="s">
        <v>7829</v>
      </c>
      <c r="Y1910" s="4" t="str">
        <f>IFERROR(__xludf.DUMMYFUNCTION("""COMPUTED_VALUE"""),"6.5343396")</f>
        <v>6.5343396</v>
      </c>
      <c r="Z1910" s="4" t="str">
        <f>IFERROR(__xludf.DUMMYFUNCTION("""COMPUTED_VALUE"""),"2.8415046")</f>
        <v>2.8415046</v>
      </c>
      <c r="AA1910" s="4" t="str">
        <f t="shared" si="1"/>
        <v>Not Neighbor</v>
      </c>
      <c r="AC1910" s="4">
        <f>IFERROR(__xludf.DUMMYFUNCTION("IFERROR(ABS(O1910-AVERAGE(FILTER(O1910:O5978,AA1910:AA5978=""Neighbor""))) / STDEV(FILTER(O1910:O5978, AA1910:AA5978 =""Neighbor"")), """")"),0.1203195572090509)</f>
        <v>0.1203195572</v>
      </c>
      <c r="AD1910" s="4">
        <f>IFERROR(__xludf.DUMMYFUNCTION("IFERROR(ABS(P1910-AVERAGE(FILTER(O1910:P5978,AA1910:AA5978=""Neighbor""))) / STDEV(FILTER(P1910:P5978, AA1910:AA5978 =""Neighbor"")), """")"),1.235748261199472)</f>
        <v>1.235748261</v>
      </c>
      <c r="AE1910" s="2">
        <f>IFERROR(__xludf.DUMMYFUNCTION("IFERROR(ABS(Q1910-AVERAGE(FILTER(Q1910:Q5978,AA1910:AA5978=""Neighbor""))) / STDEV(FILTER(Q1910:Q5978, AA1910:AA5978 =""Neighbor"")), """")"),0.14010326135682877)</f>
        <v>0.1401032614</v>
      </c>
      <c r="AF1910" s="2">
        <f>IFERROR(__xludf.DUMMYFUNCTION("IFERROR(ABS(R1910-AVERAGE(FILTER(R1910:R5978,AA1910:AA5978=""Neighbor""))) / STDEV(FILTER(R1910:R5978, AA1910:AA5978 =""Neighbor"")), """")"),0.8413586022607161)</f>
        <v>0.8413586023</v>
      </c>
    </row>
    <row r="1911">
      <c r="A1911" s="2" t="s">
        <v>28</v>
      </c>
      <c r="B1911" s="2" t="s">
        <v>7366</v>
      </c>
      <c r="C1911" s="2" t="s">
        <v>7805</v>
      </c>
      <c r="D1911" s="2" t="s">
        <v>7830</v>
      </c>
      <c r="E1911" s="2" t="s">
        <v>7831</v>
      </c>
      <c r="F1911" s="2">
        <v>176.0</v>
      </c>
      <c r="G1911" s="2">
        <v>899.0</v>
      </c>
      <c r="H1911" s="2" t="b">
        <v>1</v>
      </c>
      <c r="I1911" s="2">
        <v>-1.0</v>
      </c>
      <c r="J1911" s="2" t="b">
        <v>0</v>
      </c>
      <c r="K1911" s="2" t="b">
        <v>0</v>
      </c>
      <c r="L1911" s="2" t="b">
        <v>0</v>
      </c>
      <c r="M1911" s="2" t="b">
        <v>0</v>
      </c>
      <c r="N1911" s="2" t="s">
        <v>33</v>
      </c>
      <c r="O1911" s="2">
        <v>94.0</v>
      </c>
      <c r="P1911" s="2">
        <v>28.0</v>
      </c>
      <c r="Q1911" s="2">
        <v>33.0</v>
      </c>
      <c r="R1911" s="2">
        <v>2.0</v>
      </c>
      <c r="S1911" s="3" t="s">
        <v>7832</v>
      </c>
      <c r="T1911" s="2" t="s">
        <v>7833</v>
      </c>
      <c r="Y1911" s="4" t="str">
        <f>IFERROR(__xludf.DUMMYFUNCTION("""COMPUTED_VALUE"""),"6.6371134")</f>
        <v>6.6371134</v>
      </c>
      <c r="Z1911" s="4" t="str">
        <f>IFERROR(__xludf.DUMMYFUNCTION("""COMPUTED_VALUE"""),"2.7372265")</f>
        <v>2.7372265</v>
      </c>
      <c r="AA1911" s="4" t="str">
        <f t="shared" si="1"/>
        <v>Not Neighbor</v>
      </c>
      <c r="AC1911" s="4">
        <f>IFERROR(__xludf.DUMMYFUNCTION("IFERROR(ABS(O1911-AVERAGE(FILTER(O1911:O5979,AA1911:AA5979=""Neighbor""))) / STDEV(FILTER(O1911:O5979, AA1911:AA5979 =""Neighbor"")), """")"),1.0922668095904566)</f>
        <v>1.09226681</v>
      </c>
      <c r="AD1911" s="4">
        <f>IFERROR(__xludf.DUMMYFUNCTION("IFERROR(ABS(P1911-AVERAGE(FILTER(O1911:P5979,AA1911:AA5979=""Neighbor""))) / STDEV(FILTER(P1911:P5979, AA1911:AA5979 =""Neighbor"")), """")"),0.31007184351703343)</f>
        <v>0.3100718435</v>
      </c>
      <c r="AE1911" s="2">
        <f>IFERROR(__xludf.DUMMYFUNCTION("IFERROR(ABS(Q1911-AVERAGE(FILTER(Q1911:Q5979,AA1911:AA5979=""Neighbor""))) / STDEV(FILTER(Q1911:Q5979, AA1911:AA5979 =""Neighbor"")), """")"),0.6210482564418863)</f>
        <v>0.6210482564</v>
      </c>
      <c r="AF1911" s="2">
        <f>IFERROR(__xludf.DUMMYFUNCTION("IFERROR(ABS(R1911-AVERAGE(FILTER(R1911:R5979,AA1911:AA5979=""Neighbor""))) / STDEV(FILTER(R1911:R5979, AA1911:AA5979 =""Neighbor"")), """")"),2.0293188904285127)</f>
        <v>2.02931889</v>
      </c>
    </row>
    <row r="1912">
      <c r="A1912" s="2" t="s">
        <v>28</v>
      </c>
      <c r="B1912" s="2" t="s">
        <v>7366</v>
      </c>
      <c r="C1912" s="2" t="s">
        <v>7805</v>
      </c>
      <c r="D1912" s="2" t="s">
        <v>7834</v>
      </c>
      <c r="E1912" s="2" t="s">
        <v>7835</v>
      </c>
      <c r="F1912" s="2">
        <v>146.0</v>
      </c>
      <c r="G1912" s="2">
        <v>750.0</v>
      </c>
      <c r="H1912" s="2" t="b">
        <v>1</v>
      </c>
      <c r="I1912" s="2">
        <v>-1.0</v>
      </c>
      <c r="J1912" s="2" t="b">
        <v>0</v>
      </c>
      <c r="K1912" s="2" t="b">
        <v>0</v>
      </c>
      <c r="L1912" s="2" t="b">
        <v>0</v>
      </c>
      <c r="M1912" s="2" t="b">
        <v>0</v>
      </c>
      <c r="N1912" s="2" t="s">
        <v>33</v>
      </c>
      <c r="O1912" s="2">
        <v>72.0</v>
      </c>
      <c r="P1912" s="2">
        <v>22.0</v>
      </c>
      <c r="Q1912" s="2">
        <v>35.0</v>
      </c>
      <c r="R1912" s="2">
        <v>0.0</v>
      </c>
      <c r="S1912" s="3" t="s">
        <v>7836</v>
      </c>
      <c r="T1912" s="2" t="s">
        <v>7837</v>
      </c>
      <c r="Y1912" s="4" t="str">
        <f>IFERROR(__xludf.DUMMYFUNCTION("""COMPUTED_VALUE"""),"6.6401727")</f>
        <v>6.6401727</v>
      </c>
      <c r="Z1912" s="4" t="str">
        <f>IFERROR(__xludf.DUMMYFUNCTION("""COMPUTED_VALUE"""),"2.7530936")</f>
        <v>2.7530936</v>
      </c>
      <c r="AA1912" s="4" t="str">
        <f t="shared" si="1"/>
        <v>Neighbor</v>
      </c>
      <c r="AC1912" s="4">
        <f>IFERROR(__xludf.DUMMYFUNCTION("IFERROR(ABS(O1912-AVERAGE(FILTER(O1912:O5980,AA1912:AA5980=""Neighbor""))) / STDEV(FILTER(O1912:O5980, AA1912:AA5980 =""Neighbor"")), """")"),0.4982990442462642)</f>
        <v>0.4982990442</v>
      </c>
      <c r="AD1912" s="4">
        <f>IFERROR(__xludf.DUMMYFUNCTION("IFERROR(ABS(P1912-AVERAGE(FILTER(O1912:P5980,AA1912:AA5980=""Neighbor""))) / STDEV(FILTER(P1912:P5980, AA1912:AA5980 =""Neighbor"")), """")"),0.5745508199977302)</f>
        <v>0.57455082</v>
      </c>
      <c r="AE1912" s="2">
        <f>IFERROR(__xludf.DUMMYFUNCTION("IFERROR(ABS(Q1912-AVERAGE(FILTER(Q1912:Q5980,AA1912:AA5980=""Neighbor""))) / STDEV(FILTER(Q1912:Q5980, AA1912:AA5980 =""Neighbor"")), """")"),0.7161921961667257)</f>
        <v>0.7161921962</v>
      </c>
      <c r="AF1912" s="2">
        <f>IFERROR(__xludf.DUMMYFUNCTION("IFERROR(ABS(R1912-AVERAGE(FILTER(R1912:R5980,AA1912:AA5980=""Neighbor""))) / STDEV(FILTER(R1912:R5980, AA1912:AA5980 =""Neighbor"")), """")"),0.3466016859070802)</f>
        <v>0.3466016859</v>
      </c>
    </row>
    <row r="1913">
      <c r="A1913" s="2" t="s">
        <v>28</v>
      </c>
      <c r="B1913" s="2" t="s">
        <v>7366</v>
      </c>
      <c r="C1913" s="2" t="s">
        <v>7805</v>
      </c>
      <c r="D1913" s="2" t="s">
        <v>7838</v>
      </c>
      <c r="E1913" s="2" t="s">
        <v>7839</v>
      </c>
      <c r="F1913" s="2">
        <v>144.0</v>
      </c>
      <c r="G1913" s="2">
        <v>750.0</v>
      </c>
      <c r="H1913" s="2" t="b">
        <v>1</v>
      </c>
      <c r="I1913" s="2">
        <v>-1.0</v>
      </c>
      <c r="J1913" s="2" t="b">
        <v>0</v>
      </c>
      <c r="K1913" s="2" t="b">
        <v>0</v>
      </c>
      <c r="L1913" s="2" t="b">
        <v>0</v>
      </c>
      <c r="M1913" s="2" t="b">
        <v>0</v>
      </c>
      <c r="N1913" s="2" t="s">
        <v>33</v>
      </c>
      <c r="O1913" s="2">
        <v>78.0</v>
      </c>
      <c r="P1913" s="2">
        <v>12.0</v>
      </c>
      <c r="Q1913" s="2">
        <v>30.0</v>
      </c>
      <c r="R1913" s="2">
        <v>2.0</v>
      </c>
      <c r="S1913" s="3" t="s">
        <v>7840</v>
      </c>
      <c r="T1913" s="2" t="s">
        <v>7841</v>
      </c>
      <c r="Y1913" s="4" t="str">
        <f>IFERROR(__xludf.DUMMYFUNCTION("""COMPUTED_VALUE"""),"6.6401727")</f>
        <v>6.6401727</v>
      </c>
      <c r="Z1913" s="4" t="str">
        <f>IFERROR(__xludf.DUMMYFUNCTION("""COMPUTED_VALUE"""),"2.7530936")</f>
        <v>2.7530936</v>
      </c>
      <c r="AA1913" s="4" t="str">
        <f t="shared" si="1"/>
        <v>Not Neighbor</v>
      </c>
      <c r="AC1913" s="4">
        <f>IFERROR(__xludf.DUMMYFUNCTION("IFERROR(ABS(O1913-AVERAGE(FILTER(O1913:O5981,AA1913:AA5981=""Neighbor""))) / STDEV(FILTER(O1913:O5981, AA1913:AA5981 =""Neighbor"")), """")"),0.6605764899095312)</f>
        <v>0.6605764899</v>
      </c>
      <c r="AD1913" s="4">
        <f>IFERROR(__xludf.DUMMYFUNCTION("IFERROR(ABS(P1913-AVERAGE(FILTER(O1913:P5981,AA1913:AA5981=""Neighbor""))) / STDEV(FILTER(P1913:P5981, AA1913:AA5981 =""Neighbor"")), """")"),1.0141974588666984)</f>
        <v>1.014197459</v>
      </c>
      <c r="AE1913" s="2">
        <f>IFERROR(__xludf.DUMMYFUNCTION("IFERROR(ABS(Q1913-AVERAGE(FILTER(Q1913:Q5981,AA1913:AA5981=""Neighbor""))) / STDEV(FILTER(Q1913:Q5981, AA1913:AA5981 =""Neighbor"")), """")"),0.4790191257139978)</f>
        <v>0.4790191257</v>
      </c>
      <c r="AF1913" s="2">
        <f>IFERROR(__xludf.DUMMYFUNCTION("IFERROR(ABS(R1913-AVERAGE(FILTER(R1913:R5981,AA1913:AA5981=""Neighbor""))) / STDEV(FILTER(R1913:R5981, AA1913:AA5981 =""Neighbor"")), """")"),2.0278991870661804)</f>
        <v>2.027899187</v>
      </c>
    </row>
    <row r="1914">
      <c r="A1914" s="2" t="s">
        <v>28</v>
      </c>
      <c r="B1914" s="2" t="s">
        <v>7366</v>
      </c>
      <c r="C1914" s="2" t="s">
        <v>7805</v>
      </c>
      <c r="D1914" s="2" t="s">
        <v>7842</v>
      </c>
      <c r="E1914" s="2" t="s">
        <v>7843</v>
      </c>
      <c r="F1914" s="2">
        <v>129.0</v>
      </c>
      <c r="G1914" s="2">
        <v>613.0</v>
      </c>
      <c r="H1914" s="2" t="b">
        <v>1</v>
      </c>
      <c r="I1914" s="2">
        <v>-1.0</v>
      </c>
      <c r="J1914" s="2" t="b">
        <v>0</v>
      </c>
      <c r="K1914" s="2" t="b">
        <v>0</v>
      </c>
      <c r="L1914" s="2" t="b">
        <v>0</v>
      </c>
      <c r="M1914" s="2" t="b">
        <v>0</v>
      </c>
      <c r="N1914" s="2" t="s">
        <v>33</v>
      </c>
      <c r="O1914" s="2">
        <v>61.0</v>
      </c>
      <c r="P1914" s="2">
        <v>30.0</v>
      </c>
      <c r="Q1914" s="2">
        <v>19.0</v>
      </c>
      <c r="R1914" s="2">
        <v>0.0</v>
      </c>
      <c r="S1914" s="3" t="s">
        <v>7844</v>
      </c>
      <c r="T1914" s="2" t="s">
        <v>7845</v>
      </c>
      <c r="Y1914" s="4" t="str">
        <f>IFERROR(__xludf.DUMMYFUNCTION("""COMPUTED_VALUE"""),"6.6362273")</f>
        <v>6.6362273</v>
      </c>
      <c r="Z1914" s="4" t="str">
        <f>IFERROR(__xludf.DUMMYFUNCTION("""COMPUTED_VALUE"""),"2.7413706")</f>
        <v>2.7413706</v>
      </c>
      <c r="AA1914" s="4" t="str">
        <f t="shared" si="1"/>
        <v>Not Neighbor</v>
      </c>
      <c r="AC1914" s="4">
        <f>IFERROR(__xludf.DUMMYFUNCTION("IFERROR(ABS(O1914-AVERAGE(FILTER(O1914:O5982,AA1914:AA5982=""Neighbor""))) / STDEV(FILTER(O1914:O5982, AA1914:AA5982 =""Neighbor"")), """")"),0.20179902317045348)</f>
        <v>0.2017990232</v>
      </c>
      <c r="AD1914" s="4">
        <f>IFERROR(__xludf.DUMMYFUNCTION("IFERROR(ABS(P1914-AVERAGE(FILTER(O1914:P5982,AA1914:AA5982=""Neighbor""))) / STDEV(FILTER(P1914:P5982, AA1914:AA5982 =""Neighbor"")), """")"),0.22118860836009052)</f>
        <v>0.2211886084</v>
      </c>
      <c r="AE1914" s="2">
        <f>IFERROR(__xludf.DUMMYFUNCTION("IFERROR(ABS(Q1914-AVERAGE(FILTER(Q1914:Q5982,AA1914:AA5982=""Neighbor""))) / STDEV(FILTER(Q1914:Q5982, AA1914:AA5982 =""Neighbor"")), """")"),0.04412663389381762)</f>
        <v>0.04412663389</v>
      </c>
      <c r="AF1914" s="2">
        <f>IFERROR(__xludf.DUMMYFUNCTION("IFERROR(ABS(R1914-AVERAGE(FILTER(R1914:R5982,AA1914:AA5982=""Neighbor""))) / STDEV(FILTER(R1914:R5982, AA1914:AA5982 =""Neighbor"")), """")"),0.34682380462902485)</f>
        <v>0.3468238046</v>
      </c>
    </row>
    <row r="1915">
      <c r="A1915" s="2" t="s">
        <v>28</v>
      </c>
      <c r="B1915" s="2" t="s">
        <v>7366</v>
      </c>
      <c r="C1915" s="2" t="s">
        <v>7805</v>
      </c>
      <c r="D1915" s="2" t="s">
        <v>7846</v>
      </c>
      <c r="E1915" s="2" t="s">
        <v>7847</v>
      </c>
      <c r="F1915" s="2">
        <v>183.0</v>
      </c>
      <c r="G1915" s="2">
        <v>940.0</v>
      </c>
      <c r="H1915" s="2" t="b">
        <v>1</v>
      </c>
      <c r="I1915" s="2">
        <v>-1.0</v>
      </c>
      <c r="J1915" s="2" t="b">
        <v>0</v>
      </c>
      <c r="K1915" s="2" t="b">
        <v>0</v>
      </c>
      <c r="L1915" s="2" t="b">
        <v>0</v>
      </c>
      <c r="M1915" s="2" t="b">
        <v>0</v>
      </c>
      <c r="N1915" s="2" t="s">
        <v>33</v>
      </c>
      <c r="O1915" s="2">
        <v>84.0</v>
      </c>
      <c r="P1915" s="2">
        <v>32.0</v>
      </c>
      <c r="Q1915" s="2">
        <v>18.0</v>
      </c>
      <c r="R1915" s="2">
        <v>0.0</v>
      </c>
      <c r="S1915" s="3" t="s">
        <v>7848</v>
      </c>
      <c r="T1915" s="2" t="s">
        <v>7849</v>
      </c>
      <c r="Y1915" s="4" t="str">
        <f>IFERROR(__xludf.DUMMYFUNCTION("""COMPUTED_VALUE"""),"6.5343396")</f>
        <v>6.5343396</v>
      </c>
      <c r="Z1915" s="4" t="str">
        <f>IFERROR(__xludf.DUMMYFUNCTION("""COMPUTED_VALUE"""),"2.8415046")</f>
        <v>2.8415046</v>
      </c>
      <c r="AA1915" s="4" t="str">
        <f t="shared" si="1"/>
        <v>Not Neighbor</v>
      </c>
      <c r="AC1915" s="4">
        <f>IFERROR(__xludf.DUMMYFUNCTION("IFERROR(ABS(O1915-AVERAGE(FILTER(O1915:O5983,AA1915:AA5983=""Neighbor""))) / STDEV(FILTER(O1915:O5983, AA1915:AA5983 =""Neighbor"")), """")"),0.8224979487586175)</f>
        <v>0.8224979488</v>
      </c>
      <c r="AD1915" s="4">
        <f>IFERROR(__xludf.DUMMYFUNCTION("IFERROR(ABS(P1915-AVERAGE(FILTER(O1915:P5983,AA1915:AA5983=""Neighbor""))) / STDEV(FILTER(P1915:P5983, AA1915:AA5983 =""Neighbor"")), """")"),0.13307651385935632)</f>
        <v>0.1330765139</v>
      </c>
      <c r="AE1915" s="2">
        <f>IFERROR(__xludf.DUMMYFUNCTION("IFERROR(ABS(Q1915-AVERAGE(FILTER(Q1915:Q5983,AA1915:AA5983=""Neighbor""))) / STDEV(FILTER(Q1915:Q5983, AA1915:AA5983 =""Neighbor"")), """")"),0.09168533931270993)</f>
        <v>0.09168533931</v>
      </c>
      <c r="AF1915" s="2">
        <f>IFERROR(__xludf.DUMMYFUNCTION("IFERROR(ABS(R1915-AVERAGE(FILTER(R1915:R5983,AA1915:AA5983=""Neighbor""))) / STDEV(FILTER(R1915:R5983, AA1915:AA5983 =""Neighbor"")), """")"),0.34682380462902485)</f>
        <v>0.3468238046</v>
      </c>
    </row>
    <row r="1916">
      <c r="A1916" s="2" t="s">
        <v>28</v>
      </c>
      <c r="B1916" s="2" t="s">
        <v>7366</v>
      </c>
      <c r="C1916" s="2" t="s">
        <v>7805</v>
      </c>
      <c r="D1916" s="2" t="s">
        <v>7850</v>
      </c>
      <c r="E1916" s="2" t="s">
        <v>7851</v>
      </c>
      <c r="F1916" s="2">
        <v>159.0</v>
      </c>
      <c r="G1916" s="2">
        <v>871.0</v>
      </c>
      <c r="H1916" s="2" t="b">
        <v>1</v>
      </c>
      <c r="I1916" s="2">
        <v>-1.0</v>
      </c>
      <c r="J1916" s="2" t="b">
        <v>1</v>
      </c>
      <c r="K1916" s="2" t="b">
        <v>0</v>
      </c>
      <c r="L1916" s="2" t="b">
        <v>0</v>
      </c>
      <c r="M1916" s="2" t="b">
        <v>0</v>
      </c>
      <c r="N1916" s="2" t="s">
        <v>33</v>
      </c>
      <c r="O1916" s="2">
        <v>59.0</v>
      </c>
      <c r="P1916" s="2">
        <v>0.0</v>
      </c>
      <c r="Q1916" s="2">
        <v>57.0</v>
      </c>
      <c r="R1916" s="2">
        <v>0.0</v>
      </c>
      <c r="S1916" s="3" t="s">
        <v>7852</v>
      </c>
      <c r="T1916" s="2" t="s">
        <v>7853</v>
      </c>
      <c r="Y1916" s="4" t="str">
        <f>IFERROR(__xludf.DUMMYFUNCTION("""COMPUTED_VALUE"""),"6.6401727")</f>
        <v>6.6401727</v>
      </c>
      <c r="Z1916" s="4" t="str">
        <f>IFERROR(__xludf.DUMMYFUNCTION("""COMPUTED_VALUE"""),"2.7530936")</f>
        <v>2.7530936</v>
      </c>
      <c r="AA1916" s="4" t="str">
        <f t="shared" si="1"/>
        <v>Neighbor</v>
      </c>
      <c r="AC1916" s="4">
        <f>IFERROR(__xludf.DUMMYFUNCTION("IFERROR(ABS(O1916-AVERAGE(FILTER(O1916:O5984,AA1916:AA5984=""Neighbor""))) / STDEV(FILTER(O1916:O5984, AA1916:AA5984 =""Neighbor"")), """")"),0.1478252035540914)</f>
        <v>0.1478252036</v>
      </c>
      <c r="AD1916" s="4">
        <f>IFERROR(__xludf.DUMMYFUNCTION("IFERROR(ABS(P1916-AVERAGE(FILTER(O1916:P5984,AA1916:AA5984=""Neighbor""))) / STDEV(FILTER(P1916:P5984, AA1916:AA5984 =""Neighbor"")), """")"),1.5428700258711037)</f>
        <v>1.542870026</v>
      </c>
      <c r="AE1916" s="2">
        <f>IFERROR(__xludf.DUMMYFUNCTION("IFERROR(ABS(Q1916-AVERAGE(FILTER(Q1916:Q5984,AA1916:AA5984=""Neighbor""))) / STDEV(FILTER(Q1916:Q5984, AA1916:AA5984 =""Neighbor"")), """")"),1.76310417202409)</f>
        <v>1.763104172</v>
      </c>
      <c r="AF1916" s="2">
        <f>IFERROR(__xludf.DUMMYFUNCTION("IFERROR(ABS(R1916-AVERAGE(FILTER(R1916:R5984,AA1916:AA5984=""Neighbor""))) / STDEV(FILTER(R1916:R5984, AA1916:AA5984 =""Neighbor"")), """")"),0.34682380462902485)</f>
        <v>0.3468238046</v>
      </c>
    </row>
    <row r="1917">
      <c r="A1917" s="2" t="s">
        <v>28</v>
      </c>
      <c r="B1917" s="2" t="s">
        <v>7366</v>
      </c>
      <c r="C1917" s="2" t="s">
        <v>7805</v>
      </c>
      <c r="D1917" s="2" t="s">
        <v>7854</v>
      </c>
      <c r="E1917" s="2" t="s">
        <v>7855</v>
      </c>
      <c r="F1917" s="2">
        <v>83.0</v>
      </c>
      <c r="G1917" s="2">
        <v>750.0</v>
      </c>
      <c r="H1917" s="2" t="b">
        <v>1</v>
      </c>
      <c r="I1917" s="2">
        <v>-1.0</v>
      </c>
      <c r="J1917" s="2" t="b">
        <v>0</v>
      </c>
      <c r="K1917" s="2" t="b">
        <v>0</v>
      </c>
      <c r="L1917" s="2" t="b">
        <v>0</v>
      </c>
      <c r="M1917" s="2" t="b">
        <v>0</v>
      </c>
      <c r="N1917" s="2" t="s">
        <v>33</v>
      </c>
      <c r="O1917" s="2">
        <v>37.0</v>
      </c>
      <c r="P1917" s="2">
        <v>22.0</v>
      </c>
      <c r="Q1917" s="2">
        <v>13.0</v>
      </c>
      <c r="R1917" s="2">
        <v>0.0</v>
      </c>
      <c r="S1917" s="3" t="s">
        <v>7856</v>
      </c>
      <c r="T1917" s="2" t="s">
        <v>7857</v>
      </c>
      <c r="Y1917" s="4" t="str">
        <f>IFERROR(__xludf.DUMMYFUNCTION("""COMPUTED_VALUE"""),"6.6401727")</f>
        <v>6.6401727</v>
      </c>
      <c r="Z1917" s="4" t="str">
        <f>IFERROR(__xludf.DUMMYFUNCTION("""COMPUTED_VALUE"""),"2.7530936")</f>
        <v>2.7530936</v>
      </c>
      <c r="AA1917" s="4" t="str">
        <f t="shared" si="1"/>
        <v>Not Neighbor</v>
      </c>
      <c r="AC1917" s="4">
        <f>IFERROR(__xludf.DUMMYFUNCTION("IFERROR(ABS(O1917-AVERAGE(FILTER(O1917:O5985,AA1917:AA5985=""Neighbor""))) / STDEV(FILTER(O1917:O5985, AA1917:AA5985 =""Neighbor"")), """")"),0.445467230889729)</f>
        <v>0.4454672309</v>
      </c>
      <c r="AD1917" s="4">
        <f>IFERROR(__xludf.DUMMYFUNCTION("IFERROR(ABS(P1917-AVERAGE(FILTER(O1917:P5985,AA1917:AA5985=""Neighbor""))) / STDEV(FILTER(P1917:P5985, AA1917:AA5985 =""Neighbor"")), """")"),0.5737612003213564)</f>
        <v>0.5737612003</v>
      </c>
      <c r="AE1917" s="2">
        <f>IFERROR(__xludf.DUMMYFUNCTION("IFERROR(ABS(Q1917-AVERAGE(FILTER(Q1917:Q5985,AA1917:AA5985=""Neighbor""))) / STDEV(FILTER(Q1917:Q5985, AA1917:AA5985 =""Neighbor"")), """")"),0.3278547091647184)</f>
        <v>0.3278547092</v>
      </c>
      <c r="AF1917" s="2">
        <f>IFERROR(__xludf.DUMMYFUNCTION("IFERROR(ABS(R1917-AVERAGE(FILTER(R1917:R5985,AA1917:AA5985=""Neighbor""))) / STDEV(FILTER(R1917:R5985, AA1917:AA5985 =""Neighbor"")), """")"),0.34704635099388104)</f>
        <v>0.347046351</v>
      </c>
    </row>
    <row r="1918">
      <c r="A1918" s="2" t="s">
        <v>28</v>
      </c>
      <c r="B1918" s="2" t="s">
        <v>7366</v>
      </c>
      <c r="C1918" s="2" t="s">
        <v>7858</v>
      </c>
      <c r="D1918" s="2" t="s">
        <v>7859</v>
      </c>
      <c r="E1918" s="2" t="s">
        <v>7860</v>
      </c>
      <c r="F1918" s="2">
        <v>191.0</v>
      </c>
      <c r="G1918" s="2">
        <v>884.0</v>
      </c>
      <c r="H1918" s="2" t="b">
        <v>1</v>
      </c>
      <c r="I1918" s="2">
        <v>-1.0</v>
      </c>
      <c r="J1918" s="2" t="b">
        <v>0</v>
      </c>
      <c r="K1918" s="2" t="b">
        <v>0</v>
      </c>
      <c r="L1918" s="2" t="b">
        <v>0</v>
      </c>
      <c r="M1918" s="2" t="b">
        <v>0</v>
      </c>
      <c r="N1918" s="2" t="s">
        <v>33</v>
      </c>
      <c r="O1918" s="2">
        <v>89.0</v>
      </c>
      <c r="P1918" s="2">
        <v>28.0</v>
      </c>
      <c r="Q1918" s="2">
        <v>44.0</v>
      </c>
      <c r="R1918" s="2">
        <v>2.0</v>
      </c>
      <c r="S1918" s="3" t="s">
        <v>7861</v>
      </c>
      <c r="T1918" s="2" t="s">
        <v>7862</v>
      </c>
      <c r="Y1918" s="4" t="str">
        <f>IFERROR(__xludf.DUMMYFUNCTION("""COMPUTED_VALUE"""),"6.6902991")</f>
        <v>6.6902991</v>
      </c>
      <c r="Z1918" s="4" t="str">
        <f>IFERROR(__xludf.DUMMYFUNCTION("""COMPUTED_VALUE"""),"2.8602042")</f>
        <v>2.8602042</v>
      </c>
      <c r="AA1918" s="4" t="str">
        <f t="shared" si="1"/>
        <v>Not Neighbor</v>
      </c>
      <c r="AC1918" s="4">
        <f>IFERROR(__xludf.DUMMYFUNCTION("IFERROR(ABS(O1918-AVERAGE(FILTER(O1918:O5986,AA1918:AA5986=""Neighbor""))) / STDEV(FILTER(O1918:O5986, AA1918:AA5986 =""Neighbor"")), """")"),0.9570647867094844)</f>
        <v>0.9570647867</v>
      </c>
      <c r="AD1918" s="4">
        <f>IFERROR(__xludf.DUMMYFUNCTION("IFERROR(ABS(P1918-AVERAGE(FILTER(O1918:P5986,AA1918:AA5986=""Neighbor""))) / STDEV(FILTER(P1918:P5986, AA1918:AA5986 =""Neighbor"")), """")"),0.3094961710435416)</f>
        <v>0.309496171</v>
      </c>
      <c r="AE1918" s="2">
        <f>IFERROR(__xludf.DUMMYFUNCTION("IFERROR(ABS(Q1918-AVERAGE(FILTER(Q1918:Q5986,AA1918:AA5986=""Neighbor""))) / STDEV(FILTER(Q1918:Q5986, AA1918:AA5986 =""Neighbor"")), """")"),1.1482559667414558)</f>
        <v>1.148255967</v>
      </c>
      <c r="AF1918" s="2">
        <f>IFERROR(__xludf.DUMMYFUNCTION("IFERROR(ABS(R1918-AVERAGE(FILTER(R1918:R5986,AA1918:AA5986=""Neighbor""))) / STDEV(FILTER(R1918:R5986, AA1918:AA5986 =""Neighbor"")), """")"),2.0264784965877993)</f>
        <v>2.026478497</v>
      </c>
    </row>
    <row r="1919">
      <c r="A1919" s="2" t="s">
        <v>28</v>
      </c>
      <c r="B1919" s="2" t="s">
        <v>7366</v>
      </c>
      <c r="C1919" s="2" t="s">
        <v>7858</v>
      </c>
      <c r="D1919" s="2" t="s">
        <v>7863</v>
      </c>
      <c r="E1919" s="2" t="s">
        <v>7864</v>
      </c>
      <c r="F1919" s="2">
        <v>177.0</v>
      </c>
      <c r="G1919" s="2">
        <v>750.0</v>
      </c>
      <c r="H1919" s="2" t="b">
        <v>1</v>
      </c>
      <c r="I1919" s="2">
        <v>-1.0</v>
      </c>
      <c r="J1919" s="2" t="b">
        <v>0</v>
      </c>
      <c r="K1919" s="2" t="b">
        <v>0</v>
      </c>
      <c r="L1919" s="2" t="b">
        <v>0</v>
      </c>
      <c r="M1919" s="2" t="b">
        <v>0</v>
      </c>
      <c r="N1919" s="2" t="s">
        <v>33</v>
      </c>
      <c r="O1919" s="2">
        <v>39.0</v>
      </c>
      <c r="P1919" s="2">
        <v>3.0</v>
      </c>
      <c r="Q1919" s="2">
        <v>54.0</v>
      </c>
      <c r="R1919" s="2">
        <v>0.0</v>
      </c>
      <c r="S1919" s="3" t="s">
        <v>7865</v>
      </c>
      <c r="T1919" s="2" t="s">
        <v>7866</v>
      </c>
      <c r="Y1919" s="4" t="str">
        <f>IFERROR(__xludf.DUMMYFUNCTION("""COMPUTED_VALUE"""),"6.648313")</f>
        <v>6.648313</v>
      </c>
      <c r="Z1919" s="4" t="str">
        <f>IFERROR(__xludf.DUMMYFUNCTION("""COMPUTED_VALUE"""),"2.832923")</f>
        <v>2.832923</v>
      </c>
      <c r="AA1919" s="4" t="str">
        <f t="shared" si="1"/>
        <v>Not Neighbor</v>
      </c>
      <c r="AC1919" s="4">
        <f>IFERROR(__xludf.DUMMYFUNCTION("IFERROR(ABS(O1919-AVERAGE(FILTER(O1919:O5987,AA1919:AA5987=""Neighbor""))) / STDEV(FILTER(O1919:O5987, AA1919:AA5987 =""Neighbor"")), """")"),0.3915236917512977)</f>
        <v>0.3915236918</v>
      </c>
      <c r="AD1919" s="4">
        <f>IFERROR(__xludf.DUMMYFUNCTION("IFERROR(ABS(P1919-AVERAGE(FILTER(O1919:P5987,AA1919:AA5987=""Neighbor""))) / STDEV(FILTER(P1919:P5987, AA1919:AA5987 =""Neighbor"")), """")"),1.410600459701103)</f>
        <v>1.41060046</v>
      </c>
      <c r="AE1919" s="2">
        <f>IFERROR(__xludf.DUMMYFUNCTION("IFERROR(ABS(Q1919-AVERAGE(FILTER(Q1919:Q5987,AA1919:AA5987=""Neighbor""))) / STDEV(FILTER(Q1919:Q5987, AA1919:AA5987 =""Neighbor"")), """")"),1.6244207009047378)</f>
        <v>1.624420701</v>
      </c>
      <c r="AF1919" s="2">
        <f>IFERROR(__xludf.DUMMYFUNCTION("IFERROR(ABS(R1919-AVERAGE(FILTER(R1919:R5987,AA1919:AA5987=""Neighbor""))) / STDEV(FILTER(R1919:R5987, AA1919:AA5987 =""Neighbor"")), """")"),0.34704635099388104)</f>
        <v>0.347046351</v>
      </c>
    </row>
    <row r="1920">
      <c r="A1920" s="2" t="s">
        <v>28</v>
      </c>
      <c r="B1920" s="2" t="s">
        <v>7366</v>
      </c>
      <c r="C1920" s="2" t="s">
        <v>7858</v>
      </c>
      <c r="D1920" s="2" t="s">
        <v>7867</v>
      </c>
      <c r="E1920" s="2" t="s">
        <v>7868</v>
      </c>
      <c r="F1920" s="2">
        <v>199.0</v>
      </c>
      <c r="G1920" s="2">
        <v>660.0</v>
      </c>
      <c r="H1920" s="2" t="b">
        <v>1</v>
      </c>
      <c r="I1920" s="2">
        <v>-1.0</v>
      </c>
      <c r="J1920" s="2" t="b">
        <v>0</v>
      </c>
      <c r="K1920" s="2" t="b">
        <v>0</v>
      </c>
      <c r="L1920" s="2" t="b">
        <v>0</v>
      </c>
      <c r="M1920" s="2" t="b">
        <v>0</v>
      </c>
      <c r="N1920" s="2" t="s">
        <v>33</v>
      </c>
      <c r="O1920" s="2">
        <v>100.0</v>
      </c>
      <c r="P1920" s="2">
        <v>12.0</v>
      </c>
      <c r="Q1920" s="2">
        <v>69.0</v>
      </c>
      <c r="R1920" s="2">
        <v>0.0</v>
      </c>
      <c r="S1920" s="3" t="s">
        <v>7869</v>
      </c>
      <c r="T1920" s="2" t="s">
        <v>7870</v>
      </c>
      <c r="Y1920" s="4" t="str">
        <f>IFERROR(__xludf.DUMMYFUNCTION("""COMPUTED_VALUE"""),"7.2390599")</f>
        <v>7.2390599</v>
      </c>
      <c r="Z1920" s="4" t="str">
        <f>IFERROR(__xludf.DUMMYFUNCTION("""COMPUTED_VALUE"""),"3.0325855")</f>
        <v>3.0325855</v>
      </c>
      <c r="AA1920" s="4" t="str">
        <f t="shared" si="1"/>
        <v>Not Neighbor</v>
      </c>
      <c r="AC1920" s="4">
        <f>IFERROR(__xludf.DUMMYFUNCTION("IFERROR(ABS(O1920-AVERAGE(FILTER(O1920:O5988,AA1920:AA5988=""Neighbor""))) / STDEV(FILTER(O1920:O5988, AA1920:AA5988 =""Neighbor"")), """")"),1.2537542519708564)</f>
        <v>1.253754252</v>
      </c>
      <c r="AD1920" s="4">
        <f>IFERROR(__xludf.DUMMYFUNCTION("IFERROR(ABS(P1920-AVERAGE(FILTER(O1920:P5988,AA1920:AA5988=""Neighbor""))) / STDEV(FILTER(P1920:P5988, AA1920:AA5988 =""Neighbor"")), """")"),1.0142029157843808)</f>
        <v>1.014202916</v>
      </c>
      <c r="AE1920" s="2">
        <f>IFERROR(__xludf.DUMMYFUNCTION("IFERROR(ABS(Q1920-AVERAGE(FILTER(Q1920:Q5988,AA1920:AA5988=""Neighbor""))) / STDEV(FILTER(Q1920:Q5988, AA1920:AA5988 =""Neighbor"")), """")"),2.338667802149661)</f>
        <v>2.338667802</v>
      </c>
      <c r="AF1920" s="2">
        <f>IFERROR(__xludf.DUMMYFUNCTION("IFERROR(ABS(R1920-AVERAGE(FILTER(R1920:R5988,AA1920:AA5988=""Neighbor""))) / STDEV(FILTER(R1920:R5988, AA1920:AA5988 =""Neighbor"")), """")"),0.34704635099388104)</f>
        <v>0.347046351</v>
      </c>
    </row>
    <row r="1921">
      <c r="A1921" s="2" t="s">
        <v>28</v>
      </c>
      <c r="B1921" s="2" t="s">
        <v>7366</v>
      </c>
      <c r="C1921" s="2" t="s">
        <v>7858</v>
      </c>
      <c r="D1921" s="2" t="s">
        <v>7871</v>
      </c>
      <c r="E1921" s="2" t="s">
        <v>7872</v>
      </c>
      <c r="F1921" s="2">
        <v>213.0</v>
      </c>
      <c r="G1921" s="2">
        <v>925.0</v>
      </c>
      <c r="H1921" s="2" t="b">
        <v>1</v>
      </c>
      <c r="I1921" s="2">
        <v>-1.0</v>
      </c>
      <c r="J1921" s="2" t="b">
        <v>0</v>
      </c>
      <c r="K1921" s="2" t="b">
        <v>1</v>
      </c>
      <c r="L1921" s="2" t="b">
        <v>0</v>
      </c>
      <c r="M1921" s="2" t="b">
        <v>0</v>
      </c>
      <c r="N1921" s="2" t="s">
        <v>33</v>
      </c>
      <c r="O1921" s="2">
        <v>86.0</v>
      </c>
      <c r="P1921" s="2">
        <v>9.0</v>
      </c>
      <c r="Q1921" s="2">
        <v>76.0</v>
      </c>
      <c r="R1921" s="2">
        <v>5.0</v>
      </c>
      <c r="S1921" s="3" t="s">
        <v>7873</v>
      </c>
      <c r="T1921" s="2" t="s">
        <v>7874</v>
      </c>
      <c r="Y1921" s="4" t="str">
        <f>IFERROR(__xludf.DUMMYFUNCTION("""COMPUTED_VALUE"""),"6.6906976")</f>
        <v>6.6906976</v>
      </c>
      <c r="Z1921" s="4" t="str">
        <f>IFERROR(__xludf.DUMMYFUNCTION("""COMPUTED_VALUE"""),"2.7904302")</f>
        <v>2.7904302</v>
      </c>
      <c r="AA1921" s="4" t="str">
        <f t="shared" si="1"/>
        <v>Neighbor</v>
      </c>
      <c r="AC1921" s="4">
        <f>IFERROR(__xludf.DUMMYFUNCTION("IFERROR(ABS(O1921-AVERAGE(FILTER(O1921:O5989,AA1921:AA5989=""Neighbor""))) / STDEV(FILTER(O1921:O5989, AA1921:AA5989 =""Neighbor"")), """")"),0.8761494780018374)</f>
        <v>0.876149478</v>
      </c>
      <c r="AD1921" s="4">
        <f>IFERROR(__xludf.DUMMYFUNCTION("IFERROR(ABS(P1921-AVERAGE(FILTER(O1921:P5989,AA1921:AA5989=""Neighbor""))) / STDEV(FILTER(P1921:P5989, AA1921:AA5989 =""Neighbor"")), """")"),1.1463354304232882)</f>
        <v>1.14633543</v>
      </c>
      <c r="AE1921" s="2">
        <f>IFERROR(__xludf.DUMMYFUNCTION("IFERROR(ABS(Q1921-AVERAGE(FILTER(Q1921:Q5989,AA1921:AA5989=""Neighbor""))) / STDEV(FILTER(Q1921:Q5989, AA1921:AA5989 =""Neighbor"")), """")"),2.6719831160639584)</f>
        <v>2.671983116</v>
      </c>
      <c r="AF1921" s="2">
        <f>IFERROR(__xludf.DUMMYFUNCTION("IFERROR(ABS(R1921-AVERAGE(FILTER(R1921:R5989,AA1921:AA5989=""Neighbor""))) / STDEV(FILTER(R1921:R5989, AA1921:AA5989 =""Neighbor"")), """")"),5.58676576796032)</f>
        <v>5.586765768</v>
      </c>
    </row>
    <row r="1922">
      <c r="A1922" s="2" t="s">
        <v>28</v>
      </c>
      <c r="B1922" s="2" t="s">
        <v>7366</v>
      </c>
      <c r="C1922" s="2" t="s">
        <v>7858</v>
      </c>
      <c r="D1922" s="2" t="s">
        <v>7875</v>
      </c>
      <c r="E1922" s="2" t="s">
        <v>7876</v>
      </c>
      <c r="F1922" s="2">
        <v>204.0</v>
      </c>
      <c r="G1922" s="2">
        <v>748.0</v>
      </c>
      <c r="H1922" s="2" t="b">
        <v>1</v>
      </c>
      <c r="I1922" s="2">
        <v>-1.0</v>
      </c>
      <c r="J1922" s="2" t="b">
        <v>1</v>
      </c>
      <c r="K1922" s="2" t="b">
        <v>1</v>
      </c>
      <c r="L1922" s="2" t="b">
        <v>0</v>
      </c>
      <c r="M1922" s="2" t="b">
        <v>0</v>
      </c>
      <c r="N1922" s="2" t="s">
        <v>33</v>
      </c>
      <c r="O1922" s="2">
        <v>84.0</v>
      </c>
      <c r="P1922" s="2">
        <v>7.0</v>
      </c>
      <c r="Q1922" s="2">
        <v>78.0</v>
      </c>
      <c r="R1922" s="2">
        <v>2.0</v>
      </c>
      <c r="S1922" s="3" t="s">
        <v>7877</v>
      </c>
      <c r="T1922" s="2" t="s">
        <v>7878</v>
      </c>
      <c r="Y1922" s="4" t="str">
        <f>IFERROR(__xludf.DUMMYFUNCTION("""COMPUTED_VALUE"""),"6.6816847")</f>
        <v>6.6816847</v>
      </c>
      <c r="Z1922" s="4" t="str">
        <f>IFERROR(__xludf.DUMMYFUNCTION("""COMPUTED_VALUE"""),"2.7901189")</f>
        <v>2.7901189</v>
      </c>
      <c r="AA1922" s="4" t="str">
        <f t="shared" si="1"/>
        <v>Neighbor</v>
      </c>
      <c r="AC1922" s="4">
        <f>IFERROR(__xludf.DUMMYFUNCTION("IFERROR(ABS(O1922-AVERAGE(FILTER(O1922:O5990,AA1922:AA5990=""Neighbor""))) / STDEV(FILTER(O1922:O5990, AA1922:AA5990 =""Neighbor"")), """")"),0.8231023569337014)</f>
        <v>0.8231023569</v>
      </c>
      <c r="AD1922" s="4">
        <f>IFERROR(__xludf.DUMMYFUNCTION("IFERROR(ABS(P1922-AVERAGE(FILTER(O1922:P5990,AA1922:AA5990=""Neighbor""))) / STDEV(FILTER(P1922:P5990, AA1922:AA5990 =""Neighbor"")), """")"),1.233162697283204)</f>
        <v>1.233162697</v>
      </c>
      <c r="AE1922" s="2">
        <f>IFERROR(__xludf.DUMMYFUNCTION("IFERROR(ABS(Q1922-AVERAGE(FILTER(Q1922:Q5990,AA1922:AA5990=""Neighbor""))) / STDEV(FILTER(Q1922:Q5990, AA1922:AA5990 =""Neighbor"")), """")"),2.7801238055961575)</f>
        <v>2.780123806</v>
      </c>
      <c r="AF1922" s="2">
        <f>IFERROR(__xludf.DUMMYFUNCTION("IFERROR(ABS(R1922-AVERAGE(FILTER(R1922:R5990,AA1922:AA5990=""Neighbor""))) / STDEV(FILTER(R1922:R5990, AA1922:AA5990 =""Neighbor"")), """")"),2.0691810988894184)</f>
        <v>2.069181099</v>
      </c>
    </row>
    <row r="1923">
      <c r="A1923" s="2" t="s">
        <v>28</v>
      </c>
      <c r="B1923" s="2" t="s">
        <v>7366</v>
      </c>
      <c r="C1923" s="2" t="s">
        <v>7858</v>
      </c>
      <c r="D1923" s="2" t="s">
        <v>7879</v>
      </c>
      <c r="E1923" s="2" t="s">
        <v>7880</v>
      </c>
      <c r="F1923" s="2">
        <v>279.0</v>
      </c>
      <c r="G1923" s="2">
        <v>1385.0</v>
      </c>
      <c r="H1923" s="2" t="b">
        <v>1</v>
      </c>
      <c r="I1923" s="2">
        <v>-1.0</v>
      </c>
      <c r="J1923" s="2" t="b">
        <v>0</v>
      </c>
      <c r="K1923" s="2" t="b">
        <v>0</v>
      </c>
      <c r="L1923" s="2" t="b">
        <v>0</v>
      </c>
      <c r="M1923" s="2" t="b">
        <v>0</v>
      </c>
      <c r="N1923" s="2" t="s">
        <v>33</v>
      </c>
      <c r="O1923" s="2">
        <v>124.0</v>
      </c>
      <c r="P1923" s="2">
        <v>27.0</v>
      </c>
      <c r="Q1923" s="2">
        <v>78.0</v>
      </c>
      <c r="R1923" s="2">
        <v>8.0</v>
      </c>
      <c r="S1923" s="3" t="s">
        <v>7881</v>
      </c>
      <c r="T1923" s="2" t="s">
        <v>7882</v>
      </c>
      <c r="Y1923" s="4" t="str">
        <f>IFERROR(__xludf.DUMMYFUNCTION("""COMPUTED_VALUE"""),"6.6906976")</f>
        <v>6.6906976</v>
      </c>
      <c r="Z1923" s="4" t="str">
        <f>IFERROR(__xludf.DUMMYFUNCTION("""COMPUTED_VALUE"""),"2.7904302")</f>
        <v>2.7904302</v>
      </c>
      <c r="AA1923" s="4" t="str">
        <f t="shared" si="1"/>
        <v>Not Neighbor</v>
      </c>
      <c r="AC1923" s="4">
        <f>IFERROR(__xludf.DUMMYFUNCTION("IFERROR(ABS(O1923-AVERAGE(FILTER(O1923:O5991,AA1923:AA5991=""Neighbor""))) / STDEV(FILTER(O1923:O5991, AA1923:AA5991 =""Neighbor"")), """")"),1.9024236076223184)</f>
        <v>1.902423608</v>
      </c>
      <c r="AD1923" s="4">
        <f>IFERROR(__xludf.DUMMYFUNCTION("IFERROR(ABS(P1923-AVERAGE(FILTER(O1923:P5991,AA1923:AA5991=""Neighbor""))) / STDEV(FILTER(P1923:P5991, AA1923:AA5991 =""Neighbor"")), """")"),0.3520319576388931)</f>
        <v>0.3520319576</v>
      </c>
      <c r="AE1923" s="2">
        <f>IFERROR(__xludf.DUMMYFUNCTION("IFERROR(ABS(Q1923-AVERAGE(FILTER(Q1923:Q5991,AA1923:AA5991=""Neighbor""))) / STDEV(FILTER(Q1923:Q5991, AA1923:AA5991 =""Neighbor"")), """")"),2.7941730313162823)</f>
        <v>2.794173031</v>
      </c>
      <c r="AF1923" s="2">
        <f>IFERROR(__xludf.DUMMYFUNCTION("IFERROR(ABS(R1923-AVERAGE(FILTER(R1923:R5991,AA1923:AA5991=""Neighbor""))) / STDEV(FILTER(R1923:R5991, AA1923:AA5991 =""Neighbor"")), """")"),9.3369128643882)</f>
        <v>9.336912864</v>
      </c>
    </row>
    <row r="1924">
      <c r="A1924" s="2" t="s">
        <v>28</v>
      </c>
      <c r="B1924" s="2" t="s">
        <v>7366</v>
      </c>
      <c r="C1924" s="2" t="s">
        <v>7858</v>
      </c>
      <c r="D1924" s="2" t="s">
        <v>7883</v>
      </c>
      <c r="E1924" s="2" t="s">
        <v>7884</v>
      </c>
      <c r="F1924" s="2">
        <v>175.0</v>
      </c>
      <c r="G1924" s="2">
        <v>575.0</v>
      </c>
      <c r="H1924" s="2" t="b">
        <v>1</v>
      </c>
      <c r="I1924" s="2">
        <v>-1.0</v>
      </c>
      <c r="J1924" s="2" t="b">
        <v>0</v>
      </c>
      <c r="K1924" s="2" t="b">
        <v>0</v>
      </c>
      <c r="L1924" s="2" t="b">
        <v>0</v>
      </c>
      <c r="M1924" s="2" t="b">
        <v>0</v>
      </c>
      <c r="N1924" s="2" t="s">
        <v>33</v>
      </c>
      <c r="O1924" s="2">
        <v>116.0</v>
      </c>
      <c r="P1924" s="2">
        <v>1.0</v>
      </c>
      <c r="Q1924" s="2">
        <v>51.0</v>
      </c>
      <c r="R1924" s="2">
        <v>0.0</v>
      </c>
      <c r="S1924" s="3" t="s">
        <v>7885</v>
      </c>
      <c r="T1924" s="2" t="s">
        <v>7886</v>
      </c>
      <c r="Y1924" s="4" t="str">
        <f>IFERROR(__xludf.DUMMYFUNCTION("""COMPUTED_VALUE"""),"6.6403561")</f>
        <v>6.6403561</v>
      </c>
      <c r="Z1924" s="4" t="str">
        <f>IFERROR(__xludf.DUMMYFUNCTION("""COMPUTED_VALUE"""),"2.7801596")</f>
        <v>2.7801596</v>
      </c>
      <c r="AA1924" s="4" t="str">
        <f t="shared" si="1"/>
        <v>Not Neighbor</v>
      </c>
      <c r="AC1924" s="4">
        <f>IFERROR(__xludf.DUMMYFUNCTION("IFERROR(ABS(O1924-AVERAGE(FILTER(O1924:O5992,AA1924:AA5992=""Neighbor""))) / STDEV(FILTER(O1924:O5992, AA1924:AA5992 =""Neighbor"")), """")"),1.6867180767176637)</f>
        <v>1.686718077</v>
      </c>
      <c r="AD1924" s="4">
        <f>IFERROR(__xludf.DUMMYFUNCTION("IFERROR(ABS(P1924-AVERAGE(FILTER(O1924:P5992,AA1924:AA5992=""Neighbor""))) / STDEV(FILTER(P1924:P5992, AA1924:AA5992 =""Neighbor"")), """")"),1.4960536345000042)</f>
        <v>1.496053635</v>
      </c>
      <c r="AE1924" s="2">
        <f>IFERROR(__xludf.DUMMYFUNCTION("IFERROR(ABS(Q1924-AVERAGE(FILTER(Q1924:Q5992,AA1924:AA5992=""Neighbor""))) / STDEV(FILTER(Q1924:Q5992, AA1924:AA5992 =""Neighbor"")), """")"),1.4989304117161033)</f>
        <v>1.498930412</v>
      </c>
      <c r="AF1924" s="2">
        <f>IFERROR(__xludf.DUMMYFUNCTION("IFERROR(ABS(R1924-AVERAGE(FILTER(R1924:R5992,AA1924:AA5992=""Neighbor""))) / STDEV(FILTER(R1924:R5992, AA1924:AA5992 =""Neighbor"")), """")"),0.34498724528728747)</f>
        <v>0.3449872453</v>
      </c>
    </row>
    <row r="1925">
      <c r="A1925" s="2" t="s">
        <v>28</v>
      </c>
      <c r="B1925" s="2" t="s">
        <v>7366</v>
      </c>
      <c r="C1925" s="2" t="s">
        <v>7858</v>
      </c>
      <c r="D1925" s="2" t="s">
        <v>7887</v>
      </c>
      <c r="E1925" s="2" t="s">
        <v>7888</v>
      </c>
      <c r="F1925" s="2">
        <v>218.0</v>
      </c>
      <c r="G1925" s="2">
        <v>507.0</v>
      </c>
      <c r="H1925" s="2" t="b">
        <v>1</v>
      </c>
      <c r="I1925" s="2">
        <v>-1.0</v>
      </c>
      <c r="J1925" s="2" t="b">
        <v>0</v>
      </c>
      <c r="K1925" s="2" t="b">
        <v>0</v>
      </c>
      <c r="L1925" s="2" t="b">
        <v>0</v>
      </c>
      <c r="M1925" s="2" t="b">
        <v>0</v>
      </c>
      <c r="N1925" s="2" t="s">
        <v>33</v>
      </c>
      <c r="O1925" s="2">
        <v>94.0</v>
      </c>
      <c r="P1925" s="2">
        <v>1.0</v>
      </c>
      <c r="Q1925" s="2">
        <v>100.0</v>
      </c>
      <c r="R1925" s="2">
        <v>1.0</v>
      </c>
      <c r="S1925" s="3" t="s">
        <v>7889</v>
      </c>
      <c r="T1925" s="2" t="s">
        <v>7890</v>
      </c>
      <c r="Y1925" s="4" t="str">
        <f>IFERROR(__xludf.DUMMYFUNCTION("""COMPUTED_VALUE"""),"6.6550135")</f>
        <v>6.6550135</v>
      </c>
      <c r="Z1925" s="4" t="str">
        <f>IFERROR(__xludf.DUMMYFUNCTION("""COMPUTED_VALUE"""),"2.7845166")</f>
        <v>2.7845166</v>
      </c>
      <c r="AA1925" s="4" t="str">
        <f t="shared" si="1"/>
        <v>Not Neighbor</v>
      </c>
      <c r="AC1925" s="4">
        <f>IFERROR(__xludf.DUMMYFUNCTION("IFERROR(ABS(O1925-AVERAGE(FILTER(O1925:O5993,AA1925:AA5993=""Neighbor""))) / STDEV(FILTER(O1925:O5993, AA1925:AA5993 =""Neighbor"")), """")"),1.0935278667298627)</f>
        <v>1.093527867</v>
      </c>
      <c r="AD1925" s="4">
        <f>IFERROR(__xludf.DUMMYFUNCTION("IFERROR(ABS(P1925-AVERAGE(FILTER(O1925:P5993,AA1925:AA5993=""Neighbor""))) / STDEV(FILTER(P1925:P5993, AA1925:AA5993 =""Neighbor"")), """")"),1.4960536345000042)</f>
        <v>1.496053635</v>
      </c>
      <c r="AE1925" s="2">
        <f>IFERROR(__xludf.DUMMYFUNCTION("IFERROR(ABS(Q1925-AVERAGE(FILTER(Q1925:Q5993,AA1925:AA5993=""Neighbor""))) / STDEV(FILTER(Q1925:Q5993, AA1925:AA5993 =""Neighbor"")), """")"),3.8495559065460583)</f>
        <v>3.849555907</v>
      </c>
      <c r="AF1925" s="2">
        <f>IFERROR(__xludf.DUMMYFUNCTION("IFERROR(ABS(R1925-AVERAGE(FILTER(R1925:R5993,AA1925:AA5993=""Neighbor""))) / STDEV(FILTER(R1925:R5993, AA1925:AA5993 =""Neighbor"")), """")"),0.8652502684221485)</f>
        <v>0.8652502684</v>
      </c>
    </row>
    <row r="1926">
      <c r="A1926" s="2" t="s">
        <v>28</v>
      </c>
      <c r="B1926" s="2" t="s">
        <v>7366</v>
      </c>
      <c r="C1926" s="2" t="s">
        <v>7858</v>
      </c>
      <c r="D1926" s="2" t="s">
        <v>7891</v>
      </c>
      <c r="E1926" s="2" t="s">
        <v>7892</v>
      </c>
      <c r="F1926" s="2">
        <v>158.0</v>
      </c>
      <c r="G1926" s="2">
        <v>474.0</v>
      </c>
      <c r="H1926" s="2" t="b">
        <v>1</v>
      </c>
      <c r="I1926" s="2">
        <v>-1.0</v>
      </c>
      <c r="J1926" s="2" t="b">
        <v>0</v>
      </c>
      <c r="K1926" s="2" t="b">
        <v>0</v>
      </c>
      <c r="L1926" s="2" t="b">
        <v>0</v>
      </c>
      <c r="M1926" s="2" t="b">
        <v>0</v>
      </c>
      <c r="N1926" s="2" t="s">
        <v>33</v>
      </c>
      <c r="O1926" s="2">
        <v>78.0</v>
      </c>
      <c r="P1926" s="2">
        <v>8.0</v>
      </c>
      <c r="Q1926" s="2">
        <v>27.0</v>
      </c>
      <c r="R1926" s="2">
        <v>0.0</v>
      </c>
      <c r="S1926" s="3" t="s">
        <v>7893</v>
      </c>
      <c r="T1926" s="2" t="s">
        <v>7894</v>
      </c>
      <c r="Y1926" s="4" t="str">
        <f>IFERROR(__xludf.DUMMYFUNCTION("""COMPUTED_VALUE"""),"6.9690053")</f>
        <v>6.9690053</v>
      </c>
      <c r="Z1926" s="4" t="str">
        <f>IFERROR(__xludf.DUMMYFUNCTION("""COMPUTED_VALUE"""),"3.1284123")</f>
        <v>3.1284123</v>
      </c>
      <c r="AA1926" s="4" t="str">
        <f t="shared" si="1"/>
        <v>Not Neighbor</v>
      </c>
      <c r="AC1926" s="4">
        <f>IFERROR(__xludf.DUMMYFUNCTION("IFERROR(ABS(O1926-AVERAGE(FILTER(O1926:O5994,AA1926:AA5994=""Neighbor""))) / STDEV(FILTER(O1926:O5994, AA1926:AA5994 =""Neighbor"")), """")"),0.6621168049205528)</f>
        <v>0.6621168049</v>
      </c>
      <c r="AD1926" s="4">
        <f>IFERROR(__xludf.DUMMYFUNCTION("IFERROR(ABS(P1926-AVERAGE(FILTER(O1926:P5994,AA1926:AA5994=""Neighbor""))) / STDEV(FILTER(P1926:P5994, AA1926:AA5994 =""Neighbor"")), """")"),1.1880477984220128)</f>
        <v>1.188047798</v>
      </c>
      <c r="AE1926" s="2">
        <f>IFERROR(__xludf.DUMMYFUNCTION("IFERROR(ABS(Q1926-AVERAGE(FILTER(Q1926:Q5994,AA1926:AA5994=""Neighbor""))) / STDEV(FILTER(Q1926:Q5994, AA1926:AA5994 =""Neighbor"")), """")"),0.34760363873816646)</f>
        <v>0.3476036387</v>
      </c>
      <c r="AF1926" s="2">
        <f>IFERROR(__xludf.DUMMYFUNCTION("IFERROR(ABS(R1926-AVERAGE(FILTER(R1926:R5994,AA1926:AA5994=""Neighbor""))) / STDEV(FILTER(R1926:R5994, AA1926:AA5994 =""Neighbor"")), """")"),0.34498724528728747)</f>
        <v>0.3449872453</v>
      </c>
    </row>
    <row r="1927">
      <c r="A1927" s="2" t="s">
        <v>28</v>
      </c>
      <c r="B1927" s="2" t="s">
        <v>7366</v>
      </c>
      <c r="C1927" s="2" t="s">
        <v>7858</v>
      </c>
      <c r="D1927" s="2" t="s">
        <v>7895</v>
      </c>
      <c r="E1927" s="2" t="s">
        <v>7896</v>
      </c>
      <c r="F1927" s="2">
        <v>166.0</v>
      </c>
      <c r="G1927" s="2">
        <v>471.0</v>
      </c>
      <c r="H1927" s="2" t="b">
        <v>1</v>
      </c>
      <c r="I1927" s="2">
        <v>-1.0</v>
      </c>
      <c r="J1927" s="2" t="b">
        <v>0</v>
      </c>
      <c r="K1927" s="2" t="b">
        <v>0</v>
      </c>
      <c r="L1927" s="2" t="b">
        <v>0</v>
      </c>
      <c r="M1927" s="2" t="b">
        <v>0</v>
      </c>
      <c r="N1927" s="2" t="s">
        <v>33</v>
      </c>
      <c r="O1927" s="2">
        <v>67.0</v>
      </c>
      <c r="P1927" s="2">
        <v>1.0</v>
      </c>
      <c r="Q1927" s="2">
        <v>23.0</v>
      </c>
      <c r="R1927" s="2">
        <v>0.0</v>
      </c>
      <c r="S1927" s="3" t="s">
        <v>7897</v>
      </c>
      <c r="T1927" s="2" t="s">
        <v>7898</v>
      </c>
      <c r="Y1927" s="4" t="str">
        <f>IFERROR(__xludf.DUMMYFUNCTION("""COMPUTED_VALUE"""),"6.776916")</f>
        <v>6.776916</v>
      </c>
      <c r="Z1927" s="4" t="str">
        <f>IFERROR(__xludf.DUMMYFUNCTION("""COMPUTED_VALUE"""),"2.791523")</f>
        <v>2.791523</v>
      </c>
      <c r="AA1927" s="4" t="str">
        <f t="shared" si="1"/>
        <v>Not Neighbor</v>
      </c>
      <c r="AC1927" s="4">
        <f>IFERROR(__xludf.DUMMYFUNCTION("IFERROR(ABS(O1927-AVERAGE(FILTER(O1927:O5995,AA1927:AA5995=""Neighbor""))) / STDEV(FILTER(O1927:O5995, AA1927:AA5995 =""Neighbor"")), """")"),0.36552169992665234)</f>
        <v>0.3655216999</v>
      </c>
      <c r="AD1927" s="4">
        <f>IFERROR(__xludf.DUMMYFUNCTION("IFERROR(ABS(P1927-AVERAGE(FILTER(O1927:P5995,AA1927:AA5995=""Neighbor""))) / STDEV(FILTER(P1927:P5995, AA1927:AA5995 =""Neighbor"")), """")"),1.4960536345000042)</f>
        <v>1.496053635</v>
      </c>
      <c r="AE1927" s="2">
        <f>IFERROR(__xludf.DUMMYFUNCTION("IFERROR(ABS(Q1927-AVERAGE(FILTER(Q1927:Q5995,AA1927:AA5995=""Neighbor""))) / STDEV(FILTER(Q1927:Q5995, AA1927:AA5995 =""Neighbor"")), """")"),0.15571584324184365)</f>
        <v>0.1557158432</v>
      </c>
      <c r="AF1927" s="2">
        <f>IFERROR(__xludf.DUMMYFUNCTION("IFERROR(ABS(R1927-AVERAGE(FILTER(R1927:R5995,AA1927:AA5995=""Neighbor""))) / STDEV(FILTER(R1927:R5995, AA1927:AA5995 =""Neighbor"")), """")"),0.34498724528728747)</f>
        <v>0.3449872453</v>
      </c>
    </row>
    <row r="1928">
      <c r="A1928" s="2" t="s">
        <v>28</v>
      </c>
      <c r="B1928" s="2" t="s">
        <v>7366</v>
      </c>
      <c r="C1928" s="2" t="s">
        <v>7858</v>
      </c>
      <c r="D1928" s="2" t="s">
        <v>7899</v>
      </c>
      <c r="E1928" s="2" t="s">
        <v>7900</v>
      </c>
      <c r="F1928" s="2">
        <v>116.0</v>
      </c>
      <c r="G1928" s="2">
        <v>381.0</v>
      </c>
      <c r="H1928" s="2" t="b">
        <v>1</v>
      </c>
      <c r="I1928" s="2">
        <v>-1.0</v>
      </c>
      <c r="J1928" s="2" t="b">
        <v>0</v>
      </c>
      <c r="K1928" s="2" t="b">
        <v>0</v>
      </c>
      <c r="L1928" s="2" t="b">
        <v>0</v>
      </c>
      <c r="M1928" s="2" t="b">
        <v>0</v>
      </c>
      <c r="N1928" s="2" t="s">
        <v>33</v>
      </c>
      <c r="O1928" s="2">
        <v>72.0</v>
      </c>
      <c r="P1928" s="2">
        <v>0.0</v>
      </c>
      <c r="Q1928" s="2">
        <v>20.0</v>
      </c>
      <c r="R1928" s="2">
        <v>2.0</v>
      </c>
      <c r="S1928" s="3" t="s">
        <v>7901</v>
      </c>
      <c r="T1928" s="2" t="s">
        <v>7902</v>
      </c>
      <c r="Y1928" s="4" t="str">
        <f>IFERROR(__xludf.DUMMYFUNCTION("""COMPUTED_VALUE"""),"6.657739")</f>
        <v>6.657739</v>
      </c>
      <c r="Z1928" s="4" t="str">
        <f>IFERROR(__xludf.DUMMYFUNCTION("""COMPUTED_VALUE"""),"2.82364")</f>
        <v>2.82364</v>
      </c>
      <c r="AA1928" s="4" t="str">
        <f t="shared" si="1"/>
        <v>Not Neighbor</v>
      </c>
      <c r="AC1928" s="4">
        <f>IFERROR(__xludf.DUMMYFUNCTION("IFERROR(ABS(O1928-AVERAGE(FILTER(O1928:O5996,AA1928:AA5996=""Neighbor""))) / STDEV(FILTER(O1928:O5996, AA1928:AA5996 =""Neighbor"")), """")"),0.5003376567420617)</f>
        <v>0.5003376567</v>
      </c>
      <c r="AD1928" s="4">
        <f>IFERROR(__xludf.DUMMYFUNCTION("IFERROR(ABS(P1928-AVERAGE(FILTER(O1928:P5996,AA1928:AA5996=""Neighbor""))) / STDEV(FILTER(P1928:P5996, AA1928:AA5996 =""Neighbor"")), """")"),1.5400544682254316)</f>
        <v>1.540054468</v>
      </c>
      <c r="AE1928" s="2">
        <f>IFERROR(__xludf.DUMMYFUNCTION("IFERROR(ABS(Q1928-AVERAGE(FILTER(Q1928:Q5996,AA1928:AA5996=""Neighbor""))) / STDEV(FILTER(Q1928:Q5996, AA1928:AA5996 =""Neighbor"")), """")"),0.01179999661960153)</f>
        <v>0.01179999662</v>
      </c>
      <c r="AF1928" s="2">
        <f>IFERROR(__xludf.DUMMYFUNCTION("IFERROR(ABS(R1928-AVERAGE(FILTER(R1928:R5996,AA1928:AA5996=""Neighbor""))) / STDEV(FILTER(R1928:R5996, AA1928:AA5996 =""Neighbor"")), """")"),2.0754877821315842)</f>
        <v>2.075487782</v>
      </c>
    </row>
    <row r="1929">
      <c r="A1929" s="2" t="s">
        <v>28</v>
      </c>
      <c r="B1929" s="2" t="s">
        <v>7366</v>
      </c>
      <c r="C1929" s="2" t="s">
        <v>7858</v>
      </c>
      <c r="D1929" s="2" t="s">
        <v>7903</v>
      </c>
      <c r="E1929" s="2" t="s">
        <v>7904</v>
      </c>
      <c r="F1929" s="2">
        <v>150.0</v>
      </c>
      <c r="G1929" s="2">
        <v>533.0</v>
      </c>
      <c r="H1929" s="2" t="b">
        <v>1</v>
      </c>
      <c r="I1929" s="2">
        <v>-1.0</v>
      </c>
      <c r="J1929" s="2" t="b">
        <v>0</v>
      </c>
      <c r="K1929" s="2" t="b">
        <v>1</v>
      </c>
      <c r="L1929" s="2" t="b">
        <v>0</v>
      </c>
      <c r="M1929" s="2" t="b">
        <v>0</v>
      </c>
      <c r="N1929" s="2" t="s">
        <v>33</v>
      </c>
      <c r="O1929" s="2">
        <v>48.0</v>
      </c>
      <c r="P1929" s="2">
        <v>28.0</v>
      </c>
      <c r="Q1929" s="2">
        <v>60.0</v>
      </c>
      <c r="R1929" s="2">
        <v>0.0</v>
      </c>
      <c r="S1929" s="3" t="s">
        <v>7905</v>
      </c>
      <c r="T1929" s="2" t="s">
        <v>7906</v>
      </c>
      <c r="Y1929" s="4" t="str">
        <f>IFERROR(__xludf.DUMMYFUNCTION("""COMPUTED_VALUE"""),"6.6902991")</f>
        <v>6.6902991</v>
      </c>
      <c r="Z1929" s="4" t="str">
        <f>IFERROR(__xludf.DUMMYFUNCTION("""COMPUTED_VALUE"""),"2.8602042")</f>
        <v>2.8602042</v>
      </c>
      <c r="AA1929" s="4" t="str">
        <f t="shared" si="1"/>
        <v>Not Neighbor</v>
      </c>
      <c r="AC1929" s="4">
        <f>IFERROR(__xludf.DUMMYFUNCTION("IFERROR(ABS(O1929-AVERAGE(FILTER(O1929:O5997,AA1929:AA5997=""Neighbor""))) / STDEV(FILTER(O1929:O5997, AA1929:AA5997 =""Neighbor"")), """")"),0.14677893597190309)</f>
        <v>0.146778936</v>
      </c>
      <c r="AD1929" s="4">
        <f>IFERROR(__xludf.DUMMYFUNCTION("IFERROR(ABS(P1929-AVERAGE(FILTER(O1929:P5997,AA1929:AA5997=""Neighbor""))) / STDEV(FILTER(P1929:P5997, AA1929:AA5997 =""Neighbor"")), """")"),0.30803112391346577)</f>
        <v>0.3080311239</v>
      </c>
      <c r="AE1929" s="2">
        <f>IFERROR(__xludf.DUMMYFUNCTION("IFERROR(ABS(Q1929-AVERAGE(FILTER(Q1929:Q5997,AA1929:AA5997=""Neighbor""))) / STDEV(FILTER(Q1929:Q5997, AA1929:AA5997 =""Neighbor"")), """")"),1.9306779515828296)</f>
        <v>1.930677952</v>
      </c>
      <c r="AF1929" s="2">
        <f>IFERROR(__xludf.DUMMYFUNCTION("IFERROR(ABS(R1929-AVERAGE(FILTER(R1929:R5997,AA1929:AA5997=""Neighbor""))) / STDEV(FILTER(R1929:R5997, AA1929:AA5997 =""Neighbor"")), """")"),0.34498724528728747)</f>
        <v>0.3449872453</v>
      </c>
    </row>
    <row r="1930">
      <c r="A1930" s="2" t="s">
        <v>28</v>
      </c>
      <c r="B1930" s="2" t="s">
        <v>7366</v>
      </c>
      <c r="C1930" s="2" t="s">
        <v>7858</v>
      </c>
      <c r="D1930" s="2" t="s">
        <v>7907</v>
      </c>
      <c r="E1930" s="2" t="s">
        <v>7908</v>
      </c>
      <c r="F1930" s="2">
        <v>116.0</v>
      </c>
      <c r="G1930" s="2">
        <v>559.0</v>
      </c>
      <c r="H1930" s="2" t="b">
        <v>1</v>
      </c>
      <c r="I1930" s="2">
        <v>-1.0</v>
      </c>
      <c r="J1930" s="2" t="b">
        <v>0</v>
      </c>
      <c r="K1930" s="2" t="b">
        <v>0</v>
      </c>
      <c r="L1930" s="2" t="b">
        <v>0</v>
      </c>
      <c r="M1930" s="2" t="b">
        <v>0</v>
      </c>
      <c r="N1930" s="2" t="s">
        <v>33</v>
      </c>
      <c r="O1930" s="2">
        <v>69.0</v>
      </c>
      <c r="P1930" s="2">
        <v>15.0</v>
      </c>
      <c r="Q1930" s="2">
        <v>16.0</v>
      </c>
      <c r="R1930" s="2">
        <v>0.0</v>
      </c>
      <c r="S1930" s="3" t="s">
        <v>7909</v>
      </c>
      <c r="T1930" s="2" t="s">
        <v>7910</v>
      </c>
      <c r="Y1930" s="4" t="str">
        <f>IFERROR(__xludf.DUMMYFUNCTION("""COMPUTED_VALUE"""),"6.6878144")</f>
        <v>6.6878144</v>
      </c>
      <c r="Z1930" s="4" t="str">
        <f>IFERROR(__xludf.DUMMYFUNCTION("""COMPUTED_VALUE"""),"2.8277963")</f>
        <v>2.8277963</v>
      </c>
      <c r="AA1930" s="4" t="str">
        <f t="shared" si="1"/>
        <v>Not Neighbor</v>
      </c>
      <c r="AC1930" s="4">
        <f>IFERROR(__xludf.DUMMYFUNCTION("IFERROR(ABS(O1930-AVERAGE(FILTER(O1930:O5998,AA1930:AA5998=""Neighbor""))) / STDEV(FILTER(O1930:O5998, AA1930:AA5998 =""Neighbor"")), """")"),0.4194480826528161)</f>
        <v>0.4194480827</v>
      </c>
      <c r="AD1930" s="4">
        <f>IFERROR(__xludf.DUMMYFUNCTION("IFERROR(ABS(P1930-AVERAGE(FILTER(O1930:P5998,AA1930:AA5998=""Neighbor""))) / STDEV(FILTER(P1930:P5998, AA1930:AA5998 =""Neighbor"")), """")"),0.8800419623440213)</f>
        <v>0.8800419623</v>
      </c>
      <c r="AE1930" s="2">
        <f>IFERROR(__xludf.DUMMYFUNCTION("IFERROR(ABS(Q1930-AVERAGE(FILTER(Q1930:Q5998,AA1930:AA5998=""Neighbor""))) / STDEV(FILTER(Q1930:Q5998, AA1930:AA5998 =""Neighbor"")), """")"),0.1800877988767213)</f>
        <v>0.1800877989</v>
      </c>
      <c r="AF1930" s="2">
        <f>IFERROR(__xludf.DUMMYFUNCTION("IFERROR(ABS(R1930-AVERAGE(FILTER(R1930:R5998,AA1930:AA5998=""Neighbor""))) / STDEV(FILTER(R1930:R5998, AA1930:AA5998 =""Neighbor"")), """")"),0.34498724528728747)</f>
        <v>0.3449872453</v>
      </c>
    </row>
    <row r="1931">
      <c r="A1931" s="2" t="s">
        <v>28</v>
      </c>
      <c r="B1931" s="2" t="s">
        <v>7366</v>
      </c>
      <c r="C1931" s="2" t="s">
        <v>7858</v>
      </c>
      <c r="D1931" s="2" t="s">
        <v>7911</v>
      </c>
      <c r="E1931" s="2" t="s">
        <v>7912</v>
      </c>
      <c r="F1931" s="2">
        <v>117.0</v>
      </c>
      <c r="G1931" s="2">
        <v>558.0</v>
      </c>
      <c r="H1931" s="2" t="b">
        <v>1</v>
      </c>
      <c r="I1931" s="2">
        <v>-1.0</v>
      </c>
      <c r="J1931" s="2" t="b">
        <v>0</v>
      </c>
      <c r="K1931" s="2" t="b">
        <v>0</v>
      </c>
      <c r="L1931" s="2" t="b">
        <v>0</v>
      </c>
      <c r="M1931" s="2" t="b">
        <v>0</v>
      </c>
      <c r="N1931" s="2" t="s">
        <v>33</v>
      </c>
      <c r="O1931" s="2">
        <v>66.0</v>
      </c>
      <c r="P1931" s="2">
        <v>20.0</v>
      </c>
      <c r="Q1931" s="2">
        <v>19.0</v>
      </c>
      <c r="R1931" s="2">
        <v>1.0</v>
      </c>
      <c r="S1931" s="3" t="s">
        <v>7913</v>
      </c>
      <c r="T1931" s="2" t="s">
        <v>7914</v>
      </c>
      <c r="Y1931" s="4" t="str">
        <f>IFERROR(__xludf.DUMMYFUNCTION("""COMPUTED_VALUE"""),"6.5343396")</f>
        <v>6.5343396</v>
      </c>
      <c r="Z1931" s="4" t="str">
        <f>IFERROR(__xludf.DUMMYFUNCTION("""COMPUTED_VALUE"""),"2.8415046")</f>
        <v>2.8415046</v>
      </c>
      <c r="AA1931" s="4" t="str">
        <f t="shared" si="1"/>
        <v>Not Neighbor</v>
      </c>
      <c r="AC1931" s="4">
        <f>IFERROR(__xludf.DUMMYFUNCTION("IFERROR(ABS(O1931-AVERAGE(FILTER(O1931:O5999,AA1931:AA5999=""Neighbor""))) / STDEV(FILTER(O1931:O5999, AA1931:AA5999 =""Neighbor"")), """")"),0.33855850856357045)</f>
        <v>0.3385585086</v>
      </c>
      <c r="AD1931" s="4">
        <f>IFERROR(__xludf.DUMMYFUNCTION("IFERROR(ABS(P1931-AVERAGE(FILTER(O1931:P5999,AA1931:AA5999=""Neighbor""))) / STDEV(FILTER(P1931:P5999, AA1931:AA5999 =""Neighbor"")), """")"),0.6600377937168845)</f>
        <v>0.6600377937</v>
      </c>
      <c r="AE1931" s="2">
        <f>IFERROR(__xludf.DUMMYFUNCTION("IFERROR(ABS(Q1931-AVERAGE(FILTER(Q1931:Q5999,AA1931:AA5999=""Neighbor""))) / STDEV(FILTER(Q1931:Q5999, AA1931:AA5999 =""Neighbor"")), """")"),0.036171952254479174)</f>
        <v>0.03617195225</v>
      </c>
      <c r="AF1931" s="2">
        <f>IFERROR(__xludf.DUMMYFUNCTION("IFERROR(ABS(R1931-AVERAGE(FILTER(R1931:R5999,AA1931:AA5999=""Neighbor""))) / STDEV(FILTER(R1931:R5999, AA1931:AA5999 =""Neighbor"")), """")"),0.8652502684221485)</f>
        <v>0.8652502684</v>
      </c>
    </row>
    <row r="1932">
      <c r="A1932" s="2" t="s">
        <v>28</v>
      </c>
      <c r="B1932" s="2" t="s">
        <v>7915</v>
      </c>
      <c r="C1932" s="2" t="s">
        <v>7916</v>
      </c>
      <c r="D1932" s="2" t="s">
        <v>7917</v>
      </c>
      <c r="E1932" s="2" t="s">
        <v>7918</v>
      </c>
      <c r="F1932" s="2">
        <v>131.0</v>
      </c>
      <c r="G1932" s="2">
        <v>797.0</v>
      </c>
      <c r="H1932" s="2" t="b">
        <v>1</v>
      </c>
      <c r="I1932" s="2">
        <v>-1.0</v>
      </c>
      <c r="J1932" s="2" t="b">
        <v>0</v>
      </c>
      <c r="K1932" s="2" t="b">
        <v>1</v>
      </c>
      <c r="L1932" s="2" t="b">
        <v>0</v>
      </c>
      <c r="M1932" s="2" t="b">
        <v>0</v>
      </c>
      <c r="N1932" s="2" t="s">
        <v>33</v>
      </c>
      <c r="O1932" s="2">
        <v>111.0</v>
      </c>
      <c r="P1932" s="2">
        <v>3.0</v>
      </c>
      <c r="Q1932" s="2">
        <v>11.0</v>
      </c>
      <c r="R1932" s="2">
        <v>1.0</v>
      </c>
      <c r="S1932" s="3" t="s">
        <v>7919</v>
      </c>
      <c r="T1932" s="2" t="s">
        <v>7920</v>
      </c>
      <c r="Y1932" s="4" t="str">
        <f>IFERROR(__xludf.DUMMYFUNCTION("""COMPUTED_VALUE"""),"6.8837198")</f>
        <v>6.8837198</v>
      </c>
      <c r="Z1932" s="4" t="str">
        <f>IFERROR(__xludf.DUMMYFUNCTION("""COMPUTED_VALUE"""),"3.4028426")</f>
        <v>3.4028426</v>
      </c>
      <c r="AA1932" s="4" t="str">
        <f t="shared" si="1"/>
        <v>Not Neighbor</v>
      </c>
      <c r="AC1932" s="4">
        <f>IFERROR(__xludf.DUMMYFUNCTION("IFERROR(ABS(O1932-AVERAGE(FILTER(O1932:O6000,AA1932:AA6000=""Neighbor""))) / STDEV(FILTER(O1932:O6000, AA1932:AA6000 =""Neighbor"")), """")"),1.5519021199022545)</f>
        <v>1.55190212</v>
      </c>
      <c r="AD1932" s="4">
        <f>IFERROR(__xludf.DUMMYFUNCTION("IFERROR(ABS(P1932-AVERAGE(FILTER(O1932:P6000,AA1932:AA6000=""Neighbor""))) / STDEV(FILTER(P1932:P6000, AA1932:AA6000 =""Neighbor"")), """")"),1.4080519670491496)</f>
        <v>1.408051967</v>
      </c>
      <c r="AE1932" s="2">
        <f>IFERROR(__xludf.DUMMYFUNCTION("IFERROR(ABS(Q1932-AVERAGE(FILTER(Q1932:Q6000,AA1932:AA6000=""Neighbor""))) / STDEV(FILTER(Q1932:Q6000, AA1932:AA6000 =""Neighbor"")), """")"),0.4199475432471248)</f>
        <v>0.4199475432</v>
      </c>
      <c r="AF1932" s="2">
        <f>IFERROR(__xludf.DUMMYFUNCTION("IFERROR(ABS(R1932-AVERAGE(FILTER(R1932:R6000,AA1932:AA6000=""Neighbor""))) / STDEV(FILTER(R1932:R6000, AA1932:AA6000 =""Neighbor"")), """")"),0.8652502684221485)</f>
        <v>0.8652502684</v>
      </c>
    </row>
    <row r="1933">
      <c r="A1933" s="2" t="s">
        <v>28</v>
      </c>
      <c r="B1933" s="2" t="s">
        <v>7915</v>
      </c>
      <c r="C1933" s="2" t="s">
        <v>7916</v>
      </c>
      <c r="D1933" s="2" t="s">
        <v>7921</v>
      </c>
      <c r="E1933" s="2" t="s">
        <v>7922</v>
      </c>
      <c r="F1933" s="2">
        <v>73.0</v>
      </c>
      <c r="G1933" s="2">
        <v>296.0</v>
      </c>
      <c r="H1933" s="2" t="b">
        <v>1</v>
      </c>
      <c r="I1933" s="2">
        <v>-1.0</v>
      </c>
      <c r="J1933" s="2" t="b">
        <v>0</v>
      </c>
      <c r="K1933" s="2" t="b">
        <v>0</v>
      </c>
      <c r="L1933" s="2" t="b">
        <v>0</v>
      </c>
      <c r="M1933" s="2" t="b">
        <v>0</v>
      </c>
      <c r="N1933" s="2" t="s">
        <v>33</v>
      </c>
      <c r="O1933" s="2">
        <v>67.0</v>
      </c>
      <c r="P1933" s="2">
        <v>1.0</v>
      </c>
      <c r="Q1933" s="2">
        <v>2.0</v>
      </c>
      <c r="R1933" s="2">
        <v>0.0</v>
      </c>
      <c r="S1933" s="3" t="s">
        <v>7923</v>
      </c>
      <c r="T1933" s="2" t="s">
        <v>7924</v>
      </c>
      <c r="Y1933" s="4" t="str">
        <f>IFERROR(__xludf.DUMMYFUNCTION("""COMPUTED_VALUE"""),"6.831225")</f>
        <v>6.831225</v>
      </c>
      <c r="Z1933" s="4" t="str">
        <f>IFERROR(__xludf.DUMMYFUNCTION("""COMPUTED_VALUE"""),"3.2886241")</f>
        <v>3.2886241</v>
      </c>
      <c r="AA1933" s="4" t="str">
        <f t="shared" si="1"/>
        <v>Not Neighbor</v>
      </c>
      <c r="AC1933" s="4">
        <f>IFERROR(__xludf.DUMMYFUNCTION("IFERROR(ABS(O1933-AVERAGE(FILTER(O1933:O6001,AA1933:AA6001=""Neighbor""))) / STDEV(FILTER(O1933:O6001, AA1933:AA6001 =""Neighbor"")), """")"),0.36552169992665234)</f>
        <v>0.3655216999</v>
      </c>
      <c r="AD1933" s="4">
        <f>IFERROR(__xludf.DUMMYFUNCTION("IFERROR(ABS(P1933-AVERAGE(FILTER(O1933:P6001,AA1933:AA6001=""Neighbor""))) / STDEV(FILTER(P1933:P6001, AA1933:AA6001 =""Neighbor"")), """")"),1.4960536345000042)</f>
        <v>1.496053635</v>
      </c>
      <c r="AE1933" s="2">
        <f>IFERROR(__xludf.DUMMYFUNCTION("IFERROR(ABS(Q1933-AVERAGE(FILTER(Q1933:Q6001,AA1933:AA6001=""Neighbor""))) / STDEV(FILTER(Q1933:Q6001, AA1933:AA6001 =""Neighbor"")), """")"),0.8516950831138511)</f>
        <v>0.8516950831</v>
      </c>
      <c r="AF1933" s="2">
        <f>IFERROR(__xludf.DUMMYFUNCTION("IFERROR(ABS(R1933-AVERAGE(FILTER(R1933:R6001,AA1933:AA6001=""Neighbor""))) / STDEV(FILTER(R1933:R6001, AA1933:AA6001 =""Neighbor"")), """")"),0.34498724528728747)</f>
        <v>0.3449872453</v>
      </c>
    </row>
    <row r="1934">
      <c r="A1934" s="2" t="s">
        <v>28</v>
      </c>
      <c r="B1934" s="2" t="s">
        <v>7915</v>
      </c>
      <c r="C1934" s="2" t="s">
        <v>7916</v>
      </c>
      <c r="D1934" s="2" t="s">
        <v>7925</v>
      </c>
      <c r="E1934" s="2" t="s">
        <v>7926</v>
      </c>
      <c r="F1934" s="2">
        <v>94.0</v>
      </c>
      <c r="G1934" s="2">
        <v>585.0</v>
      </c>
      <c r="H1934" s="2" t="b">
        <v>1</v>
      </c>
      <c r="I1934" s="2">
        <v>-1.0</v>
      </c>
      <c r="J1934" s="2" t="b">
        <v>0</v>
      </c>
      <c r="K1934" s="2" t="b">
        <v>0</v>
      </c>
      <c r="L1934" s="2" t="b">
        <v>0</v>
      </c>
      <c r="M1934" s="2" t="b">
        <v>0</v>
      </c>
      <c r="N1934" s="2" t="s">
        <v>33</v>
      </c>
      <c r="O1934" s="2">
        <v>0.0</v>
      </c>
      <c r="P1934" s="2">
        <v>0.0</v>
      </c>
      <c r="Q1934" s="2">
        <v>0.0</v>
      </c>
      <c r="R1934" s="2">
        <v>0.0</v>
      </c>
      <c r="S1934" s="3" t="s">
        <v>7927</v>
      </c>
      <c r="T1934" s="2" t="s">
        <v>7928</v>
      </c>
      <c r="Y1934" s="4" t="str">
        <f>IFERROR(__xludf.DUMMYFUNCTION("""COMPUTED_VALUE"""),"6.8829486")</f>
        <v>6.8829486</v>
      </c>
      <c r="Z1934" s="4" t="str">
        <f>IFERROR(__xludf.DUMMYFUNCTION("""COMPUTED_VALUE"""),"3.3697542")</f>
        <v>3.3697542</v>
      </c>
      <c r="AA1934" s="4" t="str">
        <f t="shared" si="1"/>
        <v>Neighbor</v>
      </c>
      <c r="AC1934" s="4">
        <f>IFERROR(__xludf.DUMMYFUNCTION("IFERROR(ABS(O1934-AVERAGE(FILTER(O1934:O6002,AA1934:AA6002=""Neighbor""))) / STDEV(FILTER(O1934:O6002, AA1934:AA6002 =""Neighbor"")), """")"),1.4410121213998326)</f>
        <v>1.441012121</v>
      </c>
      <c r="AD1934" s="4">
        <f>IFERROR(__xludf.DUMMYFUNCTION("IFERROR(ABS(P1934-AVERAGE(FILTER(O1934:P6002,AA1934:AA6002=""Neighbor""))) / STDEV(FILTER(P1934:P6002, AA1934:AA6002 =""Neighbor"")), """")"),1.5400544682254316)</f>
        <v>1.540054468</v>
      </c>
      <c r="AE1934" s="2">
        <f>IFERROR(__xludf.DUMMYFUNCTION("IFERROR(ABS(Q1934-AVERAGE(FILTER(Q1934:Q6002,AA1934:AA6002=""Neighbor""))) / STDEV(FILTER(Q1934:Q6002, AA1934:AA6002 =""Neighbor"")), """")"),0.9476389808620126)</f>
        <v>0.9476389809</v>
      </c>
      <c r="AF1934" s="2">
        <f>IFERROR(__xludf.DUMMYFUNCTION("IFERROR(ABS(R1934-AVERAGE(FILTER(R1934:R6002,AA1934:AA6002=""Neighbor""))) / STDEV(FILTER(R1934:R6002, AA1934:AA6002 =""Neighbor"")), """")"),0.34498724528728747)</f>
        <v>0.3449872453</v>
      </c>
    </row>
    <row r="1935">
      <c r="A1935" s="2" t="s">
        <v>28</v>
      </c>
      <c r="B1935" s="2" t="s">
        <v>7915</v>
      </c>
      <c r="C1935" s="2" t="s">
        <v>7916</v>
      </c>
      <c r="D1935" s="2" t="s">
        <v>7929</v>
      </c>
      <c r="E1935" s="2" t="s">
        <v>7930</v>
      </c>
      <c r="F1935" s="2">
        <v>32.0</v>
      </c>
      <c r="G1935" s="2">
        <v>228.0</v>
      </c>
      <c r="H1935" s="2" t="b">
        <v>1</v>
      </c>
      <c r="I1935" s="2">
        <v>-1.0</v>
      </c>
      <c r="J1935" s="2" t="b">
        <v>0</v>
      </c>
      <c r="K1935" s="2" t="b">
        <v>0</v>
      </c>
      <c r="L1935" s="2" t="b">
        <v>0</v>
      </c>
      <c r="M1935" s="2" t="b">
        <v>0</v>
      </c>
      <c r="N1935" s="2" t="s">
        <v>33</v>
      </c>
      <c r="O1935" s="2">
        <v>24.0</v>
      </c>
      <c r="P1935" s="2">
        <v>2.0</v>
      </c>
      <c r="Q1935" s="2">
        <v>3.0</v>
      </c>
      <c r="R1935" s="2">
        <v>0.0</v>
      </c>
      <c r="S1935" s="3" t="s">
        <v>7931</v>
      </c>
      <c r="T1935" s="2" t="s">
        <v>7932</v>
      </c>
      <c r="Y1935" s="4" t="str">
        <f>IFERROR(__xludf.DUMMYFUNCTION("""COMPUTED_VALUE"""),"6.8829486")</f>
        <v>6.8829486</v>
      </c>
      <c r="Z1935" s="4" t="str">
        <f>IFERROR(__xludf.DUMMYFUNCTION("""COMPUTED_VALUE"""),"3.3697542")</f>
        <v>3.3697542</v>
      </c>
      <c r="AA1935" s="4" t="str">
        <f t="shared" si="1"/>
        <v>Neighbor</v>
      </c>
      <c r="AC1935" s="4">
        <f>IFERROR(__xludf.DUMMYFUNCTION("IFERROR(ABS(O1935-AVERAGE(FILTER(O1935:O6003,AA1935:AA6003=""Neighbor""))) / STDEV(FILTER(O1935:O6003, AA1935:AA6003 =""Neighbor"")), """")"),0.7960486600648344)</f>
        <v>0.7960486601</v>
      </c>
      <c r="AD1935" s="4">
        <f>IFERROR(__xludf.DUMMYFUNCTION("IFERROR(ABS(P1935-AVERAGE(FILTER(O1935:P6003,AA1935:AA6003=""Neighbor""))) / STDEV(FILTER(P1935:P6003, AA1935:AA6003 =""Neighbor"")), """")"),1.4534327293811518)</f>
        <v>1.453432729</v>
      </c>
      <c r="AE1935" s="2">
        <f>IFERROR(__xludf.DUMMYFUNCTION("IFERROR(ABS(Q1935-AVERAGE(FILTER(Q1935:Q6003,AA1935:AA6003=""Neighbor""))) / STDEV(FILTER(Q1935:Q6003, AA1935:AA6003 =""Neighbor"")), """")"),0.8047668327218191)</f>
        <v>0.8047668327</v>
      </c>
      <c r="AF1935" s="2">
        <f>IFERROR(__xludf.DUMMYFUNCTION("IFERROR(ABS(R1935-AVERAGE(FILTER(R1935:R6003,AA1935:AA6003=""Neighbor""))) / STDEV(FILTER(R1935:R6003, AA1935:AA6003 =""Neighbor"")), """")"),0.34520912388290287)</f>
        <v>0.3452091239</v>
      </c>
    </row>
    <row r="1936">
      <c r="A1936" s="2" t="s">
        <v>28</v>
      </c>
      <c r="B1936" s="2" t="s">
        <v>7915</v>
      </c>
      <c r="C1936" s="2" t="s">
        <v>7916</v>
      </c>
      <c r="D1936" s="2" t="s">
        <v>7933</v>
      </c>
      <c r="E1936" s="2" t="s">
        <v>7934</v>
      </c>
      <c r="F1936" s="2">
        <v>36.0</v>
      </c>
      <c r="G1936" s="2">
        <v>167.0</v>
      </c>
      <c r="H1936" s="2" t="b">
        <v>1</v>
      </c>
      <c r="I1936" s="2">
        <v>-1.0</v>
      </c>
      <c r="J1936" s="2" t="b">
        <v>0</v>
      </c>
      <c r="K1936" s="2" t="b">
        <v>0</v>
      </c>
      <c r="L1936" s="2" t="b">
        <v>0</v>
      </c>
      <c r="M1936" s="2" t="b">
        <v>0</v>
      </c>
      <c r="N1936" s="2" t="s">
        <v>33</v>
      </c>
      <c r="O1936" s="2">
        <v>22.0</v>
      </c>
      <c r="P1936" s="2">
        <v>0.0</v>
      </c>
      <c r="Q1936" s="2">
        <v>1.0</v>
      </c>
      <c r="R1936" s="2">
        <v>0.0</v>
      </c>
      <c r="S1936" s="3" t="s">
        <v>7935</v>
      </c>
      <c r="T1936" s="2" t="s">
        <v>7936</v>
      </c>
      <c r="Y1936" s="4" t="str">
        <f>IFERROR(__xludf.DUMMYFUNCTION("""COMPUTED_VALUE"""),"6.8829486")</f>
        <v>6.8829486</v>
      </c>
      <c r="Z1936" s="4" t="str">
        <f>IFERROR(__xludf.DUMMYFUNCTION("""COMPUTED_VALUE"""),"3.3697542")</f>
        <v>3.3697542</v>
      </c>
      <c r="AA1936" s="4" t="str">
        <f t="shared" si="1"/>
        <v>Not Neighbor</v>
      </c>
      <c r="AC1936" s="4">
        <f>IFERROR(__xludf.DUMMYFUNCTION("IFERROR(ABS(O1936-AVERAGE(FILTER(O1936:O6004,AA1936:AA6004=""Neighbor""))) / STDEV(FILTER(O1936:O6004, AA1936:AA6004 =""Neighbor"")), """")"),0.8507463528890205)</f>
        <v>0.8507463529</v>
      </c>
      <c r="AD1936" s="4">
        <f>IFERROR(__xludf.DUMMYFUNCTION("IFERROR(ABS(P1936-AVERAGE(FILTER(O1936:P6004,AA1936:AA6004=""Neighbor""))) / STDEV(FILTER(P1936:P6004, AA1936:AA6004 =""Neighbor"")), """")"),1.542004504893625)</f>
        <v>1.542004505</v>
      </c>
      <c r="AE1936" s="2">
        <f>IFERROR(__xludf.DUMMYFUNCTION("IFERROR(ABS(Q1936-AVERAGE(FILTER(Q1936:Q6004,AA1936:AA6004=""Neighbor""))) / STDEV(FILTER(Q1936:Q6004, AA1936:AA6004 =""Neighbor"")), """")"),0.901449533700507)</f>
        <v>0.9014495337</v>
      </c>
      <c r="AF1936" s="2">
        <f>IFERROR(__xludf.DUMMYFUNCTION("IFERROR(ABS(R1936-AVERAGE(FILTER(R1936:R6004,AA1936:AA6004=""Neighbor""))) / STDEV(FILTER(R1936:R6004, AA1936:AA6004 =""Neighbor"")), """")"),0.3454314311960241)</f>
        <v>0.3454314312</v>
      </c>
    </row>
    <row r="1937">
      <c r="A1937" s="2" t="s">
        <v>28</v>
      </c>
      <c r="B1937" s="2" t="s">
        <v>7915</v>
      </c>
      <c r="C1937" s="2" t="s">
        <v>7937</v>
      </c>
      <c r="D1937" s="2" t="s">
        <v>7938</v>
      </c>
      <c r="E1937" s="2" t="s">
        <v>7939</v>
      </c>
      <c r="F1937" s="2">
        <v>43.0</v>
      </c>
      <c r="G1937" s="2">
        <v>985.0</v>
      </c>
      <c r="H1937" s="2" t="b">
        <v>1</v>
      </c>
      <c r="I1937" s="2">
        <v>-1.0</v>
      </c>
      <c r="J1937" s="2" t="b">
        <v>0</v>
      </c>
      <c r="K1937" s="2" t="b">
        <v>0</v>
      </c>
      <c r="L1937" s="2" t="b">
        <v>0</v>
      </c>
      <c r="M1937" s="2" t="b">
        <v>0</v>
      </c>
      <c r="N1937" s="2" t="s">
        <v>33</v>
      </c>
      <c r="O1937" s="2">
        <v>26.0</v>
      </c>
      <c r="P1937" s="2">
        <v>2.0</v>
      </c>
      <c r="Q1937" s="2">
        <v>5.0</v>
      </c>
      <c r="R1937" s="2">
        <v>0.0</v>
      </c>
      <c r="S1937" s="3" t="s">
        <v>7940</v>
      </c>
      <c r="T1937" s="2" t="s">
        <v>7941</v>
      </c>
      <c r="Y1937" s="4" t="str">
        <f>IFERROR(__xludf.DUMMYFUNCTION("""COMPUTED_VALUE"""),"6.8410047")</f>
        <v>6.8410047</v>
      </c>
      <c r="Z1937" s="4" t="str">
        <f>IFERROR(__xludf.DUMMYFUNCTION("""COMPUTED_VALUE"""),"3.4396991")</f>
        <v>3.4396991</v>
      </c>
      <c r="AA1937" s="4" t="str">
        <f t="shared" si="1"/>
        <v>Neighbor</v>
      </c>
      <c r="AC1937" s="4">
        <f>IFERROR(__xludf.DUMMYFUNCTION("IFERROR(ABS(O1937-AVERAGE(FILTER(O1937:O6005,AA1937:AA6005=""Neighbor""))) / STDEV(FILTER(O1937:O6005, AA1937:AA6005 =""Neighbor"")), """")"),0.7428492409212136)</f>
        <v>0.7428492409</v>
      </c>
      <c r="AD1937" s="4">
        <f>IFERROR(__xludf.DUMMYFUNCTION("IFERROR(ABS(P1937-AVERAGE(FILTER(O1937:P6005,AA1937:AA6005=""Neighbor""))) / STDEV(FILTER(P1937:P6005, AA1937:AA6005 =""Neighbor"")), """")"),1.454056420442033)</f>
        <v>1.45405642</v>
      </c>
      <c r="AE1937" s="2">
        <f>IFERROR(__xludf.DUMMYFUNCTION("IFERROR(ABS(Q1937-AVERAGE(FILTER(Q1937:Q6005,AA1937:AA6005=""Neighbor""))) / STDEV(FILTER(Q1937:Q6005, AA1937:AA6005 =""Neighbor"")), """")"),0.7096117904575918)</f>
        <v>0.7096117905</v>
      </c>
      <c r="AF1937" s="2">
        <f>IFERROR(__xludf.DUMMYFUNCTION("IFERROR(ABS(R1937-AVERAGE(FILTER(R1937:R6005,AA1937:AA6005=""Neighbor""))) / STDEV(FILTER(R1937:R6005, AA1937:AA6005 =""Neighbor"")), """")"),0.3454314311960241)</f>
        <v>0.3454314312</v>
      </c>
    </row>
    <row r="1938">
      <c r="A1938" s="2" t="s">
        <v>28</v>
      </c>
      <c r="B1938" s="2" t="s">
        <v>7915</v>
      </c>
      <c r="C1938" s="2" t="s">
        <v>7937</v>
      </c>
      <c r="D1938" s="2" t="s">
        <v>7942</v>
      </c>
      <c r="E1938" s="2" t="s">
        <v>7943</v>
      </c>
      <c r="F1938" s="2">
        <v>139.0</v>
      </c>
      <c r="G1938" s="2">
        <v>1078.0</v>
      </c>
      <c r="H1938" s="2" t="b">
        <v>1</v>
      </c>
      <c r="I1938" s="2">
        <v>-1.0</v>
      </c>
      <c r="J1938" s="2" t="b">
        <v>1</v>
      </c>
      <c r="K1938" s="2" t="b">
        <v>1</v>
      </c>
      <c r="L1938" s="2" t="b">
        <v>0</v>
      </c>
      <c r="M1938" s="2" t="b">
        <v>0</v>
      </c>
      <c r="N1938" s="2" t="s">
        <v>33</v>
      </c>
      <c r="O1938" s="2">
        <v>101.0</v>
      </c>
      <c r="P1938" s="2">
        <v>24.0</v>
      </c>
      <c r="Q1938" s="2">
        <v>6.0</v>
      </c>
      <c r="R1938" s="2">
        <v>0.0</v>
      </c>
      <c r="S1938" s="3" t="s">
        <v>7944</v>
      </c>
      <c r="T1938" s="2" t="s">
        <v>7945</v>
      </c>
      <c r="Y1938" s="4" t="str">
        <f>IFERROR(__xludf.DUMMYFUNCTION("""COMPUTED_VALUE"""),"6.8410047")</f>
        <v>6.8410047</v>
      </c>
      <c r="Z1938" s="4" t="str">
        <f>IFERROR(__xludf.DUMMYFUNCTION("""COMPUTED_VALUE"""),"3.4396991")</f>
        <v>3.4396991</v>
      </c>
      <c r="AA1938" s="4" t="str">
        <f t="shared" si="1"/>
        <v>Not Neighbor</v>
      </c>
      <c r="AC1938" s="4">
        <f>IFERROR(__xludf.DUMMYFUNCTION("IFERROR(ABS(O1938-AVERAGE(FILTER(O1938:O6006,AA1938:AA6006=""Neighbor""))) / STDEV(FILTER(O1938:O6006, AA1938:AA6006 =""Neighbor"")), """")"),1.2790343520719862)</f>
        <v>1.279034352</v>
      </c>
      <c r="AD1938" s="4">
        <f>IFERROR(__xludf.DUMMYFUNCTION("IFERROR(ABS(P1938-AVERAGE(FILTER(O1938:P6006,AA1938:AA6006=""Neighbor""))) / STDEV(FILTER(P1938:P6006, AA1938:AA6006 =""Neighbor"")), """")"),0.4875305632312267)</f>
        <v>0.4875305632</v>
      </c>
      <c r="AE1938" s="2">
        <f>IFERROR(__xludf.DUMMYFUNCTION("IFERROR(ABS(Q1938-AVERAGE(FILTER(Q1938:Q6006,AA1938:AA6006=""Neighbor""))) / STDEV(FILTER(Q1938:Q6006, AA1938:AA6006 =""Neighbor"")), """")"),0.6622812391951475)</f>
        <v>0.6622812392</v>
      </c>
      <c r="AF1938" s="2">
        <f>IFERROR(__xludf.DUMMYFUNCTION("IFERROR(ABS(R1938-AVERAGE(FILTER(R1938:R6006,AA1938:AA6006=""Neighbor""))) / STDEV(FILTER(R1938:R6006, AA1938:AA6006 =""Neighbor"")), """")"),0.3456541686092339)</f>
        <v>0.3456541686</v>
      </c>
    </row>
    <row r="1939">
      <c r="A1939" s="2" t="s">
        <v>28</v>
      </c>
      <c r="B1939" s="2" t="s">
        <v>7915</v>
      </c>
      <c r="C1939" s="2" t="s">
        <v>7937</v>
      </c>
      <c r="D1939" s="2" t="s">
        <v>7946</v>
      </c>
      <c r="E1939" s="2" t="s">
        <v>7947</v>
      </c>
      <c r="F1939" s="2">
        <v>170.0</v>
      </c>
      <c r="G1939" s="2">
        <v>1734.0</v>
      </c>
      <c r="H1939" s="2" t="b">
        <v>1</v>
      </c>
      <c r="I1939" s="2">
        <v>-1.0</v>
      </c>
      <c r="J1939" s="2" t="b">
        <v>0</v>
      </c>
      <c r="K1939" s="2" t="b">
        <v>1</v>
      </c>
      <c r="L1939" s="2" t="b">
        <v>0</v>
      </c>
      <c r="M1939" s="2" t="b">
        <v>0</v>
      </c>
      <c r="N1939" s="2" t="s">
        <v>33</v>
      </c>
      <c r="O1939" s="2">
        <v>85.0</v>
      </c>
      <c r="P1939" s="2">
        <v>65.0</v>
      </c>
      <c r="Q1939" s="2">
        <v>8.0</v>
      </c>
      <c r="R1939" s="2">
        <v>2.0</v>
      </c>
      <c r="S1939" s="3" t="s">
        <v>7948</v>
      </c>
      <c r="T1939" s="2" t="s">
        <v>7949</v>
      </c>
      <c r="Y1939" s="4" t="str">
        <f>IFERROR(__xludf.DUMMYFUNCTION("""COMPUTED_VALUE"""),"6.8644897")</f>
        <v>6.8644897</v>
      </c>
      <c r="Z1939" s="4" t="str">
        <f>IFERROR(__xludf.DUMMYFUNCTION("""COMPUTED_VALUE"""),"3.4272691")</f>
        <v>3.4272691</v>
      </c>
      <c r="AA1939" s="4" t="str">
        <f t="shared" si="1"/>
        <v>Neighbor</v>
      </c>
      <c r="AC1939" s="4">
        <f>IFERROR(__xludf.DUMMYFUNCTION("IFERROR(ABS(O1939-AVERAGE(FILTER(O1939:O6007,AA1939:AA6007=""Neighbor""))) / STDEV(FILTER(O1939:O6007, AA1939:AA6007 =""Neighbor"")), """")"),0.8475573808907748)</f>
        <v>0.8475573809</v>
      </c>
      <c r="AD1939" s="4">
        <f>IFERROR(__xludf.DUMMYFUNCTION("IFERROR(ABS(P1939-AVERAGE(FILTER(O1939:P6007,AA1939:AA6007=""Neighbor""))) / STDEV(FILTER(P1939:P6007, AA1939:AA6007 =""Neighbor"")), """")"),1.314793697720405)</f>
        <v>1.314793698</v>
      </c>
      <c r="AE1939" s="2">
        <f>IFERROR(__xludf.DUMMYFUNCTION("IFERROR(ABS(Q1939-AVERAGE(FILTER(Q1939:Q6007,AA1939:AA6007=""Neighbor""))) / STDEV(FILTER(Q1939:Q6007, AA1939:AA6007 =""Neighbor"")), """")"),0.5663898172876337)</f>
        <v>0.5663898173</v>
      </c>
      <c r="AF1939" s="2">
        <f>IFERROR(__xludf.DUMMYFUNCTION("IFERROR(ABS(R1939-AVERAGE(FILTER(R1939:R6007,AA1939:AA6007=""Neighbor""))) / STDEV(FILTER(R1939:R6007, AA1939:AA6007 =""Neighbor"")), """")"),2.071137478037587)</f>
        <v>2.071137478</v>
      </c>
    </row>
    <row r="1940">
      <c r="A1940" s="2" t="s">
        <v>28</v>
      </c>
      <c r="B1940" s="2" t="s">
        <v>7915</v>
      </c>
      <c r="C1940" s="2" t="s">
        <v>7937</v>
      </c>
      <c r="D1940" s="2" t="s">
        <v>7950</v>
      </c>
      <c r="E1940" s="2" t="s">
        <v>7951</v>
      </c>
      <c r="F1940" s="2">
        <v>128.0</v>
      </c>
      <c r="G1940" s="2">
        <v>1649.0</v>
      </c>
      <c r="H1940" s="2" t="b">
        <v>1</v>
      </c>
      <c r="I1940" s="2">
        <v>-1.0</v>
      </c>
      <c r="J1940" s="2" t="b">
        <v>0</v>
      </c>
      <c r="K1940" s="2" t="b">
        <v>0</v>
      </c>
      <c r="L1940" s="2" t="b">
        <v>0</v>
      </c>
      <c r="M1940" s="2" t="b">
        <v>0</v>
      </c>
      <c r="N1940" s="2" t="s">
        <v>33</v>
      </c>
      <c r="O1940" s="2">
        <v>70.0</v>
      </c>
      <c r="P1940" s="2">
        <v>38.0</v>
      </c>
      <c r="Q1940" s="2">
        <v>9.0</v>
      </c>
      <c r="R1940" s="2">
        <v>1.0</v>
      </c>
      <c r="S1940" s="3" t="s">
        <v>7952</v>
      </c>
      <c r="T1940" s="2" t="s">
        <v>7953</v>
      </c>
      <c r="Y1940" s="4" t="str">
        <f>IFERROR(__xludf.DUMMYFUNCTION("""COMPUTED_VALUE"""),"6.8644897")</f>
        <v>6.8644897</v>
      </c>
      <c r="Z1940" s="4" t="str">
        <f>IFERROR(__xludf.DUMMYFUNCTION("""COMPUTED_VALUE"""),"3.4272691")</f>
        <v>3.4272691</v>
      </c>
      <c r="AA1940" s="4" t="str">
        <f t="shared" si="1"/>
        <v>Neighbor</v>
      </c>
      <c r="AC1940" s="4">
        <f>IFERROR(__xludf.DUMMYFUNCTION("IFERROR(ABS(O1940-AVERAGE(FILTER(O1940:O6008,AA1940:AA6008=""Neighbor""))) / STDEV(FILTER(O1940:O6008, AA1940:AA6008 =""Neighbor"")), """")"),0.44395436638950514)</f>
        <v>0.4439543664</v>
      </c>
      <c r="AD1940" s="4">
        <f>IFERROR(__xludf.DUMMYFUNCTION("IFERROR(ABS(P1940-AVERAGE(FILTER(O1940:P6008,AA1940:AA6008=""Neighbor""))) / STDEV(FILTER(P1940:P6008, AA1940:AA6008 =""Neighbor"")), """")"),0.13018900688048582)</f>
        <v>0.1301890069</v>
      </c>
      <c r="AE1940" s="2">
        <f>IFERROR(__xludf.DUMMYFUNCTION("IFERROR(ABS(Q1940-AVERAGE(FILTER(Q1940:Q6008,AA1940:AA6008=""Neighbor""))) / STDEV(FILTER(Q1940:Q6008, AA1940:AA6008 =""Neighbor"")), """")"),0.5188945678057629)</f>
        <v>0.5188945678</v>
      </c>
      <c r="AF1940" s="2">
        <f>IFERROR(__xludf.DUMMYFUNCTION("IFERROR(ABS(R1940-AVERAGE(FILTER(R1940:R6008,AA1940:AA6008=""Neighbor""))) / STDEV(FILTER(R1940:R6008, AA1940:AA6008 =""Neighbor"")), """")"),0.8667855253988254)</f>
        <v>0.8667855254</v>
      </c>
    </row>
    <row r="1941">
      <c r="A1941" s="2" t="s">
        <v>28</v>
      </c>
      <c r="B1941" s="2" t="s">
        <v>7915</v>
      </c>
      <c r="C1941" s="2" t="s">
        <v>7937</v>
      </c>
      <c r="D1941" s="2" t="s">
        <v>7954</v>
      </c>
      <c r="E1941" s="2" t="s">
        <v>7955</v>
      </c>
      <c r="F1941" s="2">
        <v>78.0</v>
      </c>
      <c r="G1941" s="2">
        <v>1288.0</v>
      </c>
      <c r="H1941" s="2" t="b">
        <v>1</v>
      </c>
      <c r="I1941" s="2">
        <v>-1.0</v>
      </c>
      <c r="J1941" s="2" t="b">
        <v>0</v>
      </c>
      <c r="K1941" s="2" t="b">
        <v>0</v>
      </c>
      <c r="L1941" s="2" t="b">
        <v>0</v>
      </c>
      <c r="M1941" s="2" t="b">
        <v>0</v>
      </c>
      <c r="N1941" s="2" t="s">
        <v>33</v>
      </c>
      <c r="O1941" s="2">
        <v>51.0</v>
      </c>
      <c r="P1941" s="2">
        <v>10.0</v>
      </c>
      <c r="Q1941" s="2">
        <v>9.0</v>
      </c>
      <c r="R1941" s="2">
        <v>0.0</v>
      </c>
      <c r="S1941" s="3" t="s">
        <v>7956</v>
      </c>
      <c r="T1941" s="2" t="s">
        <v>7957</v>
      </c>
      <c r="Y1941" s="4" t="str">
        <f>IFERROR(__xludf.DUMMYFUNCTION("""COMPUTED_VALUE"""),"6.8644897")</f>
        <v>6.8644897</v>
      </c>
      <c r="Z1941" s="4" t="str">
        <f>IFERROR(__xludf.DUMMYFUNCTION("""COMPUTED_VALUE"""),"3.4272691")</f>
        <v>3.4272691</v>
      </c>
      <c r="AA1941" s="4" t="str">
        <f t="shared" si="1"/>
        <v>Not Neighbor</v>
      </c>
      <c r="AC1941" s="4">
        <f>IFERROR(__xludf.DUMMYFUNCTION("IFERROR(ABS(O1941-AVERAGE(FILTER(O1941:O6009,AA1941:AA6009=""Neighbor""))) / STDEV(FILTER(O1941:O6009, AA1941:AA6009 =""Neighbor"")), """")"),0.06779665969868191)</f>
        <v>0.0677966597</v>
      </c>
      <c r="AD1941" s="4">
        <f>IFERROR(__xludf.DUMMYFUNCTION("IFERROR(ABS(P1941-AVERAGE(FILTER(O1941:P6009,AA1941:AA6009=""Neighbor""))) / STDEV(FILTER(P1941:P6009, AA1941:AA6009 =""Neighbor"")), """")"),1.1021526232304846)</f>
        <v>1.102152623</v>
      </c>
      <c r="AE1941" s="2">
        <f>IFERROR(__xludf.DUMMYFUNCTION("IFERROR(ABS(Q1941-AVERAGE(FILTER(Q1941:Q6009,AA1941:AA6009=""Neighbor""))) / STDEV(FILTER(Q1941:Q6009, AA1941:AA6009 =""Neighbor"")), """")"),0.5192749912806385)</f>
        <v>0.5192749913</v>
      </c>
      <c r="AF1941" s="2">
        <f>IFERROR(__xludf.DUMMYFUNCTION("IFERROR(ABS(R1941-AVERAGE(FILTER(R1941:R6009,AA1941:AA6009=""Neighbor""))) / STDEV(FILTER(R1941:R6009, AA1941:AA6009 =""Neighbor"")), """")"),0.3428668962552486)</f>
        <v>0.3428668963</v>
      </c>
    </row>
    <row r="1942">
      <c r="A1942" s="2" t="s">
        <v>28</v>
      </c>
      <c r="B1942" s="2" t="s">
        <v>7915</v>
      </c>
      <c r="C1942" s="2" t="s">
        <v>7937</v>
      </c>
      <c r="D1942" s="2" t="s">
        <v>7958</v>
      </c>
      <c r="E1942" s="2" t="s">
        <v>7959</v>
      </c>
      <c r="F1942" s="2">
        <v>187.0</v>
      </c>
      <c r="G1942" s="2">
        <v>2311.0</v>
      </c>
      <c r="H1942" s="2" t="b">
        <v>1</v>
      </c>
      <c r="I1942" s="2">
        <v>-1.0</v>
      </c>
      <c r="J1942" s="2" t="b">
        <v>1</v>
      </c>
      <c r="K1942" s="2" t="b">
        <v>0</v>
      </c>
      <c r="L1942" s="2" t="b">
        <v>0</v>
      </c>
      <c r="M1942" s="2" t="b">
        <v>0</v>
      </c>
      <c r="N1942" s="2" t="s">
        <v>33</v>
      </c>
      <c r="O1942" s="2">
        <v>89.0</v>
      </c>
      <c r="P1942" s="2">
        <v>71.0</v>
      </c>
      <c r="Q1942" s="2">
        <v>12.0</v>
      </c>
      <c r="R1942" s="2">
        <v>0.0</v>
      </c>
      <c r="S1942" s="3" t="s">
        <v>7960</v>
      </c>
      <c r="T1942" s="2" t="s">
        <v>7961</v>
      </c>
      <c r="Y1942" s="4" t="str">
        <f>IFERROR(__xludf.DUMMYFUNCTION("""COMPUTED_VALUE"""),"6.7722475")</f>
        <v>6.7722475</v>
      </c>
      <c r="Z1942" s="4" t="str">
        <f>IFERROR(__xludf.DUMMYFUNCTION("""COMPUTED_VALUE"""),"3.4207156")</f>
        <v>3.4207156</v>
      </c>
      <c r="AA1942" s="4" t="str">
        <f t="shared" si="1"/>
        <v>Neighbor</v>
      </c>
      <c r="AC1942" s="4">
        <f>IFERROR(__xludf.DUMMYFUNCTION("IFERROR(ABS(O1942-AVERAGE(FILTER(O1942:O6010,AA1942:AA6010=""Neighbor""))) / STDEV(FILTER(O1942:O6010, AA1942:AA6010 =""Neighbor"")), """")"),0.9563192430107277)</f>
        <v>0.956319243</v>
      </c>
      <c r="AD1942" s="4">
        <f>IFERROR(__xludf.DUMMYFUNCTION("IFERROR(ABS(P1942-AVERAGE(FILTER(O1942:P6010,AA1942:AA6010=""Neighbor""))) / STDEV(FILTER(P1942:P6010, AA1942:AA6010 =""Neighbor"")), """")"),1.5846769715745015)</f>
        <v>1.584676972</v>
      </c>
      <c r="AE1942" s="2">
        <f>IFERROR(__xludf.DUMMYFUNCTION("IFERROR(ABS(Q1942-AVERAGE(FILTER(Q1942:Q6010,AA1942:AA6010=""Neighbor""))) / STDEV(FILTER(Q1942:Q6010, AA1942:AA6010 =""Neighbor"")), """")"),0.3755550038261529)</f>
        <v>0.3755550038</v>
      </c>
      <c r="AF1942" s="2">
        <f>IFERROR(__xludf.DUMMYFUNCTION("IFERROR(ABS(R1942-AVERAGE(FILTER(R1942:R6010,AA1942:AA6010=""Neighbor""))) / STDEV(FILTER(R1942:R6010, AA1942:AA6010 =""Neighbor"")), """")"),0.3428668962552486)</f>
        <v>0.3428668963</v>
      </c>
    </row>
    <row r="1943">
      <c r="A1943" s="2" t="s">
        <v>28</v>
      </c>
      <c r="B1943" s="2" t="s">
        <v>7915</v>
      </c>
      <c r="C1943" s="2" t="s">
        <v>7937</v>
      </c>
      <c r="D1943" s="2" t="s">
        <v>7962</v>
      </c>
      <c r="E1943" s="2" t="s">
        <v>7963</v>
      </c>
      <c r="F1943" s="2">
        <v>199.0</v>
      </c>
      <c r="G1943" s="2">
        <v>3679.0</v>
      </c>
      <c r="H1943" s="2" t="b">
        <v>1</v>
      </c>
      <c r="I1943" s="2">
        <v>-1.0</v>
      </c>
      <c r="J1943" s="2" t="b">
        <v>0</v>
      </c>
      <c r="K1943" s="2" t="b">
        <v>0</v>
      </c>
      <c r="L1943" s="2" t="b">
        <v>0</v>
      </c>
      <c r="M1943" s="2" t="b">
        <v>0</v>
      </c>
      <c r="N1943" s="2" t="s">
        <v>33</v>
      </c>
      <c r="O1943" s="2">
        <v>111.0</v>
      </c>
      <c r="P1943" s="2">
        <v>70.0</v>
      </c>
      <c r="Q1943" s="2">
        <v>6.0</v>
      </c>
      <c r="R1943" s="2">
        <v>0.0</v>
      </c>
      <c r="S1943" s="3" t="s">
        <v>7964</v>
      </c>
      <c r="T1943" s="2" t="s">
        <v>7965</v>
      </c>
      <c r="Y1943" s="4" t="str">
        <f>IFERROR(__xludf.DUMMYFUNCTION("""COMPUTED_VALUE"""),"6.7722475")</f>
        <v>6.7722475</v>
      </c>
      <c r="Z1943" s="4" t="str">
        <f>IFERROR(__xludf.DUMMYFUNCTION("""COMPUTED_VALUE"""),"3.4207156")</f>
        <v>3.4207156</v>
      </c>
      <c r="AA1943" s="4" t="str">
        <f t="shared" si="1"/>
        <v>Neighbor</v>
      </c>
      <c r="AC1943" s="4">
        <f>IFERROR(__xludf.DUMMYFUNCTION("IFERROR(ABS(O1943-AVERAGE(FILTER(O1943:O6011,AA1943:AA6011=""Neighbor""))) / STDEV(FILTER(O1943:O6011, AA1943:AA6011 =""Neighbor"")), """")"),1.5502595007277937)</f>
        <v>1.550259501</v>
      </c>
      <c r="AD1943" s="4">
        <f>IFERROR(__xludf.DUMMYFUNCTION("IFERROR(ABS(P1943-AVERAGE(FILTER(O1943:P6011,AA1943:AA6011=""Neighbor""))) / STDEV(FILTER(P1943:P6011, AA1943:AA6011 =""Neighbor"")), """")"),1.5471989821021348)</f>
        <v>1.547198982</v>
      </c>
      <c r="AE1943" s="2">
        <f>IFERROR(__xludf.DUMMYFUNCTION("IFERROR(ABS(Q1943-AVERAGE(FILTER(Q1943:Q6011,AA1943:AA6011=""Neighbor""))) / STDEV(FILTER(Q1943:Q6011, AA1943:AA6011 =""Neighbor"")), """")"),0.6630997964349968)</f>
        <v>0.6630997964</v>
      </c>
      <c r="AF1943" s="2">
        <f>IFERROR(__xludf.DUMMYFUNCTION("IFERROR(ABS(R1943-AVERAGE(FILTER(R1943:R6011,AA1943:AA6011=""Neighbor""))) / STDEV(FILTER(R1943:R6011, AA1943:AA6011 =""Neighbor"")), """")"),0.3430883959197532)</f>
        <v>0.3430883959</v>
      </c>
    </row>
    <row r="1944">
      <c r="A1944" s="2" t="s">
        <v>28</v>
      </c>
      <c r="B1944" s="2" t="s">
        <v>7915</v>
      </c>
      <c r="C1944" s="2" t="s">
        <v>7937</v>
      </c>
      <c r="D1944" s="2" t="s">
        <v>7966</v>
      </c>
      <c r="E1944" s="2" t="s">
        <v>7967</v>
      </c>
      <c r="F1944" s="2">
        <v>83.0</v>
      </c>
      <c r="G1944" s="2">
        <v>4105.0</v>
      </c>
      <c r="H1944" s="2" t="b">
        <v>1</v>
      </c>
      <c r="I1944" s="2">
        <v>-1.0</v>
      </c>
      <c r="J1944" s="2" t="b">
        <v>1</v>
      </c>
      <c r="K1944" s="2" t="b">
        <v>0</v>
      </c>
      <c r="L1944" s="2" t="b">
        <v>0</v>
      </c>
      <c r="M1944" s="2" t="b">
        <v>0</v>
      </c>
      <c r="N1944" s="2" t="s">
        <v>33</v>
      </c>
      <c r="O1944" s="2">
        <v>153.0</v>
      </c>
      <c r="P1944" s="2">
        <v>116.0</v>
      </c>
      <c r="Q1944" s="2">
        <v>11.0</v>
      </c>
      <c r="R1944" s="2">
        <v>2.0</v>
      </c>
      <c r="S1944" s="3" t="s">
        <v>7968</v>
      </c>
      <c r="T1944" s="2" t="s">
        <v>7969</v>
      </c>
      <c r="Y1944" s="4" t="str">
        <f>IFERROR(__xludf.DUMMYFUNCTION("""COMPUTED_VALUE"""),"6.7722475")</f>
        <v>6.7722475</v>
      </c>
      <c r="Z1944" s="4" t="str">
        <f>IFERROR(__xludf.DUMMYFUNCTION("""COMPUTED_VALUE"""),"3.4207156")</f>
        <v>3.4207156</v>
      </c>
      <c r="AA1944" s="4" t="str">
        <f t="shared" si="1"/>
        <v>Not Neighbor</v>
      </c>
      <c r="AC1944" s="4">
        <f>IFERROR(__xludf.DUMMYFUNCTION("IFERROR(ABS(O1944-AVERAGE(FILTER(O1944:O6012,AA1944:AA6012=""Neighbor""))) / STDEV(FILTER(O1944:O6012, AA1944:AA6012 =""Neighbor"")), """")"),2.686109773225592)</f>
        <v>2.686109773</v>
      </c>
      <c r="AD1944" s="4">
        <f>IFERROR(__xludf.DUMMYFUNCTION("IFERROR(ABS(P1944-AVERAGE(FILTER(O1944:P6012,AA1944:AA6012=""Neighbor""))) / STDEV(FILTER(P1944:P6012, AA1944:AA6012 =""Neighbor"")), """")"),3.5913789950101473)</f>
        <v>3.591378995</v>
      </c>
      <c r="AE1944" s="2">
        <f>IFERROR(__xludf.DUMMYFUNCTION("IFERROR(ABS(Q1944-AVERAGE(FILTER(Q1944:Q6012,AA1944:AA6012=""Neighbor""))) / STDEV(FILTER(Q1944:Q6012, AA1944:AA6012 =""Neighbor"")), """")"),0.42431618950718625)</f>
        <v>0.4243161895</v>
      </c>
      <c r="AF1944" s="2">
        <f>IFERROR(__xludf.DUMMYFUNCTION("IFERROR(ABS(R1944-AVERAGE(FILTER(R1944:R6012,AA1944:AA6012=""Neighbor""))) / STDEV(FILTER(R1944:R6012, AA1944:AA6012 =""Neighbor"")), """")"),2.075275885879442)</f>
        <v>2.075275886</v>
      </c>
    </row>
    <row r="1945">
      <c r="A1945" s="2" t="s">
        <v>28</v>
      </c>
      <c r="B1945" s="2" t="s">
        <v>7915</v>
      </c>
      <c r="C1945" s="2" t="s">
        <v>7937</v>
      </c>
      <c r="D1945" s="2" t="s">
        <v>7970</v>
      </c>
      <c r="E1945" s="2" t="s">
        <v>7971</v>
      </c>
      <c r="F1945" s="2">
        <v>388.0</v>
      </c>
      <c r="G1945" s="2">
        <v>3679.0</v>
      </c>
      <c r="H1945" s="2" t="b">
        <v>1</v>
      </c>
      <c r="I1945" s="2">
        <v>-1.0</v>
      </c>
      <c r="J1945" s="2" t="b">
        <v>0</v>
      </c>
      <c r="K1945" s="2" t="b">
        <v>0</v>
      </c>
      <c r="L1945" s="2" t="b">
        <v>0</v>
      </c>
      <c r="M1945" s="2" t="b">
        <v>0</v>
      </c>
      <c r="N1945" s="2" t="s">
        <v>33</v>
      </c>
      <c r="O1945" s="2">
        <v>120.0</v>
      </c>
      <c r="P1945" s="2">
        <v>177.0</v>
      </c>
      <c r="Q1945" s="2">
        <v>5.0</v>
      </c>
      <c r="R1945" s="2">
        <v>0.0</v>
      </c>
      <c r="S1945" s="3" t="s">
        <v>7972</v>
      </c>
      <c r="T1945" s="2" t="s">
        <v>7973</v>
      </c>
      <c r="Y1945" s="4" t="str">
        <f>IFERROR(__xludf.DUMMYFUNCTION("""COMPUTED_VALUE"""),"6.8410047")</f>
        <v>6.8410047</v>
      </c>
      <c r="Z1945" s="4" t="str">
        <f>IFERROR(__xludf.DUMMYFUNCTION("""COMPUTED_VALUE"""),"3.4396991")</f>
        <v>3.4396991</v>
      </c>
      <c r="AA1945" s="4" t="str">
        <f t="shared" si="1"/>
        <v>Not Neighbor</v>
      </c>
      <c r="AC1945" s="4">
        <f>IFERROR(__xludf.DUMMYFUNCTION("IFERROR(ABS(O1945-AVERAGE(FILTER(O1945:O6013,AA1945:AA6013=""Neighbor""))) / STDEV(FILTER(O1945:O6013, AA1945:AA6013 =""Neighbor"")), """")"),1.7960632307616413)</f>
        <v>1.796063231</v>
      </c>
      <c r="AD1945" s="4">
        <f>IFERROR(__xludf.DUMMYFUNCTION("IFERROR(ABS(P1945-AVERAGE(FILTER(O1945:P6013,AA1945:AA6013=""Neighbor""))) / STDEV(FILTER(P1945:P6013, AA1945:AA6013 =""Neighbor"")), """")"),6.292867398564091)</f>
        <v>6.292867399</v>
      </c>
      <c r="AE1945" s="2">
        <f>IFERROR(__xludf.DUMMYFUNCTION("IFERROR(ABS(Q1945-AVERAGE(FILTER(Q1945:Q6013,AA1945:AA6013=""Neighbor""))) / STDEV(FILTER(Q1945:Q6013, AA1945:AA6013 =""Neighbor"")), """")"),0.7115200103265602)</f>
        <v>0.7115200103</v>
      </c>
      <c r="AF1945" s="2">
        <f>IFERROR(__xludf.DUMMYFUNCTION("IFERROR(ABS(R1945-AVERAGE(FILTER(R1945:R6013,AA1945:AA6013=""Neighbor""))) / STDEV(FILTER(R1945:R6013, AA1945:AA6013 =""Neighbor"")), """")"),0.34331032548309465)</f>
        <v>0.3433103255</v>
      </c>
    </row>
    <row r="1946">
      <c r="A1946" s="2" t="s">
        <v>28</v>
      </c>
      <c r="B1946" s="2" t="s">
        <v>7915</v>
      </c>
      <c r="C1946" s="2" t="s">
        <v>7937</v>
      </c>
      <c r="D1946" s="2" t="s">
        <v>7974</v>
      </c>
      <c r="E1946" s="2" t="s">
        <v>7975</v>
      </c>
      <c r="F1946" s="2">
        <v>121.0</v>
      </c>
      <c r="G1946" s="2">
        <v>1312.0</v>
      </c>
      <c r="H1946" s="2" t="b">
        <v>1</v>
      </c>
      <c r="I1946" s="2">
        <v>-1.0</v>
      </c>
      <c r="J1946" s="2" t="b">
        <v>0</v>
      </c>
      <c r="K1946" s="2" t="b">
        <v>0</v>
      </c>
      <c r="L1946" s="2" t="b">
        <v>0</v>
      </c>
      <c r="M1946" s="2" t="b">
        <v>0</v>
      </c>
      <c r="N1946" s="2" t="s">
        <v>33</v>
      </c>
      <c r="O1946" s="2">
        <v>123.0</v>
      </c>
      <c r="P1946" s="2">
        <v>119.0</v>
      </c>
      <c r="Q1946" s="2">
        <v>11.0</v>
      </c>
      <c r="R1946" s="2">
        <v>1.0</v>
      </c>
      <c r="S1946" s="3" t="s">
        <v>7976</v>
      </c>
      <c r="T1946" s="2" t="s">
        <v>7977</v>
      </c>
      <c r="Y1946" s="4" t="str">
        <f>IFERROR(__xludf.DUMMYFUNCTION("""COMPUTED_VALUE"""),"6.7819638")</f>
        <v>6.7819638</v>
      </c>
      <c r="Z1946" s="4" t="str">
        <f>IFERROR(__xludf.DUMMYFUNCTION("""COMPUTED_VALUE"""),"3.4119813")</f>
        <v>3.4119813</v>
      </c>
      <c r="AA1946" s="4" t="str">
        <f t="shared" si="1"/>
        <v>Not Neighbor</v>
      </c>
      <c r="AC1946" s="4">
        <f>IFERROR(__xludf.DUMMYFUNCTION("IFERROR(ABS(O1946-AVERAGE(FILTER(O1946:O6014,AA1946:AA6014=""Neighbor""))) / STDEV(FILTER(O1946:O6014, AA1946:AA6014 =""Neighbor"")), """")"),1.8769765528038187)</f>
        <v>1.876976553</v>
      </c>
      <c r="AD1946" s="4">
        <f>IFERROR(__xludf.DUMMYFUNCTION("IFERROR(ABS(P1946-AVERAGE(FILTER(O1946:P6014,AA1946:AA6014=""Neighbor""))) / STDEV(FILTER(P1946:P6014, AA1946:AA6014 =""Neighbor"")), """")"),3.724239080430833)</f>
        <v>3.72423908</v>
      </c>
      <c r="AE1946" s="2">
        <f>IFERROR(__xludf.DUMMYFUNCTION("IFERROR(ABS(Q1946-AVERAGE(FILTER(Q1946:Q6014,AA1946:AA6014=""Neighbor""))) / STDEV(FILTER(Q1946:Q6014, AA1946:AA6014 =""Neighbor"")), """")"),0.42431618950718625)</f>
        <v>0.4243161895</v>
      </c>
      <c r="AF1946" s="2">
        <f>IFERROR(__xludf.DUMMYFUNCTION("IFERROR(ABS(R1946-AVERAGE(FILTER(R1946:R6014,AA1946:AA6014=""Neighbor""))) / STDEV(FILTER(R1946:R6014, AA1946:AA6014 =""Neighbor"")), """")"),0.8659827801981735)</f>
        <v>0.8659827802</v>
      </c>
    </row>
    <row r="1947">
      <c r="A1947" s="2" t="s">
        <v>28</v>
      </c>
      <c r="B1947" s="2" t="s">
        <v>7915</v>
      </c>
      <c r="C1947" s="2" t="s">
        <v>7937</v>
      </c>
      <c r="D1947" s="2" t="s">
        <v>7978</v>
      </c>
      <c r="E1947" s="2" t="s">
        <v>7979</v>
      </c>
      <c r="F1947" s="2">
        <v>157.0</v>
      </c>
      <c r="G1947" s="2">
        <v>1204.0</v>
      </c>
      <c r="H1947" s="2" t="b">
        <v>1</v>
      </c>
      <c r="I1947" s="2">
        <v>-1.0</v>
      </c>
      <c r="J1947" s="2" t="b">
        <v>0</v>
      </c>
      <c r="K1947" s="2" t="b">
        <v>0</v>
      </c>
      <c r="L1947" s="2" t="b">
        <v>0</v>
      </c>
      <c r="M1947" s="2" t="b">
        <v>0</v>
      </c>
      <c r="N1947" s="2" t="s">
        <v>33</v>
      </c>
      <c r="O1947" s="2">
        <v>90.0</v>
      </c>
      <c r="P1947" s="2">
        <v>41.0</v>
      </c>
      <c r="Q1947" s="2">
        <v>7.0</v>
      </c>
      <c r="R1947" s="2">
        <v>1.0</v>
      </c>
      <c r="S1947" s="3" t="s">
        <v>7980</v>
      </c>
      <c r="T1947" s="2" t="s">
        <v>7981</v>
      </c>
      <c r="Y1947" s="4" t="str">
        <f>IFERROR(__xludf.DUMMYFUNCTION("""COMPUTED_VALUE"""),"6.8410047")</f>
        <v>6.8410047</v>
      </c>
      <c r="Z1947" s="4" t="str">
        <f>IFERROR(__xludf.DUMMYFUNCTION("""COMPUTED_VALUE"""),"3.4396991")</f>
        <v>3.4396991</v>
      </c>
      <c r="AA1947" s="4" t="str">
        <f t="shared" si="1"/>
        <v>Neighbor</v>
      </c>
      <c r="AC1947" s="4">
        <f>IFERROR(__xludf.DUMMYFUNCTION("IFERROR(ABS(O1947-AVERAGE(FILTER(O1947:O6015,AA1947:AA6015=""Neighbor""))) / STDEV(FILTER(O1947:O6015, AA1947:AA6015 =""Neighbor"")), """")"),0.986930010339868)</f>
        <v>0.9869300103</v>
      </c>
      <c r="AD1947" s="4">
        <f>IFERROR(__xludf.DUMMYFUNCTION("IFERROR(ABS(P1947-AVERAGE(FILTER(O1947:P6015,AA1947:AA6015=""Neighbor""))) / STDEV(FILTER(P1947:P6015, AA1947:AA6015 =""Neighbor"")), """")"),0.2698768594930035)</f>
        <v>0.2698768595</v>
      </c>
      <c r="AE1947" s="2">
        <f>IFERROR(__xludf.DUMMYFUNCTION("IFERROR(ABS(Q1947-AVERAGE(FILTER(Q1947:Q6015,AA1947:AA6015=""Neighbor""))) / STDEV(FILTER(Q1947:Q6015, AA1947:AA6015 =""Neighbor"")), """")"),0.6157854033867689)</f>
        <v>0.6157854034</v>
      </c>
      <c r="AF1947" s="2">
        <f>IFERROR(__xludf.DUMMYFUNCTION("IFERROR(ABS(R1947-AVERAGE(FILTER(R1947:R6015,AA1947:AA6015=""Neighbor""))) / STDEV(FILTER(R1947:R6015, AA1947:AA6015 =""Neighbor"")), """")"),0.8659827801981735)</f>
        <v>0.8659827802</v>
      </c>
    </row>
    <row r="1948">
      <c r="A1948" s="2" t="s">
        <v>28</v>
      </c>
      <c r="B1948" s="2" t="s">
        <v>7915</v>
      </c>
      <c r="C1948" s="2" t="s">
        <v>7937</v>
      </c>
      <c r="D1948" s="2" t="s">
        <v>7982</v>
      </c>
      <c r="E1948" s="2" t="s">
        <v>7983</v>
      </c>
      <c r="F1948" s="2">
        <v>328.0</v>
      </c>
      <c r="G1948" s="2">
        <v>4549.0</v>
      </c>
      <c r="H1948" s="2" t="b">
        <v>1</v>
      </c>
      <c r="I1948" s="2">
        <v>-1.0</v>
      </c>
      <c r="J1948" s="2" t="b">
        <v>0</v>
      </c>
      <c r="K1948" s="2" t="b">
        <v>0</v>
      </c>
      <c r="L1948" s="2" t="b">
        <v>0</v>
      </c>
      <c r="M1948" s="2" t="b">
        <v>0</v>
      </c>
      <c r="N1948" s="2" t="s">
        <v>33</v>
      </c>
      <c r="O1948" s="2">
        <v>157.0</v>
      </c>
      <c r="P1948" s="2">
        <v>143.0</v>
      </c>
      <c r="Q1948" s="2">
        <v>5.0</v>
      </c>
      <c r="R1948" s="2">
        <v>0.0</v>
      </c>
      <c r="S1948" s="3" t="s">
        <v>7984</v>
      </c>
      <c r="T1948" s="2" t="s">
        <v>7985</v>
      </c>
      <c r="Y1948" s="4" t="str">
        <f>IFERROR(__xludf.DUMMYFUNCTION("""COMPUTED_VALUE"""),"6.8410047")</f>
        <v>6.8410047</v>
      </c>
      <c r="Z1948" s="4" t="str">
        <f>IFERROR(__xludf.DUMMYFUNCTION("""COMPUTED_VALUE"""),"3.4396991")</f>
        <v>3.4396991</v>
      </c>
      <c r="AA1948" s="4" t="str">
        <f t="shared" si="1"/>
        <v>Neighbor</v>
      </c>
      <c r="AC1948" s="4">
        <f>IFERROR(__xludf.DUMMYFUNCTION("IFERROR(ABS(O1948-AVERAGE(FILTER(O1948:O6016,AA1948:AA6016=""Neighbor""))) / STDEV(FILTER(O1948:O6016, AA1948:AA6016 =""Neighbor"")), """")"),2.795098815085669)</f>
        <v>2.795098815</v>
      </c>
      <c r="AD1948" s="4">
        <f>IFERROR(__xludf.DUMMYFUNCTION("IFERROR(ABS(P1948-AVERAGE(FILTER(O1948:P6016,AA1948:AA6016=""Neighbor""))) / STDEV(FILTER(P1948:P6016, AA1948:AA6016 =""Neighbor"")), """")"),4.789214074504914)</f>
        <v>4.789214075</v>
      </c>
      <c r="AE1948" s="2">
        <f>IFERROR(__xludf.DUMMYFUNCTION("IFERROR(ABS(Q1948-AVERAGE(FILTER(Q1948:Q6016,AA1948:AA6016=""Neighbor""))) / STDEV(FILTER(Q1948:Q6016, AA1948:AA6016 =""Neighbor"")), """")"),0.7119779272647089)</f>
        <v>0.7119779273</v>
      </c>
      <c r="AF1948" s="2">
        <f>IFERROR(__xludf.DUMMYFUNCTION("IFERROR(ABS(R1948-AVERAGE(FILTER(R1948:R6016,AA1948:AA6016=""Neighbor""))) / STDEV(FILTER(R1948:R6016, AA1948:AA6016 =""Neighbor"")), """")"),0.3422561781527167)</f>
        <v>0.3422561782</v>
      </c>
    </row>
    <row r="1949">
      <c r="A1949" s="2" t="s">
        <v>28</v>
      </c>
      <c r="B1949" s="2" t="s">
        <v>7915</v>
      </c>
      <c r="C1949" s="2" t="s">
        <v>7937</v>
      </c>
      <c r="D1949" s="2" t="s">
        <v>7986</v>
      </c>
      <c r="E1949" s="2" t="s">
        <v>7987</v>
      </c>
      <c r="F1949" s="2">
        <v>441.0</v>
      </c>
      <c r="G1949" s="2">
        <v>3880.0</v>
      </c>
      <c r="H1949" s="2" t="b">
        <v>1</v>
      </c>
      <c r="I1949" s="2">
        <v>-1.0</v>
      </c>
      <c r="J1949" s="2" t="b">
        <v>0</v>
      </c>
      <c r="K1949" s="2" t="b">
        <v>0</v>
      </c>
      <c r="L1949" s="2" t="b">
        <v>0</v>
      </c>
      <c r="M1949" s="2" t="b">
        <v>0</v>
      </c>
      <c r="N1949" s="2" t="s">
        <v>33</v>
      </c>
      <c r="O1949" s="2">
        <v>215.0</v>
      </c>
      <c r="P1949" s="2">
        <v>142.0</v>
      </c>
      <c r="Q1949" s="2">
        <v>18.0</v>
      </c>
      <c r="R1949" s="2">
        <v>1.0</v>
      </c>
      <c r="S1949" s="3" t="s">
        <v>7988</v>
      </c>
      <c r="T1949" s="2" t="s">
        <v>7989</v>
      </c>
      <c r="Y1949" s="4" t="str">
        <f>IFERROR(__xludf.DUMMYFUNCTION("""COMPUTED_VALUE"""),"6.8410047")</f>
        <v>6.8410047</v>
      </c>
      <c r="Z1949" s="4" t="str">
        <f>IFERROR(__xludf.DUMMYFUNCTION("""COMPUTED_VALUE"""),"3.4396991")</f>
        <v>3.4396991</v>
      </c>
      <c r="AA1949" s="4" t="str">
        <f t="shared" si="1"/>
        <v>Not Neighbor</v>
      </c>
      <c r="AC1949" s="4">
        <f>IFERROR(__xludf.DUMMYFUNCTION("IFERROR(ABS(O1949-AVERAGE(FILTER(O1949:O6017,AA1949:AA6017=""Neighbor""))) / STDEV(FILTER(O1949:O6017, AA1949:AA6017 =""Neighbor"")), """")"),4.380053027417663)</f>
        <v>4.380053027</v>
      </c>
      <c r="AD1949" s="4">
        <f>IFERROR(__xludf.DUMMYFUNCTION("IFERROR(ABS(P1949-AVERAGE(FILTER(O1949:P6017,AA1949:AA6017=""Neighbor""))) / STDEV(FILTER(P1949:P6017, AA1949:AA6017 =""Neighbor"")), """")"),4.837370869985283)</f>
        <v>4.83737087</v>
      </c>
      <c r="AE1949" s="2">
        <f>IFERROR(__xludf.DUMMYFUNCTION("IFERROR(ABS(Q1949-AVERAGE(FILTER(Q1949:Q6017,AA1949:AA6017=""Neighbor""))) / STDEV(FILTER(Q1949:Q6017, AA1949:AA6017 =""Neighbor"")), """")"),0.09072798688048649)</f>
        <v>0.09072798688</v>
      </c>
      <c r="AF1949" s="2">
        <f>IFERROR(__xludf.DUMMYFUNCTION("IFERROR(ABS(R1949-AVERAGE(FILTER(R1949:R6017,AA1949:AA6017=""Neighbor""))) / STDEV(FILTER(R1949:R6017, AA1949:AA6017 =""Neighbor"")), """")"),0.8660201114083708)</f>
        <v>0.8660201114</v>
      </c>
    </row>
    <row r="1950">
      <c r="A1950" s="2" t="s">
        <v>28</v>
      </c>
      <c r="B1950" s="2" t="s">
        <v>7915</v>
      </c>
      <c r="C1950" s="2" t="s">
        <v>7937</v>
      </c>
      <c r="D1950" s="2" t="s">
        <v>7990</v>
      </c>
      <c r="E1950" s="2" t="s">
        <v>7991</v>
      </c>
      <c r="F1950" s="2">
        <v>303.0</v>
      </c>
      <c r="G1950" s="2">
        <v>2336.0</v>
      </c>
      <c r="H1950" s="2" t="b">
        <v>1</v>
      </c>
      <c r="I1950" s="2">
        <v>-1.0</v>
      </c>
      <c r="J1950" s="2" t="b">
        <v>0</v>
      </c>
      <c r="K1950" s="2" t="b">
        <v>0</v>
      </c>
      <c r="L1950" s="2" t="b">
        <v>0</v>
      </c>
      <c r="M1950" s="2" t="b">
        <v>0</v>
      </c>
      <c r="N1950" s="2" t="s">
        <v>33</v>
      </c>
      <c r="O1950" s="2">
        <v>101.0</v>
      </c>
      <c r="P1950" s="2">
        <v>157.0</v>
      </c>
      <c r="Q1950" s="2">
        <v>14.0</v>
      </c>
      <c r="R1950" s="2">
        <v>3.0</v>
      </c>
      <c r="S1950" s="3" t="s">
        <v>7992</v>
      </c>
      <c r="T1950" s="2" t="s">
        <v>7993</v>
      </c>
      <c r="Y1950" s="4" t="str">
        <f>IFERROR(__xludf.DUMMYFUNCTION("""COMPUTED_VALUE"""),"6.8061181")</f>
        <v>6.8061181</v>
      </c>
      <c r="Z1950" s="4" t="str">
        <f>IFERROR(__xludf.DUMMYFUNCTION("""COMPUTED_VALUE"""),"3.4372937")</f>
        <v>3.4372937</v>
      </c>
      <c r="AA1950" s="4" t="str">
        <f t="shared" si="1"/>
        <v>Not Neighbor</v>
      </c>
      <c r="AC1950" s="4">
        <f>IFERROR(__xludf.DUMMYFUNCTION("IFERROR(ABS(O1950-AVERAGE(FILTER(O1950:O6018,AA1950:AA6018=""Neighbor""))) / STDEV(FILTER(O1950:O6018, AA1950:AA6018 =""Neighbor"")), """")"),1.2931237682527739)</f>
        <v>1.293123768</v>
      </c>
      <c r="AD1950" s="4">
        <f>IFERROR(__xludf.DUMMYFUNCTION("IFERROR(ABS(P1950-AVERAGE(FILTER(O1950:P6018,AA1950:AA6018=""Neighbor""))) / STDEV(FILTER(P1950:P6018, AA1950:AA6018 =""Neighbor"")), """")"),5.513843822129597)</f>
        <v>5.513843822</v>
      </c>
      <c r="AE1950" s="2">
        <f>IFERROR(__xludf.DUMMYFUNCTION("IFERROR(ABS(Q1950-AVERAGE(FILTER(Q1950:Q6018,AA1950:AA6018=""Neighbor""))) / STDEV(FILTER(Q1950:Q6018, AA1950:AA6018 =""Neighbor"")), """")"),0.2820734778886894)</f>
        <v>0.2820734779</v>
      </c>
      <c r="AF1950" s="2">
        <f>IFERROR(__xludf.DUMMYFUNCTION("IFERROR(ABS(R1950-AVERAGE(FILTER(R1950:R6018,AA1950:AA6018=""Neighbor""))) / STDEV(FILTER(R1950:R6018, AA1950:AA6018 =""Neighbor"")), """")"),3.2830162732320574)</f>
        <v>3.283016273</v>
      </c>
    </row>
    <row r="1951">
      <c r="A1951" s="2" t="s">
        <v>28</v>
      </c>
      <c r="B1951" s="2" t="s">
        <v>7915</v>
      </c>
      <c r="C1951" s="2" t="s">
        <v>7937</v>
      </c>
      <c r="D1951" s="2" t="s">
        <v>7994</v>
      </c>
      <c r="E1951" s="2" t="s">
        <v>7995</v>
      </c>
      <c r="F1951" s="2">
        <v>477.0</v>
      </c>
      <c r="G1951" s="2">
        <v>3242.0</v>
      </c>
      <c r="H1951" s="2" t="b">
        <v>1</v>
      </c>
      <c r="I1951" s="2">
        <v>-1.0</v>
      </c>
      <c r="J1951" s="2" t="b">
        <v>0</v>
      </c>
      <c r="K1951" s="2" t="b">
        <v>0</v>
      </c>
      <c r="L1951" s="2" t="b">
        <v>0</v>
      </c>
      <c r="M1951" s="2" t="b">
        <v>0</v>
      </c>
      <c r="N1951" s="2" t="s">
        <v>33</v>
      </c>
      <c r="O1951" s="2">
        <v>106.0</v>
      </c>
      <c r="P1951" s="2">
        <v>44.0</v>
      </c>
      <c r="Q1951" s="2">
        <v>4.0</v>
      </c>
      <c r="R1951" s="2">
        <v>0.0</v>
      </c>
      <c r="S1951" s="3" t="s">
        <v>7996</v>
      </c>
      <c r="T1951" s="2" t="s">
        <v>7997</v>
      </c>
      <c r="Y1951" s="4" t="str">
        <f>IFERROR(__xludf.DUMMYFUNCTION("""COMPUTED_VALUE"""),"6.8410047")</f>
        <v>6.8410047</v>
      </c>
      <c r="Z1951" s="4" t="str">
        <f>IFERROR(__xludf.DUMMYFUNCTION("""COMPUTED_VALUE"""),"3.4396991")</f>
        <v>3.4396991</v>
      </c>
      <c r="AA1951" s="4" t="str">
        <f t="shared" si="1"/>
        <v>Not Neighbor</v>
      </c>
      <c r="AC1951" s="4">
        <f>IFERROR(__xludf.DUMMYFUNCTION("IFERROR(ABS(O1951-AVERAGE(FILTER(O1951:O6019,AA1951:AA6019=""Neighbor""))) / STDEV(FILTER(O1951:O6019, AA1951:AA6019 =""Neighbor"")), """")"),1.4285154024266724)</f>
        <v>1.428515402</v>
      </c>
      <c r="AD1951" s="4">
        <f>IFERROR(__xludf.DUMMYFUNCTION("IFERROR(ABS(P1951-AVERAGE(FILTER(O1951:P6019,AA1951:AA6019=""Neighbor""))) / STDEV(FILTER(P1951:P6019, AA1951:AA6019 =""Neighbor"")), """")"),0.4177475826424296)</f>
        <v>0.4177475826</v>
      </c>
      <c r="AE1951" s="2">
        <f>IFERROR(__xludf.DUMMYFUNCTION("IFERROR(ABS(Q1951-AVERAGE(FILTER(Q1951:Q6019,AA1951:AA6019=""Neighbor""))) / STDEV(FILTER(Q1951:Q6019, AA1951:AA6019 =""Neighbor"")), """")"),0.7604372054091967)</f>
        <v>0.7604372054</v>
      </c>
      <c r="AF1951" s="2">
        <f>IFERROR(__xludf.DUMMYFUNCTION("IFERROR(ABS(R1951-AVERAGE(FILTER(R1951:R6019,AA1951:AA6019=""Neighbor""))) / STDEV(FILTER(R1951:R6019, AA1951:AA6019 =""Neighbor"")), """")"),0.34247796950347237)</f>
        <v>0.3424779695</v>
      </c>
    </row>
    <row r="1952">
      <c r="A1952" s="2" t="s">
        <v>28</v>
      </c>
      <c r="B1952" s="2" t="s">
        <v>7915</v>
      </c>
      <c r="C1952" s="2" t="s">
        <v>7937</v>
      </c>
      <c r="D1952" s="2" t="s">
        <v>7998</v>
      </c>
      <c r="E1952" s="2" t="s">
        <v>7999</v>
      </c>
      <c r="F1952" s="2">
        <v>159.0</v>
      </c>
      <c r="G1952" s="2">
        <v>1360.0</v>
      </c>
      <c r="H1952" s="2" t="b">
        <v>1</v>
      </c>
      <c r="I1952" s="2">
        <v>-1.0</v>
      </c>
      <c r="J1952" s="2" t="b">
        <v>0</v>
      </c>
      <c r="K1952" s="2" t="b">
        <v>1</v>
      </c>
      <c r="L1952" s="2" t="b">
        <v>0</v>
      </c>
      <c r="M1952" s="2" t="b">
        <v>0</v>
      </c>
      <c r="N1952" s="2" t="s">
        <v>33</v>
      </c>
      <c r="O1952" s="2">
        <v>106.0</v>
      </c>
      <c r="P1952" s="2">
        <v>44.0</v>
      </c>
      <c r="Q1952" s="2">
        <v>3.0</v>
      </c>
      <c r="R1952" s="2">
        <v>0.0</v>
      </c>
      <c r="S1952" s="3" t="s">
        <v>8000</v>
      </c>
      <c r="T1952" s="2" t="s">
        <v>8001</v>
      </c>
      <c r="Y1952" s="4" t="str">
        <f>IFERROR(__xludf.DUMMYFUNCTION("""COMPUTED_VALUE"""),"6.8122737")</f>
        <v>6.8122737</v>
      </c>
      <c r="Z1952" s="4" t="str">
        <f>IFERROR(__xludf.DUMMYFUNCTION("""COMPUTED_VALUE"""),"3.4296446")</f>
        <v>3.4296446</v>
      </c>
      <c r="AA1952" s="4" t="str">
        <f t="shared" si="1"/>
        <v>Not Neighbor</v>
      </c>
      <c r="AC1952" s="4">
        <f>IFERROR(__xludf.DUMMYFUNCTION("IFERROR(ABS(O1952-AVERAGE(FILTER(O1952:O6020,AA1952:AA6020=""Neighbor""))) / STDEV(FILTER(O1952:O6020, AA1952:AA6020 =""Neighbor"")), """")"),1.4285154024266724)</f>
        <v>1.428515402</v>
      </c>
      <c r="AD1952" s="4">
        <f>IFERROR(__xludf.DUMMYFUNCTION("IFERROR(ABS(P1952-AVERAGE(FILTER(O1952:P6020,AA1952:AA6020=""Neighbor""))) / STDEV(FILTER(P1952:P6020, AA1952:AA6020 =""Neighbor"")), """")"),0.4177475826424296)</f>
        <v>0.4177475826</v>
      </c>
      <c r="AE1952" s="2">
        <f>IFERROR(__xludf.DUMMYFUNCTION("IFERROR(ABS(Q1952-AVERAGE(FILTER(Q1952:Q6020,AA1952:AA6020=""Neighbor""))) / STDEV(FILTER(Q1952:Q6020, AA1952:AA6020 =""Neighbor"")), """")"),0.8082735781612475)</f>
        <v>0.8082735782</v>
      </c>
      <c r="AF1952" s="2">
        <f>IFERROR(__xludf.DUMMYFUNCTION("IFERROR(ABS(R1952-AVERAGE(FILTER(R1952:R6020,AA1952:AA6020=""Neighbor""))) / STDEV(FILTER(R1952:R6020, AA1952:AA6020 =""Neighbor"")), """")"),0.34247796950347237)</f>
        <v>0.3424779695</v>
      </c>
    </row>
    <row r="1953">
      <c r="A1953" s="2" t="s">
        <v>28</v>
      </c>
      <c r="B1953" s="2" t="s">
        <v>7915</v>
      </c>
      <c r="C1953" s="2" t="s">
        <v>8002</v>
      </c>
      <c r="D1953" s="2" t="s">
        <v>8003</v>
      </c>
      <c r="E1953" s="2" t="s">
        <v>8004</v>
      </c>
      <c r="F1953" s="2">
        <v>142.0</v>
      </c>
      <c r="G1953" s="2">
        <v>1551.0</v>
      </c>
      <c r="H1953" s="2" t="b">
        <v>1</v>
      </c>
      <c r="I1953" s="2">
        <v>-1.0</v>
      </c>
      <c r="J1953" s="2" t="b">
        <v>1</v>
      </c>
      <c r="K1953" s="2" t="b">
        <v>1</v>
      </c>
      <c r="L1953" s="2" t="b">
        <v>0</v>
      </c>
      <c r="M1953" s="2" t="b">
        <v>0</v>
      </c>
      <c r="N1953" s="2" t="s">
        <v>33</v>
      </c>
      <c r="O1953" s="2">
        <v>0.0</v>
      </c>
      <c r="P1953" s="2">
        <v>0.0</v>
      </c>
      <c r="Q1953" s="2">
        <v>0.0</v>
      </c>
      <c r="R1953" s="2">
        <v>0.0</v>
      </c>
      <c r="S1953" s="3" t="s">
        <v>8005</v>
      </c>
      <c r="T1953" s="2" t="s">
        <v>8006</v>
      </c>
      <c r="Y1953" s="4" t="str">
        <f>IFERROR(__xludf.DUMMYFUNCTION("""COMPUTED_VALUE"""),"6.949261")</f>
        <v>6.949261</v>
      </c>
      <c r="Z1953" s="4" t="str">
        <f>IFERROR(__xludf.DUMMYFUNCTION("""COMPUTED_VALUE"""),"3.5064411")</f>
        <v>3.5064411</v>
      </c>
      <c r="AA1953" s="4" t="str">
        <f t="shared" si="1"/>
        <v>Neighbor</v>
      </c>
      <c r="AC1953" s="4">
        <f>IFERROR(__xludf.DUMMYFUNCTION("IFERROR(ABS(O1953-AVERAGE(FILTER(O1953:O6021,AA1953:AA6021=""Neighbor""))) / STDEV(FILTER(O1953:O6021, AA1953:AA6021 =""Neighbor"")), """")"),1.441787242059979)</f>
        <v>1.441787242</v>
      </c>
      <c r="AD1953" s="4">
        <f>IFERROR(__xludf.DUMMYFUNCTION("IFERROR(ABS(P1953-AVERAGE(FILTER(O1953:P6021,AA1953:AA6021=""Neighbor""))) / STDEV(FILTER(P1953:P6021, AA1953:AA6021 =""Neighbor"")), """")"),1.5665730769808923)</f>
        <v>1.566573077</v>
      </c>
      <c r="AE1953" s="2">
        <f>IFERROR(__xludf.DUMMYFUNCTION("IFERROR(ABS(Q1953-AVERAGE(FILTER(Q1953:Q6021,AA1953:AA6021=""Neighbor""))) / STDEV(FILTER(Q1953:Q6021, AA1953:AA6021 =""Neighbor"")), """")"),0.9517826964173997)</f>
        <v>0.9517826964</v>
      </c>
      <c r="AF1953" s="2">
        <f>IFERROR(__xludf.DUMMYFUNCTION("IFERROR(ABS(R1953-AVERAGE(FILTER(R1953:R6021,AA1953:AA6021=""Neighbor""))) / STDEV(FILTER(R1953:R6021, AA1953:AA6021 =""Neighbor"")), """")"),0.34247796950347237)</f>
        <v>0.3424779695</v>
      </c>
    </row>
    <row r="1954">
      <c r="A1954" s="2" t="s">
        <v>28</v>
      </c>
      <c r="B1954" s="2" t="s">
        <v>7915</v>
      </c>
      <c r="C1954" s="2" t="s">
        <v>8002</v>
      </c>
      <c r="D1954" s="2" t="s">
        <v>8007</v>
      </c>
      <c r="E1954" s="2" t="s">
        <v>8008</v>
      </c>
      <c r="F1954" s="2">
        <v>85.0</v>
      </c>
      <c r="G1954" s="2">
        <v>989.0</v>
      </c>
      <c r="H1954" s="2" t="b">
        <v>1</v>
      </c>
      <c r="I1954" s="2">
        <v>-1.0</v>
      </c>
      <c r="J1954" s="2" t="b">
        <v>1</v>
      </c>
      <c r="K1954" s="2" t="b">
        <v>0</v>
      </c>
      <c r="L1954" s="2" t="b">
        <v>0</v>
      </c>
      <c r="M1954" s="2" t="b">
        <v>0</v>
      </c>
      <c r="N1954" s="2" t="s">
        <v>33</v>
      </c>
      <c r="O1954" s="2">
        <v>0.0</v>
      </c>
      <c r="P1954" s="2">
        <v>0.0</v>
      </c>
      <c r="Q1954" s="2">
        <v>0.0</v>
      </c>
      <c r="R1954" s="2">
        <v>0.0</v>
      </c>
      <c r="S1954" s="3" t="s">
        <v>8009</v>
      </c>
      <c r="T1954" s="2" t="s">
        <v>8010</v>
      </c>
      <c r="Y1954" s="4" t="str">
        <f>IFERROR(__xludf.DUMMYFUNCTION("""COMPUTED_VALUE"""),"6.949261")</f>
        <v>6.949261</v>
      </c>
      <c r="Z1954" s="4" t="str">
        <f>IFERROR(__xludf.DUMMYFUNCTION("""COMPUTED_VALUE"""),"3.5064411")</f>
        <v>3.5064411</v>
      </c>
      <c r="AA1954" s="4" t="str">
        <f t="shared" si="1"/>
        <v>Neighbor</v>
      </c>
      <c r="AC1954" s="4">
        <f>IFERROR(__xludf.DUMMYFUNCTION("IFERROR(ABS(O1954-AVERAGE(FILTER(O1954:O6022,AA1954:AA6022=""Neighbor""))) / STDEV(FILTER(O1954:O6022, AA1954:AA6022 =""Neighbor"")), """")"),1.4443729943663446)</f>
        <v>1.444372994</v>
      </c>
      <c r="AD1954" s="4">
        <f>IFERROR(__xludf.DUMMYFUNCTION("IFERROR(ABS(P1954-AVERAGE(FILTER(O1954:P6022,AA1954:AA6022=""Neighbor""))) / STDEV(FILTER(P1954:P6022, AA1954:AA6022 =""Neighbor"")), """")"),1.5679715111869421)</f>
        <v>1.567971511</v>
      </c>
      <c r="AE1954" s="2">
        <f>IFERROR(__xludf.DUMMYFUNCTION("IFERROR(ABS(Q1954-AVERAGE(FILTER(Q1954:Q6022,AA1954:AA6022=""Neighbor""))) / STDEV(FILTER(Q1954:Q6022, AA1954:AA6022 =""Neighbor"")), """")"),0.9528378109392589)</f>
        <v>0.9528378109</v>
      </c>
      <c r="AF1954" s="2">
        <f>IFERROR(__xludf.DUMMYFUNCTION("IFERROR(ABS(R1954-AVERAGE(FILTER(R1954:R6022,AA1954:AA6022=""Neighbor""))) / STDEV(FILTER(R1954:R6022, AA1954:AA6022 =""Neighbor"")), """")"),0.34270019265695323)</f>
        <v>0.3427001927</v>
      </c>
    </row>
    <row r="1955">
      <c r="A1955" s="2" t="s">
        <v>28</v>
      </c>
      <c r="B1955" s="2" t="s">
        <v>7915</v>
      </c>
      <c r="C1955" s="2" t="s">
        <v>8002</v>
      </c>
      <c r="D1955" s="2" t="s">
        <v>8011</v>
      </c>
      <c r="E1955" s="2" t="s">
        <v>8012</v>
      </c>
      <c r="F1955" s="2">
        <v>60.0</v>
      </c>
      <c r="G1955" s="2">
        <v>1054.0</v>
      </c>
      <c r="H1955" s="2" t="b">
        <v>1</v>
      </c>
      <c r="I1955" s="2">
        <v>-1.0</v>
      </c>
      <c r="J1955" s="2" t="b">
        <v>0</v>
      </c>
      <c r="K1955" s="2" t="b">
        <v>0</v>
      </c>
      <c r="L1955" s="2" t="b">
        <v>0</v>
      </c>
      <c r="M1955" s="2" t="b">
        <v>0</v>
      </c>
      <c r="N1955" s="2" t="s">
        <v>33</v>
      </c>
      <c r="O1955" s="2">
        <v>35.0</v>
      </c>
      <c r="P1955" s="2">
        <v>5.0</v>
      </c>
      <c r="Q1955" s="2">
        <v>12.0</v>
      </c>
      <c r="R1955" s="2">
        <v>0.0</v>
      </c>
      <c r="S1955" s="3" t="s">
        <v>8013</v>
      </c>
      <c r="T1955" s="2" t="s">
        <v>8014</v>
      </c>
      <c r="Y1955" s="4" t="str">
        <f>IFERROR(__xludf.DUMMYFUNCTION("""COMPUTED_VALUE"""),"6.948262")</f>
        <v>6.948262</v>
      </c>
      <c r="Z1955" s="4" t="str">
        <f>IFERROR(__xludf.DUMMYFUNCTION("""COMPUTED_VALUE"""),"3.5079264")</f>
        <v>3.5079264</v>
      </c>
      <c r="AA1955" s="4" t="str">
        <f t="shared" si="1"/>
        <v>Neighbor</v>
      </c>
      <c r="AC1955" s="4">
        <f>IFERROR(__xludf.DUMMYFUNCTION("IFERROR(ABS(O1955-AVERAGE(FILTER(O1955:O6023,AA1955:AA6023=""Neighbor""))) / STDEV(FILTER(O1955:O6023, AA1955:AA6023 =""Neighbor"")), """")"),0.49803207505946917)</f>
        <v>0.4980320751</v>
      </c>
      <c r="AD1955" s="4">
        <f>IFERROR(__xludf.DUMMYFUNCTION("IFERROR(ABS(P1955-AVERAGE(FILTER(O1955:P6023,AA1955:AA6023=""Neighbor""))) / STDEV(FILTER(P1955:P6023, AA1955:AA6023 =""Neighbor"")), """")"),1.3440043206802228)</f>
        <v>1.344004321</v>
      </c>
      <c r="AE1955" s="2">
        <f>IFERROR(__xludf.DUMMYFUNCTION("IFERROR(ABS(Q1955-AVERAGE(FILTER(Q1955:Q6023,AA1955:AA6023=""Neighbor""))) / STDEV(FILTER(Q1955:Q6023, AA1955:AA6023 =""Neighbor"")), """")"),0.37992151274381714)</f>
        <v>0.3799215127</v>
      </c>
      <c r="AF1955" s="2">
        <f>IFERROR(__xludf.DUMMYFUNCTION("IFERROR(ABS(R1955-AVERAGE(FILTER(R1955:R6023,AA1955:AA6023=""Neighbor""))) / STDEV(FILTER(R1955:R6023, AA1955:AA6023 =""Neighbor"")), """")"),0.342922849016277)</f>
        <v>0.342922849</v>
      </c>
    </row>
    <row r="1956">
      <c r="A1956" s="2" t="s">
        <v>28</v>
      </c>
      <c r="B1956" s="2" t="s">
        <v>7915</v>
      </c>
      <c r="C1956" s="2" t="s">
        <v>8002</v>
      </c>
      <c r="D1956" s="2" t="s">
        <v>8015</v>
      </c>
      <c r="E1956" s="2" t="s">
        <v>8016</v>
      </c>
      <c r="F1956" s="2">
        <v>77.0</v>
      </c>
      <c r="G1956" s="2">
        <v>750.0</v>
      </c>
      <c r="H1956" s="2" t="b">
        <v>1</v>
      </c>
      <c r="I1956" s="2">
        <v>-1.0</v>
      </c>
      <c r="J1956" s="2" t="b">
        <v>1</v>
      </c>
      <c r="K1956" s="2" t="b">
        <v>1</v>
      </c>
      <c r="L1956" s="2" t="b">
        <v>0</v>
      </c>
      <c r="M1956" s="2" t="b">
        <v>0</v>
      </c>
      <c r="N1956" s="2" t="s">
        <v>33</v>
      </c>
      <c r="O1956" s="2">
        <v>51.0</v>
      </c>
      <c r="P1956" s="2">
        <v>2.0</v>
      </c>
      <c r="Q1956" s="2">
        <v>15.0</v>
      </c>
      <c r="R1956" s="2">
        <v>0.0</v>
      </c>
      <c r="S1956" s="3" t="s">
        <v>8017</v>
      </c>
      <c r="T1956" s="2" t="s">
        <v>8018</v>
      </c>
      <c r="Y1956" s="4" t="str">
        <f>IFERROR(__xludf.DUMMYFUNCTION("""COMPUTED_VALUE"""),"6.949261")</f>
        <v>6.949261</v>
      </c>
      <c r="Z1956" s="4" t="str">
        <f>IFERROR(__xludf.DUMMYFUNCTION("""COMPUTED_VALUE"""),"3.5064411")</f>
        <v>3.5064411</v>
      </c>
      <c r="AA1956" s="4" t="str">
        <f t="shared" si="1"/>
        <v>Not Neighbor</v>
      </c>
      <c r="AC1956" s="4">
        <f>IFERROR(__xludf.DUMMYFUNCTION("IFERROR(ABS(O1956-AVERAGE(FILTER(O1956:O6024,AA1956:AA6024=""Neighbor""))) / STDEV(FILTER(O1956:O6024, AA1956:AA6024 =""Neighbor"")), """")"),0.06478269299613643)</f>
        <v>0.064782693</v>
      </c>
      <c r="AD1956" s="4">
        <f>IFERROR(__xludf.DUMMYFUNCTION("IFERROR(ABS(P1956-AVERAGE(FILTER(O1956:P6024,AA1956:AA6024=""Neighbor""))) / STDEV(FILTER(P1956:P6024, AA1956:AA6024 =""Neighbor"")), """")"),1.4793642593021017)</f>
        <v>1.479364259</v>
      </c>
      <c r="AE1956" s="2">
        <f>IFERROR(__xludf.DUMMYFUNCTION("IFERROR(ABS(Q1956-AVERAGE(FILTER(Q1956:Q6024,AA1956:AA6024=""Neighbor""))) / STDEV(FILTER(Q1956:Q6024, AA1956:AA6024 =""Neighbor"")), """")"),0.23675244062449963)</f>
        <v>0.2367524406</v>
      </c>
      <c r="AF1956" s="2">
        <f>IFERROR(__xludf.DUMMYFUNCTION("IFERROR(ABS(R1956-AVERAGE(FILTER(R1956:R6024,AA1956:AA6024=""Neighbor""))) / STDEV(FILTER(R1956:R6024, AA1956:AA6024 =""Neighbor"")), """")"),0.3431459399909537)</f>
        <v>0.34314594</v>
      </c>
    </row>
    <row r="1957">
      <c r="A1957" s="2" t="s">
        <v>28</v>
      </c>
      <c r="B1957" s="2" t="s">
        <v>7915</v>
      </c>
      <c r="C1957" s="2" t="s">
        <v>8002</v>
      </c>
      <c r="D1957" s="2" t="s">
        <v>8019</v>
      </c>
      <c r="E1957" s="2" t="s">
        <v>8020</v>
      </c>
      <c r="F1957" s="2">
        <v>209.0</v>
      </c>
      <c r="G1957" s="2">
        <v>1226.0</v>
      </c>
      <c r="H1957" s="2" t="b">
        <v>1</v>
      </c>
      <c r="I1957" s="2">
        <v>-1.0</v>
      </c>
      <c r="J1957" s="2" t="b">
        <v>1</v>
      </c>
      <c r="K1957" s="2" t="b">
        <v>0</v>
      </c>
      <c r="L1957" s="2" t="b">
        <v>0</v>
      </c>
      <c r="M1957" s="2" t="b">
        <v>0</v>
      </c>
      <c r="N1957" s="2" t="s">
        <v>33</v>
      </c>
      <c r="O1957" s="2">
        <v>150.0</v>
      </c>
      <c r="P1957" s="2">
        <v>18.0</v>
      </c>
      <c r="Q1957" s="2">
        <v>31.0</v>
      </c>
      <c r="R1957" s="2">
        <v>0.0</v>
      </c>
      <c r="S1957" s="3" t="s">
        <v>8021</v>
      </c>
      <c r="T1957" s="2" t="s">
        <v>8022</v>
      </c>
      <c r="Y1957" s="4" t="str">
        <f>IFERROR(__xludf.DUMMYFUNCTION("""COMPUTED_VALUE"""),"6.8974871")</f>
        <v>6.8974871</v>
      </c>
      <c r="Z1957" s="4" t="str">
        <f>IFERROR(__xludf.DUMMYFUNCTION("""COMPUTED_VALUE"""),"3.4902391")</f>
        <v>3.4902391</v>
      </c>
      <c r="AA1957" s="4" t="str">
        <f t="shared" si="1"/>
        <v>Not Neighbor</v>
      </c>
      <c r="AC1957" s="4">
        <f>IFERROR(__xludf.DUMMYFUNCTION("IFERROR(ABS(O1957-AVERAGE(FILTER(O1957:O6025,AA1957:AA6025=""Neighbor""))) / STDEV(FILTER(O1957:O6025, AA1957:AA6025 =""Neighbor"")), """")"),2.6181873257643797)</f>
        <v>2.618187326</v>
      </c>
      <c r="AD1957" s="4">
        <f>IFERROR(__xludf.DUMMYFUNCTION("IFERROR(ABS(P1957-AVERAGE(FILTER(O1957:P6025,AA1957:AA6025=""Neighbor""))) / STDEV(FILTER(P1957:P6025, AA1957:AA6025 =""Neighbor"")), """")"),0.7584941713901573)</f>
        <v>0.7584941714</v>
      </c>
      <c r="AE1957" s="2">
        <f>IFERROR(__xludf.DUMMYFUNCTION("IFERROR(ABS(Q1957-AVERAGE(FILTER(Q1957:Q6025,AA1957:AA6025=""Neighbor""))) / STDEV(FILTER(Q1957:Q6025, AA1957:AA6025 =""Neighbor"")), """")"),0.5281657765779317)</f>
        <v>0.5281657766</v>
      </c>
      <c r="AF1957" s="2">
        <f>IFERROR(__xludf.DUMMYFUNCTION("IFERROR(ABS(R1957-AVERAGE(FILTER(R1957:R6025,AA1957:AA6025=""Neighbor""))) / STDEV(FILTER(R1957:R6025, AA1957:AA6025 =""Neighbor"")), """")"),0.3431459399909537)</f>
        <v>0.34314594</v>
      </c>
    </row>
    <row r="1958">
      <c r="A1958" s="2" t="s">
        <v>28</v>
      </c>
      <c r="B1958" s="2" t="s">
        <v>7915</v>
      </c>
      <c r="C1958" s="2" t="s">
        <v>8002</v>
      </c>
      <c r="D1958" s="2" t="s">
        <v>8023</v>
      </c>
      <c r="E1958" s="2" t="s">
        <v>8024</v>
      </c>
      <c r="F1958" s="2">
        <v>26.0</v>
      </c>
      <c r="G1958" s="2">
        <v>303.0</v>
      </c>
      <c r="H1958" s="2" t="b">
        <v>1</v>
      </c>
      <c r="I1958" s="2">
        <v>-1.0</v>
      </c>
      <c r="J1958" s="2" t="b">
        <v>1</v>
      </c>
      <c r="K1958" s="2" t="b">
        <v>0</v>
      </c>
      <c r="L1958" s="2" t="b">
        <v>0</v>
      </c>
      <c r="M1958" s="2" t="b">
        <v>0</v>
      </c>
      <c r="N1958" s="2" t="s">
        <v>33</v>
      </c>
      <c r="O1958" s="2">
        <v>20.0</v>
      </c>
      <c r="P1958" s="2">
        <v>1.0</v>
      </c>
      <c r="Q1958" s="2">
        <v>0.0</v>
      </c>
      <c r="R1958" s="2">
        <v>0.0</v>
      </c>
      <c r="S1958" s="3" t="s">
        <v>8025</v>
      </c>
      <c r="T1958" s="2" t="s">
        <v>8026</v>
      </c>
      <c r="Y1958" s="4" t="str">
        <f>IFERROR(__xludf.DUMMYFUNCTION("""COMPUTED_VALUE"""),"6.9881479")</f>
        <v>6.9881479</v>
      </c>
      <c r="Z1958" s="4" t="str">
        <f>IFERROR(__xludf.DUMMYFUNCTION("""COMPUTED_VALUE"""),"3.4843974")</f>
        <v>3.4843974</v>
      </c>
      <c r="AA1958" s="4" t="str">
        <f t="shared" si="1"/>
        <v>Not Neighbor</v>
      </c>
      <c r="AC1958" s="4">
        <f>IFERROR(__xludf.DUMMYFUNCTION("IFERROR(ABS(O1958-AVERAGE(FILTER(O1958:O6026,AA1958:AA6026=""Neighbor""))) / STDEV(FILTER(O1958:O6026, AA1958:AA6026 =""Neighbor"")), """")"),0.9049046180625607)</f>
        <v>0.9049046181</v>
      </c>
      <c r="AD1958" s="4">
        <f>IFERROR(__xludf.DUMMYFUNCTION("IFERROR(ABS(P1958-AVERAGE(FILTER(O1958:P6026,AA1958:AA6026=""Neighbor""))) / STDEV(FILTER(P1958:P6026, AA1958:AA6026 =""Neighbor"")), """")"),1.5244186397965984)</f>
        <v>1.52441864</v>
      </c>
      <c r="AE1958" s="2">
        <f>IFERROR(__xludf.DUMMYFUNCTION("IFERROR(ABS(Q1958-AVERAGE(FILTER(Q1958:Q6026,AA1958:AA6026=""Neighbor""))) / STDEV(FILTER(Q1958:Q6026, AA1958:AA6026 =""Neighbor"")), """")"),0.953863269251779)</f>
        <v>0.9538632693</v>
      </c>
      <c r="AF1958" s="2">
        <f>IFERROR(__xludf.DUMMYFUNCTION("IFERROR(ABS(R1958-AVERAGE(FILTER(R1958:R6026,AA1958:AA6026=""Neighbor""))) / STDEV(FILTER(R1958:R6026, AA1958:AA6026 =""Neighbor"")), """")"),0.3431459399909537)</f>
        <v>0.34314594</v>
      </c>
    </row>
    <row r="1959">
      <c r="A1959" s="2" t="s">
        <v>28</v>
      </c>
      <c r="B1959" s="2" t="s">
        <v>7915</v>
      </c>
      <c r="C1959" s="2" t="s">
        <v>8002</v>
      </c>
      <c r="D1959" s="2" t="s">
        <v>8027</v>
      </c>
      <c r="E1959" s="2" t="s">
        <v>8028</v>
      </c>
      <c r="F1959" s="2">
        <v>83.0</v>
      </c>
      <c r="G1959" s="2">
        <v>1024.0</v>
      </c>
      <c r="H1959" s="2" t="b">
        <v>1</v>
      </c>
      <c r="I1959" s="2">
        <v>-1.0</v>
      </c>
      <c r="J1959" s="2" t="b">
        <v>0</v>
      </c>
      <c r="K1959" s="2" t="b">
        <v>0</v>
      </c>
      <c r="L1959" s="2" t="b">
        <v>0</v>
      </c>
      <c r="M1959" s="2" t="b">
        <v>0</v>
      </c>
      <c r="N1959" s="2" t="s">
        <v>33</v>
      </c>
      <c r="O1959" s="2">
        <v>31.0</v>
      </c>
      <c r="P1959" s="2">
        <v>12.0</v>
      </c>
      <c r="Q1959" s="2">
        <v>18.0</v>
      </c>
      <c r="R1959" s="2">
        <v>0.0</v>
      </c>
      <c r="S1959" s="3" t="s">
        <v>8029</v>
      </c>
      <c r="T1959" s="2" t="s">
        <v>8030</v>
      </c>
      <c r="Y1959" s="4" t="str">
        <f>IFERROR(__xludf.DUMMYFUNCTION("""COMPUTED_VALUE"""),"6.9156728")</f>
        <v>6.9156728</v>
      </c>
      <c r="Z1959" s="4" t="str">
        <f>IFERROR(__xludf.DUMMYFUNCTION("""COMPUTED_VALUE"""),"3.4757149")</f>
        <v>3.4757149</v>
      </c>
      <c r="AA1959" s="4" t="str">
        <f t="shared" si="1"/>
        <v>Not Neighbor</v>
      </c>
      <c r="AC1959" s="4">
        <f>IFERROR(__xludf.DUMMYFUNCTION("IFERROR(ABS(O1959-AVERAGE(FILTER(O1959:O6027,AA1959:AA6027=""Neighbor""))) / STDEV(FILTER(O1959:O6027, AA1959:AA6027 =""Neighbor"")), """")"),0.6067968382002812)</f>
        <v>0.6067968382</v>
      </c>
      <c r="AD1959" s="4">
        <f>IFERROR(__xludf.DUMMYFUNCTION("IFERROR(ABS(P1959-AVERAGE(FILTER(O1959:P6027,AA1959:AA6027=""Neighbor""))) / STDEV(FILTER(P1959:P6027, AA1959:AA6027 =""Neighbor"")), """")"),1.0288204543571364)</f>
        <v>1.028820454</v>
      </c>
      <c r="AE1959" s="2">
        <f>IFERROR(__xludf.DUMMYFUNCTION("IFERROR(ABS(Q1959-AVERAGE(FILTER(Q1959:Q6027,AA1959:AA6027=""Neighbor""))) / STDEV(FILTER(Q1959:Q6027, AA1959:AA6027 =""Neighbor"")), """")"),0.09333027489904375)</f>
        <v>0.0933302749</v>
      </c>
      <c r="AF1959" s="2">
        <f>IFERROR(__xludf.DUMMYFUNCTION("IFERROR(ABS(R1959-AVERAGE(FILTER(R1959:R6027,AA1959:AA6027=""Neighbor""))) / STDEV(FILTER(R1959:R6027, AA1959:AA6027 =""Neighbor"")), """")"),0.3431459399909537)</f>
        <v>0.34314594</v>
      </c>
    </row>
    <row r="1960">
      <c r="A1960" s="2" t="s">
        <v>28</v>
      </c>
      <c r="B1960" s="2" t="s">
        <v>7915</v>
      </c>
      <c r="C1960" s="2" t="s">
        <v>8002</v>
      </c>
      <c r="D1960" s="2" t="s">
        <v>8031</v>
      </c>
      <c r="E1960" s="2" t="s">
        <v>8032</v>
      </c>
      <c r="F1960" s="2">
        <v>22.0</v>
      </c>
      <c r="G1960" s="2">
        <v>476.0</v>
      </c>
      <c r="H1960" s="2" t="b">
        <v>1</v>
      </c>
      <c r="I1960" s="2">
        <v>-1.0</v>
      </c>
      <c r="J1960" s="2" t="b">
        <v>0</v>
      </c>
      <c r="K1960" s="2" t="b">
        <v>0</v>
      </c>
      <c r="L1960" s="2" t="b">
        <v>0</v>
      </c>
      <c r="M1960" s="2" t="b">
        <v>0</v>
      </c>
      <c r="N1960" s="2" t="s">
        <v>33</v>
      </c>
      <c r="O1960" s="2">
        <v>13.0</v>
      </c>
      <c r="P1960" s="2">
        <v>1.0</v>
      </c>
      <c r="Q1960" s="2">
        <v>3.0</v>
      </c>
      <c r="R1960" s="2">
        <v>0.0</v>
      </c>
      <c r="S1960" s="3" t="s">
        <v>8033</v>
      </c>
      <c r="T1960" s="2" t="s">
        <v>8034</v>
      </c>
      <c r="Y1960" s="4" t="str">
        <f>IFERROR(__xludf.DUMMYFUNCTION("""COMPUTED_VALUE"""),"6.948262")</f>
        <v>6.948262</v>
      </c>
      <c r="Z1960" s="4" t="str">
        <f>IFERROR(__xludf.DUMMYFUNCTION("""COMPUTED_VALUE"""),"3.5079264")</f>
        <v>3.5079264</v>
      </c>
      <c r="AA1960" s="4" t="str">
        <f t="shared" si="1"/>
        <v>Not Neighbor</v>
      </c>
      <c r="AC1960" s="4">
        <f>IFERROR(__xludf.DUMMYFUNCTION("IFERROR(ABS(O1960-AVERAGE(FILTER(O1960:O6028,AA1960:AA6028=""Neighbor""))) / STDEV(FILTER(O1960:O6028, AA1960:AA6028 =""Neighbor"")), """")"),1.0946095688840114)</f>
        <v>1.094609569</v>
      </c>
      <c r="AD1960" s="4">
        <f>IFERROR(__xludf.DUMMYFUNCTION("IFERROR(ABS(P1960-AVERAGE(FILTER(O1960:P6028,AA1960:AA6028=""Neighbor""))) / STDEV(FILTER(P1960:P6028, AA1960:AA6028 =""Neighbor"")), """")"),1.5244186397965984)</f>
        <v>1.52441864</v>
      </c>
      <c r="AE1960" s="2">
        <f>IFERROR(__xludf.DUMMYFUNCTION("IFERROR(ABS(Q1960-AVERAGE(FILTER(Q1960:Q6028,AA1960:AA6028=""Neighbor""))) / STDEV(FILTER(Q1960:Q6028, AA1960:AA6028 =""Neighbor"")), """")"),0.8104411035263231)</f>
        <v>0.8104411035</v>
      </c>
      <c r="AF1960" s="2">
        <f>IFERROR(__xludf.DUMMYFUNCTION("IFERROR(ABS(R1960-AVERAGE(FILTER(R1960:R6028,AA1960:AA6028=""Neighbor""))) / STDEV(FILTER(R1960:R6028, AA1960:AA6028 =""Neighbor"")), """")"),0.3431459399909537)</f>
        <v>0.34314594</v>
      </c>
    </row>
    <row r="1961">
      <c r="A1961" s="2" t="s">
        <v>28</v>
      </c>
      <c r="B1961" s="2" t="s">
        <v>7915</v>
      </c>
      <c r="C1961" s="2" t="s">
        <v>8002</v>
      </c>
      <c r="D1961" s="2" t="s">
        <v>8035</v>
      </c>
      <c r="E1961" s="2" t="s">
        <v>8036</v>
      </c>
      <c r="F1961" s="2">
        <v>60.0</v>
      </c>
      <c r="G1961" s="2">
        <v>447.0</v>
      </c>
      <c r="H1961" s="2" t="b">
        <v>1</v>
      </c>
      <c r="I1961" s="2">
        <v>-1.0</v>
      </c>
      <c r="J1961" s="2" t="b">
        <v>1</v>
      </c>
      <c r="K1961" s="2" t="b">
        <v>0</v>
      </c>
      <c r="L1961" s="2" t="b">
        <v>0</v>
      </c>
      <c r="M1961" s="2" t="b">
        <v>0</v>
      </c>
      <c r="N1961" s="2" t="s">
        <v>33</v>
      </c>
      <c r="O1961" s="2">
        <v>39.0</v>
      </c>
      <c r="P1961" s="2">
        <v>4.0</v>
      </c>
      <c r="Q1961" s="2">
        <v>13.0</v>
      </c>
      <c r="R1961" s="2">
        <v>0.0</v>
      </c>
      <c r="S1961" s="3" t="s">
        <v>8037</v>
      </c>
      <c r="T1961" s="2" t="s">
        <v>8038</v>
      </c>
      <c r="Y1961" s="4" t="str">
        <f>IFERROR(__xludf.DUMMYFUNCTION("""COMPUTED_VALUE"""),"6.887473")</f>
        <v>6.887473</v>
      </c>
      <c r="Z1961" s="4" t="str">
        <f>IFERROR(__xludf.DUMMYFUNCTION("""COMPUTED_VALUE"""),"3.509348")</f>
        <v>3.509348</v>
      </c>
      <c r="AA1961" s="4" t="str">
        <f t="shared" si="1"/>
        <v>Neighbor</v>
      </c>
      <c r="AC1961" s="4">
        <f>IFERROR(__xludf.DUMMYFUNCTION("IFERROR(ABS(O1961-AVERAGE(FILTER(O1961:O6029,AA1961:AA6029=""Neighbor""))) / STDEV(FILTER(O1961:O6029, AA1961:AA6029 =""Neighbor"")), """")"),0.38999118011862327)</f>
        <v>0.3899911801</v>
      </c>
      <c r="AD1961" s="4">
        <f>IFERROR(__xludf.DUMMYFUNCTION("IFERROR(ABS(P1961-AVERAGE(FILTER(O1961:P6029,AA1961:AA6029=""Neighbor""))) / STDEV(FILTER(P1961:P6029, AA1961:AA6029 =""Neighbor"")), """")"),1.3892554983131087)</f>
        <v>1.389255498</v>
      </c>
      <c r="AE1961" s="2">
        <f>IFERROR(__xludf.DUMMYFUNCTION("IFERROR(ABS(Q1961-AVERAGE(FILTER(Q1961:Q6029,AA1961:AA6029=""Neighbor""))) / STDEV(FILTER(Q1961:Q6029, AA1961:AA6029 =""Neighbor"")), """")"),0.33236721777480355)</f>
        <v>0.3323672178</v>
      </c>
      <c r="AF1961" s="2">
        <f>IFERROR(__xludf.DUMMYFUNCTION("IFERROR(ABS(R1961-AVERAGE(FILTER(R1961:R6029,AA1961:AA6029=""Neighbor""))) / STDEV(FILTER(R1961:R6029, AA1961:AA6029 =""Neighbor"")), """")"),0.3431459399909537)</f>
        <v>0.34314594</v>
      </c>
    </row>
    <row r="1962">
      <c r="A1962" s="2" t="s">
        <v>28</v>
      </c>
      <c r="B1962" s="2" t="s">
        <v>7915</v>
      </c>
      <c r="C1962" s="2" t="s">
        <v>8002</v>
      </c>
      <c r="D1962" s="2" t="s">
        <v>8039</v>
      </c>
      <c r="E1962" s="2" t="s">
        <v>8036</v>
      </c>
      <c r="F1962" s="2">
        <v>60.0</v>
      </c>
      <c r="G1962" s="2">
        <v>447.0</v>
      </c>
      <c r="H1962" s="2" t="b">
        <v>1</v>
      </c>
      <c r="I1962" s="2">
        <v>-1.0</v>
      </c>
      <c r="J1962" s="2" t="b">
        <v>0</v>
      </c>
      <c r="K1962" s="2" t="b">
        <v>0</v>
      </c>
      <c r="L1962" s="2" t="b">
        <v>0</v>
      </c>
      <c r="M1962" s="2" t="b">
        <v>0</v>
      </c>
      <c r="N1962" s="2" t="s">
        <v>33</v>
      </c>
      <c r="O1962" s="2">
        <v>44.0</v>
      </c>
      <c r="P1962" s="2">
        <v>14.0</v>
      </c>
      <c r="Q1962" s="2">
        <v>12.0</v>
      </c>
      <c r="R1962" s="2">
        <v>0.0</v>
      </c>
      <c r="S1962" s="3" t="s">
        <v>8037</v>
      </c>
      <c r="T1962" s="2" t="s">
        <v>8038</v>
      </c>
      <c r="Y1962" s="4" t="str">
        <f>IFERROR(__xludf.DUMMYFUNCTION("""COMPUTED_VALUE"""),"6.887473")</f>
        <v>6.887473</v>
      </c>
      <c r="Z1962" s="4" t="str">
        <f>IFERROR(__xludf.DUMMYFUNCTION("""COMPUTED_VALUE"""),"3.509348")</f>
        <v>3.509348</v>
      </c>
      <c r="AA1962" s="4" t="str">
        <f t="shared" si="1"/>
        <v>Not Neighbor</v>
      </c>
      <c r="AC1962" s="4">
        <f>IFERROR(__xludf.DUMMYFUNCTION("IFERROR(ABS(O1962-AVERAGE(FILTER(O1962:O6030,AA1962:AA6030=""Neighbor""))) / STDEV(FILTER(O1962:O6030, AA1962:AA6030 =""Neighbor"")), """")"),0.2548165633213334)</f>
        <v>0.2548165633</v>
      </c>
      <c r="AD1962" s="4">
        <f>IFERROR(__xludf.DUMMYFUNCTION("IFERROR(ABS(P1962-AVERAGE(FILTER(O1962:P6030,AA1962:AA6030=""Neighbor""))) / STDEV(FILTER(P1962:P6030, AA1962:AA6030 =""Neighbor"")), """")"),0.9390324118668417)</f>
        <v>0.9390324119</v>
      </c>
      <c r="AE1962" s="2">
        <f>IFERROR(__xludf.DUMMYFUNCTION("IFERROR(ABS(Q1962-AVERAGE(FILTER(Q1962:Q6030,AA1962:AA6030=""Neighbor""))) / STDEV(FILTER(Q1962:Q6030, AA1962:AA6030 =""Neighbor"")), """")"),0.3803648802379034)</f>
        <v>0.3803648802</v>
      </c>
      <c r="AF1962" s="2">
        <f>IFERROR(__xludf.DUMMYFUNCTION("IFERROR(ABS(R1962-AVERAGE(FILTER(R1962:R6030,AA1962:AA6030=""Neighbor""))) / STDEV(FILTER(R1962:R6030, AA1962:AA6030 =""Neighbor"")), """")"),0.34336946699692394)</f>
        <v>0.343369467</v>
      </c>
    </row>
    <row r="1963">
      <c r="A1963" s="2" t="s">
        <v>28</v>
      </c>
      <c r="B1963" s="2" t="s">
        <v>7915</v>
      </c>
      <c r="C1963" s="2" t="s">
        <v>8002</v>
      </c>
      <c r="D1963" s="2" t="s">
        <v>8040</v>
      </c>
      <c r="E1963" s="2" t="s">
        <v>8041</v>
      </c>
      <c r="F1963" s="2">
        <v>28.0</v>
      </c>
      <c r="G1963" s="2">
        <v>137.0</v>
      </c>
      <c r="H1963" s="2" t="b">
        <v>1</v>
      </c>
      <c r="I1963" s="2">
        <v>-1.0</v>
      </c>
      <c r="J1963" s="2" t="b">
        <v>0</v>
      </c>
      <c r="K1963" s="2" t="b">
        <v>0</v>
      </c>
      <c r="L1963" s="2" t="b">
        <v>0</v>
      </c>
      <c r="M1963" s="2" t="b">
        <v>0</v>
      </c>
      <c r="N1963" s="2" t="s">
        <v>33</v>
      </c>
      <c r="O1963" s="2">
        <v>21.0</v>
      </c>
      <c r="P1963" s="2">
        <v>0.0</v>
      </c>
      <c r="Q1963" s="2">
        <v>7.0</v>
      </c>
      <c r="R1963" s="2">
        <v>0.0</v>
      </c>
      <c r="S1963" s="3" t="s">
        <v>8042</v>
      </c>
      <c r="T1963" s="2" t="s">
        <v>8043</v>
      </c>
      <c r="Y1963" s="4" t="str">
        <f>IFERROR(__xludf.DUMMYFUNCTION("""COMPUTED_VALUE"""),"6.948262")</f>
        <v>6.948262</v>
      </c>
      <c r="Z1963" s="4" t="str">
        <f>IFERROR(__xludf.DUMMYFUNCTION("""COMPUTED_VALUE"""),"3.5079264")</f>
        <v>3.5079264</v>
      </c>
      <c r="AA1963" s="4" t="str">
        <f t="shared" si="1"/>
        <v>Neighbor</v>
      </c>
      <c r="AC1963" s="4">
        <f>IFERROR(__xludf.DUMMYFUNCTION("IFERROR(ABS(O1963-AVERAGE(FILTER(O1963:O6031,AA1963:AA6031=""Neighbor""))) / STDEV(FILTER(O1963:O6031, AA1963:AA6031 =""Neighbor"")), """")"),0.8778244124439831)</f>
        <v>0.8778244124</v>
      </c>
      <c r="AD1963" s="4">
        <f>IFERROR(__xludf.DUMMYFUNCTION("IFERROR(ABS(P1963-AVERAGE(FILTER(O1963:P6031,AA1963:AA6031=""Neighbor""))) / STDEV(FILTER(P1963:P6031, AA1963:AA6031 =""Neighbor"")), """")"),1.569538365058311)</f>
        <v>1.569538365</v>
      </c>
      <c r="AE1963" s="2">
        <f>IFERROR(__xludf.DUMMYFUNCTION("IFERROR(ABS(Q1963-AVERAGE(FILTER(Q1963:Q6031,AA1963:AA6031=""Neighbor""))) / STDEV(FILTER(Q1963:Q6031, AA1963:AA6031 =""Neighbor"")), """")"),0.6192777374380524)</f>
        <v>0.6192777374</v>
      </c>
      <c r="AF1963" s="2">
        <f>IFERROR(__xludf.DUMMYFUNCTION("IFERROR(ABS(R1963-AVERAGE(FILTER(R1963:R6031,AA1963:AA6031=""Neighbor""))) / STDEV(FILTER(R1963:R6031, AA1963:AA6031 =""Neighbor"")), """")"),0.34336946699692394)</f>
        <v>0.343369467</v>
      </c>
    </row>
    <row r="1964">
      <c r="A1964" s="2" t="s">
        <v>28</v>
      </c>
      <c r="B1964" s="2" t="s">
        <v>7915</v>
      </c>
      <c r="C1964" s="2" t="s">
        <v>8002</v>
      </c>
      <c r="D1964" s="2" t="s">
        <v>8044</v>
      </c>
      <c r="E1964" s="2" t="s">
        <v>8045</v>
      </c>
      <c r="F1964" s="2">
        <v>137.0</v>
      </c>
      <c r="G1964" s="2">
        <v>788.0</v>
      </c>
      <c r="H1964" s="2" t="b">
        <v>1</v>
      </c>
      <c r="I1964" s="2">
        <v>-1.0</v>
      </c>
      <c r="J1964" s="2" t="b">
        <v>0</v>
      </c>
      <c r="K1964" s="2" t="b">
        <v>0</v>
      </c>
      <c r="L1964" s="2" t="b">
        <v>0</v>
      </c>
      <c r="M1964" s="2" t="b">
        <v>0</v>
      </c>
      <c r="N1964" s="2" t="s">
        <v>33</v>
      </c>
      <c r="O1964" s="2">
        <v>87.0</v>
      </c>
      <c r="P1964" s="2">
        <v>11.0</v>
      </c>
      <c r="Q1964" s="2">
        <v>16.0</v>
      </c>
      <c r="R1964" s="2">
        <v>2.0</v>
      </c>
      <c r="S1964" s="3" t="s">
        <v>8046</v>
      </c>
      <c r="T1964" s="2" t="s">
        <v>8047</v>
      </c>
      <c r="Y1964" s="4" t="str">
        <f>IFERROR(__xludf.DUMMYFUNCTION("""COMPUTED_VALUE"""),"6.948262")</f>
        <v>6.948262</v>
      </c>
      <c r="Z1964" s="4" t="str">
        <f>IFERROR(__xludf.DUMMYFUNCTION("""COMPUTED_VALUE"""),"3.5079264")</f>
        <v>3.5079264</v>
      </c>
      <c r="AA1964" s="4" t="str">
        <f t="shared" si="1"/>
        <v>Not Neighbor</v>
      </c>
      <c r="AC1964" s="4">
        <f>IFERROR(__xludf.DUMMYFUNCTION("IFERROR(ABS(O1964-AVERAGE(FILTER(O1964:O6032,AA1964:AA6032=""Neighbor""))) / STDEV(FILTER(O1964:O6032, AA1964:AA6032 =""Neighbor"")), """")"),0.9087903032910545)</f>
        <v>0.9087903033</v>
      </c>
      <c r="AD1964" s="4">
        <f>IFERROR(__xludf.DUMMYFUNCTION("IFERROR(ABS(P1964-AVERAGE(FILTER(O1964:P6032,AA1964:AA6032=""Neighbor""))) / STDEV(FILTER(P1964:P6032, AA1964:AA6032 =""Neighbor"")), """")"),1.0751322444071938)</f>
        <v>1.075132244</v>
      </c>
      <c r="AE1964" s="2">
        <f>IFERROR(__xludf.DUMMYFUNCTION("IFERROR(ABS(Q1964-AVERAGE(FILTER(Q1964:Q6032,AA1964:AA6032=""Neighbor""))) / STDEV(FILTER(Q1964:Q6032, AA1964:AA6032 =""Neighbor"")), """")"),0.18988965217709128)</f>
        <v>0.1898896522</v>
      </c>
      <c r="AF1964" s="2">
        <f>IFERROR(__xludf.DUMMYFUNCTION("IFERROR(ABS(R1964-AVERAGE(FILTER(R1964:R6032,AA1964:AA6032=""Neighbor""))) / STDEV(FILTER(R1964:R6032, AA1964:AA6032 =""Neighbor"")), """")"),2.067193267943773)</f>
        <v>2.067193268</v>
      </c>
    </row>
    <row r="1965">
      <c r="A1965" s="2" t="s">
        <v>28</v>
      </c>
      <c r="B1965" s="2" t="s">
        <v>7915</v>
      </c>
      <c r="C1965" s="2" t="s">
        <v>8002</v>
      </c>
      <c r="D1965" s="2" t="s">
        <v>8048</v>
      </c>
      <c r="E1965" s="2" t="s">
        <v>8049</v>
      </c>
      <c r="F1965" s="2">
        <v>16.0</v>
      </c>
      <c r="G1965" s="2">
        <v>98.0</v>
      </c>
      <c r="H1965" s="2" t="b">
        <v>1</v>
      </c>
      <c r="I1965" s="2">
        <v>-1.0</v>
      </c>
      <c r="J1965" s="2" t="b">
        <v>0</v>
      </c>
      <c r="K1965" s="2" t="b">
        <v>0</v>
      </c>
      <c r="L1965" s="2" t="b">
        <v>0</v>
      </c>
      <c r="M1965" s="2" t="b">
        <v>0</v>
      </c>
      <c r="N1965" s="2" t="s">
        <v>33</v>
      </c>
      <c r="O1965" s="2">
        <v>13.0</v>
      </c>
      <c r="P1965" s="2">
        <v>0.0</v>
      </c>
      <c r="Q1965" s="2">
        <v>2.0</v>
      </c>
      <c r="R1965" s="2">
        <v>1.0</v>
      </c>
      <c r="S1965" s="3" t="s">
        <v>8050</v>
      </c>
      <c r="T1965" s="2" t="s">
        <v>8051</v>
      </c>
      <c r="Y1965" s="4" t="str">
        <f>IFERROR(__xludf.DUMMYFUNCTION("""COMPUTED_VALUE"""),"6.9161744")</f>
        <v>6.9161744</v>
      </c>
      <c r="Z1965" s="4" t="str">
        <f>IFERROR(__xludf.DUMMYFUNCTION("""COMPUTED_VALUE"""),"3.4526744")</f>
        <v>3.4526744</v>
      </c>
      <c r="AA1965" s="4" t="str">
        <f t="shared" si="1"/>
        <v>Not Neighbor</v>
      </c>
      <c r="AC1965" s="4">
        <f>IFERROR(__xludf.DUMMYFUNCTION("IFERROR(ABS(O1965-AVERAGE(FILTER(O1965:O6033,AA1965:AA6033=""Neighbor""))) / STDEV(FILTER(O1965:O6033, AA1965:AA6033 =""Neighbor"")), """")"),1.0954019110204227)</f>
        <v>1.095401911</v>
      </c>
      <c r="AD1965" s="4">
        <f>IFERROR(__xludf.DUMMYFUNCTION("IFERROR(ABS(P1965-AVERAGE(FILTER(O1965:P6033,AA1965:AA6033=""Neighbor""))) / STDEV(FILTER(P1965:P6033, AA1965:AA6033 =""Neighbor"")), """")"),1.5703963139425836)</f>
        <v>1.570396314</v>
      </c>
      <c r="AE1965" s="2">
        <f>IFERROR(__xludf.DUMMYFUNCTION("IFERROR(ABS(Q1965-AVERAGE(FILTER(Q1965:Q6033,AA1965:AA6033=""Neighbor""))) / STDEV(FILTER(Q1965:Q6033, AA1965:AA6033 =""Neighbor"")), """")"),0.8586047834407589)</f>
        <v>0.8586047834</v>
      </c>
      <c r="AF1965" s="2">
        <f>IFERROR(__xludf.DUMMYFUNCTION("IFERROR(ABS(R1965-AVERAGE(FILTER(R1965:R6033,AA1965:AA6033=""Neighbor""))) / STDEV(FILTER(R1965:R6033, AA1965:AA6033 =""Neighbor"")), """")"),0.8617999182435893)</f>
        <v>0.8617999182</v>
      </c>
    </row>
    <row r="1966">
      <c r="A1966" s="2" t="s">
        <v>28</v>
      </c>
      <c r="B1966" s="2" t="s">
        <v>7915</v>
      </c>
      <c r="C1966" s="2" t="s">
        <v>8002</v>
      </c>
      <c r="D1966" s="2" t="s">
        <v>8052</v>
      </c>
      <c r="E1966" s="2" t="s">
        <v>8053</v>
      </c>
      <c r="F1966" s="2">
        <v>116.0</v>
      </c>
      <c r="G1966" s="2">
        <v>750.0</v>
      </c>
      <c r="H1966" s="2" t="b">
        <v>1</v>
      </c>
      <c r="I1966" s="2">
        <v>-1.0</v>
      </c>
      <c r="J1966" s="2" t="b">
        <v>0</v>
      </c>
      <c r="K1966" s="2" t="b">
        <v>0</v>
      </c>
      <c r="L1966" s="2" t="b">
        <v>0</v>
      </c>
      <c r="M1966" s="2" t="b">
        <v>0</v>
      </c>
      <c r="N1966" s="2" t="s">
        <v>33</v>
      </c>
      <c r="O1966" s="2">
        <v>65.0</v>
      </c>
      <c r="P1966" s="2">
        <v>13.0</v>
      </c>
      <c r="Q1966" s="2">
        <v>28.0</v>
      </c>
      <c r="R1966" s="2">
        <v>0.0</v>
      </c>
      <c r="S1966" s="3" t="s">
        <v>8054</v>
      </c>
      <c r="T1966" s="2" t="s">
        <v>8055</v>
      </c>
      <c r="Y1966" s="4" t="str">
        <f>IFERROR(__xludf.DUMMYFUNCTION("""COMPUTED_VALUE"""),"6.948262")</f>
        <v>6.948262</v>
      </c>
      <c r="Z1966" s="4" t="str">
        <f>IFERROR(__xludf.DUMMYFUNCTION("""COMPUTED_VALUE"""),"3.5079264")</f>
        <v>3.5079264</v>
      </c>
      <c r="AA1966" s="4" t="str">
        <f t="shared" si="1"/>
        <v>Neighbor</v>
      </c>
      <c r="AC1966" s="4">
        <f>IFERROR(__xludf.DUMMYFUNCTION("IFERROR(ABS(O1966-AVERAGE(FILTER(O1966:O6034,AA1966:AA6034=""Neighbor""))) / STDEV(FILTER(O1966:O6034, AA1966:AA6034 =""Neighbor"")), """")"),0.3129493747119667)</f>
        <v>0.3129493747</v>
      </c>
      <c r="AD1966" s="4">
        <f>IFERROR(__xludf.DUMMYFUNCTION("IFERROR(ABS(P1966-AVERAGE(FILTER(O1966:P6034,AA1966:AA6034=""Neighbor""))) / STDEV(FILTER(P1966:P6034, AA1966:AA6034 =""Neighbor"")), """")"),0.9850842317643955)</f>
        <v>0.9850842318</v>
      </c>
      <c r="AE1966" s="2">
        <f>IFERROR(__xludf.DUMMYFUNCTION("IFERROR(ABS(Q1966-AVERAGE(FILTER(Q1966:Q6034,AA1966:AA6034=""Neighbor""))) / STDEV(FILTER(Q1966:Q6034, AA1966:AA6034 =""Neighbor"")), """")"),0.3832947460489095)</f>
        <v>0.383294746</v>
      </c>
      <c r="AF1966" s="2">
        <f>IFERROR(__xludf.DUMMYFUNCTION("IFERROR(ABS(R1966-AVERAGE(FILTER(R1966:R6034,AA1966:AA6034=""Neighbor""))) / STDEV(FILTER(R1966:R6034, AA1966:AA6034 =""Neighbor"")), """")"),0.3435934314565944)</f>
        <v>0.3435934315</v>
      </c>
    </row>
    <row r="1967">
      <c r="A1967" s="2" t="s">
        <v>28</v>
      </c>
      <c r="B1967" s="2" t="s">
        <v>7915</v>
      </c>
      <c r="C1967" s="2" t="s">
        <v>8002</v>
      </c>
      <c r="D1967" s="2" t="s">
        <v>8056</v>
      </c>
      <c r="E1967" s="2" t="s">
        <v>8057</v>
      </c>
      <c r="F1967" s="2">
        <v>106.0</v>
      </c>
      <c r="G1967" s="2">
        <v>766.0</v>
      </c>
      <c r="H1967" s="2" t="b">
        <v>1</v>
      </c>
      <c r="I1967" s="2">
        <v>-1.0</v>
      </c>
      <c r="J1967" s="2" t="b">
        <v>0</v>
      </c>
      <c r="K1967" s="2" t="b">
        <v>0</v>
      </c>
      <c r="L1967" s="2" t="b">
        <v>0</v>
      </c>
      <c r="M1967" s="2" t="b">
        <v>0</v>
      </c>
      <c r="N1967" s="2" t="s">
        <v>33</v>
      </c>
      <c r="O1967" s="2">
        <v>59.0</v>
      </c>
      <c r="P1967" s="2">
        <v>28.0</v>
      </c>
      <c r="Q1967" s="2">
        <v>13.0</v>
      </c>
      <c r="R1967" s="2">
        <v>0.0</v>
      </c>
      <c r="S1967" s="3" t="s">
        <v>8058</v>
      </c>
      <c r="T1967" s="2" t="s">
        <v>8059</v>
      </c>
      <c r="Y1967" s="4" t="str">
        <f>IFERROR(__xludf.DUMMYFUNCTION("""COMPUTED_VALUE"""),"6.9524856")</f>
        <v>6.9524856</v>
      </c>
      <c r="Z1967" s="4" t="str">
        <f>IFERROR(__xludf.DUMMYFUNCTION("""COMPUTED_VALUE"""),"3.5116186")</f>
        <v>3.5116186</v>
      </c>
      <c r="AA1967" s="4" t="str">
        <f t="shared" si="1"/>
        <v>Neighbor</v>
      </c>
      <c r="AC1967" s="4">
        <f>IFERROR(__xludf.DUMMYFUNCTION("IFERROR(ABS(O1967-AVERAGE(FILTER(O1967:O6035,AA1967:AA6035=""Neighbor""))) / STDEV(FILTER(O1967:O6035, AA1967:AA6035 =""Neighbor"")), """")"),0.15073374857255656)</f>
        <v>0.1507337486</v>
      </c>
      <c r="AD1967" s="4">
        <f>IFERROR(__xludf.DUMMYFUNCTION("IFERROR(ABS(P1967-AVERAGE(FILTER(O1967:P6035,AA1967:AA6035=""Neighbor""))) / STDEV(FILTER(P1967:P6035, AA1967:AA6035 =""Neighbor"")), """")"),0.3093301097556819)</f>
        <v>0.3093301098</v>
      </c>
      <c r="AE1967" s="2">
        <f>IFERROR(__xludf.DUMMYFUNCTION("IFERROR(ABS(Q1967-AVERAGE(FILTER(Q1967:Q6035,AA1967:AA6035=""Neighbor""))) / STDEV(FILTER(Q1967:Q6035, AA1967:AA6035 =""Neighbor"")), """")"),0.33257142111364857)</f>
        <v>0.3325714211</v>
      </c>
      <c r="AF1967" s="2">
        <f>IFERROR(__xludf.DUMMYFUNCTION("IFERROR(ABS(R1967-AVERAGE(FILTER(R1967:R6035,AA1967:AA6035=""Neighbor""))) / STDEV(FILTER(R1967:R6035, AA1967:AA6035 =""Neighbor"")), """")"),0.34381783479887795)</f>
        <v>0.3438178348</v>
      </c>
    </row>
    <row r="1968">
      <c r="A1968" s="2" t="s">
        <v>28</v>
      </c>
      <c r="B1968" s="2" t="s">
        <v>7915</v>
      </c>
      <c r="C1968" s="2" t="s">
        <v>8060</v>
      </c>
      <c r="D1968" s="2" t="s">
        <v>8061</v>
      </c>
      <c r="E1968" s="2" t="s">
        <v>8062</v>
      </c>
      <c r="F1968" s="2">
        <v>113.0</v>
      </c>
      <c r="G1968" s="2">
        <v>641.0</v>
      </c>
      <c r="H1968" s="2" t="b">
        <v>1</v>
      </c>
      <c r="I1968" s="2">
        <v>-1.0</v>
      </c>
      <c r="J1968" s="2" t="b">
        <v>0</v>
      </c>
      <c r="K1968" s="2" t="b">
        <v>0</v>
      </c>
      <c r="L1968" s="2" t="b">
        <v>0</v>
      </c>
      <c r="M1968" s="2" t="b">
        <v>0</v>
      </c>
      <c r="N1968" s="2" t="s">
        <v>33</v>
      </c>
      <c r="O1968" s="2">
        <v>52.0</v>
      </c>
      <c r="P1968" s="2">
        <v>11.0</v>
      </c>
      <c r="Q1968" s="2">
        <v>33.0</v>
      </c>
      <c r="R1968" s="2">
        <v>0.0</v>
      </c>
      <c r="S1968" s="3" t="s">
        <v>8063</v>
      </c>
      <c r="T1968" s="2" t="s">
        <v>8064</v>
      </c>
      <c r="Y1968" s="4" t="str">
        <f>IFERROR(__xludf.DUMMYFUNCTION("""COMPUTED_VALUE"""),"6.948262")</f>
        <v>6.948262</v>
      </c>
      <c r="Z1968" s="4" t="str">
        <f>IFERROR(__xludf.DUMMYFUNCTION("""COMPUTED_VALUE"""),"3.5079264")</f>
        <v>3.5079264</v>
      </c>
      <c r="AA1968" s="4" t="str">
        <f t="shared" si="1"/>
        <v>Not Neighbor</v>
      </c>
      <c r="AC1968" s="4">
        <f>IFERROR(__xludf.DUMMYFUNCTION("IFERROR(ABS(O1968-AVERAGE(FILTER(O1968:O6036,AA1968:AA6036=""Neighbor""))) / STDEV(FILTER(O1968:O6036, AA1968:AA6036 =""Neighbor"")), """")"),0.03855338406748339)</f>
        <v>0.03855338407</v>
      </c>
      <c r="AD1968" s="4">
        <f>IFERROR(__xludf.DUMMYFUNCTION("IFERROR(ABS(P1968-AVERAGE(FILTER(O1968:P6036,AA1968:AA6036=""Neighbor""))) / STDEV(FILTER(P1968:P6036, AA1968:AA6036 =""Neighbor"")), """")"),1.0733909524119671)</f>
        <v>1.073390952</v>
      </c>
      <c r="AE1968" s="2">
        <f>IFERROR(__xludf.DUMMYFUNCTION("IFERROR(ABS(Q1968-AVERAGE(FILTER(Q1968:Q6036,AA1968:AA6036=""Neighbor""))) / STDEV(FILTER(Q1968:Q6036, AA1968:AA6036 =""Neighbor"")), """")"),0.6215458909515038)</f>
        <v>0.621545891</v>
      </c>
      <c r="AF1968" s="2">
        <f>IFERROR(__xludf.DUMMYFUNCTION("IFERROR(ABS(R1968-AVERAGE(FILTER(R1968:R6036,AA1968:AA6036=""Neighbor""))) / STDEV(FILTER(R1968:R6036, AA1968:AA6036 =""Neighbor"")), """")"),0.3440426784592306)</f>
        <v>0.3440426785</v>
      </c>
    </row>
    <row r="1969">
      <c r="A1969" s="2" t="s">
        <v>28</v>
      </c>
      <c r="B1969" s="2" t="s">
        <v>7915</v>
      </c>
      <c r="C1969" s="2" t="s">
        <v>8060</v>
      </c>
      <c r="D1969" s="2" t="s">
        <v>8065</v>
      </c>
      <c r="E1969" s="2" t="s">
        <v>8066</v>
      </c>
      <c r="F1969" s="2">
        <v>54.0</v>
      </c>
      <c r="G1969" s="2">
        <v>597.0</v>
      </c>
      <c r="H1969" s="2" t="b">
        <v>1</v>
      </c>
      <c r="I1969" s="2">
        <v>-1.0</v>
      </c>
      <c r="J1969" s="2" t="b">
        <v>0</v>
      </c>
      <c r="K1969" s="2" t="b">
        <v>0</v>
      </c>
      <c r="L1969" s="2" t="b">
        <v>0</v>
      </c>
      <c r="M1969" s="2" t="b">
        <v>0</v>
      </c>
      <c r="N1969" s="2" t="s">
        <v>33</v>
      </c>
      <c r="O1969" s="2">
        <v>26.0</v>
      </c>
      <c r="P1969" s="2">
        <v>7.0</v>
      </c>
      <c r="Q1969" s="2">
        <v>12.0</v>
      </c>
      <c r="R1969" s="2">
        <v>0.0</v>
      </c>
      <c r="S1969" s="3" t="s">
        <v>8067</v>
      </c>
      <c r="T1969" s="2" t="s">
        <v>8068</v>
      </c>
      <c r="Y1969" s="4" t="str">
        <f>IFERROR(__xludf.DUMMYFUNCTION("""COMPUTED_VALUE"""),"6.9648267")</f>
        <v>6.9648267</v>
      </c>
      <c r="Z1969" s="4" t="str">
        <f>IFERROR(__xludf.DUMMYFUNCTION("""COMPUTED_VALUE"""),"3.6021223")</f>
        <v>3.6021223</v>
      </c>
      <c r="AA1969" s="4" t="str">
        <f t="shared" si="1"/>
        <v>Not Neighbor</v>
      </c>
      <c r="AC1969" s="4">
        <f>IFERROR(__xludf.DUMMYFUNCTION("IFERROR(ABS(O1969-AVERAGE(FILTER(O1969:O6037,AA1969:AA6037=""Neighbor""))) / STDEV(FILTER(O1969:O6037, AA1969:AA6037 =""Neighbor"")), """")"),0.7419546493381499)</f>
        <v>0.7419546493</v>
      </c>
      <c r="AD1969" s="4">
        <f>IFERROR(__xludf.DUMMYFUNCTION("IFERROR(ABS(P1969-AVERAGE(FILTER(O1969:P6037,AA1969:AA6037=""Neighbor""))) / STDEV(FILTER(P1969:P6037, AA1969:AA6037 =""Neighbor"")), """")"),1.2533077087141888)</f>
        <v>1.253307709</v>
      </c>
      <c r="AE1969" s="2">
        <f>IFERROR(__xludf.DUMMYFUNCTION("IFERROR(ABS(Q1969-AVERAGE(FILTER(Q1969:Q6037,AA1969:AA6037=""Neighbor""))) / STDEV(FILTER(Q1969:Q6037, AA1969:AA6037 =""Neighbor"")), """")"),0.3805040918176683)</f>
        <v>0.3805040918</v>
      </c>
      <c r="AF1969" s="2">
        <f>IFERROR(__xludf.DUMMYFUNCTION("IFERROR(ABS(R1969-AVERAGE(FILTER(R1969:R6037,AA1969:AA6037=""Neighbor""))) / STDEV(FILTER(R1969:R6037, AA1969:AA6037 =""Neighbor"")), """")"),0.3440426784592306)</f>
        <v>0.3440426785</v>
      </c>
    </row>
    <row r="1970">
      <c r="A1970" s="2" t="s">
        <v>28</v>
      </c>
      <c r="B1970" s="2" t="s">
        <v>7915</v>
      </c>
      <c r="C1970" s="2" t="s">
        <v>8060</v>
      </c>
      <c r="D1970" s="2" t="s">
        <v>8069</v>
      </c>
      <c r="E1970" s="2" t="s">
        <v>8070</v>
      </c>
      <c r="F1970" s="2">
        <v>17.0</v>
      </c>
      <c r="G1970" s="2">
        <v>93.0</v>
      </c>
      <c r="H1970" s="2" t="b">
        <v>1</v>
      </c>
      <c r="I1970" s="2">
        <v>-1.0</v>
      </c>
      <c r="J1970" s="2" t="b">
        <v>0</v>
      </c>
      <c r="K1970" s="2" t="b">
        <v>0</v>
      </c>
      <c r="L1970" s="2" t="b">
        <v>0</v>
      </c>
      <c r="M1970" s="2" t="b">
        <v>0</v>
      </c>
      <c r="N1970" s="2" t="s">
        <v>33</v>
      </c>
      <c r="O1970" s="2">
        <v>14.0</v>
      </c>
      <c r="P1970" s="2">
        <v>0.0</v>
      </c>
      <c r="Q1970" s="2">
        <v>3.0</v>
      </c>
      <c r="R1970" s="2">
        <v>0.0</v>
      </c>
      <c r="S1970" s="3" t="s">
        <v>8071</v>
      </c>
      <c r="T1970" s="2" t="s">
        <v>8072</v>
      </c>
      <c r="Y1970" s="4" t="str">
        <f>IFERROR(__xludf.DUMMYFUNCTION("""COMPUTED_VALUE"""),"6.9645291")</f>
        <v>6.9645291</v>
      </c>
      <c r="Z1970" s="4" t="str">
        <f>IFERROR(__xludf.DUMMYFUNCTION("""COMPUTED_VALUE"""),"3.5620538")</f>
        <v>3.5620538</v>
      </c>
      <c r="AA1970" s="4" t="str">
        <f t="shared" si="1"/>
        <v>Neighbor</v>
      </c>
      <c r="AC1970" s="4">
        <f>IFERROR(__xludf.DUMMYFUNCTION("IFERROR(ABS(O1970-AVERAGE(FILTER(O1970:O6038,AA1970:AA6038=""Neighbor""))) / STDEV(FILTER(O1970:O6038, AA1970:AA6038 =""Neighbor"")), """")"),1.0666013871553806)</f>
        <v>1.066601387</v>
      </c>
      <c r="AD1970" s="4">
        <f>IFERROR(__xludf.DUMMYFUNCTION("IFERROR(ABS(P1970-AVERAGE(FILTER(O1970:P6038,AA1970:AA6038=""Neighbor""))) / STDEV(FILTER(P1970:P6038, AA1970:AA6038 =""Neighbor"")), """")"),1.568162032243077)</f>
        <v>1.568162032</v>
      </c>
      <c r="AE1970" s="2">
        <f>IFERROR(__xludf.DUMMYFUNCTION("IFERROR(ABS(Q1970-AVERAGE(FILTER(Q1970:Q6038,AA1970:AA6038=""Neighbor""))) / STDEV(FILTER(Q1970:Q6038, AA1970:AA6038 =""Neighbor"")), """")"),0.8099540844330277)</f>
        <v>0.8099540844</v>
      </c>
      <c r="AF1970" s="2">
        <f>IFERROR(__xludf.DUMMYFUNCTION("IFERROR(ABS(R1970-AVERAGE(FILTER(R1970:R6038,AA1970:AA6038=""Neighbor""))) / STDEV(FILTER(R1970:R6038, AA1970:AA6038 =""Neighbor"")), """")"),0.3440426784592306)</f>
        <v>0.3440426785</v>
      </c>
    </row>
    <row r="1971">
      <c r="A1971" s="2" t="s">
        <v>28</v>
      </c>
      <c r="B1971" s="2" t="s">
        <v>7915</v>
      </c>
      <c r="C1971" s="2" t="s">
        <v>8060</v>
      </c>
      <c r="D1971" s="2" t="s">
        <v>8073</v>
      </c>
      <c r="E1971" s="2" t="s">
        <v>8074</v>
      </c>
      <c r="F1971" s="2">
        <v>34.0</v>
      </c>
      <c r="G1971" s="2">
        <v>174.0</v>
      </c>
      <c r="H1971" s="2" t="b">
        <v>1</v>
      </c>
      <c r="I1971" s="2">
        <v>-1.0</v>
      </c>
      <c r="J1971" s="2" t="b">
        <v>0</v>
      </c>
      <c r="K1971" s="2" t="b">
        <v>0</v>
      </c>
      <c r="L1971" s="2" t="b">
        <v>0</v>
      </c>
      <c r="M1971" s="2" t="b">
        <v>0</v>
      </c>
      <c r="N1971" s="2" t="s">
        <v>33</v>
      </c>
      <c r="O1971" s="2">
        <v>32.0</v>
      </c>
      <c r="P1971" s="2">
        <v>0.0</v>
      </c>
      <c r="Q1971" s="2">
        <v>1.0</v>
      </c>
      <c r="R1971" s="2">
        <v>0.0</v>
      </c>
      <c r="S1971" s="3" t="s">
        <v>8075</v>
      </c>
      <c r="T1971" s="2" t="s">
        <v>8076</v>
      </c>
      <c r="Y1971" s="4" t="str">
        <f>IFERROR(__xludf.DUMMYFUNCTION("""COMPUTED_VALUE"""),"6.9645291")</f>
        <v>6.9645291</v>
      </c>
      <c r="Z1971" s="4" t="str">
        <f>IFERROR(__xludf.DUMMYFUNCTION("""COMPUTED_VALUE"""),"3.5620538")</f>
        <v>3.5620538</v>
      </c>
      <c r="AA1971" s="4" t="str">
        <f t="shared" si="1"/>
        <v>Not Neighbor</v>
      </c>
      <c r="AC1971" s="4">
        <f>IFERROR(__xludf.DUMMYFUNCTION("IFERROR(ABS(O1971-AVERAGE(FILTER(O1971:O6039,AA1971:AA6039=""Neighbor""))) / STDEV(FILTER(O1971:O6039, AA1971:AA6039 =""Neighbor"")), """")"),0.5809290728239365)</f>
        <v>0.5809290728</v>
      </c>
      <c r="AD1971" s="4">
        <f>IFERROR(__xludf.DUMMYFUNCTION("IFERROR(ABS(P1971-AVERAGE(FILTER(O1971:P6039,AA1971:AA6039=""Neighbor""))) / STDEV(FILTER(P1971:P6039, AA1971:AA6039 =""Neighbor"")), """")"),1.5692062719395714)</f>
        <v>1.569206272</v>
      </c>
      <c r="AE1971" s="2">
        <f>IFERROR(__xludf.DUMMYFUNCTION("IFERROR(ABS(Q1971-AVERAGE(FILTER(Q1971:Q6039,AA1971:AA6039=""Neighbor""))) / STDEV(FILTER(Q1971:Q6039, AA1971:AA6039 =""Neighbor"")), """")"),0.9061544603718222)</f>
        <v>0.9061544604</v>
      </c>
      <c r="AF1971" s="2">
        <f>IFERROR(__xludf.DUMMYFUNCTION("IFERROR(ABS(R1971-AVERAGE(FILTER(R1971:R6039,AA1971:AA6039=""Neighbor""))) / STDEV(FILTER(R1971:R6039, AA1971:AA6039 =""Neighbor"")), """")"),0.3442679638796913)</f>
        <v>0.3442679639</v>
      </c>
    </row>
    <row r="1972">
      <c r="A1972" s="2" t="s">
        <v>28</v>
      </c>
      <c r="B1972" s="2" t="s">
        <v>7915</v>
      </c>
      <c r="C1972" s="2" t="s">
        <v>8060</v>
      </c>
      <c r="D1972" s="2" t="s">
        <v>8077</v>
      </c>
      <c r="E1972" s="2" t="s">
        <v>8078</v>
      </c>
      <c r="F1972" s="2">
        <v>21.0</v>
      </c>
      <c r="G1972" s="2">
        <v>90.0</v>
      </c>
      <c r="H1972" s="2" t="b">
        <v>1</v>
      </c>
      <c r="I1972" s="2">
        <v>-1.0</v>
      </c>
      <c r="J1972" s="2" t="b">
        <v>0</v>
      </c>
      <c r="K1972" s="2" t="b">
        <v>1</v>
      </c>
      <c r="L1972" s="2" t="b">
        <v>0</v>
      </c>
      <c r="M1972" s="2" t="b">
        <v>0</v>
      </c>
      <c r="N1972" s="2" t="s">
        <v>33</v>
      </c>
      <c r="O1972" s="2">
        <v>16.0</v>
      </c>
      <c r="P1972" s="2">
        <v>0.0</v>
      </c>
      <c r="Q1972" s="2">
        <v>4.0</v>
      </c>
      <c r="R1972" s="2">
        <v>0.0</v>
      </c>
      <c r="S1972" s="3" t="s">
        <v>8079</v>
      </c>
      <c r="T1972" s="2" t="s">
        <v>8080</v>
      </c>
      <c r="Y1972" s="4" t="str">
        <f>IFERROR(__xludf.DUMMYFUNCTION("""COMPUTED_VALUE"""),"6.948262")</f>
        <v>6.948262</v>
      </c>
      <c r="Z1972" s="4" t="str">
        <f>IFERROR(__xludf.DUMMYFUNCTION("""COMPUTED_VALUE"""),"3.5079264")</f>
        <v>3.5079264</v>
      </c>
      <c r="AA1972" s="4" t="str">
        <f t="shared" si="1"/>
        <v>Not Neighbor</v>
      </c>
      <c r="AC1972" s="4">
        <f>IFERROR(__xludf.DUMMYFUNCTION("IFERROR(ABS(O1972-AVERAGE(FILTER(O1972:O6040,AA1972:AA6040=""Neighbor""))) / STDEV(FILTER(O1972:O6040, AA1972:AA6040 =""Neighbor"")), """")"),1.01382669695176)</f>
        <v>1.013826697</v>
      </c>
      <c r="AD1972" s="4">
        <f>IFERROR(__xludf.DUMMYFUNCTION("IFERROR(ABS(P1972-AVERAGE(FILTER(O1972:P6040,AA1972:AA6040=""Neighbor""))) / STDEV(FILTER(P1972:P6040, AA1972:AA6040 =""Neighbor"")), """")"),1.5692062719395714)</f>
        <v>1.569206272</v>
      </c>
      <c r="AE1972" s="2">
        <f>IFERROR(__xludf.DUMMYFUNCTION("IFERROR(ABS(Q1972-AVERAGE(FILTER(Q1972:Q6040,AA1972:AA6040=""Neighbor""))) / STDEV(FILTER(Q1972:Q6040, AA1972:AA6040 =""Neighbor"")), """")"),0.7630332861901475)</f>
        <v>0.7630332862</v>
      </c>
      <c r="AF1972" s="2">
        <f>IFERROR(__xludf.DUMMYFUNCTION("IFERROR(ABS(R1972-AVERAGE(FILTER(R1972:R6040,AA1972:AA6040=""Neighbor""))) / STDEV(FILTER(R1972:R6040, AA1972:AA6040 =""Neighbor"")), """")"),0.3442679638796913)</f>
        <v>0.3442679639</v>
      </c>
    </row>
    <row r="1973">
      <c r="A1973" s="2" t="s">
        <v>28</v>
      </c>
      <c r="B1973" s="2" t="s">
        <v>7915</v>
      </c>
      <c r="C1973" s="2" t="s">
        <v>8060</v>
      </c>
      <c r="D1973" s="2" t="s">
        <v>8081</v>
      </c>
      <c r="E1973" s="2" t="s">
        <v>8082</v>
      </c>
      <c r="F1973" s="2">
        <v>40.0</v>
      </c>
      <c r="G1973" s="2">
        <v>131.0</v>
      </c>
      <c r="H1973" s="2" t="b">
        <v>1</v>
      </c>
      <c r="I1973" s="2">
        <v>-1.0</v>
      </c>
      <c r="J1973" s="2" t="b">
        <v>0</v>
      </c>
      <c r="K1973" s="2" t="b">
        <v>0</v>
      </c>
      <c r="L1973" s="2" t="b">
        <v>0</v>
      </c>
      <c r="M1973" s="2" t="b">
        <v>0</v>
      </c>
      <c r="N1973" s="2" t="s">
        <v>33</v>
      </c>
      <c r="O1973" s="2">
        <v>28.0</v>
      </c>
      <c r="P1973" s="2">
        <v>0.0</v>
      </c>
      <c r="Q1973" s="2">
        <v>9.0</v>
      </c>
      <c r="R1973" s="2">
        <v>0.0</v>
      </c>
      <c r="S1973" s="3" t="s">
        <v>8083</v>
      </c>
      <c r="T1973" s="2" t="s">
        <v>8084</v>
      </c>
      <c r="Y1973" s="4" t="str">
        <f>IFERROR(__xludf.DUMMYFUNCTION("""COMPUTED_VALUE"""),"7.0073341")</f>
        <v>7.0073341</v>
      </c>
      <c r="Z1973" s="4" t="str">
        <f>IFERROR(__xludf.DUMMYFUNCTION("""COMPUTED_VALUE"""),"3.6303297")</f>
        <v>3.6303297</v>
      </c>
      <c r="AA1973" s="4" t="str">
        <f t="shared" si="1"/>
        <v>Not Neighbor</v>
      </c>
      <c r="AC1973" s="4">
        <f>IFERROR(__xludf.DUMMYFUNCTION("IFERROR(ABS(O1973-AVERAGE(FILTER(O1973:O6041,AA1973:AA6041=""Neighbor""))) / STDEV(FILTER(O1973:O6041, AA1973:AA6041 =""Neighbor"")), """")"),0.6891534788558924)</f>
        <v>0.6891534789</v>
      </c>
      <c r="AD1973" s="4">
        <f>IFERROR(__xludf.DUMMYFUNCTION("IFERROR(ABS(P1973-AVERAGE(FILTER(O1973:P6041,AA1973:AA6041=""Neighbor""))) / STDEV(FILTER(P1973:P6041, AA1973:AA6041 =""Neighbor"")), """")"),1.5692062719395714)</f>
        <v>1.569206272</v>
      </c>
      <c r="AE1973" s="2">
        <f>IFERROR(__xludf.DUMMYFUNCTION("IFERROR(ABS(Q1973-AVERAGE(FILTER(Q1973:Q6041,AA1973:AA6041=""Neighbor""))) / STDEV(FILTER(Q1973:Q6041, AA1973:AA6041 =""Neighbor"")), """")"),0.5244979958873565)</f>
        <v>0.5244979959</v>
      </c>
      <c r="AF1973" s="2">
        <f>IFERROR(__xludf.DUMMYFUNCTION("IFERROR(ABS(R1973-AVERAGE(FILTER(R1973:R6041,AA1973:AA6041=""Neighbor""))) / STDEV(FILTER(R1973:R6041, AA1973:AA6041 =""Neighbor"")), """")"),0.3442679638796913)</f>
        <v>0.3442679639</v>
      </c>
    </row>
    <row r="1974">
      <c r="A1974" s="2" t="s">
        <v>28</v>
      </c>
      <c r="B1974" s="2" t="s">
        <v>7915</v>
      </c>
      <c r="C1974" s="2" t="s">
        <v>8060</v>
      </c>
      <c r="D1974" s="2" t="s">
        <v>8085</v>
      </c>
      <c r="E1974" s="2" t="s">
        <v>8086</v>
      </c>
      <c r="F1974" s="2">
        <v>31.0</v>
      </c>
      <c r="G1974" s="2">
        <v>91.0</v>
      </c>
      <c r="H1974" s="2" t="b">
        <v>1</v>
      </c>
      <c r="I1974" s="2">
        <v>-1.0</v>
      </c>
      <c r="J1974" s="2" t="b">
        <v>0</v>
      </c>
      <c r="K1974" s="2" t="b">
        <v>0</v>
      </c>
      <c r="L1974" s="2" t="b">
        <v>0</v>
      </c>
      <c r="M1974" s="2" t="b">
        <v>0</v>
      </c>
      <c r="N1974" s="2" t="s">
        <v>33</v>
      </c>
      <c r="O1974" s="2">
        <v>21.0</v>
      </c>
      <c r="P1974" s="2">
        <v>0.0</v>
      </c>
      <c r="Q1974" s="2">
        <v>6.0</v>
      </c>
      <c r="R1974" s="2">
        <v>0.0</v>
      </c>
      <c r="S1974" s="3" t="s">
        <v>8087</v>
      </c>
      <c r="T1974" s="2" t="s">
        <v>8088</v>
      </c>
      <c r="Y1974" s="4" t="str">
        <f>IFERROR(__xludf.DUMMYFUNCTION("""COMPUTED_VALUE"""),"6.9074599")</f>
        <v>6.9074599</v>
      </c>
      <c r="Z1974" s="4" t="str">
        <f>IFERROR(__xludf.DUMMYFUNCTION("""COMPUTED_VALUE"""),"3.5455328")</f>
        <v>3.5455328</v>
      </c>
      <c r="AA1974" s="4" t="str">
        <f t="shared" si="1"/>
        <v>Not Neighbor</v>
      </c>
      <c r="AC1974" s="4">
        <f>IFERROR(__xludf.DUMMYFUNCTION("IFERROR(ABS(O1974-AVERAGE(FILTER(O1974:O6042,AA1974:AA6042=""Neighbor""))) / STDEV(FILTER(O1974:O6042, AA1974:AA6042 =""Neighbor"")), """")"),0.8785461894118151)</f>
        <v>0.8785461894</v>
      </c>
      <c r="AD1974" s="4">
        <f>IFERROR(__xludf.DUMMYFUNCTION("IFERROR(ABS(P1974-AVERAGE(FILTER(O1974:P6042,AA1974:AA6042=""Neighbor""))) / STDEV(FILTER(P1974:P6042, AA1974:AA6042 =""Neighbor"")), """")"),1.5692062719395714)</f>
        <v>1.569206272</v>
      </c>
      <c r="AE1974" s="2">
        <f>IFERROR(__xludf.DUMMYFUNCTION("IFERROR(ABS(Q1974-AVERAGE(FILTER(Q1974:Q6042,AA1974:AA6042=""Neighbor""))) / STDEV(FILTER(Q1974:Q6042, AA1974:AA6042 =""Neighbor"")), """")"),0.6676191700690312)</f>
        <v>0.6676191701</v>
      </c>
      <c r="AF1974" s="2">
        <f>IFERROR(__xludf.DUMMYFUNCTION("IFERROR(ABS(R1974-AVERAGE(FILTER(R1974:R6042,AA1974:AA6042=""Neighbor""))) / STDEV(FILTER(R1974:R6042, AA1974:AA6042 =""Neighbor"")), """")"),0.3442679638796913)</f>
        <v>0.3442679639</v>
      </c>
    </row>
    <row r="1975">
      <c r="A1975" s="2" t="s">
        <v>28</v>
      </c>
      <c r="B1975" s="2" t="s">
        <v>7915</v>
      </c>
      <c r="C1975" s="2" t="s">
        <v>8060</v>
      </c>
      <c r="D1975" s="2" t="s">
        <v>8089</v>
      </c>
      <c r="E1975" s="2" t="s">
        <v>8090</v>
      </c>
      <c r="F1975" s="2">
        <v>82.0</v>
      </c>
      <c r="G1975" s="2">
        <v>536.0</v>
      </c>
      <c r="H1975" s="2" t="b">
        <v>1</v>
      </c>
      <c r="I1975" s="2">
        <v>-1.0</v>
      </c>
      <c r="J1975" s="2" t="b">
        <v>0</v>
      </c>
      <c r="K1975" s="2" t="b">
        <v>0</v>
      </c>
      <c r="L1975" s="2" t="b">
        <v>0</v>
      </c>
      <c r="M1975" s="2" t="b">
        <v>0</v>
      </c>
      <c r="N1975" s="2" t="s">
        <v>33</v>
      </c>
      <c r="O1975" s="2">
        <v>54.0</v>
      </c>
      <c r="P1975" s="2">
        <v>11.0</v>
      </c>
      <c r="Q1975" s="2">
        <v>11.0</v>
      </c>
      <c r="R1975" s="2">
        <v>1.0</v>
      </c>
      <c r="S1975" s="3" t="s">
        <v>8091</v>
      </c>
      <c r="T1975" s="2" t="s">
        <v>8092</v>
      </c>
      <c r="Y1975" s="4" t="str">
        <f>IFERROR(__xludf.DUMMYFUNCTION("""COMPUTED_VALUE"""),"6.9271247")</f>
        <v>6.9271247</v>
      </c>
      <c r="Z1975" s="4" t="str">
        <f>IFERROR(__xludf.DUMMYFUNCTION("""COMPUTED_VALUE"""),"3.5578637")</f>
        <v>3.5578637</v>
      </c>
      <c r="AA1975" s="4" t="str">
        <f t="shared" si="1"/>
        <v>Not Neighbor</v>
      </c>
      <c r="AC1975" s="4">
        <f>IFERROR(__xludf.DUMMYFUNCTION("IFERROR(ABS(O1975-AVERAGE(FILTER(O1975:O6043,AA1975:AA6043=""Neighbor""))) / STDEV(FILTER(O1975:O6043, AA1975:AA6043 =""Neighbor"")), """")"),0.014305160351820716)</f>
        <v>0.01430516035</v>
      </c>
      <c r="AD1975" s="4">
        <f>IFERROR(__xludf.DUMMYFUNCTION("IFERROR(ABS(P1975-AVERAGE(FILTER(O1975:P6043,AA1975:AA6043=""Neighbor""))) / STDEV(FILTER(P1975:P6043, AA1975:AA6043 =""Neighbor"")), """")"),1.0745691755036189)</f>
        <v>1.074569176</v>
      </c>
      <c r="AE1975" s="2">
        <f>IFERROR(__xludf.DUMMYFUNCTION("IFERROR(ABS(Q1975-AVERAGE(FILTER(Q1975:Q6043,AA1975:AA6043=""Neighbor""))) / STDEV(FILTER(Q1975:Q6043, AA1975:AA6043 =""Neighbor"")), """")"),0.42908387976623996)</f>
        <v>0.4290838798</v>
      </c>
      <c r="AF1975" s="2">
        <f>IFERROR(__xludf.DUMMYFUNCTION("IFERROR(ABS(R1975-AVERAGE(FILTER(R1975:R6043,AA1975:AA6043=""Neighbor""))) / STDEV(FILTER(R1975:R6043, AA1975:AA6043 =""Neighbor"")), """")"),0.8592589754210328)</f>
        <v>0.8592589754</v>
      </c>
    </row>
    <row r="1976">
      <c r="A1976" s="2" t="s">
        <v>28</v>
      </c>
      <c r="B1976" s="2" t="s">
        <v>7915</v>
      </c>
      <c r="C1976" s="2" t="s">
        <v>8060</v>
      </c>
      <c r="D1976" s="2" t="s">
        <v>8093</v>
      </c>
      <c r="E1976" s="2" t="s">
        <v>8094</v>
      </c>
      <c r="F1976" s="2">
        <v>43.0</v>
      </c>
      <c r="G1976" s="2">
        <v>198.0</v>
      </c>
      <c r="H1976" s="2" t="b">
        <v>1</v>
      </c>
      <c r="I1976" s="2">
        <v>-1.0</v>
      </c>
      <c r="J1976" s="2" t="b">
        <v>0</v>
      </c>
      <c r="K1976" s="2" t="b">
        <v>0</v>
      </c>
      <c r="L1976" s="2" t="b">
        <v>0</v>
      </c>
      <c r="M1976" s="2" t="b">
        <v>0</v>
      </c>
      <c r="N1976" s="2" t="s">
        <v>33</v>
      </c>
      <c r="O1976" s="2">
        <v>29.0</v>
      </c>
      <c r="P1976" s="2">
        <v>0.0</v>
      </c>
      <c r="Q1976" s="2">
        <v>14.0</v>
      </c>
      <c r="R1976" s="2">
        <v>0.0</v>
      </c>
      <c r="S1976" s="3" t="s">
        <v>8095</v>
      </c>
      <c r="T1976" s="2" t="s">
        <v>8096</v>
      </c>
      <c r="Y1976" s="4" t="str">
        <f>IFERROR(__xludf.DUMMYFUNCTION("""COMPUTED_VALUE"""),"6.948262")</f>
        <v>6.948262</v>
      </c>
      <c r="Z1976" s="4" t="str">
        <f>IFERROR(__xludf.DUMMYFUNCTION("""COMPUTED_VALUE"""),"3.5079264")</f>
        <v>3.5079264</v>
      </c>
      <c r="AA1976" s="4" t="str">
        <f t="shared" si="1"/>
        <v>Not Neighbor</v>
      </c>
      <c r="AC1976" s="4">
        <f>IFERROR(__xludf.DUMMYFUNCTION("IFERROR(ABS(O1976-AVERAGE(FILTER(O1976:O6044,AA1976:AA6044=""Neighbor""))) / STDEV(FILTER(O1976:O6044, AA1976:AA6044 =""Neighbor"")), """")"),0.6620973773479034)</f>
        <v>0.6620973773</v>
      </c>
      <c r="AD1976" s="4">
        <f>IFERROR(__xludf.DUMMYFUNCTION("IFERROR(ABS(P1976-AVERAGE(FILTER(O1976:P6044,AA1976:AA6044=""Neighbor""))) / STDEV(FILTER(P1976:P6044, AA1976:AA6044 =""Neighbor"")), """")"),1.5692062719395714)</f>
        <v>1.569206272</v>
      </c>
      <c r="AE1976" s="2">
        <f>IFERROR(__xludf.DUMMYFUNCTION("IFERROR(ABS(Q1976-AVERAGE(FILTER(Q1976:Q6044,AA1976:AA6044=""Neighbor""))) / STDEV(FILTER(Q1976:Q6044, AA1976:AA6044 =""Neighbor"")), """")"),0.2859627055845653)</f>
        <v>0.2859627056</v>
      </c>
      <c r="AF1976" s="2">
        <f>IFERROR(__xludf.DUMMYFUNCTION("IFERROR(ABS(R1976-AVERAGE(FILTER(R1976:R6044,AA1976:AA6044=""Neighbor""))) / STDEV(FILTER(R1976:R6044, AA1976:AA6044 =""Neighbor"")), """")"),0.3442679638796913)</f>
        <v>0.3442679639</v>
      </c>
    </row>
    <row r="1977">
      <c r="A1977" s="2" t="s">
        <v>28</v>
      </c>
      <c r="B1977" s="2" t="s">
        <v>7915</v>
      </c>
      <c r="C1977" s="2" t="s">
        <v>8060</v>
      </c>
      <c r="D1977" s="2" t="s">
        <v>8097</v>
      </c>
      <c r="E1977" s="2" t="s">
        <v>8098</v>
      </c>
      <c r="F1977" s="2">
        <v>18.0</v>
      </c>
      <c r="G1977" s="2">
        <v>105.0</v>
      </c>
      <c r="H1977" s="2" t="b">
        <v>1</v>
      </c>
      <c r="I1977" s="2">
        <v>-1.0</v>
      </c>
      <c r="J1977" s="2" t="b">
        <v>0</v>
      </c>
      <c r="K1977" s="2" t="b">
        <v>0</v>
      </c>
      <c r="L1977" s="2" t="b">
        <v>0</v>
      </c>
      <c r="M1977" s="2" t="b">
        <v>0</v>
      </c>
      <c r="N1977" s="2" t="s">
        <v>33</v>
      </c>
      <c r="O1977" s="2">
        <v>0.0</v>
      </c>
      <c r="P1977" s="2">
        <v>0.0</v>
      </c>
      <c r="Q1977" s="2">
        <v>0.0</v>
      </c>
      <c r="R1977" s="2">
        <v>0.0</v>
      </c>
      <c r="S1977" s="3" t="s">
        <v>8099</v>
      </c>
      <c r="T1977" s="2" t="s">
        <v>8100</v>
      </c>
      <c r="Y1977" s="4" t="str">
        <f>IFERROR(__xludf.DUMMYFUNCTION("""COMPUTED_VALUE"""),"6.9224434")</f>
        <v>6.9224434</v>
      </c>
      <c r="Z1977" s="4" t="str">
        <f>IFERROR(__xludf.DUMMYFUNCTION("""COMPUTED_VALUE"""),"3.5343111")</f>
        <v>3.5343111</v>
      </c>
      <c r="AA1977" s="4" t="str">
        <f t="shared" si="1"/>
        <v>Not Neighbor</v>
      </c>
      <c r="AC1977" s="4">
        <f>IFERROR(__xludf.DUMMYFUNCTION("IFERROR(ABS(O1977-AVERAGE(FILTER(O1977:O6045,AA1977:AA6045=""Neighbor""))) / STDEV(FILTER(O1977:O6045, AA1977:AA6045 =""Neighbor"")), """")"),1.4467243210795833)</f>
        <v>1.446724321</v>
      </c>
      <c r="AD1977" s="4">
        <f>IFERROR(__xludf.DUMMYFUNCTION("IFERROR(ABS(P1977-AVERAGE(FILTER(O1977:P6045,AA1977:AA6045=""Neighbor""))) / STDEV(FILTER(P1977:P6045, AA1977:AA6045 =""Neighbor"")), """")"),1.5692062719395714)</f>
        <v>1.569206272</v>
      </c>
      <c r="AE1977" s="2">
        <f>IFERROR(__xludf.DUMMYFUNCTION("IFERROR(ABS(Q1977-AVERAGE(FILTER(Q1977:Q6045,AA1977:AA6045=""Neighbor""))) / STDEV(FILTER(Q1977:Q6045, AA1977:AA6045 =""Neighbor"")), """")"),0.9538615184323804)</f>
        <v>0.9538615184</v>
      </c>
      <c r="AF1977" s="2">
        <f>IFERROR(__xludf.DUMMYFUNCTION("IFERROR(ABS(R1977-AVERAGE(FILTER(R1977:R6045,AA1977:AA6045=""Neighbor""))) / STDEV(FILTER(R1977:R6045, AA1977:AA6045 =""Neighbor"")), """")"),0.3442679638796913)</f>
        <v>0.3442679639</v>
      </c>
    </row>
    <row r="1978">
      <c r="A1978" s="2" t="s">
        <v>28</v>
      </c>
      <c r="B1978" s="2" t="s">
        <v>7915</v>
      </c>
      <c r="C1978" s="2" t="s">
        <v>8060</v>
      </c>
      <c r="D1978" s="2" t="s">
        <v>8101</v>
      </c>
      <c r="E1978" s="2" t="s">
        <v>8102</v>
      </c>
      <c r="F1978" s="2">
        <v>34.0</v>
      </c>
      <c r="G1978" s="2">
        <v>152.0</v>
      </c>
      <c r="H1978" s="2" t="b">
        <v>1</v>
      </c>
      <c r="I1978" s="2">
        <v>-1.0</v>
      </c>
      <c r="J1978" s="2" t="b">
        <v>0</v>
      </c>
      <c r="K1978" s="2" t="b">
        <v>0</v>
      </c>
      <c r="L1978" s="2" t="b">
        <v>0</v>
      </c>
      <c r="M1978" s="2" t="b">
        <v>0</v>
      </c>
      <c r="N1978" s="2" t="s">
        <v>33</v>
      </c>
      <c r="O1978" s="2">
        <v>28.0</v>
      </c>
      <c r="P1978" s="2">
        <v>2.0</v>
      </c>
      <c r="Q1978" s="2">
        <v>1.0</v>
      </c>
      <c r="R1978" s="2">
        <v>0.0</v>
      </c>
      <c r="S1978" s="3" t="s">
        <v>8103</v>
      </c>
      <c r="T1978" s="2" t="s">
        <v>8104</v>
      </c>
      <c r="Y1978" s="4" t="str">
        <f>IFERROR(__xludf.DUMMYFUNCTION("""COMPUTED_VALUE"""),"6.948262")</f>
        <v>6.948262</v>
      </c>
      <c r="Z1978" s="4" t="str">
        <f>IFERROR(__xludf.DUMMYFUNCTION("""COMPUTED_VALUE"""),"3.5079264")</f>
        <v>3.5079264</v>
      </c>
      <c r="AA1978" s="4" t="str">
        <f t="shared" si="1"/>
        <v>Neighbor</v>
      </c>
      <c r="AC1978" s="4">
        <f>IFERROR(__xludf.DUMMYFUNCTION("IFERROR(ABS(O1978-AVERAGE(FILTER(O1978:O6046,AA1978:AA6046=""Neighbor""))) / STDEV(FILTER(O1978:O6046, AA1978:AA6046 =""Neighbor"")), """")"),0.6891534788558924)</f>
        <v>0.6891534789</v>
      </c>
      <c r="AD1978" s="4">
        <f>IFERROR(__xludf.DUMMYFUNCTION("IFERROR(ABS(P1978-AVERAGE(FILTER(O1978:P6046,AA1978:AA6046=""Neighbor""))) / STDEV(FILTER(P1978:P6046, AA1978:AA6046 =""Neighbor"")), """")"),1.479272254405762)</f>
        <v>1.479272254</v>
      </c>
      <c r="AE1978" s="2">
        <f>IFERROR(__xludf.DUMMYFUNCTION("IFERROR(ABS(Q1978-AVERAGE(FILTER(Q1978:Q6046,AA1978:AA6046=""Neighbor""))) / STDEV(FILTER(Q1978:Q6046, AA1978:AA6046 =""Neighbor"")), """")"),0.9061544603718222)</f>
        <v>0.9061544604</v>
      </c>
      <c r="AF1978" s="2">
        <f>IFERROR(__xludf.DUMMYFUNCTION("IFERROR(ABS(R1978-AVERAGE(FILTER(R1978:R6046,AA1978:AA6046=""Neighbor""))) / STDEV(FILTER(R1978:R6046, AA1978:AA6046 =""Neighbor"")), """")"),0.3442679638796913)</f>
        <v>0.3442679639</v>
      </c>
    </row>
    <row r="1979">
      <c r="A1979" s="2" t="s">
        <v>28</v>
      </c>
      <c r="B1979" s="2" t="s">
        <v>7915</v>
      </c>
      <c r="C1979" s="2" t="s">
        <v>8060</v>
      </c>
      <c r="D1979" s="2" t="s">
        <v>8105</v>
      </c>
      <c r="E1979" s="2" t="s">
        <v>8106</v>
      </c>
      <c r="F1979" s="2">
        <v>32.0</v>
      </c>
      <c r="G1979" s="2">
        <v>141.0</v>
      </c>
      <c r="H1979" s="2" t="b">
        <v>1</v>
      </c>
      <c r="I1979" s="2">
        <v>-1.0</v>
      </c>
      <c r="J1979" s="2" t="b">
        <v>0</v>
      </c>
      <c r="K1979" s="2" t="b">
        <v>0</v>
      </c>
      <c r="L1979" s="2" t="b">
        <v>0</v>
      </c>
      <c r="M1979" s="2" t="b">
        <v>0</v>
      </c>
      <c r="N1979" s="2" t="s">
        <v>33</v>
      </c>
      <c r="O1979" s="2">
        <v>26.0</v>
      </c>
      <c r="P1979" s="2">
        <v>1.0</v>
      </c>
      <c r="Q1979" s="2">
        <v>3.0</v>
      </c>
      <c r="R1979" s="2">
        <v>0.0</v>
      </c>
      <c r="S1979" s="3" t="s">
        <v>8107</v>
      </c>
      <c r="T1979" s="2" t="s">
        <v>8108</v>
      </c>
      <c r="Y1979" s="4" t="str">
        <f>IFERROR(__xludf.DUMMYFUNCTION("""COMPUTED_VALUE"""),"6.948262")</f>
        <v>6.948262</v>
      </c>
      <c r="Z1979" s="4" t="str">
        <f>IFERROR(__xludf.DUMMYFUNCTION("""COMPUTED_VALUE"""),"3.5079264")</f>
        <v>3.5079264</v>
      </c>
      <c r="AA1979" s="4" t="str">
        <f t="shared" si="1"/>
        <v>Not Neighbor</v>
      </c>
      <c r="AC1979" s="4">
        <f>IFERROR(__xludf.DUMMYFUNCTION("IFERROR(ABS(O1979-AVERAGE(FILTER(O1979:O6047,AA1979:AA6047=""Neighbor""))) / STDEV(FILTER(O1979:O6047, AA1979:AA6047 =""Neighbor"")), """")"),0.7438453498882022)</f>
        <v>0.7438453499</v>
      </c>
      <c r="AD1979" s="4">
        <f>IFERROR(__xludf.DUMMYFUNCTION("IFERROR(ABS(P1979-AVERAGE(FILTER(O1979:P6047,AA1979:AA6047=""Neighbor""))) / STDEV(FILTER(P1979:P6047, AA1979:AA6047 =""Neighbor"")), """")"),1.524765629780369)</f>
        <v>1.52476563</v>
      </c>
      <c r="AE1979" s="2">
        <f>IFERROR(__xludf.DUMMYFUNCTION("IFERROR(ABS(Q1979-AVERAGE(FILTER(Q1979:Q6047,AA1979:AA6047=""Neighbor""))) / STDEV(FILTER(Q1979:Q6047, AA1979:AA6047 =""Neighbor"")), """")"),0.8117190563615121)</f>
        <v>0.8117190564</v>
      </c>
      <c r="AF1979" s="2">
        <f>IFERROR(__xludf.DUMMYFUNCTION("IFERROR(ABS(R1979-AVERAGE(FILTER(R1979:R6047,AA1979:AA6047=""Neighbor""))) / STDEV(FILTER(R1979:R6047, AA1979:AA6047 =""Neighbor"")), """")"),0.3444936925089197)</f>
        <v>0.3444936925</v>
      </c>
    </row>
    <row r="1980">
      <c r="A1980" s="2" t="s">
        <v>28</v>
      </c>
      <c r="B1980" s="2" t="s">
        <v>7915</v>
      </c>
      <c r="C1980" s="2" t="s">
        <v>8060</v>
      </c>
      <c r="D1980" s="2" t="s">
        <v>8109</v>
      </c>
      <c r="E1980" s="2" t="s">
        <v>8110</v>
      </c>
      <c r="F1980" s="2">
        <v>12.0</v>
      </c>
      <c r="G1980" s="2">
        <v>95.0</v>
      </c>
      <c r="H1980" s="2" t="b">
        <v>1</v>
      </c>
      <c r="I1980" s="2">
        <v>-1.0</v>
      </c>
      <c r="J1980" s="2" t="b">
        <v>0</v>
      </c>
      <c r="K1980" s="2" t="b">
        <v>0</v>
      </c>
      <c r="L1980" s="2" t="b">
        <v>0</v>
      </c>
      <c r="M1980" s="2" t="b">
        <v>0</v>
      </c>
      <c r="N1980" s="2" t="s">
        <v>33</v>
      </c>
      <c r="O1980" s="2">
        <v>9.0</v>
      </c>
      <c r="P1980" s="2">
        <v>0.0</v>
      </c>
      <c r="Q1980" s="2">
        <v>3.0</v>
      </c>
      <c r="R1980" s="2">
        <v>0.0</v>
      </c>
      <c r="S1980" s="3" t="s">
        <v>8111</v>
      </c>
      <c r="T1980" s="2" t="s">
        <v>8112</v>
      </c>
      <c r="Y1980" s="4" t="str">
        <f>IFERROR(__xludf.DUMMYFUNCTION("""COMPUTED_VALUE"""),"6.9924895")</f>
        <v>6.9924895</v>
      </c>
      <c r="Z1980" s="4" t="str">
        <f>IFERROR(__xludf.DUMMYFUNCTION("""COMPUTED_VALUE"""),"3.6206721")</f>
        <v>3.6206721</v>
      </c>
      <c r="AA1980" s="4" t="str">
        <f t="shared" si="1"/>
        <v>Not Neighbor</v>
      </c>
      <c r="AC1980" s="4">
        <f>IFERROR(__xludf.DUMMYFUNCTION("IFERROR(ABS(O1980-AVERAGE(FILTER(O1980:O6048,AA1980:AA6048=""Neighbor""))) / STDEV(FILTER(O1980:O6048, AA1980:AA6048 =""Neighbor"")), """")"),1.2036573958009127)</f>
        <v>1.203657396</v>
      </c>
      <c r="AD1980" s="4">
        <f>IFERROR(__xludf.DUMMYFUNCTION("IFERROR(ABS(P1980-AVERAGE(FILTER(O1980:P6048,AA1980:AA6048=""Neighbor""))) / STDEV(FILTER(P1980:P6048, AA1980:AA6048 =""Neighbor"")), """")"),1.5697171978278732)</f>
        <v>1.569717198</v>
      </c>
      <c r="AE1980" s="2">
        <f>IFERROR(__xludf.DUMMYFUNCTION("IFERROR(ABS(Q1980-AVERAGE(FILTER(Q1980:Q6048,AA1980:AA6048=""Neighbor""))) / STDEV(FILTER(Q1980:Q6048, AA1980:AA6048 =""Neighbor"")), """")"),0.8117190563615121)</f>
        <v>0.8117190564</v>
      </c>
      <c r="AF1980" s="2">
        <f>IFERROR(__xludf.DUMMYFUNCTION("IFERROR(ABS(R1980-AVERAGE(FILTER(R1980:R6048,AA1980:AA6048=""Neighbor""))) / STDEV(FILTER(R1980:R6048, AA1980:AA6048 =""Neighbor"")), """")"),0.3444936925089197)</f>
        <v>0.3444936925</v>
      </c>
    </row>
    <row r="1981">
      <c r="A1981" s="2" t="s">
        <v>28</v>
      </c>
      <c r="B1981" s="2" t="s">
        <v>7915</v>
      </c>
      <c r="C1981" s="2" t="s">
        <v>8060</v>
      </c>
      <c r="D1981" s="2" t="s">
        <v>8113</v>
      </c>
      <c r="E1981" s="2" t="s">
        <v>8114</v>
      </c>
      <c r="F1981" s="2">
        <v>41.0</v>
      </c>
      <c r="G1981" s="2">
        <v>113.0</v>
      </c>
      <c r="H1981" s="2" t="b">
        <v>1</v>
      </c>
      <c r="I1981" s="2">
        <v>-1.0</v>
      </c>
      <c r="J1981" s="2" t="b">
        <v>0</v>
      </c>
      <c r="K1981" s="2" t="b">
        <v>0</v>
      </c>
      <c r="L1981" s="2" t="b">
        <v>0</v>
      </c>
      <c r="M1981" s="2" t="b">
        <v>0</v>
      </c>
      <c r="N1981" s="2" t="s">
        <v>33</v>
      </c>
      <c r="O1981" s="2">
        <v>36.0</v>
      </c>
      <c r="P1981" s="2">
        <v>0.0</v>
      </c>
      <c r="Q1981" s="2">
        <v>4.0</v>
      </c>
      <c r="R1981" s="2">
        <v>0.0</v>
      </c>
      <c r="S1981" s="3" t="s">
        <v>8115</v>
      </c>
      <c r="T1981" s="2" t="s">
        <v>8116</v>
      </c>
      <c r="Y1981" s="4" t="str">
        <f>IFERROR(__xludf.DUMMYFUNCTION("""COMPUTED_VALUE"""),"7.0073341")</f>
        <v>7.0073341</v>
      </c>
      <c r="Z1981" s="4" t="str">
        <f>IFERROR(__xludf.DUMMYFUNCTION("""COMPUTED_VALUE"""),"3.6303297")</f>
        <v>3.6303297</v>
      </c>
      <c r="AA1981" s="4" t="str">
        <f t="shared" si="1"/>
        <v>Not Neighbor</v>
      </c>
      <c r="AC1981" s="4">
        <f>IFERROR(__xludf.DUMMYFUNCTION("IFERROR(ABS(O1981-AVERAGE(FILTER(O1981:O6049,AA1981:AA6049=""Neighbor""))) / STDEV(FILTER(O1981:O6049, AA1981:AA6049 =""Neighbor"")), """")"),0.47336767582190187)</f>
        <v>0.4733676758</v>
      </c>
      <c r="AD1981" s="4">
        <f>IFERROR(__xludf.DUMMYFUNCTION("IFERROR(ABS(P1981-AVERAGE(FILTER(O1981:P6049,AA1981:AA6049=""Neighbor""))) / STDEV(FILTER(P1981:P6049, AA1981:AA6049 =""Neighbor"")), """")"),1.5697171978278732)</f>
        <v>1.569717198</v>
      </c>
      <c r="AE1981" s="2">
        <f>IFERROR(__xludf.DUMMYFUNCTION("IFERROR(ABS(Q1981-AVERAGE(FILTER(Q1981:Q6049,AA1981:AA6049=""Neighbor""))) / STDEV(FILTER(Q1981:Q6049, AA1981:AA6049 =""Neighbor"")), """")"),0.7640169846260998)</f>
        <v>0.7640169846</v>
      </c>
      <c r="AF1981" s="2">
        <f>IFERROR(__xludf.DUMMYFUNCTION("IFERROR(ABS(R1981-AVERAGE(FILTER(R1981:R6049,AA1981:AA6049=""Neighbor""))) / STDEV(FILTER(R1981:R6049, AA1981:AA6049 =""Neighbor"")), """")"),0.3444936925089197)</f>
        <v>0.3444936925</v>
      </c>
    </row>
    <row r="1982">
      <c r="A1982" s="2" t="s">
        <v>28</v>
      </c>
      <c r="B1982" s="2" t="s">
        <v>7915</v>
      </c>
      <c r="C1982" s="2" t="s">
        <v>8117</v>
      </c>
      <c r="D1982" s="2" t="s">
        <v>8118</v>
      </c>
      <c r="E1982" s="2" t="s">
        <v>8119</v>
      </c>
      <c r="F1982" s="2">
        <v>77.0</v>
      </c>
      <c r="G1982" s="2">
        <v>527.0</v>
      </c>
      <c r="H1982" s="2" t="b">
        <v>1</v>
      </c>
      <c r="I1982" s="2">
        <v>-1.0</v>
      </c>
      <c r="J1982" s="2" t="b">
        <v>0</v>
      </c>
      <c r="K1982" s="2" t="b">
        <v>0</v>
      </c>
      <c r="L1982" s="2" t="b">
        <v>0</v>
      </c>
      <c r="M1982" s="2" t="b">
        <v>0</v>
      </c>
      <c r="N1982" s="2" t="s">
        <v>33</v>
      </c>
      <c r="O1982" s="2">
        <v>0.0</v>
      </c>
      <c r="P1982" s="2">
        <v>0.0</v>
      </c>
      <c r="Q1982" s="2">
        <v>0.0</v>
      </c>
      <c r="R1982" s="2">
        <v>0.0</v>
      </c>
      <c r="S1982" s="3" t="s">
        <v>8120</v>
      </c>
      <c r="T1982" s="2" t="s">
        <v>8121</v>
      </c>
      <c r="Y1982" s="4" t="str">
        <f>IFERROR(__xludf.DUMMYFUNCTION("""COMPUTED_VALUE"""),"6.948262")</f>
        <v>6.948262</v>
      </c>
      <c r="Z1982" s="4" t="str">
        <f>IFERROR(__xludf.DUMMYFUNCTION("""COMPUTED_VALUE"""),"3.5079264")</f>
        <v>3.5079264</v>
      </c>
      <c r="AA1982" s="4" t="str">
        <f t="shared" si="1"/>
        <v>Not Neighbor</v>
      </c>
      <c r="AC1982" s="4">
        <f>IFERROR(__xludf.DUMMYFUNCTION("IFERROR(ABS(O1982-AVERAGE(FILTER(O1982:O6050,AA1982:AA6050=""Neighbor""))) / STDEV(FILTER(O1982:O6050, AA1982:AA6050 =""Neighbor"")), """")"),1.447087302460583)</f>
        <v>1.447087302</v>
      </c>
      <c r="AD1982" s="4">
        <f>IFERROR(__xludf.DUMMYFUNCTION("IFERROR(ABS(P1982-AVERAGE(FILTER(O1982:P6050,AA1982:AA6050=""Neighbor""))) / STDEV(FILTER(P1982:P6050, AA1982:AA6050 =""Neighbor"")), """")"),1.5697171978278732)</f>
        <v>1.569717198</v>
      </c>
      <c r="AE1982" s="2">
        <f>IFERROR(__xludf.DUMMYFUNCTION("IFERROR(ABS(Q1982-AVERAGE(FILTER(Q1982:Q6050,AA1982:AA6050=""Neighbor""))) / STDEV(FILTER(Q1982:Q6050, AA1982:AA6050 =""Neighbor"")), """")"),0.9548252715677492)</f>
        <v>0.9548252716</v>
      </c>
      <c r="AF1982" s="2">
        <f>IFERROR(__xludf.DUMMYFUNCTION("IFERROR(ABS(R1982-AVERAGE(FILTER(R1982:R6050,AA1982:AA6050=""Neighbor""))) / STDEV(FILTER(R1982:R6050, AA1982:AA6050 =""Neighbor"")), """")"),0.3444936925089197)</f>
        <v>0.3444936925</v>
      </c>
    </row>
    <row r="1983">
      <c r="A1983" s="2" t="s">
        <v>28</v>
      </c>
      <c r="B1983" s="2" t="s">
        <v>7915</v>
      </c>
      <c r="C1983" s="2" t="s">
        <v>8117</v>
      </c>
      <c r="D1983" s="2" t="s">
        <v>8122</v>
      </c>
      <c r="E1983" s="2" t="s">
        <v>8123</v>
      </c>
      <c r="F1983" s="2">
        <v>70.0</v>
      </c>
      <c r="G1983" s="2">
        <v>632.0</v>
      </c>
      <c r="H1983" s="2" t="b">
        <v>1</v>
      </c>
      <c r="I1983" s="2">
        <v>-1.0</v>
      </c>
      <c r="J1983" s="2" t="b">
        <v>0</v>
      </c>
      <c r="K1983" s="2" t="b">
        <v>0</v>
      </c>
      <c r="L1983" s="2" t="b">
        <v>0</v>
      </c>
      <c r="M1983" s="2" t="b">
        <v>0</v>
      </c>
      <c r="N1983" s="2" t="s">
        <v>33</v>
      </c>
      <c r="O1983" s="2">
        <v>45.0</v>
      </c>
      <c r="P1983" s="2">
        <v>6.0</v>
      </c>
      <c r="Q1983" s="2">
        <v>6.0</v>
      </c>
      <c r="R1983" s="2">
        <v>1.0</v>
      </c>
      <c r="S1983" s="3" t="s">
        <v>8124</v>
      </c>
      <c r="T1983" s="2" t="s">
        <v>8125</v>
      </c>
      <c r="Y1983" s="4" t="str">
        <f>IFERROR(__xludf.DUMMYFUNCTION("""COMPUTED_VALUE"""),"7.0258636")</f>
        <v>7.0258636</v>
      </c>
      <c r="Z1983" s="4" t="str">
        <f>IFERROR(__xludf.DUMMYFUNCTION("""COMPUTED_VALUE"""),"3.5306765")</f>
        <v>3.5306765</v>
      </c>
      <c r="AA1983" s="4" t="str">
        <f t="shared" si="1"/>
        <v>Not Neighbor</v>
      </c>
      <c r="AC1983" s="4">
        <f>IFERROR(__xludf.DUMMYFUNCTION("IFERROR(ABS(O1983-AVERAGE(FILTER(O1983:O6051,AA1983:AA6051=""Neighbor""))) / STDEV(FILTER(O1983:O6051, AA1983:AA6051 =""Neighbor"")), """")"),0.22993776916223152)</f>
        <v>0.2299377692</v>
      </c>
      <c r="AD1983" s="4">
        <f>IFERROR(__xludf.DUMMYFUNCTION("IFERROR(ABS(P1983-AVERAGE(FILTER(O1983:P6051,AA1983:AA6051=""Neighbor""))) / STDEV(FILTER(P1983:P6051, AA1983:AA6051 =""Neighbor"")), """")"),1.3000077895428472)</f>
        <v>1.30000779</v>
      </c>
      <c r="AE1983" s="2">
        <f>IFERROR(__xludf.DUMMYFUNCTION("IFERROR(ABS(Q1983-AVERAGE(FILTER(Q1983:Q6051,AA1983:AA6051=""Neighbor""))) / STDEV(FILTER(Q1983:Q6051, AA1983:AA6051 =""Neighbor"")), """")"),0.6686128411552751)</f>
        <v>0.6686128412</v>
      </c>
      <c r="AF1983" s="2">
        <f>IFERROR(__xludf.DUMMYFUNCTION("IFERROR(ABS(R1983-AVERAGE(FILTER(R1983:R6051,AA1983:AA6051=""Neighbor""))) / STDEV(FILTER(R1983:R6051, AA1983:AA6051 =""Neighbor"")), """")"),0.8584105124812423)</f>
        <v>0.8584105125</v>
      </c>
    </row>
    <row r="1984">
      <c r="A1984" s="2" t="s">
        <v>28</v>
      </c>
      <c r="B1984" s="2" t="s">
        <v>7915</v>
      </c>
      <c r="C1984" s="2" t="s">
        <v>8117</v>
      </c>
      <c r="D1984" s="2" t="s">
        <v>8126</v>
      </c>
      <c r="E1984" s="2" t="s">
        <v>8127</v>
      </c>
      <c r="F1984" s="2">
        <v>55.0</v>
      </c>
      <c r="G1984" s="2">
        <v>417.0</v>
      </c>
      <c r="H1984" s="2" t="b">
        <v>1</v>
      </c>
      <c r="I1984" s="2">
        <v>-1.0</v>
      </c>
      <c r="J1984" s="2" t="b">
        <v>0</v>
      </c>
      <c r="K1984" s="2" t="b">
        <v>0</v>
      </c>
      <c r="L1984" s="2" t="b">
        <v>0</v>
      </c>
      <c r="M1984" s="2" t="b">
        <v>0</v>
      </c>
      <c r="N1984" s="2" t="s">
        <v>33</v>
      </c>
      <c r="O1984" s="2">
        <v>42.0</v>
      </c>
      <c r="P1984" s="2">
        <v>0.0</v>
      </c>
      <c r="Q1984" s="2">
        <v>6.0</v>
      </c>
      <c r="R1984" s="2">
        <v>0.0</v>
      </c>
      <c r="S1984" s="3" t="s">
        <v>8128</v>
      </c>
      <c r="T1984" s="2" t="s">
        <v>8129</v>
      </c>
      <c r="Y1984" s="4" t="str">
        <f>IFERROR(__xludf.DUMMYFUNCTION("""COMPUTED_VALUE"""),"7.0268719")</f>
        <v>7.0268719</v>
      </c>
      <c r="Z1984" s="4" t="str">
        <f>IFERROR(__xludf.DUMMYFUNCTION("""COMPUTED_VALUE"""),"3.5712433")</f>
        <v>3.5712433</v>
      </c>
      <c r="AA1984" s="4" t="str">
        <f t="shared" si="1"/>
        <v>Not Neighbor</v>
      </c>
      <c r="AC1984" s="4">
        <f>IFERROR(__xludf.DUMMYFUNCTION("IFERROR(ABS(O1984-AVERAGE(FILTER(O1984:O6052,AA1984:AA6052=""Neighbor""))) / STDEV(FILTER(O1984:O6052, AA1984:AA6052 =""Neighbor"")), """")"),0.31108107138212165)</f>
        <v>0.3110810714</v>
      </c>
      <c r="AD1984" s="4">
        <f>IFERROR(__xludf.DUMMYFUNCTION("IFERROR(ABS(P1984-AVERAGE(FILTER(O1984:P6052,AA1984:AA6052=""Neighbor""))) / STDEV(FILTER(P1984:P6052, AA1984:AA6052 =""Neighbor"")), """")"),1.5697171978278732)</f>
        <v>1.569717198</v>
      </c>
      <c r="AE1984" s="2">
        <f>IFERROR(__xludf.DUMMYFUNCTION("IFERROR(ABS(Q1984-AVERAGE(FILTER(Q1984:Q6052,AA1984:AA6052=""Neighbor""))) / STDEV(FILTER(Q1984:Q6052, AA1984:AA6052 =""Neighbor"")), """")"),0.6686128411552751)</f>
        <v>0.6686128412</v>
      </c>
      <c r="AF1984" s="2">
        <f>IFERROR(__xludf.DUMMYFUNCTION("IFERROR(ABS(R1984-AVERAGE(FILTER(R1984:R6052,AA1984:AA6052=""Neighbor""))) / STDEV(FILTER(R1984:R6052, AA1984:AA6052 =""Neighbor"")), """")"),0.3444936925089197)</f>
        <v>0.3444936925</v>
      </c>
    </row>
    <row r="1985">
      <c r="A1985" s="2" t="s">
        <v>28</v>
      </c>
      <c r="B1985" s="2" t="s">
        <v>7915</v>
      </c>
      <c r="C1985" s="2" t="s">
        <v>8117</v>
      </c>
      <c r="D1985" s="2" t="s">
        <v>8130</v>
      </c>
      <c r="E1985" s="2" t="s">
        <v>8131</v>
      </c>
      <c r="F1985" s="2">
        <v>232.0</v>
      </c>
      <c r="G1985" s="2">
        <v>1425.0</v>
      </c>
      <c r="H1985" s="2" t="b">
        <v>1</v>
      </c>
      <c r="I1985" s="2">
        <v>-1.0</v>
      </c>
      <c r="J1985" s="2" t="b">
        <v>0</v>
      </c>
      <c r="K1985" s="2" t="b">
        <v>0</v>
      </c>
      <c r="L1985" s="2" t="b">
        <v>0</v>
      </c>
      <c r="M1985" s="2" t="b">
        <v>0</v>
      </c>
      <c r="N1985" s="2" t="s">
        <v>33</v>
      </c>
      <c r="O1985" s="2">
        <v>150.0</v>
      </c>
      <c r="P1985" s="2">
        <v>41.0</v>
      </c>
      <c r="Q1985" s="2">
        <v>15.0</v>
      </c>
      <c r="R1985" s="2">
        <v>1.0</v>
      </c>
      <c r="S1985" s="3" t="s">
        <v>8132</v>
      </c>
      <c r="T1985" s="2" t="s">
        <v>8133</v>
      </c>
      <c r="Y1985" s="4" t="str">
        <f>IFERROR(__xludf.DUMMYFUNCTION("""COMPUTED_VALUE"""),"7.0318885")</f>
        <v>7.0318885</v>
      </c>
      <c r="Z1985" s="4" t="str">
        <f>IFERROR(__xludf.DUMMYFUNCTION("""COMPUTED_VALUE"""),"3.4532267")</f>
        <v>3.4532267</v>
      </c>
      <c r="AA1985" s="4" t="str">
        <f t="shared" si="1"/>
        <v>Not Neighbor</v>
      </c>
      <c r="AC1985" s="4">
        <f>IFERROR(__xludf.DUMMYFUNCTION("IFERROR(ABS(O1985-AVERAGE(FILTER(O1985:O6053,AA1985:AA6053=""Neighbor""))) / STDEV(FILTER(O1985:O6053, AA1985:AA6053 =""Neighbor"")), """")"),2.610077808533922)</f>
        <v>2.610077809</v>
      </c>
      <c r="AD1985" s="4">
        <f>IFERROR(__xludf.DUMMYFUNCTION("IFERROR(ABS(P1985-AVERAGE(FILTER(O1985:P6053,AA1985:AA6053=""Neighbor""))) / STDEV(FILTER(P1985:P6053, AA1985:AA6053 =""Neighbor"")), """")"),0.273297092119803)</f>
        <v>0.2732970921</v>
      </c>
      <c r="AE1985" s="2">
        <f>IFERROR(__xludf.DUMMYFUNCTION("IFERROR(ABS(Q1985-AVERAGE(FILTER(Q1985:Q6053,AA1985:AA6053=""Neighbor""))) / STDEV(FILTER(Q1985:Q6053, AA1985:AA6053 =""Neighbor"")), """")"),0.2392941955365638)</f>
        <v>0.2392941955</v>
      </c>
      <c r="AF1985" s="2">
        <f>IFERROR(__xludf.DUMMYFUNCTION("IFERROR(ABS(R1985-AVERAGE(FILTER(R1985:R6053,AA1985:AA6053=""Neighbor""))) / STDEV(FILTER(R1985:R6053, AA1985:AA6053 =""Neighbor"")), """")"),0.8584105124812423)</f>
        <v>0.8584105125</v>
      </c>
    </row>
    <row r="1986">
      <c r="A1986" s="2" t="s">
        <v>28</v>
      </c>
      <c r="B1986" s="2" t="s">
        <v>7915</v>
      </c>
      <c r="C1986" s="2" t="s">
        <v>8117</v>
      </c>
      <c r="D1986" s="2" t="s">
        <v>8134</v>
      </c>
      <c r="E1986" s="2" t="s">
        <v>8135</v>
      </c>
      <c r="F1986" s="2">
        <v>39.0</v>
      </c>
      <c r="G1986" s="2">
        <v>292.0</v>
      </c>
      <c r="H1986" s="2" t="b">
        <v>1</v>
      </c>
      <c r="I1986" s="2">
        <v>-1.0</v>
      </c>
      <c r="J1986" s="2" t="b">
        <v>0</v>
      </c>
      <c r="K1986" s="2" t="b">
        <v>0</v>
      </c>
      <c r="L1986" s="2" t="b">
        <v>0</v>
      </c>
      <c r="M1986" s="2" t="b">
        <v>0</v>
      </c>
      <c r="N1986" s="2" t="s">
        <v>33</v>
      </c>
      <c r="O1986" s="2">
        <v>29.0</v>
      </c>
      <c r="P1986" s="2">
        <v>0.0</v>
      </c>
      <c r="Q1986" s="2">
        <v>5.0</v>
      </c>
      <c r="R1986" s="2">
        <v>0.0</v>
      </c>
      <c r="S1986" s="3" t="s">
        <v>8136</v>
      </c>
      <c r="T1986" s="2" t="s">
        <v>8137</v>
      </c>
      <c r="Y1986" s="4" t="str">
        <f>IFERROR(__xludf.DUMMYFUNCTION("""COMPUTED_VALUE"""),"7.0268719")</f>
        <v>7.0268719</v>
      </c>
      <c r="Z1986" s="4" t="str">
        <f>IFERROR(__xludf.DUMMYFUNCTION("""COMPUTED_VALUE"""),"3.5712433")</f>
        <v>3.5712433</v>
      </c>
      <c r="AA1986" s="4" t="str">
        <f t="shared" si="1"/>
        <v>Not Neighbor</v>
      </c>
      <c r="AC1986" s="4">
        <f>IFERROR(__xludf.DUMMYFUNCTION("IFERROR(ABS(O1986-AVERAGE(FILTER(O1986:O6054,AA1986:AA6054=""Neighbor""))) / STDEV(FILTER(O1986:O6054, AA1986:AA6054 =""Neighbor"")), """")"),0.6627020476683121)</f>
        <v>0.6627020477</v>
      </c>
      <c r="AD1986" s="4">
        <f>IFERROR(__xludf.DUMMYFUNCTION("IFERROR(ABS(P1986-AVERAGE(FILTER(O1986:P6054,AA1986:AA6054=""Neighbor""))) / STDEV(FILTER(P1986:P6054, AA1986:AA6054 =""Neighbor"")), """")"),1.5697171978278732)</f>
        <v>1.569717198</v>
      </c>
      <c r="AE1986" s="2">
        <f>IFERROR(__xludf.DUMMYFUNCTION("IFERROR(ABS(Q1986-AVERAGE(FILTER(Q1986:Q6054,AA1986:AA6054=""Neighbor""))) / STDEV(FILTER(Q1986:Q6054, AA1986:AA6054 =""Neighbor"")), """")"),0.7163149128906874)</f>
        <v>0.7163149129</v>
      </c>
      <c r="AF1986" s="2">
        <f>IFERROR(__xludf.DUMMYFUNCTION("IFERROR(ABS(R1986-AVERAGE(FILTER(R1986:R6054,AA1986:AA6054=""Neighbor""))) / STDEV(FILTER(R1986:R6054, AA1986:AA6054 =""Neighbor"")), """")"),0.3444936925089197)</f>
        <v>0.3444936925</v>
      </c>
    </row>
    <row r="1987">
      <c r="A1987" s="2" t="s">
        <v>28</v>
      </c>
      <c r="B1987" s="2" t="s">
        <v>7915</v>
      </c>
      <c r="C1987" s="2" t="s">
        <v>8117</v>
      </c>
      <c r="D1987" s="2" t="s">
        <v>8138</v>
      </c>
      <c r="E1987" s="2" t="s">
        <v>8139</v>
      </c>
      <c r="F1987" s="2">
        <v>21.0</v>
      </c>
      <c r="G1987" s="2">
        <v>181.0</v>
      </c>
      <c r="H1987" s="2" t="b">
        <v>1</v>
      </c>
      <c r="I1987" s="2">
        <v>-1.0</v>
      </c>
      <c r="J1987" s="2" t="b">
        <v>0</v>
      </c>
      <c r="K1987" s="2" t="b">
        <v>0</v>
      </c>
      <c r="L1987" s="2" t="b">
        <v>0</v>
      </c>
      <c r="M1987" s="2" t="b">
        <v>0</v>
      </c>
      <c r="N1987" s="2" t="s">
        <v>33</v>
      </c>
      <c r="O1987" s="2">
        <v>13.0</v>
      </c>
      <c r="P1987" s="2">
        <v>0.0</v>
      </c>
      <c r="Q1987" s="2">
        <v>7.0</v>
      </c>
      <c r="R1987" s="2">
        <v>0.0</v>
      </c>
      <c r="S1987" s="3" t="s">
        <v>8140</v>
      </c>
      <c r="T1987" s="2" t="s">
        <v>8141</v>
      </c>
      <c r="Y1987" s="4" t="str">
        <f>IFERROR(__xludf.DUMMYFUNCTION("""COMPUTED_VALUE"""),"7.0258636")</f>
        <v>7.0258636</v>
      </c>
      <c r="Z1987" s="4" t="str">
        <f>IFERROR(__xludf.DUMMYFUNCTION("""COMPUTED_VALUE"""),"3.5306765")</f>
        <v>3.5306765</v>
      </c>
      <c r="AA1987" s="4" t="str">
        <f t="shared" si="1"/>
        <v>Not Neighbor</v>
      </c>
      <c r="AC1987" s="4">
        <f>IFERROR(__xludf.DUMMYFUNCTION("IFERROR(ABS(O1987-AVERAGE(FILTER(O1987:O6055,AA1987:AA6055=""Neighbor""))) / STDEV(FILTER(O1987:O6055, AA1987:AA6055 =""Neighbor"")), """")"),1.0954663261743927)</f>
        <v>1.095466326</v>
      </c>
      <c r="AD1987" s="4">
        <f>IFERROR(__xludf.DUMMYFUNCTION("IFERROR(ABS(P1987-AVERAGE(FILTER(O1987:P6055,AA1987:AA6055=""Neighbor""))) / STDEV(FILTER(P1987:P6055, AA1987:AA6055 =""Neighbor"")), """")"),1.5697171978278732)</f>
        <v>1.569717198</v>
      </c>
      <c r="AE1987" s="2">
        <f>IFERROR(__xludf.DUMMYFUNCTION("IFERROR(ABS(Q1987-AVERAGE(FILTER(Q1987:Q6055,AA1987:AA6055=""Neighbor""))) / STDEV(FILTER(Q1987:Q6055, AA1987:AA6055 =""Neighbor"")), """")"),0.6209107694198627)</f>
        <v>0.6209107694</v>
      </c>
      <c r="AF1987" s="2">
        <f>IFERROR(__xludf.DUMMYFUNCTION("IFERROR(ABS(R1987-AVERAGE(FILTER(R1987:R6055,AA1987:AA6055=""Neighbor""))) / STDEV(FILTER(R1987:R6055, AA1987:AA6055 =""Neighbor"")), """")"),0.3444936925089197)</f>
        <v>0.3444936925</v>
      </c>
    </row>
    <row r="1988">
      <c r="A1988" s="2" t="s">
        <v>28</v>
      </c>
      <c r="B1988" s="2" t="s">
        <v>7915</v>
      </c>
      <c r="C1988" s="2" t="s">
        <v>8117</v>
      </c>
      <c r="D1988" s="2" t="s">
        <v>8142</v>
      </c>
      <c r="E1988" s="2" t="s">
        <v>8143</v>
      </c>
      <c r="F1988" s="2">
        <v>66.0</v>
      </c>
      <c r="G1988" s="2">
        <v>244.0</v>
      </c>
      <c r="H1988" s="2" t="b">
        <v>1</v>
      </c>
      <c r="I1988" s="2">
        <v>-1.0</v>
      </c>
      <c r="J1988" s="2" t="b">
        <v>0</v>
      </c>
      <c r="K1988" s="2" t="b">
        <v>0</v>
      </c>
      <c r="L1988" s="2" t="b">
        <v>0</v>
      </c>
      <c r="M1988" s="2" t="b">
        <v>0</v>
      </c>
      <c r="N1988" s="2" t="s">
        <v>33</v>
      </c>
      <c r="O1988" s="2">
        <v>34.0</v>
      </c>
      <c r="P1988" s="2">
        <v>17.0</v>
      </c>
      <c r="Q1988" s="2">
        <v>7.0</v>
      </c>
      <c r="R1988" s="2">
        <v>0.0</v>
      </c>
      <c r="S1988" s="3" t="s">
        <v>8144</v>
      </c>
      <c r="T1988" s="2" t="s">
        <v>8145</v>
      </c>
      <c r="Y1988" s="4" t="str">
        <f>IFERROR(__xludf.DUMMYFUNCTION("""COMPUTED_VALUE"""),"7.0332609")</f>
        <v>7.0332609</v>
      </c>
      <c r="Z1988" s="4" t="str">
        <f>IFERROR(__xludf.DUMMYFUNCTION("""COMPUTED_VALUE"""),"3.5548496")</f>
        <v>3.5548496</v>
      </c>
      <c r="AA1988" s="4" t="str">
        <f t="shared" si="1"/>
        <v>Not Neighbor</v>
      </c>
      <c r="AC1988" s="4">
        <f>IFERROR(__xludf.DUMMYFUNCTION("IFERROR(ABS(O1988-AVERAGE(FILTER(O1988:O6056,AA1988:AA6056=""Neighbor""))) / STDEV(FILTER(O1988:O6056, AA1988:AA6056 =""Neighbor"")), """")"),0.5274632106351619)</f>
        <v>0.5274632106</v>
      </c>
      <c r="AD1988" s="4">
        <f>IFERROR(__xludf.DUMMYFUNCTION("IFERROR(ABS(P1988-AVERAGE(FILTER(O1988:P6056,AA1988:AA6056=""Neighbor""))) / STDEV(FILTER(P1988:P6056, AA1988:AA6056 =""Neighbor"")), """")"),0.8055405410203)</f>
        <v>0.805540541</v>
      </c>
      <c r="AE1988" s="2">
        <f>IFERROR(__xludf.DUMMYFUNCTION("IFERROR(ABS(Q1988-AVERAGE(FILTER(Q1988:Q6056,AA1988:AA6056=""Neighbor""))) / STDEV(FILTER(Q1988:Q6056, AA1988:AA6056 =""Neighbor"")), """")"),0.6209107694198627)</f>
        <v>0.6209107694</v>
      </c>
      <c r="AF1988" s="2">
        <f>IFERROR(__xludf.DUMMYFUNCTION("IFERROR(ABS(R1988-AVERAGE(FILTER(R1988:R6056,AA1988:AA6056=""Neighbor""))) / STDEV(FILTER(R1988:R6056, AA1988:AA6056 =""Neighbor"")), """")"),0.3444936925089197)</f>
        <v>0.3444936925</v>
      </c>
    </row>
    <row r="1989">
      <c r="A1989" s="2" t="s">
        <v>28</v>
      </c>
      <c r="B1989" s="2" t="s">
        <v>7915</v>
      </c>
      <c r="C1989" s="2" t="s">
        <v>8117</v>
      </c>
      <c r="D1989" s="2" t="s">
        <v>8146</v>
      </c>
      <c r="E1989" s="2" t="s">
        <v>8147</v>
      </c>
      <c r="F1989" s="2">
        <v>46.0</v>
      </c>
      <c r="G1989" s="2">
        <v>311.0</v>
      </c>
      <c r="H1989" s="2" t="b">
        <v>1</v>
      </c>
      <c r="I1989" s="2">
        <v>-1.0</v>
      </c>
      <c r="J1989" s="2" t="b">
        <v>0</v>
      </c>
      <c r="K1989" s="2" t="b">
        <v>1</v>
      </c>
      <c r="L1989" s="2" t="b">
        <v>0</v>
      </c>
      <c r="M1989" s="2" t="b">
        <v>0</v>
      </c>
      <c r="N1989" s="2" t="s">
        <v>33</v>
      </c>
      <c r="O1989" s="2">
        <v>35.0</v>
      </c>
      <c r="P1989" s="2">
        <v>0.0</v>
      </c>
      <c r="Q1989" s="2">
        <v>4.0</v>
      </c>
      <c r="R1989" s="2">
        <v>0.0</v>
      </c>
      <c r="S1989" s="3" t="s">
        <v>8148</v>
      </c>
      <c r="T1989" s="2" t="s">
        <v>8149</v>
      </c>
      <c r="Y1989" s="4" t="str">
        <f>IFERROR(__xludf.DUMMYFUNCTION("""COMPUTED_VALUE"""),"7.0268719")</f>
        <v>7.0268719</v>
      </c>
      <c r="Z1989" s="4" t="str">
        <f>IFERROR(__xludf.DUMMYFUNCTION("""COMPUTED_VALUE"""),"3.5712433")</f>
        <v>3.5712433</v>
      </c>
      <c r="AA1989" s="4" t="str">
        <f t="shared" si="1"/>
        <v>Not Neighbor</v>
      </c>
      <c r="AC1989" s="4">
        <f>IFERROR(__xludf.DUMMYFUNCTION("IFERROR(ABS(O1989-AVERAGE(FILTER(O1989:O6057,AA1989:AA6057=""Neighbor""))) / STDEV(FILTER(O1989:O6057, AA1989:AA6057 =""Neighbor"")), """")"),0.5004154432285319)</f>
        <v>0.5004154432</v>
      </c>
      <c r="AD1989" s="4">
        <f>IFERROR(__xludf.DUMMYFUNCTION("IFERROR(ABS(P1989-AVERAGE(FILTER(O1989:P6057,AA1989:AA6057=""Neighbor""))) / STDEV(FILTER(P1989:P6057, AA1989:AA6057 =""Neighbor"")), """")"),1.5697171978278732)</f>
        <v>1.569717198</v>
      </c>
      <c r="AE1989" s="2">
        <f>IFERROR(__xludf.DUMMYFUNCTION("IFERROR(ABS(Q1989-AVERAGE(FILTER(Q1989:Q6057,AA1989:AA6057=""Neighbor""))) / STDEV(FILTER(Q1989:Q6057, AA1989:AA6057 =""Neighbor"")), """")"),0.7640169846260998)</f>
        <v>0.7640169846</v>
      </c>
      <c r="AF1989" s="2">
        <f>IFERROR(__xludf.DUMMYFUNCTION("IFERROR(ABS(R1989-AVERAGE(FILTER(R1989:R6057,AA1989:AA6057=""Neighbor""))) / STDEV(FILTER(R1989:R6057, AA1989:AA6057 =""Neighbor"")), """")"),0.3444936925089197)</f>
        <v>0.3444936925</v>
      </c>
    </row>
    <row r="1990">
      <c r="A1990" s="2" t="s">
        <v>28</v>
      </c>
      <c r="B1990" s="2" t="s">
        <v>7915</v>
      </c>
      <c r="C1990" s="2" t="s">
        <v>8117</v>
      </c>
      <c r="D1990" s="2" t="s">
        <v>8150</v>
      </c>
      <c r="E1990" s="2" t="s">
        <v>8151</v>
      </c>
      <c r="F1990" s="2">
        <v>48.0</v>
      </c>
      <c r="G1990" s="2">
        <v>283.0</v>
      </c>
      <c r="H1990" s="2" t="b">
        <v>1</v>
      </c>
      <c r="I1990" s="2">
        <v>-1.0</v>
      </c>
      <c r="J1990" s="2" t="b">
        <v>0</v>
      </c>
      <c r="K1990" s="2" t="b">
        <v>0</v>
      </c>
      <c r="L1990" s="2" t="b">
        <v>0</v>
      </c>
      <c r="M1990" s="2" t="b">
        <v>0</v>
      </c>
      <c r="N1990" s="2" t="s">
        <v>33</v>
      </c>
      <c r="O1990" s="2">
        <v>36.0</v>
      </c>
      <c r="P1990" s="2">
        <v>1.0</v>
      </c>
      <c r="Q1990" s="2">
        <v>4.0</v>
      </c>
      <c r="R1990" s="2">
        <v>1.0</v>
      </c>
      <c r="S1990" s="3" t="s">
        <v>8152</v>
      </c>
      <c r="T1990" s="2" t="s">
        <v>8153</v>
      </c>
      <c r="Y1990" s="4" t="str">
        <f>IFERROR(__xludf.DUMMYFUNCTION("""COMPUTED_VALUE"""),"7.0258636")</f>
        <v>7.0258636</v>
      </c>
      <c r="Z1990" s="4" t="str">
        <f>IFERROR(__xludf.DUMMYFUNCTION("""COMPUTED_VALUE"""),"3.5306765")</f>
        <v>3.5306765</v>
      </c>
      <c r="AA1990" s="4" t="str">
        <f t="shared" si="1"/>
        <v>Neighbor</v>
      </c>
      <c r="AC1990" s="4">
        <f>IFERROR(__xludf.DUMMYFUNCTION("IFERROR(ABS(O1990-AVERAGE(FILTER(O1990:O6058,AA1990:AA6058=""Neighbor""))) / STDEV(FILTER(O1990:O6058, AA1990:AA6058 =""Neighbor"")), """")"),0.47336767582190187)</f>
        <v>0.4733676758</v>
      </c>
      <c r="AD1990" s="4">
        <f>IFERROR(__xludf.DUMMYFUNCTION("IFERROR(ABS(P1990-AVERAGE(FILTER(O1990:P6058,AA1990:AA6058=""Neighbor""))) / STDEV(FILTER(P1990:P6058, AA1990:AA6058 =""Neighbor"")), """")"),1.524765629780369)</f>
        <v>1.52476563</v>
      </c>
      <c r="AE1990" s="2">
        <f>IFERROR(__xludf.DUMMYFUNCTION("IFERROR(ABS(Q1990-AVERAGE(FILTER(Q1990:Q6058,AA1990:AA6058=""Neighbor""))) / STDEV(FILTER(Q1990:Q6058, AA1990:AA6058 =""Neighbor"")), """")"),0.7640169846260998)</f>
        <v>0.7640169846</v>
      </c>
      <c r="AF1990" s="2">
        <f>IFERROR(__xludf.DUMMYFUNCTION("IFERROR(ABS(R1990-AVERAGE(FILTER(R1990:R6058,AA1990:AA6058=""Neighbor""))) / STDEV(FILTER(R1990:R6058, AA1990:AA6058 =""Neighbor"")), """")"),0.8584105124812423)</f>
        <v>0.8584105125</v>
      </c>
    </row>
    <row r="1991">
      <c r="A1991" s="2" t="s">
        <v>28</v>
      </c>
      <c r="B1991" s="2" t="s">
        <v>7915</v>
      </c>
      <c r="C1991" s="2" t="s">
        <v>8117</v>
      </c>
      <c r="D1991" s="2" t="s">
        <v>8154</v>
      </c>
      <c r="E1991" s="2" t="s">
        <v>8155</v>
      </c>
      <c r="F1991" s="2">
        <v>38.0</v>
      </c>
      <c r="G1991" s="2">
        <v>145.0</v>
      </c>
      <c r="H1991" s="2" t="b">
        <v>1</v>
      </c>
      <c r="I1991" s="2">
        <v>-1.0</v>
      </c>
      <c r="J1991" s="2" t="b">
        <v>0</v>
      </c>
      <c r="K1991" s="2" t="b">
        <v>1</v>
      </c>
      <c r="L1991" s="2" t="b">
        <v>0</v>
      </c>
      <c r="M1991" s="2" t="b">
        <v>0</v>
      </c>
      <c r="N1991" s="2" t="s">
        <v>33</v>
      </c>
      <c r="O1991" s="2">
        <v>24.0</v>
      </c>
      <c r="P1991" s="2">
        <v>0.0</v>
      </c>
      <c r="Q1991" s="2">
        <v>12.0</v>
      </c>
      <c r="R1991" s="2">
        <v>0.0</v>
      </c>
      <c r="S1991" s="3" t="s">
        <v>8156</v>
      </c>
      <c r="T1991" s="2" t="s">
        <v>8157</v>
      </c>
      <c r="Y1991" s="4" t="str">
        <f>IFERROR(__xludf.DUMMYFUNCTION("""COMPUTED_VALUE"""),"7.0258636")</f>
        <v>7.0258636</v>
      </c>
      <c r="Z1991" s="4" t="str">
        <f>IFERROR(__xludf.DUMMYFUNCTION("""COMPUTED_VALUE"""),"3.5306765")</f>
        <v>3.5306765</v>
      </c>
      <c r="AA1991" s="4" t="str">
        <f t="shared" si="1"/>
        <v>Neighbor</v>
      </c>
      <c r="AC1991" s="4">
        <f>IFERROR(__xludf.DUMMYFUNCTION("IFERROR(ABS(O1991-AVERAGE(FILTER(O1991:O6059,AA1991:AA6059=""Neighbor""))) / STDEV(FILTER(O1991:O6059, AA1991:AA6059 =""Neighbor"")), """")"),0.7981330519681673)</f>
        <v>0.798133052</v>
      </c>
      <c r="AD1991" s="4">
        <f>IFERROR(__xludf.DUMMYFUNCTION("IFERROR(ABS(P1991-AVERAGE(FILTER(O1991:P6059,AA1991:AA6059=""Neighbor""))) / STDEV(FILTER(P1991:P6059, AA1991:AA6059 =""Neighbor"")), """")"),1.5701006582813593)</f>
        <v>1.570100658</v>
      </c>
      <c r="AE1991" s="2">
        <f>IFERROR(__xludf.DUMMYFUNCTION("IFERROR(ABS(Q1991-AVERAGE(FILTER(Q1991:Q6059,AA1991:AA6059=""Neighbor""))) / STDEV(FILTER(Q1991:Q6059, AA1991:AA6059 =""Neighbor"")), """")"),0.3832045290209128)</f>
        <v>0.383204529</v>
      </c>
      <c r="AF1991" s="2">
        <f>IFERROR(__xludf.DUMMYFUNCTION("IFERROR(ABS(R1991-AVERAGE(FILTER(R1991:R6059,AA1991:AA6059=""Neighbor""))) / STDEV(FILTER(R1991:R6059, AA1991:AA6059 =""Neighbor"")), """")"),0.3434320060199296)</f>
        <v>0.343432006</v>
      </c>
    </row>
    <row r="1992">
      <c r="A1992" s="2" t="s">
        <v>28</v>
      </c>
      <c r="B1992" s="2" t="s">
        <v>7915</v>
      </c>
      <c r="C1992" s="2" t="s">
        <v>8117</v>
      </c>
      <c r="D1992" s="2" t="s">
        <v>8158</v>
      </c>
      <c r="E1992" s="2" t="s">
        <v>8159</v>
      </c>
      <c r="F1992" s="2">
        <v>31.0</v>
      </c>
      <c r="G1992" s="2">
        <v>200.0</v>
      </c>
      <c r="H1992" s="2" t="b">
        <v>1</v>
      </c>
      <c r="I1992" s="2">
        <v>-1.0</v>
      </c>
      <c r="J1992" s="2" t="b">
        <v>0</v>
      </c>
      <c r="K1992" s="2" t="b">
        <v>0</v>
      </c>
      <c r="L1992" s="2" t="b">
        <v>0</v>
      </c>
      <c r="M1992" s="2" t="b">
        <v>0</v>
      </c>
      <c r="N1992" s="2" t="s">
        <v>33</v>
      </c>
      <c r="O1992" s="2">
        <v>31.0</v>
      </c>
      <c r="P1992" s="2">
        <v>0.0</v>
      </c>
      <c r="Q1992" s="2">
        <v>0.0</v>
      </c>
      <c r="R1992" s="2">
        <v>0.0</v>
      </c>
      <c r="S1992" s="3" t="s">
        <v>8160</v>
      </c>
      <c r="T1992" s="2" t="s">
        <v>8161</v>
      </c>
      <c r="Y1992" s="4" t="str">
        <f>IFERROR(__xludf.DUMMYFUNCTION("""COMPUTED_VALUE"""),"7.0258636")</f>
        <v>7.0258636</v>
      </c>
      <c r="Z1992" s="4" t="str">
        <f>IFERROR(__xludf.DUMMYFUNCTION("""COMPUTED_VALUE"""),"3.5306765")</f>
        <v>3.5306765</v>
      </c>
      <c r="AA1992" s="4" t="str">
        <f t="shared" si="1"/>
        <v>Neighbor</v>
      </c>
      <c r="AC1992" s="4">
        <f>IFERROR(__xludf.DUMMYFUNCTION("IFERROR(ABS(O1992-AVERAGE(FILTER(O1992:O6060,AA1992:AA6060=""Neighbor""))) / STDEV(FILTER(O1992:O6060, AA1992:AA6060 =""Neighbor"")), """")"),0.609693936692278)</f>
        <v>0.6096939367</v>
      </c>
      <c r="AD1992" s="4">
        <f>IFERROR(__xludf.DUMMYFUNCTION("IFERROR(ABS(P1992-AVERAGE(FILTER(O1992:P6060,AA1992:AA6060=""Neighbor""))) / STDEV(FILTER(P1992:P6060, AA1992:AA6060 =""Neighbor"")), """")"),1.5708887863873695)</f>
        <v>1.570888786</v>
      </c>
      <c r="AE1992" s="2">
        <f>IFERROR(__xludf.DUMMYFUNCTION("IFERROR(ABS(Q1992-AVERAGE(FILTER(Q1992:Q6060,AA1992:AA6060=""Neighbor""))) / STDEV(FILTER(Q1992:Q6060, AA1992:AA6060 =""Neighbor"")), """")"),0.9554604814652368)</f>
        <v>0.9554604815</v>
      </c>
      <c r="AF1992" s="2">
        <f>IFERROR(__xludf.DUMMYFUNCTION("IFERROR(ABS(R1992-AVERAGE(FILTER(R1992:R6060,AA1992:AA6060=""Neighbor""))) / STDEV(FILTER(R1992:R6060, AA1992:AA6060 =""Neighbor"")), """")"),0.343657599406932)</f>
        <v>0.3436575994</v>
      </c>
    </row>
    <row r="1993">
      <c r="A1993" s="2" t="s">
        <v>28</v>
      </c>
      <c r="B1993" s="2" t="s">
        <v>7915</v>
      </c>
      <c r="C1993" s="2" t="s">
        <v>8117</v>
      </c>
      <c r="D1993" s="2" t="s">
        <v>8162</v>
      </c>
      <c r="E1993" s="2" t="s">
        <v>8163</v>
      </c>
      <c r="F1993" s="2">
        <v>13.0</v>
      </c>
      <c r="G1993" s="2">
        <v>311.0</v>
      </c>
      <c r="H1993" s="2" t="b">
        <v>1</v>
      </c>
      <c r="I1993" s="2">
        <v>-1.0</v>
      </c>
      <c r="J1993" s="2" t="b">
        <v>0</v>
      </c>
      <c r="K1993" s="2" t="b">
        <v>0</v>
      </c>
      <c r="L1993" s="2" t="b">
        <v>0</v>
      </c>
      <c r="M1993" s="2" t="b">
        <v>0</v>
      </c>
      <c r="N1993" s="2" t="s">
        <v>33</v>
      </c>
      <c r="O1993" s="2">
        <v>13.0</v>
      </c>
      <c r="P1993" s="2">
        <v>0.0</v>
      </c>
      <c r="Q1993" s="2">
        <v>0.0</v>
      </c>
      <c r="R1993" s="2">
        <v>0.0</v>
      </c>
      <c r="S1993" s="3" t="s">
        <v>8164</v>
      </c>
      <c r="T1993" s="2" t="s">
        <v>8165</v>
      </c>
      <c r="Y1993" s="4" t="str">
        <f>IFERROR(__xludf.DUMMYFUNCTION("""COMPUTED_VALUE"""),"7.0258636")</f>
        <v>7.0258636</v>
      </c>
      <c r="Z1993" s="4" t="str">
        <f>IFERROR(__xludf.DUMMYFUNCTION("""COMPUTED_VALUE"""),"3.5306765")</f>
        <v>3.5306765</v>
      </c>
      <c r="AA1993" s="4" t="str">
        <f t="shared" si="1"/>
        <v>Neighbor</v>
      </c>
      <c r="AC1993" s="4">
        <f>IFERROR(__xludf.DUMMYFUNCTION("IFERROR(ABS(O1993-AVERAGE(FILTER(O1993:O6061,AA1993:AA6061=""Neighbor""))) / STDEV(FILTER(O1993:O6061, AA1993:AA6061 =""Neighbor"")), """")"),1.0965402640862585)</f>
        <v>1.096540264</v>
      </c>
      <c r="AD1993" s="4">
        <f>IFERROR(__xludf.DUMMYFUNCTION("IFERROR(ABS(P1993-AVERAGE(FILTER(O1993:P6061,AA1993:AA6061=""Neighbor""))) / STDEV(FILTER(P1993:P6061, AA1993:AA6061 =""Neighbor"")), """")"),1.571494481755392)</f>
        <v>1.571494482</v>
      </c>
      <c r="AE1993" s="2">
        <f>IFERROR(__xludf.DUMMYFUNCTION("IFERROR(ABS(Q1993-AVERAGE(FILTER(Q1993:Q6061,AA1993:AA6061=""Neighbor""))) / STDEV(FILTER(Q1993:Q6061, AA1993:AA6061 =""Neighbor"")), """")"),0.9565373629023429)</f>
        <v>0.9565373629</v>
      </c>
      <c r="AF1993" s="2">
        <f>IFERROR(__xludf.DUMMYFUNCTION("IFERROR(ABS(R1993-AVERAGE(FILTER(R1993:R6061,AA1993:AA6061=""Neighbor""))) / STDEV(FILTER(R1993:R6061, AA1993:AA6061 =""Neighbor"")), """")"),0.343883638007397)</f>
        <v>0.343883638</v>
      </c>
    </row>
    <row r="1994">
      <c r="A1994" s="2" t="s">
        <v>28</v>
      </c>
      <c r="B1994" s="2" t="s">
        <v>7915</v>
      </c>
      <c r="C1994" s="2" t="s">
        <v>8117</v>
      </c>
      <c r="D1994" s="2" t="s">
        <v>8166</v>
      </c>
      <c r="E1994" s="2" t="s">
        <v>8167</v>
      </c>
      <c r="F1994" s="2">
        <v>38.0</v>
      </c>
      <c r="G1994" s="2">
        <v>202.0</v>
      </c>
      <c r="H1994" s="2" t="b">
        <v>1</v>
      </c>
      <c r="I1994" s="2">
        <v>-1.0</v>
      </c>
      <c r="J1994" s="2" t="b">
        <v>0</v>
      </c>
      <c r="K1994" s="2" t="b">
        <v>0</v>
      </c>
      <c r="L1994" s="2" t="b">
        <v>0</v>
      </c>
      <c r="M1994" s="2" t="b">
        <v>0</v>
      </c>
      <c r="N1994" s="2" t="s">
        <v>33</v>
      </c>
      <c r="O1994" s="2">
        <v>17.0</v>
      </c>
      <c r="P1994" s="2">
        <v>1.0</v>
      </c>
      <c r="Q1994" s="2">
        <v>14.0</v>
      </c>
      <c r="R1994" s="2">
        <v>0.0</v>
      </c>
      <c r="S1994" s="3" t="s">
        <v>8168</v>
      </c>
      <c r="T1994" s="2" t="s">
        <v>8169</v>
      </c>
      <c r="Y1994" s="4" t="str">
        <f>IFERROR(__xludf.DUMMYFUNCTION("""COMPUTED_VALUE"""),"7.0258636")</f>
        <v>7.0258636</v>
      </c>
      <c r="Z1994" s="4" t="str">
        <f>IFERROR(__xludf.DUMMYFUNCTION("""COMPUTED_VALUE"""),"3.5306765")</f>
        <v>3.5306765</v>
      </c>
      <c r="AA1994" s="4" t="str">
        <f t="shared" si="1"/>
        <v>Not Neighbor</v>
      </c>
      <c r="AC1994" s="4">
        <f>IFERROR(__xludf.DUMMYFUNCTION("IFERROR(ABS(O1994-AVERAGE(FILTER(O1994:O6062,AA1994:AA6062=""Neighbor""))) / STDEV(FILTER(O1994:O6062, AA1994:AA6062 =""Neighbor"")), """")"),0.9898737859926092)</f>
        <v>0.989873786</v>
      </c>
      <c r="AD1994" s="4">
        <f>IFERROR(__xludf.DUMMYFUNCTION("IFERROR(ABS(P1994-AVERAGE(FILTER(O1994:P6062,AA1994:AA6062=""Neighbor""))) / STDEV(FILTER(P1994:P6062, AA1994:AA6062 =""Neighbor"")), """")"),1.5276777917471553)</f>
        <v>1.527677792</v>
      </c>
      <c r="AE1994" s="2">
        <f>IFERROR(__xludf.DUMMYFUNCTION("IFERROR(ABS(Q1994-AVERAGE(FILTER(Q1994:Q6062,AA1994:AA6062=""Neighbor""))) / STDEV(FILTER(Q1994:Q6062, AA1994:AA6062 =""Neighbor"")), """")"),0.29035415228370237)</f>
        <v>0.2903541523</v>
      </c>
      <c r="AF1994" s="2">
        <f>IFERROR(__xludf.DUMMYFUNCTION("IFERROR(ABS(R1994-AVERAGE(FILTER(R1994:R6062,AA1994:AA6062=""Neighbor""))) / STDEV(FILTER(R1994:R6062, AA1994:AA6062 =""Neighbor"")), """")"),0.3441101232878414)</f>
        <v>0.3441101233</v>
      </c>
    </row>
    <row r="1995">
      <c r="A1995" s="2" t="s">
        <v>28</v>
      </c>
      <c r="B1995" s="2" t="s">
        <v>7915</v>
      </c>
      <c r="C1995" s="2" t="s">
        <v>8170</v>
      </c>
      <c r="D1995" s="2" t="s">
        <v>8171</v>
      </c>
      <c r="E1995" s="2" t="s">
        <v>8172</v>
      </c>
      <c r="F1995" s="2">
        <v>55.0</v>
      </c>
      <c r="G1995" s="2">
        <v>507.0</v>
      </c>
      <c r="H1995" s="2" t="b">
        <v>1</v>
      </c>
      <c r="I1995" s="2">
        <v>-1.0</v>
      </c>
      <c r="J1995" s="2" t="b">
        <v>0</v>
      </c>
      <c r="K1995" s="2" t="b">
        <v>0</v>
      </c>
      <c r="L1995" s="2" t="b">
        <v>0</v>
      </c>
      <c r="M1995" s="2" t="b">
        <v>0</v>
      </c>
      <c r="N1995" s="2" t="s">
        <v>33</v>
      </c>
      <c r="O1995" s="2">
        <v>41.0</v>
      </c>
      <c r="P1995" s="2">
        <v>2.0</v>
      </c>
      <c r="Q1995" s="2">
        <v>10.0</v>
      </c>
      <c r="R1995" s="2">
        <v>0.0</v>
      </c>
      <c r="S1995" s="3" t="s">
        <v>8173</v>
      </c>
      <c r="T1995" s="2" t="s">
        <v>8174</v>
      </c>
      <c r="Y1995" s="4" t="str">
        <f>IFERROR(__xludf.DUMMYFUNCTION("""COMPUTED_VALUE"""),"6.9339995")</f>
        <v>6.9339995</v>
      </c>
      <c r="Z1995" s="4" t="str">
        <f>IFERROR(__xludf.DUMMYFUNCTION("""COMPUTED_VALUE"""),"3.4190797")</f>
        <v>3.4190797</v>
      </c>
      <c r="AA1995" s="4" t="str">
        <f t="shared" si="1"/>
        <v>Not Neighbor</v>
      </c>
      <c r="AC1995" s="4">
        <f>IFERROR(__xludf.DUMMYFUNCTION("IFERROR(ABS(O1995-AVERAGE(FILTER(O1995:O6063,AA1995:AA6063=""Neighbor""))) / STDEV(FILTER(O1995:O6063, AA1995:AA6063 =""Neighbor"")), """")"),0.34132370092286124)</f>
        <v>0.3413237009</v>
      </c>
      <c r="AD1995" s="4">
        <f>IFERROR(__xludf.DUMMYFUNCTION("IFERROR(ABS(P1995-AVERAGE(FILTER(O1995:P6063,AA1995:AA6063=""Neighbor""))) / STDEV(FILTER(P1995:P6063, AA1995:AA6063 =""Neighbor"")), """")"),1.482776460190682)</f>
        <v>1.48277646</v>
      </c>
      <c r="AE1995" s="2">
        <f>IFERROR(__xludf.DUMMYFUNCTION("IFERROR(ABS(Q1995-AVERAGE(FILTER(Q1995:Q6063,AA1995:AA6063=""Neighbor""))) / STDEV(FILTER(Q1995:Q6063, AA1995:AA6063 =""Neighbor"")), """")"),0.48100093597443383)</f>
        <v>0.481000936</v>
      </c>
      <c r="AF1995" s="2">
        <f>IFERROR(__xludf.DUMMYFUNCTION("IFERROR(ABS(R1995-AVERAGE(FILTER(R1995:R6063,AA1995:AA6063=""Neighbor""))) / STDEV(FILTER(R1995:R6063, AA1995:AA6063 =""Neighbor"")), """")"),0.3441101232878414)</f>
        <v>0.3441101233</v>
      </c>
    </row>
    <row r="1996">
      <c r="A1996" s="2" t="s">
        <v>28</v>
      </c>
      <c r="B1996" s="2" t="s">
        <v>7915</v>
      </c>
      <c r="C1996" s="2" t="s">
        <v>8170</v>
      </c>
      <c r="D1996" s="2" t="s">
        <v>8175</v>
      </c>
      <c r="E1996" s="2" t="s">
        <v>8176</v>
      </c>
      <c r="F1996" s="2">
        <v>71.0</v>
      </c>
      <c r="G1996" s="2">
        <v>427.0</v>
      </c>
      <c r="H1996" s="2" t="b">
        <v>1</v>
      </c>
      <c r="I1996" s="2">
        <v>-1.0</v>
      </c>
      <c r="J1996" s="2" t="b">
        <v>0</v>
      </c>
      <c r="K1996" s="2" t="b">
        <v>0</v>
      </c>
      <c r="L1996" s="2" t="b">
        <v>0</v>
      </c>
      <c r="M1996" s="2" t="b">
        <v>0</v>
      </c>
      <c r="N1996" s="2" t="s">
        <v>33</v>
      </c>
      <c r="O1996" s="2">
        <v>51.0</v>
      </c>
      <c r="P1996" s="2">
        <v>3.0</v>
      </c>
      <c r="Q1996" s="2">
        <v>9.0</v>
      </c>
      <c r="R1996" s="2">
        <v>0.0</v>
      </c>
      <c r="S1996" s="3" t="s">
        <v>8177</v>
      </c>
      <c r="T1996" s="2" t="s">
        <v>8178</v>
      </c>
      <c r="Y1996" s="4" t="str">
        <f>IFERROR(__xludf.DUMMYFUNCTION("""COMPUTED_VALUE"""),"7.6296516")</f>
        <v>7.6296516</v>
      </c>
      <c r="Z1996" s="4" t="str">
        <f>IFERROR(__xludf.DUMMYFUNCTION("""COMPUTED_VALUE"""),"3.9221911")</f>
        <v>3.9221911</v>
      </c>
      <c r="AA1996" s="4" t="str">
        <f t="shared" si="1"/>
        <v>Neighbor</v>
      </c>
      <c r="AC1996" s="4">
        <f>IFERROR(__xludf.DUMMYFUNCTION("IFERROR(ABS(O1996-AVERAGE(FILTER(O1996:O6064,AA1996:AA6064=""Neighbor""))) / STDEV(FILTER(O1996:O6064, AA1996:AA6064 =""Neighbor"")), """")"),0.07109449881046624)</f>
        <v>0.07109449881</v>
      </c>
      <c r="AD1996" s="4">
        <f>IFERROR(__xludf.DUMMYFUNCTION("IFERROR(ABS(P1996-AVERAGE(FILTER(O1996:P6064,AA1996:AA6064=""Neighbor""))) / STDEV(FILTER(P1996:P6064, AA1996:AA6064 =""Neighbor"")), """")"),1.4378751286342089)</f>
        <v>1.437875129</v>
      </c>
      <c r="AE1996" s="2">
        <f>IFERROR(__xludf.DUMMYFUNCTION("IFERROR(ABS(Q1996-AVERAGE(FILTER(Q1996:Q6064,AA1996:AA6064=""Neighbor""))) / STDEV(FILTER(Q1996:Q6064, AA1996:AA6064 =""Neighbor"")), """")"),0.5286626318971167)</f>
        <v>0.5286626319</v>
      </c>
      <c r="AF1996" s="2">
        <f>IFERROR(__xludf.DUMMYFUNCTION("IFERROR(ABS(R1996-AVERAGE(FILTER(R1996:R6064,AA1996:AA6064=""Neighbor""))) / STDEV(FILTER(R1996:R6064, AA1996:AA6064 =""Neighbor"")), """")"),0.3441101232878414)</f>
        <v>0.3441101233</v>
      </c>
    </row>
    <row r="1997">
      <c r="A1997" s="2" t="s">
        <v>28</v>
      </c>
      <c r="B1997" s="2" t="s">
        <v>7915</v>
      </c>
      <c r="C1997" s="2" t="s">
        <v>8170</v>
      </c>
      <c r="D1997" s="2" t="s">
        <v>8179</v>
      </c>
      <c r="E1997" s="2" t="s">
        <v>8180</v>
      </c>
      <c r="F1997" s="2">
        <v>68.0</v>
      </c>
      <c r="G1997" s="2">
        <v>438.0</v>
      </c>
      <c r="H1997" s="2" t="b">
        <v>1</v>
      </c>
      <c r="I1997" s="2">
        <v>-1.0</v>
      </c>
      <c r="J1997" s="2" t="b">
        <v>0</v>
      </c>
      <c r="K1997" s="2" t="b">
        <v>0</v>
      </c>
      <c r="L1997" s="2" t="b">
        <v>0</v>
      </c>
      <c r="M1997" s="2" t="b">
        <v>0</v>
      </c>
      <c r="N1997" s="2" t="s">
        <v>33</v>
      </c>
      <c r="O1997" s="2">
        <v>56.0</v>
      </c>
      <c r="P1997" s="2">
        <v>0.0</v>
      </c>
      <c r="Q1997" s="2">
        <v>7.0</v>
      </c>
      <c r="R1997" s="2">
        <v>0.0</v>
      </c>
      <c r="S1997" s="3" t="s">
        <v>8181</v>
      </c>
      <c r="T1997" s="2" t="s">
        <v>8182</v>
      </c>
      <c r="Y1997" s="4" t="str">
        <f>IFERROR(__xludf.DUMMYFUNCTION("""COMPUTED_VALUE"""),"7.6296516")</f>
        <v>7.6296516</v>
      </c>
      <c r="Z1997" s="4" t="str">
        <f>IFERROR(__xludf.DUMMYFUNCTION("""COMPUTED_VALUE"""),"3.9221911")</f>
        <v>3.9221911</v>
      </c>
      <c r="AA1997" s="4" t="str">
        <f t="shared" si="1"/>
        <v>Not Neighbor</v>
      </c>
      <c r="AC1997" s="4">
        <f>IFERROR(__xludf.DUMMYFUNCTION("IFERROR(ABS(O1997-AVERAGE(FILTER(O1997:O6065,AA1997:AA6065=""Neighbor""))) / STDEV(FILTER(O1997:O6065, AA1997:AA6065 =""Neighbor"")), """")"),0.06389860242703284)</f>
        <v>0.06389860243</v>
      </c>
      <c r="AD1997" s="4">
        <f>IFERROR(__xludf.DUMMYFUNCTION("IFERROR(ABS(P1997-AVERAGE(FILTER(O1997:P6065,AA1997:AA6065=""Neighbor""))) / STDEV(FILTER(P1997:P6065, AA1997:AA6065 =""Neighbor"")), """")"),1.572412815325391)</f>
        <v>1.572412815</v>
      </c>
      <c r="AE1997" s="2">
        <f>IFERROR(__xludf.DUMMYFUNCTION("IFERROR(ABS(Q1997-AVERAGE(FILTER(Q1997:Q6065,AA1997:AA6065=""Neighbor""))) / STDEV(FILTER(Q1997:Q6065, AA1997:AA6065 =""Neighbor"")), """")"),0.6243444921400811)</f>
        <v>0.6243444921</v>
      </c>
      <c r="AF1997" s="2">
        <f>IFERROR(__xludf.DUMMYFUNCTION("IFERROR(ABS(R1997-AVERAGE(FILTER(R1997:R6065,AA1997:AA6065=""Neighbor""))) / STDEV(FILTER(R1997:R6065, AA1997:AA6065 =""Neighbor"")), """")"),0.34433705672155457)</f>
        <v>0.3443370567</v>
      </c>
    </row>
    <row r="1998">
      <c r="A1998" s="2" t="s">
        <v>28</v>
      </c>
      <c r="B1998" s="2" t="s">
        <v>7915</v>
      </c>
      <c r="C1998" s="2" t="s">
        <v>8170</v>
      </c>
      <c r="D1998" s="2" t="s">
        <v>8183</v>
      </c>
      <c r="E1998" s="2" t="s">
        <v>8184</v>
      </c>
      <c r="F1998" s="2">
        <v>45.0</v>
      </c>
      <c r="G1998" s="2">
        <v>381.0</v>
      </c>
      <c r="H1998" s="2" t="b">
        <v>1</v>
      </c>
      <c r="I1998" s="2">
        <v>-1.0</v>
      </c>
      <c r="J1998" s="2" t="b">
        <v>0</v>
      </c>
      <c r="K1998" s="2" t="b">
        <v>0</v>
      </c>
      <c r="L1998" s="2" t="b">
        <v>0</v>
      </c>
      <c r="M1998" s="2" t="b">
        <v>0</v>
      </c>
      <c r="N1998" s="2" t="s">
        <v>33</v>
      </c>
      <c r="O1998" s="2">
        <v>29.0</v>
      </c>
      <c r="P1998" s="2">
        <v>2.0</v>
      </c>
      <c r="Q1998" s="2">
        <v>9.0</v>
      </c>
      <c r="R1998" s="2">
        <v>0.0</v>
      </c>
      <c r="S1998" s="3" t="s">
        <v>8185</v>
      </c>
      <c r="T1998" s="2" t="s">
        <v>8186</v>
      </c>
      <c r="Y1998" s="4" t="str">
        <f>IFERROR(__xludf.DUMMYFUNCTION("""COMPUTED_VALUE"""),"6.9284334")</f>
        <v>6.9284334</v>
      </c>
      <c r="Z1998" s="4" t="str">
        <f>IFERROR(__xludf.DUMMYFUNCTION("""COMPUTED_VALUE"""),"3.4011088")</f>
        <v>3.4011088</v>
      </c>
      <c r="AA1998" s="4" t="str">
        <f t="shared" si="1"/>
        <v>Not Neighbor</v>
      </c>
      <c r="AC1998" s="4">
        <f>IFERROR(__xludf.DUMMYFUNCTION("IFERROR(ABS(O1998-AVERAGE(FILTER(O1998:O6066,AA1998:AA6066=""Neighbor""))) / STDEV(FILTER(O1998:O6066, AA1998:AA6066 =""Neighbor"")), """")"),0.6652915866467262)</f>
        <v>0.6652915866</v>
      </c>
      <c r="AD1998" s="4">
        <f>IFERROR(__xludf.DUMMYFUNCTION("IFERROR(ABS(P1998-AVERAGE(FILTER(O1998:P6066,AA1998:AA6066=""Neighbor""))) / STDEV(FILTER(P1998:P6066, AA1998:AA6066 =""Neighbor"")), """")"),1.482643928000049)</f>
        <v>1.482643928</v>
      </c>
      <c r="AE1998" s="2">
        <f>IFERROR(__xludf.DUMMYFUNCTION("IFERROR(ABS(Q1998-AVERAGE(FILTER(Q1998:Q6066,AA1998:AA6066=""Neighbor""))) / STDEV(FILTER(Q1998:Q6066, AA1998:AA6066 =""Neighbor"")), """")"),0.5290616480242886)</f>
        <v>0.529061648</v>
      </c>
      <c r="AF1998" s="2">
        <f>IFERROR(__xludf.DUMMYFUNCTION("IFERROR(ABS(R1998-AVERAGE(FILTER(R1998:R6066,AA1998:AA6066=""Neighbor""))) / STDEV(FILTER(R1998:R6066, AA1998:AA6066 =""Neighbor"")), """")"),0.34433705672155457)</f>
        <v>0.3443370567</v>
      </c>
    </row>
    <row r="1999">
      <c r="A1999" s="2" t="s">
        <v>28</v>
      </c>
      <c r="B1999" s="2" t="s">
        <v>7915</v>
      </c>
      <c r="C1999" s="2" t="s">
        <v>8170</v>
      </c>
      <c r="D1999" s="2" t="s">
        <v>8187</v>
      </c>
      <c r="E1999" s="2" t="s">
        <v>8188</v>
      </c>
      <c r="F1999" s="2">
        <v>77.0</v>
      </c>
      <c r="G1999" s="2">
        <v>409.0</v>
      </c>
      <c r="H1999" s="2" t="b">
        <v>1</v>
      </c>
      <c r="I1999" s="2">
        <v>-1.0</v>
      </c>
      <c r="J1999" s="2" t="b">
        <v>0</v>
      </c>
      <c r="K1999" s="2" t="b">
        <v>0</v>
      </c>
      <c r="L1999" s="2" t="b">
        <v>0</v>
      </c>
      <c r="M1999" s="2" t="b">
        <v>0</v>
      </c>
      <c r="N1999" s="2" t="s">
        <v>33</v>
      </c>
      <c r="O1999" s="2">
        <v>69.0</v>
      </c>
      <c r="P1999" s="2">
        <v>0.0</v>
      </c>
      <c r="Q1999" s="2">
        <v>0.0</v>
      </c>
      <c r="R1999" s="2">
        <v>0.0</v>
      </c>
      <c r="S1999" s="3" t="s">
        <v>8189</v>
      </c>
      <c r="T1999" s="2" t="s">
        <v>8190</v>
      </c>
      <c r="Y1999" s="4" t="str">
        <f>IFERROR(__xludf.DUMMYFUNCTION("""COMPUTED_VALUE"""),"6.9853633")</f>
        <v>6.9853633</v>
      </c>
      <c r="Z1999" s="4" t="str">
        <f>IFERROR(__xludf.DUMMYFUNCTION("""COMPUTED_VALUE"""),"3.4641145")</f>
        <v>3.4641145</v>
      </c>
      <c r="AA1999" s="4" t="str">
        <f t="shared" si="1"/>
        <v>Not Neighbor</v>
      </c>
      <c r="AC1999" s="4">
        <f>IFERROR(__xludf.DUMMYFUNCTION("IFERROR(ABS(O1999-AVERAGE(FILTER(O1999:O6067,AA1999:AA6067=""Neighbor""))) / STDEV(FILTER(O1999:O6067, AA1999:AA6067 =""Neighbor"")), """")"),0.4149901749440279)</f>
        <v>0.4149901749</v>
      </c>
      <c r="AD1999" s="4">
        <f>IFERROR(__xludf.DUMMYFUNCTION("IFERROR(ABS(P1999-AVERAGE(FILTER(O1999:P6067,AA1999:AA6067=""Neighbor""))) / STDEV(FILTER(P1999:P6067, AA1999:AA6067 =""Neighbor"")), """")"),1.572412815325391)</f>
        <v>1.572412815</v>
      </c>
      <c r="AE1999" s="2">
        <f>IFERROR(__xludf.DUMMYFUNCTION("IFERROR(ABS(Q1999-AVERAGE(FILTER(Q1999:Q6067,AA1999:AA6067=""Neighbor""))) / STDEV(FILTER(Q1999:Q6067, AA1999:AA6067 =""Neighbor"")), """")"),0.957834446545355)</f>
        <v>0.9578344465</v>
      </c>
      <c r="AF1999" s="2">
        <f>IFERROR(__xludf.DUMMYFUNCTION("IFERROR(ABS(R1999-AVERAGE(FILTER(R1999:R6067,AA1999:AA6067=""Neighbor""))) / STDEV(FILTER(R1999:R6067, AA1999:AA6067 =""Neighbor"")), """")"),0.34433705672155457)</f>
        <v>0.3443370567</v>
      </c>
    </row>
    <row r="2000">
      <c r="A2000" s="2" t="s">
        <v>28</v>
      </c>
      <c r="B2000" s="2" t="s">
        <v>7915</v>
      </c>
      <c r="C2000" s="2" t="s">
        <v>8170</v>
      </c>
      <c r="D2000" s="2" t="s">
        <v>8191</v>
      </c>
      <c r="E2000" s="2" t="s">
        <v>8192</v>
      </c>
      <c r="F2000" s="2">
        <v>66.0</v>
      </c>
      <c r="G2000" s="2">
        <v>459.0</v>
      </c>
      <c r="H2000" s="2" t="b">
        <v>1</v>
      </c>
      <c r="I2000" s="2">
        <v>-1.0</v>
      </c>
      <c r="J2000" s="2" t="b">
        <v>0</v>
      </c>
      <c r="K2000" s="2" t="b">
        <v>0</v>
      </c>
      <c r="L2000" s="2" t="b">
        <v>0</v>
      </c>
      <c r="M2000" s="2" t="b">
        <v>0</v>
      </c>
      <c r="N2000" s="2" t="s">
        <v>33</v>
      </c>
      <c r="O2000" s="2">
        <v>55.0</v>
      </c>
      <c r="P2000" s="2">
        <v>1.0</v>
      </c>
      <c r="Q2000" s="2">
        <v>4.0</v>
      </c>
      <c r="R2000" s="2">
        <v>0.0</v>
      </c>
      <c r="S2000" s="3" t="s">
        <v>8193</v>
      </c>
      <c r="T2000" s="2" t="s">
        <v>8194</v>
      </c>
      <c r="Y2000" s="4" t="str">
        <f>IFERROR(__xludf.DUMMYFUNCTION("""COMPUTED_VALUE"""),"7.000612")</f>
        <v>7.000612</v>
      </c>
      <c r="Z2000" s="4" t="str">
        <f>IFERROR(__xludf.DUMMYFUNCTION("""COMPUTED_VALUE"""),"3.4674016")</f>
        <v>3.4674016</v>
      </c>
      <c r="AA2000" s="4" t="str">
        <f t="shared" si="1"/>
        <v>Not Neighbor</v>
      </c>
      <c r="AC2000" s="4">
        <f>IFERROR(__xludf.DUMMYFUNCTION("IFERROR(ABS(O2000-AVERAGE(FILTER(O2000:O6068,AA2000:AA6068=""Neighbor""))) / STDEV(FILTER(O2000:O6068, AA2000:AA6068 =""Neighbor"")), """")"),0.03689155838726399)</f>
        <v>0.03689155839</v>
      </c>
      <c r="AD2000" s="4">
        <f>IFERROR(__xludf.DUMMYFUNCTION("IFERROR(ABS(P2000-AVERAGE(FILTER(O2000:P6068,AA2000:AA6068=""Neighbor""))) / STDEV(FILTER(P2000:P6068, AA2000:AA6068 =""Neighbor"")), """")"),1.52752837166272)</f>
        <v>1.527528372</v>
      </c>
      <c r="AE2000" s="2">
        <f>IFERROR(__xludf.DUMMYFUNCTION("IFERROR(ABS(Q2000-AVERAGE(FILTER(Q2000:Q6068,AA2000:AA6068=""Neighbor""))) / STDEV(FILTER(Q2000:Q6068, AA2000:AA6068 =""Neighbor"")), """")"),0.76726875831377)</f>
        <v>0.7672687583</v>
      </c>
      <c r="AF2000" s="2">
        <f>IFERROR(__xludf.DUMMYFUNCTION("IFERROR(ABS(R2000-AVERAGE(FILTER(R2000:R6068,AA2000:AA6068=""Neighbor""))) / STDEV(FILTER(R2000:R6068, AA2000:AA6068 =""Neighbor"")), """")"),0.34433705672155457)</f>
        <v>0.3443370567</v>
      </c>
    </row>
    <row r="2001">
      <c r="A2001" s="2" t="s">
        <v>28</v>
      </c>
      <c r="B2001" s="2" t="s">
        <v>7915</v>
      </c>
      <c r="C2001" s="2" t="s">
        <v>8170</v>
      </c>
      <c r="D2001" s="2" t="s">
        <v>8195</v>
      </c>
      <c r="E2001" s="2" t="s">
        <v>8196</v>
      </c>
      <c r="F2001" s="2">
        <v>51.0</v>
      </c>
      <c r="G2001" s="2">
        <v>278.0</v>
      </c>
      <c r="H2001" s="2" t="b">
        <v>1</v>
      </c>
      <c r="I2001" s="2">
        <v>-1.0</v>
      </c>
      <c r="J2001" s="2" t="b">
        <v>0</v>
      </c>
      <c r="K2001" s="2" t="b">
        <v>0</v>
      </c>
      <c r="L2001" s="2" t="b">
        <v>0</v>
      </c>
      <c r="M2001" s="2" t="b">
        <v>0</v>
      </c>
      <c r="N2001" s="2" t="s">
        <v>33</v>
      </c>
      <c r="O2001" s="2">
        <v>45.0</v>
      </c>
      <c r="P2001" s="2">
        <v>0.0</v>
      </c>
      <c r="Q2001" s="2">
        <v>3.0</v>
      </c>
      <c r="R2001" s="2">
        <v>0.0</v>
      </c>
      <c r="S2001" s="3" t="s">
        <v>8197</v>
      </c>
      <c r="T2001" s="2" t="s">
        <v>8198</v>
      </c>
      <c r="Y2001" s="4" t="str">
        <f>IFERROR(__xludf.DUMMYFUNCTION("""COMPUTED_VALUE"""),"6.9938972")</f>
        <v>6.9938972</v>
      </c>
      <c r="Z2001" s="4" t="str">
        <f>IFERROR(__xludf.DUMMYFUNCTION("""COMPUTED_VALUE"""),"3.5003454")</f>
        <v>3.5003454</v>
      </c>
      <c r="AA2001" s="4" t="str">
        <f t="shared" si="1"/>
        <v>Not Neighbor</v>
      </c>
      <c r="AC2001" s="4">
        <f>IFERROR(__xludf.DUMMYFUNCTION("IFERROR(ABS(O2001-AVERAGE(FILTER(O2001:O6069,AA2001:AA6069=""Neighbor""))) / STDEV(FILTER(O2001:O6069, AA2001:AA6069 =""Neighbor"")), """")"),0.23317888201042453)</f>
        <v>0.233178882</v>
      </c>
      <c r="AD2001" s="4">
        <f>IFERROR(__xludf.DUMMYFUNCTION("IFERROR(ABS(P2001-AVERAGE(FILTER(O2001:P6069,AA2001:AA6069=""Neighbor""))) / STDEV(FILTER(P2001:P6069, AA2001:AA6069 =""Neighbor"")), """")"),1.572412815325391)</f>
        <v>1.572412815</v>
      </c>
      <c r="AE2001" s="2">
        <f>IFERROR(__xludf.DUMMYFUNCTION("IFERROR(ABS(Q2001-AVERAGE(FILTER(Q2001:Q6069,AA2001:AA6069=""Neighbor""))) / STDEV(FILTER(Q2001:Q6069, AA2001:AA6069 =""Neighbor"")), """")"),0.8149101803716662)</f>
        <v>0.8149101804</v>
      </c>
      <c r="AF2001" s="2">
        <f>IFERROR(__xludf.DUMMYFUNCTION("IFERROR(ABS(R2001-AVERAGE(FILTER(R2001:R6069,AA2001:AA6069=""Neighbor""))) / STDEV(FILTER(R2001:R6069, AA2001:AA6069 =""Neighbor"")), """")"),0.34433705672155457)</f>
        <v>0.3443370567</v>
      </c>
    </row>
    <row r="2002">
      <c r="A2002" s="2" t="s">
        <v>28</v>
      </c>
      <c r="B2002" s="2" t="s">
        <v>7915</v>
      </c>
      <c r="C2002" s="2" t="s">
        <v>8170</v>
      </c>
      <c r="D2002" s="2" t="s">
        <v>8199</v>
      </c>
      <c r="E2002" s="2" t="s">
        <v>8200</v>
      </c>
      <c r="F2002" s="2">
        <v>41.0</v>
      </c>
      <c r="G2002" s="2">
        <v>254.0</v>
      </c>
      <c r="H2002" s="2" t="b">
        <v>1</v>
      </c>
      <c r="I2002" s="2">
        <v>-1.0</v>
      </c>
      <c r="J2002" s="2" t="b">
        <v>0</v>
      </c>
      <c r="K2002" s="2" t="b">
        <v>0</v>
      </c>
      <c r="L2002" s="2" t="b">
        <v>0</v>
      </c>
      <c r="M2002" s="2" t="b">
        <v>0</v>
      </c>
      <c r="N2002" s="2" t="s">
        <v>33</v>
      </c>
      <c r="O2002" s="2">
        <v>21.0</v>
      </c>
      <c r="P2002" s="2">
        <v>0.0</v>
      </c>
      <c r="Q2002" s="2">
        <v>9.0</v>
      </c>
      <c r="R2002" s="2">
        <v>0.0</v>
      </c>
      <c r="S2002" s="3" t="s">
        <v>8201</v>
      </c>
      <c r="T2002" s="2" t="s">
        <v>8202</v>
      </c>
      <c r="Y2002" s="4" t="str">
        <f>IFERROR(__xludf.DUMMYFUNCTION("""COMPUTED_VALUE"""),"6.948262")</f>
        <v>6.948262</v>
      </c>
      <c r="Z2002" s="4" t="str">
        <f>IFERROR(__xludf.DUMMYFUNCTION("""COMPUTED_VALUE"""),"3.5079264")</f>
        <v>3.5079264</v>
      </c>
      <c r="AA2002" s="4" t="str">
        <f t="shared" si="1"/>
        <v>Neighbor</v>
      </c>
      <c r="AC2002" s="4">
        <f>IFERROR(__xludf.DUMMYFUNCTION("IFERROR(ABS(O2002-AVERAGE(FILTER(O2002:O6070,AA2002:AA6070=""Neighbor""))) / STDEV(FILTER(O2002:O6070, AA2002:AA6070 =""Neighbor"")), """")"),0.881347938964877)</f>
        <v>0.881347939</v>
      </c>
      <c r="AD2002" s="4">
        <f>IFERROR(__xludf.DUMMYFUNCTION("IFERROR(ABS(P2002-AVERAGE(FILTER(O2002:P6070,AA2002:AA6070=""Neighbor""))) / STDEV(FILTER(P2002:P6070, AA2002:AA6070 =""Neighbor"")), """")"),1.572412815325391)</f>
        <v>1.572412815</v>
      </c>
      <c r="AE2002" s="2">
        <f>IFERROR(__xludf.DUMMYFUNCTION("IFERROR(ABS(Q2002-AVERAGE(FILTER(Q2002:Q6070,AA2002:AA6070=""Neighbor""))) / STDEV(FILTER(Q2002:Q6070, AA2002:AA6070 =""Neighbor"")), """")"),0.5290616480242886)</f>
        <v>0.529061648</v>
      </c>
      <c r="AF2002" s="2">
        <f>IFERROR(__xludf.DUMMYFUNCTION("IFERROR(ABS(R2002-AVERAGE(FILTER(R2002:R6070,AA2002:AA6070=""Neighbor""))) / STDEV(FILTER(R2002:R6070, AA2002:AA6070 =""Neighbor"")), """")"),0.34433705672155457)</f>
        <v>0.3443370567</v>
      </c>
    </row>
    <row r="2003">
      <c r="A2003" s="2" t="s">
        <v>28</v>
      </c>
      <c r="B2003" s="2" t="s">
        <v>7915</v>
      </c>
      <c r="C2003" s="2" t="s">
        <v>8170</v>
      </c>
      <c r="D2003" s="2" t="s">
        <v>8203</v>
      </c>
      <c r="E2003" s="2" t="s">
        <v>8204</v>
      </c>
      <c r="F2003" s="2">
        <v>50.0</v>
      </c>
      <c r="G2003" s="2">
        <v>287.0</v>
      </c>
      <c r="H2003" s="2" t="b">
        <v>1</v>
      </c>
      <c r="I2003" s="2">
        <v>-1.0</v>
      </c>
      <c r="J2003" s="2" t="b">
        <v>0</v>
      </c>
      <c r="K2003" s="2" t="b">
        <v>1</v>
      </c>
      <c r="L2003" s="2" t="b">
        <v>0</v>
      </c>
      <c r="M2003" s="2" t="b">
        <v>0</v>
      </c>
      <c r="N2003" s="2" t="s">
        <v>33</v>
      </c>
      <c r="O2003" s="2">
        <v>46.0</v>
      </c>
      <c r="P2003" s="2">
        <v>0.0</v>
      </c>
      <c r="Q2003" s="2">
        <v>3.0</v>
      </c>
      <c r="R2003" s="2">
        <v>0.0</v>
      </c>
      <c r="S2003" s="3" t="s">
        <v>8205</v>
      </c>
      <c r="T2003" s="2" t="s">
        <v>8206</v>
      </c>
      <c r="Y2003" s="4" t="str">
        <f>IFERROR(__xludf.DUMMYFUNCTION("""COMPUTED_VALUE"""),"6.948262")</f>
        <v>6.948262</v>
      </c>
      <c r="Z2003" s="4" t="str">
        <f>IFERROR(__xludf.DUMMYFUNCTION("""COMPUTED_VALUE"""),"3.5079264")</f>
        <v>3.5079264</v>
      </c>
      <c r="AA2003" s="4" t="str">
        <f t="shared" si="1"/>
        <v>Neighbor</v>
      </c>
      <c r="AC2003" s="4">
        <f>IFERROR(__xludf.DUMMYFUNCTION("IFERROR(ABS(O2003-AVERAGE(FILTER(O2003:O6071,AA2003:AA6071=""Neighbor""))) / STDEV(FILTER(O2003:O6071, AA2003:AA6071 =""Neighbor"")), """")"),0.20718636828423398)</f>
        <v>0.2071863683</v>
      </c>
      <c r="AD2003" s="4">
        <f>IFERROR(__xludf.DUMMYFUNCTION("IFERROR(ABS(P2003-AVERAGE(FILTER(O2003:P6071,AA2003:AA6071=""Neighbor""))) / STDEV(FILTER(P2003:P6071, AA2003:AA6071 =""Neighbor"")), """")"),1.5732904328652646)</f>
        <v>1.573290433</v>
      </c>
      <c r="AE2003" s="2">
        <f>IFERROR(__xludf.DUMMYFUNCTION("IFERROR(ABS(Q2003-AVERAGE(FILTER(Q2003:Q6071,AA2003:AA6071=""Neighbor""))) / STDEV(FILTER(Q2003:Q6071, AA2003:AA6071 =""Neighbor"")), """")"),0.8151884377952859)</f>
        <v>0.8151884378</v>
      </c>
      <c r="AF2003" s="2">
        <f>IFERROR(__xludf.DUMMYFUNCTION("IFERROR(ABS(R2003-AVERAGE(FILTER(R2003:R6071,AA2003:AA6071=""Neighbor""))) / STDEV(FILTER(R2003:R6071, AA2003:AA6071 =""Neighbor"")), """")"),0.3445644397886381)</f>
        <v>0.3445644398</v>
      </c>
    </row>
    <row r="2004">
      <c r="A2004" s="2" t="s">
        <v>28</v>
      </c>
      <c r="B2004" s="2" t="s">
        <v>7915</v>
      </c>
      <c r="C2004" s="2" t="s">
        <v>8170</v>
      </c>
      <c r="D2004" s="2" t="s">
        <v>8207</v>
      </c>
      <c r="E2004" s="2" t="s">
        <v>8208</v>
      </c>
      <c r="F2004" s="2">
        <v>35.0</v>
      </c>
      <c r="G2004" s="2">
        <v>197.0</v>
      </c>
      <c r="H2004" s="2" t="b">
        <v>1</v>
      </c>
      <c r="I2004" s="2">
        <v>-1.0</v>
      </c>
      <c r="J2004" s="2" t="b">
        <v>0</v>
      </c>
      <c r="K2004" s="2" t="b">
        <v>0</v>
      </c>
      <c r="L2004" s="2" t="b">
        <v>0</v>
      </c>
      <c r="M2004" s="2" t="b">
        <v>0</v>
      </c>
      <c r="N2004" s="2" t="s">
        <v>33</v>
      </c>
      <c r="O2004" s="2">
        <v>30.0</v>
      </c>
      <c r="P2004" s="2">
        <v>1.0</v>
      </c>
      <c r="Q2004" s="2">
        <v>3.0</v>
      </c>
      <c r="R2004" s="2">
        <v>0.0</v>
      </c>
      <c r="S2004" s="3" t="s">
        <v>8209</v>
      </c>
      <c r="T2004" s="2" t="s">
        <v>8210</v>
      </c>
      <c r="Y2004" s="4" t="str">
        <f>IFERROR(__xludf.DUMMYFUNCTION("""COMPUTED_VALUE"""),"6.948262")</f>
        <v>6.948262</v>
      </c>
      <c r="Z2004" s="4" t="str">
        <f>IFERROR(__xludf.DUMMYFUNCTION("""COMPUTED_VALUE"""),"3.5079264")</f>
        <v>3.5079264</v>
      </c>
      <c r="AA2004" s="4" t="str">
        <f t="shared" si="1"/>
        <v>Neighbor</v>
      </c>
      <c r="AC2004" s="4">
        <f>IFERROR(__xludf.DUMMYFUNCTION("IFERROR(ABS(O2004-AVERAGE(FILTER(O2004:O6072,AA2004:AA6072=""Neighbor""))) / STDEV(FILTER(O2004:O6072, AA2004:AA6072 =""Neighbor"")), """")"),0.6391251800304083)</f>
        <v>0.63912518</v>
      </c>
      <c r="AD2004" s="4">
        <f>IFERROR(__xludf.DUMMYFUNCTION("IFERROR(ABS(P2004-AVERAGE(FILTER(O2004:P6072,AA2004:AA6072=""Neighbor""))) / STDEV(FILTER(P2004:P6072, AA2004:AA6072 =""Neighbor"")), """")"),1.5286470779162873)</f>
        <v>1.528647078</v>
      </c>
      <c r="AE2004" s="2">
        <f>IFERROR(__xludf.DUMMYFUNCTION("IFERROR(ABS(Q2004-AVERAGE(FILTER(Q2004:Q6072,AA2004:AA6072=""Neighbor""))) / STDEV(FILTER(Q2004:Q6072, AA2004:AA6072 =""Neighbor"")), """")"),0.8159913864792984)</f>
        <v>0.8159913865</v>
      </c>
      <c r="AF2004" s="2">
        <f>IFERROR(__xludf.DUMMYFUNCTION("IFERROR(ABS(R2004-AVERAGE(FILTER(R2004:R6072,AA2004:AA6072=""Neighbor""))) / STDEV(FILTER(R2004:R6072, AA2004:AA6072 =""Neighbor"")), """")"),0.3447922739760478)</f>
        <v>0.344792274</v>
      </c>
    </row>
    <row r="2005">
      <c r="A2005" s="2" t="s">
        <v>28</v>
      </c>
      <c r="B2005" s="2" t="s">
        <v>7915</v>
      </c>
      <c r="C2005" s="2" t="s">
        <v>8170</v>
      </c>
      <c r="D2005" s="2" t="s">
        <v>8211</v>
      </c>
      <c r="E2005" s="2" t="s">
        <v>8212</v>
      </c>
      <c r="F2005" s="2">
        <v>34.0</v>
      </c>
      <c r="G2005" s="2">
        <v>169.0</v>
      </c>
      <c r="H2005" s="2" t="b">
        <v>1</v>
      </c>
      <c r="I2005" s="2">
        <v>-1.0</v>
      </c>
      <c r="J2005" s="2" t="b">
        <v>0</v>
      </c>
      <c r="K2005" s="2" t="b">
        <v>0</v>
      </c>
      <c r="L2005" s="2" t="b">
        <v>0</v>
      </c>
      <c r="M2005" s="2" t="b">
        <v>0</v>
      </c>
      <c r="N2005" s="2" t="s">
        <v>33</v>
      </c>
      <c r="O2005" s="2">
        <v>21.0</v>
      </c>
      <c r="P2005" s="2">
        <v>3.0</v>
      </c>
      <c r="Q2005" s="2">
        <v>4.0</v>
      </c>
      <c r="R2005" s="2">
        <v>0.0</v>
      </c>
      <c r="S2005" s="3" t="s">
        <v>8213</v>
      </c>
      <c r="T2005" s="2" t="s">
        <v>8214</v>
      </c>
      <c r="Y2005" s="4" t="str">
        <f>IFERROR(__xludf.DUMMYFUNCTION("""COMPUTED_VALUE"""),"6.948262")</f>
        <v>6.948262</v>
      </c>
      <c r="Z2005" s="4" t="str">
        <f>IFERROR(__xludf.DUMMYFUNCTION("""COMPUTED_VALUE"""),"3.5079264")</f>
        <v>3.5079264</v>
      </c>
      <c r="AA2005" s="4" t="str">
        <f t="shared" si="1"/>
        <v>Neighbor</v>
      </c>
      <c r="AC2005" s="4">
        <f>IFERROR(__xludf.DUMMYFUNCTION("IFERROR(ABS(O2005-AVERAGE(FILTER(O2005:O6073,AA2005:AA6073=""Neighbor""))) / STDEV(FILTER(O2005:O6073, AA2005:AA6073 =""Neighbor"")), """")"),0.8824668968833501)</f>
        <v>0.8824668969</v>
      </c>
      <c r="AD2005" s="4">
        <f>IFERROR(__xludf.DUMMYFUNCTION("IFERROR(ABS(P2005-AVERAGE(FILTER(O2005:P6073,AA2005:AA6073=""Neighbor""))) / STDEV(FILTER(P2005:P6073, AA2005:AA6073 =""Neighbor"")), """")"),1.4395249629921105)</f>
        <v>1.439524963</v>
      </c>
      <c r="AE2005" s="2">
        <f>IFERROR(__xludf.DUMMYFUNCTION("IFERROR(ABS(Q2005-AVERAGE(FILTER(Q2005:Q6073,AA2005:AA6073=""Neighbor""))) / STDEV(FILTER(Q2005:Q6073, AA2005:AA6073 =""Neighbor"")), """")"),0.7691944191232356)</f>
        <v>0.7691944191</v>
      </c>
      <c r="AF2005" s="2">
        <f>IFERROR(__xludf.DUMMYFUNCTION("IFERROR(ABS(R2005-AVERAGE(FILTER(R2005:R6073,AA2005:AA6073=""Neighbor""))) / STDEV(FILTER(R2005:R6073, AA2005:AA6073 =""Neighbor"")), """")"),0.3450205607776336)</f>
        <v>0.3450205608</v>
      </c>
    </row>
    <row r="2006">
      <c r="A2006" s="2" t="s">
        <v>28</v>
      </c>
      <c r="B2006" s="2" t="s">
        <v>7915</v>
      </c>
      <c r="C2006" s="2" t="s">
        <v>8170</v>
      </c>
      <c r="D2006" s="2" t="s">
        <v>8215</v>
      </c>
      <c r="E2006" s="2" t="s">
        <v>8216</v>
      </c>
      <c r="F2006" s="2">
        <v>37.0</v>
      </c>
      <c r="G2006" s="2">
        <v>167.0</v>
      </c>
      <c r="H2006" s="2" t="b">
        <v>1</v>
      </c>
      <c r="I2006" s="2">
        <v>-1.0</v>
      </c>
      <c r="J2006" s="2" t="b">
        <v>0</v>
      </c>
      <c r="K2006" s="2" t="b">
        <v>0</v>
      </c>
      <c r="L2006" s="2" t="b">
        <v>0</v>
      </c>
      <c r="M2006" s="2" t="b">
        <v>0</v>
      </c>
      <c r="N2006" s="2" t="s">
        <v>33</v>
      </c>
      <c r="O2006" s="2">
        <v>27.0</v>
      </c>
      <c r="P2006" s="2">
        <v>1.0</v>
      </c>
      <c r="Q2006" s="2">
        <v>7.0</v>
      </c>
      <c r="R2006" s="2">
        <v>1.0</v>
      </c>
      <c r="S2006" s="3" t="s">
        <v>8217</v>
      </c>
      <c r="T2006" s="2" t="s">
        <v>8218</v>
      </c>
      <c r="Y2006" s="4" t="str">
        <f>IFERROR(__xludf.DUMMYFUNCTION("""COMPUTED_VALUE"""),"6.948262")</f>
        <v>6.948262</v>
      </c>
      <c r="Z2006" s="4" t="str">
        <f>IFERROR(__xludf.DUMMYFUNCTION("""COMPUTED_VALUE"""),"3.5079264")</f>
        <v>3.5079264</v>
      </c>
      <c r="AA2006" s="4" t="str">
        <f t="shared" si="1"/>
        <v>Not Neighbor</v>
      </c>
      <c r="AC2006" s="4">
        <f>IFERROR(__xludf.DUMMYFUNCTION("IFERROR(ABS(O2006-AVERAGE(FILTER(O2006:O6074,AA2006:AA6074=""Neighbor""))) / STDEV(FILTER(O2006:O6074, AA2006:AA6074 =""Neighbor"")), """")"),0.7215468787917118)</f>
        <v>0.7215468788</v>
      </c>
      <c r="AD2006" s="4">
        <f>IFERROR(__xludf.DUMMYFUNCTION("IFERROR(ABS(P2006-AVERAGE(FILTER(O2006:P6074,AA2006:AA6074=""Neighbor""))) / STDEV(FILTER(P2006:P6074, AA2006:AA6074 =""Neighbor"")), """")"),1.5298712432311194)</f>
        <v>1.529871243</v>
      </c>
      <c r="AE2006" s="2">
        <f>IFERROR(__xludf.DUMMYFUNCTION("IFERROR(ABS(Q2006-AVERAGE(FILTER(Q2006:Q6074,AA2006:AA6074=""Neighbor""))) / STDEV(FILTER(Q2006:Q6074, AA2006:AA6074 =""Neighbor"")), """")"),0.6271481926080469)</f>
        <v>0.6271481926</v>
      </c>
      <c r="AF2006" s="2">
        <f>IFERROR(__xludf.DUMMYFUNCTION("IFERROR(ABS(R2006-AVERAGE(FILTER(R2006:R6074,AA2006:AA6074=""Neighbor""))) / STDEV(FILTER(R2006:R6074, AA2006:AA6074 =""Neighbor"")), """")"),0.85246741159057)</f>
        <v>0.8524674116</v>
      </c>
    </row>
    <row r="2007">
      <c r="A2007" s="2" t="s">
        <v>28</v>
      </c>
      <c r="B2007" s="2" t="s">
        <v>7915</v>
      </c>
      <c r="C2007" s="2" t="s">
        <v>8219</v>
      </c>
      <c r="D2007" s="2" t="s">
        <v>8220</v>
      </c>
      <c r="E2007" s="2" t="s">
        <v>8221</v>
      </c>
      <c r="F2007" s="2">
        <v>99.0</v>
      </c>
      <c r="G2007" s="2">
        <v>750.0</v>
      </c>
      <c r="H2007" s="2" t="b">
        <v>1</v>
      </c>
      <c r="I2007" s="2">
        <v>-1.0</v>
      </c>
      <c r="J2007" s="2" t="b">
        <v>0</v>
      </c>
      <c r="K2007" s="2" t="b">
        <v>0</v>
      </c>
      <c r="L2007" s="2" t="b">
        <v>0</v>
      </c>
      <c r="M2007" s="2" t="b">
        <v>0</v>
      </c>
      <c r="N2007" s="2" t="s">
        <v>33</v>
      </c>
      <c r="O2007" s="2">
        <v>35.0</v>
      </c>
      <c r="P2007" s="2">
        <v>10.0</v>
      </c>
      <c r="Q2007" s="2">
        <v>11.0</v>
      </c>
      <c r="R2007" s="2">
        <v>0.0</v>
      </c>
      <c r="S2007" s="3" t="s">
        <v>8222</v>
      </c>
      <c r="T2007" s="2" t="s">
        <v>8223</v>
      </c>
      <c r="Y2007" s="4" t="str">
        <f>IFERROR(__xludf.DUMMYFUNCTION("""COMPUTED_VALUE"""),"6.9938972")</f>
        <v>6.9938972</v>
      </c>
      <c r="Z2007" s="4" t="str">
        <f>IFERROR(__xludf.DUMMYFUNCTION("""COMPUTED_VALUE"""),"3.5003454")</f>
        <v>3.5003454</v>
      </c>
      <c r="AA2007" s="4" t="str">
        <f t="shared" si="1"/>
        <v>Neighbor</v>
      </c>
      <c r="AC2007" s="4">
        <f>IFERROR(__xludf.DUMMYFUNCTION("IFERROR(ABS(O2007-AVERAGE(FILTER(O2007:O6075,AA2007:AA6075=""Neighbor""))) / STDEV(FILTER(O2007:O6075, AA2007:AA6075 =""Neighbor"")), """")"),0.5057451957649122)</f>
        <v>0.5057451958</v>
      </c>
      <c r="AD2007" s="4">
        <f>IFERROR(__xludf.DUMMYFUNCTION("IFERROR(ABS(P2007-AVERAGE(FILTER(O2007:P6075,AA2007:AA6075=""Neighbor""))) / STDEV(FILTER(P2007:P6075, AA2007:AA6075 =""Neighbor"")), """")"),1.1264044958374597)</f>
        <v>1.126404496</v>
      </c>
      <c r="AE2007" s="2">
        <f>IFERROR(__xludf.DUMMYFUNCTION("IFERROR(ABS(Q2007-AVERAGE(FILTER(Q2007:Q6075,AA2007:AA6075=""Neighbor""))) / STDEV(FILTER(Q2007:Q6075, AA2007:AA6075 =""Neighbor"")), """")"),0.4367850901258852)</f>
        <v>0.4367850901</v>
      </c>
      <c r="AF2007" s="2">
        <f>IFERROR(__xludf.DUMMYFUNCTION("IFERROR(ABS(R2007-AVERAGE(FILTER(R2007:R6075,AA2007:AA6075=""Neighbor""))) / STDEV(FILTER(R2007:R6075, AA2007:AA6075 =""Neighbor"")), """")"),0.34524930169418094)</f>
        <v>0.3452493017</v>
      </c>
    </row>
    <row r="2008">
      <c r="A2008" s="2" t="s">
        <v>28</v>
      </c>
      <c r="B2008" s="2" t="s">
        <v>7915</v>
      </c>
      <c r="C2008" s="2" t="s">
        <v>8219</v>
      </c>
      <c r="D2008" s="2" t="s">
        <v>8224</v>
      </c>
      <c r="E2008" s="2" t="s">
        <v>8225</v>
      </c>
      <c r="F2008" s="2">
        <v>71.0</v>
      </c>
      <c r="G2008" s="2">
        <v>766.0</v>
      </c>
      <c r="H2008" s="2" t="b">
        <v>1</v>
      </c>
      <c r="I2008" s="2">
        <v>-1.0</v>
      </c>
      <c r="J2008" s="2" t="b">
        <v>0</v>
      </c>
      <c r="K2008" s="2" t="b">
        <v>0</v>
      </c>
      <c r="L2008" s="2" t="b">
        <v>0</v>
      </c>
      <c r="M2008" s="2" t="b">
        <v>0</v>
      </c>
      <c r="N2008" s="2" t="s">
        <v>33</v>
      </c>
      <c r="O2008" s="2">
        <v>36.0</v>
      </c>
      <c r="P2008" s="2">
        <v>2.0</v>
      </c>
      <c r="Q2008" s="2">
        <v>8.0</v>
      </c>
      <c r="R2008" s="2">
        <v>0.0</v>
      </c>
      <c r="S2008" s="3" t="s">
        <v>8226</v>
      </c>
      <c r="T2008" s="2" t="s">
        <v>8227</v>
      </c>
      <c r="Y2008" s="4" t="str">
        <f>IFERROR(__xludf.DUMMYFUNCTION("""COMPUTED_VALUE"""),"6.9938972")</f>
        <v>6.9938972</v>
      </c>
      <c r="Z2008" s="4" t="str">
        <f>IFERROR(__xludf.DUMMYFUNCTION("""COMPUTED_VALUE"""),"3.5003454")</f>
        <v>3.5003454</v>
      </c>
      <c r="AA2008" s="4" t="str">
        <f t="shared" si="1"/>
        <v>Not Neighbor</v>
      </c>
      <c r="AC2008" s="4">
        <f>IFERROR(__xludf.DUMMYFUNCTION("IFERROR(ABS(O2008-AVERAGE(FILTER(O2008:O6076,AA2008:AA6076=""Neighbor""))) / STDEV(FILTER(O2008:O6076, AA2008:AA6076 =""Neighbor"")), """")"),0.47915875652441847)</f>
        <v>0.4791587565</v>
      </c>
      <c r="AD2008" s="4">
        <f>IFERROR(__xludf.DUMMYFUNCTION("IFERROR(ABS(P2008-AVERAGE(FILTER(O2008:P6076,AA2008:AA6076=""Neighbor""))) / STDEV(FILTER(P2008:P6076, AA2008:AA6076 =""Neighbor"")), """")"),1.484906396766968)</f>
        <v>1.484906397</v>
      </c>
      <c r="AE2008" s="2">
        <f>IFERROR(__xludf.DUMMYFUNCTION("IFERROR(ABS(Q2008-AVERAGE(FILTER(Q2008:Q6076,AA2008:AA6076=""Neighbor""))) / STDEV(FILTER(Q2008:Q6076, AA2008:AA6076 =""Neighbor"")), """")"),0.5797973657882614)</f>
        <v>0.5797973658</v>
      </c>
      <c r="AF2008" s="2">
        <f>IFERROR(__xludf.DUMMYFUNCTION("IFERROR(ABS(R2008-AVERAGE(FILTER(R2008:R6076,AA2008:AA6076=""Neighbor""))) / STDEV(FILTER(R2008:R6076, AA2008:AA6076 =""Neighbor"")), """")"),0.3454784982334518)</f>
        <v>0.3454784982</v>
      </c>
    </row>
    <row r="2009">
      <c r="A2009" s="2" t="s">
        <v>28</v>
      </c>
      <c r="B2009" s="2" t="s">
        <v>7915</v>
      </c>
      <c r="C2009" s="2" t="s">
        <v>8219</v>
      </c>
      <c r="D2009" s="2" t="s">
        <v>8228</v>
      </c>
      <c r="E2009" s="2" t="s">
        <v>8229</v>
      </c>
      <c r="F2009" s="2">
        <v>70.0</v>
      </c>
      <c r="G2009" s="2">
        <v>750.0</v>
      </c>
      <c r="H2009" s="2" t="b">
        <v>1</v>
      </c>
      <c r="I2009" s="2">
        <v>-1.0</v>
      </c>
      <c r="J2009" s="2" t="b">
        <v>0</v>
      </c>
      <c r="K2009" s="2" t="b">
        <v>0</v>
      </c>
      <c r="L2009" s="2" t="b">
        <v>0</v>
      </c>
      <c r="M2009" s="2" t="b">
        <v>0</v>
      </c>
      <c r="N2009" s="2" t="s">
        <v>33</v>
      </c>
      <c r="O2009" s="2">
        <v>32.0</v>
      </c>
      <c r="P2009" s="2">
        <v>27.0</v>
      </c>
      <c r="Q2009" s="2">
        <v>5.0</v>
      </c>
      <c r="R2009" s="2">
        <v>1.0</v>
      </c>
      <c r="S2009" s="3" t="s">
        <v>8230</v>
      </c>
      <c r="T2009" s="2" t="s">
        <v>8231</v>
      </c>
      <c r="Y2009" s="4" t="str">
        <f>IFERROR(__xludf.DUMMYFUNCTION("""COMPUTED_VALUE"""),"6.948262")</f>
        <v>6.948262</v>
      </c>
      <c r="Z2009" s="4" t="str">
        <f>IFERROR(__xludf.DUMMYFUNCTION("""COMPUTED_VALUE"""),"3.5079264")</f>
        <v>3.5079264</v>
      </c>
      <c r="AA2009" s="4" t="str">
        <f t="shared" si="1"/>
        <v>Not Neighbor</v>
      </c>
      <c r="AC2009" s="4">
        <f>IFERROR(__xludf.DUMMYFUNCTION("IFERROR(ABS(O2009-AVERAGE(FILTER(O2009:O6077,AA2009:AA6077=""Neighbor""))) / STDEV(FILTER(O2009:O6077, AA2009:AA6077 =""Neighbor"")), """")"),0.5870119070941064)</f>
        <v>0.5870119071</v>
      </c>
      <c r="AD2009" s="4">
        <f>IFERROR(__xludf.DUMMYFUNCTION("IFERROR(ABS(P2009-AVERAGE(FILTER(O2009:P6077,AA2009:AA6077=""Neighbor""))) / STDEV(FILTER(P2009:P6077, AA2009:AA6077 =""Neighbor"")), """")"),0.36477453323195)</f>
        <v>0.3647745332</v>
      </c>
      <c r="AE2009" s="2">
        <f>IFERROR(__xludf.DUMMYFUNCTION("IFERROR(ABS(Q2009-AVERAGE(FILTER(Q2009:Q6077,AA2009:AA6077=""Neighbor""))) / STDEV(FILTER(Q2009:Q6077, AA2009:AA6077 =""Neighbor"")), """")"),0.7225010728896106)</f>
        <v>0.7225010729</v>
      </c>
      <c r="AF2009" s="2">
        <f>IFERROR(__xludf.DUMMYFUNCTION("IFERROR(ABS(R2009-AVERAGE(FILTER(R2009:R6077,AA2009:AA6077=""Neighbor""))) / STDEV(FILTER(R2009:R6077, AA2009:AA6077 =""Neighbor"")), """")"),0.8516116067565334)</f>
        <v>0.8516116068</v>
      </c>
    </row>
    <row r="2010">
      <c r="A2010" s="2" t="s">
        <v>28</v>
      </c>
      <c r="B2010" s="2" t="s">
        <v>7915</v>
      </c>
      <c r="C2010" s="2" t="s">
        <v>8219</v>
      </c>
      <c r="D2010" s="2" t="s">
        <v>8232</v>
      </c>
      <c r="E2010" s="2" t="s">
        <v>8233</v>
      </c>
      <c r="F2010" s="2">
        <v>63.0</v>
      </c>
      <c r="G2010" s="2">
        <v>376.0</v>
      </c>
      <c r="H2010" s="2" t="b">
        <v>1</v>
      </c>
      <c r="I2010" s="2">
        <v>-1.0</v>
      </c>
      <c r="J2010" s="2" t="b">
        <v>0</v>
      </c>
      <c r="K2010" s="2" t="b">
        <v>0</v>
      </c>
      <c r="L2010" s="2" t="b">
        <v>0</v>
      </c>
      <c r="M2010" s="2" t="b">
        <v>0</v>
      </c>
      <c r="N2010" s="2" t="s">
        <v>33</v>
      </c>
      <c r="O2010" s="2">
        <v>42.0</v>
      </c>
      <c r="P2010" s="2">
        <v>0.0</v>
      </c>
      <c r="Q2010" s="2">
        <v>6.0</v>
      </c>
      <c r="R2010" s="2">
        <v>0.0</v>
      </c>
      <c r="S2010" s="3" t="s">
        <v>8234</v>
      </c>
      <c r="T2010" s="2" t="s">
        <v>8235</v>
      </c>
      <c r="Y2010" s="4" t="str">
        <f>IFERROR(__xludf.DUMMYFUNCTION("""COMPUTED_VALUE"""),"7.009917")</f>
        <v>7.009917</v>
      </c>
      <c r="Z2010" s="4" t="str">
        <f>IFERROR(__xludf.DUMMYFUNCTION("""COMPUTED_VALUE"""),"3.424121")</f>
        <v>3.424121</v>
      </c>
      <c r="AA2010" s="4" t="str">
        <f t="shared" si="1"/>
        <v>Neighbor</v>
      </c>
      <c r="AC2010" s="4">
        <f>IFERROR(__xludf.DUMMYFUNCTION("IFERROR(ABS(O2010-AVERAGE(FILTER(O2010:O6078,AA2010:AA6078=""Neighbor""))) / STDEV(FILTER(O2010:O6078, AA2010:AA6078 =""Neighbor"")), """")"),0.31737903066988654)</f>
        <v>0.3173790307</v>
      </c>
      <c r="AD2010" s="4">
        <f>IFERROR(__xludf.DUMMYFUNCTION("IFERROR(ABS(P2010-AVERAGE(FILTER(O2010:P6078,AA2010:AA6078=""Neighbor""))) / STDEV(FILTER(P2010:P6078, AA2010:AA6078 =""Neighbor"")), """")"),1.5745169458497694)</f>
        <v>1.574516946</v>
      </c>
      <c r="AE2010" s="2">
        <f>IFERROR(__xludf.DUMMYFUNCTION("IFERROR(ABS(Q2010-AVERAGE(FILTER(Q2010:Q6078,AA2010:AA6078=""Neighbor""))) / STDEV(FILTER(Q2010:Q6078, AA2010:AA6078 =""Neighbor"")), """")"),0.6749331705224942)</f>
        <v>0.6749331705</v>
      </c>
      <c r="AF2010" s="2">
        <f>IFERROR(__xludf.DUMMYFUNCTION("IFERROR(ABS(R2010-AVERAGE(FILTER(R2010:R6078,AA2010:AA6078=""Neighbor""))) / STDEV(FILTER(R2010:R6078, AA2010:AA6078 =""Neighbor"")), """")"),0.3454784982334518)</f>
        <v>0.3454784982</v>
      </c>
    </row>
    <row r="2011">
      <c r="A2011" s="2" t="s">
        <v>28</v>
      </c>
      <c r="B2011" s="2" t="s">
        <v>7915</v>
      </c>
      <c r="C2011" s="2" t="s">
        <v>8219</v>
      </c>
      <c r="D2011" s="2" t="s">
        <v>8236</v>
      </c>
      <c r="E2011" s="2" t="s">
        <v>8237</v>
      </c>
      <c r="F2011" s="2">
        <v>46.0</v>
      </c>
      <c r="G2011" s="2">
        <v>274.0</v>
      </c>
      <c r="H2011" s="2" t="b">
        <v>1</v>
      </c>
      <c r="I2011" s="2">
        <v>-1.0</v>
      </c>
      <c r="J2011" s="2" t="b">
        <v>0</v>
      </c>
      <c r="K2011" s="2" t="b">
        <v>0</v>
      </c>
      <c r="L2011" s="2" t="b">
        <v>0</v>
      </c>
      <c r="M2011" s="2" t="b">
        <v>0</v>
      </c>
      <c r="N2011" s="2" t="s">
        <v>33</v>
      </c>
      <c r="O2011" s="2">
        <v>35.0</v>
      </c>
      <c r="P2011" s="2">
        <v>1.0</v>
      </c>
      <c r="Q2011" s="2">
        <v>3.0</v>
      </c>
      <c r="R2011" s="2">
        <v>0.0</v>
      </c>
      <c r="S2011" s="3" t="s">
        <v>8238</v>
      </c>
      <c r="T2011" s="2" t="s">
        <v>8239</v>
      </c>
      <c r="Y2011" s="4" t="str">
        <f>IFERROR(__xludf.DUMMYFUNCTION("""COMPUTED_VALUE"""),"7.009917")</f>
        <v>7.009917</v>
      </c>
      <c r="Z2011" s="4" t="str">
        <f>IFERROR(__xludf.DUMMYFUNCTION("""COMPUTED_VALUE"""),"3.424121")</f>
        <v>3.424121</v>
      </c>
      <c r="AA2011" s="4" t="str">
        <f t="shared" si="1"/>
        <v>Not Neighbor</v>
      </c>
      <c r="AC2011" s="4">
        <f>IFERROR(__xludf.DUMMYFUNCTION("IFERROR(ABS(O2011-AVERAGE(FILTER(O2011:O6079,AA2011:AA6079=""Neighbor""))) / STDEV(FILTER(O2011:O6079, AA2011:AA6079 =""Neighbor"")), """")"),0.5062285615672575)</f>
        <v>0.5062285616</v>
      </c>
      <c r="AD2011" s="4">
        <f>IFERROR(__xludf.DUMMYFUNCTION("IFERROR(ABS(P2011-AVERAGE(FILTER(O2011:P6079,AA2011:AA6079=""Neighbor""))) / STDEV(FILTER(P2011:P6079, AA2011:AA6079 =""Neighbor"")), """")"),1.5300534503083187)</f>
        <v>1.53005345</v>
      </c>
      <c r="AE2011" s="2">
        <f>IFERROR(__xludf.DUMMYFUNCTION("IFERROR(ABS(Q2011-AVERAGE(FILTER(Q2011:Q6079,AA2011:AA6079=""Neighbor""))) / STDEV(FILTER(Q2011:Q6079, AA2011:AA6079 =""Neighbor"")), """")"),0.8181745614742255)</f>
        <v>0.8181745615</v>
      </c>
      <c r="AF2011" s="2">
        <f>IFERROR(__xludf.DUMMYFUNCTION("IFERROR(ABS(R2011-AVERAGE(FILTER(R2011:R6079,AA2011:AA6079=""Neighbor""))) / STDEV(FILTER(R2011:R6079, AA2011:AA6079 =""Neighbor"")), """")"),0.3457081519102268)</f>
        <v>0.3457081519</v>
      </c>
    </row>
    <row r="2012">
      <c r="A2012" s="2" t="s">
        <v>28</v>
      </c>
      <c r="B2012" s="2" t="s">
        <v>7915</v>
      </c>
      <c r="C2012" s="2" t="s">
        <v>8219</v>
      </c>
      <c r="D2012" s="2" t="s">
        <v>8240</v>
      </c>
      <c r="E2012" s="2" t="s">
        <v>8241</v>
      </c>
      <c r="F2012" s="2">
        <v>36.0</v>
      </c>
      <c r="G2012" s="2">
        <v>324.0</v>
      </c>
      <c r="H2012" s="2" t="b">
        <v>1</v>
      </c>
      <c r="I2012" s="2">
        <v>-1.0</v>
      </c>
      <c r="J2012" s="2" t="b">
        <v>0</v>
      </c>
      <c r="K2012" s="2" t="b">
        <v>0</v>
      </c>
      <c r="L2012" s="2" t="b">
        <v>0</v>
      </c>
      <c r="M2012" s="2" t="b">
        <v>0</v>
      </c>
      <c r="N2012" s="2" t="s">
        <v>33</v>
      </c>
      <c r="O2012" s="2">
        <v>26.0</v>
      </c>
      <c r="P2012" s="2">
        <v>0.0</v>
      </c>
      <c r="Q2012" s="2">
        <v>7.0</v>
      </c>
      <c r="R2012" s="2">
        <v>0.0</v>
      </c>
      <c r="S2012" s="3" t="s">
        <v>8242</v>
      </c>
      <c r="T2012" s="2" t="s">
        <v>8243</v>
      </c>
      <c r="Y2012" s="4" t="str">
        <f>IFERROR(__xludf.DUMMYFUNCTION("""COMPUTED_VALUE"""),"6.948262")</f>
        <v>6.948262</v>
      </c>
      <c r="Z2012" s="4" t="str">
        <f>IFERROR(__xludf.DUMMYFUNCTION("""COMPUTED_VALUE"""),"3.5079264")</f>
        <v>3.5079264</v>
      </c>
      <c r="AA2012" s="4" t="str">
        <f t="shared" si="1"/>
        <v>Neighbor</v>
      </c>
      <c r="AC2012" s="4">
        <f>IFERROR(__xludf.DUMMYFUNCTION("IFERROR(ABS(O2012-AVERAGE(FILTER(O2012:O6080,AA2012:AA6080=""Neighbor""))) / STDEV(FILTER(O2012:O6080, AA2012:AA6080 =""Neighbor"")), """")"),0.7487683756261619)</f>
        <v>0.7487683756</v>
      </c>
      <c r="AD2012" s="4">
        <f>IFERROR(__xludf.DUMMYFUNCTION("IFERROR(ABS(P2012-AVERAGE(FILTER(O2012:P6080,AA2012:AA6080=""Neighbor""))) / STDEV(FILTER(P2012:P6080, AA2012:AA6080 =""Neighbor"")), """")"),1.574846674512353)</f>
        <v>1.574846675</v>
      </c>
      <c r="AE2012" s="2">
        <f>IFERROR(__xludf.DUMMYFUNCTION("IFERROR(ABS(Q2012-AVERAGE(FILTER(Q2012:Q6080,AA2012:AA6080=""Neighbor""))) / STDEV(FILTER(Q2012:Q6080, AA2012:AA6080 =""Neighbor"")), """")"),0.6279645252061332)</f>
        <v>0.6279645252</v>
      </c>
      <c r="AF2012" s="2">
        <f>IFERROR(__xludf.DUMMYFUNCTION("IFERROR(ABS(R2012-AVERAGE(FILTER(R2012:R6080,AA2012:AA6080=""Neighbor""))) / STDEV(FILTER(R2012:R6080, AA2012:AA6080 =""Neighbor"")), """")"),0.3457081519102268)</f>
        <v>0.3457081519</v>
      </c>
    </row>
    <row r="2013">
      <c r="A2013" s="2" t="s">
        <v>28</v>
      </c>
      <c r="B2013" s="2" t="s">
        <v>7915</v>
      </c>
      <c r="C2013" s="2" t="s">
        <v>8219</v>
      </c>
      <c r="D2013" s="2" t="s">
        <v>8244</v>
      </c>
      <c r="E2013" s="2" t="s">
        <v>8245</v>
      </c>
      <c r="F2013" s="2">
        <v>48.0</v>
      </c>
      <c r="G2013" s="2">
        <v>150.0</v>
      </c>
      <c r="H2013" s="2" t="b">
        <v>1</v>
      </c>
      <c r="I2013" s="2">
        <v>-1.0</v>
      </c>
      <c r="J2013" s="2" t="b">
        <v>0</v>
      </c>
      <c r="K2013" s="2" t="b">
        <v>1</v>
      </c>
      <c r="L2013" s="2" t="b">
        <v>0</v>
      </c>
      <c r="M2013" s="2" t="b">
        <v>0</v>
      </c>
      <c r="N2013" s="2" t="s">
        <v>33</v>
      </c>
      <c r="O2013" s="2">
        <v>0.0</v>
      </c>
      <c r="P2013" s="2">
        <v>0.0</v>
      </c>
      <c r="Q2013" s="2">
        <v>0.0</v>
      </c>
      <c r="R2013" s="2">
        <v>0.0</v>
      </c>
      <c r="S2013" s="3" t="s">
        <v>8246</v>
      </c>
      <c r="T2013" s="2" t="s">
        <v>8247</v>
      </c>
      <c r="Y2013" s="4" t="str">
        <f>IFERROR(__xludf.DUMMYFUNCTION("""COMPUTED_VALUE"""),"6.948262")</f>
        <v>6.948262</v>
      </c>
      <c r="Z2013" s="4" t="str">
        <f>IFERROR(__xludf.DUMMYFUNCTION("""COMPUTED_VALUE"""),"3.5079264")</f>
        <v>3.5079264</v>
      </c>
      <c r="AA2013" s="4" t="str">
        <f t="shared" si="1"/>
        <v>Neighbor</v>
      </c>
      <c r="AC2013" s="4">
        <f>IFERROR(__xludf.DUMMYFUNCTION("IFERROR(ABS(O2013-AVERAGE(FILTER(O2013:O6081,AA2013:AA6081=""Neighbor""))) / STDEV(FILTER(O2013:O6081, AA2013:AA6081 =""Neighbor"")), """")"),1.4499513301778062)</f>
        <v>1.44995133</v>
      </c>
      <c r="AD2013" s="4">
        <f>IFERROR(__xludf.DUMMYFUNCTION("IFERROR(ABS(P2013-AVERAGE(FILTER(O2013:P6081,AA2013:AA6081=""Neighbor""))) / STDEV(FILTER(P2013:P6081, AA2013:AA6081 =""Neighbor"")), """")"),1.575604834355485)</f>
        <v>1.575604834</v>
      </c>
      <c r="AE2013" s="2">
        <f>IFERROR(__xludf.DUMMYFUNCTION("IFERROR(ABS(Q2013-AVERAGE(FILTER(Q2013:Q6081,AA2013:AA6081=""Neighbor""))) / STDEV(FILTER(Q2013:Q6081, AA2013:AA6081 =""Neighbor"")), """")"),0.9612330475991576)</f>
        <v>0.9612330476</v>
      </c>
      <c r="AF2013" s="2">
        <f>IFERROR(__xludf.DUMMYFUNCTION("IFERROR(ABS(R2013-AVERAGE(FILTER(R2013:R6081,AA2013:AA6081=""Neighbor""))) / STDEV(FILTER(R2013:R6081, AA2013:AA6081 =""Neighbor"")), """")"),0.34593826424634827)</f>
        <v>0.3459382642</v>
      </c>
    </row>
    <row r="2014">
      <c r="A2014" s="2" t="s">
        <v>28</v>
      </c>
      <c r="B2014" s="2" t="s">
        <v>7915</v>
      </c>
      <c r="C2014" s="2" t="s">
        <v>8219</v>
      </c>
      <c r="D2014" s="2" t="s">
        <v>8248</v>
      </c>
      <c r="E2014" s="2" t="s">
        <v>8249</v>
      </c>
      <c r="F2014" s="2">
        <v>54.0</v>
      </c>
      <c r="G2014" s="2">
        <v>538.0</v>
      </c>
      <c r="H2014" s="2" t="b">
        <v>1</v>
      </c>
      <c r="I2014" s="2">
        <v>-1.0</v>
      </c>
      <c r="J2014" s="2" t="b">
        <v>0</v>
      </c>
      <c r="K2014" s="2" t="b">
        <v>0</v>
      </c>
      <c r="L2014" s="2" t="b">
        <v>0</v>
      </c>
      <c r="M2014" s="2" t="b">
        <v>0</v>
      </c>
      <c r="N2014" s="2" t="s">
        <v>33</v>
      </c>
      <c r="O2014" s="2">
        <v>43.0</v>
      </c>
      <c r="P2014" s="2">
        <v>0.0</v>
      </c>
      <c r="Q2014" s="2">
        <v>3.0</v>
      </c>
      <c r="R2014" s="2">
        <v>0.0</v>
      </c>
      <c r="S2014" s="3" t="s">
        <v>8250</v>
      </c>
      <c r="T2014" s="2" t="s">
        <v>8251</v>
      </c>
      <c r="Y2014" s="4" t="str">
        <f>IFERROR(__xludf.DUMMYFUNCTION("""COMPUTED_VALUE"""),"6.948262")</f>
        <v>6.948262</v>
      </c>
      <c r="Z2014" s="4" t="str">
        <f>IFERROR(__xludf.DUMMYFUNCTION("""COMPUTED_VALUE"""),"3.5079264")</f>
        <v>3.5079264</v>
      </c>
      <c r="AA2014" s="4" t="str">
        <f t="shared" si="1"/>
        <v>Neighbor</v>
      </c>
      <c r="AC2014" s="4">
        <f>IFERROR(__xludf.DUMMYFUNCTION("IFERROR(ABS(O2014-AVERAGE(FILTER(O2014:O6082,AA2014:AA6082=""Neighbor""))) / STDEV(FILTER(O2014:O6082, AA2014:AA6082 =""Neighbor"")), """")"),0.2933744763964904)</f>
        <v>0.2933744764</v>
      </c>
      <c r="AD2014" s="4">
        <f>IFERROR(__xludf.DUMMYFUNCTION("IFERROR(ABS(P2014-AVERAGE(FILTER(O2014:P6082,AA2014:AA6082=""Neighbor""))) / STDEV(FILTER(P2014:P6082, AA2014:AA6082 =""Neighbor"")), """")"),1.5770594172784105)</f>
        <v>1.577059417</v>
      </c>
      <c r="AE2014" s="2">
        <f>IFERROR(__xludf.DUMMYFUNCTION("IFERROR(ABS(Q2014-AVERAGE(FILTER(Q2014:Q6082,AA2014:AA6082=""Neighbor""))) / STDEV(FILTER(Q2014:Q6082, AA2014:AA6082 =""Neighbor"")), """")"),0.819735985204397)</f>
        <v>0.8197359852</v>
      </c>
      <c r="AF2014" s="2">
        <f>IFERROR(__xludf.DUMMYFUNCTION("IFERROR(ABS(R2014-AVERAGE(FILTER(R2014:R6082,AA2014:AA6082=""Neighbor""))) / STDEV(FILTER(R2014:R6082, AA2014:AA6082 =""Neighbor"")), """")"),0.34616883677076027)</f>
        <v>0.3461688368</v>
      </c>
    </row>
    <row r="2015">
      <c r="A2015" s="2" t="s">
        <v>28</v>
      </c>
      <c r="B2015" s="2" t="s">
        <v>7915</v>
      </c>
      <c r="C2015" s="2" t="s">
        <v>8219</v>
      </c>
      <c r="D2015" s="2" t="s">
        <v>8252</v>
      </c>
      <c r="E2015" s="2" t="s">
        <v>8253</v>
      </c>
      <c r="F2015" s="2">
        <v>128.0</v>
      </c>
      <c r="G2015" s="2">
        <v>824.0</v>
      </c>
      <c r="H2015" s="2" t="b">
        <v>1</v>
      </c>
      <c r="I2015" s="2">
        <v>-1.0</v>
      </c>
      <c r="J2015" s="2" t="b">
        <v>0</v>
      </c>
      <c r="K2015" s="2" t="b">
        <v>0</v>
      </c>
      <c r="L2015" s="2" t="b">
        <v>0</v>
      </c>
      <c r="M2015" s="2" t="b">
        <v>0</v>
      </c>
      <c r="N2015" s="2" t="s">
        <v>33</v>
      </c>
      <c r="O2015" s="2">
        <v>72.0</v>
      </c>
      <c r="P2015" s="2">
        <v>40.0</v>
      </c>
      <c r="Q2015" s="2">
        <v>11.0</v>
      </c>
      <c r="R2015" s="2">
        <v>1.0</v>
      </c>
      <c r="S2015" s="3" t="s">
        <v>8254</v>
      </c>
      <c r="T2015" s="2" t="s">
        <v>8255</v>
      </c>
      <c r="Y2015" s="4" t="str">
        <f>IFERROR(__xludf.DUMMYFUNCTION("""COMPUTED_VALUE"""),"6.948262")</f>
        <v>6.948262</v>
      </c>
      <c r="Z2015" s="4" t="str">
        <f>IFERROR(__xludf.DUMMYFUNCTION("""COMPUTED_VALUE"""),"3.5079264")</f>
        <v>3.5079264</v>
      </c>
      <c r="AA2015" s="4" t="str">
        <f t="shared" si="1"/>
        <v>Neighbor</v>
      </c>
      <c r="AC2015" s="4">
        <f>IFERROR(__xludf.DUMMYFUNCTION("IFERROR(ABS(O2015-AVERAGE(FILTER(O2015:O6083,AA2015:AA6083=""Neighbor""))) / STDEV(FILTER(O2015:O6083, AA2015:AA6083 =""Neighbor"")), """")"),0.48783771880432975)</f>
        <v>0.4878377188</v>
      </c>
      <c r="AD2015" s="4">
        <f>IFERROR(__xludf.DUMMYFUNCTION("IFERROR(ABS(P2015-AVERAGE(FILTER(O2015:P6083,AA2015:AA6083=""Neighbor""))) / STDEV(FILTER(P2015:P6083, AA2015:AA6083 =""Neighbor"")), """")"),0.21291700752100287)</f>
        <v>0.2129170075</v>
      </c>
      <c r="AE2015" s="2">
        <f>IFERROR(__xludf.DUMMYFUNCTION("IFERROR(ABS(Q2015-AVERAGE(FILTER(Q2015:Q6083,AA2015:AA6083=""Neighbor""))) / STDEV(FILTER(Q2015:Q6083, AA2015:AA6083 =""Neighbor"")), """")"),0.44036217426588425)</f>
        <v>0.4403621743</v>
      </c>
      <c r="AF2015" s="2">
        <f>IFERROR(__xludf.DUMMYFUNCTION("IFERROR(ABS(R2015-AVERAGE(FILTER(R2015:R6083,AA2015:AA6083=""Neighbor""))) / STDEV(FILTER(R2015:R6083, AA2015:AA6083 =""Neighbor"")), """")"),0.8481807541425291)</f>
        <v>0.8481807541</v>
      </c>
    </row>
    <row r="2016">
      <c r="A2016" s="2" t="s">
        <v>28</v>
      </c>
      <c r="B2016" s="2" t="s">
        <v>7915</v>
      </c>
      <c r="C2016" s="2" t="s">
        <v>8219</v>
      </c>
      <c r="D2016" s="2" t="s">
        <v>8256</v>
      </c>
      <c r="E2016" s="2" t="s">
        <v>8257</v>
      </c>
      <c r="F2016" s="2">
        <v>153.0</v>
      </c>
      <c r="G2016" s="2">
        <v>1290.0</v>
      </c>
      <c r="H2016" s="2" t="b">
        <v>1</v>
      </c>
      <c r="I2016" s="2">
        <v>-1.0</v>
      </c>
      <c r="J2016" s="2" t="b">
        <v>0</v>
      </c>
      <c r="K2016" s="2" t="b">
        <v>1</v>
      </c>
      <c r="L2016" s="2" t="b">
        <v>0</v>
      </c>
      <c r="M2016" s="2" t="b">
        <v>0</v>
      </c>
      <c r="N2016" s="2" t="s">
        <v>33</v>
      </c>
      <c r="O2016" s="2">
        <v>90.0</v>
      </c>
      <c r="P2016" s="2">
        <v>35.0</v>
      </c>
      <c r="Q2016" s="2">
        <v>18.0</v>
      </c>
      <c r="R2016" s="2">
        <v>1.0</v>
      </c>
      <c r="S2016" s="3" t="s">
        <v>8258</v>
      </c>
      <c r="T2016" s="2" t="s">
        <v>8259</v>
      </c>
      <c r="Y2016" s="4" t="str">
        <f>IFERROR(__xludf.DUMMYFUNCTION("""COMPUTED_VALUE"""),"6.948262")</f>
        <v>6.948262</v>
      </c>
      <c r="Z2016" s="4" t="str">
        <f>IFERROR(__xludf.DUMMYFUNCTION("""COMPUTED_VALUE"""),"3.5079264")</f>
        <v>3.5079264</v>
      </c>
      <c r="AA2016" s="4" t="str">
        <f t="shared" si="1"/>
        <v>Neighbor</v>
      </c>
      <c r="AC2016" s="4">
        <f>IFERROR(__xludf.DUMMYFUNCTION("IFERROR(ABS(O2016-AVERAGE(FILTER(O2016:O6084,AA2016:AA6084=""Neighbor""))) / STDEV(FILTER(O2016:O6084, AA2016:AA6084 =""Neighbor"")), """")"),0.9729855704384673)</f>
        <v>0.9729855704</v>
      </c>
      <c r="AD2016" s="4">
        <f>IFERROR(__xludf.DUMMYFUNCTION("IFERROR(ABS(P2016-AVERAGE(FILTER(O2016:P6084,AA2016:AA6084=""Neighbor""))) / STDEV(FILTER(P2016:P6084, AA2016:AA6084 =""Neighbor"")), """")"),0.009759459052961598)</f>
        <v>0.009759459053</v>
      </c>
      <c r="AE2016" s="2">
        <f>IFERROR(__xludf.DUMMYFUNCTION("IFERROR(ABS(Q2016-AVERAGE(FILTER(Q2016:Q6084,AA2016:AA6084=""Neighbor""))) / STDEV(FILTER(Q2016:Q6084, AA2016:AA6084 =""Neighbor"")), """")"),0.10816849551731744)</f>
        <v>0.1081684955</v>
      </c>
      <c r="AF2016" s="2">
        <f>IFERROR(__xludf.DUMMYFUNCTION("IFERROR(ABS(R2016-AVERAGE(FILTER(R2016:R6084,AA2016:AA6084=""Neighbor""))) / STDEV(FILTER(R2016:R6084, AA2016:AA6084 =""Neighbor"")), """")"),0.8490520755577842)</f>
        <v>0.8490520756</v>
      </c>
    </row>
    <row r="2017">
      <c r="A2017" s="2" t="s">
        <v>28</v>
      </c>
      <c r="B2017" s="2" t="s">
        <v>7915</v>
      </c>
      <c r="C2017" s="2" t="s">
        <v>8219</v>
      </c>
      <c r="D2017" s="2" t="s">
        <v>8260</v>
      </c>
      <c r="E2017" s="2" t="s">
        <v>8261</v>
      </c>
      <c r="F2017" s="2">
        <v>217.0</v>
      </c>
      <c r="G2017" s="2">
        <v>1378.0</v>
      </c>
      <c r="H2017" s="2" t="b">
        <v>1</v>
      </c>
      <c r="I2017" s="2">
        <v>-1.0</v>
      </c>
      <c r="J2017" s="2" t="b">
        <v>0</v>
      </c>
      <c r="K2017" s="2" t="b">
        <v>0</v>
      </c>
      <c r="L2017" s="2" t="b">
        <v>0</v>
      </c>
      <c r="M2017" s="2" t="b">
        <v>0</v>
      </c>
      <c r="N2017" s="2" t="s">
        <v>33</v>
      </c>
      <c r="O2017" s="2">
        <v>24.0</v>
      </c>
      <c r="P2017" s="2">
        <v>11.0</v>
      </c>
      <c r="Q2017" s="2">
        <v>6.0</v>
      </c>
      <c r="R2017" s="2">
        <v>0.0</v>
      </c>
      <c r="S2017" s="3" t="s">
        <v>8262</v>
      </c>
      <c r="T2017" s="2" t="s">
        <v>8263</v>
      </c>
      <c r="Y2017" s="4" t="str">
        <f>IFERROR(__xludf.DUMMYFUNCTION("""COMPUTED_VALUE"""),"6.948262")</f>
        <v>6.948262</v>
      </c>
      <c r="Z2017" s="4" t="str">
        <f>IFERROR(__xludf.DUMMYFUNCTION("""COMPUTED_VALUE"""),"3.5079264")</f>
        <v>3.5079264</v>
      </c>
      <c r="AA2017" s="4" t="str">
        <f t="shared" si="1"/>
        <v>Neighbor</v>
      </c>
      <c r="AC2017" s="4">
        <f>IFERROR(__xludf.DUMMYFUNCTION("IFERROR(ABS(O2017-AVERAGE(FILTER(O2017:O6085,AA2017:AA6085=""Neighbor""))) / STDEV(FILTER(O2017:O6085, AA2017:AA6085 =""Neighbor"")), """")"),0.8033791793993009)</f>
        <v>0.8033791794</v>
      </c>
      <c r="AD2017" s="4">
        <f>IFERROR(__xludf.DUMMYFUNCTION("IFERROR(ABS(P2017-AVERAGE(FILTER(O2017:P6085,AA2017:AA6085=""Neighbor""))) / STDEV(FILTER(P2017:P6085, AA2017:AA6085 =""Neighbor"")), """")"),1.0823282876081446)</f>
        <v>1.082328288</v>
      </c>
      <c r="AE2017" s="2">
        <f>IFERROR(__xludf.DUMMYFUNCTION("IFERROR(ABS(Q2017-AVERAGE(FILTER(Q2017:Q6085,AA2017:AA6085=""Neighbor""))) / STDEV(FILTER(Q2017:Q6085, AA2017:AA6085 =""Neighbor"")), """")"),0.6779096090899714)</f>
        <v>0.6779096091</v>
      </c>
      <c r="AF2017" s="2">
        <f>IFERROR(__xludf.DUMMYFUNCTION("IFERROR(ABS(R2017-AVERAGE(FILTER(R2017:R6085,AA2017:AA6085=""Neighbor""))) / STDEV(FILTER(R2017:R6085, AA2017:AA6085 =""Neighbor"")), """")"),0.34425577715636213)</f>
        <v>0.3442557772</v>
      </c>
    </row>
    <row r="2018">
      <c r="A2018" s="2" t="s">
        <v>28</v>
      </c>
      <c r="B2018" s="2" t="s">
        <v>7915</v>
      </c>
      <c r="C2018" s="2" t="s">
        <v>8219</v>
      </c>
      <c r="D2018" s="2" t="s">
        <v>8264</v>
      </c>
      <c r="E2018" s="2" t="s">
        <v>8265</v>
      </c>
      <c r="F2018" s="2">
        <v>47.0</v>
      </c>
      <c r="G2018" s="2">
        <v>153.0</v>
      </c>
      <c r="H2018" s="2" t="b">
        <v>1</v>
      </c>
      <c r="I2018" s="2">
        <v>-1.0</v>
      </c>
      <c r="J2018" s="2" t="b">
        <v>0</v>
      </c>
      <c r="K2018" s="2" t="b">
        <v>1</v>
      </c>
      <c r="L2018" s="2" t="b">
        <v>0</v>
      </c>
      <c r="M2018" s="2" t="b">
        <v>0</v>
      </c>
      <c r="N2018" s="2" t="s">
        <v>33</v>
      </c>
      <c r="O2018" s="2">
        <v>0.0</v>
      </c>
      <c r="P2018" s="2">
        <v>0.0</v>
      </c>
      <c r="Q2018" s="2">
        <v>0.0</v>
      </c>
      <c r="R2018" s="2">
        <v>0.0</v>
      </c>
      <c r="S2018" s="3" t="s">
        <v>8266</v>
      </c>
      <c r="T2018" s="2" t="s">
        <v>8267</v>
      </c>
      <c r="Y2018" s="4" t="str">
        <f>IFERROR(__xludf.DUMMYFUNCTION("""COMPUTED_VALUE"""),"6.948262")</f>
        <v>6.948262</v>
      </c>
      <c r="Z2018" s="4" t="str">
        <f>IFERROR(__xludf.DUMMYFUNCTION("""COMPUTED_VALUE"""),"3.5079264")</f>
        <v>3.5079264</v>
      </c>
      <c r="AA2018" s="4" t="str">
        <f t="shared" si="1"/>
        <v>Not Neighbor</v>
      </c>
      <c r="AC2018" s="4">
        <f>IFERROR(__xludf.DUMMYFUNCTION("IFERROR(ABS(O2018-AVERAGE(FILTER(O2018:O6086,AA2018:AA6086=""Neighbor""))) / STDEV(FILTER(O2018:O6086, AA2018:AA6086 =""Neighbor"")), """")"),1.4503966653091818)</f>
        <v>1.450396665</v>
      </c>
      <c r="AD2018" s="4">
        <f>IFERROR(__xludf.DUMMYFUNCTION("IFERROR(ABS(P2018-AVERAGE(FILTER(O2018:P6086,AA2018:AA6086=""Neighbor""))) / STDEV(FILTER(P2018:P6086, AA2018:AA6086 =""Neighbor"")), """")"),1.5746546995267583)</f>
        <v>1.5746547</v>
      </c>
      <c r="AE2018" s="2">
        <f>IFERROR(__xludf.DUMMYFUNCTION("IFERROR(ABS(Q2018-AVERAGE(FILTER(Q2018:Q6086,AA2018:AA6086=""Neighbor""))) / STDEV(FILTER(Q2018:Q6086, AA2018:AA6086 =""Neighbor"")), """")"),0.9632476281126103)</f>
        <v>0.9632476281</v>
      </c>
      <c r="AF2018" s="2">
        <f>IFERROR(__xludf.DUMMYFUNCTION("IFERROR(ABS(R2018-AVERAGE(FILTER(R2018:R6086,AA2018:AA6086=""Neighbor""))) / STDEV(FILTER(R2018:R6086, AA2018:AA6086 =""Neighbor"")), """")"),0.34448608633785477)</f>
        <v>0.3444860863</v>
      </c>
    </row>
    <row r="2019">
      <c r="A2019" s="2" t="s">
        <v>28</v>
      </c>
      <c r="B2019" s="2" t="s">
        <v>7915</v>
      </c>
      <c r="C2019" s="2" t="s">
        <v>8219</v>
      </c>
      <c r="D2019" s="2" t="s">
        <v>8268</v>
      </c>
      <c r="E2019" s="2" t="s">
        <v>8269</v>
      </c>
      <c r="F2019" s="2">
        <v>38.0</v>
      </c>
      <c r="G2019" s="2">
        <v>192.0</v>
      </c>
      <c r="H2019" s="2" t="b">
        <v>1</v>
      </c>
      <c r="I2019" s="2">
        <v>-1.0</v>
      </c>
      <c r="J2019" s="2" t="b">
        <v>0</v>
      </c>
      <c r="K2019" s="2" t="b">
        <v>0</v>
      </c>
      <c r="L2019" s="2" t="b">
        <v>0</v>
      </c>
      <c r="M2019" s="2" t="b">
        <v>0</v>
      </c>
      <c r="N2019" s="2" t="s">
        <v>33</v>
      </c>
      <c r="O2019" s="2">
        <v>27.0</v>
      </c>
      <c r="P2019" s="2">
        <v>6.0</v>
      </c>
      <c r="Q2019" s="2">
        <v>4.0</v>
      </c>
      <c r="R2019" s="2">
        <v>0.0</v>
      </c>
      <c r="S2019" s="3" t="s">
        <v>8270</v>
      </c>
      <c r="T2019" s="2" t="s">
        <v>8271</v>
      </c>
      <c r="Y2019" s="4" t="str">
        <f>IFERROR(__xludf.DUMMYFUNCTION("""COMPUTED_VALUE"""),"6.9604721")</f>
        <v>6.9604721</v>
      </c>
      <c r="Z2019" s="4" t="str">
        <f>IFERROR(__xludf.DUMMYFUNCTION("""COMPUTED_VALUE"""),"3.3239398")</f>
        <v>3.3239398</v>
      </c>
      <c r="AA2019" s="4" t="str">
        <f t="shared" si="1"/>
        <v>Neighbor</v>
      </c>
      <c r="AC2019" s="4">
        <f>IFERROR(__xludf.DUMMYFUNCTION("IFERROR(ABS(O2019-AVERAGE(FILTER(O2019:O6087,AA2019:AA6087=""Neighbor""))) / STDEV(FILTER(O2019:O6087, AA2019:AA6087 =""Neighbor"")), """")"),0.7233925117364239)</f>
        <v>0.7233925117</v>
      </c>
      <c r="AD2019" s="4">
        <f>IFERROR(__xludf.DUMMYFUNCTION("IFERROR(ABS(P2019-AVERAGE(FILTER(O2019:P6087,AA2019:AA6087=""Neighbor""))) / STDEV(FILTER(P2019:P6087, AA2019:AA6087 =""Neighbor"")), """")"),1.3062978649445978)</f>
        <v>1.306297865</v>
      </c>
      <c r="AE2019" s="2">
        <f>IFERROR(__xludf.DUMMYFUNCTION("IFERROR(ABS(Q2019-AVERAGE(FILTER(Q2019:Q6087,AA2019:AA6087=""Neighbor""))) / STDEV(FILTER(Q2019:Q6087, AA2019:AA6087 =""Neighbor"")), """")"),0.7734171420436867)</f>
        <v>0.773417142</v>
      </c>
      <c r="AF2019" s="2">
        <f>IFERROR(__xludf.DUMMYFUNCTION("IFERROR(ABS(R2019-AVERAGE(FILTER(R2019:R6087,AA2019:AA6087=""Neighbor""))) / STDEV(FILTER(R2019:R6087, AA2019:AA6087 =""Neighbor"")), """")"),0.34448608633785477)</f>
        <v>0.3444860863</v>
      </c>
    </row>
    <row r="2020">
      <c r="A2020" s="2" t="s">
        <v>28</v>
      </c>
      <c r="B2020" s="2" t="s">
        <v>7915</v>
      </c>
      <c r="C2020" s="2" t="s">
        <v>8219</v>
      </c>
      <c r="D2020" s="2" t="s">
        <v>8272</v>
      </c>
      <c r="E2020" s="2" t="s">
        <v>8273</v>
      </c>
      <c r="F2020" s="2">
        <v>48.0</v>
      </c>
      <c r="G2020" s="2">
        <v>148.0</v>
      </c>
      <c r="H2020" s="2" t="b">
        <v>1</v>
      </c>
      <c r="I2020" s="2">
        <v>-1.0</v>
      </c>
      <c r="J2020" s="2" t="b">
        <v>0</v>
      </c>
      <c r="K2020" s="2" t="b">
        <v>1</v>
      </c>
      <c r="L2020" s="2" t="b">
        <v>0</v>
      </c>
      <c r="M2020" s="2" t="b">
        <v>0</v>
      </c>
      <c r="N2020" s="2" t="s">
        <v>33</v>
      </c>
      <c r="O2020" s="2">
        <v>43.0</v>
      </c>
      <c r="P2020" s="2">
        <v>0.0</v>
      </c>
      <c r="Q2020" s="2">
        <v>1.0</v>
      </c>
      <c r="R2020" s="2">
        <v>0.0</v>
      </c>
      <c r="S2020" s="3" t="s">
        <v>8274</v>
      </c>
      <c r="T2020" s="2" t="s">
        <v>8275</v>
      </c>
      <c r="Y2020" s="4" t="str">
        <f>IFERROR(__xludf.DUMMYFUNCTION("""COMPUTED_VALUE"""),"6.9604721")</f>
        <v>6.9604721</v>
      </c>
      <c r="Z2020" s="4" t="str">
        <f>IFERROR(__xludf.DUMMYFUNCTION("""COMPUTED_VALUE"""),"3.3239398")</f>
        <v>3.3239398</v>
      </c>
      <c r="AA2020" s="4" t="str">
        <f t="shared" si="1"/>
        <v>Not Neighbor</v>
      </c>
      <c r="AC2020" s="4">
        <f>IFERROR(__xludf.DUMMYFUNCTION("IFERROR(ABS(O2020-AVERAGE(FILTER(O2020:O6088,AA2020:AA6088=""Neighbor""))) / STDEV(FILTER(O2020:O6088, AA2020:AA6088 =""Neighbor"")), """")"),0.29335879448255875)</f>
        <v>0.2933587945</v>
      </c>
      <c r="AD2020" s="4">
        <f>IFERROR(__xludf.DUMMYFUNCTION("IFERROR(ABS(P2020-AVERAGE(FILTER(O2020:P6088,AA2020:AA6088=""Neighbor""))) / STDEV(FILTER(P2020:P6088, AA2020:AA6088 =""Neighbor"")), """")"),1.5749233695720932)</f>
        <v>1.57492337</v>
      </c>
      <c r="AE2020" s="2">
        <f>IFERROR(__xludf.DUMMYFUNCTION("IFERROR(ABS(Q2020-AVERAGE(FILTER(Q2020:Q6088,AA2020:AA6088=""Neighbor""))) / STDEV(FILTER(Q2020:Q6088, AA2020:AA6088 =""Neighbor"")), """")"),0.9164967346901132)</f>
        <v>0.9164967347</v>
      </c>
      <c r="AF2020" s="2">
        <f>IFERROR(__xludf.DUMMYFUNCTION("IFERROR(ABS(R2020-AVERAGE(FILTER(R2020:R6088,AA2020:AA6088=""Neighbor""))) / STDEV(FILTER(R2020:R6088, AA2020:AA6088 =""Neighbor"")), """")"),0.34471685844317834)</f>
        <v>0.3447168584</v>
      </c>
    </row>
    <row r="2021">
      <c r="A2021" s="2" t="s">
        <v>28</v>
      </c>
      <c r="B2021" s="2" t="s">
        <v>7915</v>
      </c>
      <c r="C2021" s="2" t="s">
        <v>8219</v>
      </c>
      <c r="D2021" s="2" t="s">
        <v>8276</v>
      </c>
      <c r="E2021" s="2" t="s">
        <v>8277</v>
      </c>
      <c r="F2021" s="2">
        <v>48.0</v>
      </c>
      <c r="G2021" s="2">
        <v>232.0</v>
      </c>
      <c r="H2021" s="2" t="b">
        <v>1</v>
      </c>
      <c r="I2021" s="2">
        <v>-1.0</v>
      </c>
      <c r="J2021" s="2" t="b">
        <v>0</v>
      </c>
      <c r="K2021" s="2" t="b">
        <v>0</v>
      </c>
      <c r="L2021" s="2" t="b">
        <v>0</v>
      </c>
      <c r="M2021" s="2" t="b">
        <v>0</v>
      </c>
      <c r="N2021" s="2" t="s">
        <v>33</v>
      </c>
      <c r="O2021" s="2">
        <v>35.0</v>
      </c>
      <c r="P2021" s="2">
        <v>0.0</v>
      </c>
      <c r="Q2021" s="2">
        <v>1.0</v>
      </c>
      <c r="R2021" s="2">
        <v>0.0</v>
      </c>
      <c r="S2021" s="3" t="s">
        <v>8278</v>
      </c>
      <c r="T2021" s="2" t="s">
        <v>8279</v>
      </c>
      <c r="Y2021" s="4" t="str">
        <f>IFERROR(__xludf.DUMMYFUNCTION("""COMPUTED_VALUE"""),"6.948262")</f>
        <v>6.948262</v>
      </c>
      <c r="Z2021" s="4" t="str">
        <f>IFERROR(__xludf.DUMMYFUNCTION("""COMPUTED_VALUE"""),"3.5079264")</f>
        <v>3.5079264</v>
      </c>
      <c r="AA2021" s="4" t="str">
        <f t="shared" si="1"/>
        <v>Neighbor</v>
      </c>
      <c r="AC2021" s="4">
        <f>IFERROR(__xludf.DUMMYFUNCTION("IFERROR(ABS(O2021-AVERAGE(FILTER(O2021:O6089,AA2021:AA6089=""Neighbor""))) / STDEV(FILTER(O2021:O6089, AA2021:AA6089 =""Neighbor"")), """")"),0.5087059038221596)</f>
        <v>0.5087059038</v>
      </c>
      <c r="AD2021" s="4">
        <f>IFERROR(__xludf.DUMMYFUNCTION("IFERROR(ABS(P2021-AVERAGE(FILTER(O2021:P6089,AA2021:AA6089=""Neighbor""))) / STDEV(FILTER(P2021:P6089, AA2021:AA6089 =""Neighbor"")), """")"),1.5749233695720932)</f>
        <v>1.57492337</v>
      </c>
      <c r="AE2021" s="2">
        <f>IFERROR(__xludf.DUMMYFUNCTION("IFERROR(ABS(Q2021-AVERAGE(FILTER(Q2021:Q6089,AA2021:AA6089=""Neighbor""))) / STDEV(FILTER(Q2021:Q6089, AA2021:AA6089 =""Neighbor"")), """")"),0.9164967346901132)</f>
        <v>0.9164967347</v>
      </c>
      <c r="AF2021" s="2">
        <f>IFERROR(__xludf.DUMMYFUNCTION("IFERROR(ABS(R2021-AVERAGE(FILTER(R2021:R6089,AA2021:AA6089=""Neighbor""))) / STDEV(FILTER(R2021:R6089, AA2021:AA6089 =""Neighbor"")), """")"),0.34471685844317834)</f>
        <v>0.3447168584</v>
      </c>
    </row>
    <row r="2022">
      <c r="A2022" s="2" t="s">
        <v>28</v>
      </c>
      <c r="B2022" s="2" t="s">
        <v>7915</v>
      </c>
      <c r="C2022" s="2" t="s">
        <v>8219</v>
      </c>
      <c r="D2022" s="2" t="s">
        <v>8280</v>
      </c>
      <c r="E2022" s="2" t="s">
        <v>8281</v>
      </c>
      <c r="F2022" s="2">
        <v>81.0</v>
      </c>
      <c r="G2022" s="2">
        <v>669.0</v>
      </c>
      <c r="H2022" s="2" t="b">
        <v>1</v>
      </c>
      <c r="I2022" s="2">
        <v>-1.0</v>
      </c>
      <c r="J2022" s="2" t="b">
        <v>0</v>
      </c>
      <c r="K2022" s="2" t="b">
        <v>0</v>
      </c>
      <c r="L2022" s="2" t="b">
        <v>0</v>
      </c>
      <c r="M2022" s="2" t="b">
        <v>0</v>
      </c>
      <c r="N2022" s="2" t="s">
        <v>33</v>
      </c>
      <c r="O2022" s="2">
        <v>52.0</v>
      </c>
      <c r="P2022" s="2">
        <v>6.0</v>
      </c>
      <c r="Q2022" s="2">
        <v>15.0</v>
      </c>
      <c r="R2022" s="2">
        <v>0.0</v>
      </c>
      <c r="S2022" s="3" t="s">
        <v>8282</v>
      </c>
      <c r="T2022" s="2" t="s">
        <v>8283</v>
      </c>
      <c r="Y2022" s="4" t="str">
        <f>IFERROR(__xludf.DUMMYFUNCTION("""COMPUTED_VALUE"""),"6.948262")</f>
        <v>6.948262</v>
      </c>
      <c r="Z2022" s="4" t="str">
        <f>IFERROR(__xludf.DUMMYFUNCTION("""COMPUTED_VALUE"""),"3.5079264")</f>
        <v>3.5079264</v>
      </c>
      <c r="AA2022" s="4" t="str">
        <f t="shared" si="1"/>
        <v>Neighbor</v>
      </c>
      <c r="AC2022" s="4">
        <f>IFERROR(__xludf.DUMMYFUNCTION("IFERROR(ABS(O2022-AVERAGE(FILTER(O2022:O6090,AA2022:AA6090=""Neighbor""))) / STDEV(FILTER(O2022:O6090, AA2022:AA6090 =""Neighbor"")), """")"),0.05168098163870672)</f>
        <v>0.05168098164</v>
      </c>
      <c r="AD2022" s="4">
        <f>IFERROR(__xludf.DUMMYFUNCTION("IFERROR(ABS(P2022-AVERAGE(FILTER(O2022:P6090,AA2022:AA6090=""Neighbor""))) / STDEV(FILTER(P2022:P6090, AA2022:AA6090 =""Neighbor"")), """")"),1.3072886293870494)</f>
        <v>1.307288629</v>
      </c>
      <c r="AE2022" s="2">
        <f>IFERROR(__xludf.DUMMYFUNCTION("IFERROR(ABS(Q2022-AVERAGE(FILTER(Q2022:Q6090,AA2022:AA6090=""Neighbor""))) / STDEV(FILTER(Q2022:Q6090, AA2022:AA6090 =""Neighbor"")), """")"),0.25332596671181534)</f>
        <v>0.2533259667</v>
      </c>
      <c r="AF2022" s="2">
        <f>IFERROR(__xludf.DUMMYFUNCTION("IFERROR(ABS(R2022-AVERAGE(FILTER(R2022:R6090,AA2022:AA6090=""Neighbor""))) / STDEV(FILTER(R2022:R6090, AA2022:AA6090 =""Neighbor"")), """")"),0.34494809502542273)</f>
        <v>0.344948095</v>
      </c>
    </row>
    <row r="2023">
      <c r="A2023" s="2" t="s">
        <v>28</v>
      </c>
      <c r="B2023" s="2" t="s">
        <v>7915</v>
      </c>
      <c r="C2023" s="2" t="s">
        <v>8219</v>
      </c>
      <c r="D2023" s="2" t="s">
        <v>8284</v>
      </c>
      <c r="E2023" s="2" t="s">
        <v>8285</v>
      </c>
      <c r="F2023" s="2">
        <v>74.0</v>
      </c>
      <c r="G2023" s="2">
        <v>423.0</v>
      </c>
      <c r="H2023" s="2" t="b">
        <v>1</v>
      </c>
      <c r="I2023" s="2">
        <v>-1.0</v>
      </c>
      <c r="J2023" s="2" t="b">
        <v>0</v>
      </c>
      <c r="K2023" s="2" t="b">
        <v>0</v>
      </c>
      <c r="L2023" s="2" t="b">
        <v>0</v>
      </c>
      <c r="M2023" s="2" t="b">
        <v>0</v>
      </c>
      <c r="N2023" s="2" t="s">
        <v>33</v>
      </c>
      <c r="O2023" s="2">
        <v>56.0</v>
      </c>
      <c r="P2023" s="2">
        <v>3.0</v>
      </c>
      <c r="Q2023" s="2">
        <v>14.0</v>
      </c>
      <c r="R2023" s="2">
        <v>0.0</v>
      </c>
      <c r="S2023" s="3" t="s">
        <v>8286</v>
      </c>
      <c r="T2023" s="2" t="s">
        <v>8287</v>
      </c>
      <c r="Y2023" s="4" t="str">
        <f>IFERROR(__xludf.DUMMYFUNCTION("""COMPUTED_VALUE"""),"6.948262")</f>
        <v>6.948262</v>
      </c>
      <c r="Z2023" s="4" t="str">
        <f>IFERROR(__xludf.DUMMYFUNCTION("""COMPUTED_VALUE"""),"3.5079264")</f>
        <v>3.5079264</v>
      </c>
      <c r="AA2023" s="4" t="str">
        <f t="shared" si="1"/>
        <v>Not Neighbor</v>
      </c>
      <c r="AC2023" s="4">
        <f>IFERROR(__xludf.DUMMYFUNCTION("IFERROR(ABS(O2023-AVERAGE(FILTER(O2023:O6091,AA2023:AA6091=""Neighbor""))) / STDEV(FILTER(O2023:O6091, AA2023:AA6091 =""Neighbor"")), """")"),0.05584904245375787)</f>
        <v>0.05584904245</v>
      </c>
      <c r="AD2023" s="4">
        <f>IFERROR(__xludf.DUMMYFUNCTION("IFERROR(ABS(P2023-AVERAGE(FILTER(O2023:P6091,AA2023:AA6091=""Neighbor""))) / STDEV(FILTER(P2023:P6091, AA2023:AA6091 =""Neighbor"")), """")"),1.4410310917883251)</f>
        <v>1.441031092</v>
      </c>
      <c r="AE2023" s="2">
        <f>IFERROR(__xludf.DUMMYFUNCTION("IFERROR(ABS(Q2023-AVERAGE(FILTER(Q2023:Q6091,AA2023:AA6091=""Neighbor""))) / STDEV(FILTER(Q2023:Q6091, AA2023:AA6091 =""Neighbor"")), """")"),0.30090274268426964)</f>
        <v>0.3009027427</v>
      </c>
      <c r="AF2023" s="2">
        <f>IFERROR(__xludf.DUMMYFUNCTION("IFERROR(ABS(R2023-AVERAGE(FILTER(R2023:R6091,AA2023:AA6091=""Neighbor""))) / STDEV(FILTER(R2023:R6091, AA2023:AA6091 =""Neighbor"")), """")"),0.34517979764498147)</f>
        <v>0.3451797976</v>
      </c>
    </row>
    <row r="2024">
      <c r="A2024" s="2" t="s">
        <v>28</v>
      </c>
      <c r="B2024" s="2" t="s">
        <v>7915</v>
      </c>
      <c r="C2024" s="2" t="s">
        <v>8219</v>
      </c>
      <c r="D2024" s="2" t="s">
        <v>8288</v>
      </c>
      <c r="E2024" s="2" t="s">
        <v>8289</v>
      </c>
      <c r="F2024" s="2">
        <v>137.0</v>
      </c>
      <c r="G2024" s="2">
        <v>964.0</v>
      </c>
      <c r="H2024" s="2" t="b">
        <v>1</v>
      </c>
      <c r="I2024" s="2">
        <v>-1.0</v>
      </c>
      <c r="J2024" s="2" t="b">
        <v>1</v>
      </c>
      <c r="K2024" s="2" t="b">
        <v>0</v>
      </c>
      <c r="L2024" s="2" t="b">
        <v>0</v>
      </c>
      <c r="M2024" s="2" t="b">
        <v>0</v>
      </c>
      <c r="N2024" s="2" t="s">
        <v>33</v>
      </c>
      <c r="O2024" s="2">
        <v>87.0</v>
      </c>
      <c r="P2024" s="2">
        <v>21.0</v>
      </c>
      <c r="Q2024" s="2">
        <v>23.0</v>
      </c>
      <c r="R2024" s="2">
        <v>0.0</v>
      </c>
      <c r="S2024" s="3" t="s">
        <v>8290</v>
      </c>
      <c r="T2024" s="2" t="s">
        <v>8291</v>
      </c>
      <c r="Y2024" s="4" t="str">
        <f>IFERROR(__xludf.DUMMYFUNCTION("""COMPUTED_VALUE"""),"7.1199822")</f>
        <v>7.1199822</v>
      </c>
      <c r="Z2024" s="4" t="str">
        <f>IFERROR(__xludf.DUMMYFUNCTION("""COMPUTED_VALUE"""),"3.3196997")</f>
        <v>3.3196997</v>
      </c>
      <c r="AA2024" s="4" t="str">
        <f t="shared" si="1"/>
        <v>Neighbor</v>
      </c>
      <c r="AC2024" s="4">
        <f>IFERROR(__xludf.DUMMYFUNCTION("IFERROR(ABS(O2024-AVERAGE(FILTER(O2024:O6092,AA2024:AA6092=""Neighbor""))) / STDEV(FILTER(O2024:O6092, AA2024:AA6092 =""Neighbor"")), """")"),0.8894477131524389)</f>
        <v>0.8894477132</v>
      </c>
      <c r="AD2024" s="4">
        <f>IFERROR(__xludf.DUMMYFUNCTION("IFERROR(ABS(P2024-AVERAGE(FILTER(O2024:P6092,AA2024:AA6092=""Neighbor""))) / STDEV(FILTER(P2024:P6092, AA2024:AA6092 =""Neighbor"")), """")"),0.6369294605264454)</f>
        <v>0.6369294605</v>
      </c>
      <c r="AE2024" s="2">
        <f>IFERROR(__xludf.DUMMYFUNCTION("IFERROR(ABS(Q2024-AVERAGE(FILTER(Q2024:Q6092,AA2024:AA6092=""Neighbor""))) / STDEV(FILTER(Q2024:Q6092, AA2024:AA6092 =""Neighbor"")), """")"),0.12583205603160363)</f>
        <v>0.125832056</v>
      </c>
      <c r="AF2024" s="2">
        <f>IFERROR(__xludf.DUMMYFUNCTION("IFERROR(ABS(R2024-AVERAGE(FILTER(R2024:R6092,AA2024:AA6092=""Neighbor""))) / STDEV(FILTER(R2024:R6092, AA2024:AA6092 =""Neighbor"")), """")"),0.34517979764498147)</f>
        <v>0.3451797976</v>
      </c>
    </row>
    <row r="2025">
      <c r="A2025" s="2" t="s">
        <v>28</v>
      </c>
      <c r="B2025" s="2" t="s">
        <v>7915</v>
      </c>
      <c r="C2025" s="2" t="s">
        <v>8219</v>
      </c>
      <c r="D2025" s="2" t="s">
        <v>8292</v>
      </c>
      <c r="E2025" s="2" t="s">
        <v>8293</v>
      </c>
      <c r="F2025" s="2">
        <v>107.0</v>
      </c>
      <c r="G2025" s="2">
        <v>767.0</v>
      </c>
      <c r="H2025" s="2" t="b">
        <v>1</v>
      </c>
      <c r="I2025" s="2">
        <v>-1.0</v>
      </c>
      <c r="J2025" s="2" t="b">
        <v>0</v>
      </c>
      <c r="K2025" s="2" t="b">
        <v>0</v>
      </c>
      <c r="L2025" s="2" t="b">
        <v>0</v>
      </c>
      <c r="M2025" s="2" t="b">
        <v>0</v>
      </c>
      <c r="N2025" s="2" t="s">
        <v>33</v>
      </c>
      <c r="O2025" s="2">
        <v>55.0</v>
      </c>
      <c r="P2025" s="2">
        <v>27.0</v>
      </c>
      <c r="Q2025" s="2">
        <v>13.0</v>
      </c>
      <c r="R2025" s="2">
        <v>0.0</v>
      </c>
      <c r="S2025" s="3" t="s">
        <v>8294</v>
      </c>
      <c r="T2025" s="2" t="s">
        <v>8295</v>
      </c>
      <c r="Y2025" s="4" t="str">
        <f>IFERROR(__xludf.DUMMYFUNCTION("""COMPUTED_VALUE"""),"7.1199822")</f>
        <v>7.1199822</v>
      </c>
      <c r="Z2025" s="4" t="str">
        <f>IFERROR(__xludf.DUMMYFUNCTION("""COMPUTED_VALUE"""),"3.3196997")</f>
        <v>3.3196997</v>
      </c>
      <c r="AA2025" s="4" t="str">
        <f t="shared" si="1"/>
        <v>Not Neighbor</v>
      </c>
      <c r="AC2025" s="4">
        <f>IFERROR(__xludf.DUMMYFUNCTION("IFERROR(ABS(O2025-AVERAGE(FILTER(O2025:O6093,AA2025:AA6093=""Neighbor""))) / STDEV(FILTER(O2025:O6093, AA2025:AA6093 =""Neighbor"")), """")"),0.030025336222429404)</f>
        <v>0.03002533622</v>
      </c>
      <c r="AD2025" s="4">
        <f>IFERROR(__xludf.DUMMYFUNCTION("IFERROR(ABS(P2025-AVERAGE(FILTER(O2025:P6093,AA2025:AA6093=""Neighbor""))) / STDEV(FILTER(P2025:P6093, AA2025:AA6093 =""Neighbor"")), """")"),0.36767522130126584)</f>
        <v>0.3676752213</v>
      </c>
      <c r="AE2025" s="2">
        <f>IFERROR(__xludf.DUMMYFUNCTION("IFERROR(ABS(Q2025-AVERAGE(FILTER(Q2025:Q6093,AA2025:AA6093=""Neighbor""))) / STDEV(FILTER(Q2025:Q6093, AA2025:AA6093 =""Neighbor"")), """")"),0.3479600674539138)</f>
        <v>0.3479600675</v>
      </c>
      <c r="AF2025" s="2">
        <f>IFERROR(__xludf.DUMMYFUNCTION("IFERROR(ABS(R2025-AVERAGE(FILTER(R2025:R6093,AA2025:AA6093=""Neighbor""))) / STDEV(FILTER(R2025:R6093, AA2025:AA6093 =""Neighbor"")), """")"),0.34541196786959977)</f>
        <v>0.3454119679</v>
      </c>
    </row>
    <row r="2026">
      <c r="A2026" s="2" t="s">
        <v>28</v>
      </c>
      <c r="B2026" s="2" t="s">
        <v>7915</v>
      </c>
      <c r="C2026" s="2" t="s">
        <v>8219</v>
      </c>
      <c r="D2026" s="2" t="s">
        <v>8296</v>
      </c>
      <c r="E2026" s="2" t="s">
        <v>8297</v>
      </c>
      <c r="F2026" s="2">
        <v>39.0</v>
      </c>
      <c r="G2026" s="2">
        <v>219.0</v>
      </c>
      <c r="H2026" s="2" t="b">
        <v>1</v>
      </c>
      <c r="I2026" s="2">
        <v>-1.0</v>
      </c>
      <c r="J2026" s="2" t="b">
        <v>0</v>
      </c>
      <c r="K2026" s="2" t="b">
        <v>0</v>
      </c>
      <c r="L2026" s="2" t="b">
        <v>0</v>
      </c>
      <c r="M2026" s="2" t="b">
        <v>0</v>
      </c>
      <c r="N2026" s="2" t="s">
        <v>33</v>
      </c>
      <c r="O2026" s="2">
        <v>16.0</v>
      </c>
      <c r="P2026" s="2">
        <v>10.0</v>
      </c>
      <c r="Q2026" s="2">
        <v>5.0</v>
      </c>
      <c r="R2026" s="2">
        <v>0.0</v>
      </c>
      <c r="S2026" s="3" t="s">
        <v>8298</v>
      </c>
      <c r="T2026" s="2" t="s">
        <v>8299</v>
      </c>
      <c r="Y2026" s="4" t="str">
        <f>IFERROR(__xludf.DUMMYFUNCTION("""COMPUTED_VALUE"""),"6.948262")</f>
        <v>6.948262</v>
      </c>
      <c r="Z2026" s="4" t="str">
        <f>IFERROR(__xludf.DUMMYFUNCTION("""COMPUTED_VALUE"""),"3.5079264")</f>
        <v>3.5079264</v>
      </c>
      <c r="AA2026" s="4" t="str">
        <f t="shared" si="1"/>
        <v>Not Neighbor</v>
      </c>
      <c r="AC2026" s="4">
        <f>IFERROR(__xludf.DUMMYFUNCTION("IFERROR(ABS(O2026-AVERAGE(FILTER(O2026:O6094,AA2026:AA6094=""Neighbor""))) / STDEV(FILTER(O2026:O6094, AA2026:AA6094 =""Neighbor"")), """")"),1.0185642345024792)</f>
        <v>1.018564235</v>
      </c>
      <c r="AD2026" s="4">
        <f>IFERROR(__xludf.DUMMYFUNCTION("IFERROR(ABS(P2026-AVERAGE(FILTER(O2026:P6094,AA2026:AA6094=""Neighbor""))) / STDEV(FILTER(P2026:P6094, AA2026:AA6094 =""Neighbor"")), """")"),1.1266651900779128)</f>
        <v>1.12666519</v>
      </c>
      <c r="AE2026" s="2">
        <f>IFERROR(__xludf.DUMMYFUNCTION("IFERROR(ABS(Q2026-AVERAGE(FILTER(Q2026:Q6094,AA2026:AA6094=""Neighbor""))) / STDEV(FILTER(Q2026:Q6094, AA2026:AA6094 =""Neighbor"")), """")"),0.7270552048569977)</f>
        <v>0.7270552049</v>
      </c>
      <c r="AF2026" s="2">
        <f>IFERROR(__xludf.DUMMYFUNCTION("IFERROR(ABS(R2026-AVERAGE(FILTER(R2026:R6094,AA2026:AA6094=""Neighbor""))) / STDEV(FILTER(R2026:R6094, AA2026:AA6094 =""Neighbor"")), """")"),0.34541196786959977)</f>
        <v>0.3454119679</v>
      </c>
    </row>
    <row r="2027">
      <c r="A2027" s="2" t="s">
        <v>28</v>
      </c>
      <c r="B2027" s="2" t="s">
        <v>7915</v>
      </c>
      <c r="C2027" s="2" t="s">
        <v>8219</v>
      </c>
      <c r="D2027" s="2" t="s">
        <v>8300</v>
      </c>
      <c r="E2027" s="2" t="s">
        <v>8301</v>
      </c>
      <c r="F2027" s="2">
        <v>151.0</v>
      </c>
      <c r="G2027" s="2">
        <v>757.0</v>
      </c>
      <c r="H2027" s="2" t="b">
        <v>1</v>
      </c>
      <c r="I2027" s="2">
        <v>-1.0</v>
      </c>
      <c r="J2027" s="2" t="b">
        <v>0</v>
      </c>
      <c r="K2027" s="2" t="b">
        <v>1</v>
      </c>
      <c r="L2027" s="2" t="b">
        <v>0</v>
      </c>
      <c r="M2027" s="2" t="b">
        <v>0</v>
      </c>
      <c r="N2027" s="2" t="s">
        <v>33</v>
      </c>
      <c r="O2027" s="2">
        <v>93.0</v>
      </c>
      <c r="P2027" s="2">
        <v>33.0</v>
      </c>
      <c r="Q2027" s="2">
        <v>7.0</v>
      </c>
      <c r="R2027" s="2">
        <v>3.0</v>
      </c>
      <c r="S2027" s="3" t="s">
        <v>8302</v>
      </c>
      <c r="T2027" s="2" t="s">
        <v>8303</v>
      </c>
      <c r="Y2027" s="4" t="str">
        <f>IFERROR(__xludf.DUMMYFUNCTION("""COMPUTED_VALUE"""),"7.1004949")</f>
        <v>7.1004949</v>
      </c>
      <c r="Z2027" s="4" t="str">
        <f>IFERROR(__xludf.DUMMYFUNCTION("""COMPUTED_VALUE"""),"3.3288298")</f>
        <v>3.3288298</v>
      </c>
      <c r="AA2027" s="4" t="str">
        <f t="shared" si="1"/>
        <v>Not Neighbor</v>
      </c>
      <c r="AC2027" s="4">
        <f>IFERROR(__xludf.DUMMYFUNCTION("IFERROR(ABS(O2027-AVERAGE(FILTER(O2027:O6095,AA2027:AA6095=""Neighbor""))) / STDEV(FILTER(O2027:O6095, AA2027:AA6095 =""Neighbor"")), """")"),1.0517279948774685)</f>
        <v>1.051727995</v>
      </c>
      <c r="AD2027" s="4">
        <f>IFERROR(__xludf.DUMMYFUNCTION("IFERROR(ABS(P2027-AVERAGE(FILTER(O2027:P6095,AA2027:AA6095=""Neighbor""))) / STDEV(FILTER(P2027:P6095, AA2027:AA6095 =""Neighbor"")), """")"),0.09979640879186102)</f>
        <v>0.09979640879</v>
      </c>
      <c r="AE2027" s="2">
        <f>IFERROR(__xludf.DUMMYFUNCTION("IFERROR(ABS(Q2027-AVERAGE(FILTER(Q2027:Q6095,AA2027:AA6095=""Neighbor""))) / STDEV(FILTER(Q2027:Q6095, AA2027:AA6095 =""Neighbor"")), """")"),0.6322814205062267)</f>
        <v>0.6322814205</v>
      </c>
      <c r="AF2027" s="2">
        <f>IFERROR(__xludf.DUMMYFUNCTION("IFERROR(ABS(R2027-AVERAGE(FILTER(R2027:R6095,AA2027:AA6095=""Neighbor""))) / STDEV(FILTER(R2027:R6095, AA2027:AA6095 =""Neighbor"")), """")"),3.2276670192628165)</f>
        <v>3.227667019</v>
      </c>
    </row>
    <row r="2028">
      <c r="A2028" s="2" t="s">
        <v>28</v>
      </c>
      <c r="B2028" s="2" t="s">
        <v>7915</v>
      </c>
      <c r="C2028" s="2" t="s">
        <v>8304</v>
      </c>
      <c r="D2028" s="2" t="s">
        <v>8305</v>
      </c>
      <c r="E2028" s="2" t="s">
        <v>8306</v>
      </c>
      <c r="F2028" s="2">
        <v>168.0</v>
      </c>
      <c r="G2028" s="2">
        <v>839.0</v>
      </c>
      <c r="H2028" s="2" t="b">
        <v>1</v>
      </c>
      <c r="I2028" s="2">
        <v>-1.0</v>
      </c>
      <c r="J2028" s="2" t="b">
        <v>0</v>
      </c>
      <c r="K2028" s="2" t="b">
        <v>1</v>
      </c>
      <c r="L2028" s="2" t="b">
        <v>0</v>
      </c>
      <c r="M2028" s="2" t="b">
        <v>0</v>
      </c>
      <c r="N2028" s="2" t="s">
        <v>33</v>
      </c>
      <c r="O2028" s="2">
        <v>98.0</v>
      </c>
      <c r="P2028" s="2">
        <v>8.0</v>
      </c>
      <c r="Q2028" s="2">
        <v>39.0</v>
      </c>
      <c r="R2028" s="2">
        <v>0.0</v>
      </c>
      <c r="S2028" s="3" t="s">
        <v>8307</v>
      </c>
      <c r="T2028" s="2" t="s">
        <v>8308</v>
      </c>
      <c r="Y2028" s="4" t="str">
        <f>IFERROR(__xludf.DUMMYFUNCTION("""COMPUTED_VALUE"""),"7.0750255")</f>
        <v>7.0750255</v>
      </c>
      <c r="Z2028" s="4" t="str">
        <f>IFERROR(__xludf.DUMMYFUNCTION("""COMPUTED_VALUE"""),"3.3821203")</f>
        <v>3.3821203</v>
      </c>
      <c r="AA2028" s="4" t="str">
        <f t="shared" si="1"/>
        <v>Not Neighbor</v>
      </c>
      <c r="AC2028" s="4">
        <f>IFERROR(__xludf.DUMMYFUNCTION("IFERROR(ABS(O2028-AVERAGE(FILTER(O2028:O6096,AA2028:AA6096=""Neighbor""))) / STDEV(FILTER(O2028:O6096, AA2028:AA6096 =""Neighbor"")), """")"),1.1861625552268158)</f>
        <v>1.186162555</v>
      </c>
      <c r="AD2028" s="4">
        <f>IFERROR(__xludf.DUMMYFUNCTION("IFERROR(ABS(P2028-AVERAGE(FILTER(O2028:P6096,AA2028:AA6096=""Neighbor""))) / STDEV(FILTER(P2028:P6096, AA2028:AA6096 =""Neighbor"")), """")"),1.2159581275810476)</f>
        <v>1.215958128</v>
      </c>
      <c r="AE2028" s="2">
        <f>IFERROR(__xludf.DUMMYFUNCTION("IFERROR(ABS(Q2028-AVERAGE(FILTER(Q2028:Q6096,AA2028:AA6096=""Neighbor""))) / STDEV(FILTER(Q2028:Q6096, AA2028:AA6096 =""Neighbor"")), """")"),0.8840991291061091)</f>
        <v>0.8840991291</v>
      </c>
      <c r="AF2028" s="2">
        <f>IFERROR(__xludf.DUMMYFUNCTION("IFERROR(ABS(R2028-AVERAGE(FILTER(R2028:R6096,AA2028:AA6096=""Neighbor""))) / STDEV(FILTER(R2028:R6096, AA2028:AA6096 =""Neighbor"")), """")"),0.34541196786959977)</f>
        <v>0.3454119679</v>
      </c>
    </row>
    <row r="2029">
      <c r="A2029" s="2" t="s">
        <v>28</v>
      </c>
      <c r="B2029" s="2" t="s">
        <v>7915</v>
      </c>
      <c r="C2029" s="2" t="s">
        <v>8304</v>
      </c>
      <c r="D2029" s="2" t="s">
        <v>8309</v>
      </c>
      <c r="E2029" s="2" t="s">
        <v>8310</v>
      </c>
      <c r="F2029" s="2">
        <v>81.0</v>
      </c>
      <c r="G2029" s="2">
        <v>361.0</v>
      </c>
      <c r="H2029" s="2" t="b">
        <v>1</v>
      </c>
      <c r="I2029" s="2">
        <v>-1.0</v>
      </c>
      <c r="J2029" s="2" t="b">
        <v>0</v>
      </c>
      <c r="K2029" s="2" t="b">
        <v>0</v>
      </c>
      <c r="L2029" s="2" t="b">
        <v>0</v>
      </c>
      <c r="M2029" s="2" t="b">
        <v>0</v>
      </c>
      <c r="N2029" s="2" t="s">
        <v>33</v>
      </c>
      <c r="O2029" s="2">
        <v>67.0</v>
      </c>
      <c r="P2029" s="2">
        <v>2.0</v>
      </c>
      <c r="Q2029" s="2">
        <v>8.0</v>
      </c>
      <c r="R2029" s="2">
        <v>0.0</v>
      </c>
      <c r="S2029" s="3" t="s">
        <v>8311</v>
      </c>
      <c r="T2029" s="2" t="s">
        <v>8312</v>
      </c>
      <c r="Y2029" s="4" t="str">
        <f>IFERROR(__xludf.DUMMYFUNCTION("""COMPUTED_VALUE"""),"6.5915737")</f>
        <v>6.5915737</v>
      </c>
      <c r="Z2029" s="4" t="str">
        <f>IFERROR(__xludf.DUMMYFUNCTION("""COMPUTED_VALUE"""),"3.2910616")</f>
        <v>3.2910616</v>
      </c>
      <c r="AA2029" s="4" t="str">
        <f t="shared" si="1"/>
        <v>Not Neighbor</v>
      </c>
      <c r="AC2029" s="4">
        <f>IFERROR(__xludf.DUMMYFUNCTION("IFERROR(ABS(O2029-AVERAGE(FILTER(O2029:O6097,AA2029:AA6097=""Neighbor""))) / STDEV(FILTER(O2029:O6097, AA2029:AA6097 =""Neighbor"")), """")"),0.35266828106086284)</f>
        <v>0.3526682811</v>
      </c>
      <c r="AD2029" s="4">
        <f>IFERROR(__xludf.DUMMYFUNCTION("IFERROR(ABS(P2029-AVERAGE(FILTER(O2029:P6097,AA2029:AA6097=""Neighbor""))) / STDEV(FILTER(P2029:P6097, AA2029:AA6097 =""Neighbor"")), """")"),1.4838369400904525)</f>
        <v>1.48383694</v>
      </c>
      <c r="AE2029" s="2">
        <f>IFERROR(__xludf.DUMMYFUNCTION("IFERROR(ABS(Q2029-AVERAGE(FILTER(Q2029:Q6097,AA2029:AA6097=""Neighbor""))) / STDEV(FILTER(Q2029:Q6097, AA2029:AA6097 =""Neighbor"")), """")"),0.5848945283308412)</f>
        <v>0.5848945283</v>
      </c>
      <c r="AF2029" s="2">
        <f>IFERROR(__xludf.DUMMYFUNCTION("IFERROR(ABS(R2029-AVERAGE(FILTER(R2029:R6097,AA2029:AA6097=""Neighbor""))) / STDEV(FILTER(R2029:R6097, AA2029:AA6097 =""Neighbor"")), """")"),0.34541196786959977)</f>
        <v>0.3454119679</v>
      </c>
    </row>
    <row r="2030">
      <c r="A2030" s="2" t="s">
        <v>28</v>
      </c>
      <c r="B2030" s="2" t="s">
        <v>7915</v>
      </c>
      <c r="C2030" s="2" t="s">
        <v>8304</v>
      </c>
      <c r="D2030" s="2" t="s">
        <v>8313</v>
      </c>
      <c r="E2030" s="2" t="s">
        <v>8314</v>
      </c>
      <c r="F2030" s="2">
        <v>72.0</v>
      </c>
      <c r="G2030" s="2">
        <v>317.0</v>
      </c>
      <c r="H2030" s="2" t="b">
        <v>1</v>
      </c>
      <c r="I2030" s="2">
        <v>-1.0</v>
      </c>
      <c r="J2030" s="2" t="b">
        <v>0</v>
      </c>
      <c r="K2030" s="2" t="b">
        <v>0</v>
      </c>
      <c r="L2030" s="2" t="b">
        <v>0</v>
      </c>
      <c r="M2030" s="2" t="b">
        <v>0</v>
      </c>
      <c r="N2030" s="2" t="s">
        <v>33</v>
      </c>
      <c r="O2030" s="2">
        <v>62.0</v>
      </c>
      <c r="P2030" s="2">
        <v>0.0</v>
      </c>
      <c r="Q2030" s="2">
        <v>6.0</v>
      </c>
      <c r="R2030" s="2">
        <v>0.0</v>
      </c>
      <c r="S2030" s="3" t="s">
        <v>8315</v>
      </c>
      <c r="T2030" s="2" t="s">
        <v>8316</v>
      </c>
      <c r="Y2030" s="4" t="str">
        <f>IFERROR(__xludf.DUMMYFUNCTION("""COMPUTED_VALUE"""),"7.055238")</f>
        <v>7.055238</v>
      </c>
      <c r="Z2030" s="4" t="str">
        <f>IFERROR(__xludf.DUMMYFUNCTION("""COMPUTED_VALUE"""),"3.451252")</f>
        <v>3.451252</v>
      </c>
      <c r="AA2030" s="4" t="str">
        <f t="shared" si="1"/>
        <v>Not Neighbor</v>
      </c>
      <c r="AC2030" s="4">
        <f>IFERROR(__xludf.DUMMYFUNCTION("IFERROR(ABS(O2030-AVERAGE(FILTER(O2030:O6098,AA2030:AA6098=""Neighbor""))) / STDEV(FILTER(O2030:O6098, AA2030:AA6098 =""Neighbor"")), """")"),0.21823372071151556)</f>
        <v>0.2182337207</v>
      </c>
      <c r="AD2030" s="4">
        <f>IFERROR(__xludf.DUMMYFUNCTION("IFERROR(ABS(P2030-AVERAGE(FILTER(O2030:P6098,AA2030:AA6098=""Neighbor""))) / STDEV(FILTER(P2030:P6098, AA2030:AA6098 =""Neighbor"")), """")"),1.5731298775935874)</f>
        <v>1.573129878</v>
      </c>
      <c r="AE2030" s="2">
        <f>IFERROR(__xludf.DUMMYFUNCTION("IFERROR(ABS(Q2030-AVERAGE(FILTER(Q2030:Q6098,AA2030:AA6098=""Neighbor""))) / STDEV(FILTER(Q2030:Q6098, AA2030:AA6098 =""Neighbor"")), """")"),0.6796683126816122)</f>
        <v>0.6796683127</v>
      </c>
      <c r="AF2030" s="2">
        <f>IFERROR(__xludf.DUMMYFUNCTION("IFERROR(ABS(R2030-AVERAGE(FILTER(R2030:R6098,AA2030:AA6098=""Neighbor""))) / STDEV(FILTER(R2030:R6098, AA2030:AA6098 =""Neighbor"")), """")"),0.34541196786959977)</f>
        <v>0.3454119679</v>
      </c>
    </row>
    <row r="2031">
      <c r="A2031" s="2" t="s">
        <v>28</v>
      </c>
      <c r="B2031" s="2" t="s">
        <v>7915</v>
      </c>
      <c r="C2031" s="2" t="s">
        <v>8304</v>
      </c>
      <c r="D2031" s="2" t="s">
        <v>8317</v>
      </c>
      <c r="E2031" s="2" t="s">
        <v>8318</v>
      </c>
      <c r="F2031" s="2">
        <v>83.0</v>
      </c>
      <c r="G2031" s="2">
        <v>583.0</v>
      </c>
      <c r="H2031" s="2" t="b">
        <v>1</v>
      </c>
      <c r="I2031" s="2">
        <v>-1.0</v>
      </c>
      <c r="J2031" s="2" t="b">
        <v>0</v>
      </c>
      <c r="K2031" s="2" t="b">
        <v>1</v>
      </c>
      <c r="L2031" s="2" t="b">
        <v>0</v>
      </c>
      <c r="M2031" s="2" t="b">
        <v>0</v>
      </c>
      <c r="N2031" s="2" t="s">
        <v>33</v>
      </c>
      <c r="O2031" s="2">
        <v>54.0</v>
      </c>
      <c r="P2031" s="2">
        <v>13.0</v>
      </c>
      <c r="Q2031" s="2">
        <v>8.0</v>
      </c>
      <c r="R2031" s="2">
        <v>0.0</v>
      </c>
      <c r="S2031" s="3" t="s">
        <v>8319</v>
      </c>
      <c r="T2031" s="2" t="s">
        <v>8320</v>
      </c>
      <c r="Y2031" s="4" t="str">
        <f>IFERROR(__xludf.DUMMYFUNCTION("""COMPUTED_VALUE"""),"6.948262")</f>
        <v>6.948262</v>
      </c>
      <c r="Z2031" s="4" t="str">
        <f>IFERROR(__xludf.DUMMYFUNCTION("""COMPUTED_VALUE"""),"3.5079264")</f>
        <v>3.5079264</v>
      </c>
      <c r="AA2031" s="4" t="str">
        <f t="shared" si="1"/>
        <v>Neighbor</v>
      </c>
      <c r="AC2031" s="4">
        <f>IFERROR(__xludf.DUMMYFUNCTION("IFERROR(ABS(O2031-AVERAGE(FILTER(O2031:O6099,AA2031:AA6099=""Neighbor""))) / STDEV(FILTER(O2031:O6099, AA2031:AA6099 =""Neighbor"")), """")"),0.003138424152559953)</f>
        <v>0.003138424153</v>
      </c>
      <c r="AD2031" s="4">
        <f>IFERROR(__xludf.DUMMYFUNCTION("IFERROR(ABS(P2031-AVERAGE(FILTER(O2031:P6099,AA2031:AA6099=""Neighbor""))) / STDEV(FILTER(P2031:P6099, AA2031:AA6099 =""Neighbor"")), """")"),0.9927257838232103)</f>
        <v>0.9927257838</v>
      </c>
      <c r="AE2031" s="2">
        <f>IFERROR(__xludf.DUMMYFUNCTION("IFERROR(ABS(Q2031-AVERAGE(FILTER(Q2031:Q6099,AA2031:AA6099=""Neighbor""))) / STDEV(FILTER(Q2031:Q6099, AA2031:AA6099 =""Neighbor"")), """")"),0.5848945283308412)</f>
        <v>0.5848945283</v>
      </c>
      <c r="AF2031" s="2">
        <f>IFERROR(__xludf.DUMMYFUNCTION("IFERROR(ABS(R2031-AVERAGE(FILTER(R2031:R6099,AA2031:AA6099=""Neighbor""))) / STDEV(FILTER(R2031:R6099, AA2031:AA6099 =""Neighbor"")), """")"),0.34541196786959977)</f>
        <v>0.3454119679</v>
      </c>
    </row>
    <row r="2032">
      <c r="A2032" s="2" t="s">
        <v>28</v>
      </c>
      <c r="B2032" s="2" t="s">
        <v>7915</v>
      </c>
      <c r="C2032" s="2" t="s">
        <v>8304</v>
      </c>
      <c r="D2032" s="2" t="s">
        <v>8321</v>
      </c>
      <c r="E2032" s="2" t="s">
        <v>8322</v>
      </c>
      <c r="F2032" s="2">
        <v>168.0</v>
      </c>
      <c r="G2032" s="2">
        <v>743.0</v>
      </c>
      <c r="H2032" s="2" t="b">
        <v>1</v>
      </c>
      <c r="I2032" s="2">
        <v>-1.0</v>
      </c>
      <c r="J2032" s="2" t="b">
        <v>0</v>
      </c>
      <c r="K2032" s="2" t="b">
        <v>1</v>
      </c>
      <c r="L2032" s="2" t="b">
        <v>0</v>
      </c>
      <c r="M2032" s="2" t="b">
        <v>0</v>
      </c>
      <c r="N2032" s="2" t="s">
        <v>33</v>
      </c>
      <c r="O2032" s="2">
        <v>0.0</v>
      </c>
      <c r="P2032" s="2">
        <v>0.0</v>
      </c>
      <c r="Q2032" s="2">
        <v>0.0</v>
      </c>
      <c r="R2032" s="2">
        <v>0.0</v>
      </c>
      <c r="S2032" s="3" t="s">
        <v>8323</v>
      </c>
      <c r="T2032" s="2" t="s">
        <v>8324</v>
      </c>
      <c r="Y2032" s="4" t="str">
        <f>IFERROR(__xludf.DUMMYFUNCTION("""COMPUTED_VALUE"""),"6.948262")</f>
        <v>6.948262</v>
      </c>
      <c r="Z2032" s="4" t="str">
        <f>IFERROR(__xludf.DUMMYFUNCTION("""COMPUTED_VALUE"""),"3.5079264")</f>
        <v>3.5079264</v>
      </c>
      <c r="AA2032" s="4" t="str">
        <f t="shared" si="1"/>
        <v>Neighbor</v>
      </c>
      <c r="AC2032" s="4">
        <f>IFERROR(__xludf.DUMMYFUNCTION("IFERROR(ABS(O2032-AVERAGE(FILTER(O2032:O6100,AA2032:AA6100=""Neighbor""))) / STDEV(FILTER(O2032:O6100, AA2032:AA6100 =""Neighbor"")), """")"),1.4478780503612296)</f>
        <v>1.44787805</v>
      </c>
      <c r="AD2032" s="4">
        <f>IFERROR(__xludf.DUMMYFUNCTION("IFERROR(ABS(P2032-AVERAGE(FILTER(O2032:P6100,AA2032:AA6100=""Neighbor""))) / STDEV(FILTER(P2032:P6100, AA2032:AA6100 =""Neighbor"")), """")"),1.57229953312489)</f>
        <v>1.572299533</v>
      </c>
      <c r="AE2032" s="2">
        <f>IFERROR(__xludf.DUMMYFUNCTION("IFERROR(ABS(Q2032-AVERAGE(FILTER(Q2032:Q6100,AA2032:AA6100=""Neighbor""))) / STDEV(FILTER(Q2032:Q6100, AA2032:AA6100 =""Neighbor"")), """")"),0.9643120321159008)</f>
        <v>0.9643120321</v>
      </c>
      <c r="AF2032" s="2">
        <f>IFERROR(__xludf.DUMMYFUNCTION("IFERROR(ABS(R2032-AVERAGE(FILTER(R2032:R6100,AA2032:AA6100=""Neighbor""))) / STDEV(FILTER(R2032:R6100, AA2032:AA6100 =""Neighbor"")), """")"),0.34564460727441576)</f>
        <v>0.3456446073</v>
      </c>
    </row>
    <row r="2033">
      <c r="A2033" s="2" t="s">
        <v>28</v>
      </c>
      <c r="B2033" s="2" t="s">
        <v>7915</v>
      </c>
      <c r="C2033" s="2" t="s">
        <v>8304</v>
      </c>
      <c r="D2033" s="2" t="s">
        <v>8325</v>
      </c>
      <c r="E2033" s="2" t="s">
        <v>8326</v>
      </c>
      <c r="F2033" s="2">
        <v>88.0</v>
      </c>
      <c r="G2033" s="2">
        <v>418.0</v>
      </c>
      <c r="H2033" s="2" t="b">
        <v>1</v>
      </c>
      <c r="I2033" s="2">
        <v>-1.0</v>
      </c>
      <c r="J2033" s="2" t="b">
        <v>0</v>
      </c>
      <c r="K2033" s="2" t="b">
        <v>0</v>
      </c>
      <c r="L2033" s="2" t="b">
        <v>0</v>
      </c>
      <c r="M2033" s="2" t="b">
        <v>0</v>
      </c>
      <c r="N2033" s="2" t="s">
        <v>33</v>
      </c>
      <c r="O2033" s="2">
        <v>76.0</v>
      </c>
      <c r="P2033" s="2">
        <v>0.0</v>
      </c>
      <c r="Q2033" s="2">
        <v>11.0</v>
      </c>
      <c r="R2033" s="2">
        <v>0.0</v>
      </c>
      <c r="S2033" s="3" t="s">
        <v>8327</v>
      </c>
      <c r="T2033" s="2" t="s">
        <v>8328</v>
      </c>
      <c r="Y2033" s="4" t="str">
        <f>IFERROR(__xludf.DUMMYFUNCTION("""COMPUTED_VALUE"""),"6.948262")</f>
        <v>6.948262</v>
      </c>
      <c r="Z2033" s="4" t="str">
        <f>IFERROR(__xludf.DUMMYFUNCTION("""COMPUTED_VALUE"""),"3.5079264")</f>
        <v>3.5079264</v>
      </c>
      <c r="AA2033" s="4" t="str">
        <f t="shared" si="1"/>
        <v>Neighbor</v>
      </c>
      <c r="AC2033" s="4">
        <f>IFERROR(__xludf.DUMMYFUNCTION("IFERROR(ABS(O2033-AVERAGE(FILTER(O2033:O6101,AA2033:AA6101=""Neighbor""))) / STDEV(FILTER(O2033:O6101, AA2033:AA6101 =""Neighbor"")), """")"),0.5929429979539993)</f>
        <v>0.592942998</v>
      </c>
      <c r="AD2033" s="4">
        <f>IFERROR(__xludf.DUMMYFUNCTION("IFERROR(ABS(P2033-AVERAGE(FILTER(O2033:P6101,AA2033:AA6101=""Neighbor""))) / STDEV(FILTER(P2033:P6101, AA2033:AA6101 =""Neighbor"")), """")"),1.5737673567911334)</f>
        <v>1.573767357</v>
      </c>
      <c r="AE2033" s="2">
        <f>IFERROR(__xludf.DUMMYFUNCTION("IFERROR(ABS(Q2033-AVERAGE(FILTER(Q2033:Q6101,AA2033:AA6101=""Neighbor""))) / STDEV(FILTER(Q2033:Q6101, AA2033:AA6101 =""Neighbor"")), """")"),0.44440751310546084)</f>
        <v>0.4444075131</v>
      </c>
      <c r="AF2033" s="2">
        <f>IFERROR(__xludf.DUMMYFUNCTION("IFERROR(ABS(R2033-AVERAGE(FILTER(R2033:R6101,AA2033:AA6101=""Neighbor""))) / STDEV(FILTER(R2033:R6101, AA2033:AA6101 =""Neighbor"")), """")"),0.34587771744200674)</f>
        <v>0.3458777174</v>
      </c>
    </row>
    <row r="2034">
      <c r="A2034" s="2" t="s">
        <v>28</v>
      </c>
      <c r="B2034" s="2" t="s">
        <v>7915</v>
      </c>
      <c r="C2034" s="2" t="s">
        <v>8304</v>
      </c>
      <c r="D2034" s="2" t="s">
        <v>8329</v>
      </c>
      <c r="E2034" s="2" t="s">
        <v>8330</v>
      </c>
      <c r="F2034" s="2">
        <v>84.0</v>
      </c>
      <c r="G2034" s="2">
        <v>353.0</v>
      </c>
      <c r="H2034" s="2" t="b">
        <v>1</v>
      </c>
      <c r="I2034" s="2">
        <v>-1.0</v>
      </c>
      <c r="J2034" s="2" t="b">
        <v>0</v>
      </c>
      <c r="K2034" s="2" t="b">
        <v>0</v>
      </c>
      <c r="L2034" s="2" t="b">
        <v>0</v>
      </c>
      <c r="M2034" s="2" t="b">
        <v>0</v>
      </c>
      <c r="N2034" s="2" t="s">
        <v>33</v>
      </c>
      <c r="O2034" s="2">
        <v>43.0</v>
      </c>
      <c r="P2034" s="2">
        <v>2.0</v>
      </c>
      <c r="Q2034" s="2">
        <v>39.0</v>
      </c>
      <c r="R2034" s="2">
        <v>0.0</v>
      </c>
      <c r="S2034" s="3" t="s">
        <v>8331</v>
      </c>
      <c r="T2034" s="2" t="s">
        <v>8332</v>
      </c>
      <c r="Y2034" s="4" t="str">
        <f>IFERROR(__xludf.DUMMYFUNCTION("""COMPUTED_VALUE"""),"6.948262")</f>
        <v>6.948262</v>
      </c>
      <c r="Z2034" s="4" t="str">
        <f>IFERROR(__xludf.DUMMYFUNCTION("""COMPUTED_VALUE"""),"3.5079264")</f>
        <v>3.5079264</v>
      </c>
      <c r="AA2034" s="4" t="str">
        <f t="shared" si="1"/>
        <v>Not Neighbor</v>
      </c>
      <c r="AC2034" s="4">
        <f>IFERROR(__xludf.DUMMYFUNCTION("IFERROR(ABS(O2034-AVERAGE(FILTER(O2034:O6102,AA2034:AA6102=""Neighbor""))) / STDEV(FILTER(O2034:O6102, AA2034:AA6102 =""Neighbor"")), """")"),0.2935483490552294)</f>
        <v>0.2935483491</v>
      </c>
      <c r="AD2034" s="4">
        <f>IFERROR(__xludf.DUMMYFUNCTION("IFERROR(ABS(P2034-AVERAGE(FILTER(O2034:P6102,AA2034:AA6102=""Neighbor""))) / STDEV(FILTER(P2034:P6102, AA2034:AA6102 =""Neighbor"")), """")"),1.4840006991402317)</f>
        <v>1.484000699</v>
      </c>
      <c r="AE2034" s="2">
        <f>IFERROR(__xludf.DUMMYFUNCTION("IFERROR(ABS(Q2034-AVERAGE(FILTER(Q2034:Q6102,AA2034:AA6102=""Neighbor""))) / STDEV(FILTER(Q2034:Q6102, AA2034:AA6102 =""Neighbor"")), """")"),0.8808804894682581)</f>
        <v>0.8808804895</v>
      </c>
      <c r="AF2034" s="2">
        <f>IFERROR(__xludf.DUMMYFUNCTION("IFERROR(ABS(R2034-AVERAGE(FILTER(R2034:R6102,AA2034:AA6102=""Neighbor""))) / STDEV(FILTER(R2034:R6102, AA2034:AA6102 =""Neighbor"")), """")"),0.34611129996243484)</f>
        <v>0.3461113</v>
      </c>
    </row>
    <row r="2035">
      <c r="A2035" s="2" t="s">
        <v>28</v>
      </c>
      <c r="B2035" s="2" t="s">
        <v>7915</v>
      </c>
      <c r="C2035" s="2" t="s">
        <v>8304</v>
      </c>
      <c r="D2035" s="2" t="s">
        <v>8333</v>
      </c>
      <c r="E2035" s="2" t="s">
        <v>8334</v>
      </c>
      <c r="F2035" s="2">
        <v>126.0</v>
      </c>
      <c r="G2035" s="2">
        <v>475.0</v>
      </c>
      <c r="H2035" s="2" t="b">
        <v>1</v>
      </c>
      <c r="I2035" s="2">
        <v>-1.0</v>
      </c>
      <c r="J2035" s="2" t="b">
        <v>0</v>
      </c>
      <c r="K2035" s="2" t="b">
        <v>0</v>
      </c>
      <c r="L2035" s="2" t="b">
        <v>0</v>
      </c>
      <c r="M2035" s="2" t="b">
        <v>0</v>
      </c>
      <c r="N2035" s="2" t="s">
        <v>33</v>
      </c>
      <c r="O2035" s="2">
        <v>94.0</v>
      </c>
      <c r="P2035" s="2">
        <v>10.0</v>
      </c>
      <c r="Q2035" s="2">
        <v>9.0</v>
      </c>
      <c r="R2035" s="2">
        <v>0.0</v>
      </c>
      <c r="S2035" s="3" t="s">
        <v>8335</v>
      </c>
      <c r="T2035" s="2" t="s">
        <v>8336</v>
      </c>
      <c r="Y2035" s="4" t="str">
        <f>IFERROR(__xludf.DUMMYFUNCTION("""COMPUTED_VALUE"""),"7.0530905")</f>
        <v>7.0530905</v>
      </c>
      <c r="Z2035" s="4" t="str">
        <f>IFERROR(__xludf.DUMMYFUNCTION("""COMPUTED_VALUE"""),"3.4251849")</f>
        <v>3.4251849</v>
      </c>
      <c r="AA2035" s="4" t="str">
        <f t="shared" si="1"/>
        <v>Not Neighbor</v>
      </c>
      <c r="AC2035" s="4">
        <f>IFERROR(__xludf.DUMMYFUNCTION("IFERROR(ABS(O2035-AVERAGE(FILTER(O2035:O6103,AA2035:AA6103=""Neighbor""))) / STDEV(FILTER(O2035:O6103, AA2035:AA6103 =""Neighbor"")), """")"),1.077231224527014)</f>
        <v>1.077231225</v>
      </c>
      <c r="AD2035" s="4">
        <f>IFERROR(__xludf.DUMMYFUNCTION("IFERROR(ABS(P2035-AVERAGE(FILTER(O2035:P6103,AA2035:AA6103=""Neighbor""))) / STDEV(FILTER(P2035:P6103, AA2035:AA6103 =""Neighbor"")), """")"),1.1272329921353723)</f>
        <v>1.127232992</v>
      </c>
      <c r="AE2035" s="2">
        <f>IFERROR(__xludf.DUMMYFUNCTION("IFERROR(ABS(Q2035-AVERAGE(FILTER(Q2035:Q6103,AA2035:AA6103=""Neighbor""))) / STDEV(FILTER(Q2035:Q6103, AA2035:AA6103 =""Neighbor"")), """")"),0.5394149381827567)</f>
        <v>0.5394149382</v>
      </c>
      <c r="AF2035" s="2">
        <f>IFERROR(__xludf.DUMMYFUNCTION("IFERROR(ABS(R2035-AVERAGE(FILTER(R2035:R6103,AA2035:AA6103=""Neighbor""))) / STDEV(FILTER(R2035:R6103, AA2035:AA6103 =""Neighbor"")), """")"),0.34611129996243484)</f>
        <v>0.3461113</v>
      </c>
    </row>
    <row r="2036">
      <c r="A2036" s="2" t="s">
        <v>28</v>
      </c>
      <c r="B2036" s="2" t="s">
        <v>7915</v>
      </c>
      <c r="C2036" s="2" t="s">
        <v>8304</v>
      </c>
      <c r="D2036" s="2" t="s">
        <v>8337</v>
      </c>
      <c r="E2036" s="2" t="s">
        <v>8338</v>
      </c>
      <c r="F2036" s="2">
        <v>58.0</v>
      </c>
      <c r="G2036" s="2">
        <v>191.0</v>
      </c>
      <c r="H2036" s="2" t="b">
        <v>1</v>
      </c>
      <c r="I2036" s="2">
        <v>-1.0</v>
      </c>
      <c r="J2036" s="2" t="b">
        <v>0</v>
      </c>
      <c r="K2036" s="2" t="b">
        <v>0</v>
      </c>
      <c r="L2036" s="2" t="b">
        <v>0</v>
      </c>
      <c r="M2036" s="2" t="b">
        <v>0</v>
      </c>
      <c r="N2036" s="2" t="s">
        <v>33</v>
      </c>
      <c r="O2036" s="2">
        <v>48.0</v>
      </c>
      <c r="P2036" s="2">
        <v>1.0</v>
      </c>
      <c r="Q2036" s="2">
        <v>7.0</v>
      </c>
      <c r="R2036" s="2">
        <v>0.0</v>
      </c>
      <c r="S2036" s="3" t="s">
        <v>8339</v>
      </c>
      <c r="T2036" s="2" t="s">
        <v>8340</v>
      </c>
      <c r="Y2036" s="4" t="str">
        <f>IFERROR(__xludf.DUMMYFUNCTION("""COMPUTED_VALUE"""),"7.055238")</f>
        <v>7.055238</v>
      </c>
      <c r="Z2036" s="4" t="str">
        <f>IFERROR(__xludf.DUMMYFUNCTION("""COMPUTED_VALUE"""),"3.451252")</f>
        <v>3.451252</v>
      </c>
      <c r="AA2036" s="4" t="str">
        <f t="shared" si="1"/>
        <v>Not Neighbor</v>
      </c>
      <c r="AC2036" s="4">
        <f>IFERROR(__xludf.DUMMYFUNCTION("IFERROR(ABS(O2036-AVERAGE(FILTER(O2036:O6104,AA2036:AA6104=""Neighbor""))) / STDEV(FILTER(O2036:O6104, AA2036:AA6104 =""Neighbor"")), """")"),0.1591581947824605)</f>
        <v>0.1591581948</v>
      </c>
      <c r="AD2036" s="4">
        <f>IFERROR(__xludf.DUMMYFUNCTION("IFERROR(ABS(P2036-AVERAGE(FILTER(O2036:P6104,AA2036:AA6104=""Neighbor""))) / STDEV(FILTER(P2036:P6104, AA2036:AA6104 =""Neighbor"")), """")"),1.5285966625158391)</f>
        <v>1.528596663</v>
      </c>
      <c r="AE2036" s="2">
        <f>IFERROR(__xludf.DUMMYFUNCTION("IFERROR(ABS(Q2036-AVERAGE(FILTER(Q2036:Q6104,AA2036:AA6104=""Neighbor""))) / STDEV(FILTER(Q2036:Q6104, AA2036:AA6104 =""Neighbor"")), """")"),0.6341013000261576)</f>
        <v>0.6341013</v>
      </c>
      <c r="AF2036" s="2">
        <f>IFERROR(__xludf.DUMMYFUNCTION("IFERROR(ABS(R2036-AVERAGE(FILTER(R2036:R6104,AA2036:AA6104=""Neighbor""))) / STDEV(FILTER(R2036:R6104, AA2036:AA6104 =""Neighbor"")), """")"),0.34611129996243484)</f>
        <v>0.3461113</v>
      </c>
    </row>
    <row r="2037">
      <c r="A2037" s="2" t="s">
        <v>28</v>
      </c>
      <c r="B2037" s="2" t="s">
        <v>7915</v>
      </c>
      <c r="C2037" s="2" t="s">
        <v>8304</v>
      </c>
      <c r="D2037" s="2" t="s">
        <v>8341</v>
      </c>
      <c r="E2037" s="2" t="s">
        <v>8342</v>
      </c>
      <c r="F2037" s="2">
        <v>84.0</v>
      </c>
      <c r="G2037" s="2">
        <v>359.0</v>
      </c>
      <c r="H2037" s="2" t="b">
        <v>1</v>
      </c>
      <c r="I2037" s="2">
        <v>-1.0</v>
      </c>
      <c r="J2037" s="2" t="b">
        <v>0</v>
      </c>
      <c r="K2037" s="2" t="b">
        <v>0</v>
      </c>
      <c r="L2037" s="2" t="b">
        <v>0</v>
      </c>
      <c r="M2037" s="2" t="b">
        <v>0</v>
      </c>
      <c r="N2037" s="2" t="s">
        <v>33</v>
      </c>
      <c r="O2037" s="2">
        <v>63.0</v>
      </c>
      <c r="P2037" s="2">
        <v>8.0</v>
      </c>
      <c r="Q2037" s="2">
        <v>5.0</v>
      </c>
      <c r="R2037" s="2">
        <v>0.0</v>
      </c>
      <c r="S2037" s="3" t="s">
        <v>8343</v>
      </c>
      <c r="T2037" s="2" t="s">
        <v>8344</v>
      </c>
      <c r="Y2037" s="4" t="str">
        <f>IFERROR(__xludf.DUMMYFUNCTION("""COMPUTED_VALUE"""),"6.948262")</f>
        <v>6.948262</v>
      </c>
      <c r="Z2037" s="4" t="str">
        <f>IFERROR(__xludf.DUMMYFUNCTION("""COMPUTED_VALUE"""),"3.5079264")</f>
        <v>3.5079264</v>
      </c>
      <c r="AA2037" s="4" t="str">
        <f t="shared" si="1"/>
        <v>Neighbor</v>
      </c>
      <c r="AC2037" s="4">
        <f>IFERROR(__xludf.DUMMYFUNCTION("IFERROR(ABS(O2037-AVERAGE(FILTER(O2037:O6105,AA2037:AA6105=""Neighbor""))) / STDEV(FILTER(O2037:O6105, AA2037:AA6105 =""Neighbor"")), """")"),0.24401226803584639)</f>
        <v>0.244012268</v>
      </c>
      <c r="AD2037" s="4">
        <f>IFERROR(__xludf.DUMMYFUNCTION("IFERROR(ABS(P2037-AVERAGE(FILTER(O2037:P6105,AA2037:AA6105=""Neighbor""))) / STDEV(FILTER(P2037:P6105, AA2037:AA6105 =""Neighbor"")), """")"),1.2164249188865872)</f>
        <v>1.216424919</v>
      </c>
      <c r="AE2037" s="2">
        <f>IFERROR(__xludf.DUMMYFUNCTION("IFERROR(ABS(Q2037-AVERAGE(FILTER(Q2037:Q6105,AA2037:AA6105=""Neighbor""))) / STDEV(FILTER(Q2037:Q6105, AA2037:AA6105 =""Neighbor"")), """")"),0.7287876618695586)</f>
        <v>0.7287876619</v>
      </c>
      <c r="AF2037" s="2">
        <f>IFERROR(__xludf.DUMMYFUNCTION("IFERROR(ABS(R2037-AVERAGE(FILTER(R2037:R6105,AA2037:AA6105=""Neighbor""))) / STDEV(FILTER(R2037:R6105, AA2037:AA6105 =""Neighbor"")), """")"),0.34611129996243484)</f>
        <v>0.3461113</v>
      </c>
    </row>
    <row r="2038">
      <c r="A2038" s="2" t="s">
        <v>28</v>
      </c>
      <c r="B2038" s="2" t="s">
        <v>7915</v>
      </c>
      <c r="C2038" s="2" t="s">
        <v>8304</v>
      </c>
      <c r="D2038" s="2" t="s">
        <v>8345</v>
      </c>
      <c r="E2038" s="2" t="s">
        <v>8346</v>
      </c>
      <c r="F2038" s="2">
        <v>39.0</v>
      </c>
      <c r="G2038" s="2">
        <v>268.0</v>
      </c>
      <c r="H2038" s="2" t="b">
        <v>1</v>
      </c>
      <c r="I2038" s="2">
        <v>-1.0</v>
      </c>
      <c r="J2038" s="2" t="b">
        <v>0</v>
      </c>
      <c r="K2038" s="2" t="b">
        <v>0</v>
      </c>
      <c r="L2038" s="2" t="b">
        <v>0</v>
      </c>
      <c r="M2038" s="2" t="b">
        <v>0</v>
      </c>
      <c r="N2038" s="2" t="s">
        <v>33</v>
      </c>
      <c r="O2038" s="2">
        <v>0.0</v>
      </c>
      <c r="P2038" s="2">
        <v>0.0</v>
      </c>
      <c r="Q2038" s="2">
        <v>0.0</v>
      </c>
      <c r="R2038" s="2">
        <v>0.0</v>
      </c>
      <c r="S2038" s="3" t="s">
        <v>8347</v>
      </c>
      <c r="T2038" s="2" t="s">
        <v>8348</v>
      </c>
      <c r="Y2038" s="4" t="str">
        <f>IFERROR(__xludf.DUMMYFUNCTION("""COMPUTED_VALUE"""),"6.948262")</f>
        <v>6.948262</v>
      </c>
      <c r="Z2038" s="4" t="str">
        <f>IFERROR(__xludf.DUMMYFUNCTION("""COMPUTED_VALUE"""),"3.5079264")</f>
        <v>3.5079264</v>
      </c>
      <c r="AA2038" s="4" t="str">
        <f t="shared" si="1"/>
        <v>Neighbor</v>
      </c>
      <c r="AC2038" s="4">
        <f>IFERROR(__xludf.DUMMYFUNCTION("IFERROR(ABS(O2038-AVERAGE(FILTER(O2038:O6106,AA2038:AA6106=""Neighbor""))) / STDEV(FILTER(O2038:O6106, AA2038:AA6106 =""Neighbor"")), """")"),1.4481844872593772)</f>
        <v>1.448184487</v>
      </c>
      <c r="AD2038" s="4">
        <f>IFERROR(__xludf.DUMMYFUNCTION("IFERROR(ABS(P2038-AVERAGE(FILTER(O2038:P6106,AA2038:AA6106=""Neighbor""))) / STDEV(FILTER(P2038:P6106, AA2038:AA6106 =""Neighbor"")), """")"),1.5723701925173925)</f>
        <v>1.572370193</v>
      </c>
      <c r="AE2038" s="2">
        <f>IFERROR(__xludf.DUMMYFUNCTION("IFERROR(ABS(Q2038-AVERAGE(FILTER(Q2038:Q6106,AA2038:AA6106=""Neighbor""))) / STDEV(FILTER(Q2038:Q6106, AA2038:AA6106 =""Neighbor"")), """")"),0.9661110230952442)</f>
        <v>0.9661110231</v>
      </c>
      <c r="AF2038" s="2">
        <f>IFERROR(__xludf.DUMMYFUNCTION("IFERROR(ABS(R2038-AVERAGE(FILTER(R2038:R6106,AA2038:AA6106=""Neighbor""))) / STDEV(FILTER(R2038:R6106, AA2038:AA6106 =""Neighbor"")), """")"),0.346345356433292)</f>
        <v>0.3463453564</v>
      </c>
    </row>
    <row r="2039">
      <c r="A2039" s="2" t="s">
        <v>28</v>
      </c>
      <c r="B2039" s="2" t="s">
        <v>7915</v>
      </c>
      <c r="C2039" s="2" t="s">
        <v>8349</v>
      </c>
      <c r="D2039" s="2" t="s">
        <v>8350</v>
      </c>
      <c r="E2039" s="2" t="s">
        <v>8351</v>
      </c>
      <c r="F2039" s="2">
        <v>54.0</v>
      </c>
      <c r="G2039" s="2">
        <v>531.0</v>
      </c>
      <c r="H2039" s="2" t="b">
        <v>1</v>
      </c>
      <c r="I2039" s="2">
        <v>-1.0</v>
      </c>
      <c r="J2039" s="2" t="b">
        <v>0</v>
      </c>
      <c r="K2039" s="2" t="b">
        <v>0</v>
      </c>
      <c r="L2039" s="2" t="b">
        <v>0</v>
      </c>
      <c r="M2039" s="2" t="b">
        <v>0</v>
      </c>
      <c r="N2039" s="2" t="s">
        <v>33</v>
      </c>
      <c r="O2039" s="2">
        <v>31.0</v>
      </c>
      <c r="P2039" s="2">
        <v>1.0</v>
      </c>
      <c r="Q2039" s="2">
        <v>10.0</v>
      </c>
      <c r="R2039" s="2">
        <v>0.0</v>
      </c>
      <c r="S2039" s="3" t="s">
        <v>8352</v>
      </c>
      <c r="T2039" s="2" t="s">
        <v>8353</v>
      </c>
      <c r="Y2039" s="4" t="str">
        <f>IFERROR(__xludf.DUMMYFUNCTION("""COMPUTED_VALUE"""),"6.948262")</f>
        <v>6.948262</v>
      </c>
      <c r="Z2039" s="4" t="str">
        <f>IFERROR(__xludf.DUMMYFUNCTION("""COMPUTED_VALUE"""),"3.5079264")</f>
        <v>3.5079264</v>
      </c>
      <c r="AA2039" s="4" t="str">
        <f t="shared" si="1"/>
        <v>Not Neighbor</v>
      </c>
      <c r="AC2039" s="4">
        <f>IFERROR(__xludf.DUMMYFUNCTION("IFERROR(ABS(O2039-AVERAGE(FILTER(O2039:O6107,AA2039:AA6107=""Neighbor""))) / STDEV(FILTER(O2039:O6107, AA2039:AA6107 =""Neighbor"")), """")"),0.6176044687318575)</f>
        <v>0.6176044687</v>
      </c>
      <c r="AD2039" s="4">
        <f>IFERROR(__xludf.DUMMYFUNCTION("IFERROR(ABS(P2039-AVERAGE(FILTER(O2039:P6107,AA2039:AA6107=""Neighbor""))) / STDEV(FILTER(P2039:P6107, AA2039:AA6107 =""Neighbor"")), """")"),1.5292846241323224)</f>
        <v>1.529284624</v>
      </c>
      <c r="AE2039" s="2">
        <f>IFERROR(__xludf.DUMMYFUNCTION("IFERROR(ABS(Q2039-AVERAGE(FILTER(Q2039:Q6107,AA2039:AA6107=""Neighbor""))) / STDEV(FILTER(Q2039:Q6107, AA2039:AA6107 =""Neighbor"")), """")"),0.4939633592447221)</f>
        <v>0.4939633592</v>
      </c>
      <c r="AF2039" s="2">
        <f>IFERROR(__xludf.DUMMYFUNCTION("IFERROR(ABS(R2039-AVERAGE(FILTER(R2039:R6107,AA2039:AA6107=""Neighbor""))) / STDEV(FILTER(R2039:R6107, AA2039:AA6107 =""Neighbor"")), """")"),0.34657988845974574)</f>
        <v>0.3465798885</v>
      </c>
    </row>
    <row r="2040">
      <c r="A2040" s="2" t="s">
        <v>28</v>
      </c>
      <c r="B2040" s="2" t="s">
        <v>7915</v>
      </c>
      <c r="C2040" s="2" t="s">
        <v>8349</v>
      </c>
      <c r="D2040" s="2" t="s">
        <v>8354</v>
      </c>
      <c r="E2040" s="2" t="s">
        <v>8355</v>
      </c>
      <c r="F2040" s="2">
        <v>63.0</v>
      </c>
      <c r="G2040" s="2">
        <v>210.0</v>
      </c>
      <c r="H2040" s="2" t="b">
        <v>1</v>
      </c>
      <c r="I2040" s="2">
        <v>-1.0</v>
      </c>
      <c r="J2040" s="2" t="b">
        <v>0</v>
      </c>
      <c r="K2040" s="2" t="b">
        <v>0</v>
      </c>
      <c r="L2040" s="2" t="b">
        <v>0</v>
      </c>
      <c r="M2040" s="2" t="b">
        <v>0</v>
      </c>
      <c r="N2040" s="2" t="s">
        <v>33</v>
      </c>
      <c r="O2040" s="2">
        <v>42.0</v>
      </c>
      <c r="P2040" s="2">
        <v>0.0</v>
      </c>
      <c r="Q2040" s="2">
        <v>7.0</v>
      </c>
      <c r="R2040" s="2">
        <v>0.0</v>
      </c>
      <c r="S2040" s="3" t="s">
        <v>8356</v>
      </c>
      <c r="T2040" s="2" t="s">
        <v>8357</v>
      </c>
      <c r="Y2040" s="4" t="str">
        <f>IFERROR(__xludf.DUMMYFUNCTION("""COMPUTED_VALUE"""),"7.1037431")</f>
        <v>7.1037431</v>
      </c>
      <c r="Z2040" s="4" t="str">
        <f>IFERROR(__xludf.DUMMYFUNCTION("""COMPUTED_VALUE"""),"3.483608")</f>
        <v>3.483608</v>
      </c>
      <c r="AA2040" s="4" t="str">
        <f t="shared" si="1"/>
        <v>Not Neighbor</v>
      </c>
      <c r="AC2040" s="4">
        <f>IFERROR(__xludf.DUMMYFUNCTION("IFERROR(ABS(O2040-AVERAGE(FILTER(O2040:O6108,AA2040:AA6108=""Neighbor""))) / STDEV(FILTER(O2040:O6108, AA2040:AA6108 =""Neighbor"")), """")"),0.32191713587815024)</f>
        <v>0.3219171359</v>
      </c>
      <c r="AD2040" s="4">
        <f>IFERROR(__xludf.DUMMYFUNCTION("IFERROR(ABS(P2040-AVERAGE(FILTER(O2040:P6108,AA2040:AA6108=""Neighbor""))) / STDEV(FILTER(P2040:P6108, AA2040:AA6108 =""Neighbor"")), """")"),1.5738454883896043)</f>
        <v>1.573845488</v>
      </c>
      <c r="AE2040" s="2">
        <f>IFERROR(__xludf.DUMMYFUNCTION("IFERROR(ABS(Q2040-AVERAGE(FILTER(Q2040:Q6108,AA2040:AA6108=""Neighbor""))) / STDEV(FILTER(Q2040:Q6108, AA2040:AA6108 =""Neighbor"")), """")"),0.6359470275208411)</f>
        <v>0.6359470275</v>
      </c>
      <c r="AF2040" s="2">
        <f>IFERROR(__xludf.DUMMYFUNCTION("IFERROR(ABS(R2040-AVERAGE(FILTER(R2040:R6108,AA2040:AA6108=""Neighbor""))) / STDEV(FILTER(R2040:R6108, AA2040:AA6108 =""Neighbor"")), """")"),0.34657988845974574)</f>
        <v>0.3465798885</v>
      </c>
    </row>
    <row r="2041">
      <c r="A2041" s="2" t="s">
        <v>28</v>
      </c>
      <c r="B2041" s="2" t="s">
        <v>7915</v>
      </c>
      <c r="C2041" s="2" t="s">
        <v>8349</v>
      </c>
      <c r="D2041" s="2" t="s">
        <v>8358</v>
      </c>
      <c r="E2041" s="2" t="s">
        <v>8359</v>
      </c>
      <c r="F2041" s="2">
        <v>115.0</v>
      </c>
      <c r="G2041" s="2">
        <v>778.0</v>
      </c>
      <c r="H2041" s="2" t="b">
        <v>1</v>
      </c>
      <c r="I2041" s="2">
        <v>-1.0</v>
      </c>
      <c r="J2041" s="2" t="b">
        <v>0</v>
      </c>
      <c r="K2041" s="2" t="b">
        <v>0</v>
      </c>
      <c r="L2041" s="2" t="b">
        <v>0</v>
      </c>
      <c r="M2041" s="2" t="b">
        <v>0</v>
      </c>
      <c r="N2041" s="2" t="s">
        <v>33</v>
      </c>
      <c r="O2041" s="2">
        <v>54.0</v>
      </c>
      <c r="P2041" s="2">
        <v>19.0</v>
      </c>
      <c r="Q2041" s="2">
        <v>33.0</v>
      </c>
      <c r="R2041" s="2">
        <v>0.0</v>
      </c>
      <c r="S2041" s="3" t="s">
        <v>8360</v>
      </c>
      <c r="T2041" s="2" t="s">
        <v>8361</v>
      </c>
      <c r="Y2041" s="4" t="str">
        <f>IFERROR(__xludf.DUMMYFUNCTION("""COMPUTED_VALUE"""),"6.948262")</f>
        <v>6.948262</v>
      </c>
      <c r="Z2041" s="4" t="str">
        <f>IFERROR(__xludf.DUMMYFUNCTION("""COMPUTED_VALUE"""),"3.5079264")</f>
        <v>3.5079264</v>
      </c>
      <c r="AA2041" s="4" t="str">
        <f t="shared" si="1"/>
        <v>Neighbor</v>
      </c>
      <c r="AC2041" s="4">
        <f>IFERROR(__xludf.DUMMYFUNCTION("IFERROR(ABS(O2041-AVERAGE(FILTER(O2041:O6109,AA2041:AA6109=""Neighbor""))) / STDEV(FILTER(O2041:O6109, AA2041:AA6109 =""Neighbor"")), """")"),6.508635986213348E-4)</f>
        <v>0.0006508635986</v>
      </c>
      <c r="AD2041" s="4">
        <f>IFERROR(__xludf.DUMMYFUNCTION("IFERROR(ABS(P2041-AVERAGE(FILTER(O2041:P6109,AA2041:AA6109=""Neighbor""))) / STDEV(FILTER(P2041:P6109, AA2041:AA6109 =""Neighbor"")), """")"),0.7271890675012483)</f>
        <v>0.7271890675</v>
      </c>
      <c r="AE2041" s="2">
        <f>IFERROR(__xludf.DUMMYFUNCTION("IFERROR(ABS(Q2041-AVERAGE(FILTER(Q2041:Q6109,AA2041:AA6109=""Neighbor""))) / STDEV(FILTER(Q2041:Q6109, AA2041:AA6109 =""Neighbor"")), """")"),0.5945780975388566)</f>
        <v>0.5945780975</v>
      </c>
      <c r="AF2041" s="2">
        <f>IFERROR(__xludf.DUMMYFUNCTION("IFERROR(ABS(R2041-AVERAGE(FILTER(R2041:R6109,AA2041:AA6109=""Neighbor""))) / STDEV(FILTER(R2041:R6109, AA2041:AA6109 =""Neighbor"")), """")"),0.34657988845974574)</f>
        <v>0.3465798885</v>
      </c>
    </row>
    <row r="2042">
      <c r="A2042" s="2" t="s">
        <v>28</v>
      </c>
      <c r="B2042" s="2" t="s">
        <v>7915</v>
      </c>
      <c r="C2042" s="2" t="s">
        <v>8349</v>
      </c>
      <c r="D2042" s="2" t="s">
        <v>8362</v>
      </c>
      <c r="E2042" s="2" t="s">
        <v>8363</v>
      </c>
      <c r="F2042" s="2">
        <v>70.0</v>
      </c>
      <c r="G2042" s="2">
        <v>245.0</v>
      </c>
      <c r="H2042" s="2" t="b">
        <v>1</v>
      </c>
      <c r="I2042" s="2">
        <v>-1.0</v>
      </c>
      <c r="J2042" s="2" t="b">
        <v>0</v>
      </c>
      <c r="K2042" s="2" t="b">
        <v>0</v>
      </c>
      <c r="L2042" s="2" t="b">
        <v>0</v>
      </c>
      <c r="M2042" s="2" t="b">
        <v>0</v>
      </c>
      <c r="N2042" s="2" t="s">
        <v>33</v>
      </c>
      <c r="O2042" s="2">
        <v>47.0</v>
      </c>
      <c r="P2042" s="2">
        <v>3.0</v>
      </c>
      <c r="Q2042" s="2">
        <v>16.0</v>
      </c>
      <c r="R2042" s="2">
        <v>0.0</v>
      </c>
      <c r="S2042" s="3" t="s">
        <v>8364</v>
      </c>
      <c r="T2042" s="2" t="s">
        <v>8365</v>
      </c>
      <c r="Y2042" s="4" t="str">
        <f>IFERROR(__xludf.DUMMYFUNCTION("""COMPUTED_VALUE"""),"6.948262")</f>
        <v>6.948262</v>
      </c>
      <c r="Z2042" s="4" t="str">
        <f>IFERROR(__xludf.DUMMYFUNCTION("""COMPUTED_VALUE"""),"3.5079264")</f>
        <v>3.5079264</v>
      </c>
      <c r="AA2042" s="4" t="str">
        <f t="shared" si="1"/>
        <v>Not Neighbor</v>
      </c>
      <c r="AC2042" s="4">
        <f>IFERROR(__xludf.DUMMYFUNCTION("IFERROR(ABS(O2042-AVERAGE(FILTER(O2042:O6110,AA2042:AA6110=""Neighbor""))) / STDEV(FILTER(O2042:O6110, AA2042:AA6110 =""Neighbor"")), """")"),0.18739933517607682)</f>
        <v>0.1873993352</v>
      </c>
      <c r="AD2042" s="4">
        <f>IFERROR(__xludf.DUMMYFUNCTION("IFERROR(ABS(P2042-AVERAGE(FILTER(O2042:P6110,AA2042:AA6110=""Neighbor""))) / STDEV(FILTER(P2042:P6110, AA2042:AA6110 =""Neighbor"")), """")"),1.4392355318334713)</f>
        <v>1.439235532</v>
      </c>
      <c r="AE2042" s="2">
        <f>IFERROR(__xludf.DUMMYFUNCTION("IFERROR(ABS(Q2042-AVERAGE(FILTER(Q2042:Q6110,AA2042:AA6110=""Neighbor""))) / STDEV(FILTER(Q2042:Q6110, AA2042:AA6110 =""Neighbor"")), """")"),0.2091933301414718)</f>
        <v>0.2091933301</v>
      </c>
      <c r="AF2042" s="2">
        <f>IFERROR(__xludf.DUMMYFUNCTION("IFERROR(ABS(R2042-AVERAGE(FILTER(R2042:R6110,AA2042:AA6110=""Neighbor""))) / STDEV(FILTER(R2042:R6110, AA2042:AA6110 =""Neighbor"")), """")"),0.3468148976545864)</f>
        <v>0.3468148977</v>
      </c>
    </row>
    <row r="2043">
      <c r="A2043" s="2" t="s">
        <v>28</v>
      </c>
      <c r="B2043" s="2" t="s">
        <v>7915</v>
      </c>
      <c r="C2043" s="2" t="s">
        <v>8349</v>
      </c>
      <c r="D2043" s="2" t="s">
        <v>8366</v>
      </c>
      <c r="E2043" s="2" t="s">
        <v>8367</v>
      </c>
      <c r="F2043" s="2">
        <v>182.0</v>
      </c>
      <c r="G2043" s="2">
        <v>647.0</v>
      </c>
      <c r="H2043" s="2" t="b">
        <v>1</v>
      </c>
      <c r="I2043" s="2">
        <v>-1.0</v>
      </c>
      <c r="J2043" s="2" t="b">
        <v>0</v>
      </c>
      <c r="K2043" s="2" t="b">
        <v>0</v>
      </c>
      <c r="L2043" s="2" t="b">
        <v>0</v>
      </c>
      <c r="M2043" s="2" t="b">
        <v>0</v>
      </c>
      <c r="N2043" s="2" t="s">
        <v>33</v>
      </c>
      <c r="O2043" s="2">
        <v>134.0</v>
      </c>
      <c r="P2043" s="2">
        <v>7.0</v>
      </c>
      <c r="Q2043" s="2">
        <v>24.0</v>
      </c>
      <c r="R2043" s="2">
        <v>0.0</v>
      </c>
      <c r="S2043" s="3" t="s">
        <v>8368</v>
      </c>
      <c r="T2043" s="2" t="s">
        <v>8369</v>
      </c>
      <c r="Y2043" s="4" t="str">
        <f>IFERROR(__xludf.DUMMYFUNCTION("""COMPUTED_VALUE"""),"7.119242")</f>
        <v>7.119242</v>
      </c>
      <c r="Z2043" s="4" t="str">
        <f>IFERROR(__xludf.DUMMYFUNCTION("""COMPUTED_VALUE"""),"3.5657698")</f>
        <v>3.5657698</v>
      </c>
      <c r="AA2043" s="4" t="str">
        <f t="shared" si="1"/>
        <v>Not Neighbor</v>
      </c>
      <c r="AC2043" s="4">
        <f>IFERROR(__xludf.DUMMYFUNCTION("IFERROR(ABS(O2043-AVERAGE(FILTER(O2043:O6111,AA2043:AA6111=""Neighbor""))) / STDEV(FILTER(O2043:O6111, AA2043:AA6111 =""Neighbor"")), """")"),2.1498008876324226)</f>
        <v>2.149800888</v>
      </c>
      <c r="AD2043" s="4">
        <f>IFERROR(__xludf.DUMMYFUNCTION("IFERROR(ABS(P2043-AVERAGE(FILTER(O2043:P6111,AA2043:AA6111=""Neighbor""))) / STDEV(FILTER(P2043:P6111, AA2043:AA6111 =""Neighbor"")), """")"),1.2610989608691605)</f>
        <v>1.261098961</v>
      </c>
      <c r="AE2043" s="2">
        <f>IFERROR(__xludf.DUMMYFUNCTION("IFERROR(ABS(Q2043-AVERAGE(FILTER(Q2043:Q6111,AA2043:AA6111=""Neighbor""))) / STDEV(FILTER(Q2043:Q6111, AA2043:AA6111 =""Neighbor"")), """")"),0.1692814447855331)</f>
        <v>0.1692814448</v>
      </c>
      <c r="AF2043" s="2">
        <f>IFERROR(__xludf.DUMMYFUNCTION("IFERROR(ABS(R2043-AVERAGE(FILTER(R2043:R6111,AA2043:AA6111=""Neighbor""))) / STDEV(FILTER(R2043:R6111, AA2043:AA6111 =""Neighbor"")), """")"),0.3468148976545864)</f>
        <v>0.3468148977</v>
      </c>
    </row>
    <row r="2044">
      <c r="A2044" s="2" t="s">
        <v>28</v>
      </c>
      <c r="B2044" s="2" t="s">
        <v>7915</v>
      </c>
      <c r="C2044" s="2" t="s">
        <v>8349</v>
      </c>
      <c r="D2044" s="2" t="s">
        <v>8370</v>
      </c>
      <c r="E2044" s="2" t="s">
        <v>8371</v>
      </c>
      <c r="F2044" s="2">
        <v>49.0</v>
      </c>
      <c r="G2044" s="2">
        <v>231.0</v>
      </c>
      <c r="H2044" s="2" t="b">
        <v>1</v>
      </c>
      <c r="I2044" s="2">
        <v>-1.0</v>
      </c>
      <c r="J2044" s="2" t="b">
        <v>0</v>
      </c>
      <c r="K2044" s="2" t="b">
        <v>0</v>
      </c>
      <c r="L2044" s="2" t="b">
        <v>0</v>
      </c>
      <c r="M2044" s="2" t="b">
        <v>0</v>
      </c>
      <c r="N2044" s="2" t="s">
        <v>33</v>
      </c>
      <c r="O2044" s="2">
        <v>38.0</v>
      </c>
      <c r="P2044" s="2">
        <v>1.0</v>
      </c>
      <c r="Q2044" s="2">
        <v>7.0</v>
      </c>
      <c r="R2044" s="2">
        <v>0.0</v>
      </c>
      <c r="S2044" s="3" t="s">
        <v>8372</v>
      </c>
      <c r="T2044" s="2" t="s">
        <v>8373</v>
      </c>
      <c r="Y2044" s="4" t="str">
        <f>IFERROR(__xludf.DUMMYFUNCTION("""COMPUTED_VALUE"""),"7.1280909")</f>
        <v>7.1280909</v>
      </c>
      <c r="Z2044" s="4" t="str">
        <f>IFERROR(__xludf.DUMMYFUNCTION("""COMPUTED_VALUE"""),"3.5286222")</f>
        <v>3.5286222</v>
      </c>
      <c r="AA2044" s="4" t="str">
        <f t="shared" si="1"/>
        <v>Not Neighbor</v>
      </c>
      <c r="AC2044" s="4">
        <f>IFERROR(__xludf.DUMMYFUNCTION("IFERROR(ABS(O2044-AVERAGE(FILTER(O2044:O6112,AA2044:AA6112=""Neighbor""))) / STDEV(FILTER(O2044:O6112, AA2044:AA6112 =""Neighbor"")), """")"),0.4291786685700595)</f>
        <v>0.4291786686</v>
      </c>
      <c r="AD2044" s="4">
        <f>IFERROR(__xludf.DUMMYFUNCTION("IFERROR(ABS(P2044-AVERAGE(FILTER(O2044:P6112,AA2044:AA6112=""Neighbor""))) / STDEV(FILTER(P2044:P6112, AA2044:AA6112 =""Neighbor"")), """")"),1.5283038173156267)</f>
        <v>1.528303817</v>
      </c>
      <c r="AE2044" s="2">
        <f>IFERROR(__xludf.DUMMYFUNCTION("IFERROR(ABS(Q2044-AVERAGE(FILTER(Q2044:Q6112,AA2044:AA6112=""Neighbor""))) / STDEV(FILTER(Q2044:Q6112, AA2044:AA6112 =""Neighbor"")), """")"),0.6349774519343523)</f>
        <v>0.6349774519</v>
      </c>
      <c r="AF2044" s="2">
        <f>IFERROR(__xludf.DUMMYFUNCTION("IFERROR(ABS(R2044-AVERAGE(FILTER(R2044:R6112,AA2044:AA6112=""Neighbor""))) / STDEV(FILTER(R2044:R6112, AA2044:AA6112 =""Neighbor"")), """")"),0.3468148976545864)</f>
        <v>0.3468148977</v>
      </c>
    </row>
    <row r="2045">
      <c r="A2045" s="2" t="s">
        <v>28</v>
      </c>
      <c r="B2045" s="2" t="s">
        <v>7915</v>
      </c>
      <c r="C2045" s="2" t="s">
        <v>8349</v>
      </c>
      <c r="D2045" s="2" t="s">
        <v>8374</v>
      </c>
      <c r="E2045" s="2" t="s">
        <v>8375</v>
      </c>
      <c r="F2045" s="2">
        <v>92.0</v>
      </c>
      <c r="G2045" s="2">
        <v>362.0</v>
      </c>
      <c r="H2045" s="2" t="b">
        <v>1</v>
      </c>
      <c r="I2045" s="2">
        <v>-1.0</v>
      </c>
      <c r="J2045" s="2" t="b">
        <v>0</v>
      </c>
      <c r="K2045" s="2" t="b">
        <v>0</v>
      </c>
      <c r="L2045" s="2" t="b">
        <v>0</v>
      </c>
      <c r="M2045" s="2" t="b">
        <v>0</v>
      </c>
      <c r="N2045" s="2" t="s">
        <v>33</v>
      </c>
      <c r="O2045" s="2">
        <v>69.0</v>
      </c>
      <c r="P2045" s="2">
        <v>0.0</v>
      </c>
      <c r="Q2045" s="2">
        <v>22.0</v>
      </c>
      <c r="R2045" s="2">
        <v>0.0</v>
      </c>
      <c r="S2045" s="3" t="s">
        <v>8376</v>
      </c>
      <c r="T2045" s="2" t="s">
        <v>8377</v>
      </c>
      <c r="Y2045" s="4" t="str">
        <f>IFERROR(__xludf.DUMMYFUNCTION("""COMPUTED_VALUE"""),"6.948262")</f>
        <v>6.948262</v>
      </c>
      <c r="Z2045" s="4" t="str">
        <f>IFERROR(__xludf.DUMMYFUNCTION("""COMPUTED_VALUE"""),"3.5079264")</f>
        <v>3.5079264</v>
      </c>
      <c r="AA2045" s="4" t="str">
        <f t="shared" si="1"/>
        <v>Neighbor</v>
      </c>
      <c r="AC2045" s="4">
        <f>IFERROR(__xludf.DUMMYFUNCTION("IFERROR(ABS(O2045-AVERAGE(FILTER(O2045:O6113,AA2045:AA6113=""Neighbor""))) / STDEV(FILTER(O2045:O6113, AA2045:AA6113 =""Neighbor"")), """")"),0.40361681312032527)</f>
        <v>0.4036168131</v>
      </c>
      <c r="AD2045" s="4">
        <f>IFERROR(__xludf.DUMMYFUNCTION("IFERROR(ABS(P2045-AVERAGE(FILTER(O2045:P6113,AA2045:AA6113=""Neighbor""))) / STDEV(FILTER(P2045:P6113, AA2045:AA6113 =""Neighbor"")), """")"),1.5728379600567044)</f>
        <v>1.57283796</v>
      </c>
      <c r="AE2045" s="2">
        <f>IFERROR(__xludf.DUMMYFUNCTION("IFERROR(ABS(Q2045-AVERAGE(FILTER(Q2045:Q6113,AA2045:AA6113=""Neighbor""))) / STDEV(FILTER(Q2045:Q6113, AA2045:AA6113 =""Neighbor"")), """")"),0.07466275105378187)</f>
        <v>0.07466275105</v>
      </c>
      <c r="AF2045" s="2">
        <f>IFERROR(__xludf.DUMMYFUNCTION("IFERROR(ABS(R2045-AVERAGE(FILTER(R2045:R6113,AA2045:AA6113=""Neighbor""))) / STDEV(FILTER(R2045:R6113, AA2045:AA6113 =""Neighbor"")), """")"),0.3468148976545864)</f>
        <v>0.3468148977</v>
      </c>
    </row>
    <row r="2046">
      <c r="A2046" s="2" t="s">
        <v>28</v>
      </c>
      <c r="B2046" s="2" t="s">
        <v>7915</v>
      </c>
      <c r="C2046" s="2" t="s">
        <v>8349</v>
      </c>
      <c r="D2046" s="2" t="s">
        <v>8378</v>
      </c>
      <c r="E2046" s="2" t="s">
        <v>8379</v>
      </c>
      <c r="F2046" s="2">
        <v>38.0</v>
      </c>
      <c r="G2046" s="2">
        <v>120.0</v>
      </c>
      <c r="H2046" s="2" t="b">
        <v>1</v>
      </c>
      <c r="I2046" s="2">
        <v>-1.0</v>
      </c>
      <c r="J2046" s="2" t="b">
        <v>0</v>
      </c>
      <c r="K2046" s="2" t="b">
        <v>0</v>
      </c>
      <c r="L2046" s="2" t="b">
        <v>0</v>
      </c>
      <c r="M2046" s="2" t="b">
        <v>0</v>
      </c>
      <c r="N2046" s="2" t="s">
        <v>33</v>
      </c>
      <c r="O2046" s="2">
        <v>14.0</v>
      </c>
      <c r="P2046" s="2">
        <v>0.0</v>
      </c>
      <c r="Q2046" s="2">
        <v>24.0</v>
      </c>
      <c r="R2046" s="2">
        <v>0.0</v>
      </c>
      <c r="S2046" s="3" t="s">
        <v>8380</v>
      </c>
      <c r="T2046" s="2" t="s">
        <v>8381</v>
      </c>
      <c r="Y2046" s="4" t="str">
        <f>IFERROR(__xludf.DUMMYFUNCTION("""COMPUTED_VALUE"""),"6.948262")</f>
        <v>6.948262</v>
      </c>
      <c r="Z2046" s="4" t="str">
        <f>IFERROR(__xludf.DUMMYFUNCTION("""COMPUTED_VALUE"""),"3.5079264")</f>
        <v>3.5079264</v>
      </c>
      <c r="AA2046" s="4" t="str">
        <f t="shared" si="1"/>
        <v>Neighbor</v>
      </c>
      <c r="AC2046" s="4">
        <f>IFERROR(__xludf.DUMMYFUNCTION("IFERROR(ABS(O2046-AVERAGE(FILTER(O2046:O6114,AA2046:AA6114=""Neighbor""))) / STDEV(FILTER(O2046:O6114, AA2046:AA6114 =""Neighbor"")), """")"),1.0728883683383743)</f>
        <v>1.072888368</v>
      </c>
      <c r="AD2046" s="4">
        <f>IFERROR(__xludf.DUMMYFUNCTION("IFERROR(ABS(P2046-AVERAGE(FILTER(O2046:P6114,AA2046:AA6114=""Neighbor""))) / STDEV(FILTER(P2046:P6114, AA2046:AA6114 =""Neighbor"")), """")"),1.5724533643307577)</f>
        <v>1.572453364</v>
      </c>
      <c r="AE2046" s="2">
        <f>IFERROR(__xludf.DUMMYFUNCTION("IFERROR(ABS(Q2046-AVERAGE(FILTER(Q2046:Q6114,AA2046:AA6114=""Neighbor""))) / STDEV(FILTER(Q2046:Q6114, AA2046:AA6114 =""Neighbor"")), """")"),0.16926982268278298)</f>
        <v>0.1692698227</v>
      </c>
      <c r="AF2046" s="2">
        <f>IFERROR(__xludf.DUMMYFUNCTION("IFERROR(ABS(R2046-AVERAGE(FILTER(R2046:R6114,AA2046:AA6114=""Neighbor""))) / STDEV(FILTER(R2046:R6114, AA2046:AA6114 =""Neighbor"")), """")"),0.3470503856382721)</f>
        <v>0.3470503856</v>
      </c>
    </row>
    <row r="2047">
      <c r="A2047" s="2" t="s">
        <v>28</v>
      </c>
      <c r="B2047" s="2" t="s">
        <v>7915</v>
      </c>
      <c r="C2047" s="2" t="s">
        <v>8349</v>
      </c>
      <c r="D2047" s="2" t="s">
        <v>8382</v>
      </c>
      <c r="E2047" s="2" t="s">
        <v>8383</v>
      </c>
      <c r="F2047" s="2">
        <v>23.0</v>
      </c>
      <c r="G2047" s="2">
        <v>204.0</v>
      </c>
      <c r="H2047" s="2" t="b">
        <v>1</v>
      </c>
      <c r="I2047" s="2">
        <v>-1.0</v>
      </c>
      <c r="J2047" s="2" t="b">
        <v>0</v>
      </c>
      <c r="K2047" s="2" t="b">
        <v>0</v>
      </c>
      <c r="L2047" s="2" t="b">
        <v>0</v>
      </c>
      <c r="M2047" s="2" t="b">
        <v>0</v>
      </c>
      <c r="N2047" s="2" t="s">
        <v>33</v>
      </c>
      <c r="O2047" s="2">
        <v>36.0</v>
      </c>
      <c r="P2047" s="2">
        <v>2.0</v>
      </c>
      <c r="Q2047" s="2">
        <v>21.0</v>
      </c>
      <c r="R2047" s="2">
        <v>1.0</v>
      </c>
      <c r="S2047" s="3" t="s">
        <v>8384</v>
      </c>
      <c r="T2047" s="2" t="s">
        <v>8385</v>
      </c>
      <c r="Y2047" s="4" t="str">
        <f>IFERROR(__xludf.DUMMYFUNCTION("""COMPUTED_VALUE"""),"6.948262")</f>
        <v>6.948262</v>
      </c>
      <c r="Z2047" s="4" t="str">
        <f>IFERROR(__xludf.DUMMYFUNCTION("""COMPUTED_VALUE"""),"3.5079264")</f>
        <v>3.5079264</v>
      </c>
      <c r="AA2047" s="4" t="str">
        <f t="shared" si="1"/>
        <v>Neighbor</v>
      </c>
      <c r="AC2047" s="4">
        <f>IFERROR(__xludf.DUMMYFUNCTION("IFERROR(ABS(O2047-AVERAGE(FILTER(O2047:O6115,AA2047:AA6115=""Neighbor""))) / STDEV(FILTER(O2047:O6115, AA2047:AA6115 =""Neighbor"")), """")"),0.48352097038015696)</f>
        <v>0.4835209704</v>
      </c>
      <c r="AD2047" s="4">
        <f>IFERROR(__xludf.DUMMYFUNCTION("IFERROR(ABS(P2047-AVERAGE(FILTER(O2047:P6115,AA2047:AA6115=""Neighbor""))) / STDEV(FILTER(P2047:P6115, AA2047:AA6115 =""Neighbor"")), """")"),1.4845369506438006)</f>
        <v>1.484536951</v>
      </c>
      <c r="AE2047" s="2">
        <f>IFERROR(__xludf.DUMMYFUNCTION("IFERROR(ABS(Q2047-AVERAGE(FILTER(Q2047:Q6115,AA2047:AA6115=""Neighbor""))) / STDEV(FILTER(Q2047:Q6115, AA2047:AA6115 =""Neighbor"")), """")"),0.027616811552834086)</f>
        <v>0.02761681155</v>
      </c>
      <c r="AF2047" s="2">
        <f>IFERROR(__xludf.DUMMYFUNCTION("IFERROR(ABS(R2047-AVERAGE(FILTER(R2047:R6115,AA2047:AA6115=""Neighbor""))) / STDEV(FILTER(R2047:R6115, AA2047:AA6115 =""Neighbor"")), """")"),0.8386749296708912)</f>
        <v>0.8386749297</v>
      </c>
    </row>
    <row r="2048">
      <c r="A2048" s="2" t="s">
        <v>28</v>
      </c>
      <c r="B2048" s="2" t="s">
        <v>7915</v>
      </c>
      <c r="C2048" s="2" t="s">
        <v>8386</v>
      </c>
      <c r="D2048" s="2" t="s">
        <v>8387</v>
      </c>
      <c r="E2048" s="2" t="s">
        <v>8388</v>
      </c>
      <c r="F2048" s="2">
        <v>85.0</v>
      </c>
      <c r="G2048" s="2">
        <v>750.0</v>
      </c>
      <c r="H2048" s="2" t="b">
        <v>1</v>
      </c>
      <c r="I2048" s="2">
        <v>-1.0</v>
      </c>
      <c r="J2048" s="2" t="b">
        <v>0</v>
      </c>
      <c r="K2048" s="2" t="b">
        <v>0</v>
      </c>
      <c r="L2048" s="2" t="b">
        <v>0</v>
      </c>
      <c r="M2048" s="2" t="b">
        <v>0</v>
      </c>
      <c r="N2048" s="2" t="s">
        <v>33</v>
      </c>
      <c r="O2048" s="2">
        <v>46.0</v>
      </c>
      <c r="P2048" s="2">
        <v>8.0</v>
      </c>
      <c r="Q2048" s="2">
        <v>18.0</v>
      </c>
      <c r="R2048" s="2">
        <v>0.0</v>
      </c>
      <c r="S2048" s="3" t="s">
        <v>8389</v>
      </c>
      <c r="T2048" s="2" t="s">
        <v>8390</v>
      </c>
      <c r="Y2048" s="4" t="str">
        <f>IFERROR(__xludf.DUMMYFUNCTION("""COMPUTED_VALUE"""),"6.948262")</f>
        <v>6.948262</v>
      </c>
      <c r="Z2048" s="4" t="str">
        <f>IFERROR(__xludf.DUMMYFUNCTION("""COMPUTED_VALUE"""),"3.5079264")</f>
        <v>3.5079264</v>
      </c>
      <c r="AA2048" s="4" t="str">
        <f t="shared" si="1"/>
        <v>Neighbor</v>
      </c>
      <c r="AC2048" s="4">
        <f>IFERROR(__xludf.DUMMYFUNCTION("IFERROR(ABS(O2048-AVERAGE(FILTER(O2048:O6116,AA2048:AA6116=""Neighbor""))) / STDEV(FILTER(O2048:O6116, AA2048:AA6116 =""Neighbor"")), """")"),0.21547658144524962)</f>
        <v>0.2154765814</v>
      </c>
      <c r="AD2048" s="4">
        <f>IFERROR(__xludf.DUMMYFUNCTION("IFERROR(ABS(P2048-AVERAGE(FILTER(O2048:P6116,AA2048:AA6116=""Neighbor""))) / STDEV(FILTER(P2048:P6116, AA2048:AA6116 =""Neighbor"")), """")"),1.2179394194499003)</f>
        <v>1.217939419</v>
      </c>
      <c r="AE2048" s="2">
        <f>IFERROR(__xludf.DUMMYFUNCTION("IFERROR(ABS(Q2048-AVERAGE(FILTER(Q2048:Q6116,AA2048:AA6116=""Neighbor""))) / STDEV(FILTER(Q2048:Q6116, AA2048:AA6116 =""Neighbor"")), """")"),0.11403885821424849)</f>
        <v>0.1140388582</v>
      </c>
      <c r="AF2048" s="2">
        <f>IFERROR(__xludf.DUMMYFUNCTION("IFERROR(ABS(R2048-AVERAGE(FILTER(R2048:R6116,AA2048:AA6116=""Neighbor""))) / STDEV(FILTER(R2048:R6116, AA2048:AA6116 =""Neighbor"")), """")"),0.34620371318606025)</f>
        <v>0.3462037132</v>
      </c>
    </row>
    <row r="2049">
      <c r="A2049" s="2" t="s">
        <v>28</v>
      </c>
      <c r="B2049" s="2" t="s">
        <v>7915</v>
      </c>
      <c r="C2049" s="2" t="s">
        <v>8386</v>
      </c>
      <c r="D2049" s="2" t="s">
        <v>8391</v>
      </c>
      <c r="E2049" s="2" t="s">
        <v>8392</v>
      </c>
      <c r="F2049" s="2">
        <v>103.0</v>
      </c>
      <c r="G2049" s="2">
        <v>998.0</v>
      </c>
      <c r="H2049" s="2" t="b">
        <v>1</v>
      </c>
      <c r="I2049" s="2">
        <v>-1.0</v>
      </c>
      <c r="J2049" s="2" t="b">
        <v>0</v>
      </c>
      <c r="K2049" s="2" t="b">
        <v>0</v>
      </c>
      <c r="L2049" s="2" t="b">
        <v>0</v>
      </c>
      <c r="M2049" s="2" t="b">
        <v>0</v>
      </c>
      <c r="N2049" s="2" t="s">
        <v>33</v>
      </c>
      <c r="O2049" s="2">
        <v>99.0</v>
      </c>
      <c r="P2049" s="2">
        <v>9.0</v>
      </c>
      <c r="Q2049" s="2">
        <v>24.0</v>
      </c>
      <c r="R2049" s="2">
        <v>0.0</v>
      </c>
      <c r="S2049" s="3" t="s">
        <v>8393</v>
      </c>
      <c r="T2049" s="2" t="s">
        <v>8394</v>
      </c>
      <c r="Y2049" s="4" t="str">
        <f>IFERROR(__xludf.DUMMYFUNCTION("""COMPUTED_VALUE"""),"6.948262")</f>
        <v>6.948262</v>
      </c>
      <c r="Z2049" s="4" t="str">
        <f>IFERROR(__xludf.DUMMYFUNCTION("""COMPUTED_VALUE"""),"3.5079264")</f>
        <v>3.5079264</v>
      </c>
      <c r="AA2049" s="4" t="str">
        <f t="shared" si="1"/>
        <v>Not Neighbor</v>
      </c>
      <c r="AC2049" s="4">
        <f>IFERROR(__xludf.DUMMYFUNCTION("IFERROR(ABS(O2049-AVERAGE(FILTER(O2049:O6117,AA2049:AA6117=""Neighbor""))) / STDEV(FILTER(O2049:O6117, AA2049:AA6117 =""Neighbor"")), """")"),1.2061167812895404)</f>
        <v>1.206116781</v>
      </c>
      <c r="AD2049" s="4">
        <f>IFERROR(__xludf.DUMMYFUNCTION("IFERROR(ABS(P2049-AVERAGE(FILTER(O2049:P6117,AA2049:AA6117=""Neighbor""))) / STDEV(FILTER(P2049:P6117, AA2049:AA6117 =""Neighbor"")), """")"),1.1732913013356727)</f>
        <v>1.173291301</v>
      </c>
      <c r="AE2049" s="2">
        <f>IFERROR(__xludf.DUMMYFUNCTION("IFERROR(ABS(Q2049-AVERAGE(FILTER(Q2049:Q6117,AA2049:AA6117=""Neighbor""))) / STDEV(FILTER(Q2049:Q6117, AA2049:AA6117 =""Neighbor"")), """")"),0.16906543479595115)</f>
        <v>0.1690654348</v>
      </c>
      <c r="AF2049" s="2">
        <f>IFERROR(__xludf.DUMMYFUNCTION("IFERROR(ABS(R2049-AVERAGE(FILTER(R2049:R6117,AA2049:AA6117=""Neighbor""))) / STDEV(FILTER(R2049:R6117, AA2049:AA6117 =""Neighbor"")), """")"),0.3464395546713791)</f>
        <v>0.3464395547</v>
      </c>
    </row>
    <row r="2050">
      <c r="A2050" s="2" t="s">
        <v>28</v>
      </c>
      <c r="B2050" s="2" t="s">
        <v>7915</v>
      </c>
      <c r="C2050" s="2" t="s">
        <v>8386</v>
      </c>
      <c r="D2050" s="2" t="s">
        <v>8395</v>
      </c>
      <c r="E2050" s="2" t="s">
        <v>8396</v>
      </c>
      <c r="F2050" s="2">
        <v>56.0</v>
      </c>
      <c r="G2050" s="2">
        <v>227.0</v>
      </c>
      <c r="H2050" s="2" t="b">
        <v>1</v>
      </c>
      <c r="I2050" s="2">
        <v>-1.0</v>
      </c>
      <c r="J2050" s="2" t="b">
        <v>0</v>
      </c>
      <c r="K2050" s="2" t="b">
        <v>0</v>
      </c>
      <c r="L2050" s="2" t="b">
        <v>0</v>
      </c>
      <c r="M2050" s="2" t="b">
        <v>0</v>
      </c>
      <c r="N2050" s="2" t="s">
        <v>33</v>
      </c>
      <c r="O2050" s="2">
        <v>52.0</v>
      </c>
      <c r="P2050" s="2">
        <v>0.0</v>
      </c>
      <c r="Q2050" s="2">
        <v>3.0</v>
      </c>
      <c r="R2050" s="2">
        <v>0.0</v>
      </c>
      <c r="S2050" s="3" t="s">
        <v>8397</v>
      </c>
      <c r="T2050" s="2" t="s">
        <v>8398</v>
      </c>
      <c r="Y2050" s="4" t="str">
        <f>IFERROR(__xludf.DUMMYFUNCTION("""COMPUTED_VALUE"""),"7.1529322")</f>
        <v>7.1529322</v>
      </c>
      <c r="Z2050" s="4" t="str">
        <f>IFERROR(__xludf.DUMMYFUNCTION("""COMPUTED_VALUE"""),"3.5629578")</f>
        <v>3.5629578</v>
      </c>
      <c r="AA2050" s="4" t="str">
        <f t="shared" si="1"/>
        <v>Not Neighbor</v>
      </c>
      <c r="AC2050" s="4">
        <f>IFERROR(__xludf.DUMMYFUNCTION("IFERROR(ABS(O2050-AVERAGE(FILTER(O2050:O6118,AA2050:AA6118=""Neighbor""))) / STDEV(FILTER(O2050:O6118, AA2050:AA6118 =""Neighbor"")), """")"),0.05466309191898463)</f>
        <v>0.05466309192</v>
      </c>
      <c r="AD2050" s="4">
        <f>IFERROR(__xludf.DUMMYFUNCTION("IFERROR(ABS(P2050-AVERAGE(FILTER(O2050:P6118,AA2050:AA6118=""Neighbor""))) / STDEV(FILTER(P2050:P6118, AA2050:AA6118 =""Neighbor"")), """")"),1.5735336514923768)</f>
        <v>1.573533651</v>
      </c>
      <c r="AE2050" s="2">
        <f>IFERROR(__xludf.DUMMYFUNCTION("IFERROR(ABS(Q2050-AVERAGE(FILTER(Q2050:Q6118,AA2050:AA6118=""Neighbor""))) / STDEV(FILTER(Q2050:Q6118, AA2050:AA6118 =""Neighbor"")), """")"),0.8220454667059167)</f>
        <v>0.8220454667</v>
      </c>
      <c r="AF2050" s="2">
        <f>IFERROR(__xludf.DUMMYFUNCTION("IFERROR(ABS(R2050-AVERAGE(FILTER(R2050:R6118,AA2050:AA6118=""Neighbor""))) / STDEV(FILTER(R2050:R6118, AA2050:AA6118 =""Neighbor"")), """")"),0.3464395546713791)</f>
        <v>0.3464395547</v>
      </c>
    </row>
    <row r="2051">
      <c r="A2051" s="2" t="s">
        <v>28</v>
      </c>
      <c r="B2051" s="2" t="s">
        <v>7915</v>
      </c>
      <c r="C2051" s="2" t="s">
        <v>8386</v>
      </c>
      <c r="D2051" s="2" t="s">
        <v>8399</v>
      </c>
      <c r="E2051" s="2" t="s">
        <v>8400</v>
      </c>
      <c r="F2051" s="2">
        <v>79.0</v>
      </c>
      <c r="G2051" s="2">
        <v>413.0</v>
      </c>
      <c r="H2051" s="2" t="b">
        <v>1</v>
      </c>
      <c r="I2051" s="2">
        <v>-1.0</v>
      </c>
      <c r="J2051" s="2" t="b">
        <v>0</v>
      </c>
      <c r="K2051" s="2" t="b">
        <v>1</v>
      </c>
      <c r="L2051" s="2" t="b">
        <v>0</v>
      </c>
      <c r="M2051" s="2" t="b">
        <v>0</v>
      </c>
      <c r="N2051" s="2" t="s">
        <v>33</v>
      </c>
      <c r="O2051" s="2">
        <v>56.0</v>
      </c>
      <c r="P2051" s="2">
        <v>2.0</v>
      </c>
      <c r="Q2051" s="2">
        <v>16.0</v>
      </c>
      <c r="R2051" s="2">
        <v>1.0</v>
      </c>
      <c r="S2051" s="3" t="s">
        <v>8401</v>
      </c>
      <c r="T2051" s="2" t="s">
        <v>8402</v>
      </c>
      <c r="Y2051" s="4" t="str">
        <f>IFERROR(__xludf.DUMMYFUNCTION("""COMPUTED_VALUE"""),"7.1477014")</f>
        <v>7.1477014</v>
      </c>
      <c r="Z2051" s="4" t="str">
        <f>IFERROR(__xludf.DUMMYFUNCTION("""COMPUTED_VALUE"""),"3.6402465")</f>
        <v>3.6402465</v>
      </c>
      <c r="AA2051" s="4" t="str">
        <f t="shared" si="1"/>
        <v>Neighbor</v>
      </c>
      <c r="AC2051" s="4">
        <f>IFERROR(__xludf.DUMMYFUNCTION("IFERROR(ABS(O2051-AVERAGE(FILTER(O2051:O6119,AA2051:AA6119=""Neighbor""))) / STDEV(FILTER(O2051:O6119, AA2051:AA6119 =""Neighbor"")), """")"),0.052637322822166446)</f>
        <v>0.05263732282</v>
      </c>
      <c r="AD2051" s="4">
        <f>IFERROR(__xludf.DUMMYFUNCTION("IFERROR(ABS(P2051-AVERAGE(FILTER(O2051:P6119,AA2051:AA6119=""Neighbor""))) / STDEV(FILTER(P2051:P6119, AA2051:AA6119 =""Neighbor"")), """")"),1.4845909070131091)</f>
        <v>1.484590907</v>
      </c>
      <c r="AE2051" s="2">
        <f>IFERROR(__xludf.DUMMYFUNCTION("IFERROR(ABS(Q2051-AVERAGE(FILTER(Q2051:Q6119,AA2051:AA6119=""Neighbor""))) / STDEV(FILTER(Q2051:Q6119, AA2051:AA6119 =""Neighbor"")), """")"),0.20850062291904614)</f>
        <v>0.2085006229</v>
      </c>
      <c r="AF2051" s="2">
        <f>IFERROR(__xludf.DUMMYFUNCTION("IFERROR(ABS(R2051-AVERAGE(FILTER(R2051:R6119,AA2051:AA6119=""Neighbor""))) / STDEV(FILTER(R2051:R6119, AA2051:AA6119 =""Neighbor"")), """")"),0.8386724219336303)</f>
        <v>0.8386724219</v>
      </c>
    </row>
    <row r="2052">
      <c r="A2052" s="2" t="s">
        <v>28</v>
      </c>
      <c r="B2052" s="2" t="s">
        <v>7915</v>
      </c>
      <c r="C2052" s="2" t="s">
        <v>8386</v>
      </c>
      <c r="D2052" s="2" t="s">
        <v>8403</v>
      </c>
      <c r="E2052" s="2" t="s">
        <v>8404</v>
      </c>
      <c r="F2052" s="2">
        <v>40.0</v>
      </c>
      <c r="G2052" s="2">
        <v>199.0</v>
      </c>
      <c r="H2052" s="2" t="b">
        <v>1</v>
      </c>
      <c r="I2052" s="2">
        <v>-1.0</v>
      </c>
      <c r="J2052" s="2" t="b">
        <v>0</v>
      </c>
      <c r="K2052" s="2" t="b">
        <v>0</v>
      </c>
      <c r="L2052" s="2" t="b">
        <v>0</v>
      </c>
      <c r="M2052" s="2" t="b">
        <v>0</v>
      </c>
      <c r="N2052" s="2" t="s">
        <v>33</v>
      </c>
      <c r="O2052" s="2">
        <v>0.0</v>
      </c>
      <c r="P2052" s="2">
        <v>0.0</v>
      </c>
      <c r="Q2052" s="2">
        <v>0.0</v>
      </c>
      <c r="R2052" s="2">
        <v>0.0</v>
      </c>
      <c r="S2052" s="3" t="s">
        <v>8405</v>
      </c>
      <c r="T2052" s="2" t="s">
        <v>8406</v>
      </c>
      <c r="Y2052" s="4" t="str">
        <f>IFERROR(__xludf.DUMMYFUNCTION("""COMPUTED_VALUE"""),"7.1477014")</f>
        <v>7.1477014</v>
      </c>
      <c r="Z2052" s="4" t="str">
        <f>IFERROR(__xludf.DUMMYFUNCTION("""COMPUTED_VALUE"""),"3.6402465")</f>
        <v>3.6402465</v>
      </c>
      <c r="AA2052" s="4" t="str">
        <f t="shared" si="1"/>
        <v>Not Neighbor</v>
      </c>
      <c r="AC2052" s="4">
        <f>IFERROR(__xludf.DUMMYFUNCTION("IFERROR(ABS(O2052-AVERAGE(FILTER(O2052:O6120,AA2052:AA6120=""Neighbor""))) / STDEV(FILTER(O2052:O6120, AA2052:AA6120 =""Neighbor"")), """")"),1.448622628340567)</f>
        <v>1.448622628</v>
      </c>
      <c r="AD2052" s="4">
        <f>IFERROR(__xludf.DUMMYFUNCTION("IFERROR(ABS(P2052-AVERAGE(FILTER(O2052:P6120,AA2052:AA6120=""Neighbor""))) / STDEV(FILTER(P2052:P6120, AA2052:AA6120 =""Neighbor"")), """")"),1.5733319808731356)</f>
        <v>1.573331981</v>
      </c>
      <c r="AE2052" s="2">
        <f>IFERROR(__xludf.DUMMYFUNCTION("IFERROR(ABS(Q2052-AVERAGE(FILTER(Q2052:Q6120,AA2052:AA6120=""Neighbor""))) / STDEV(FILTER(Q2052:Q6120, AA2052:AA6120 =""Neighbor"")), """")"),0.9633246590557963)</f>
        <v>0.9633246591</v>
      </c>
      <c r="AF2052" s="2">
        <f>IFERROR(__xludf.DUMMYFUNCTION("IFERROR(ABS(R2052-AVERAGE(FILTER(R2052:R6120,AA2052:AA6120=""Neighbor""))) / STDEV(FILTER(R2052:R6120, AA2052:AA6120 =""Neighbor"")), """")"),0.34535442900826296)</f>
        <v>0.345354429</v>
      </c>
    </row>
    <row r="2053">
      <c r="A2053" s="2" t="s">
        <v>28</v>
      </c>
      <c r="B2053" s="2" t="s">
        <v>7915</v>
      </c>
      <c r="C2053" s="2" t="s">
        <v>8386</v>
      </c>
      <c r="D2053" s="2" t="s">
        <v>8407</v>
      </c>
      <c r="E2053" s="2" t="s">
        <v>8408</v>
      </c>
      <c r="F2053" s="2">
        <v>42.0</v>
      </c>
      <c r="G2053" s="2">
        <v>277.0</v>
      </c>
      <c r="H2053" s="2" t="b">
        <v>1</v>
      </c>
      <c r="I2053" s="2">
        <v>-1.0</v>
      </c>
      <c r="J2053" s="2" t="b">
        <v>0</v>
      </c>
      <c r="K2053" s="2" t="b">
        <v>0</v>
      </c>
      <c r="L2053" s="2" t="b">
        <v>0</v>
      </c>
      <c r="M2053" s="2" t="b">
        <v>0</v>
      </c>
      <c r="N2053" s="2" t="s">
        <v>33</v>
      </c>
      <c r="O2053" s="2">
        <v>26.0</v>
      </c>
      <c r="P2053" s="2">
        <v>0.0</v>
      </c>
      <c r="Q2053" s="2">
        <v>4.0</v>
      </c>
      <c r="R2053" s="2">
        <v>0.0</v>
      </c>
      <c r="S2053" s="3" t="s">
        <v>8409</v>
      </c>
      <c r="T2053" s="2" t="s">
        <v>8410</v>
      </c>
      <c r="Y2053" s="4" t="str">
        <f>IFERROR(__xludf.DUMMYFUNCTION("""COMPUTED_VALUE"""),"6.948262")</f>
        <v>6.948262</v>
      </c>
      <c r="Z2053" s="4" t="str">
        <f>IFERROR(__xludf.DUMMYFUNCTION("""COMPUTED_VALUE"""),"3.5079264")</f>
        <v>3.5079264</v>
      </c>
      <c r="AA2053" s="4" t="str">
        <f t="shared" si="1"/>
        <v>Not Neighbor</v>
      </c>
      <c r="AC2053" s="4">
        <f>IFERROR(__xludf.DUMMYFUNCTION("IFERROR(ABS(O2053-AVERAGE(FILTER(O2053:O6121,AA2053:AA6121=""Neighbor""))) / STDEV(FILTER(O2053:O6121, AA2053:AA6121 =""Neighbor"")), """")"),0.7515941592660926)</f>
        <v>0.7515941593</v>
      </c>
      <c r="AD2053" s="4">
        <f>IFERROR(__xludf.DUMMYFUNCTION("IFERROR(ABS(P2053-AVERAGE(FILTER(O2053:P6121,AA2053:AA6121=""Neighbor""))) / STDEV(FILTER(P2053:P6121, AA2053:AA6121 =""Neighbor"")), """")"),1.5733319808731356)</f>
        <v>1.573331981</v>
      </c>
      <c r="AE2053" s="2">
        <f>IFERROR(__xludf.DUMMYFUNCTION("IFERROR(ABS(Q2053-AVERAGE(FILTER(Q2053:Q6121,AA2053:AA6121=""Neighbor""))) / STDEV(FILTER(Q2053:Q6121, AA2053:AA6121 =""Neighbor"")), """")"),0.7746517694813644)</f>
        <v>0.7746517695</v>
      </c>
      <c r="AF2053" s="2">
        <f>IFERROR(__xludf.DUMMYFUNCTION("IFERROR(ABS(R2053-AVERAGE(FILTER(R2053:R6121,AA2053:AA6121=""Neighbor""))) / STDEV(FILTER(R2053:R6121, AA2053:AA6121 =""Neighbor"")), """")"),0.34535442900826296)</f>
        <v>0.345354429</v>
      </c>
    </row>
    <row r="2054">
      <c r="A2054" s="2" t="s">
        <v>28</v>
      </c>
      <c r="B2054" s="2" t="s">
        <v>7915</v>
      </c>
      <c r="C2054" s="2" t="s">
        <v>8386</v>
      </c>
      <c r="D2054" s="2" t="s">
        <v>8411</v>
      </c>
      <c r="E2054" s="2" t="s">
        <v>8412</v>
      </c>
      <c r="F2054" s="2">
        <v>63.0</v>
      </c>
      <c r="G2054" s="2">
        <v>352.0</v>
      </c>
      <c r="H2054" s="2" t="b">
        <v>1</v>
      </c>
      <c r="I2054" s="2">
        <v>-1.0</v>
      </c>
      <c r="J2054" s="2" t="b">
        <v>0</v>
      </c>
      <c r="K2054" s="2" t="b">
        <v>0</v>
      </c>
      <c r="L2054" s="2" t="b">
        <v>0</v>
      </c>
      <c r="M2054" s="2" t="b">
        <v>0</v>
      </c>
      <c r="N2054" s="2" t="s">
        <v>33</v>
      </c>
      <c r="O2054" s="2">
        <v>56.0</v>
      </c>
      <c r="P2054" s="2">
        <v>1.0</v>
      </c>
      <c r="Q2054" s="2">
        <v>6.0</v>
      </c>
      <c r="R2054" s="2">
        <v>0.0</v>
      </c>
      <c r="S2054" s="3" t="s">
        <v>8413</v>
      </c>
      <c r="T2054" s="2" t="s">
        <v>8414</v>
      </c>
      <c r="Y2054" s="4" t="str">
        <f>IFERROR(__xludf.DUMMYFUNCTION("""COMPUTED_VALUE"""),"7.163877")</f>
        <v>7.163877</v>
      </c>
      <c r="Z2054" s="4" t="str">
        <f>IFERROR(__xludf.DUMMYFUNCTION("""COMPUTED_VALUE"""),"3.646345")</f>
        <v>3.646345</v>
      </c>
      <c r="AA2054" s="4" t="str">
        <f t="shared" si="1"/>
        <v>Not Neighbor</v>
      </c>
      <c r="AC2054" s="4">
        <f>IFERROR(__xludf.DUMMYFUNCTION("IFERROR(ABS(O2054-AVERAGE(FILTER(O2054:O6122,AA2054:AA6122=""Neighbor""))) / STDEV(FILTER(O2054:O6122, AA2054:AA6122 =""Neighbor"")), """")"),0.05266945889676249)</f>
        <v>0.0526694589</v>
      </c>
      <c r="AD2054" s="4">
        <f>IFERROR(__xludf.DUMMYFUNCTION("IFERROR(ABS(P2054-AVERAGE(FILTER(O2054:P6122,AA2054:AA6122=""Neighbor""))) / STDEV(FILTER(P2054:P6122, AA2054:AA6122 =""Neighbor"")), """")"),1.5288760885102897)</f>
        <v>1.528876089</v>
      </c>
      <c r="AE2054" s="2">
        <f>IFERROR(__xludf.DUMMYFUNCTION("IFERROR(ABS(Q2054-AVERAGE(FILTER(Q2054:Q6122,AA2054:AA6122=""Neighbor""))) / STDEV(FILTER(Q2054:Q6122, AA2054:AA6122 =""Neighbor"")), """")"),0.6803153246941483)</f>
        <v>0.6803153247</v>
      </c>
      <c r="AF2054" s="2">
        <f>IFERROR(__xludf.DUMMYFUNCTION("IFERROR(ABS(R2054-AVERAGE(FILTER(R2054:R6122,AA2054:AA6122=""Neighbor""))) / STDEV(FILTER(R2054:R6122, AA2054:AA6122 =""Neighbor"")), """")"),0.34535442900826296)</f>
        <v>0.345354429</v>
      </c>
    </row>
    <row r="2055">
      <c r="A2055" s="2" t="s">
        <v>28</v>
      </c>
      <c r="B2055" s="2" t="s">
        <v>7915</v>
      </c>
      <c r="C2055" s="2" t="s">
        <v>8386</v>
      </c>
      <c r="D2055" s="2" t="s">
        <v>8415</v>
      </c>
      <c r="E2055" s="2" t="s">
        <v>8416</v>
      </c>
      <c r="F2055" s="2">
        <v>80.0</v>
      </c>
      <c r="G2055" s="2">
        <v>287.0</v>
      </c>
      <c r="H2055" s="2" t="b">
        <v>1</v>
      </c>
      <c r="I2055" s="2">
        <v>-1.0</v>
      </c>
      <c r="J2055" s="2" t="b">
        <v>1</v>
      </c>
      <c r="K2055" s="2" t="b">
        <v>0</v>
      </c>
      <c r="L2055" s="2" t="b">
        <v>0</v>
      </c>
      <c r="M2055" s="2" t="b">
        <v>0</v>
      </c>
      <c r="N2055" s="2" t="s">
        <v>33</v>
      </c>
      <c r="O2055" s="2">
        <v>72.0</v>
      </c>
      <c r="P2055" s="2">
        <v>0.0</v>
      </c>
      <c r="Q2055" s="2">
        <v>6.0</v>
      </c>
      <c r="R2055" s="2">
        <v>0.0</v>
      </c>
      <c r="S2055" s="3" t="s">
        <v>8417</v>
      </c>
      <c r="T2055" s="2" t="s">
        <v>8418</v>
      </c>
      <c r="Y2055" s="4" t="str">
        <f>IFERROR(__xludf.DUMMYFUNCTION("""COMPUTED_VALUE"""),"7.0782543")</f>
        <v>7.0782543</v>
      </c>
      <c r="Z2055" s="4" t="str">
        <f>IFERROR(__xludf.DUMMYFUNCTION("""COMPUTED_VALUE"""),"3.639585")</f>
        <v>3.639585</v>
      </c>
      <c r="AA2055" s="4" t="str">
        <f t="shared" si="1"/>
        <v>Not Neighbor</v>
      </c>
      <c r="AC2055" s="4">
        <f>IFERROR(__xludf.DUMMYFUNCTION("IFERROR(ABS(O2055-AVERAGE(FILTER(O2055:O6123,AA2055:AA6123=""Neighbor""))) / STDEV(FILTER(O2055:O6123, AA2055:AA6123 =""Neighbor"")), """")"),0.4816100552502852)</f>
        <v>0.4816100553</v>
      </c>
      <c r="AD2055" s="4">
        <f>IFERROR(__xludf.DUMMYFUNCTION("IFERROR(ABS(P2055-AVERAGE(FILTER(O2055:P6123,AA2055:AA6123=""Neighbor""))) / STDEV(FILTER(P2055:P6123, AA2055:AA6123 =""Neighbor"")), """")"),1.5733319808731356)</f>
        <v>1.573331981</v>
      </c>
      <c r="AE2055" s="2">
        <f>IFERROR(__xludf.DUMMYFUNCTION("IFERROR(ABS(Q2055-AVERAGE(FILTER(Q2055:Q6123,AA2055:AA6123=""Neighbor""))) / STDEV(FILTER(Q2055:Q6123, AA2055:AA6123 =""Neighbor"")), """")"),0.6803153246941483)</f>
        <v>0.6803153247</v>
      </c>
      <c r="AF2055" s="2">
        <f>IFERROR(__xludf.DUMMYFUNCTION("IFERROR(ABS(R2055-AVERAGE(FILTER(R2055:R6123,AA2055:AA6123=""Neighbor""))) / STDEV(FILTER(R2055:R6123, AA2055:AA6123 =""Neighbor"")), """")"),0.34535442900826296)</f>
        <v>0.345354429</v>
      </c>
    </row>
    <row r="2056">
      <c r="A2056" s="2" t="s">
        <v>28</v>
      </c>
      <c r="B2056" s="2" t="s">
        <v>7915</v>
      </c>
      <c r="C2056" s="2" t="s">
        <v>8386</v>
      </c>
      <c r="D2056" s="2" t="s">
        <v>8419</v>
      </c>
      <c r="E2056" s="2" t="s">
        <v>8420</v>
      </c>
      <c r="F2056" s="2">
        <v>86.0</v>
      </c>
      <c r="G2056" s="2">
        <v>408.0</v>
      </c>
      <c r="H2056" s="2" t="b">
        <v>1</v>
      </c>
      <c r="I2056" s="2">
        <v>-1.0</v>
      </c>
      <c r="J2056" s="2" t="b">
        <v>0</v>
      </c>
      <c r="K2056" s="2" t="b">
        <v>0</v>
      </c>
      <c r="L2056" s="2" t="b">
        <v>0</v>
      </c>
      <c r="M2056" s="2" t="b">
        <v>0</v>
      </c>
      <c r="N2056" s="2" t="s">
        <v>33</v>
      </c>
      <c r="O2056" s="2">
        <v>73.0</v>
      </c>
      <c r="P2056" s="2">
        <v>1.0</v>
      </c>
      <c r="Q2056" s="2">
        <v>12.0</v>
      </c>
      <c r="R2056" s="2">
        <v>0.0</v>
      </c>
      <c r="S2056" s="3" t="s">
        <v>8421</v>
      </c>
      <c r="T2056" s="2" t="s">
        <v>8422</v>
      </c>
      <c r="Y2056" s="4" t="str">
        <f>IFERROR(__xludf.DUMMYFUNCTION("""COMPUTED_VALUE"""),"6.948262")</f>
        <v>6.948262</v>
      </c>
      <c r="Z2056" s="4" t="str">
        <f>IFERROR(__xludf.DUMMYFUNCTION("""COMPUTED_VALUE"""),"3.5079264")</f>
        <v>3.5079264</v>
      </c>
      <c r="AA2056" s="4" t="str">
        <f t="shared" si="1"/>
        <v>Neighbor</v>
      </c>
      <c r="AC2056" s="4">
        <f>IFERROR(__xludf.DUMMYFUNCTION("IFERROR(ABS(O2056-AVERAGE(FILTER(O2056:O6124,AA2056:AA6124=""Neighbor""))) / STDEV(FILTER(O2056:O6124, AA2056:AA6124 =""Neighbor"")), """")"),0.5084188425223803)</f>
        <v>0.5084188425</v>
      </c>
      <c r="AD2056" s="4">
        <f>IFERROR(__xludf.DUMMYFUNCTION("IFERROR(ABS(P2056-AVERAGE(FILTER(O2056:P6124,AA2056:AA6124=""Neighbor""))) / STDEV(FILTER(P2056:P6124, AA2056:AA6124 =""Neighbor"")), """")"),1.5288760885102897)</f>
        <v>1.528876089</v>
      </c>
      <c r="AE2056" s="2">
        <f>IFERROR(__xludf.DUMMYFUNCTION("IFERROR(ABS(Q2056-AVERAGE(FILTER(Q2056:Q6124,AA2056:AA6124=""Neighbor""))) / STDEV(FILTER(Q2056:Q6124, AA2056:AA6124 =""Neighbor"")), """")"),0.3973059903325004)</f>
        <v>0.3973059903</v>
      </c>
      <c r="AF2056" s="2">
        <f>IFERROR(__xludf.DUMMYFUNCTION("IFERROR(ABS(R2056-AVERAGE(FILTER(R2056:R6124,AA2056:AA6124=""Neighbor""))) / STDEV(FILTER(R2056:R6124, AA2056:AA6124 =""Neighbor"")), """")"),0.34535442900826296)</f>
        <v>0.345354429</v>
      </c>
    </row>
    <row r="2057">
      <c r="A2057" s="2" t="s">
        <v>28</v>
      </c>
      <c r="B2057" s="2" t="s">
        <v>7915</v>
      </c>
      <c r="C2057" s="2" t="s">
        <v>8386</v>
      </c>
      <c r="D2057" s="2" t="s">
        <v>8423</v>
      </c>
      <c r="E2057" s="2" t="s">
        <v>8424</v>
      </c>
      <c r="F2057" s="2">
        <v>57.0</v>
      </c>
      <c r="G2057" s="2">
        <v>233.0</v>
      </c>
      <c r="H2057" s="2" t="b">
        <v>1</v>
      </c>
      <c r="I2057" s="2">
        <v>-1.0</v>
      </c>
      <c r="J2057" s="2" t="b">
        <v>0</v>
      </c>
      <c r="K2057" s="2" t="b">
        <v>0</v>
      </c>
      <c r="L2057" s="2" t="b">
        <v>0</v>
      </c>
      <c r="M2057" s="2" t="b">
        <v>0</v>
      </c>
      <c r="N2057" s="2" t="s">
        <v>33</v>
      </c>
      <c r="O2057" s="2">
        <v>51.0</v>
      </c>
      <c r="P2057" s="2">
        <v>4.0</v>
      </c>
      <c r="Q2057" s="2">
        <v>1.0</v>
      </c>
      <c r="R2057" s="2">
        <v>0.0</v>
      </c>
      <c r="S2057" s="3" t="s">
        <v>8425</v>
      </c>
      <c r="T2057" s="2" t="s">
        <v>8426</v>
      </c>
      <c r="Y2057" s="4" t="str">
        <f>IFERROR(__xludf.DUMMYFUNCTION("""COMPUTED_VALUE"""),"6.948262")</f>
        <v>6.948262</v>
      </c>
      <c r="Z2057" s="4" t="str">
        <f>IFERROR(__xludf.DUMMYFUNCTION("""COMPUTED_VALUE"""),"3.5079264")</f>
        <v>3.5079264</v>
      </c>
      <c r="AA2057" s="4" t="str">
        <f t="shared" si="1"/>
        <v>Not Neighbor</v>
      </c>
      <c r="AC2057" s="4">
        <f>IFERROR(__xludf.DUMMYFUNCTION("IFERROR(ABS(O2057-AVERAGE(FILTER(O2057:O6125,AA2057:AA6125=""Neighbor""))) / STDEV(FILTER(O2057:O6125, AA2057:AA6125 =""Neighbor"")), """")"),0.0807171365776189)</f>
        <v>0.08071713658</v>
      </c>
      <c r="AD2057" s="4">
        <f>IFERROR(__xludf.DUMMYFUNCTION("IFERROR(ABS(P2057-AVERAGE(FILTER(O2057:P6125,AA2057:AA6125=""Neighbor""))) / STDEV(FILTER(P2057:P6125, AA2057:AA6125 =""Neighbor"")), """")"),1.3949867971672127)</f>
        <v>1.394986797</v>
      </c>
      <c r="AE2057" s="2">
        <f>IFERROR(__xludf.DUMMYFUNCTION("IFERROR(ABS(Q2057-AVERAGE(FILTER(Q2057:Q6125,AA2057:AA6125=""Neighbor""))) / STDEV(FILTER(Q2057:Q6125, AA2057:AA6125 =""Neighbor"")), """")"),0.9161701688737819)</f>
        <v>0.9161701689</v>
      </c>
      <c r="AF2057" s="2">
        <f>IFERROR(__xludf.DUMMYFUNCTION("IFERROR(ABS(R2057-AVERAGE(FILTER(R2057:R6125,AA2057:AA6125=""Neighbor""))) / STDEV(FILTER(R2057:R6125, AA2057:AA6125 =""Neighbor"")), """")"),0.3455901417044939)</f>
        <v>0.3455901417</v>
      </c>
    </row>
    <row r="2058">
      <c r="A2058" s="2" t="s">
        <v>28</v>
      </c>
      <c r="B2058" s="2" t="s">
        <v>7915</v>
      </c>
      <c r="C2058" s="2" t="s">
        <v>8386</v>
      </c>
      <c r="D2058" s="2" t="s">
        <v>8427</v>
      </c>
      <c r="E2058" s="2" t="s">
        <v>8428</v>
      </c>
      <c r="F2058" s="2">
        <v>62.0</v>
      </c>
      <c r="G2058" s="2">
        <v>374.0</v>
      </c>
      <c r="H2058" s="2" t="b">
        <v>1</v>
      </c>
      <c r="I2058" s="2">
        <v>-1.0</v>
      </c>
      <c r="J2058" s="2" t="b">
        <v>0</v>
      </c>
      <c r="K2058" s="2" t="b">
        <v>1</v>
      </c>
      <c r="L2058" s="2" t="b">
        <v>0</v>
      </c>
      <c r="M2058" s="2" t="b">
        <v>0</v>
      </c>
      <c r="N2058" s="2" t="s">
        <v>33</v>
      </c>
      <c r="O2058" s="2">
        <v>48.0</v>
      </c>
      <c r="P2058" s="2">
        <v>0.0</v>
      </c>
      <c r="Q2058" s="2">
        <v>12.0</v>
      </c>
      <c r="R2058" s="2">
        <v>0.0</v>
      </c>
      <c r="S2058" s="3" t="s">
        <v>8429</v>
      </c>
      <c r="T2058" s="2" t="s">
        <v>8430</v>
      </c>
      <c r="Y2058" s="4" t="str">
        <f>IFERROR(__xludf.DUMMYFUNCTION("""COMPUTED_VALUE"""),"7.1727988")</f>
        <v>7.1727988</v>
      </c>
      <c r="Z2058" s="4" t="str">
        <f>IFERROR(__xludf.DUMMYFUNCTION("""COMPUTED_VALUE"""),"3.6137071")</f>
        <v>3.6137071</v>
      </c>
      <c r="AA2058" s="4" t="str">
        <f t="shared" si="1"/>
        <v>Not Neighbor</v>
      </c>
      <c r="AC2058" s="4">
        <f>IFERROR(__xludf.DUMMYFUNCTION("IFERROR(ABS(O2058-AVERAGE(FILTER(O2058:O6126,AA2058:AA6126=""Neighbor""))) / STDEV(FILTER(O2058:O6126, AA2058:AA6126 =""Neighbor"")), """")"),0.16110708573497992)</f>
        <v>0.1611070857</v>
      </c>
      <c r="AD2058" s="4">
        <f>IFERROR(__xludf.DUMMYFUNCTION("IFERROR(ABS(P2058-AVERAGE(FILTER(O2058:P6126,AA2058:AA6126=""Neighbor""))) / STDEV(FILTER(P2058:P6126, AA2058:AA6126 =""Neighbor"")), """")"),1.5727550261867513)</f>
        <v>1.572755026</v>
      </c>
      <c r="AE2058" s="2">
        <f>IFERROR(__xludf.DUMMYFUNCTION("IFERROR(ABS(Q2058-AVERAGE(FILTER(Q2058:Q6126,AA2058:AA6126=""Neighbor""))) / STDEV(FILTER(Q2058:Q6126, AA2058:AA6126 =""Neighbor"")), """")"),0.3975865391060072)</f>
        <v>0.3975865391</v>
      </c>
      <c r="AF2058" s="2">
        <f>IFERROR(__xludf.DUMMYFUNCTION("IFERROR(ABS(R2058-AVERAGE(FILTER(R2058:R6126,AA2058:AA6126=""Neighbor""))) / STDEV(FILTER(R2058:R6126, AA2058:AA6126 =""Neighbor"")), """")"),0.3455901417044939)</f>
        <v>0.3455901417</v>
      </c>
    </row>
    <row r="2059">
      <c r="A2059" s="2" t="s">
        <v>28</v>
      </c>
      <c r="B2059" s="2" t="s">
        <v>7915</v>
      </c>
      <c r="C2059" s="2" t="s">
        <v>8386</v>
      </c>
      <c r="D2059" s="2" t="s">
        <v>8431</v>
      </c>
      <c r="E2059" s="2" t="s">
        <v>8432</v>
      </c>
      <c r="F2059" s="2">
        <v>60.0</v>
      </c>
      <c r="G2059" s="2">
        <v>257.0</v>
      </c>
      <c r="H2059" s="2" t="b">
        <v>1</v>
      </c>
      <c r="I2059" s="2">
        <v>-1.0</v>
      </c>
      <c r="J2059" s="2" t="b">
        <v>0</v>
      </c>
      <c r="K2059" s="2" t="b">
        <v>0</v>
      </c>
      <c r="L2059" s="2" t="b">
        <v>0</v>
      </c>
      <c r="M2059" s="2" t="b">
        <v>0</v>
      </c>
      <c r="N2059" s="2" t="s">
        <v>33</v>
      </c>
      <c r="O2059" s="2">
        <v>36.0</v>
      </c>
      <c r="P2059" s="2">
        <v>1.0</v>
      </c>
      <c r="Q2059" s="2">
        <v>18.0</v>
      </c>
      <c r="R2059" s="2">
        <v>0.0</v>
      </c>
      <c r="S2059" s="3" t="s">
        <v>8433</v>
      </c>
      <c r="T2059" s="2" t="s">
        <v>8434</v>
      </c>
      <c r="Y2059" s="4" t="str">
        <f>IFERROR(__xludf.DUMMYFUNCTION("""COMPUTED_VALUE"""),"6.948262")</f>
        <v>6.948262</v>
      </c>
      <c r="Z2059" s="4" t="str">
        <f>IFERROR(__xludf.DUMMYFUNCTION("""COMPUTED_VALUE"""),"3.5079264")</f>
        <v>3.5079264</v>
      </c>
      <c r="AA2059" s="4" t="str">
        <f t="shared" si="1"/>
        <v>Not Neighbor</v>
      </c>
      <c r="AC2059" s="4">
        <f>IFERROR(__xludf.DUMMYFUNCTION("IFERROR(ABS(O2059-AVERAGE(FILTER(O2059:O6127,AA2059:AA6127=""Neighbor""))) / STDEV(FILTER(O2059:O6127, AA2059:AA6127 =""Neighbor"")), """")"),0.48266688236442407)</f>
        <v>0.4826668824</v>
      </c>
      <c r="AD2059" s="4">
        <f>IFERROR(__xludf.DUMMYFUNCTION("IFERROR(ABS(P2059-AVERAGE(FILTER(O2059:P6127,AA2059:AA6127=""Neighbor""))) / STDEV(FILTER(P2059:P6127, AA2059:AA6127 =""Neighbor"")), """")"),1.5283129689318666)</f>
        <v>1.528312969</v>
      </c>
      <c r="AE2059" s="2">
        <f>IFERROR(__xludf.DUMMYFUNCTION("IFERROR(ABS(Q2059-AVERAGE(FILTER(Q2059:Q6127,AA2059:AA6127=""Neighbor""))) / STDEV(FILTER(Q2059:Q6127, AA2059:AA6127 =""Neighbor"")), """")"),0.11472274105085739)</f>
        <v>0.1147227411</v>
      </c>
      <c r="AF2059" s="2">
        <f>IFERROR(__xludf.DUMMYFUNCTION("IFERROR(ABS(R2059-AVERAGE(FILTER(R2059:R6127,AA2059:AA6127=""Neighbor""))) / STDEV(FILTER(R2059:R6127, AA2059:AA6127 =""Neighbor"")), """")"),0.3455901417044939)</f>
        <v>0.3455901417</v>
      </c>
    </row>
    <row r="2060">
      <c r="A2060" s="2" t="s">
        <v>28</v>
      </c>
      <c r="B2060" s="2" t="s">
        <v>7915</v>
      </c>
      <c r="C2060" s="2" t="s">
        <v>8435</v>
      </c>
      <c r="D2060" s="2" t="s">
        <v>8436</v>
      </c>
      <c r="E2060" s="2" t="s">
        <v>8437</v>
      </c>
      <c r="F2060" s="2">
        <v>142.0</v>
      </c>
      <c r="G2060" s="2">
        <v>750.0</v>
      </c>
      <c r="H2060" s="2" t="b">
        <v>1</v>
      </c>
      <c r="I2060" s="2">
        <v>-1.0</v>
      </c>
      <c r="J2060" s="2" t="b">
        <v>0</v>
      </c>
      <c r="K2060" s="2" t="b">
        <v>0</v>
      </c>
      <c r="L2060" s="2" t="b">
        <v>0</v>
      </c>
      <c r="M2060" s="2" t="b">
        <v>0</v>
      </c>
      <c r="N2060" s="2" t="s">
        <v>33</v>
      </c>
      <c r="O2060" s="2">
        <v>86.0</v>
      </c>
      <c r="P2060" s="2">
        <v>22.0</v>
      </c>
      <c r="Q2060" s="2">
        <v>24.0</v>
      </c>
      <c r="R2060" s="2">
        <v>2.0</v>
      </c>
      <c r="S2060" s="3" t="s">
        <v>8438</v>
      </c>
      <c r="T2060" s="2" t="s">
        <v>8439</v>
      </c>
      <c r="Y2060" s="4" t="str">
        <f>IFERROR(__xludf.DUMMYFUNCTION("""COMPUTED_VALUE"""),"7.1168583")</f>
        <v>7.1168583</v>
      </c>
      <c r="Z2060" s="4" t="str">
        <f>IFERROR(__xludf.DUMMYFUNCTION("""COMPUTED_VALUE"""),"3.6917695")</f>
        <v>3.6917695</v>
      </c>
      <c r="AA2060" s="4" t="str">
        <f t="shared" si="1"/>
        <v>Neighbor</v>
      </c>
      <c r="AC2060" s="4">
        <f>IFERROR(__xludf.DUMMYFUNCTION("IFERROR(ABS(O2060-AVERAGE(FILTER(O2060:O6128,AA2060:AA6128=""Neighbor""))) / STDEV(FILTER(O2060:O6128, AA2060:AA6128 =""Neighbor"")), """")"),0.8571656035915931)</f>
        <v>0.8571656036</v>
      </c>
      <c r="AD2060" s="4">
        <f>IFERROR(__xludf.DUMMYFUNCTION("IFERROR(ABS(P2060-AVERAGE(FILTER(O2060:P6128,AA2060:AA6128=""Neighbor""))) / STDEV(FILTER(P2060:P6128, AA2060:AA6128 =""Neighbor"")), """")"),0.5950297665792889)</f>
        <v>0.5950297666</v>
      </c>
      <c r="AE2060" s="2">
        <f>IFERROR(__xludf.DUMMYFUNCTION("IFERROR(ABS(Q2060-AVERAGE(FILTER(Q2060:Q6128,AA2060:AA6128=""Neighbor""))) / STDEV(FILTER(Q2060:Q6128, AA2060:AA6128 =""Neighbor"")), """")"),0.1681410570042924)</f>
        <v>0.168141057</v>
      </c>
      <c r="AF2060" s="2">
        <f>IFERROR(__xludf.DUMMYFUNCTION("IFERROR(ABS(R2060-AVERAGE(FILTER(R2060:R6128,AA2060:AA6128=""Neighbor""))) / STDEV(FILTER(R2060:R6128, AA2060:AA6128 =""Neighbor"")), """")"),2.022931415249318)</f>
        <v>2.022931415</v>
      </c>
    </row>
    <row r="2061">
      <c r="A2061" s="2" t="s">
        <v>28</v>
      </c>
      <c r="B2061" s="2" t="s">
        <v>7915</v>
      </c>
      <c r="C2061" s="2" t="s">
        <v>8435</v>
      </c>
      <c r="D2061" s="2" t="s">
        <v>8440</v>
      </c>
      <c r="E2061" s="2" t="s">
        <v>8441</v>
      </c>
      <c r="F2061" s="2">
        <v>118.0</v>
      </c>
      <c r="G2061" s="2">
        <v>536.0</v>
      </c>
      <c r="H2061" s="2" t="b">
        <v>1</v>
      </c>
      <c r="I2061" s="2">
        <v>-1.0</v>
      </c>
      <c r="J2061" s="2" t="b">
        <v>0</v>
      </c>
      <c r="K2061" s="2" t="b">
        <v>0</v>
      </c>
      <c r="L2061" s="2" t="b">
        <v>0</v>
      </c>
      <c r="M2061" s="2" t="b">
        <v>0</v>
      </c>
      <c r="N2061" s="2" t="s">
        <v>33</v>
      </c>
      <c r="O2061" s="2">
        <v>79.0</v>
      </c>
      <c r="P2061" s="2">
        <v>12.0</v>
      </c>
      <c r="Q2061" s="2">
        <v>18.0</v>
      </c>
      <c r="R2061" s="2">
        <v>0.0</v>
      </c>
      <c r="S2061" s="3" t="s">
        <v>8442</v>
      </c>
      <c r="T2061" s="2" t="s">
        <v>8443</v>
      </c>
      <c r="Y2061" s="4" t="str">
        <f>IFERROR(__xludf.DUMMYFUNCTION("""COMPUTED_VALUE"""),"7.1264458")</f>
        <v>7.1264458</v>
      </c>
      <c r="Z2061" s="4" t="str">
        <f>IFERROR(__xludf.DUMMYFUNCTION("""COMPUTED_VALUE"""),"3.6970336")</f>
        <v>3.6970336</v>
      </c>
      <c r="AA2061" s="4" t="str">
        <f t="shared" si="1"/>
        <v>Not Neighbor</v>
      </c>
      <c r="AC2061" s="4">
        <f>IFERROR(__xludf.DUMMYFUNCTION("IFERROR(ABS(O2061-AVERAGE(FILTER(O2061:O6129,AA2061:AA6129=""Neighbor""))) / STDEV(FILTER(O2061:O6129, AA2061:AA6129 =""Neighbor"")), """")"),0.6705284575776113)</f>
        <v>0.6705284576</v>
      </c>
      <c r="AD2061" s="4">
        <f>IFERROR(__xludf.DUMMYFUNCTION("IFERROR(ABS(P2061-AVERAGE(FILTER(O2061:P6129,AA2061:AA6129=""Neighbor""))) / STDEV(FILTER(P2061:P6129, AA2061:AA6129 =""Neighbor"")), """")"),1.0378386304520084)</f>
        <v>1.03783863</v>
      </c>
      <c r="AE2061" s="2">
        <f>IFERROR(__xludf.DUMMYFUNCTION("IFERROR(ABS(Q2061-AVERAGE(FILTER(Q2061:Q6129,AA2061:AA6129=""Neighbor""))) / STDEV(FILTER(Q2061:Q6129, AA2061:AA6129 =""Neighbor"")), """")"),0.11444915015770712)</f>
        <v>0.1144491502</v>
      </c>
      <c r="AF2061" s="2">
        <f>IFERROR(__xludf.DUMMYFUNCTION("IFERROR(ABS(R2061-AVERAGE(FILTER(R2061:R6129,AA2061:AA6129=""Neighbor""))) / STDEV(FILTER(R2061:R6129, AA2061:AA6129 =""Neighbor"")), """")"),0.3437693555001161)</f>
        <v>0.3437693555</v>
      </c>
    </row>
    <row r="2062">
      <c r="A2062" s="2" t="s">
        <v>28</v>
      </c>
      <c r="B2062" s="2" t="s">
        <v>7915</v>
      </c>
      <c r="C2062" s="2" t="s">
        <v>8435</v>
      </c>
      <c r="D2062" s="2" t="s">
        <v>8444</v>
      </c>
      <c r="E2062" s="2" t="s">
        <v>8445</v>
      </c>
      <c r="F2062" s="2">
        <v>54.0</v>
      </c>
      <c r="G2062" s="2">
        <v>284.0</v>
      </c>
      <c r="H2062" s="2" t="b">
        <v>1</v>
      </c>
      <c r="I2062" s="2">
        <v>-1.0</v>
      </c>
      <c r="J2062" s="2" t="b">
        <v>0</v>
      </c>
      <c r="K2062" s="2" t="b">
        <v>0</v>
      </c>
      <c r="L2062" s="2" t="b">
        <v>0</v>
      </c>
      <c r="M2062" s="2" t="b">
        <v>0</v>
      </c>
      <c r="N2062" s="2" t="s">
        <v>33</v>
      </c>
      <c r="O2062" s="2">
        <v>29.0</v>
      </c>
      <c r="P2062" s="2">
        <v>6.0</v>
      </c>
      <c r="Q2062" s="2">
        <v>9.0</v>
      </c>
      <c r="R2062" s="2">
        <v>0.0</v>
      </c>
      <c r="S2062" s="3" t="s">
        <v>8446</v>
      </c>
      <c r="T2062" s="2" t="s">
        <v>8447</v>
      </c>
      <c r="Y2062" s="4" t="str">
        <f>IFERROR(__xludf.DUMMYFUNCTION("""COMPUTED_VALUE"""),"7.0305538")</f>
        <v>7.0305538</v>
      </c>
      <c r="Z2062" s="4" t="str">
        <f>IFERROR(__xludf.DUMMYFUNCTION("""COMPUTED_VALUE"""),"3.6415729")</f>
        <v>3.6415729</v>
      </c>
      <c r="AA2062" s="4" t="str">
        <f t="shared" si="1"/>
        <v>Not Neighbor</v>
      </c>
      <c r="AC2062" s="4">
        <f>IFERROR(__xludf.DUMMYFUNCTION("IFERROR(ABS(O2062-AVERAGE(FILTER(O2062:O6130,AA2062:AA6130=""Neighbor""))) / STDEV(FILTER(O2062:O6130, AA2062:AA6130 =""Neighbor"")), """")"),0.6690873061447561)</f>
        <v>0.6690873061</v>
      </c>
      <c r="AD2062" s="4">
        <f>IFERROR(__xludf.DUMMYFUNCTION("IFERROR(ABS(P2062-AVERAGE(FILTER(O2062:P6130,AA2062:AA6130=""Neighbor""))) / STDEV(FILTER(P2062:P6130, AA2062:AA6130 =""Neighbor"")), """")"),1.3043367599551585)</f>
        <v>1.30433676</v>
      </c>
      <c r="AE2062" s="2">
        <f>IFERROR(__xludf.DUMMYFUNCTION("IFERROR(ABS(Q2062-AVERAGE(FILTER(Q2062:Q6130,AA2062:AA6130=""Neighbor""))) / STDEV(FILTER(Q2062:Q6130, AA2062:AA6130 =""Neighbor"")), """")"),0.5384927553217936)</f>
        <v>0.5384927553</v>
      </c>
      <c r="AF2062" s="2">
        <f>IFERROR(__xludf.DUMMYFUNCTION("IFERROR(ABS(R2062-AVERAGE(FILTER(R2062:R6130,AA2062:AA6130=""Neighbor""))) / STDEV(FILTER(R2062:R6130, AA2062:AA6130 =""Neighbor"")), """")"),0.3437693555001161)</f>
        <v>0.3437693555</v>
      </c>
    </row>
    <row r="2063">
      <c r="A2063" s="2" t="s">
        <v>28</v>
      </c>
      <c r="B2063" s="2" t="s">
        <v>7915</v>
      </c>
      <c r="C2063" s="2" t="s">
        <v>8435</v>
      </c>
      <c r="D2063" s="2" t="s">
        <v>8448</v>
      </c>
      <c r="E2063" s="2" t="s">
        <v>8449</v>
      </c>
      <c r="F2063" s="2">
        <v>77.0</v>
      </c>
      <c r="G2063" s="2">
        <v>314.0</v>
      </c>
      <c r="H2063" s="2" t="b">
        <v>1</v>
      </c>
      <c r="I2063" s="2">
        <v>-1.0</v>
      </c>
      <c r="J2063" s="2" t="b">
        <v>0</v>
      </c>
      <c r="K2063" s="2" t="b">
        <v>0</v>
      </c>
      <c r="L2063" s="2" t="b">
        <v>0</v>
      </c>
      <c r="M2063" s="2" t="b">
        <v>0</v>
      </c>
      <c r="N2063" s="2" t="s">
        <v>33</v>
      </c>
      <c r="O2063" s="2">
        <v>72.0</v>
      </c>
      <c r="P2063" s="2">
        <v>0.0</v>
      </c>
      <c r="Q2063" s="2">
        <v>4.0</v>
      </c>
      <c r="R2063" s="2">
        <v>0.0</v>
      </c>
      <c r="S2063" s="3" t="s">
        <v>8450</v>
      </c>
      <c r="T2063" s="2" t="s">
        <v>8451</v>
      </c>
      <c r="Y2063" s="4" t="str">
        <f>IFERROR(__xludf.DUMMYFUNCTION("""COMPUTED_VALUE"""),"6.948262")</f>
        <v>6.948262</v>
      </c>
      <c r="Z2063" s="4" t="str">
        <f>IFERROR(__xludf.DUMMYFUNCTION("""COMPUTED_VALUE"""),"3.5079264")</f>
        <v>3.5079264</v>
      </c>
      <c r="AA2063" s="4" t="str">
        <f t="shared" si="1"/>
        <v>Neighbor</v>
      </c>
      <c r="AC2063" s="4">
        <f>IFERROR(__xludf.DUMMYFUNCTION("IFERROR(ABS(O2063-AVERAGE(FILTER(O2063:O6131,AA2063:AA6131=""Neighbor""))) / STDEV(FILTER(O2063:O6131, AA2063:AA6131 =""Neighbor"")), """")"),0.4829822506564798)</f>
        <v>0.4829822507</v>
      </c>
      <c r="AD2063" s="4">
        <f>IFERROR(__xludf.DUMMYFUNCTION("IFERROR(ABS(P2063-AVERAGE(FILTER(O2063:P6131,AA2063:AA6131=""Neighbor""))) / STDEV(FILTER(P2063:P6131, AA2063:AA6131 =""Neighbor"")), """")"),1.5708348894583084)</f>
        <v>1.570834889</v>
      </c>
      <c r="AE2063" s="2">
        <f>IFERROR(__xludf.DUMMYFUNCTION("IFERROR(ABS(Q2063-AVERAGE(FILTER(Q2063:Q6131,AA2063:AA6131=""Neighbor""))) / STDEV(FILTER(Q2063:Q6131, AA2063:AA6131 =""Neighbor"")), """")"),0.7740725359685084)</f>
        <v>0.774072536</v>
      </c>
      <c r="AF2063" s="2">
        <f>IFERROR(__xludf.DUMMYFUNCTION("IFERROR(ABS(R2063-AVERAGE(FILTER(R2063:R6131,AA2063:AA6131=""Neighbor""))) / STDEV(FILTER(R2063:R6131, AA2063:AA6131 =""Neighbor"")), """")"),0.3437693555001161)</f>
        <v>0.3437693555</v>
      </c>
    </row>
    <row r="2064">
      <c r="A2064" s="2" t="s">
        <v>28</v>
      </c>
      <c r="B2064" s="2" t="s">
        <v>7915</v>
      </c>
      <c r="C2064" s="2" t="s">
        <v>8435</v>
      </c>
      <c r="D2064" s="2" t="s">
        <v>8452</v>
      </c>
      <c r="E2064" s="2" t="s">
        <v>8453</v>
      </c>
      <c r="F2064" s="2">
        <v>66.0</v>
      </c>
      <c r="G2064" s="2">
        <v>289.0</v>
      </c>
      <c r="H2064" s="2" t="b">
        <v>1</v>
      </c>
      <c r="I2064" s="2">
        <v>-1.0</v>
      </c>
      <c r="J2064" s="2" t="b">
        <v>0</v>
      </c>
      <c r="K2064" s="2" t="b">
        <v>0</v>
      </c>
      <c r="L2064" s="2" t="b">
        <v>0</v>
      </c>
      <c r="M2064" s="2" t="b">
        <v>0</v>
      </c>
      <c r="N2064" s="2" t="s">
        <v>33</v>
      </c>
      <c r="O2064" s="2">
        <v>56.0</v>
      </c>
      <c r="P2064" s="2">
        <v>1.0</v>
      </c>
      <c r="Q2064" s="2">
        <v>2.0</v>
      </c>
      <c r="R2064" s="2">
        <v>0.0</v>
      </c>
      <c r="S2064" s="3" t="s">
        <v>8454</v>
      </c>
      <c r="T2064" s="2" t="s">
        <v>8455</v>
      </c>
      <c r="Y2064" s="4" t="str">
        <f>IFERROR(__xludf.DUMMYFUNCTION("""COMPUTED_VALUE"""),"6.948262")</f>
        <v>6.948262</v>
      </c>
      <c r="Z2064" s="4" t="str">
        <f>IFERROR(__xludf.DUMMYFUNCTION("""COMPUTED_VALUE"""),"3.5079264")</f>
        <v>3.5079264</v>
      </c>
      <c r="AA2064" s="4" t="str">
        <f t="shared" si="1"/>
        <v>Neighbor</v>
      </c>
      <c r="AC2064" s="4">
        <f>IFERROR(__xludf.DUMMYFUNCTION("IFERROR(ABS(O2064-AVERAGE(FILTER(O2064:O6132,AA2064:AA6132=""Neighbor""))) / STDEV(FILTER(O2064:O6132, AA2064:AA6132 =""Neighbor"")), """")"),0.054870608757693166)</f>
        <v>0.05487060876</v>
      </c>
      <c r="AD2064" s="4">
        <f>IFERROR(__xludf.DUMMYFUNCTION("IFERROR(ABS(P2064-AVERAGE(FILTER(O2064:P6132,AA2064:AA6132=""Neighbor""))) / STDEV(FILTER(P2064:P6132, AA2064:AA6132 =""Neighbor"")), """")"),1.5259678389398885)</f>
        <v>1.525967839</v>
      </c>
      <c r="AE2064" s="2">
        <f>IFERROR(__xludf.DUMMYFUNCTION("IFERROR(ABS(Q2064-AVERAGE(FILTER(Q2064:Q6132,AA2064:AA6132=""Neighbor""))) / STDEV(FILTER(Q2064:Q6132, AA2064:AA6132 =""Neighbor"")), """")"),0.8690388901111225)</f>
        <v>0.8690388901</v>
      </c>
      <c r="AF2064" s="2">
        <f>IFERROR(__xludf.DUMMYFUNCTION("IFERROR(ABS(R2064-AVERAGE(FILTER(R2064:R6132,AA2064:AA6132=""Neighbor""))) / STDEV(FILTER(R2064:R6132, AA2064:AA6132 =""Neighbor"")), """")"),0.34400432977157136)</f>
        <v>0.3440043298</v>
      </c>
    </row>
    <row r="2065">
      <c r="A2065" s="2" t="s">
        <v>28</v>
      </c>
      <c r="B2065" s="2" t="s">
        <v>7915</v>
      </c>
      <c r="C2065" s="2" t="s">
        <v>8435</v>
      </c>
      <c r="D2065" s="2" t="s">
        <v>8456</v>
      </c>
      <c r="E2065" s="2" t="s">
        <v>8457</v>
      </c>
      <c r="F2065" s="2">
        <v>58.0</v>
      </c>
      <c r="G2065" s="2">
        <v>464.0</v>
      </c>
      <c r="H2065" s="2" t="b">
        <v>1</v>
      </c>
      <c r="I2065" s="2">
        <v>-1.0</v>
      </c>
      <c r="J2065" s="2" t="b">
        <v>0</v>
      </c>
      <c r="K2065" s="2" t="b">
        <v>0</v>
      </c>
      <c r="L2065" s="2" t="b">
        <v>0</v>
      </c>
      <c r="M2065" s="2" t="b">
        <v>0</v>
      </c>
      <c r="N2065" s="2" t="s">
        <v>33</v>
      </c>
      <c r="O2065" s="2">
        <v>54.0</v>
      </c>
      <c r="P2065" s="2">
        <v>0.0</v>
      </c>
      <c r="Q2065" s="2">
        <v>3.0</v>
      </c>
      <c r="R2065" s="2">
        <v>0.0</v>
      </c>
      <c r="S2065" s="3" t="s">
        <v>8458</v>
      </c>
      <c r="T2065" s="2" t="s">
        <v>8459</v>
      </c>
      <c r="Y2065" s="4" t="str">
        <f>IFERROR(__xludf.DUMMYFUNCTION("""COMPUTED_VALUE"""),"6.948262")</f>
        <v>6.948262</v>
      </c>
      <c r="Z2065" s="4" t="str">
        <f>IFERROR(__xludf.DUMMYFUNCTION("""COMPUTED_VALUE"""),"3.5079264")</f>
        <v>3.5079264</v>
      </c>
      <c r="AA2065" s="4" t="str">
        <f t="shared" si="1"/>
        <v>Neighbor</v>
      </c>
      <c r="AC2065" s="4">
        <f>IFERROR(__xludf.DUMMYFUNCTION("IFERROR(ABS(O2065-AVERAGE(FILTER(O2065:O6133,AA2065:AA6133=""Neighbor""))) / STDEV(FILTER(O2065:O6133, AA2065:AA6133 =""Neighbor"")), """")"),0.0013775267470188376)</f>
        <v>0.001377526747</v>
      </c>
      <c r="AD2065" s="4">
        <f>IFERROR(__xludf.DUMMYFUNCTION("IFERROR(ABS(P2065-AVERAGE(FILTER(O2065:P6133,AA2065:AA6133=""Neighbor""))) / STDEV(FILTER(P2065:P6133, AA2065:AA6133 =""Neighbor"")), """")"),1.570255946865071)</f>
        <v>1.570255947</v>
      </c>
      <c r="AE2065" s="2">
        <f>IFERROR(__xludf.DUMMYFUNCTION("IFERROR(ABS(Q2065-AVERAGE(FILTER(Q2065:Q6133,AA2065:AA6133=""Neighbor""))) / STDEV(FILTER(Q2065:Q6133, AA2065:AA6133 =""Neighbor"")), """")"),0.8228763866335186)</f>
        <v>0.8228763866</v>
      </c>
      <c r="AF2065" s="2">
        <f>IFERROR(__xludf.DUMMYFUNCTION("IFERROR(ABS(R2065-AVERAGE(FILTER(R2065:R6133,AA2065:AA6133=""Neighbor""))) / STDEV(FILTER(R2065:R6133, AA2065:AA6133 =""Neighbor"")), """")"),0.3442397866078397)</f>
        <v>0.3442397866</v>
      </c>
    </row>
    <row r="2066">
      <c r="A2066" s="2" t="s">
        <v>28</v>
      </c>
      <c r="B2066" s="2" t="s">
        <v>7915</v>
      </c>
      <c r="C2066" s="2" t="s">
        <v>8435</v>
      </c>
      <c r="D2066" s="2" t="s">
        <v>8460</v>
      </c>
      <c r="E2066" s="2" t="s">
        <v>8461</v>
      </c>
      <c r="F2066" s="2">
        <v>70.0</v>
      </c>
      <c r="G2066" s="2">
        <v>293.0</v>
      </c>
      <c r="H2066" s="2" t="b">
        <v>1</v>
      </c>
      <c r="I2066" s="2">
        <v>-1.0</v>
      </c>
      <c r="J2066" s="2" t="b">
        <v>0</v>
      </c>
      <c r="K2066" s="2" t="b">
        <v>0</v>
      </c>
      <c r="L2066" s="2" t="b">
        <v>0</v>
      </c>
      <c r="M2066" s="2" t="b">
        <v>0</v>
      </c>
      <c r="N2066" s="2" t="s">
        <v>33</v>
      </c>
      <c r="O2066" s="2">
        <v>43.0</v>
      </c>
      <c r="P2066" s="2">
        <v>4.0</v>
      </c>
      <c r="Q2066" s="2">
        <v>12.0</v>
      </c>
      <c r="R2066" s="2">
        <v>0.0</v>
      </c>
      <c r="S2066" s="3" t="s">
        <v>8462</v>
      </c>
      <c r="T2066" s="2" t="s">
        <v>8463</v>
      </c>
      <c r="Y2066" s="4" t="str">
        <f>IFERROR(__xludf.DUMMYFUNCTION("""COMPUTED_VALUE"""),"6.948262")</f>
        <v>6.948262</v>
      </c>
      <c r="Z2066" s="4" t="str">
        <f>IFERROR(__xludf.DUMMYFUNCTION("""COMPUTED_VALUE"""),"3.5079264")</f>
        <v>3.5079264</v>
      </c>
      <c r="AA2066" s="4" t="str">
        <f t="shared" si="1"/>
        <v>Neighbor</v>
      </c>
      <c r="AC2066" s="4">
        <f>IFERROR(__xludf.DUMMYFUNCTION("IFERROR(ABS(O2066-AVERAGE(FILTER(O2066:O6134,AA2066:AA6134=""Neighbor""))) / STDEV(FILTER(O2066:O6134, AA2066:AA6134 =""Neighbor"")), """")"),0.2928381073923076)</f>
        <v>0.2928381074</v>
      </c>
      <c r="AD2066" s="4">
        <f>IFERROR(__xludf.DUMMYFUNCTION("IFERROR(ABS(P2066-AVERAGE(FILTER(O2066:P6134,AA2066:AA6134=""Neighbor""))) / STDEV(FILTER(P2066:P6134, AA2066:AA6134 =""Neighbor"")), """")"),1.3927713116976193)</f>
        <v>1.392771312</v>
      </c>
      <c r="AE2066" s="2">
        <f>IFERROR(__xludf.DUMMYFUNCTION("IFERROR(ABS(Q2066-AVERAGE(FILTER(Q2066:Q6134,AA2066:AA6134=""Neighbor""))) / STDEV(FILTER(Q2066:Q6134, AA2066:AA6134 =""Neighbor"")), """")"),0.39993066208185346)</f>
        <v>0.3999306621</v>
      </c>
      <c r="AF2066" s="2">
        <f>IFERROR(__xludf.DUMMYFUNCTION("IFERROR(ABS(R2066-AVERAGE(FILTER(R2066:R6134,AA2066:AA6134=""Neighbor""))) / STDEV(FILTER(R2066:R6134, AA2066:AA6134 =""Neighbor"")), """")"),0.34447572766314155)</f>
        <v>0.3444757277</v>
      </c>
    </row>
    <row r="2067">
      <c r="A2067" s="2" t="s">
        <v>28</v>
      </c>
      <c r="B2067" s="2" t="s">
        <v>7915</v>
      </c>
      <c r="C2067" s="2" t="s">
        <v>8435</v>
      </c>
      <c r="D2067" s="2" t="s">
        <v>8464</v>
      </c>
      <c r="E2067" s="2" t="s">
        <v>8465</v>
      </c>
      <c r="F2067" s="2">
        <v>86.0</v>
      </c>
      <c r="G2067" s="2">
        <v>350.0</v>
      </c>
      <c r="H2067" s="2" t="b">
        <v>1</v>
      </c>
      <c r="I2067" s="2">
        <v>-1.0</v>
      </c>
      <c r="J2067" s="2" t="b">
        <v>0</v>
      </c>
      <c r="K2067" s="2" t="b">
        <v>0</v>
      </c>
      <c r="L2067" s="2" t="b">
        <v>0</v>
      </c>
      <c r="M2067" s="2" t="b">
        <v>0</v>
      </c>
      <c r="N2067" s="2" t="s">
        <v>33</v>
      </c>
      <c r="O2067" s="2">
        <v>81.0</v>
      </c>
      <c r="P2067" s="2">
        <v>1.0</v>
      </c>
      <c r="Q2067" s="2">
        <v>2.0</v>
      </c>
      <c r="R2067" s="2">
        <v>0.0</v>
      </c>
      <c r="S2067" s="3" t="s">
        <v>8466</v>
      </c>
      <c r="T2067" s="2" t="s">
        <v>8467</v>
      </c>
      <c r="Y2067" s="4" t="str">
        <f>IFERROR(__xludf.DUMMYFUNCTION("""COMPUTED_VALUE"""),"6.948262")</f>
        <v>6.948262</v>
      </c>
      <c r="Z2067" s="4" t="str">
        <f>IFERROR(__xludf.DUMMYFUNCTION("""COMPUTED_VALUE"""),"3.5079264")</f>
        <v>3.5079264</v>
      </c>
      <c r="AA2067" s="4" t="str">
        <f t="shared" si="1"/>
        <v>Not Neighbor</v>
      </c>
      <c r="AC2067" s="4">
        <f>IFERROR(__xludf.DUMMYFUNCTION("IFERROR(ABS(O2067-AVERAGE(FILTER(O2067:O6135,AA2067:AA6135=""Neighbor""))) / STDEV(FILTER(O2067:O6135, AA2067:AA6135 =""Neighbor"")), """")"),0.7227801029197146)</f>
        <v>0.7227801029</v>
      </c>
      <c r="AD2067" s="4">
        <f>IFERROR(__xludf.DUMMYFUNCTION("IFERROR(ABS(P2067-AVERAGE(FILTER(O2067:P6135,AA2067:AA6135=""Neighbor""))) / STDEV(FILTER(P2067:P6135, AA2067:AA6135 =""Neighbor"")), """")"),1.5259199663383283)</f>
        <v>1.525919966</v>
      </c>
      <c r="AE2067" s="2">
        <f>IFERROR(__xludf.DUMMYFUNCTION("IFERROR(ABS(Q2067-AVERAGE(FILTER(Q2067:Q6135,AA2067:AA6135=""Neighbor""))) / STDEV(FILTER(Q2067:Q6135, AA2067:AA6135 =""Neighbor"")), """")"),0.8708527928091393)</f>
        <v>0.8708527928</v>
      </c>
      <c r="AF2067" s="2">
        <f>IFERROR(__xludf.DUMMYFUNCTION("IFERROR(ABS(R2067-AVERAGE(FILTER(R2067:R6135,AA2067:AA6135=""Neighbor""))) / STDEV(FILTER(R2067:R6135, AA2067:AA6135 =""Neighbor"")), """")"),0.34471215459964816)</f>
        <v>0.3447121546</v>
      </c>
    </row>
    <row r="2068">
      <c r="A2068" s="2" t="s">
        <v>28</v>
      </c>
      <c r="B2068" s="2" t="s">
        <v>7915</v>
      </c>
      <c r="C2068" s="2" t="s">
        <v>8468</v>
      </c>
      <c r="D2068" s="2" t="s">
        <v>8469</v>
      </c>
      <c r="E2068" s="2" t="s">
        <v>8470</v>
      </c>
      <c r="F2068" s="2">
        <v>158.0</v>
      </c>
      <c r="G2068" s="2">
        <v>819.0</v>
      </c>
      <c r="H2068" s="2" t="b">
        <v>1</v>
      </c>
      <c r="I2068" s="2">
        <v>-1.0</v>
      </c>
      <c r="J2068" s="2" t="b">
        <v>1</v>
      </c>
      <c r="K2068" s="2" t="b">
        <v>1</v>
      </c>
      <c r="L2068" s="2" t="b">
        <v>0</v>
      </c>
      <c r="M2068" s="2" t="b">
        <v>0</v>
      </c>
      <c r="N2068" s="2" t="s">
        <v>33</v>
      </c>
      <c r="O2068" s="2">
        <v>97.0</v>
      </c>
      <c r="P2068" s="2">
        <v>20.0</v>
      </c>
      <c r="Q2068" s="2">
        <v>20.0</v>
      </c>
      <c r="R2068" s="2">
        <v>0.0</v>
      </c>
      <c r="S2068" s="3" t="s">
        <v>8471</v>
      </c>
      <c r="T2068" s="2" t="s">
        <v>8472</v>
      </c>
      <c r="Y2068" s="4" t="str">
        <f>IFERROR(__xludf.DUMMYFUNCTION("""COMPUTED_VALUE"""),"7.1855421")</f>
        <v>7.1855421</v>
      </c>
      <c r="Z2068" s="4" t="str">
        <f>IFERROR(__xludf.DUMMYFUNCTION("""COMPUTED_VALUE"""),"3.7232005")</f>
        <v>3.7232005</v>
      </c>
      <c r="AA2068" s="4" t="str">
        <f t="shared" si="1"/>
        <v>Neighbor</v>
      </c>
      <c r="AC2068" s="4">
        <f>IFERROR(__xludf.DUMMYFUNCTION("IFERROR(ABS(O2068-AVERAGE(FILTER(O2068:O6136,AA2068:AA6136=""Neighbor""))) / STDEV(FILTER(O2068:O6136, AA2068:AA6136 =""Neighbor"")), """")"),1.150490951228423)</f>
        <v>1.150490951</v>
      </c>
      <c r="AD2068" s="4">
        <f>IFERROR(__xludf.DUMMYFUNCTION("IFERROR(ABS(P2068-AVERAGE(FILTER(O2068:P6136,AA2068:AA6136=""Neighbor""))) / STDEV(FILTER(P2068:P6136, AA2068:AA6136 =""Neighbor"")), """")"),0.6830822241769887)</f>
        <v>0.6830822242</v>
      </c>
      <c r="AE2068" s="2">
        <f>IFERROR(__xludf.DUMMYFUNCTION("IFERROR(ABS(Q2068-AVERAGE(FILTER(Q2068:Q6136,AA2068:AA6136=""Neighbor""))) / STDEV(FILTER(Q2068:Q6136, AA2068:AA6136 =""Neighbor"")), """")"),0.023705327649166556)</f>
        <v>0.02370532765</v>
      </c>
      <c r="AF2068" s="2">
        <f>IFERROR(__xludf.DUMMYFUNCTION("IFERROR(ABS(R2068-AVERAGE(FILTER(R2068:R6136,AA2068:AA6136=""Neighbor""))) / STDEV(FILTER(R2068:R6136, AA2068:AA6136 =""Neighbor"")), """")"),0.34471215459964816)</f>
        <v>0.3447121546</v>
      </c>
    </row>
    <row r="2069">
      <c r="A2069" s="2" t="s">
        <v>28</v>
      </c>
      <c r="B2069" s="2" t="s">
        <v>7915</v>
      </c>
      <c r="C2069" s="2" t="s">
        <v>8468</v>
      </c>
      <c r="D2069" s="2" t="s">
        <v>8473</v>
      </c>
      <c r="E2069" s="2" t="s">
        <v>8474</v>
      </c>
      <c r="F2069" s="2">
        <v>68.0</v>
      </c>
      <c r="G2069" s="2">
        <v>290.0</v>
      </c>
      <c r="H2069" s="2" t="b">
        <v>1</v>
      </c>
      <c r="I2069" s="2">
        <v>-1.0</v>
      </c>
      <c r="J2069" s="2" t="b">
        <v>0</v>
      </c>
      <c r="K2069" s="2" t="b">
        <v>0</v>
      </c>
      <c r="L2069" s="2" t="b">
        <v>0</v>
      </c>
      <c r="M2069" s="2" t="b">
        <v>0</v>
      </c>
      <c r="N2069" s="2" t="s">
        <v>33</v>
      </c>
      <c r="O2069" s="2">
        <v>54.0</v>
      </c>
      <c r="P2069" s="2">
        <v>0.0</v>
      </c>
      <c r="Q2069" s="2">
        <v>11.0</v>
      </c>
      <c r="R2069" s="2">
        <v>0.0</v>
      </c>
      <c r="S2069" s="3" t="s">
        <v>8475</v>
      </c>
      <c r="T2069" s="2" t="s">
        <v>8476</v>
      </c>
      <c r="Y2069" s="4" t="str">
        <f>IFERROR(__xludf.DUMMYFUNCTION("""COMPUTED_VALUE"""),"7.1855421")</f>
        <v>7.1855421</v>
      </c>
      <c r="Z2069" s="4" t="str">
        <f>IFERROR(__xludf.DUMMYFUNCTION("""COMPUTED_VALUE"""),"3.7232005")</f>
        <v>3.7232005</v>
      </c>
      <c r="AA2069" s="4" t="str">
        <f t="shared" si="1"/>
        <v>Not Neighbor</v>
      </c>
      <c r="AC2069" s="4">
        <f>IFERROR(__xludf.DUMMYFUNCTION("IFERROR(ABS(O2069-AVERAGE(FILTER(O2069:O6137,AA2069:AA6137=""Neighbor""))) / STDEV(FILTER(O2069:O6137, AA2069:AA6137 =""Neighbor"")), """")"),0.0024336518847598724)</f>
        <v>0.002433651885</v>
      </c>
      <c r="AD2069" s="4">
        <f>IFERROR(__xludf.DUMMYFUNCTION("IFERROR(ABS(P2069-AVERAGE(FILTER(O2069:P6137,AA2069:AA6137=""Neighbor""))) / STDEV(FILTER(P2069:P6137, AA2069:AA6137 =""Neighbor"")), """")"),1.5680731389549158)</f>
        <v>1.568073139</v>
      </c>
      <c r="AE2069" s="2">
        <f>IFERROR(__xludf.DUMMYFUNCTION("IFERROR(ABS(Q2069-AVERAGE(FILTER(Q2069:Q6137,AA2069:AA6137=""Neighbor""))) / STDEV(FILTER(Q2069:Q6137, AA2069:AA6137 =""Neighbor"")), """")"),0.4470331908072088)</f>
        <v>0.4470331908</v>
      </c>
      <c r="AF2069" s="2">
        <f>IFERROR(__xludf.DUMMYFUNCTION("IFERROR(ABS(R2069-AVERAGE(FILTER(R2069:R6137,AA2069:AA6137=""Neighbor""))) / STDEV(FILTER(R2069:R6137, AA2069:AA6137 =""Neighbor"")), """")"),0.34494906908753037)</f>
        <v>0.3449490691</v>
      </c>
    </row>
    <row r="2070">
      <c r="A2070" s="2" t="s">
        <v>28</v>
      </c>
      <c r="B2070" s="2" t="s">
        <v>7915</v>
      </c>
      <c r="C2070" s="2" t="s">
        <v>8468</v>
      </c>
      <c r="D2070" s="2" t="s">
        <v>8477</v>
      </c>
      <c r="E2070" s="2" t="s">
        <v>8478</v>
      </c>
      <c r="F2070" s="2">
        <v>140.0</v>
      </c>
      <c r="G2070" s="2">
        <v>721.0</v>
      </c>
      <c r="H2070" s="2" t="b">
        <v>1</v>
      </c>
      <c r="I2070" s="2">
        <v>-1.0</v>
      </c>
      <c r="J2070" s="2" t="b">
        <v>0</v>
      </c>
      <c r="K2070" s="2" t="b">
        <v>0</v>
      </c>
      <c r="L2070" s="2" t="b">
        <v>0</v>
      </c>
      <c r="M2070" s="2" t="b">
        <v>0</v>
      </c>
      <c r="N2070" s="2" t="s">
        <v>33</v>
      </c>
      <c r="O2070" s="2">
        <v>84.0</v>
      </c>
      <c r="P2070" s="2">
        <v>13.0</v>
      </c>
      <c r="Q2070" s="2">
        <v>36.0</v>
      </c>
      <c r="R2070" s="2">
        <v>1.0</v>
      </c>
      <c r="S2070" s="3" t="s">
        <v>8479</v>
      </c>
      <c r="T2070" s="2" t="s">
        <v>8480</v>
      </c>
      <c r="Y2070" s="4" t="str">
        <f>IFERROR(__xludf.DUMMYFUNCTION("""COMPUTED_VALUE"""),"7.1159953")</f>
        <v>7.1159953</v>
      </c>
      <c r="Z2070" s="4" t="str">
        <f>IFERROR(__xludf.DUMMYFUNCTION("""COMPUTED_VALUE"""),"3.7439851")</f>
        <v>3.7439851</v>
      </c>
      <c r="AA2070" s="4" t="str">
        <f t="shared" si="1"/>
        <v>Not Neighbor</v>
      </c>
      <c r="AC2070" s="4">
        <f>IFERROR(__xludf.DUMMYFUNCTION("IFERROR(ABS(O2070-AVERAGE(FILTER(O2070:O6138,AA2070:AA6138=""Neighbor""))) / STDEV(FILTER(O2070:O6138, AA2070:AA6138 =""Neighbor"")), """")"),0.8045521582265523)</f>
        <v>0.8045521582</v>
      </c>
      <c r="AD2070" s="4">
        <f>IFERROR(__xludf.DUMMYFUNCTION("IFERROR(ABS(P2070-AVERAGE(FILTER(O2070:P6138,AA2070:AA6138=""Neighbor""))) / STDEV(FILTER(P2070:P6138, AA2070:AA6138 =""Neighbor"")), """")"),0.9917424599448135)</f>
        <v>0.9917424599</v>
      </c>
      <c r="AE2070" s="2">
        <f>IFERROR(__xludf.DUMMYFUNCTION("IFERROR(ABS(Q2070-AVERAGE(FILTER(Q2070:Q6138,AA2070:AA6138=""Neighbor""))) / STDEV(FILTER(Q2070:Q6138, AA2070:AA6138 =""Neighbor"")), """")"),0.7288370826697577)</f>
        <v>0.7288370827</v>
      </c>
      <c r="AF2070" s="2">
        <f>IFERROR(__xludf.DUMMYFUNCTION("IFERROR(ABS(R2070-AVERAGE(FILTER(R2070:R6138,AA2070:AA6138=""Neighbor""))) / STDEV(FILTER(R2070:R6138, AA2070:AA6138 =""Neighbor"")), """")"),0.8383572312000738)</f>
        <v>0.8383572312</v>
      </c>
    </row>
    <row r="2071">
      <c r="A2071" s="2" t="s">
        <v>28</v>
      </c>
      <c r="B2071" s="2" t="s">
        <v>7915</v>
      </c>
      <c r="C2071" s="2" t="s">
        <v>8468</v>
      </c>
      <c r="D2071" s="2" t="s">
        <v>8481</v>
      </c>
      <c r="E2071" s="2" t="s">
        <v>8482</v>
      </c>
      <c r="F2071" s="2">
        <v>140.0</v>
      </c>
      <c r="G2071" s="2">
        <v>724.0</v>
      </c>
      <c r="H2071" s="2" t="b">
        <v>1</v>
      </c>
      <c r="I2071" s="2">
        <v>-1.0</v>
      </c>
      <c r="J2071" s="2" t="b">
        <v>0</v>
      </c>
      <c r="K2071" s="2" t="b">
        <v>0</v>
      </c>
      <c r="L2071" s="2" t="b">
        <v>0</v>
      </c>
      <c r="M2071" s="2" t="b">
        <v>0</v>
      </c>
      <c r="N2071" s="2" t="s">
        <v>33</v>
      </c>
      <c r="O2071" s="2">
        <v>99.0</v>
      </c>
      <c r="P2071" s="2">
        <v>9.0</v>
      </c>
      <c r="Q2071" s="2">
        <v>24.0</v>
      </c>
      <c r="R2071" s="2">
        <v>0.0</v>
      </c>
      <c r="S2071" s="3" t="s">
        <v>8483</v>
      </c>
      <c r="T2071" s="2" t="s">
        <v>8484</v>
      </c>
      <c r="Y2071" s="4" t="str">
        <f>IFERROR(__xludf.DUMMYFUNCTION("""COMPUTED_VALUE"""),"7.1732658")</f>
        <v>7.1732658</v>
      </c>
      <c r="Z2071" s="4" t="str">
        <f>IFERROR(__xludf.DUMMYFUNCTION("""COMPUTED_VALUE"""),"3.7189574")</f>
        <v>3.7189574</v>
      </c>
      <c r="AA2071" s="4" t="str">
        <f t="shared" si="1"/>
        <v>Neighbor</v>
      </c>
      <c r="AC2071" s="4">
        <f>IFERROR(__xludf.DUMMYFUNCTION("IFERROR(ABS(O2071-AVERAGE(FILTER(O2071:O6139,AA2071:AA6139=""Neighbor""))) / STDEV(FILTER(O2071:O6139, AA2071:AA6139 =""Neighbor"")), """")"),1.2056114113974485)</f>
        <v>1.205611411</v>
      </c>
      <c r="AD2071" s="4">
        <f>IFERROR(__xludf.DUMMYFUNCTION("IFERROR(ABS(P2071-AVERAGE(FILTER(O2071:P6139,AA2071:AA6139=""Neighbor""))) / STDEV(FILTER(P2071:P6139, AA2071:AA6139 =""Neighbor"")), """")"),1.1690749765633066)</f>
        <v>1.169074977</v>
      </c>
      <c r="AE2071" s="2">
        <f>IFERROR(__xludf.DUMMYFUNCTION("IFERROR(ABS(Q2071-AVERAGE(FILTER(Q2071:Q6139,AA2071:AA6139=""Neighbor""))) / STDEV(FILTER(Q2071:Q6139, AA2071:AA6139 =""Neighbor"")), """")"),0.16441935140081376)</f>
        <v>0.1644193514</v>
      </c>
      <c r="AF2071" s="2">
        <f>IFERROR(__xludf.DUMMYFUNCTION("IFERROR(ABS(R2071-AVERAGE(FILTER(R2071:R6139,AA2071:AA6139=""Neighbor""))) / STDEV(FILTER(R2071:R6139, AA2071:AA6139 =""Neighbor"")), """")"),0.34494906908753037)</f>
        <v>0.3449490691</v>
      </c>
    </row>
    <row r="2072">
      <c r="A2072" s="2" t="s">
        <v>28</v>
      </c>
      <c r="B2072" s="2" t="s">
        <v>7915</v>
      </c>
      <c r="C2072" s="2" t="s">
        <v>8468</v>
      </c>
      <c r="D2072" s="2" t="s">
        <v>8485</v>
      </c>
      <c r="E2072" s="2" t="s">
        <v>8486</v>
      </c>
      <c r="F2072" s="2">
        <v>131.0</v>
      </c>
      <c r="G2072" s="2">
        <v>614.0</v>
      </c>
      <c r="H2072" s="2" t="b">
        <v>1</v>
      </c>
      <c r="I2072" s="2">
        <v>-1.0</v>
      </c>
      <c r="J2072" s="2" t="b">
        <v>0</v>
      </c>
      <c r="K2072" s="2" t="b">
        <v>0</v>
      </c>
      <c r="L2072" s="2" t="b">
        <v>0</v>
      </c>
      <c r="M2072" s="2" t="b">
        <v>0</v>
      </c>
      <c r="N2072" s="2" t="s">
        <v>33</v>
      </c>
      <c r="O2072" s="2">
        <v>89.0</v>
      </c>
      <c r="P2072" s="2">
        <v>12.0</v>
      </c>
      <c r="Q2072" s="2">
        <v>20.0</v>
      </c>
      <c r="R2072" s="2">
        <v>0.0</v>
      </c>
      <c r="S2072" s="3" t="s">
        <v>8487</v>
      </c>
      <c r="T2072" s="2" t="s">
        <v>8488</v>
      </c>
      <c r="Y2072" s="4" t="str">
        <f>IFERROR(__xludf.DUMMYFUNCTION("""COMPUTED_VALUE"""),"7.1732658")</f>
        <v>7.1732658</v>
      </c>
      <c r="Z2072" s="4" t="str">
        <f>IFERROR(__xludf.DUMMYFUNCTION("""COMPUTED_VALUE"""),"3.7189574")</f>
        <v>3.7189574</v>
      </c>
      <c r="AA2072" s="4" t="str">
        <f t="shared" si="1"/>
        <v>Not Neighbor</v>
      </c>
      <c r="AC2072" s="4">
        <f>IFERROR(__xludf.DUMMYFUNCTION("IFERROR(ABS(O2072-AVERAGE(FILTER(O2072:O6140,AA2072:AA6140=""Neighbor""))) / STDEV(FILTER(O2072:O6140, AA2072:AA6140 =""Neighbor"")), """")"),0.93998720675016)</f>
        <v>0.9399872068</v>
      </c>
      <c r="AD2072" s="4">
        <f>IFERROR(__xludf.DUMMYFUNCTION("IFERROR(ABS(P2072-AVERAGE(FILTER(O2072:P6140,AA2072:AA6140=""Neighbor""))) / STDEV(FILTER(P2072:P6140, AA2072:AA6140 =""Neighbor"")), """")"),1.0344977883968438)</f>
        <v>1.034497788</v>
      </c>
      <c r="AE2072" s="2">
        <f>IFERROR(__xludf.DUMMYFUNCTION("IFERROR(ABS(Q2072-AVERAGE(FILTER(Q2072:Q6140,AA2072:AA6140=""Neighbor""))) / STDEV(FILTER(Q2072:Q6140, AA2072:AA6140 =""Neighbor"")), """")"),0.023503311577480986)</f>
        <v>0.02350331158</v>
      </c>
      <c r="AF2072" s="2">
        <f>IFERROR(__xludf.DUMMYFUNCTION("IFERROR(ABS(R2072-AVERAGE(FILTER(R2072:R6140,AA2072:AA6140=""Neighbor""))) / STDEV(FILTER(R2072:R6140, AA2072:AA6140 =""Neighbor"")), """")"),0.34518647280500847)</f>
        <v>0.3451864728</v>
      </c>
    </row>
    <row r="2073">
      <c r="A2073" s="2" t="s">
        <v>28</v>
      </c>
      <c r="B2073" s="2" t="s">
        <v>7915</v>
      </c>
      <c r="C2073" s="2" t="s">
        <v>8468</v>
      </c>
      <c r="D2073" s="2" t="s">
        <v>8489</v>
      </c>
      <c r="E2073" s="2" t="s">
        <v>8490</v>
      </c>
      <c r="F2073" s="2">
        <v>106.0</v>
      </c>
      <c r="G2073" s="2">
        <v>367.0</v>
      </c>
      <c r="H2073" s="2" t="b">
        <v>1</v>
      </c>
      <c r="I2073" s="2">
        <v>-1.0</v>
      </c>
      <c r="J2073" s="2" t="b">
        <v>0</v>
      </c>
      <c r="K2073" s="2" t="b">
        <v>0</v>
      </c>
      <c r="L2073" s="2" t="b">
        <v>0</v>
      </c>
      <c r="M2073" s="2" t="b">
        <v>0</v>
      </c>
      <c r="N2073" s="2" t="s">
        <v>33</v>
      </c>
      <c r="O2073" s="2">
        <v>0.0</v>
      </c>
      <c r="P2073" s="2">
        <v>0.0</v>
      </c>
      <c r="Q2073" s="2">
        <v>0.0</v>
      </c>
      <c r="R2073" s="2">
        <v>0.0</v>
      </c>
      <c r="S2073" s="3" t="s">
        <v>8491</v>
      </c>
      <c r="T2073" s="2" t="s">
        <v>8492</v>
      </c>
      <c r="Y2073" s="4" t="str">
        <f>IFERROR(__xludf.DUMMYFUNCTION("""COMPUTED_VALUE"""),"7.1686918")</f>
        <v>7.1686918</v>
      </c>
      <c r="Z2073" s="4" t="str">
        <f>IFERROR(__xludf.DUMMYFUNCTION("""COMPUTED_VALUE"""),"3.7752969")</f>
        <v>3.7752969</v>
      </c>
      <c r="AA2073" s="4" t="str">
        <f t="shared" si="1"/>
        <v>Not Neighbor</v>
      </c>
      <c r="AC2073" s="4">
        <f>IFERROR(__xludf.DUMMYFUNCTION("IFERROR(ABS(O2073-AVERAGE(FILTER(O2073:O6141,AA2073:AA6141=""Neighbor""))) / STDEV(FILTER(O2073:O6141, AA2073:AA6141 =""Neighbor"")), """")"),1.4402992593986388)</f>
        <v>1.440299259</v>
      </c>
      <c r="AD2073" s="4">
        <f>IFERROR(__xludf.DUMMYFUNCTION("IFERROR(ABS(P2073-AVERAGE(FILTER(O2073:P6141,AA2073:AA6141=""Neighbor""))) / STDEV(FILTER(P2073:P6141, AA2073:AA6141 =""Neighbor"")), """")"),1.5662071696680142)</f>
        <v>1.56620717</v>
      </c>
      <c r="AE2073" s="2">
        <f>IFERROR(__xludf.DUMMYFUNCTION("IFERROR(ABS(Q2073-AVERAGE(FILTER(Q2073:Q6141,AA2073:AA6141=""Neighbor""))) / STDEV(FILTER(Q2073:Q6141, AA2073:AA6141 =""Neighbor"")), """")"),0.9636357746767203)</f>
        <v>0.9636357747</v>
      </c>
      <c r="AF2073" s="2">
        <f>IFERROR(__xludf.DUMMYFUNCTION("IFERROR(ABS(R2073-AVERAGE(FILTER(R2073:R6141,AA2073:AA6141=""Neighbor""))) / STDEV(FILTER(R2073:R6141, AA2073:AA6141 =""Neighbor"")), """")"),0.34518647280500847)</f>
        <v>0.3451864728</v>
      </c>
    </row>
    <row r="2074">
      <c r="A2074" s="2" t="s">
        <v>28</v>
      </c>
      <c r="B2074" s="2" t="s">
        <v>7915</v>
      </c>
      <c r="C2074" s="2" t="s">
        <v>8468</v>
      </c>
      <c r="D2074" s="2" t="s">
        <v>8493</v>
      </c>
      <c r="E2074" s="2" t="s">
        <v>8494</v>
      </c>
      <c r="F2074" s="2">
        <v>66.0</v>
      </c>
      <c r="G2074" s="2">
        <v>275.0</v>
      </c>
      <c r="H2074" s="2" t="b">
        <v>1</v>
      </c>
      <c r="I2074" s="2">
        <v>-1.0</v>
      </c>
      <c r="J2074" s="2" t="b">
        <v>0</v>
      </c>
      <c r="K2074" s="2" t="b">
        <v>0</v>
      </c>
      <c r="L2074" s="2" t="b">
        <v>0</v>
      </c>
      <c r="M2074" s="2" t="b">
        <v>0</v>
      </c>
      <c r="N2074" s="2" t="s">
        <v>33</v>
      </c>
      <c r="O2074" s="2">
        <v>44.0</v>
      </c>
      <c r="P2074" s="2">
        <v>10.0</v>
      </c>
      <c r="Q2074" s="2">
        <v>8.0</v>
      </c>
      <c r="R2074" s="2">
        <v>0.0</v>
      </c>
      <c r="S2074" s="3" t="s">
        <v>8495</v>
      </c>
      <c r="T2074" s="2" t="s">
        <v>8496</v>
      </c>
      <c r="Y2074" s="4" t="str">
        <f>IFERROR(__xludf.DUMMYFUNCTION("""COMPUTED_VALUE"""),"7.1855421")</f>
        <v>7.1855421</v>
      </c>
      <c r="Z2074" s="4" t="str">
        <f>IFERROR(__xludf.DUMMYFUNCTION("""COMPUTED_VALUE"""),"3.7232005")</f>
        <v>3.7232005</v>
      </c>
      <c r="AA2074" s="4" t="str">
        <f t="shared" si="1"/>
        <v>Neighbor</v>
      </c>
      <c r="AC2074" s="4">
        <f>IFERROR(__xludf.DUMMYFUNCTION("IFERROR(ABS(O2074-AVERAGE(FILTER(O2074:O6142,AA2074:AA6142=""Neighbor""))) / STDEV(FILTER(O2074:O6142, AA2074:AA6142 =""Neighbor"")), """")"),0.2635284222014798)</f>
        <v>0.2635284222</v>
      </c>
      <c r="AD2074" s="4">
        <f>IFERROR(__xludf.DUMMYFUNCTION("IFERROR(ABS(P2074-AVERAGE(FILTER(O2074:P6142,AA2074:AA6142=""Neighbor""))) / STDEV(FILTER(P2074:P6142, AA2074:AA6142 =""Neighbor"")), """")"),1.1231160186087055)</f>
        <v>1.123116019</v>
      </c>
      <c r="AE2074" s="2">
        <f>IFERROR(__xludf.DUMMYFUNCTION("IFERROR(ABS(Q2074-AVERAGE(FILTER(Q2074:Q6142,AA2074:AA6142=""Neighbor""))) / STDEV(FILTER(Q2074:Q6142, AA2074:AA6142 =""Neighbor"")), """")"),0.5875827894370246)</f>
        <v>0.5875827894</v>
      </c>
      <c r="AF2074" s="2">
        <f>IFERROR(__xludf.DUMMYFUNCTION("IFERROR(ABS(R2074-AVERAGE(FILTER(R2074:R6142,AA2074:AA6142=""Neighbor""))) / STDEV(FILTER(R2074:R6142, AA2074:AA6142 =""Neighbor"")), """")"),0.34518647280500847)</f>
        <v>0.3451864728</v>
      </c>
    </row>
    <row r="2075">
      <c r="A2075" s="2" t="s">
        <v>28</v>
      </c>
      <c r="B2075" s="2" t="s">
        <v>7915</v>
      </c>
      <c r="C2075" s="2" t="s">
        <v>8468</v>
      </c>
      <c r="D2075" s="2" t="s">
        <v>8497</v>
      </c>
      <c r="E2075" s="2" t="s">
        <v>8498</v>
      </c>
      <c r="F2075" s="2">
        <v>60.0</v>
      </c>
      <c r="G2075" s="2">
        <v>267.0</v>
      </c>
      <c r="H2075" s="2" t="b">
        <v>1</v>
      </c>
      <c r="I2075" s="2">
        <v>-1.0</v>
      </c>
      <c r="J2075" s="2" t="b">
        <v>0</v>
      </c>
      <c r="K2075" s="2" t="b">
        <v>0</v>
      </c>
      <c r="L2075" s="2" t="b">
        <v>0</v>
      </c>
      <c r="M2075" s="2" t="b">
        <v>0</v>
      </c>
      <c r="N2075" s="2" t="s">
        <v>33</v>
      </c>
      <c r="O2075" s="2">
        <v>44.0</v>
      </c>
      <c r="P2075" s="2">
        <v>5.0</v>
      </c>
      <c r="Q2075" s="2">
        <v>5.0</v>
      </c>
      <c r="R2075" s="2">
        <v>0.0</v>
      </c>
      <c r="S2075" s="3" t="s">
        <v>8499</v>
      </c>
      <c r="T2075" s="2" t="s">
        <v>8500</v>
      </c>
      <c r="Y2075" s="4" t="str">
        <f>IFERROR(__xludf.DUMMYFUNCTION("""COMPUTED_VALUE"""),"7.1855421")</f>
        <v>7.1855421</v>
      </c>
      <c r="Z2075" s="4" t="str">
        <f>IFERROR(__xludf.DUMMYFUNCTION("""COMPUTED_VALUE"""),"3.7232005")</f>
        <v>3.7232005</v>
      </c>
      <c r="AA2075" s="4" t="str">
        <f t="shared" si="1"/>
        <v>Not Neighbor</v>
      </c>
      <c r="AC2075" s="4">
        <f>IFERROR(__xludf.DUMMYFUNCTION("IFERROR(ABS(O2075-AVERAGE(FILTER(O2075:O6143,AA2075:AA6143=""Neighbor""))) / STDEV(FILTER(O2075:O6143, AA2075:AA6143 =""Neighbor"")), """")"),0.2637019477486626)</f>
        <v>0.2637019477</v>
      </c>
      <c r="AD2075" s="4">
        <f>IFERROR(__xludf.DUMMYFUNCTION("IFERROR(ABS(P2075-AVERAGE(FILTER(O2075:P6143,AA2075:AA6143=""Neighbor""))) / STDEV(FILTER(P2075:P6143, AA2075:AA6143 =""Neighbor"")), """")"),1.344364350998847)</f>
        <v>1.344364351</v>
      </c>
      <c r="AE2075" s="2">
        <f>IFERROR(__xludf.DUMMYFUNCTION("IFERROR(ABS(Q2075-AVERAGE(FILTER(Q2075:Q6143,AA2075:AA6143=""Neighbor""))) / STDEV(FILTER(Q2075:Q6143, AA2075:AA6143 =""Neighbor"")), """")"),0.7290327771531077)</f>
        <v>0.7290327772</v>
      </c>
      <c r="AF2075" s="2">
        <f>IFERROR(__xludf.DUMMYFUNCTION("IFERROR(ABS(R2075-AVERAGE(FILTER(R2075:R6143,AA2075:AA6143=""Neighbor""))) / STDEV(FILTER(R2075:R6143, AA2075:AA6143 =""Neighbor"")), """")"),0.34542436743840294)</f>
        <v>0.3454243674</v>
      </c>
    </row>
    <row r="2076">
      <c r="A2076" s="2" t="s">
        <v>28</v>
      </c>
      <c r="B2076" s="2" t="s">
        <v>7915</v>
      </c>
      <c r="C2076" s="2" t="s">
        <v>8468</v>
      </c>
      <c r="D2076" s="2" t="s">
        <v>8501</v>
      </c>
      <c r="E2076" s="2" t="s">
        <v>8502</v>
      </c>
      <c r="F2076" s="2">
        <v>122.0</v>
      </c>
      <c r="G2076" s="2">
        <v>581.0</v>
      </c>
      <c r="H2076" s="2" t="b">
        <v>1</v>
      </c>
      <c r="I2076" s="2">
        <v>-1.0</v>
      </c>
      <c r="J2076" s="2" t="b">
        <v>0</v>
      </c>
      <c r="K2076" s="2" t="b">
        <v>0</v>
      </c>
      <c r="L2076" s="2" t="b">
        <v>0</v>
      </c>
      <c r="M2076" s="2" t="b">
        <v>0</v>
      </c>
      <c r="N2076" s="2" t="s">
        <v>33</v>
      </c>
      <c r="O2076" s="2">
        <v>91.0</v>
      </c>
      <c r="P2076" s="2">
        <v>5.0</v>
      </c>
      <c r="Q2076" s="2">
        <v>15.0</v>
      </c>
      <c r="R2076" s="2">
        <v>0.0</v>
      </c>
      <c r="S2076" s="3" t="s">
        <v>8503</v>
      </c>
      <c r="T2076" s="2" t="s">
        <v>8504</v>
      </c>
      <c r="Y2076" s="4" t="str">
        <f>IFERROR(__xludf.DUMMYFUNCTION("""COMPUTED_VALUE"""),"7.1732658")</f>
        <v>7.1732658</v>
      </c>
      <c r="Z2076" s="4" t="str">
        <f>IFERROR(__xludf.DUMMYFUNCTION("""COMPUTED_VALUE"""),"3.7189574")</f>
        <v>3.7189574</v>
      </c>
      <c r="AA2076" s="4" t="str">
        <f t="shared" si="1"/>
        <v>Not Neighbor</v>
      </c>
      <c r="AC2076" s="4">
        <f>IFERROR(__xludf.DUMMYFUNCTION("IFERROR(ABS(O2076-AVERAGE(FILTER(O2076:O6144,AA2076:AA6144=""Neighbor""))) / STDEV(FILTER(O2076:O6144, AA2076:AA6144 =""Neighbor"")), """")"),0.9925819095611449)</f>
        <v>0.9925819096</v>
      </c>
      <c r="AD2076" s="4">
        <f>IFERROR(__xludf.DUMMYFUNCTION("IFERROR(ABS(P2076-AVERAGE(FILTER(O2076:P6144,AA2076:AA6144=""Neighbor""))) / STDEV(FILTER(P2076:P6144, AA2076:AA6144 =""Neighbor"")), """")"),1.344364350998847)</f>
        <v>1.344364351</v>
      </c>
      <c r="AE2076" s="2">
        <f>IFERROR(__xludf.DUMMYFUNCTION("IFERROR(ABS(Q2076-AVERAGE(FILTER(Q2076:Q6144,AA2076:AA6144=""Neighbor""))) / STDEV(FILTER(Q2076:Q6144, AA2076:AA6144 =""Neighbor"")), """")"),0.25915629120288086)</f>
        <v>0.2591562912</v>
      </c>
      <c r="AF2076" s="2">
        <f>IFERROR(__xludf.DUMMYFUNCTION("IFERROR(ABS(R2076-AVERAGE(FILTER(R2076:R6144,AA2076:AA6144=""Neighbor""))) / STDEV(FILTER(R2076:R6144, AA2076:AA6144 =""Neighbor"")), """")"),0.34542436743840294)</f>
        <v>0.3454243674</v>
      </c>
    </row>
    <row r="2077">
      <c r="A2077" s="2" t="s">
        <v>28</v>
      </c>
      <c r="B2077" s="2" t="s">
        <v>7915</v>
      </c>
      <c r="C2077" s="2" t="s">
        <v>8468</v>
      </c>
      <c r="D2077" s="2" t="s">
        <v>8505</v>
      </c>
      <c r="E2077" s="2" t="s">
        <v>8506</v>
      </c>
      <c r="F2077" s="2">
        <v>75.0</v>
      </c>
      <c r="G2077" s="2">
        <v>482.0</v>
      </c>
      <c r="H2077" s="2" t="b">
        <v>1</v>
      </c>
      <c r="I2077" s="2">
        <v>-1.0</v>
      </c>
      <c r="J2077" s="2" t="b">
        <v>0</v>
      </c>
      <c r="K2077" s="2" t="b">
        <v>0</v>
      </c>
      <c r="L2077" s="2" t="b">
        <v>0</v>
      </c>
      <c r="M2077" s="2" t="b">
        <v>0</v>
      </c>
      <c r="N2077" s="2" t="s">
        <v>33</v>
      </c>
      <c r="O2077" s="2">
        <v>50.0</v>
      </c>
      <c r="P2077" s="2">
        <v>3.0</v>
      </c>
      <c r="Q2077" s="2">
        <v>11.0</v>
      </c>
      <c r="R2077" s="2">
        <v>0.0</v>
      </c>
      <c r="S2077" s="3" t="s">
        <v>8507</v>
      </c>
      <c r="T2077" s="2" t="s">
        <v>8508</v>
      </c>
      <c r="Y2077" s="4" t="str">
        <f>IFERROR(__xludf.DUMMYFUNCTION("""COMPUTED_VALUE"""),"7.148522")</f>
        <v>7.148522</v>
      </c>
      <c r="Z2077" s="4" t="str">
        <f>IFERROR(__xludf.DUMMYFUNCTION("""COMPUTED_VALUE"""),"3.7865252")</f>
        <v>3.7865252</v>
      </c>
      <c r="AA2077" s="4" t="str">
        <f t="shared" si="1"/>
        <v>Not Neighbor</v>
      </c>
      <c r="AC2077" s="4">
        <f>IFERROR(__xludf.DUMMYFUNCTION("IFERROR(ABS(O2077-AVERAGE(FILTER(O2077:O6145,AA2077:AA6145=""Neighbor""))) / STDEV(FILTER(O2077:O6145, AA2077:AA6145 =""Neighbor"")), """")"),0.10332528511336804)</f>
        <v>0.1033252851</v>
      </c>
      <c r="AD2077" s="4">
        <f>IFERROR(__xludf.DUMMYFUNCTION("IFERROR(ABS(P2077-AVERAGE(FILTER(O2077:P6145,AA2077:AA6145=""Neighbor""))) / STDEV(FILTER(P2077:P6145, AA2077:AA6145 =""Neighbor"")), """")"),1.4329329528396322)</f>
        <v>1.432932953</v>
      </c>
      <c r="AE2077" s="2">
        <f>IFERROR(__xludf.DUMMYFUNCTION("IFERROR(ABS(Q2077-AVERAGE(FILTER(Q2077:Q6145,AA2077:AA6145=""Neighbor""))) / STDEV(FILTER(Q2077:Q6145, AA2077:AA6145 =""Neighbor"")), """")"),0.44710688558297157)</f>
        <v>0.4471068856</v>
      </c>
      <c r="AF2077" s="2">
        <f>IFERROR(__xludf.DUMMYFUNCTION("IFERROR(ABS(R2077-AVERAGE(FILTER(R2077:R6145,AA2077:AA6145=""Neighbor""))) / STDEV(FILTER(R2077:R6145, AA2077:AA6145 =""Neighbor"")), """")"),0.34542436743840294)</f>
        <v>0.3454243674</v>
      </c>
    </row>
    <row r="2078">
      <c r="A2078" s="2" t="s">
        <v>28</v>
      </c>
      <c r="B2078" s="2" t="s">
        <v>8509</v>
      </c>
      <c r="C2078" s="2" t="s">
        <v>8509</v>
      </c>
      <c r="D2078" s="2" t="s">
        <v>8510</v>
      </c>
      <c r="E2078" s="2" t="s">
        <v>8511</v>
      </c>
      <c r="F2078" s="2">
        <v>256.0</v>
      </c>
      <c r="G2078" s="2">
        <v>2154.0</v>
      </c>
      <c r="H2078" s="2" t="b">
        <v>1</v>
      </c>
      <c r="I2078" s="2">
        <v>-1.0</v>
      </c>
      <c r="J2078" s="2" t="b">
        <v>0</v>
      </c>
      <c r="K2078" s="2" t="b">
        <v>0</v>
      </c>
      <c r="L2078" s="2" t="b">
        <v>0</v>
      </c>
      <c r="M2078" s="2" t="b">
        <v>0</v>
      </c>
      <c r="N2078" s="2" t="s">
        <v>33</v>
      </c>
      <c r="O2078" s="2">
        <v>124.0</v>
      </c>
      <c r="P2078" s="2">
        <v>39.0</v>
      </c>
      <c r="Q2078" s="2">
        <v>70.0</v>
      </c>
      <c r="R2078" s="2">
        <v>1.0</v>
      </c>
      <c r="S2078" s="3" t="s">
        <v>8512</v>
      </c>
      <c r="T2078" s="2" t="s">
        <v>8513</v>
      </c>
      <c r="Y2078" s="4" t="str">
        <f>IFERROR(__xludf.DUMMYFUNCTION("""COMPUTED_VALUE"""),"7.2317194")</f>
        <v>7.2317194</v>
      </c>
      <c r="Z2078" s="4" t="str">
        <f>IFERROR(__xludf.DUMMYFUNCTION("""COMPUTED_VALUE"""),"3.5277491")</f>
        <v>3.5277491</v>
      </c>
      <c r="AA2078" s="4" t="str">
        <f t="shared" si="1"/>
        <v>Neighbor</v>
      </c>
      <c r="AC2078" s="4">
        <f>IFERROR(__xludf.DUMMYFUNCTION("IFERROR(ABS(O2078-AVERAGE(FILTER(O2078:O6146,AA2078:AA6146=""Neighbor""))) / STDEV(FILTER(O2078:O6146, AA2078:AA6146 =""Neighbor"")), """")"),1.874653554055265)</f>
        <v>1.874653554</v>
      </c>
      <c r="AD2078" s="4">
        <f>IFERROR(__xludf.DUMMYFUNCTION("IFERROR(ABS(P2078-AVERAGE(FILTER(O2078:P6146,AA2078:AA6146=""Neighbor""))) / STDEV(FILTER(P2078:P6146, AA2078:AA6146 =""Neighbor"")), """")"),0.1613018802945003)</f>
        <v>0.1613018803</v>
      </c>
      <c r="AE2078" s="2">
        <f>IFERROR(__xludf.DUMMYFUNCTION("IFERROR(ABS(Q2078-AVERAGE(FILTER(Q2078:Q6146,AA2078:AA6146=""Neighbor""))) / STDEV(FILTER(Q2078:Q6146, AA2078:AA6146 =""Neighbor"")), """")"),2.3251643815233662)</f>
        <v>2.325164382</v>
      </c>
      <c r="AF2078" s="2">
        <f>IFERROR(__xludf.DUMMYFUNCTION("IFERROR(ABS(R2078-AVERAGE(FILTER(R2078:R6146,AA2078:AA6146=""Neighbor""))) / STDEV(FILTER(R2078:R6146, AA2078:AA6146 =""Neighbor"")), """")"),0.8365974131208578)</f>
        <v>0.8365974131</v>
      </c>
    </row>
    <row r="2079">
      <c r="A2079" s="2" t="s">
        <v>28</v>
      </c>
      <c r="B2079" s="2" t="s">
        <v>8509</v>
      </c>
      <c r="C2079" s="2" t="s">
        <v>8509</v>
      </c>
      <c r="D2079" s="2" t="s">
        <v>8514</v>
      </c>
      <c r="E2079" s="2" t="s">
        <v>8515</v>
      </c>
      <c r="F2079" s="2">
        <v>184.0</v>
      </c>
      <c r="G2079" s="2">
        <v>1588.0</v>
      </c>
      <c r="H2079" s="2" t="b">
        <v>1</v>
      </c>
      <c r="I2079" s="2">
        <v>-1.0</v>
      </c>
      <c r="J2079" s="2" t="b">
        <v>0</v>
      </c>
      <c r="K2079" s="2" t="b">
        <v>0</v>
      </c>
      <c r="L2079" s="2" t="b">
        <v>0</v>
      </c>
      <c r="M2079" s="2" t="b">
        <v>0</v>
      </c>
      <c r="N2079" s="2" t="s">
        <v>33</v>
      </c>
      <c r="O2079" s="2">
        <v>101.0</v>
      </c>
      <c r="P2079" s="2">
        <v>22.0</v>
      </c>
      <c r="Q2079" s="2">
        <v>34.0</v>
      </c>
      <c r="R2079" s="2">
        <v>0.0</v>
      </c>
      <c r="S2079" s="3" t="s">
        <v>8516</v>
      </c>
      <c r="T2079" s="2" t="s">
        <v>8517</v>
      </c>
      <c r="Y2079" s="4" t="str">
        <f>IFERROR(__xludf.DUMMYFUNCTION("""COMPUTED_VALUE"""),"7.2317194")</f>
        <v>7.2317194</v>
      </c>
      <c r="Z2079" s="4" t="str">
        <f>IFERROR(__xludf.DUMMYFUNCTION("""COMPUTED_VALUE"""),"3.5277491")</f>
        <v>3.5277491</v>
      </c>
      <c r="AA2079" s="4" t="str">
        <f t="shared" si="1"/>
        <v>Not Neighbor</v>
      </c>
      <c r="AC2079" s="4">
        <f>IFERROR(__xludf.DUMMYFUNCTION("IFERROR(ABS(O2079-AVERAGE(FILTER(O2079:O6147,AA2079:AA6147=""Neighbor""))) / STDEV(FILTER(O2079:O6147, AA2079:AA6147 =""Neighbor"")), """")"),1.2641601271231993)</f>
        <v>1.264160127</v>
      </c>
      <c r="AD2079" s="4">
        <f>IFERROR(__xludf.DUMMYFUNCTION("IFERROR(ABS(P2079-AVERAGE(FILTER(O2079:P6147,AA2079:AA6147=""Neighbor""))) / STDEV(FILTER(P2079:P6147, AA2079:AA6147 =""Neighbor"")), """")"),0.5889952094827662)</f>
        <v>0.5889952095</v>
      </c>
      <c r="AE2079" s="2">
        <f>IFERROR(__xludf.DUMMYFUNCTION("IFERROR(ABS(Q2079-AVERAGE(FILTER(Q2079:Q6147,AA2079:AA6147=""Neighbor""))) / STDEV(FILTER(Q2079:Q6147, AA2079:AA6147 =""Neighbor"")), """")"),0.6382227260678119)</f>
        <v>0.6382227261</v>
      </c>
      <c r="AF2079" s="2">
        <f>IFERROR(__xludf.DUMMYFUNCTION("IFERROR(ABS(R2079-AVERAGE(FILTER(R2079:R6147,AA2079:AA6147=""Neighbor""))) / STDEV(FILTER(R2079:R6147, AA2079:AA6147 =""Neighbor"")), """")"),0.3443278553643386)</f>
        <v>0.3443278554</v>
      </c>
    </row>
    <row r="2080">
      <c r="A2080" s="2" t="s">
        <v>28</v>
      </c>
      <c r="B2080" s="2" t="s">
        <v>8509</v>
      </c>
      <c r="C2080" s="2" t="s">
        <v>8509</v>
      </c>
      <c r="D2080" s="2" t="s">
        <v>8518</v>
      </c>
      <c r="E2080" s="2" t="s">
        <v>8519</v>
      </c>
      <c r="F2080" s="2">
        <v>114.0</v>
      </c>
      <c r="G2080" s="2">
        <v>936.0</v>
      </c>
      <c r="H2080" s="2" t="b">
        <v>1</v>
      </c>
      <c r="I2080" s="2">
        <v>-1.0</v>
      </c>
      <c r="J2080" s="2" t="b">
        <v>0</v>
      </c>
      <c r="K2080" s="2" t="b">
        <v>0</v>
      </c>
      <c r="L2080" s="2" t="b">
        <v>0</v>
      </c>
      <c r="M2080" s="2" t="b">
        <v>0</v>
      </c>
      <c r="N2080" s="2" t="s">
        <v>33</v>
      </c>
      <c r="O2080" s="2">
        <v>82.0</v>
      </c>
      <c r="P2080" s="2">
        <v>6.0</v>
      </c>
      <c r="Q2080" s="2">
        <v>11.0</v>
      </c>
      <c r="R2080" s="2">
        <v>0.0</v>
      </c>
      <c r="S2080" s="3" t="s">
        <v>8520</v>
      </c>
      <c r="T2080" s="2" t="s">
        <v>8521</v>
      </c>
      <c r="Y2080" s="4" t="str">
        <f>IFERROR(__xludf.DUMMYFUNCTION("""COMPUTED_VALUE"""),"7.2292359")</f>
        <v>7.2292359</v>
      </c>
      <c r="Z2080" s="4" t="str">
        <f>IFERROR(__xludf.DUMMYFUNCTION("""COMPUTED_VALUE"""),"3.642048")</f>
        <v>3.642048</v>
      </c>
      <c r="AA2080" s="4" t="str">
        <f t="shared" si="1"/>
        <v>Not Neighbor</v>
      </c>
      <c r="AC2080" s="4">
        <f>IFERROR(__xludf.DUMMYFUNCTION("IFERROR(ABS(O2080-AVERAGE(FILTER(O2080:O6148,AA2080:AA6148=""Neighbor""))) / STDEV(FILTER(O2080:O6148, AA2080:AA6148 =""Neighbor"")), """")"),0.7555082837697511)</f>
        <v>0.7555082838</v>
      </c>
      <c r="AD2080" s="4">
        <f>IFERROR(__xludf.DUMMYFUNCTION("IFERROR(ABS(P2080-AVERAGE(FILTER(O2080:P6148,AA2080:AA6148=""Neighbor""))) / STDEV(FILTER(P2080:P6148, AA2080:AA6148 =""Neighbor"")), """")"),1.297527990370746)</f>
        <v>1.29752799</v>
      </c>
      <c r="AE2080" s="2">
        <f>IFERROR(__xludf.DUMMYFUNCTION("IFERROR(ABS(Q2080-AVERAGE(FILTER(Q2080:Q6148,AA2080:AA6148=""Neighbor""))) / STDEV(FILTER(Q2080:Q6148, AA2080:AA6148 =""Neighbor"")), """")"),0.44545293804477787)</f>
        <v>0.445452938</v>
      </c>
      <c r="AF2080" s="2">
        <f>IFERROR(__xludf.DUMMYFUNCTION("IFERROR(ABS(R2080-AVERAGE(FILTER(R2080:R6148,AA2080:AA6148=""Neighbor""))) / STDEV(FILTER(R2080:R6148, AA2080:AA6148 =""Neighbor"")), """")"),0.3443278553643386)</f>
        <v>0.3443278554</v>
      </c>
    </row>
    <row r="2081">
      <c r="A2081" s="2" t="s">
        <v>28</v>
      </c>
      <c r="B2081" s="2" t="s">
        <v>8509</v>
      </c>
      <c r="C2081" s="2" t="s">
        <v>8509</v>
      </c>
      <c r="D2081" s="2" t="s">
        <v>8522</v>
      </c>
      <c r="E2081" s="2" t="s">
        <v>8523</v>
      </c>
      <c r="F2081" s="2">
        <v>124.0</v>
      </c>
      <c r="G2081" s="2">
        <v>737.0</v>
      </c>
      <c r="H2081" s="2" t="b">
        <v>1</v>
      </c>
      <c r="I2081" s="2">
        <v>-1.0</v>
      </c>
      <c r="J2081" s="2" t="b">
        <v>0</v>
      </c>
      <c r="K2081" s="2" t="b">
        <v>0</v>
      </c>
      <c r="L2081" s="2" t="b">
        <v>0</v>
      </c>
      <c r="M2081" s="2" t="b">
        <v>0</v>
      </c>
      <c r="N2081" s="2" t="s">
        <v>33</v>
      </c>
      <c r="O2081" s="2">
        <v>79.0</v>
      </c>
      <c r="P2081" s="2">
        <v>5.0</v>
      </c>
      <c r="Q2081" s="2">
        <v>28.0</v>
      </c>
      <c r="R2081" s="2">
        <v>0.0</v>
      </c>
      <c r="S2081" s="3" t="s">
        <v>8524</v>
      </c>
      <c r="T2081" s="2" t="s">
        <v>8525</v>
      </c>
      <c r="Y2081" s="4" t="str">
        <f>IFERROR(__xludf.DUMMYFUNCTION("""COMPUTED_VALUE"""),"7.2282149")</f>
        <v>7.2282149</v>
      </c>
      <c r="Z2081" s="4" t="str">
        <f>IFERROR(__xludf.DUMMYFUNCTION("""COMPUTED_VALUE"""),"3.5032671")</f>
        <v>3.5032671</v>
      </c>
      <c r="AA2081" s="4" t="str">
        <f t="shared" si="1"/>
        <v>Not Neighbor</v>
      </c>
      <c r="AC2081" s="4">
        <f>IFERROR(__xludf.DUMMYFUNCTION("IFERROR(ABS(O2081-AVERAGE(FILTER(O2081:O6149,AA2081:AA6149=""Neighbor""))) / STDEV(FILTER(O2081:O6149, AA2081:AA6149 =""Neighbor"")), """")"),0.6751948348192067)</f>
        <v>0.6751948348</v>
      </c>
      <c r="AD2081" s="4">
        <f>IFERROR(__xludf.DUMMYFUNCTION("IFERROR(ABS(P2081-AVERAGE(FILTER(O2081:P6149,AA2081:AA6149=""Neighbor""))) / STDEV(FILTER(P2081:P6149, AA2081:AA6149 =""Neighbor"")), """")"),1.3418112891762448)</f>
        <v>1.341811289</v>
      </c>
      <c r="AE2081" s="2">
        <f>IFERROR(__xludf.DUMMYFUNCTION("IFERROR(ABS(Q2081-AVERAGE(FILTER(Q2081:Q6149,AA2081:AA6149=""Neighbor""))) / STDEV(FILTER(Q2081:Q6149, AA2081:AA6149 =""Neighbor"")), """")"),0.35552472673409286)</f>
        <v>0.3555247267</v>
      </c>
      <c r="AF2081" s="2">
        <f>IFERROR(__xludf.DUMMYFUNCTION("IFERROR(ABS(R2081-AVERAGE(FILTER(R2081:R6149,AA2081:AA6149=""Neighbor""))) / STDEV(FILTER(R2081:R6149, AA2081:AA6149 =""Neighbor"")), """")"),0.3443278553643386)</f>
        <v>0.3443278554</v>
      </c>
    </row>
    <row r="2082">
      <c r="A2082" s="2" t="s">
        <v>28</v>
      </c>
      <c r="B2082" s="2" t="s">
        <v>8509</v>
      </c>
      <c r="C2082" s="2" t="s">
        <v>8509</v>
      </c>
      <c r="D2082" s="2" t="s">
        <v>8526</v>
      </c>
      <c r="E2082" s="2" t="s">
        <v>8527</v>
      </c>
      <c r="F2082" s="2">
        <v>65.0</v>
      </c>
      <c r="G2082" s="2">
        <v>366.0</v>
      </c>
      <c r="H2082" s="2" t="b">
        <v>1</v>
      </c>
      <c r="I2082" s="2">
        <v>-1.0</v>
      </c>
      <c r="J2082" s="2" t="b">
        <v>0</v>
      </c>
      <c r="K2082" s="2" t="b">
        <v>0</v>
      </c>
      <c r="L2082" s="2" t="b">
        <v>0</v>
      </c>
      <c r="M2082" s="2" t="b">
        <v>0</v>
      </c>
      <c r="N2082" s="2" t="s">
        <v>33</v>
      </c>
      <c r="O2082" s="2">
        <v>39.0</v>
      </c>
      <c r="P2082" s="2">
        <v>1.0</v>
      </c>
      <c r="Q2082" s="2">
        <v>18.0</v>
      </c>
      <c r="R2082" s="2">
        <v>0.0</v>
      </c>
      <c r="S2082" s="3" t="s">
        <v>8528</v>
      </c>
      <c r="T2082" s="2" t="s">
        <v>8529</v>
      </c>
      <c r="Y2082" s="4" t="str">
        <f>IFERROR(__xludf.DUMMYFUNCTION("""COMPUTED_VALUE"""),"7.2292359")</f>
        <v>7.2292359</v>
      </c>
      <c r="Z2082" s="4" t="str">
        <f>IFERROR(__xludf.DUMMYFUNCTION("""COMPUTED_VALUE"""),"3.642048")</f>
        <v>3.642048</v>
      </c>
      <c r="AA2082" s="4" t="str">
        <f t="shared" si="1"/>
        <v>Not Neighbor</v>
      </c>
      <c r="AC2082" s="4">
        <f>IFERROR(__xludf.DUMMYFUNCTION("IFERROR(ABS(O2082-AVERAGE(FILTER(O2082:O6150,AA2082:AA6150=""Neighbor""))) / STDEV(FILTER(O2082:O6150, AA2082:AA6150 =""Neighbor"")), """")"),0.3956511511880525)</f>
        <v>0.3956511512</v>
      </c>
      <c r="AD2082" s="4">
        <f>IFERROR(__xludf.DUMMYFUNCTION("IFERROR(ABS(P2082-AVERAGE(FILTER(O2082:P6150,AA2082:AA6150=""Neighbor""))) / STDEV(FILTER(P2082:P6150, AA2082:AA6150 =""Neighbor"")), """")"),1.5189444843982398)</f>
        <v>1.518944484</v>
      </c>
      <c r="AE2082" s="2">
        <f>IFERROR(__xludf.DUMMYFUNCTION("IFERROR(ABS(Q2082-AVERAGE(FILTER(Q2082:Q6150,AA2082:AA6150=""Neighbor""))) / STDEV(FILTER(Q2082:Q6150, AA2082:AA6150 =""Neighbor"")), """")"),0.11563860548877229)</f>
        <v>0.1156386055</v>
      </c>
      <c r="AF2082" s="2">
        <f>IFERROR(__xludf.DUMMYFUNCTION("IFERROR(ABS(R2082-AVERAGE(FILTER(R2082:R6150,AA2082:AA6150=""Neighbor""))) / STDEV(FILTER(R2082:R6150, AA2082:AA6150 =""Neighbor"")), """")"),0.3443278553643386)</f>
        <v>0.3443278554</v>
      </c>
    </row>
    <row r="2083">
      <c r="A2083" s="2" t="s">
        <v>28</v>
      </c>
      <c r="B2083" s="2" t="s">
        <v>8509</v>
      </c>
      <c r="C2083" s="2" t="s">
        <v>8509</v>
      </c>
      <c r="D2083" s="2" t="s">
        <v>8530</v>
      </c>
      <c r="E2083" s="2" t="s">
        <v>8531</v>
      </c>
      <c r="F2083" s="2">
        <v>23.0</v>
      </c>
      <c r="G2083" s="2">
        <v>131.0</v>
      </c>
      <c r="H2083" s="2" t="b">
        <v>1</v>
      </c>
      <c r="I2083" s="2">
        <v>-1.0</v>
      </c>
      <c r="J2083" s="2" t="b">
        <v>0</v>
      </c>
      <c r="K2083" s="2" t="b">
        <v>0</v>
      </c>
      <c r="L2083" s="2" t="b">
        <v>0</v>
      </c>
      <c r="M2083" s="2" t="b">
        <v>0</v>
      </c>
      <c r="N2083" s="2" t="s">
        <v>33</v>
      </c>
      <c r="O2083" s="2">
        <v>16.0</v>
      </c>
      <c r="P2083" s="2">
        <v>0.0</v>
      </c>
      <c r="Q2083" s="2">
        <v>2.0</v>
      </c>
      <c r="R2083" s="2">
        <v>0.0</v>
      </c>
      <c r="S2083" s="3" t="s">
        <v>8532</v>
      </c>
      <c r="T2083" s="2" t="s">
        <v>8533</v>
      </c>
      <c r="Y2083" s="4" t="str">
        <f>IFERROR(__xludf.DUMMYFUNCTION("""COMPUTED_VALUE"""),"7.2279245")</f>
        <v>7.2279245</v>
      </c>
      <c r="Z2083" s="4" t="str">
        <f>IFERROR(__xludf.DUMMYFUNCTION("""COMPUTED_VALUE"""),"3.5082423")</f>
        <v>3.5082423</v>
      </c>
      <c r="AA2083" s="4" t="str">
        <f t="shared" si="1"/>
        <v>Not Neighbor</v>
      </c>
      <c r="AC2083" s="4">
        <f>IFERROR(__xludf.DUMMYFUNCTION("IFERROR(ABS(O2083-AVERAGE(FILTER(O2083:O6151,AA2083:AA6151=""Neighbor""))) / STDEV(FILTER(O2083:O6151, AA2083:AA6151 =""Neighbor"")), """")"),1.0113875931422265)</f>
        <v>1.011387593</v>
      </c>
      <c r="AD2083" s="4">
        <f>IFERROR(__xludf.DUMMYFUNCTION("IFERROR(ABS(P2083-AVERAGE(FILTER(O2083:P6151,AA2083:AA6151=""Neighbor""))) / STDEV(FILTER(P2083:P6151, AA2083:AA6151 =""Neighbor"")), """")"),1.5632277832037385)</f>
        <v>1.563227783</v>
      </c>
      <c r="AE2083" s="2">
        <f>IFERROR(__xludf.DUMMYFUNCTION("IFERROR(ABS(Q2083-AVERAGE(FILTER(Q2083:Q6151,AA2083:AA6151=""Neighbor""))) / STDEV(FILTER(Q2083:Q6151, AA2083:AA6151 =""Neighbor"")), """")"),0.8694999370453564)</f>
        <v>0.869499937</v>
      </c>
      <c r="AF2083" s="2">
        <f>IFERROR(__xludf.DUMMYFUNCTION("IFERROR(ABS(R2083-AVERAGE(FILTER(R2083:R6151,AA2083:AA6151=""Neighbor""))) / STDEV(FILTER(R2083:R6151, AA2083:AA6151 =""Neighbor"")), """")"),0.3443278553643386)</f>
        <v>0.3443278554</v>
      </c>
    </row>
    <row r="2084">
      <c r="A2084" s="2" t="s">
        <v>28</v>
      </c>
      <c r="B2084" s="2" t="s">
        <v>8509</v>
      </c>
      <c r="C2084" s="2" t="s">
        <v>8509</v>
      </c>
      <c r="D2084" s="2" t="s">
        <v>8534</v>
      </c>
      <c r="E2084" s="2" t="s">
        <v>8535</v>
      </c>
      <c r="F2084" s="2">
        <v>151.0</v>
      </c>
      <c r="G2084" s="2">
        <v>1122.0</v>
      </c>
      <c r="H2084" s="2" t="b">
        <v>1</v>
      </c>
      <c r="I2084" s="2">
        <v>-1.0</v>
      </c>
      <c r="J2084" s="2" t="b">
        <v>0</v>
      </c>
      <c r="K2084" s="2" t="b">
        <v>0</v>
      </c>
      <c r="L2084" s="2" t="b">
        <v>0</v>
      </c>
      <c r="M2084" s="2" t="b">
        <v>0</v>
      </c>
      <c r="N2084" s="2" t="s">
        <v>33</v>
      </c>
      <c r="O2084" s="2">
        <v>84.0</v>
      </c>
      <c r="P2084" s="2">
        <v>3.0</v>
      </c>
      <c r="Q2084" s="2">
        <v>53.0</v>
      </c>
      <c r="R2084" s="2">
        <v>2.0</v>
      </c>
      <c r="S2084" s="3" t="s">
        <v>8536</v>
      </c>
      <c r="T2084" s="2" t="s">
        <v>8537</v>
      </c>
      <c r="Y2084" s="4" t="str">
        <f>IFERROR(__xludf.DUMMYFUNCTION("""COMPUTED_VALUE"""),"7.2233864")</f>
        <v>7.2233864</v>
      </c>
      <c r="Z2084" s="4" t="str">
        <f>IFERROR(__xludf.DUMMYFUNCTION("""COMPUTED_VALUE"""),"3.6160814")</f>
        <v>3.6160814</v>
      </c>
      <c r="AA2084" s="4" t="str">
        <f t="shared" si="1"/>
        <v>Not Neighbor</v>
      </c>
      <c r="AC2084" s="4">
        <f>IFERROR(__xludf.DUMMYFUNCTION("IFERROR(ABS(O2084-AVERAGE(FILTER(O2084:O6152,AA2084:AA6152=""Neighbor""))) / STDEV(FILTER(O2084:O6152, AA2084:AA6152 =""Neighbor"")), """")"),0.8090505830701141)</f>
        <v>0.8090505831</v>
      </c>
      <c r="AD2084" s="4">
        <f>IFERROR(__xludf.DUMMYFUNCTION("IFERROR(ABS(P2084-AVERAGE(FILTER(O2084:P6152,AA2084:AA6152=""Neighbor""))) / STDEV(FILTER(P2084:P6152, AA2084:AA6152 =""Neighbor"")), """")"),1.4303778867872423)</f>
        <v>1.430377887</v>
      </c>
      <c r="AE2084" s="2">
        <f>IFERROR(__xludf.DUMMYFUNCTION("IFERROR(ABS(Q2084-AVERAGE(FILTER(Q2084:Q6152,AA2084:AA6152=""Neighbor""))) / STDEV(FILTER(Q2084:Q6152, AA2084:AA6152 =""Neighbor"")), """")"),1.5334330572912556)</f>
        <v>1.533433057</v>
      </c>
      <c r="AF2084" s="2">
        <f>IFERROR(__xludf.DUMMYFUNCTION("IFERROR(ABS(R2084-AVERAGE(FILTER(R2084:R6152,AA2084:AA6152=""Neighbor""))) / STDEV(FILTER(R2084:R6152, AA2084:AA6152 =""Neighbor"")), """")"),2.0192786094247652)</f>
        <v>2.019278609</v>
      </c>
    </row>
    <row r="2085">
      <c r="A2085" s="2" t="s">
        <v>28</v>
      </c>
      <c r="B2085" s="2" t="s">
        <v>8509</v>
      </c>
      <c r="C2085" s="2" t="s">
        <v>8509</v>
      </c>
      <c r="D2085" s="2" t="s">
        <v>8538</v>
      </c>
      <c r="E2085" s="2" t="s">
        <v>8539</v>
      </c>
      <c r="F2085" s="2">
        <v>73.0</v>
      </c>
      <c r="G2085" s="2">
        <v>554.0</v>
      </c>
      <c r="H2085" s="2" t="b">
        <v>1</v>
      </c>
      <c r="I2085" s="2">
        <v>-1.0</v>
      </c>
      <c r="J2085" s="2" t="b">
        <v>0</v>
      </c>
      <c r="K2085" s="2" t="b">
        <v>0</v>
      </c>
      <c r="L2085" s="2" t="b">
        <v>0</v>
      </c>
      <c r="M2085" s="2" t="b">
        <v>0</v>
      </c>
      <c r="N2085" s="2" t="s">
        <v>33</v>
      </c>
      <c r="O2085" s="2">
        <v>65.0</v>
      </c>
      <c r="P2085" s="2">
        <v>1.0</v>
      </c>
      <c r="Q2085" s="2">
        <v>4.0</v>
      </c>
      <c r="R2085" s="2">
        <v>0.0</v>
      </c>
      <c r="S2085" s="3" t="s">
        <v>8540</v>
      </c>
      <c r="T2085" s="2" t="s">
        <v>8541</v>
      </c>
      <c r="Y2085" s="4" t="str">
        <f>IFERROR(__xludf.DUMMYFUNCTION("""COMPUTED_VALUE"""),"7.2559")</f>
        <v>7.2559</v>
      </c>
      <c r="Z2085" s="4" t="str">
        <f>IFERROR(__xludf.DUMMYFUNCTION("""COMPUTED_VALUE"""),"3.6315964")</f>
        <v>3.6315964</v>
      </c>
      <c r="AA2085" s="4" t="str">
        <f t="shared" si="1"/>
        <v>Not Neighbor</v>
      </c>
      <c r="AC2085" s="4">
        <f>IFERROR(__xludf.DUMMYFUNCTION("IFERROR(ABS(O2085-AVERAGE(FILTER(O2085:O6153,AA2085:AA6153=""Neighbor""))) / STDEV(FILTER(O2085:O6153, AA2085:AA6153 =""Neighbor"")), """")"),0.300398739716666)</f>
        <v>0.3003987397</v>
      </c>
      <c r="AD2085" s="4">
        <f>IFERROR(__xludf.DUMMYFUNCTION("IFERROR(ABS(P2085-AVERAGE(FILTER(O2085:P6153,AA2085:AA6153=""Neighbor""))) / STDEV(FILTER(P2085:P6153, AA2085:AA6153 =""Neighbor"")), """")"),1.5189444843982398)</f>
        <v>1.518944484</v>
      </c>
      <c r="AE2085" s="2">
        <f>IFERROR(__xludf.DUMMYFUNCTION("IFERROR(ABS(Q2085-AVERAGE(FILTER(Q2085:Q6153,AA2085:AA6153=""Neighbor""))) / STDEV(FILTER(Q2085:Q6153, AA2085:AA6153 =""Neighbor"")), """")"),0.7752672706007835)</f>
        <v>0.7752672706</v>
      </c>
      <c r="AF2085" s="2">
        <f>IFERROR(__xludf.DUMMYFUNCTION("IFERROR(ABS(R2085-AVERAGE(FILTER(R2085:R6153,AA2085:AA6153=""Neighbor""))) / STDEV(FILTER(R2085:R6153, AA2085:AA6153 =""Neighbor"")), """")"),0.3443278553643386)</f>
        <v>0.3443278554</v>
      </c>
    </row>
    <row r="2086">
      <c r="A2086" s="2" t="s">
        <v>28</v>
      </c>
      <c r="B2086" s="2" t="s">
        <v>8509</v>
      </c>
      <c r="C2086" s="2" t="s">
        <v>8509</v>
      </c>
      <c r="D2086" s="2" t="s">
        <v>8542</v>
      </c>
      <c r="E2086" s="2" t="s">
        <v>8543</v>
      </c>
      <c r="F2086" s="2">
        <v>125.0</v>
      </c>
      <c r="G2086" s="2">
        <v>515.0</v>
      </c>
      <c r="H2086" s="2" t="b">
        <v>1</v>
      </c>
      <c r="I2086" s="2">
        <v>-1.0</v>
      </c>
      <c r="J2086" s="2" t="b">
        <v>0</v>
      </c>
      <c r="K2086" s="2" t="b">
        <v>0</v>
      </c>
      <c r="L2086" s="2" t="b">
        <v>0</v>
      </c>
      <c r="M2086" s="2" t="b">
        <v>0</v>
      </c>
      <c r="N2086" s="2" t="s">
        <v>33</v>
      </c>
      <c r="O2086" s="2">
        <v>116.0</v>
      </c>
      <c r="P2086" s="2">
        <v>0.0</v>
      </c>
      <c r="Q2086" s="2">
        <v>2.0</v>
      </c>
      <c r="R2086" s="2">
        <v>0.0</v>
      </c>
      <c r="S2086" s="3" t="s">
        <v>8544</v>
      </c>
      <c r="T2086" s="2" t="s">
        <v>8545</v>
      </c>
      <c r="Y2086" s="4" t="str">
        <f>IFERROR(__xludf.DUMMYFUNCTION("""COMPUTED_VALUE"""),"7.15")</f>
        <v>7.15</v>
      </c>
      <c r="Z2086" s="4" t="str">
        <f>IFERROR(__xludf.DUMMYFUNCTION("""COMPUTED_VALUE"""),"3.5333")</f>
        <v>3.5333</v>
      </c>
      <c r="AA2086" s="4" t="str">
        <f t="shared" si="1"/>
        <v>Not Neighbor</v>
      </c>
      <c r="AC2086" s="4">
        <f>IFERROR(__xludf.DUMMYFUNCTION("IFERROR(ABS(O2086-AVERAGE(FILTER(O2086:O6154,AA2086:AA6154=""Neighbor""))) / STDEV(FILTER(O2086:O6154, AA2086:AA6154 =""Neighbor"")), """")"),1.6657273718759216)</f>
        <v>1.665727372</v>
      </c>
      <c r="AD2086" s="4">
        <f>IFERROR(__xludf.DUMMYFUNCTION("IFERROR(ABS(P2086-AVERAGE(FILTER(O2086:P6154,AA2086:AA6154=""Neighbor""))) / STDEV(FILTER(P2086:P6154, AA2086:AA6154 =""Neighbor"")), """")"),1.5632277832037385)</f>
        <v>1.563227783</v>
      </c>
      <c r="AE2086" s="2">
        <f>IFERROR(__xludf.DUMMYFUNCTION("IFERROR(ABS(Q2086-AVERAGE(FILTER(Q2086:Q6154,AA2086:AA6154=""Neighbor""))) / STDEV(FILTER(Q2086:Q6154, AA2086:AA6154 =""Neighbor"")), """")"),0.8694999370453564)</f>
        <v>0.869499937</v>
      </c>
      <c r="AF2086" s="2">
        <f>IFERROR(__xludf.DUMMYFUNCTION("IFERROR(ABS(R2086-AVERAGE(FILTER(R2086:R6154,AA2086:AA6154=""Neighbor""))) / STDEV(FILTER(R2086:R6154, AA2086:AA6154 =""Neighbor"")), """")"),0.3443278553643386)</f>
        <v>0.3443278554</v>
      </c>
    </row>
    <row r="2087">
      <c r="A2087" s="2" t="s">
        <v>28</v>
      </c>
      <c r="B2087" s="2" t="s">
        <v>8509</v>
      </c>
      <c r="C2087" s="2" t="s">
        <v>8509</v>
      </c>
      <c r="D2087" s="2" t="s">
        <v>8546</v>
      </c>
      <c r="E2087" s="2" t="s">
        <v>8547</v>
      </c>
      <c r="F2087" s="2">
        <v>150.0</v>
      </c>
      <c r="G2087" s="2">
        <v>555.0</v>
      </c>
      <c r="H2087" s="2" t="b">
        <v>1</v>
      </c>
      <c r="I2087" s="2">
        <v>-1.0</v>
      </c>
      <c r="J2087" s="2" t="b">
        <v>0</v>
      </c>
      <c r="K2087" s="2" t="b">
        <v>0</v>
      </c>
      <c r="L2087" s="2" t="b">
        <v>0</v>
      </c>
      <c r="M2087" s="2" t="b">
        <v>0</v>
      </c>
      <c r="N2087" s="2" t="s">
        <v>33</v>
      </c>
      <c r="O2087" s="2">
        <v>135.0</v>
      </c>
      <c r="P2087" s="2">
        <v>0.0</v>
      </c>
      <c r="Q2087" s="2">
        <v>14.0</v>
      </c>
      <c r="R2087" s="2">
        <v>0.0</v>
      </c>
      <c r="S2087" s="3" t="s">
        <v>8548</v>
      </c>
      <c r="T2087" s="2" t="s">
        <v>8549</v>
      </c>
      <c r="Y2087" s="4" t="str">
        <f>IFERROR(__xludf.DUMMYFUNCTION("""COMPUTED_VALUE"""),"7.2026344")</f>
        <v>7.2026344</v>
      </c>
      <c r="Z2087" s="4" t="str">
        <f>IFERROR(__xludf.DUMMYFUNCTION("""COMPUTED_VALUE"""),"3.6512741")</f>
        <v>3.6512741</v>
      </c>
      <c r="AA2087" s="4" t="str">
        <f t="shared" si="1"/>
        <v>Not Neighbor</v>
      </c>
      <c r="AC2087" s="4">
        <f>IFERROR(__xludf.DUMMYFUNCTION("IFERROR(ABS(O2087-AVERAGE(FILTER(O2087:O6155,AA2087:AA6155=""Neighbor""))) / STDEV(FILTER(O2087:O6155, AA2087:AA6155 =""Neighbor"")), """")"),2.17437921522937)</f>
        <v>2.174379215</v>
      </c>
      <c r="AD2087" s="4">
        <f>IFERROR(__xludf.DUMMYFUNCTION("IFERROR(ABS(P2087-AVERAGE(FILTER(O2087:P6155,AA2087:AA6155=""Neighbor""))) / STDEV(FILTER(P2087:P6155, AA2087:AA6155 =""Neighbor"")), """")"),1.5632277832037385)</f>
        <v>1.563227783</v>
      </c>
      <c r="AE2087" s="2">
        <f>IFERROR(__xludf.DUMMYFUNCTION("IFERROR(ABS(Q2087-AVERAGE(FILTER(Q2087:Q6155,AA2087:AA6155=""Neighbor""))) / STDEV(FILTER(Q2087:Q6155, AA2087:AA6155 =""Neighbor"")), """")"),0.3041039383779183)</f>
        <v>0.3041039384</v>
      </c>
      <c r="AF2087" s="2">
        <f>IFERROR(__xludf.DUMMYFUNCTION("IFERROR(ABS(R2087-AVERAGE(FILTER(R2087:R6155,AA2087:AA6155=""Neighbor""))) / STDEV(FILTER(R2087:R6155, AA2087:AA6155 =""Neighbor"")), """")"),0.3443278553643386)</f>
        <v>0.3443278554</v>
      </c>
    </row>
    <row r="2088">
      <c r="A2088" s="2" t="s">
        <v>28</v>
      </c>
      <c r="B2088" s="2" t="s">
        <v>8509</v>
      </c>
      <c r="C2088" s="2" t="s">
        <v>8509</v>
      </c>
      <c r="D2088" s="2" t="s">
        <v>8550</v>
      </c>
      <c r="E2088" s="2" t="s">
        <v>8551</v>
      </c>
      <c r="F2088" s="2">
        <v>82.0</v>
      </c>
      <c r="G2088" s="2">
        <v>496.0</v>
      </c>
      <c r="H2088" s="2" t="b">
        <v>1</v>
      </c>
      <c r="I2088" s="2">
        <v>-1.0</v>
      </c>
      <c r="J2088" s="2" t="b">
        <v>0</v>
      </c>
      <c r="K2088" s="2" t="b">
        <v>0</v>
      </c>
      <c r="L2088" s="2" t="b">
        <v>0</v>
      </c>
      <c r="M2088" s="2" t="b">
        <v>0</v>
      </c>
      <c r="N2088" s="2" t="s">
        <v>33</v>
      </c>
      <c r="O2088" s="2">
        <v>70.0</v>
      </c>
      <c r="P2088" s="2">
        <v>0.0</v>
      </c>
      <c r="Q2088" s="2">
        <v>3.0</v>
      </c>
      <c r="R2088" s="2">
        <v>0.0</v>
      </c>
      <c r="S2088" s="3" t="s">
        <v>8552</v>
      </c>
      <c r="T2088" s="2" t="s">
        <v>8553</v>
      </c>
      <c r="Y2088" s="4" t="str">
        <f>IFERROR(__xludf.DUMMYFUNCTION("""COMPUTED_VALUE"""),"7.23366")</f>
        <v>7.23366</v>
      </c>
      <c r="Z2088" s="4" t="str">
        <f>IFERROR(__xludf.DUMMYFUNCTION("""COMPUTED_VALUE"""),"3.6462451")</f>
        <v>3.6462451</v>
      </c>
      <c r="AA2088" s="4" t="str">
        <f t="shared" si="1"/>
        <v>Not Neighbor</v>
      </c>
      <c r="AC2088" s="4">
        <f>IFERROR(__xludf.DUMMYFUNCTION("IFERROR(ABS(O2088-AVERAGE(FILTER(O2088:O6156,AA2088:AA6156=""Neighbor""))) / STDEV(FILTER(O2088:O6156, AA2088:AA6156 =""Neighbor"")), """")"),0.4342544879675734)</f>
        <v>0.434254488</v>
      </c>
      <c r="AD2088" s="4">
        <f>IFERROR(__xludf.DUMMYFUNCTION("IFERROR(ABS(P2088-AVERAGE(FILTER(O2088:P6156,AA2088:AA6156=""Neighbor""))) / STDEV(FILTER(P2088:P6156, AA2088:AA6156 =""Neighbor"")), """")"),1.5632277832037385)</f>
        <v>1.563227783</v>
      </c>
      <c r="AE2088" s="2">
        <f>IFERROR(__xludf.DUMMYFUNCTION("IFERROR(ABS(Q2088-AVERAGE(FILTER(Q2088:Q6156,AA2088:AA6156=""Neighbor""))) / STDEV(FILTER(Q2088:Q6156, AA2088:AA6156 =""Neighbor"")), """")"),0.82238360382307)</f>
        <v>0.8223836038</v>
      </c>
      <c r="AF2088" s="2">
        <f>IFERROR(__xludf.DUMMYFUNCTION("IFERROR(ABS(R2088-AVERAGE(FILTER(R2088:R6156,AA2088:AA6156=""Neighbor""))) / STDEV(FILTER(R2088:R6156, AA2088:AA6156 =""Neighbor"")), """")"),0.3443278553643386)</f>
        <v>0.3443278554</v>
      </c>
    </row>
    <row r="2089">
      <c r="A2089" s="2" t="s">
        <v>28</v>
      </c>
      <c r="B2089" s="2" t="s">
        <v>8509</v>
      </c>
      <c r="C2089" s="2" t="s">
        <v>8509</v>
      </c>
      <c r="D2089" s="2" t="s">
        <v>8554</v>
      </c>
      <c r="E2089" s="2" t="s">
        <v>8555</v>
      </c>
      <c r="F2089" s="2">
        <v>50.0</v>
      </c>
      <c r="G2089" s="2">
        <v>267.0</v>
      </c>
      <c r="H2089" s="2" t="b">
        <v>1</v>
      </c>
      <c r="I2089" s="2">
        <v>-1.0</v>
      </c>
      <c r="J2089" s="2" t="b">
        <v>0</v>
      </c>
      <c r="K2089" s="2" t="b">
        <v>0</v>
      </c>
      <c r="L2089" s="2" t="b">
        <v>0</v>
      </c>
      <c r="M2089" s="2" t="b">
        <v>0</v>
      </c>
      <c r="N2089" s="2" t="s">
        <v>33</v>
      </c>
      <c r="O2089" s="2">
        <v>21.0</v>
      </c>
      <c r="P2089" s="2">
        <v>2.0</v>
      </c>
      <c r="Q2089" s="2">
        <v>20.0</v>
      </c>
      <c r="R2089" s="2">
        <v>0.0</v>
      </c>
      <c r="S2089" s="3" t="s">
        <v>8556</v>
      </c>
      <c r="T2089" s="2" t="s">
        <v>8557</v>
      </c>
      <c r="Y2089" s="4" t="str">
        <f>IFERROR(__xludf.DUMMYFUNCTION("""COMPUTED_VALUE"""),"")</f>
        <v/>
      </c>
      <c r="Z2089" s="4" t="str">
        <f>IFERROR(__xludf.DUMMYFUNCTION("""COMPUTED_VALUE"""),"")</f>
        <v/>
      </c>
      <c r="AA2089" s="4" t="str">
        <f t="shared" si="1"/>
        <v>Not Neighbor</v>
      </c>
      <c r="AC2089" s="4">
        <f>IFERROR(__xludf.DUMMYFUNCTION("IFERROR(ABS(O2089-AVERAGE(FILTER(O2089:O6157,AA2089:AA6157=""Neighbor""))) / STDEV(FILTER(O2089:O6157, AA2089:AA6157 =""Neighbor"")), """")"),0.8775318448913192)</f>
        <v>0.8775318449</v>
      </c>
      <c r="AD2089" s="4">
        <f>IFERROR(__xludf.DUMMYFUNCTION("IFERROR(ABS(P2089-AVERAGE(FILTER(O2089:P6157,AA2089:AA6157=""Neighbor""))) / STDEV(FILTER(P2089:P6157, AA2089:AA6157 =""Neighbor"")), """")"),1.474661185592741)</f>
        <v>1.474661186</v>
      </c>
      <c r="AE2089" s="2">
        <f>IFERROR(__xludf.DUMMYFUNCTION("IFERROR(ABS(Q2089-AVERAGE(FILTER(Q2089:Q6157,AA2089:AA6157=""Neighbor""))) / STDEV(FILTER(Q2089:Q6157, AA2089:AA6157 =""Neighbor"")), """")"),0.021405939044199265)</f>
        <v>0.02140593904</v>
      </c>
      <c r="AF2089" s="2">
        <f>IFERROR(__xludf.DUMMYFUNCTION("IFERROR(ABS(R2089-AVERAGE(FILTER(R2089:R6157,AA2089:AA6157=""Neighbor""))) / STDEV(FILTER(R2089:R6157, AA2089:AA6157 =""Neighbor"")), """")"),0.3443278553643386)</f>
        <v>0.3443278554</v>
      </c>
    </row>
    <row r="2090">
      <c r="A2090" s="2" t="s">
        <v>28</v>
      </c>
      <c r="B2090" s="2" t="s">
        <v>8509</v>
      </c>
      <c r="C2090" s="2" t="s">
        <v>8509</v>
      </c>
      <c r="D2090" s="2" t="s">
        <v>8558</v>
      </c>
      <c r="E2090" s="2" t="s">
        <v>8559</v>
      </c>
      <c r="F2090" s="2">
        <v>132.0</v>
      </c>
      <c r="G2090" s="2">
        <v>908.0</v>
      </c>
      <c r="H2090" s="2" t="b">
        <v>1</v>
      </c>
      <c r="I2090" s="2">
        <v>-1.0</v>
      </c>
      <c r="J2090" s="2" t="b">
        <v>0</v>
      </c>
      <c r="K2090" s="2" t="b">
        <v>1</v>
      </c>
      <c r="L2090" s="2" t="b">
        <v>0</v>
      </c>
      <c r="M2090" s="2" t="b">
        <v>0</v>
      </c>
      <c r="N2090" s="2" t="s">
        <v>33</v>
      </c>
      <c r="O2090" s="2">
        <v>61.0</v>
      </c>
      <c r="P2090" s="2">
        <v>13.0</v>
      </c>
      <c r="Q2090" s="2">
        <v>39.0</v>
      </c>
      <c r="R2090" s="2">
        <v>0.0</v>
      </c>
      <c r="S2090" s="3" t="s">
        <v>8560</v>
      </c>
      <c r="T2090" s="2" t="s">
        <v>8561</v>
      </c>
      <c r="Y2090" s="4" t="str">
        <f>IFERROR(__xludf.DUMMYFUNCTION("""COMPUTED_VALUE"""),"6.793581")</f>
        <v>6.793581</v>
      </c>
      <c r="Z2090" s="4" t="str">
        <f>IFERROR(__xludf.DUMMYFUNCTION("""COMPUTED_VALUE"""),"2.747384")</f>
        <v>2.747384</v>
      </c>
      <c r="AA2090" s="4" t="str">
        <f t="shared" si="1"/>
        <v>Not Neighbor</v>
      </c>
      <c r="AC2090" s="4">
        <f>IFERROR(__xludf.DUMMYFUNCTION("IFERROR(ABS(O2090-AVERAGE(FILTER(O2090:O6158,AA2090:AA6158=""Neighbor""))) / STDEV(FILTER(O2090:O6158, AA2090:AA6158 =""Neighbor"")), """")"),0.19331414111594006)</f>
        <v>0.1933141411</v>
      </c>
      <c r="AD2090" s="4">
        <f>IFERROR(__xludf.DUMMYFUNCTION("IFERROR(ABS(P2090-AVERAGE(FILTER(O2090:P6158,AA2090:AA6158=""Neighbor""))) / STDEV(FILTER(P2090:P6158, AA2090:AA6158 =""Neighbor"")), """")"),0.9875448987322548)</f>
        <v>0.9875448987</v>
      </c>
      <c r="AE2090" s="2">
        <f>IFERROR(__xludf.DUMMYFUNCTION("IFERROR(ABS(Q2090-AVERAGE(FILTER(Q2090:Q6158,AA2090:AA6158=""Neighbor""))) / STDEV(FILTER(Q2090:Q6158, AA2090:AA6158 =""Neighbor"")), """")"),0.8738043921792444)</f>
        <v>0.8738043922</v>
      </c>
      <c r="AF2090" s="2">
        <f>IFERROR(__xludf.DUMMYFUNCTION("IFERROR(ABS(R2090-AVERAGE(FILTER(R2090:R6158,AA2090:AA6158=""Neighbor""))) / STDEV(FILTER(R2090:R6158, AA2090:AA6158 =""Neighbor"")), """")"),0.3443278553643386)</f>
        <v>0.3443278554</v>
      </c>
    </row>
    <row r="2091">
      <c r="A2091" s="2" t="s">
        <v>28</v>
      </c>
      <c r="B2091" s="2" t="s">
        <v>8509</v>
      </c>
      <c r="C2091" s="2" t="s">
        <v>8509</v>
      </c>
      <c r="D2091" s="2" t="s">
        <v>8562</v>
      </c>
      <c r="E2091" s="2" t="s">
        <v>8563</v>
      </c>
      <c r="F2091" s="2">
        <v>69.0</v>
      </c>
      <c r="G2091" s="2">
        <v>334.0</v>
      </c>
      <c r="H2091" s="2" t="b">
        <v>1</v>
      </c>
      <c r="I2091" s="2">
        <v>-1.0</v>
      </c>
      <c r="J2091" s="2" t="b">
        <v>0</v>
      </c>
      <c r="K2091" s="2" t="b">
        <v>1</v>
      </c>
      <c r="L2091" s="2" t="b">
        <v>0</v>
      </c>
      <c r="M2091" s="2" t="b">
        <v>0</v>
      </c>
      <c r="N2091" s="2" t="s">
        <v>33</v>
      </c>
      <c r="O2091" s="2">
        <v>60.0</v>
      </c>
      <c r="P2091" s="2">
        <v>1.0</v>
      </c>
      <c r="Q2091" s="2">
        <v>8.0</v>
      </c>
      <c r="R2091" s="2">
        <v>0.0</v>
      </c>
      <c r="S2091" s="3" t="s">
        <v>8564</v>
      </c>
      <c r="T2091" s="2" t="s">
        <v>8565</v>
      </c>
      <c r="Y2091" s="4" t="str">
        <f>IFERROR(__xludf.DUMMYFUNCTION("""COMPUTED_VALUE"""),"7.2279245")</f>
        <v>7.2279245</v>
      </c>
      <c r="Z2091" s="4" t="str">
        <f>IFERROR(__xludf.DUMMYFUNCTION("""COMPUTED_VALUE"""),"3.5082423")</f>
        <v>3.5082423</v>
      </c>
      <c r="AA2091" s="4" t="str">
        <f t="shared" si="1"/>
        <v>Not Neighbor</v>
      </c>
      <c r="AC2091" s="4">
        <f>IFERROR(__xludf.DUMMYFUNCTION("IFERROR(ABS(O2091-AVERAGE(FILTER(O2091:O6159,AA2091:AA6159=""Neighbor""))) / STDEV(FILTER(O2091:O6159, AA2091:AA6159 =""Neighbor"")), """")"),0.16654299146575857)</f>
        <v>0.1665429915</v>
      </c>
      <c r="AD2091" s="4">
        <f>IFERROR(__xludf.DUMMYFUNCTION("IFERROR(ABS(P2091-AVERAGE(FILTER(O2091:P6159,AA2091:AA6159=""Neighbor""))) / STDEV(FILTER(P2091:P6159, AA2091:AA6159 =""Neighbor"")), """")"),1.5189444843982398)</f>
        <v>1.518944484</v>
      </c>
      <c r="AE2091" s="2">
        <f>IFERROR(__xludf.DUMMYFUNCTION("IFERROR(ABS(Q2091-AVERAGE(FILTER(Q2091:Q6159,AA2091:AA6159=""Neighbor""))) / STDEV(FILTER(Q2091:Q6159, AA2091:AA6159 =""Neighbor"")), """")"),0.5868019377116374)</f>
        <v>0.5868019377</v>
      </c>
      <c r="AF2091" s="2">
        <f>IFERROR(__xludf.DUMMYFUNCTION("IFERROR(ABS(R2091-AVERAGE(FILTER(R2091:R6159,AA2091:AA6159=""Neighbor""))) / STDEV(FILTER(R2091:R6159, AA2091:AA6159 =""Neighbor"")), """")"),0.3443278553643386)</f>
        <v>0.3443278554</v>
      </c>
    </row>
    <row r="2092">
      <c r="A2092" s="2" t="s">
        <v>28</v>
      </c>
      <c r="B2092" s="2" t="s">
        <v>8509</v>
      </c>
      <c r="C2092" s="2" t="s">
        <v>8566</v>
      </c>
      <c r="D2092" s="2" t="s">
        <v>8567</v>
      </c>
      <c r="E2092" s="2" t="s">
        <v>8568</v>
      </c>
      <c r="F2092" s="2">
        <v>70.0</v>
      </c>
      <c r="G2092" s="2">
        <v>265.0</v>
      </c>
      <c r="H2092" s="2" t="b">
        <v>1</v>
      </c>
      <c r="I2092" s="2">
        <v>-1.0</v>
      </c>
      <c r="J2092" s="2" t="b">
        <v>0</v>
      </c>
      <c r="K2092" s="2" t="b">
        <v>0</v>
      </c>
      <c r="L2092" s="2" t="b">
        <v>0</v>
      </c>
      <c r="M2092" s="2" t="b">
        <v>0</v>
      </c>
      <c r="N2092" s="2" t="s">
        <v>33</v>
      </c>
      <c r="O2092" s="2">
        <v>48.0</v>
      </c>
      <c r="P2092" s="2">
        <v>0.0</v>
      </c>
      <c r="Q2092" s="2">
        <v>20.0</v>
      </c>
      <c r="R2092" s="2">
        <v>0.0</v>
      </c>
      <c r="S2092" s="3" t="s">
        <v>8569</v>
      </c>
      <c r="T2092" s="2" t="s">
        <v>8570</v>
      </c>
      <c r="Y2092" s="4" t="str">
        <f>IFERROR(__xludf.DUMMYFUNCTION("""COMPUTED_VALUE"""),"7.1910833")</f>
        <v>7.1910833</v>
      </c>
      <c r="Z2092" s="4" t="str">
        <f>IFERROR(__xludf.DUMMYFUNCTION("""COMPUTED_VALUE"""),"3.5761296")</f>
        <v>3.5761296</v>
      </c>
      <c r="AA2092" s="4" t="str">
        <f t="shared" si="1"/>
        <v>Neighbor</v>
      </c>
      <c r="AC2092" s="4">
        <f>IFERROR(__xludf.DUMMYFUNCTION("IFERROR(ABS(O2092-AVERAGE(FILTER(O2092:O6160,AA2092:AA6160=""Neighbor""))) / STDEV(FILTER(O2092:O6160, AA2092:AA6160 =""Neighbor"")), """")"),0.1547108043364192)</f>
        <v>0.1547108043</v>
      </c>
      <c r="AD2092" s="4">
        <f>IFERROR(__xludf.DUMMYFUNCTION("IFERROR(ABS(P2092-AVERAGE(FILTER(O2092:P6160,AA2092:AA6160=""Neighbor""))) / STDEV(FILTER(P2092:P6160, AA2092:AA6160 =""Neighbor"")), """")"),1.5632277832037385)</f>
        <v>1.563227783</v>
      </c>
      <c r="AE2092" s="2">
        <f>IFERROR(__xludf.DUMMYFUNCTION("IFERROR(ABS(Q2092-AVERAGE(FILTER(Q2092:Q6160,AA2092:AA6160=""Neighbor""))) / STDEV(FILTER(Q2092:Q6160, AA2092:AA6160 =""Neighbor"")), """")"),0.021405939044199265)</f>
        <v>0.02140593904</v>
      </c>
      <c r="AF2092" s="2">
        <f>IFERROR(__xludf.DUMMYFUNCTION("IFERROR(ABS(R2092-AVERAGE(FILTER(R2092:R6160,AA2092:AA6160=""Neighbor""))) / STDEV(FILTER(R2092:R6160, AA2092:AA6160 =""Neighbor"")), """")"),0.3443278553643386)</f>
        <v>0.3443278554</v>
      </c>
    </row>
    <row r="2093">
      <c r="A2093" s="2" t="s">
        <v>28</v>
      </c>
      <c r="B2093" s="2" t="s">
        <v>8509</v>
      </c>
      <c r="C2093" s="2" t="s">
        <v>8566</v>
      </c>
      <c r="D2093" s="2" t="s">
        <v>8571</v>
      </c>
      <c r="E2093" s="2" t="s">
        <v>8572</v>
      </c>
      <c r="F2093" s="2">
        <v>145.0</v>
      </c>
      <c r="G2093" s="2">
        <v>456.0</v>
      </c>
      <c r="H2093" s="2" t="b">
        <v>1</v>
      </c>
      <c r="I2093" s="2">
        <v>-1.0</v>
      </c>
      <c r="J2093" s="2" t="b">
        <v>1</v>
      </c>
      <c r="K2093" s="2" t="b">
        <v>0</v>
      </c>
      <c r="L2093" s="2" t="b">
        <v>0</v>
      </c>
      <c r="M2093" s="2" t="b">
        <v>0</v>
      </c>
      <c r="N2093" s="2" t="s">
        <v>33</v>
      </c>
      <c r="O2093" s="2">
        <v>97.0</v>
      </c>
      <c r="P2093" s="2">
        <v>0.0</v>
      </c>
      <c r="Q2093" s="2">
        <v>35.0</v>
      </c>
      <c r="R2093" s="2">
        <v>0.0</v>
      </c>
      <c r="S2093" s="3" t="s">
        <v>8573</v>
      </c>
      <c r="T2093" s="2" t="s">
        <v>8574</v>
      </c>
      <c r="Y2093" s="4" t="str">
        <f>IFERROR(__xludf.DUMMYFUNCTION("""COMPUTED_VALUE"""),"7.1910644")</f>
        <v>7.1910644</v>
      </c>
      <c r="Z2093" s="4" t="str">
        <f>IFERROR(__xludf.DUMMYFUNCTION("""COMPUTED_VALUE"""),"3.5777893")</f>
        <v>3.5777893</v>
      </c>
      <c r="AA2093" s="4" t="str">
        <f t="shared" si="1"/>
        <v>Neighbor</v>
      </c>
      <c r="AC2093" s="4">
        <f>IFERROR(__xludf.DUMMYFUNCTION("IFERROR(ABS(O2093-AVERAGE(FILTER(O2093:O6161,AA2093:AA6161=""Neighbor""))) / STDEV(FILTER(O2093:O6161, AA2093:AA6161 =""Neighbor"")), """")"),1.1561861864977316)</f>
        <v>1.156186186</v>
      </c>
      <c r="AD2093" s="4">
        <f>IFERROR(__xludf.DUMMYFUNCTION("IFERROR(ABS(P2093-AVERAGE(FILTER(O2093:P6161,AA2093:AA6161=""Neighbor""))) / STDEV(FILTER(P2093:P6161, AA2093:AA6161 =""Neighbor"")), """")"),1.56341650543028)</f>
        <v>1.563416505</v>
      </c>
      <c r="AE2093" s="2">
        <f>IFERROR(__xludf.DUMMYFUNCTION("IFERROR(ABS(Q2093-AVERAGE(FILTER(Q2093:Q6161,AA2093:AA6161=""Neighbor""))) / STDEV(FILTER(Q2093:Q6161, AA2093:AA6161 =""Neighbor"")), """")"),0.6848891073912059)</f>
        <v>0.6848891074</v>
      </c>
      <c r="AF2093" s="2">
        <f>IFERROR(__xludf.DUMMYFUNCTION("IFERROR(ABS(R2093-AVERAGE(FILTER(R2093:R6161,AA2093:AA6161=""Neighbor""))) / STDEV(FILTER(R2093:R6161, AA2093:AA6161 =""Neighbor"")), """")"),0.3445656179753201)</f>
        <v>0.344565618</v>
      </c>
    </row>
    <row r="2094">
      <c r="A2094" s="2" t="s">
        <v>28</v>
      </c>
      <c r="B2094" s="2" t="s">
        <v>8509</v>
      </c>
      <c r="C2094" s="2" t="s">
        <v>8566</v>
      </c>
      <c r="D2094" s="2" t="s">
        <v>8575</v>
      </c>
      <c r="E2094" s="2" t="s">
        <v>8576</v>
      </c>
      <c r="F2094" s="2">
        <v>132.0</v>
      </c>
      <c r="G2094" s="2">
        <v>444.0</v>
      </c>
      <c r="H2094" s="2" t="b">
        <v>1</v>
      </c>
      <c r="I2094" s="2">
        <v>-1.0</v>
      </c>
      <c r="J2094" s="2" t="b">
        <v>1</v>
      </c>
      <c r="K2094" s="2" t="b">
        <v>1</v>
      </c>
      <c r="L2094" s="2" t="b">
        <v>0</v>
      </c>
      <c r="M2094" s="2" t="b">
        <v>0</v>
      </c>
      <c r="N2094" s="2" t="s">
        <v>33</v>
      </c>
      <c r="O2094" s="2">
        <v>47.0</v>
      </c>
      <c r="P2094" s="2">
        <v>1.0</v>
      </c>
      <c r="Q2094" s="2">
        <v>75.0</v>
      </c>
      <c r="R2094" s="2">
        <v>0.0</v>
      </c>
      <c r="S2094" s="3" t="s">
        <v>8577</v>
      </c>
      <c r="T2094" s="2" t="s">
        <v>8578</v>
      </c>
      <c r="Y2094" s="4" t="str">
        <f>IFERROR(__xludf.DUMMYFUNCTION("""COMPUTED_VALUE"""),"7.1910644")</f>
        <v>7.1910644</v>
      </c>
      <c r="Z2094" s="4" t="str">
        <f>IFERROR(__xludf.DUMMYFUNCTION("""COMPUTED_VALUE"""),"3.5777893")</f>
        <v>3.5777893</v>
      </c>
      <c r="AA2094" s="4" t="str">
        <f t="shared" si="1"/>
        <v>Not Neighbor</v>
      </c>
      <c r="AC2094" s="4">
        <f>IFERROR(__xludf.DUMMYFUNCTION("IFERROR(ABS(O2094-AVERAGE(FILTER(O2094:O6162,AA2094:AA6162=""Neighbor""))) / STDEV(FILTER(O2094:O6162, AA2094:AA6162 =""Neighbor"")), """")"),0.18017042134591954)</f>
        <v>0.1801704213</v>
      </c>
      <c r="AD2094" s="4">
        <f>IFERROR(__xludf.DUMMYFUNCTION("IFERROR(ABS(P2094-AVERAGE(FILTER(O2094:P6162,AA2094:AA6162=""Neighbor""))) / STDEV(FILTER(P2094:P6162, AA2094:AA6162 =""Neighbor"")), """")"),1.5180060558016393)</f>
        <v>1.518006056</v>
      </c>
      <c r="AE2094" s="2">
        <f>IFERROR(__xludf.DUMMYFUNCTION("IFERROR(ABS(Q2094-AVERAGE(FILTER(Q2094:Q6162,AA2094:AA6162=""Neighbor""))) / STDEV(FILTER(Q2094:Q6162, AA2094:AA6162 =""Neighbor"")), """")"),2.5683816316452805)</f>
        <v>2.568381632</v>
      </c>
      <c r="AF2094" s="2">
        <f>IFERROR(__xludf.DUMMYFUNCTION("IFERROR(ABS(R2094-AVERAGE(FILTER(R2094:R6162,AA2094:AA6162=""Neighbor""))) / STDEV(FILTER(R2094:R6162, AA2094:AA6162 =""Neighbor"")), """")"),0.34480387387829453)</f>
        <v>0.3448038739</v>
      </c>
    </row>
    <row r="2095">
      <c r="A2095" s="2" t="s">
        <v>28</v>
      </c>
      <c r="B2095" s="2" t="s">
        <v>8509</v>
      </c>
      <c r="C2095" s="2" t="s">
        <v>8566</v>
      </c>
      <c r="D2095" s="2" t="s">
        <v>8579</v>
      </c>
      <c r="E2095" s="2" t="s">
        <v>8580</v>
      </c>
      <c r="F2095" s="2">
        <v>113.0</v>
      </c>
      <c r="G2095" s="2">
        <v>317.0</v>
      </c>
      <c r="H2095" s="2" t="b">
        <v>1</v>
      </c>
      <c r="I2095" s="2">
        <v>-1.0</v>
      </c>
      <c r="J2095" s="2" t="b">
        <v>0</v>
      </c>
      <c r="K2095" s="2" t="b">
        <v>1</v>
      </c>
      <c r="L2095" s="2" t="b">
        <v>0</v>
      </c>
      <c r="M2095" s="2" t="b">
        <v>0</v>
      </c>
      <c r="N2095" s="2" t="s">
        <v>33</v>
      </c>
      <c r="O2095" s="2">
        <v>46.0</v>
      </c>
      <c r="P2095" s="2">
        <v>0.0</v>
      </c>
      <c r="Q2095" s="2">
        <v>58.0</v>
      </c>
      <c r="R2095" s="2">
        <v>0.0</v>
      </c>
      <c r="S2095" s="3" t="s">
        <v>8581</v>
      </c>
      <c r="T2095" s="2" t="s">
        <v>8582</v>
      </c>
      <c r="Y2095" s="4" t="str">
        <f>IFERROR(__xludf.DUMMYFUNCTION("""COMPUTED_VALUE"""),"7.1917564")</f>
        <v>7.1917564</v>
      </c>
      <c r="Z2095" s="4" t="str">
        <f>IFERROR(__xludf.DUMMYFUNCTION("""COMPUTED_VALUE"""),"3.5594255")</f>
        <v>3.5594255</v>
      </c>
      <c r="AA2095" s="4" t="str">
        <f t="shared" si="1"/>
        <v>Not Neighbor</v>
      </c>
      <c r="AC2095" s="4">
        <f>IFERROR(__xludf.DUMMYFUNCTION("IFERROR(ABS(O2095-AVERAGE(FILTER(O2095:O6163,AA2095:AA6163=""Neighbor""))) / STDEV(FILTER(O2095:O6163, AA2095:AA6163 =""Neighbor"")), """")"),0.20693102804582816)</f>
        <v>0.206931028</v>
      </c>
      <c r="AD2095" s="4">
        <f>IFERROR(__xludf.DUMMYFUNCTION("IFERROR(ABS(P2095-AVERAGE(FILTER(O2095:P6163,AA2095:AA6163=""Neighbor""))) / STDEV(FILTER(P2095:P6163, AA2095:AA6163 =""Neighbor"")), """")"),1.562265027875674)</f>
        <v>1.562265028</v>
      </c>
      <c r="AE2095" s="2">
        <f>IFERROR(__xludf.DUMMYFUNCTION("IFERROR(ABS(Q2095-AVERAGE(FILTER(Q2095:Q6163,AA2095:AA6163=""Neighbor""))) / STDEV(FILTER(Q2095:Q6163, AA2095:AA6163 =""Neighbor"")), """")"),1.768161836869506)</f>
        <v>1.768161837</v>
      </c>
      <c r="AF2095" s="2">
        <f>IFERROR(__xludf.DUMMYFUNCTION("IFERROR(ABS(R2095-AVERAGE(FILTER(R2095:R6163,AA2095:AA6163=""Neighbor""))) / STDEV(FILTER(R2095:R6163, AA2095:AA6163 =""Neighbor"")), """")"),0.34480387387829453)</f>
        <v>0.3448038739</v>
      </c>
    </row>
    <row r="2096">
      <c r="A2096" s="2" t="s">
        <v>28</v>
      </c>
      <c r="B2096" s="2" t="s">
        <v>8509</v>
      </c>
      <c r="C2096" s="2" t="s">
        <v>8566</v>
      </c>
      <c r="D2096" s="2" t="s">
        <v>8583</v>
      </c>
      <c r="E2096" s="2" t="s">
        <v>8584</v>
      </c>
      <c r="F2096" s="2">
        <v>111.0</v>
      </c>
      <c r="G2096" s="2">
        <v>375.0</v>
      </c>
      <c r="H2096" s="2" t="b">
        <v>1</v>
      </c>
      <c r="I2096" s="2">
        <v>-1.0</v>
      </c>
      <c r="J2096" s="2" t="b">
        <v>1</v>
      </c>
      <c r="K2096" s="2" t="b">
        <v>0</v>
      </c>
      <c r="L2096" s="2" t="b">
        <v>0</v>
      </c>
      <c r="M2096" s="2" t="b">
        <v>0</v>
      </c>
      <c r="N2096" s="2" t="s">
        <v>33</v>
      </c>
      <c r="O2096" s="2">
        <v>71.0</v>
      </c>
      <c r="P2096" s="2">
        <v>5.0</v>
      </c>
      <c r="Q2096" s="2">
        <v>33.0</v>
      </c>
      <c r="R2096" s="2">
        <v>0.0</v>
      </c>
      <c r="S2096" s="3" t="s">
        <v>8585</v>
      </c>
      <c r="T2096" s="2" t="s">
        <v>8586</v>
      </c>
      <c r="Y2096" s="4" t="str">
        <f>IFERROR(__xludf.DUMMYFUNCTION("""COMPUTED_VALUE"""),"7.1910644")</f>
        <v>7.1910644</v>
      </c>
      <c r="Z2096" s="4" t="str">
        <f>IFERROR(__xludf.DUMMYFUNCTION("""COMPUTED_VALUE"""),"3.5777893")</f>
        <v>3.5777893</v>
      </c>
      <c r="AA2096" s="4" t="str">
        <f t="shared" si="1"/>
        <v>Neighbor</v>
      </c>
      <c r="AC2096" s="4">
        <f>IFERROR(__xludf.DUMMYFUNCTION("IFERROR(ABS(O2096-AVERAGE(FILTER(O2096:O6164,AA2096:AA6164=""Neighbor""))) / STDEV(FILTER(O2096:O6164, AA2096:AA6164 =""Neighbor"")), """")"),0.46208413945188787)</f>
        <v>0.4620841395</v>
      </c>
      <c r="AD2096" s="4">
        <f>IFERROR(__xludf.DUMMYFUNCTION("IFERROR(ABS(P2096-AVERAGE(FILTER(O2096:P6164,AA2096:AA6164=""Neighbor""))) / STDEV(FILTER(P2096:P6164, AA2096:AA6164 =""Neighbor"")), """")"),1.3409701675055004)</f>
        <v>1.340970168</v>
      </c>
      <c r="AE2096" s="2">
        <f>IFERROR(__xludf.DUMMYFUNCTION("IFERROR(ABS(Q2096-AVERAGE(FILTER(Q2096:Q6164,AA2096:AA6164=""Neighbor""))) / STDEV(FILTER(Q2096:Q6164, AA2096:AA6164 =""Neighbor"")), """")"),0.5913680210227787)</f>
        <v>0.591368021</v>
      </c>
      <c r="AF2096" s="2">
        <f>IFERROR(__xludf.DUMMYFUNCTION("IFERROR(ABS(R2096-AVERAGE(FILTER(R2096:R6164,AA2096:AA6164=""Neighbor""))) / STDEV(FILTER(R2096:R6164, AA2096:AA6164 =""Neighbor"")), """")"),0.34480387387829453)</f>
        <v>0.3448038739</v>
      </c>
    </row>
    <row r="2097">
      <c r="A2097" s="2" t="s">
        <v>28</v>
      </c>
      <c r="B2097" s="2" t="s">
        <v>8509</v>
      </c>
      <c r="C2097" s="2" t="s">
        <v>8566</v>
      </c>
      <c r="D2097" s="2" t="s">
        <v>8587</v>
      </c>
      <c r="E2097" s="2" t="s">
        <v>8588</v>
      </c>
      <c r="F2097" s="2">
        <v>92.0</v>
      </c>
      <c r="G2097" s="2">
        <v>251.0</v>
      </c>
      <c r="H2097" s="2" t="b">
        <v>1</v>
      </c>
      <c r="I2097" s="2">
        <v>-1.0</v>
      </c>
      <c r="J2097" s="2" t="b">
        <v>0</v>
      </c>
      <c r="K2097" s="2" t="b">
        <v>0</v>
      </c>
      <c r="L2097" s="2" t="b">
        <v>0</v>
      </c>
      <c r="M2097" s="2" t="b">
        <v>0</v>
      </c>
      <c r="N2097" s="2" t="s">
        <v>33</v>
      </c>
      <c r="O2097" s="2">
        <v>49.0</v>
      </c>
      <c r="P2097" s="2">
        <v>0.0</v>
      </c>
      <c r="Q2097" s="2">
        <v>36.0</v>
      </c>
      <c r="R2097" s="2">
        <v>0.0</v>
      </c>
      <c r="S2097" s="3" t="s">
        <v>8589</v>
      </c>
      <c r="T2097" s="2" t="s">
        <v>8590</v>
      </c>
      <c r="Y2097" s="4" t="str">
        <f>IFERROR(__xludf.DUMMYFUNCTION("""COMPUTED_VALUE"""),"7.1910644")</f>
        <v>7.1910644</v>
      </c>
      <c r="Z2097" s="4" t="str">
        <f>IFERROR(__xludf.DUMMYFUNCTION("""COMPUTED_VALUE"""),"3.5777893")</f>
        <v>3.5777893</v>
      </c>
      <c r="AA2097" s="4" t="str">
        <f t="shared" si="1"/>
        <v>Not Neighbor</v>
      </c>
      <c r="AC2097" s="4">
        <f>IFERROR(__xludf.DUMMYFUNCTION("IFERROR(ABS(O2097-AVERAGE(FILTER(O2097:O6165,AA2097:AA6165=""Neighbor""))) / STDEV(FILTER(O2097:O6165, AA2097:AA6165 =""Neighbor"")), """")"),0.12601516713594613)</f>
        <v>0.1260151671</v>
      </c>
      <c r="AD2097" s="4">
        <f>IFERROR(__xludf.DUMMYFUNCTION("IFERROR(ABS(P2097-AVERAGE(FILTER(O2097:P6165,AA2097:AA6165=""Neighbor""))) / STDEV(FILTER(P2097:P6165, AA2097:AA6165 =""Neighbor"")), """")"),1.5614157822764148)</f>
        <v>1.561415782</v>
      </c>
      <c r="AE2097" s="2">
        <f>IFERROR(__xludf.DUMMYFUNCTION("IFERROR(ABS(Q2097-AVERAGE(FILTER(Q2097:Q6165,AA2097:AA6165=""Neighbor""))) / STDEV(FILTER(Q2097:Q6165, AA2097:AA6165 =""Neighbor"")), """")"),0.733020631649363)</f>
        <v>0.7330206316</v>
      </c>
      <c r="AF2097" s="2">
        <f>IFERROR(__xludf.DUMMYFUNCTION("IFERROR(ABS(R2097-AVERAGE(FILTER(R2097:R6165,AA2097:AA6165=""Neighbor""))) / STDEV(FILTER(R2097:R6165, AA2097:AA6165 =""Neighbor"")), """")"),0.34504262478159997)</f>
        <v>0.3450426248</v>
      </c>
    </row>
    <row r="2098">
      <c r="A2098" s="2" t="s">
        <v>28</v>
      </c>
      <c r="B2098" s="2" t="s">
        <v>8509</v>
      </c>
      <c r="C2098" s="2" t="s">
        <v>8591</v>
      </c>
      <c r="D2098" s="2" t="s">
        <v>8592</v>
      </c>
      <c r="E2098" s="2" t="s">
        <v>8593</v>
      </c>
      <c r="F2098" s="2">
        <v>144.0</v>
      </c>
      <c r="G2098" s="2">
        <v>750.0</v>
      </c>
      <c r="H2098" s="2" t="b">
        <v>1</v>
      </c>
      <c r="I2098" s="2">
        <v>-1.0</v>
      </c>
      <c r="J2098" s="2" t="b">
        <v>0</v>
      </c>
      <c r="K2098" s="2" t="b">
        <v>0</v>
      </c>
      <c r="L2098" s="2" t="b">
        <v>0</v>
      </c>
      <c r="M2098" s="2" t="b">
        <v>0</v>
      </c>
      <c r="N2098" s="2" t="s">
        <v>33</v>
      </c>
      <c r="O2098" s="2">
        <v>83.0</v>
      </c>
      <c r="P2098" s="2">
        <v>13.0</v>
      </c>
      <c r="Q2098" s="2">
        <v>40.0</v>
      </c>
      <c r="R2098" s="2">
        <v>0.0</v>
      </c>
      <c r="S2098" s="3" t="s">
        <v>8594</v>
      </c>
      <c r="T2098" s="2" t="s">
        <v>8595</v>
      </c>
      <c r="Y2098" s="4" t="str">
        <f>IFERROR(__xludf.DUMMYFUNCTION("""COMPUTED_VALUE"""),"7.29548")</f>
        <v>7.29548</v>
      </c>
      <c r="Z2098" s="4" t="str">
        <f>IFERROR(__xludf.DUMMYFUNCTION("""COMPUTED_VALUE"""),"3.608317")</f>
        <v>3.608317</v>
      </c>
      <c r="AA2098" s="4" t="str">
        <f t="shared" si="1"/>
        <v>Not Neighbor</v>
      </c>
      <c r="AC2098" s="4">
        <f>IFERROR(__xludf.DUMMYFUNCTION("IFERROR(ABS(O2098-AVERAGE(FILTER(O2098:O6166,AA2098:AA6166=""Neighbor""))) / STDEV(FILTER(O2098:O6166, AA2098:AA6166 =""Neighbor"")), """")"),0.783402022731515)</f>
        <v>0.7834020227</v>
      </c>
      <c r="AD2098" s="4">
        <f>IFERROR(__xludf.DUMMYFUNCTION("IFERROR(ABS(P2098-AVERAGE(FILTER(O2098:P6166,AA2098:AA6166=""Neighbor""))) / STDEV(FILTER(P2098:P6166, AA2098:AA6166 =""Neighbor"")), """")"),0.9863073677181916)</f>
        <v>0.9863073677</v>
      </c>
      <c r="AE2098" s="2">
        <f>IFERROR(__xludf.DUMMYFUNCTION("IFERROR(ABS(Q2098-AVERAGE(FILTER(Q2098:Q6166,AA2098:AA6166=""Neighbor""))) / STDEV(FILTER(Q2098:Q6166, AA2098:AA6166 =""Neighbor"")), """")"),0.921231783332798)</f>
        <v>0.9212317833</v>
      </c>
      <c r="AF2098" s="2">
        <f>IFERROR(__xludf.DUMMYFUNCTION("IFERROR(ABS(R2098-AVERAGE(FILTER(R2098:R6166,AA2098:AA6166=""Neighbor""))) / STDEV(FILTER(R2098:R6166, AA2098:AA6166 =""Neighbor"")), """")"),0.34504262478159997)</f>
        <v>0.3450426248</v>
      </c>
    </row>
    <row r="2099">
      <c r="A2099" s="2" t="s">
        <v>28</v>
      </c>
      <c r="B2099" s="2" t="s">
        <v>8509</v>
      </c>
      <c r="C2099" s="2" t="s">
        <v>8591</v>
      </c>
      <c r="D2099" s="2" t="s">
        <v>8596</v>
      </c>
      <c r="E2099" s="2" t="s">
        <v>8597</v>
      </c>
      <c r="F2099" s="2">
        <v>90.0</v>
      </c>
      <c r="G2099" s="2">
        <v>604.0</v>
      </c>
      <c r="H2099" s="2" t="b">
        <v>1</v>
      </c>
      <c r="I2099" s="2">
        <v>-1.0</v>
      </c>
      <c r="J2099" s="2" t="b">
        <v>1</v>
      </c>
      <c r="K2099" s="2" t="b">
        <v>0</v>
      </c>
      <c r="L2099" s="2" t="b">
        <v>0</v>
      </c>
      <c r="M2099" s="2" t="b">
        <v>0</v>
      </c>
      <c r="N2099" s="2" t="s">
        <v>33</v>
      </c>
      <c r="O2099" s="2">
        <v>69.0</v>
      </c>
      <c r="P2099" s="2">
        <v>3.0</v>
      </c>
      <c r="Q2099" s="2">
        <v>11.0</v>
      </c>
      <c r="R2099" s="2">
        <v>0.0</v>
      </c>
      <c r="S2099" s="3" t="s">
        <v>8598</v>
      </c>
      <c r="T2099" s="2" t="s">
        <v>8599</v>
      </c>
      <c r="Y2099" s="4" t="str">
        <f>IFERROR(__xludf.DUMMYFUNCTION("""COMPUTED_VALUE"""),"7.2989196")</f>
        <v>7.2989196</v>
      </c>
      <c r="Z2099" s="4" t="str">
        <f>IFERROR(__xludf.DUMMYFUNCTION("""COMPUTED_VALUE"""),"3.6194057")</f>
        <v>3.6194057</v>
      </c>
      <c r="AA2099" s="4" t="str">
        <f t="shared" si="1"/>
        <v>Not Neighbor</v>
      </c>
      <c r="AC2099" s="4">
        <f>IFERROR(__xludf.DUMMYFUNCTION("IFERROR(ABS(O2099-AVERAGE(FILTER(O2099:O6167,AA2099:AA6167=""Neighbor""))) / STDEV(FILTER(O2099:O6167, AA2099:AA6167 =""Neighbor"")), """")"),0.408936121021384)</f>
        <v>0.408936121</v>
      </c>
      <c r="AD2099" s="4">
        <f>IFERROR(__xludf.DUMMYFUNCTION("IFERROR(ABS(P2099-AVERAGE(FILTER(O2099:P6167,AA2099:AA6167=""Neighbor""))) / STDEV(FILTER(P2099:P6167, AA2099:AA6167 =""Neighbor"")), """")"),1.4286984558399016)</f>
        <v>1.428698456</v>
      </c>
      <c r="AE2099" s="2">
        <f>IFERROR(__xludf.DUMMYFUNCTION("IFERROR(ABS(Q2099-AVERAGE(FILTER(Q2099:Q6167,AA2099:AA6167=""Neighbor""))) / STDEV(FILTER(Q2099:Q6167, AA2099:AA6167 =""Neighbor"")), """")"),0.44329906637210525)</f>
        <v>0.4432990664</v>
      </c>
      <c r="AF2099" s="2">
        <f>IFERROR(__xludf.DUMMYFUNCTION("IFERROR(ABS(R2099-AVERAGE(FILTER(R2099:R6167,AA2099:AA6167=""Neighbor""))) / STDEV(FILTER(R2099:R6167, AA2099:AA6167 =""Neighbor"")), """")"),0.34504262478159997)</f>
        <v>0.3450426248</v>
      </c>
    </row>
    <row r="2100">
      <c r="A2100" s="2" t="s">
        <v>28</v>
      </c>
      <c r="B2100" s="2" t="s">
        <v>8509</v>
      </c>
      <c r="C2100" s="2" t="s">
        <v>8591</v>
      </c>
      <c r="D2100" s="2" t="s">
        <v>8600</v>
      </c>
      <c r="E2100" s="2" t="s">
        <v>8601</v>
      </c>
      <c r="F2100" s="2">
        <v>92.0</v>
      </c>
      <c r="G2100" s="2">
        <v>374.0</v>
      </c>
      <c r="H2100" s="2" t="b">
        <v>1</v>
      </c>
      <c r="I2100" s="2">
        <v>-1.0</v>
      </c>
      <c r="J2100" s="2" t="b">
        <v>0</v>
      </c>
      <c r="K2100" s="2" t="b">
        <v>0</v>
      </c>
      <c r="L2100" s="2" t="b">
        <v>0</v>
      </c>
      <c r="M2100" s="2" t="b">
        <v>0</v>
      </c>
      <c r="N2100" s="2" t="s">
        <v>33</v>
      </c>
      <c r="O2100" s="2">
        <v>63.0</v>
      </c>
      <c r="P2100" s="2">
        <v>2.0</v>
      </c>
      <c r="Q2100" s="2">
        <v>23.0</v>
      </c>
      <c r="R2100" s="2">
        <v>0.0</v>
      </c>
      <c r="S2100" s="3" t="s">
        <v>8602</v>
      </c>
      <c r="T2100" s="2" t="s">
        <v>8603</v>
      </c>
      <c r="Y2100" s="4" t="str">
        <f>IFERROR(__xludf.DUMMYFUNCTION("""COMPUTED_VALUE"""),"7.2733214")</f>
        <v>7.2733214</v>
      </c>
      <c r="Z2100" s="4" t="str">
        <f>IFERROR(__xludf.DUMMYFUNCTION("""COMPUTED_VALUE"""),"3.6417313")</f>
        <v>3.6417313</v>
      </c>
      <c r="AA2100" s="4" t="str">
        <f t="shared" si="1"/>
        <v>Not Neighbor</v>
      </c>
      <c r="AC2100" s="4">
        <f>IFERROR(__xludf.DUMMYFUNCTION("IFERROR(ABS(O2100-AVERAGE(FILTER(O2100:O6168,AA2100:AA6168=""Neighbor""))) / STDEV(FILTER(O2100:O6168, AA2100:AA6168 =""Neighbor"")), """")"),0.24845073457418493)</f>
        <v>0.2484507346</v>
      </c>
      <c r="AD2100" s="4">
        <f>IFERROR(__xludf.DUMMYFUNCTION("IFERROR(ABS(P2100-AVERAGE(FILTER(O2100:P6168,AA2100:AA6168=""Neighbor""))) / STDEV(FILTER(P2100:P6168, AA2100:AA6168 =""Neighbor"")), """")"),1.4729375646520726)</f>
        <v>1.472937565</v>
      </c>
      <c r="AE2100" s="2">
        <f>IFERROR(__xludf.DUMMYFUNCTION("IFERROR(ABS(Q2100-AVERAGE(FILTER(Q2100:Q6168,AA2100:AA6168=""Neighbor""))) / STDEV(FILTER(Q2100:Q6168, AA2100:AA6168 =""Neighbor"")), """")"),0.1213343886781995)</f>
        <v>0.1213343887</v>
      </c>
      <c r="AF2100" s="2">
        <f>IFERROR(__xludf.DUMMYFUNCTION("IFERROR(ABS(R2100-AVERAGE(FILTER(R2100:R6168,AA2100:AA6168=""Neighbor""))) / STDEV(FILTER(R2100:R6168, AA2100:AA6168 =""Neighbor"")), """")"),0.34504262478159997)</f>
        <v>0.3450426248</v>
      </c>
    </row>
    <row r="2101">
      <c r="A2101" s="2" t="s">
        <v>28</v>
      </c>
      <c r="B2101" s="2" t="s">
        <v>8509</v>
      </c>
      <c r="C2101" s="2" t="s">
        <v>8591</v>
      </c>
      <c r="D2101" s="2" t="s">
        <v>8604</v>
      </c>
      <c r="E2101" s="2" t="s">
        <v>8605</v>
      </c>
      <c r="F2101" s="2">
        <v>51.0</v>
      </c>
      <c r="G2101" s="2">
        <v>319.0</v>
      </c>
      <c r="H2101" s="2" t="b">
        <v>1</v>
      </c>
      <c r="I2101" s="2">
        <v>-1.0</v>
      </c>
      <c r="J2101" s="2" t="b">
        <v>0</v>
      </c>
      <c r="K2101" s="2" t="b">
        <v>1</v>
      </c>
      <c r="L2101" s="2" t="b">
        <v>0</v>
      </c>
      <c r="M2101" s="2" t="b">
        <v>0</v>
      </c>
      <c r="N2101" s="2" t="s">
        <v>33</v>
      </c>
      <c r="O2101" s="2">
        <v>39.0</v>
      </c>
      <c r="P2101" s="2">
        <v>1.0</v>
      </c>
      <c r="Q2101" s="2">
        <v>9.0</v>
      </c>
      <c r="R2101" s="2">
        <v>0.0</v>
      </c>
      <c r="S2101" s="3" t="s">
        <v>8606</v>
      </c>
      <c r="T2101" s="2" t="s">
        <v>8607</v>
      </c>
      <c r="Y2101" s="4" t="str">
        <f>IFERROR(__xludf.DUMMYFUNCTION("""COMPUTED_VALUE"""),"7.2989196")</f>
        <v>7.2989196</v>
      </c>
      <c r="Z2101" s="4" t="str">
        <f>IFERROR(__xludf.DUMMYFUNCTION("""COMPUTED_VALUE"""),"3.6194057")</f>
        <v>3.6194057</v>
      </c>
      <c r="AA2101" s="4" t="str">
        <f t="shared" si="1"/>
        <v>Not Neighbor</v>
      </c>
      <c r="AC2101" s="4">
        <f>IFERROR(__xludf.DUMMYFUNCTION("IFERROR(ABS(O2101-AVERAGE(FILTER(O2101:O6169,AA2101:AA6169=""Neighbor""))) / STDEV(FILTER(O2101:O6169, AA2101:AA6169 =""Neighbor"")), """")"),0.3934908112146112)</f>
        <v>0.3934908112</v>
      </c>
      <c r="AD2101" s="4">
        <f>IFERROR(__xludf.DUMMYFUNCTION("IFERROR(ABS(P2101-AVERAGE(FILTER(O2101:P6169,AA2101:AA6169=""Neighbor""))) / STDEV(FILTER(P2101:P6169, AA2101:AA6169 =""Neighbor"")), """")"),1.5171766734642436)</f>
        <v>1.517176673</v>
      </c>
      <c r="AE2101" s="2">
        <f>IFERROR(__xludf.DUMMYFUNCTION("IFERROR(ABS(Q2101-AVERAGE(FILTER(Q2101:Q6169,AA2101:AA6169=""Neighbor""))) / STDEV(FILTER(Q2101:Q6169, AA2101:AA6169 =""Neighbor"")), """")"),0.5374046422138228)</f>
        <v>0.5374046422</v>
      </c>
      <c r="AF2101" s="2">
        <f>IFERROR(__xludf.DUMMYFUNCTION("IFERROR(ABS(R2101-AVERAGE(FILTER(R2101:R6169,AA2101:AA6169=""Neighbor""))) / STDEV(FILTER(R2101:R6169, AA2101:AA6169 =""Neighbor"")), """")"),0.34504262478159997)</f>
        <v>0.3450426248</v>
      </c>
    </row>
    <row r="2102">
      <c r="A2102" s="2" t="s">
        <v>28</v>
      </c>
      <c r="B2102" s="2" t="s">
        <v>8509</v>
      </c>
      <c r="C2102" s="2" t="s">
        <v>8591</v>
      </c>
      <c r="D2102" s="2" t="s">
        <v>8608</v>
      </c>
      <c r="E2102" s="2" t="s">
        <v>8609</v>
      </c>
      <c r="F2102" s="2">
        <v>82.0</v>
      </c>
      <c r="G2102" s="2">
        <v>447.0</v>
      </c>
      <c r="H2102" s="2" t="b">
        <v>1</v>
      </c>
      <c r="I2102" s="2">
        <v>-1.0</v>
      </c>
      <c r="J2102" s="2" t="b">
        <v>0</v>
      </c>
      <c r="K2102" s="2" t="b">
        <v>0</v>
      </c>
      <c r="L2102" s="2" t="b">
        <v>0</v>
      </c>
      <c r="M2102" s="2" t="b">
        <v>0</v>
      </c>
      <c r="N2102" s="2" t="s">
        <v>33</v>
      </c>
      <c r="O2102" s="2">
        <v>58.0</v>
      </c>
      <c r="P2102" s="2">
        <v>0.0</v>
      </c>
      <c r="Q2102" s="2">
        <v>23.0</v>
      </c>
      <c r="R2102" s="2">
        <v>1.0</v>
      </c>
      <c r="S2102" s="3" t="s">
        <v>8610</v>
      </c>
      <c r="T2102" s="2" t="s">
        <v>8611</v>
      </c>
      <c r="Y2102" s="4" t="str">
        <f>IFERROR(__xludf.DUMMYFUNCTION("""COMPUTED_VALUE"""),"7.2876578")</f>
        <v>7.2876578</v>
      </c>
      <c r="Z2102" s="4" t="str">
        <f>IFERROR(__xludf.DUMMYFUNCTION("""COMPUTED_VALUE"""),"3.6591553")</f>
        <v>3.6591553</v>
      </c>
      <c r="AA2102" s="4" t="str">
        <f t="shared" si="1"/>
        <v>Not Neighbor</v>
      </c>
      <c r="AC2102" s="4">
        <f>IFERROR(__xludf.DUMMYFUNCTION("IFERROR(ABS(O2102-AVERAGE(FILTER(O2102:O6170,AA2102:AA6170=""Neighbor""))) / STDEV(FILTER(O2102:O6170, AA2102:AA6170 =""Neighbor"")), """")"),0.11471291253485241)</f>
        <v>0.1147129125</v>
      </c>
      <c r="AD2102" s="4">
        <f>IFERROR(__xludf.DUMMYFUNCTION("IFERROR(ABS(P2102-AVERAGE(FILTER(O2102:P6170,AA2102:AA6170=""Neighbor""))) / STDEV(FILTER(P2102:P6170, AA2102:AA6170 =""Neighbor"")), """")"),1.5614157822764148)</f>
        <v>1.561415782</v>
      </c>
      <c r="AE2102" s="2">
        <f>IFERROR(__xludf.DUMMYFUNCTION("IFERROR(ABS(Q2102-AVERAGE(FILTER(Q2102:Q6170,AA2102:AA6170=""Neighbor""))) / STDEV(FILTER(Q2102:Q6170, AA2102:AA6170 =""Neighbor"")), """")"),0.1213343886781995)</f>
        <v>0.1213343887</v>
      </c>
      <c r="AF2102" s="2">
        <f>IFERROR(__xludf.DUMMYFUNCTION("IFERROR(ABS(R2102-AVERAGE(FILTER(R2102:R6170,AA2102:AA6170=""Neighbor""))) / STDEV(FILTER(R2102:R6170, AA2102:AA6170 =""Neighbor"")), """")"),0.8348277065690405)</f>
        <v>0.8348277066</v>
      </c>
    </row>
    <row r="2103">
      <c r="A2103" s="2" t="s">
        <v>28</v>
      </c>
      <c r="B2103" s="2" t="s">
        <v>8509</v>
      </c>
      <c r="C2103" s="2" t="s">
        <v>8591</v>
      </c>
      <c r="D2103" s="2" t="s">
        <v>8612</v>
      </c>
      <c r="E2103" s="2" t="s">
        <v>8613</v>
      </c>
      <c r="F2103" s="2">
        <v>73.0</v>
      </c>
      <c r="G2103" s="2">
        <v>565.0</v>
      </c>
      <c r="H2103" s="2" t="b">
        <v>1</v>
      </c>
      <c r="I2103" s="2">
        <v>-1.0</v>
      </c>
      <c r="J2103" s="2" t="b">
        <v>0</v>
      </c>
      <c r="K2103" s="2" t="b">
        <v>0</v>
      </c>
      <c r="L2103" s="2" t="b">
        <v>0</v>
      </c>
      <c r="M2103" s="2" t="b">
        <v>0</v>
      </c>
      <c r="N2103" s="2" t="s">
        <v>33</v>
      </c>
      <c r="O2103" s="2">
        <v>51.0</v>
      </c>
      <c r="P2103" s="2">
        <v>4.0</v>
      </c>
      <c r="Q2103" s="2">
        <v>10.0</v>
      </c>
      <c r="R2103" s="2">
        <v>0.0</v>
      </c>
      <c r="S2103" s="3" t="s">
        <v>8614</v>
      </c>
      <c r="T2103" s="2" t="s">
        <v>8615</v>
      </c>
      <c r="Y2103" s="4" t="str">
        <f>IFERROR(__xludf.DUMMYFUNCTION("""COMPUTED_VALUE"""),"7.2945725")</f>
        <v>7.2945725</v>
      </c>
      <c r="Z2103" s="4" t="str">
        <f>IFERROR(__xludf.DUMMYFUNCTION("""COMPUTED_VALUE"""),"3.6784871")</f>
        <v>3.6784871</v>
      </c>
      <c r="AA2103" s="4" t="str">
        <f t="shared" si="1"/>
        <v>Not Neighbor</v>
      </c>
      <c r="AC2103" s="4">
        <f>IFERROR(__xludf.DUMMYFUNCTION("IFERROR(ABS(O2103-AVERAGE(FILTER(O2103:O6171,AA2103:AA6171=""Neighbor""))) / STDEV(FILTER(O2103:O6171, AA2103:AA6171 =""Neighbor"")), """")"),0.07252003832021313)</f>
        <v>0.07252003832</v>
      </c>
      <c r="AD2103" s="4">
        <f>IFERROR(__xludf.DUMMYFUNCTION("IFERROR(ABS(P2103-AVERAGE(FILTER(O2103:P6171,AA2103:AA6171=""Neighbor""))) / STDEV(FILTER(P2103:P6171, AA2103:AA6171 =""Neighbor"")), """")"),1.3844593470277307)</f>
        <v>1.384459347</v>
      </c>
      <c r="AE2103" s="2">
        <f>IFERROR(__xludf.DUMMYFUNCTION("IFERROR(ABS(Q2103-AVERAGE(FILTER(Q2103:Q6171,AA2103:AA6171=""Neighbor""))) / STDEV(FILTER(Q2103:Q6171, AA2103:AA6171 =""Neighbor"")), """")"),0.490351854292964)</f>
        <v>0.4903518543</v>
      </c>
      <c r="AF2103" s="2">
        <f>IFERROR(__xludf.DUMMYFUNCTION("IFERROR(ABS(R2103-AVERAGE(FILTER(R2103:R6171,AA2103:AA6171=""Neighbor""))) / STDEV(FILTER(R2103:R6171, AA2103:AA6171 =""Neighbor"")), """")"),0.34504262478159997)</f>
        <v>0.3450426248</v>
      </c>
    </row>
    <row r="2104">
      <c r="A2104" s="2" t="s">
        <v>28</v>
      </c>
      <c r="B2104" s="2" t="s">
        <v>8509</v>
      </c>
      <c r="C2104" s="2" t="s">
        <v>8591</v>
      </c>
      <c r="D2104" s="2" t="s">
        <v>8616</v>
      </c>
      <c r="E2104" s="2" t="s">
        <v>8617</v>
      </c>
      <c r="F2104" s="2">
        <v>78.0</v>
      </c>
      <c r="G2104" s="2">
        <v>621.0</v>
      </c>
      <c r="H2104" s="2" t="b">
        <v>1</v>
      </c>
      <c r="I2104" s="2">
        <v>-1.0</v>
      </c>
      <c r="J2104" s="2" t="b">
        <v>0</v>
      </c>
      <c r="K2104" s="2" t="b">
        <v>0</v>
      </c>
      <c r="L2104" s="2" t="b">
        <v>0</v>
      </c>
      <c r="M2104" s="2" t="b">
        <v>0</v>
      </c>
      <c r="N2104" s="2" t="s">
        <v>33</v>
      </c>
      <c r="O2104" s="2">
        <v>57.0</v>
      </c>
      <c r="P2104" s="2">
        <v>3.0</v>
      </c>
      <c r="Q2104" s="2">
        <v>13.0</v>
      </c>
      <c r="R2104" s="2">
        <v>0.0</v>
      </c>
      <c r="S2104" s="3" t="s">
        <v>8618</v>
      </c>
      <c r="T2104" s="2" t="s">
        <v>8619</v>
      </c>
      <c r="Y2104" s="4" t="str">
        <f>IFERROR(__xludf.DUMMYFUNCTION("""COMPUTED_VALUE"""),"7.2649413")</f>
        <v>7.2649413</v>
      </c>
      <c r="Z2104" s="4" t="str">
        <f>IFERROR(__xludf.DUMMYFUNCTION("""COMPUTED_VALUE"""),"3.5691248")</f>
        <v>3.5691248</v>
      </c>
      <c r="AA2104" s="4" t="str">
        <f t="shared" si="1"/>
        <v>Not Neighbor</v>
      </c>
      <c r="AC2104" s="4">
        <f>IFERROR(__xludf.DUMMYFUNCTION("IFERROR(ABS(O2104-AVERAGE(FILTER(O2104:O6172,AA2104:AA6172=""Neighbor""))) / STDEV(FILTER(O2104:O6172, AA2104:AA6172 =""Neighbor"")), """")"),0.0879653481269859)</f>
        <v>0.08796534813</v>
      </c>
      <c r="AD2104" s="4">
        <f>IFERROR(__xludf.DUMMYFUNCTION("IFERROR(ABS(P2104-AVERAGE(FILTER(O2104:P6172,AA2104:AA6172=""Neighbor""))) / STDEV(FILTER(P2104:P6172, AA2104:AA6172 =""Neighbor"")), """")"),1.4286984558399016)</f>
        <v>1.428698456</v>
      </c>
      <c r="AE2104" s="2">
        <f>IFERROR(__xludf.DUMMYFUNCTION("IFERROR(ABS(Q2104-AVERAGE(FILTER(Q2104:Q6172,AA2104:AA6172=""Neighbor""))) / STDEV(FILTER(Q2104:Q6172, AA2104:AA6172 =""Neighbor"")), """")"),0.34919349053038784)</f>
        <v>0.3491934905</v>
      </c>
      <c r="AF2104" s="2">
        <f>IFERROR(__xludf.DUMMYFUNCTION("IFERROR(ABS(R2104-AVERAGE(FILTER(R2104:R6172,AA2104:AA6172=""Neighbor""))) / STDEV(FILTER(R2104:R6172, AA2104:AA6172 =""Neighbor"")), """")"),0.34504262478159997)</f>
        <v>0.3450426248</v>
      </c>
    </row>
    <row r="2105">
      <c r="A2105" s="2" t="s">
        <v>28</v>
      </c>
      <c r="B2105" s="2" t="s">
        <v>8509</v>
      </c>
      <c r="C2105" s="2" t="s">
        <v>8591</v>
      </c>
      <c r="D2105" s="2" t="s">
        <v>8620</v>
      </c>
      <c r="E2105" s="2" t="s">
        <v>8621</v>
      </c>
      <c r="F2105" s="2">
        <v>43.0</v>
      </c>
      <c r="G2105" s="2">
        <v>258.0</v>
      </c>
      <c r="H2105" s="2" t="b">
        <v>1</v>
      </c>
      <c r="I2105" s="2">
        <v>-1.0</v>
      </c>
      <c r="J2105" s="2" t="b">
        <v>0</v>
      </c>
      <c r="K2105" s="2" t="b">
        <v>0</v>
      </c>
      <c r="L2105" s="2" t="b">
        <v>0</v>
      </c>
      <c r="M2105" s="2" t="b">
        <v>0</v>
      </c>
      <c r="N2105" s="2" t="s">
        <v>33</v>
      </c>
      <c r="O2105" s="2">
        <v>21.0</v>
      </c>
      <c r="P2105" s="2">
        <v>1.0</v>
      </c>
      <c r="Q2105" s="2">
        <v>13.0</v>
      </c>
      <c r="R2105" s="2">
        <v>0.0</v>
      </c>
      <c r="S2105" s="3" t="s">
        <v>8622</v>
      </c>
      <c r="T2105" s="2" t="s">
        <v>8623</v>
      </c>
      <c r="Y2105" s="4" t="str">
        <f>IFERROR(__xludf.DUMMYFUNCTION("""COMPUTED_VALUE"""),"7.2876578")</f>
        <v>7.2876578</v>
      </c>
      <c r="Z2105" s="4" t="str">
        <f>IFERROR(__xludf.DUMMYFUNCTION("""COMPUTED_VALUE"""),"3.6591553")</f>
        <v>3.6591553</v>
      </c>
      <c r="AA2105" s="4" t="str">
        <f t="shared" si="1"/>
        <v>Neighbor</v>
      </c>
      <c r="AC2105" s="4">
        <f>IFERROR(__xludf.DUMMYFUNCTION("IFERROR(ABS(O2105-AVERAGE(FILTER(O2105:O6173,AA2105:AA6173=""Neighbor""))) / STDEV(FILTER(O2105:O6173, AA2105:AA6173 =""Neighbor"")), """")"),0.8749469705562083)</f>
        <v>0.8749469706</v>
      </c>
      <c r="AD2105" s="4">
        <f>IFERROR(__xludf.DUMMYFUNCTION("IFERROR(ABS(P2105-AVERAGE(FILTER(O2105:P6173,AA2105:AA6173=""Neighbor""))) / STDEV(FILTER(P2105:P6173, AA2105:AA6173 =""Neighbor"")), """")"),1.5171766734642436)</f>
        <v>1.517176673</v>
      </c>
      <c r="AE2105" s="2">
        <f>IFERROR(__xludf.DUMMYFUNCTION("IFERROR(ABS(Q2105-AVERAGE(FILTER(Q2105:Q6173,AA2105:AA6173=""Neighbor""))) / STDEV(FILTER(Q2105:Q6173, AA2105:AA6173 =""Neighbor"")), """")"),0.34919349053038784)</f>
        <v>0.3491934905</v>
      </c>
      <c r="AF2105" s="2">
        <f>IFERROR(__xludf.DUMMYFUNCTION("IFERROR(ABS(R2105-AVERAGE(FILTER(R2105:R6173,AA2105:AA6173=""Neighbor""))) / STDEV(FILTER(R2105:R6173, AA2105:AA6173 =""Neighbor"")), """")"),0.34504262478159997)</f>
        <v>0.3450426248</v>
      </c>
    </row>
    <row r="2106">
      <c r="A2106" s="2" t="s">
        <v>28</v>
      </c>
      <c r="B2106" s="2" t="s">
        <v>8509</v>
      </c>
      <c r="C2106" s="2" t="s">
        <v>8591</v>
      </c>
      <c r="D2106" s="2" t="s">
        <v>8624</v>
      </c>
      <c r="E2106" s="2" t="s">
        <v>8625</v>
      </c>
      <c r="F2106" s="2">
        <v>64.0</v>
      </c>
      <c r="G2106" s="2">
        <v>276.0</v>
      </c>
      <c r="H2106" s="2" t="b">
        <v>1</v>
      </c>
      <c r="I2106" s="2">
        <v>-1.0</v>
      </c>
      <c r="J2106" s="2" t="b">
        <v>0</v>
      </c>
      <c r="K2106" s="2" t="b">
        <v>0</v>
      </c>
      <c r="L2106" s="2" t="b">
        <v>0</v>
      </c>
      <c r="M2106" s="2" t="b">
        <v>0</v>
      </c>
      <c r="N2106" s="2" t="s">
        <v>33</v>
      </c>
      <c r="O2106" s="2">
        <v>34.0</v>
      </c>
      <c r="P2106" s="2">
        <v>0.0</v>
      </c>
      <c r="Q2106" s="2">
        <v>20.0</v>
      </c>
      <c r="R2106" s="2">
        <v>0.0</v>
      </c>
      <c r="S2106" s="3" t="s">
        <v>8626</v>
      </c>
      <c r="T2106" s="2" t="s">
        <v>8627</v>
      </c>
      <c r="Y2106" s="4" t="str">
        <f>IFERROR(__xludf.DUMMYFUNCTION("""COMPUTED_VALUE"""),"7.2876578")</f>
        <v>7.2876578</v>
      </c>
      <c r="Z2106" s="4" t="str">
        <f>IFERROR(__xludf.DUMMYFUNCTION("""COMPUTED_VALUE"""),"3.6591553")</f>
        <v>3.6591553</v>
      </c>
      <c r="AA2106" s="4" t="str">
        <f t="shared" si="1"/>
        <v>Not Neighbor</v>
      </c>
      <c r="AC2106" s="4">
        <f>IFERROR(__xludf.DUMMYFUNCTION("IFERROR(ABS(O2106-AVERAGE(FILTER(O2106:O6174,AA2106:AA6174=""Neighbor""))) / STDEV(FILTER(O2106:O6174, AA2106:AA6174 =""Neighbor"")), """")"),0.5282375641968357)</f>
        <v>0.5282375642</v>
      </c>
      <c r="AD2106" s="4">
        <f>IFERROR(__xludf.DUMMYFUNCTION("IFERROR(ABS(P2106-AVERAGE(FILTER(O2106:P6174,AA2106:AA6174=""Neighbor""))) / STDEV(FILTER(P2106:P6174, AA2106:AA6174 =""Neighbor"")), """")"),1.5622583962675551)</f>
        <v>1.562258396</v>
      </c>
      <c r="AE2106" s="2">
        <f>IFERROR(__xludf.DUMMYFUNCTION("IFERROR(ABS(Q2106-AVERAGE(FILTER(Q2106:Q6174,AA2106:AA6174=""Neighbor""))) / STDEV(FILTER(Q2106:Q6174, AA2106:AA6174 =""Neighbor"")), """")"),0.020246180650767494)</f>
        <v>0.02024618065</v>
      </c>
      <c r="AF2106" s="2">
        <f>IFERROR(__xludf.DUMMYFUNCTION("IFERROR(ABS(R2106-AVERAGE(FILTER(R2106:R6174,AA2106:AA6174=""Neighbor""))) / STDEV(FILTER(R2106:R6174, AA2106:AA6174 =""Neighbor"")), """")"),0.3452818724018694)</f>
        <v>0.3452818724</v>
      </c>
    </row>
    <row r="2107">
      <c r="A2107" s="2" t="s">
        <v>28</v>
      </c>
      <c r="B2107" s="2" t="s">
        <v>8509</v>
      </c>
      <c r="C2107" s="2" t="s">
        <v>8591</v>
      </c>
      <c r="D2107" s="2" t="s">
        <v>8628</v>
      </c>
      <c r="E2107" s="2" t="s">
        <v>8629</v>
      </c>
      <c r="F2107" s="2">
        <v>69.0</v>
      </c>
      <c r="G2107" s="2">
        <v>385.0</v>
      </c>
      <c r="H2107" s="2" t="b">
        <v>1</v>
      </c>
      <c r="I2107" s="2">
        <v>-1.0</v>
      </c>
      <c r="J2107" s="2" t="b">
        <v>0</v>
      </c>
      <c r="K2107" s="2" t="b">
        <v>0</v>
      </c>
      <c r="L2107" s="2" t="b">
        <v>0</v>
      </c>
      <c r="M2107" s="2" t="b">
        <v>0</v>
      </c>
      <c r="N2107" s="2" t="s">
        <v>33</v>
      </c>
      <c r="O2107" s="2">
        <v>0.0</v>
      </c>
      <c r="P2107" s="2">
        <v>0.0</v>
      </c>
      <c r="Q2107" s="2">
        <v>0.0</v>
      </c>
      <c r="R2107" s="2">
        <v>0.0</v>
      </c>
      <c r="S2107" s="3" t="s">
        <v>8630</v>
      </c>
      <c r="T2107" s="2" t="s">
        <v>8631</v>
      </c>
      <c r="Y2107" s="4" t="str">
        <f>IFERROR(__xludf.DUMMYFUNCTION("""COMPUTED_VALUE"""),"7.2813492")</f>
        <v>7.2813492</v>
      </c>
      <c r="Z2107" s="4" t="str">
        <f>IFERROR(__xludf.DUMMYFUNCTION("""COMPUTED_VALUE"""),"3.5739143")</f>
        <v>3.5739143</v>
      </c>
      <c r="AA2107" s="4" t="str">
        <f t="shared" si="1"/>
        <v>Not Neighbor</v>
      </c>
      <c r="AC2107" s="4">
        <f>IFERROR(__xludf.DUMMYFUNCTION("IFERROR(ABS(O2107-AVERAGE(FILTER(O2107:O6175,AA2107:AA6175=""Neighbor""))) / STDEV(FILTER(O2107:O6175, AA2107:AA6175 =""Neighbor"")), """")"),1.437522878848223)</f>
        <v>1.437522879</v>
      </c>
      <c r="AD2107" s="4">
        <f>IFERROR(__xludf.DUMMYFUNCTION("IFERROR(ABS(P2107-AVERAGE(FILTER(O2107:P6175,AA2107:AA6175=""Neighbor""))) / STDEV(FILTER(P2107:P6175, AA2107:AA6175 =""Neighbor"")), """")"),1.5622583962675551)</f>
        <v>1.562258396</v>
      </c>
      <c r="AE2107" s="2">
        <f>IFERROR(__xludf.DUMMYFUNCTION("IFERROR(ABS(Q2107-AVERAGE(FILTER(Q2107:Q6175,AA2107:AA6175=""Neighbor""))) / STDEV(FILTER(Q2107:Q6175, AA2107:AA6175 =""Neighbor"")), """")"),0.9607892126114943)</f>
        <v>0.9607892126</v>
      </c>
      <c r="AF2107" s="2">
        <f>IFERROR(__xludf.DUMMYFUNCTION("IFERROR(ABS(R2107-AVERAGE(FILTER(R2107:R6175,AA2107:AA6175=""Neighbor""))) / STDEV(FILTER(R2107:R6175, AA2107:AA6175 =""Neighbor"")), """")"),0.3452818724018694)</f>
        <v>0.3452818724</v>
      </c>
    </row>
    <row r="2108">
      <c r="A2108" s="2" t="s">
        <v>28</v>
      </c>
      <c r="B2108" s="2" t="s">
        <v>8509</v>
      </c>
      <c r="C2108" s="2" t="s">
        <v>8591</v>
      </c>
      <c r="D2108" s="2" t="s">
        <v>8632</v>
      </c>
      <c r="E2108" s="2" t="s">
        <v>8633</v>
      </c>
      <c r="F2108" s="2">
        <v>86.0</v>
      </c>
      <c r="G2108" s="2">
        <v>371.0</v>
      </c>
      <c r="H2108" s="2" t="b">
        <v>1</v>
      </c>
      <c r="I2108" s="2">
        <v>-1.0</v>
      </c>
      <c r="J2108" s="2" t="b">
        <v>0</v>
      </c>
      <c r="K2108" s="2" t="b">
        <v>0</v>
      </c>
      <c r="L2108" s="2" t="b">
        <v>0</v>
      </c>
      <c r="M2108" s="2" t="b">
        <v>0</v>
      </c>
      <c r="N2108" s="2" t="s">
        <v>33</v>
      </c>
      <c r="O2108" s="2">
        <v>54.0</v>
      </c>
      <c r="P2108" s="2">
        <v>2.0</v>
      </c>
      <c r="Q2108" s="2">
        <v>13.0</v>
      </c>
      <c r="R2108" s="2">
        <v>1.0</v>
      </c>
      <c r="S2108" s="3" t="s">
        <v>8634</v>
      </c>
      <c r="T2108" s="2" t="s">
        <v>8635</v>
      </c>
      <c r="Y2108" s="4" t="str">
        <f>IFERROR(__xludf.DUMMYFUNCTION("""COMPUTED_VALUE"""),"7.2876578")</f>
        <v>7.2876578</v>
      </c>
      <c r="Z2108" s="4" t="str">
        <f>IFERROR(__xludf.DUMMYFUNCTION("""COMPUTED_VALUE"""),"3.6591553")</f>
        <v>3.6591553</v>
      </c>
      <c r="AA2108" s="4" t="str">
        <f t="shared" si="1"/>
        <v>Not Neighbor</v>
      </c>
      <c r="AC2108" s="4">
        <f>IFERROR(__xludf.DUMMYFUNCTION("IFERROR(ABS(O2108-AVERAGE(FILTER(O2108:O6176,AA2108:AA6176=""Neighbor""))) / STDEV(FILTER(O2108:O6176, AA2108:AA6176 =""Neighbor"")), """")"),0.006636150303980424)</f>
        <v>0.006636150304</v>
      </c>
      <c r="AD2108" s="4">
        <f>IFERROR(__xludf.DUMMYFUNCTION("IFERROR(ABS(P2108-AVERAGE(FILTER(O2108:P6176,AA2108:AA6176=""Neighbor""))) / STDEV(FILTER(P2108:P6176, AA2108:AA6176 =""Neighbor"")), """")"),1.4738079700669617)</f>
        <v>1.47380797</v>
      </c>
      <c r="AE2108" s="2">
        <f>IFERROR(__xludf.DUMMYFUNCTION("IFERROR(ABS(Q2108-AVERAGE(FILTER(Q2108:Q6176,AA2108:AA6176=""Neighbor""))) / STDEV(FILTER(Q2108:Q6176, AA2108:AA6176 =""Neighbor"")), """")"),0.3494362418370219)</f>
        <v>0.3494362418</v>
      </c>
      <c r="AF2108" s="2">
        <f>IFERROR(__xludf.DUMMYFUNCTION("IFERROR(ABS(R2108-AVERAGE(FILTER(R2108:R6176,AA2108:AA6176=""Neighbor""))) / STDEV(FILTER(R2108:R6176, AA2108:AA6176 =""Neighbor"")), """")"),0.8339435053773966)</f>
        <v>0.8339435054</v>
      </c>
    </row>
    <row r="2109">
      <c r="A2109" s="2" t="s">
        <v>28</v>
      </c>
      <c r="B2109" s="2" t="s">
        <v>8509</v>
      </c>
      <c r="C2109" s="2" t="s">
        <v>8591</v>
      </c>
      <c r="D2109" s="2" t="s">
        <v>8636</v>
      </c>
      <c r="E2109" s="2" t="s">
        <v>8637</v>
      </c>
      <c r="F2109" s="2">
        <v>59.0</v>
      </c>
      <c r="G2109" s="2">
        <v>245.0</v>
      </c>
      <c r="H2109" s="2" t="b">
        <v>1</v>
      </c>
      <c r="I2109" s="2">
        <v>-1.0</v>
      </c>
      <c r="J2109" s="2" t="b">
        <v>0</v>
      </c>
      <c r="K2109" s="2" t="b">
        <v>0</v>
      </c>
      <c r="L2109" s="2" t="b">
        <v>0</v>
      </c>
      <c r="M2109" s="2" t="b">
        <v>0</v>
      </c>
      <c r="N2109" s="2" t="s">
        <v>33</v>
      </c>
      <c r="O2109" s="2">
        <v>0.0</v>
      </c>
      <c r="P2109" s="2">
        <v>0.0</v>
      </c>
      <c r="Q2109" s="2">
        <v>0.0</v>
      </c>
      <c r="R2109" s="2">
        <v>0.0</v>
      </c>
      <c r="S2109" s="3" t="s">
        <v>8638</v>
      </c>
      <c r="T2109" s="2" t="s">
        <v>8639</v>
      </c>
      <c r="Y2109" s="4" t="str">
        <f>IFERROR(__xludf.DUMMYFUNCTION("""COMPUTED_VALUE"""),"7.3055597")</f>
        <v>7.3055597</v>
      </c>
      <c r="Z2109" s="4" t="str">
        <f>IFERROR(__xludf.DUMMYFUNCTION("""COMPUTED_VALUE"""),"3.5676674")</f>
        <v>3.5676674</v>
      </c>
      <c r="AA2109" s="4" t="str">
        <f t="shared" si="1"/>
        <v>Not Neighbor</v>
      </c>
      <c r="AC2109" s="4">
        <f>IFERROR(__xludf.DUMMYFUNCTION("IFERROR(ABS(O2109-AVERAGE(FILTER(O2109:O6177,AA2109:AA6177=""Neighbor""))) / STDEV(FILTER(O2109:O6177, AA2109:AA6177 =""Neighbor"")), """")"),1.437522878848223)</f>
        <v>1.437522879</v>
      </c>
      <c r="AD2109" s="4">
        <f>IFERROR(__xludf.DUMMYFUNCTION("IFERROR(ABS(P2109-AVERAGE(FILTER(O2109:P6177,AA2109:AA6177=""Neighbor""))) / STDEV(FILTER(P2109:P6177, AA2109:AA6177 =""Neighbor"")), """")"),1.5622583962675551)</f>
        <v>1.562258396</v>
      </c>
      <c r="AE2109" s="2">
        <f>IFERROR(__xludf.DUMMYFUNCTION("IFERROR(ABS(Q2109-AVERAGE(FILTER(Q2109:Q6177,AA2109:AA6177=""Neighbor""))) / STDEV(FILTER(Q2109:Q6177, AA2109:AA6177 =""Neighbor"")), """")"),0.9607892126114943)</f>
        <v>0.9607892126</v>
      </c>
      <c r="AF2109" s="2">
        <f>IFERROR(__xludf.DUMMYFUNCTION("IFERROR(ABS(R2109-AVERAGE(FILTER(R2109:R6177,AA2109:AA6177=""Neighbor""))) / STDEV(FILTER(R2109:R6177, AA2109:AA6177 =""Neighbor"")), """")"),0.3452818724018694)</f>
        <v>0.3452818724</v>
      </c>
    </row>
    <row r="2110">
      <c r="A2110" s="2" t="s">
        <v>28</v>
      </c>
      <c r="B2110" s="2" t="s">
        <v>8509</v>
      </c>
      <c r="C2110" s="2" t="s">
        <v>8640</v>
      </c>
      <c r="D2110" s="2" t="s">
        <v>8641</v>
      </c>
      <c r="E2110" s="2" t="s">
        <v>8642</v>
      </c>
      <c r="F2110" s="2">
        <v>183.0</v>
      </c>
      <c r="G2110" s="2">
        <v>903.0</v>
      </c>
      <c r="H2110" s="2" t="b">
        <v>1</v>
      </c>
      <c r="I2110" s="2">
        <v>-1.0</v>
      </c>
      <c r="J2110" s="2" t="b">
        <v>0</v>
      </c>
      <c r="K2110" s="2" t="b">
        <v>0</v>
      </c>
      <c r="L2110" s="2" t="b">
        <v>0</v>
      </c>
      <c r="M2110" s="2" t="b">
        <v>0</v>
      </c>
      <c r="N2110" s="2" t="s">
        <v>33</v>
      </c>
      <c r="O2110" s="2">
        <v>114.0</v>
      </c>
      <c r="P2110" s="2">
        <v>18.0</v>
      </c>
      <c r="Q2110" s="2">
        <v>27.0</v>
      </c>
      <c r="R2110" s="2">
        <v>0.0</v>
      </c>
      <c r="S2110" s="3" t="s">
        <v>8643</v>
      </c>
      <c r="T2110" s="2" t="s">
        <v>8644</v>
      </c>
      <c r="Y2110" s="4" t="str">
        <f>IFERROR(__xludf.DUMMYFUNCTION("""COMPUTED_VALUE"""),"7.2831842")</f>
        <v>7.2831842</v>
      </c>
      <c r="Z2110" s="4" t="str">
        <f>IFERROR(__xludf.DUMMYFUNCTION("""COMPUTED_VALUE"""),"3.7229626")</f>
        <v>3.7229626</v>
      </c>
      <c r="AA2110" s="4" t="str">
        <f t="shared" si="1"/>
        <v>Neighbor</v>
      </c>
      <c r="AC2110" s="4">
        <f>IFERROR(__xludf.DUMMYFUNCTION("IFERROR(ABS(O2110-AVERAGE(FILTER(O2110:O6178,AA2110:AA6178=""Neighbor""))) / STDEV(FILTER(O2110:O6178, AA2110:AA6178 =""Neighbor"")), """")"),1.6112572938064287)</f>
        <v>1.611257294</v>
      </c>
      <c r="AD2110" s="4">
        <f>IFERROR(__xludf.DUMMYFUNCTION("IFERROR(ABS(P2110-AVERAGE(FILTER(O2110:P6178,AA2110:AA6178=""Neighbor""))) / STDEV(FILTER(P2110:P6178, AA2110:AA6178 =""Neighbor"")), """")"),0.7662045604622134)</f>
        <v>0.7662045605</v>
      </c>
      <c r="AE2110" s="2">
        <f>IFERROR(__xludf.DUMMYFUNCTION("IFERROR(ABS(Q2110-AVERAGE(FILTER(Q2110:Q6178,AA2110:AA6178=""Neighbor""))) / STDEV(FILTER(Q2110:Q6178, AA2110:AA6178 =""Neighbor"")), """")"),0.3089438805354869)</f>
        <v>0.3089438805</v>
      </c>
      <c r="AF2110" s="2">
        <f>IFERROR(__xludf.DUMMYFUNCTION("IFERROR(ABS(R2110-AVERAGE(FILTER(R2110:R6178,AA2110:AA6178=""Neighbor""))) / STDEV(FILTER(R2110:R6178, AA2110:AA6178 =""Neighbor"")), """")"),0.3452818724018694)</f>
        <v>0.3452818724</v>
      </c>
    </row>
    <row r="2111">
      <c r="A2111" s="2" t="s">
        <v>28</v>
      </c>
      <c r="B2111" s="2" t="s">
        <v>8509</v>
      </c>
      <c r="C2111" s="2" t="s">
        <v>8640</v>
      </c>
      <c r="D2111" s="2" t="s">
        <v>8645</v>
      </c>
      <c r="E2111" s="2" t="s">
        <v>8646</v>
      </c>
      <c r="F2111" s="2">
        <v>73.0</v>
      </c>
      <c r="G2111" s="2">
        <v>285.0</v>
      </c>
      <c r="H2111" s="2" t="b">
        <v>1</v>
      </c>
      <c r="I2111" s="2">
        <v>-1.0</v>
      </c>
      <c r="J2111" s="2" t="b">
        <v>0</v>
      </c>
      <c r="K2111" s="2" t="b">
        <v>0</v>
      </c>
      <c r="L2111" s="2" t="b">
        <v>0</v>
      </c>
      <c r="M2111" s="2" t="b">
        <v>0</v>
      </c>
      <c r="N2111" s="2" t="s">
        <v>33</v>
      </c>
      <c r="O2111" s="2">
        <v>41.0</v>
      </c>
      <c r="P2111" s="2">
        <v>0.0</v>
      </c>
      <c r="Q2111" s="2">
        <v>24.0</v>
      </c>
      <c r="R2111" s="2">
        <v>0.0</v>
      </c>
      <c r="S2111" s="3" t="s">
        <v>8647</v>
      </c>
      <c r="T2111" s="2" t="s">
        <v>8648</v>
      </c>
      <c r="Y2111" s="4" t="str">
        <f>IFERROR(__xludf.DUMMYFUNCTION("""COMPUTED_VALUE"""),"7.2844499")</f>
        <v>7.2844499</v>
      </c>
      <c r="Z2111" s="4" t="str">
        <f>IFERROR(__xludf.DUMMYFUNCTION("""COMPUTED_VALUE"""),"3.722566")</f>
        <v>3.722566</v>
      </c>
      <c r="AA2111" s="4" t="str">
        <f t="shared" si="1"/>
        <v>Not Neighbor</v>
      </c>
      <c r="AC2111" s="4">
        <f>IFERROR(__xludf.DUMMYFUNCTION("IFERROR(ABS(O2111-AVERAGE(FILTER(O2111:O6179,AA2111:AA6179=""Neighbor""))) / STDEV(FILTER(O2111:O6179, AA2111:AA6179 =""Neighbor"")), """")"),0.33936791793657556)</f>
        <v>0.3393679179</v>
      </c>
      <c r="AD2111" s="4">
        <f>IFERROR(__xludf.DUMMYFUNCTION("IFERROR(ABS(P2111-AVERAGE(FILTER(O2111:P6179,AA2111:AA6179=""Neighbor""))) / STDEV(FILTER(P2111:P6179, AA2111:AA6179 =""Neighbor"")), """")"),1.5596058731462326)</f>
        <v>1.559605873</v>
      </c>
      <c r="AE2111" s="2">
        <f>IFERROR(__xludf.DUMMYFUNCTION("IFERROR(ABS(Q2111-AVERAGE(FILTER(Q2111:Q6179,AA2111:AA6179=""Neighbor""))) / STDEV(FILTER(Q2111:Q6179, AA2111:AA6179 =""Neighbor"")), """")"),0.16815165502231677)</f>
        <v>0.168151655</v>
      </c>
      <c r="AF2111" s="2">
        <f>IFERROR(__xludf.DUMMYFUNCTION("IFERROR(ABS(R2111-AVERAGE(FILTER(R2111:R6179,AA2111:AA6179=""Neighbor""))) / STDEV(FILTER(R2111:R6179, AA2111:AA6179 =""Neighbor"")), """")"),0.34552161846408314)</f>
        <v>0.3455216185</v>
      </c>
    </row>
    <row r="2112">
      <c r="A2112" s="2" t="s">
        <v>28</v>
      </c>
      <c r="B2112" s="2" t="s">
        <v>8509</v>
      </c>
      <c r="C2112" s="2" t="s">
        <v>8640</v>
      </c>
      <c r="D2112" s="2" t="s">
        <v>8649</v>
      </c>
      <c r="E2112" s="2" t="s">
        <v>8650</v>
      </c>
      <c r="F2112" s="2">
        <v>132.0</v>
      </c>
      <c r="G2112" s="2">
        <v>502.0</v>
      </c>
      <c r="H2112" s="2" t="b">
        <v>1</v>
      </c>
      <c r="I2112" s="2">
        <v>-1.0</v>
      </c>
      <c r="J2112" s="2" t="b">
        <v>0</v>
      </c>
      <c r="K2112" s="2" t="b">
        <v>1</v>
      </c>
      <c r="L2112" s="2" t="b">
        <v>0</v>
      </c>
      <c r="M2112" s="2" t="b">
        <v>0</v>
      </c>
      <c r="N2112" s="2" t="s">
        <v>33</v>
      </c>
      <c r="O2112" s="2">
        <v>111.0</v>
      </c>
      <c r="P2112" s="2">
        <v>1.0</v>
      </c>
      <c r="Q2112" s="2">
        <v>13.0</v>
      </c>
      <c r="R2112" s="2">
        <v>0.0</v>
      </c>
      <c r="S2112" s="3" t="s">
        <v>8651</v>
      </c>
      <c r="T2112" s="2" t="s">
        <v>8652</v>
      </c>
      <c r="Y2112" s="4" t="str">
        <f>IFERROR(__xludf.DUMMYFUNCTION("""COMPUTED_VALUE"""),"7.2872828")</f>
        <v>7.2872828</v>
      </c>
      <c r="Z2112" s="4" t="str">
        <f>IFERROR(__xludf.DUMMYFUNCTION("""COMPUTED_VALUE"""),"3.6639083")</f>
        <v>3.6639083</v>
      </c>
      <c r="AA2112" s="4" t="str">
        <f t="shared" si="1"/>
        <v>Not Neighbor</v>
      </c>
      <c r="AC2112" s="4">
        <f>IFERROR(__xludf.DUMMYFUNCTION("IFERROR(ABS(O2112-AVERAGE(FILTER(O2112:O6180,AA2112:AA6180=""Neighbor""))) / STDEV(FILTER(O2112:O6180, AA2112:AA6180 =""Neighbor"")), """")"),1.5345548822325608)</f>
        <v>1.534554882</v>
      </c>
      <c r="AD2112" s="4">
        <f>IFERROR(__xludf.DUMMYFUNCTION("IFERROR(ABS(P2112-AVERAGE(FILTER(O2112:P6180,AA2112:AA6180=""Neighbor""))) / STDEV(FILTER(P2112:P6180, AA2112:AA6180 =""Neighbor"")), """")"),1.5154080724040402)</f>
        <v>1.515408072</v>
      </c>
      <c r="AE2112" s="2">
        <f>IFERROR(__xludf.DUMMYFUNCTION("IFERROR(ABS(Q2112-AVERAGE(FILTER(Q2112:Q6180,AA2112:AA6180=""Neighbor""))) / STDEV(FILTER(Q2112:Q6180, AA2112:AA6180 =""Neighbor"")), """")"),0.34885629817998015)</f>
        <v>0.3488562982</v>
      </c>
      <c r="AF2112" s="2">
        <f>IFERROR(__xludf.DUMMYFUNCTION("IFERROR(ABS(R2112-AVERAGE(FILTER(R2112:R6180,AA2112:AA6180=""Neighbor""))) / STDEV(FILTER(R2112:R6180, AA2112:AA6180 =""Neighbor"")), """")"),0.34552161846408314)</f>
        <v>0.3455216185</v>
      </c>
    </row>
    <row r="2113">
      <c r="A2113" s="2" t="s">
        <v>28</v>
      </c>
      <c r="B2113" s="2" t="s">
        <v>8509</v>
      </c>
      <c r="C2113" s="2" t="s">
        <v>8640</v>
      </c>
      <c r="D2113" s="2" t="s">
        <v>8653</v>
      </c>
      <c r="E2113" s="2" t="s">
        <v>8654</v>
      </c>
      <c r="F2113" s="2">
        <v>136.0</v>
      </c>
      <c r="G2113" s="2">
        <v>620.0</v>
      </c>
      <c r="H2113" s="2" t="b">
        <v>1</v>
      </c>
      <c r="I2113" s="2">
        <v>-1.0</v>
      </c>
      <c r="J2113" s="2" t="b">
        <v>0</v>
      </c>
      <c r="K2113" s="2" t="b">
        <v>0</v>
      </c>
      <c r="L2113" s="2" t="b">
        <v>0</v>
      </c>
      <c r="M2113" s="2" t="b">
        <v>0</v>
      </c>
      <c r="N2113" s="2" t="s">
        <v>33</v>
      </c>
      <c r="O2113" s="2">
        <v>55.0</v>
      </c>
      <c r="P2113" s="2">
        <v>4.0</v>
      </c>
      <c r="Q2113" s="2">
        <v>20.0</v>
      </c>
      <c r="R2113" s="2">
        <v>0.0</v>
      </c>
      <c r="S2113" s="3" t="s">
        <v>8655</v>
      </c>
      <c r="T2113" s="2" t="s">
        <v>8656</v>
      </c>
      <c r="Y2113" s="4" t="str">
        <f>IFERROR(__xludf.DUMMYFUNCTION("""COMPUTED_VALUE"""),"7.2338684")</f>
        <v>7.2338684</v>
      </c>
      <c r="Z2113" s="4" t="str">
        <f>IFERROR(__xludf.DUMMYFUNCTION("""COMPUTED_VALUE"""),"3.6937043")</f>
        <v>3.6937043</v>
      </c>
      <c r="AA2113" s="4" t="str">
        <f t="shared" si="1"/>
        <v>Not Neighbor</v>
      </c>
      <c r="AC2113" s="4">
        <f>IFERROR(__xludf.DUMMYFUNCTION("IFERROR(ABS(O2113-AVERAGE(FILTER(O2113:O6181,AA2113:AA6181=""Neighbor""))) / STDEV(FILTER(O2113:O6181, AA2113:AA6181 =""Neighbor"")), """")"),0.0354166420972517)</f>
        <v>0.0354166421</v>
      </c>
      <c r="AD2113" s="4">
        <f>IFERROR(__xludf.DUMMYFUNCTION("IFERROR(ABS(P2113-AVERAGE(FILTER(O2113:P6181,AA2113:AA6181=""Neighbor""))) / STDEV(FILTER(P2113:P6181, AA2113:AA6181 =""Neighbor"")), """")"),1.3828146701774628)</f>
        <v>1.38281467</v>
      </c>
      <c r="AE2113" s="2">
        <f>IFERROR(__xludf.DUMMYFUNCTION("IFERROR(ABS(Q2113-AVERAGE(FILTER(Q2113:Q6181,AA2113:AA6181=""Neighbor""))) / STDEV(FILTER(Q2113:Q6181, AA2113:AA6181 =""Neighbor"")), """")"),0.019851237051245748)</f>
        <v>0.01985123705</v>
      </c>
      <c r="AF2113" s="2">
        <f>IFERROR(__xludf.DUMMYFUNCTION("IFERROR(ABS(R2113-AVERAGE(FILTER(R2113:R6181,AA2113:AA6181=""Neighbor""))) / STDEV(FILTER(R2113:R6181, AA2113:AA6181 =""Neighbor"")), """")"),0.34552161846408314)</f>
        <v>0.3455216185</v>
      </c>
    </row>
    <row r="2114">
      <c r="A2114" s="2" t="s">
        <v>28</v>
      </c>
      <c r="B2114" s="2" t="s">
        <v>8509</v>
      </c>
      <c r="C2114" s="2" t="s">
        <v>8640</v>
      </c>
      <c r="D2114" s="2" t="s">
        <v>8657</v>
      </c>
      <c r="E2114" s="2" t="s">
        <v>8658</v>
      </c>
      <c r="F2114" s="2">
        <v>137.0</v>
      </c>
      <c r="G2114" s="2">
        <v>438.0</v>
      </c>
      <c r="H2114" s="2" t="b">
        <v>1</v>
      </c>
      <c r="I2114" s="2">
        <v>-1.0</v>
      </c>
      <c r="J2114" s="2" t="b">
        <v>0</v>
      </c>
      <c r="K2114" s="2" t="b">
        <v>0</v>
      </c>
      <c r="L2114" s="2" t="b">
        <v>0</v>
      </c>
      <c r="M2114" s="2" t="b">
        <v>0</v>
      </c>
      <c r="N2114" s="2" t="s">
        <v>33</v>
      </c>
      <c r="O2114" s="2">
        <v>52.0</v>
      </c>
      <c r="P2114" s="2">
        <v>17.0</v>
      </c>
      <c r="Q2114" s="2">
        <v>11.0</v>
      </c>
      <c r="R2114" s="2">
        <v>0.0</v>
      </c>
      <c r="S2114" s="3" t="s">
        <v>8659</v>
      </c>
      <c r="T2114" s="2" t="s">
        <v>8660</v>
      </c>
      <c r="Y2114" s="4" t="str">
        <f>IFERROR(__xludf.DUMMYFUNCTION("""COMPUTED_VALUE"""),"7.2844499")</f>
        <v>7.2844499</v>
      </c>
      <c r="Z2114" s="4" t="str">
        <f>IFERROR(__xludf.DUMMYFUNCTION("""COMPUTED_VALUE"""),"3.722566")</f>
        <v>3.722566</v>
      </c>
      <c r="AA2114" s="4" t="str">
        <f t="shared" si="1"/>
        <v>Neighbor</v>
      </c>
      <c r="AC2114" s="4">
        <f>IFERROR(__xludf.DUMMYFUNCTION("IFERROR(ABS(O2114-AVERAGE(FILTER(O2114:O6182,AA2114:AA6182=""Neighbor""))) / STDEV(FILTER(O2114:O6182, AA2114:AA6182 =""Neighbor"")), """")"),0.044894335052854145)</f>
        <v>0.04489433505</v>
      </c>
      <c r="AD2114" s="4">
        <f>IFERROR(__xludf.DUMMYFUNCTION("IFERROR(ABS(P2114-AVERAGE(FILTER(O2114:P6182,AA2114:AA6182=""Neighbor""))) / STDEV(FILTER(P2114:P6182, AA2114:AA6182 =""Neighbor"")), """")"),0.8082432605289618)</f>
        <v>0.8082432605</v>
      </c>
      <c r="AE2114" s="2">
        <f>IFERROR(__xludf.DUMMYFUNCTION("IFERROR(ABS(Q2114-AVERAGE(FILTER(Q2114:Q6182,AA2114:AA6182=""Neighbor""))) / STDEV(FILTER(Q2114:Q6182, AA2114:AA6182 =""Neighbor"")), """")"),0.4428577442167614)</f>
        <v>0.4428577442</v>
      </c>
      <c r="AF2114" s="2">
        <f>IFERROR(__xludf.DUMMYFUNCTION("IFERROR(ABS(R2114-AVERAGE(FILTER(R2114:R6182,AA2114:AA6182=""Neighbor""))) / STDEV(FILTER(R2114:R6182, AA2114:AA6182 =""Neighbor"")), """")"),0.34552161846408314)</f>
        <v>0.3455216185</v>
      </c>
    </row>
    <row r="2115">
      <c r="A2115" s="2" t="s">
        <v>28</v>
      </c>
      <c r="B2115" s="2" t="s">
        <v>8509</v>
      </c>
      <c r="C2115" s="2" t="s">
        <v>8640</v>
      </c>
      <c r="D2115" s="2" t="s">
        <v>8661</v>
      </c>
      <c r="E2115" s="2" t="s">
        <v>8662</v>
      </c>
      <c r="F2115" s="2">
        <v>53.0</v>
      </c>
      <c r="G2115" s="2">
        <v>182.0</v>
      </c>
      <c r="H2115" s="2" t="b">
        <v>1</v>
      </c>
      <c r="I2115" s="2">
        <v>-1.0</v>
      </c>
      <c r="J2115" s="2" t="b">
        <v>0</v>
      </c>
      <c r="K2115" s="2" t="b">
        <v>1</v>
      </c>
      <c r="L2115" s="2" t="b">
        <v>0</v>
      </c>
      <c r="M2115" s="2" t="b">
        <v>0</v>
      </c>
      <c r="N2115" s="2" t="s">
        <v>33</v>
      </c>
      <c r="O2115" s="2">
        <v>30.0</v>
      </c>
      <c r="P2115" s="2">
        <v>1.0</v>
      </c>
      <c r="Q2115" s="2">
        <v>13.0</v>
      </c>
      <c r="R2115" s="2">
        <v>0.0</v>
      </c>
      <c r="S2115" s="3" t="s">
        <v>8663</v>
      </c>
      <c r="T2115" s="2" t="s">
        <v>8664</v>
      </c>
      <c r="Y2115" s="4" t="str">
        <f>IFERROR(__xludf.DUMMYFUNCTION("""COMPUTED_VALUE"""),"7.2844499")</f>
        <v>7.2844499</v>
      </c>
      <c r="Z2115" s="4" t="str">
        <f>IFERROR(__xludf.DUMMYFUNCTION("""COMPUTED_VALUE"""),"3.722566")</f>
        <v>3.722566</v>
      </c>
      <c r="AA2115" s="4" t="str">
        <f t="shared" si="1"/>
        <v>Neighbor</v>
      </c>
      <c r="AC2115" s="4">
        <f>IFERROR(__xludf.DUMMYFUNCTION("IFERROR(ABS(O2115-AVERAGE(FILTER(O2115:O6183,AA2115:AA6183=""Neighbor""))) / STDEV(FILTER(O2115:O6183, AA2115:AA6183 =""Neighbor"")), """")"),0.6335037971618013)</f>
        <v>0.6335037972</v>
      </c>
      <c r="AD2115" s="4">
        <f>IFERROR(__xludf.DUMMYFUNCTION("IFERROR(ABS(P2115-AVERAGE(FILTER(O2115:P6183,AA2115:AA6183=""Neighbor""))) / STDEV(FILTER(P2115:P6183, AA2115:AA6183 =""Neighbor"")), """")"),1.5145086147774403)</f>
        <v>1.514508615</v>
      </c>
      <c r="AE2115" s="2">
        <f>IFERROR(__xludf.DUMMYFUNCTION("IFERROR(ABS(Q2115-AVERAGE(FILTER(Q2115:Q6183,AA2115:AA6183=""Neighbor""))) / STDEV(FILTER(Q2115:Q6183, AA2115:AA6183 =""Neighbor"")), """")"),0.34923240610057293)</f>
        <v>0.3492324061</v>
      </c>
      <c r="AF2115" s="2">
        <f>IFERROR(__xludf.DUMMYFUNCTION("IFERROR(ABS(R2115-AVERAGE(FILTER(R2115:R6183,AA2115:AA6183=""Neighbor""))) / STDEV(FILTER(R2115:R6183, AA2115:AA6183 =""Neighbor"")), """")"),0.3457618647016201)</f>
        <v>0.3457618647</v>
      </c>
    </row>
    <row r="2116">
      <c r="A2116" s="2" t="s">
        <v>28</v>
      </c>
      <c r="B2116" s="2" t="s">
        <v>8509</v>
      </c>
      <c r="C2116" s="2" t="s">
        <v>8640</v>
      </c>
      <c r="D2116" s="2" t="s">
        <v>8665</v>
      </c>
      <c r="E2116" s="2" t="s">
        <v>8666</v>
      </c>
      <c r="F2116" s="2">
        <v>73.0</v>
      </c>
      <c r="G2116" s="2">
        <v>263.0</v>
      </c>
      <c r="H2116" s="2" t="b">
        <v>1</v>
      </c>
      <c r="I2116" s="2">
        <v>-1.0</v>
      </c>
      <c r="J2116" s="2" t="b">
        <v>0</v>
      </c>
      <c r="K2116" s="2" t="b">
        <v>0</v>
      </c>
      <c r="L2116" s="2" t="b">
        <v>0</v>
      </c>
      <c r="M2116" s="2" t="b">
        <v>0</v>
      </c>
      <c r="N2116" s="2" t="s">
        <v>33</v>
      </c>
      <c r="O2116" s="2">
        <v>32.0</v>
      </c>
      <c r="P2116" s="2">
        <v>2.0</v>
      </c>
      <c r="Q2116" s="2">
        <v>21.0</v>
      </c>
      <c r="R2116" s="2">
        <v>1.0</v>
      </c>
      <c r="S2116" s="3" t="s">
        <v>8667</v>
      </c>
      <c r="T2116" s="2" t="s">
        <v>8668</v>
      </c>
      <c r="Y2116" s="4" t="str">
        <f>IFERROR(__xludf.DUMMYFUNCTION("""COMPUTED_VALUE"""),"7.2844499")</f>
        <v>7.2844499</v>
      </c>
      <c r="Z2116" s="4" t="str">
        <f>IFERROR(__xludf.DUMMYFUNCTION("""COMPUTED_VALUE"""),"3.722566")</f>
        <v>3.722566</v>
      </c>
      <c r="AA2116" s="4" t="str">
        <f t="shared" si="1"/>
        <v>Neighbor</v>
      </c>
      <c r="AC2116" s="4">
        <f>IFERROR(__xludf.DUMMYFUNCTION("IFERROR(ABS(O2116-AVERAGE(FILTER(O2116:O6184,AA2116:AA6184=""Neighbor""))) / STDEV(FILTER(O2116:O6184, AA2116:AA6184 =""Neighbor"")), """")"),0.5805688378496838)</f>
        <v>0.5805688378</v>
      </c>
      <c r="AD2116" s="4">
        <f>IFERROR(__xludf.DUMMYFUNCTION("IFERROR(ABS(P2116-AVERAGE(FILTER(O2116:P6184,AA2116:AA6184=""Neighbor""))) / STDEV(FILTER(P2116:P6184, AA2116:AA6184 =""Neighbor"")), """")"),1.4709624956616978)</f>
        <v>1.470962496</v>
      </c>
      <c r="AE2116" s="2">
        <f>IFERROR(__xludf.DUMMYFUNCTION("IFERROR(ABS(Q2116-AVERAGE(FILTER(Q2116:Q6184,AA2116:AA6184=""Neighbor""))) / STDEV(FILTER(Q2116:Q6184, AA2116:AA6184 =""Neighbor"")), """")"),0.026136157781820542)</f>
        <v>0.02613615778</v>
      </c>
      <c r="AF2116" s="2">
        <f>IFERROR(__xludf.DUMMYFUNCTION("IFERROR(ABS(R2116-AVERAGE(FILTER(R2116:R6184,AA2116:AA6184=""Neighbor""))) / STDEV(FILTER(R2116:R6184, AA2116:AA6184 =""Neighbor"")), """")"),0.8312859385149537)</f>
        <v>0.8312859385</v>
      </c>
    </row>
    <row r="2117">
      <c r="A2117" s="2" t="s">
        <v>28</v>
      </c>
      <c r="B2117" s="2" t="s">
        <v>8509</v>
      </c>
      <c r="C2117" s="2" t="s">
        <v>8640</v>
      </c>
      <c r="D2117" s="2" t="s">
        <v>8669</v>
      </c>
      <c r="E2117" s="2" t="s">
        <v>8670</v>
      </c>
      <c r="F2117" s="2">
        <v>45.0</v>
      </c>
      <c r="G2117" s="2">
        <v>315.0</v>
      </c>
      <c r="H2117" s="2" t="b">
        <v>1</v>
      </c>
      <c r="I2117" s="2">
        <v>-1.0</v>
      </c>
      <c r="J2117" s="2" t="b">
        <v>0</v>
      </c>
      <c r="K2117" s="2" t="b">
        <v>0</v>
      </c>
      <c r="L2117" s="2" t="b">
        <v>0</v>
      </c>
      <c r="M2117" s="2" t="b">
        <v>0</v>
      </c>
      <c r="N2117" s="2" t="s">
        <v>33</v>
      </c>
      <c r="O2117" s="2">
        <v>0.0</v>
      </c>
      <c r="P2117" s="2">
        <v>0.0</v>
      </c>
      <c r="Q2117" s="2">
        <v>0.0</v>
      </c>
      <c r="R2117" s="2">
        <v>0.0</v>
      </c>
      <c r="S2117" s="3" t="s">
        <v>8671</v>
      </c>
      <c r="T2117" s="2" t="s">
        <v>8672</v>
      </c>
      <c r="Y2117" s="4" t="str">
        <f>IFERROR(__xludf.DUMMYFUNCTION("""COMPUTED_VALUE"""),"7.2844499")</f>
        <v>7.2844499</v>
      </c>
      <c r="Z2117" s="4" t="str">
        <f>IFERROR(__xludf.DUMMYFUNCTION("""COMPUTED_VALUE"""),"3.722566")</f>
        <v>3.722566</v>
      </c>
      <c r="AA2117" s="4" t="str">
        <f t="shared" si="1"/>
        <v>Neighbor</v>
      </c>
      <c r="AC2117" s="4">
        <f>IFERROR(__xludf.DUMMYFUNCTION("IFERROR(ABS(O2117-AVERAGE(FILTER(O2117:O6185,AA2117:AA6185=""Neighbor""))) / STDEV(FILTER(O2117:O6185, AA2117:AA6185 =""Neighbor"")), """")"),1.4364982853786923)</f>
        <v>1.436498285</v>
      </c>
      <c r="AD2117" s="4">
        <f>IFERROR(__xludf.DUMMYFUNCTION("IFERROR(ABS(P2117-AVERAGE(FILTER(O2117:P6185,AA2117:AA6185=""Neighbor""))) / STDEV(FILTER(P2117:P6185, AA2117:AA6185 =""Neighbor"")), """")"),1.5597328814199256)</f>
        <v>1.559732881</v>
      </c>
      <c r="AE2117" s="2">
        <f>IFERROR(__xludf.DUMMYFUNCTION("IFERROR(ABS(Q2117-AVERAGE(FILTER(Q2117:Q6185,AA2117:AA6185=""Neighbor""))) / STDEV(FILTER(Q2117:Q6185, AA2117:AA6185 =""Neighbor"")), """")"),0.9592152554975469)</f>
        <v>0.9592152555</v>
      </c>
      <c r="AF2117" s="2">
        <f>IFERROR(__xludf.DUMMYFUNCTION("IFERROR(ABS(R2117-AVERAGE(FILTER(R2117:R6185,AA2117:AA6185=""Neighbor""))) / STDEV(FILTER(R2117:R6185, AA2117:AA6185 =""Neighbor"")), """")"),0.3448997708128555)</f>
        <v>0.3448997708</v>
      </c>
    </row>
    <row r="2118">
      <c r="A2118" s="2" t="s">
        <v>28</v>
      </c>
      <c r="B2118" s="2" t="s">
        <v>8509</v>
      </c>
      <c r="C2118" s="2" t="s">
        <v>8640</v>
      </c>
      <c r="D2118" s="2" t="s">
        <v>8673</v>
      </c>
      <c r="E2118" s="2" t="s">
        <v>8674</v>
      </c>
      <c r="F2118" s="2">
        <v>51.0</v>
      </c>
      <c r="G2118" s="2">
        <v>286.0</v>
      </c>
      <c r="H2118" s="2" t="b">
        <v>1</v>
      </c>
      <c r="I2118" s="2">
        <v>-1.0</v>
      </c>
      <c r="J2118" s="2" t="b">
        <v>0</v>
      </c>
      <c r="K2118" s="2" t="b">
        <v>1</v>
      </c>
      <c r="L2118" s="2" t="b">
        <v>0</v>
      </c>
      <c r="M2118" s="2" t="b">
        <v>0</v>
      </c>
      <c r="N2118" s="2" t="s">
        <v>33</v>
      </c>
      <c r="O2118" s="2">
        <v>30.0</v>
      </c>
      <c r="P2118" s="2">
        <v>1.0</v>
      </c>
      <c r="Q2118" s="2">
        <v>13.0</v>
      </c>
      <c r="R2118" s="2">
        <v>0.0</v>
      </c>
      <c r="S2118" s="3" t="s">
        <v>8675</v>
      </c>
      <c r="T2118" s="2" t="s">
        <v>8676</v>
      </c>
      <c r="Y2118" s="4" t="str">
        <f>IFERROR(__xludf.DUMMYFUNCTION("""COMPUTED_VALUE"""),"7.2844499")</f>
        <v>7.2844499</v>
      </c>
      <c r="Z2118" s="4" t="str">
        <f>IFERROR(__xludf.DUMMYFUNCTION("""COMPUTED_VALUE"""),"3.722566")</f>
        <v>3.722566</v>
      </c>
      <c r="AA2118" s="4" t="str">
        <f t="shared" si="1"/>
        <v>Not Neighbor</v>
      </c>
      <c r="AC2118" s="4">
        <f>IFERROR(__xludf.DUMMYFUNCTION("IFERROR(ABS(O2118-AVERAGE(FILTER(O2118:O6186,AA2118:AA6186=""Neighbor""))) / STDEV(FILTER(O2118:O6186, AA2118:AA6186 =""Neighbor"")), """")"),0.6367356411345979)</f>
        <v>0.6367356411</v>
      </c>
      <c r="AD2118" s="4">
        <f>IFERROR(__xludf.DUMMYFUNCTION("IFERROR(ABS(P2118-AVERAGE(FILTER(O2118:P6186,AA2118:AA6186=""Neighbor""))) / STDEV(FILTER(P2118:P6186, AA2118:AA6186 =""Neighbor"")), """")"),1.5171217018732974)</f>
        <v>1.517121702</v>
      </c>
      <c r="AE2118" s="2">
        <f>IFERROR(__xludf.DUMMYFUNCTION("IFERROR(ABS(Q2118-AVERAGE(FILTER(Q2118:Q6186,AA2118:AA6186=""Neighbor""))) / STDEV(FILTER(Q2118:Q6186, AA2118:AA6186 =""Neighbor"")), """")"),0.35040600544180245)</f>
        <v>0.3504060054</v>
      </c>
      <c r="AF2118" s="2">
        <f>IFERROR(__xludf.DUMMYFUNCTION("IFERROR(ABS(R2118-AVERAGE(FILTER(R2118:R6186,AA2118:AA6186=""Neighbor""))) / STDEV(FILTER(R2118:R6186, AA2118:AA6186 =""Neighbor"")), """")"),0.3451403891585256)</f>
        <v>0.3451403892</v>
      </c>
    </row>
    <row r="2119">
      <c r="A2119" s="2" t="s">
        <v>28</v>
      </c>
      <c r="B2119" s="2" t="s">
        <v>8509</v>
      </c>
      <c r="C2119" s="2" t="s">
        <v>8677</v>
      </c>
      <c r="D2119" s="2" t="s">
        <v>8678</v>
      </c>
      <c r="E2119" s="2" t="s">
        <v>8679</v>
      </c>
      <c r="F2119" s="2">
        <v>236.0</v>
      </c>
      <c r="G2119" s="2">
        <v>1111.0</v>
      </c>
      <c r="H2119" s="2" t="b">
        <v>1</v>
      </c>
      <c r="I2119" s="2">
        <v>-1.0</v>
      </c>
      <c r="J2119" s="2" t="b">
        <v>0</v>
      </c>
      <c r="K2119" s="2" t="b">
        <v>0</v>
      </c>
      <c r="L2119" s="2" t="b">
        <v>0</v>
      </c>
      <c r="M2119" s="2" t="b">
        <v>0</v>
      </c>
      <c r="N2119" s="2" t="s">
        <v>33</v>
      </c>
      <c r="O2119" s="2">
        <v>135.0</v>
      </c>
      <c r="P2119" s="2">
        <v>8.0</v>
      </c>
      <c r="Q2119" s="2">
        <v>75.0</v>
      </c>
      <c r="R2119" s="2">
        <v>0.0</v>
      </c>
      <c r="S2119" s="3" t="s">
        <v>8680</v>
      </c>
      <c r="T2119" s="2" t="s">
        <v>8681</v>
      </c>
      <c r="Y2119" s="4" t="str">
        <f>IFERROR(__xludf.DUMMYFUNCTION("""COMPUTED_VALUE"""),"7.542484")</f>
        <v>7.542484</v>
      </c>
      <c r="Z2119" s="4" t="str">
        <f>IFERROR(__xludf.DUMMYFUNCTION("""COMPUTED_VALUE"""),"3.595528")</f>
        <v>3.595528</v>
      </c>
      <c r="AA2119" s="4" t="str">
        <f t="shared" si="1"/>
        <v>Not Neighbor</v>
      </c>
      <c r="AC2119" s="4">
        <f>IFERROR(__xludf.DUMMYFUNCTION("IFERROR(ABS(O2119-AVERAGE(FILTER(O2119:O6187,AA2119:AA6187=""Neighbor""))) / STDEV(FILTER(O2119:O6187, AA2119:AA6187 =""Neighbor"")), """")"),2.172068045932713)</f>
        <v>2.172068046</v>
      </c>
      <c r="AD2119" s="4">
        <f>IFERROR(__xludf.DUMMYFUNCTION("IFERROR(ABS(P2119-AVERAGE(FILTER(O2119:P6187,AA2119:AA6187=""Neighbor""))) / STDEV(FILTER(P2119:P6187, AA2119:AA6187 =""Neighbor"")), """")"),1.2082212231746416)</f>
        <v>1.208221223</v>
      </c>
      <c r="AE2119" s="2">
        <f>IFERROR(__xludf.DUMMYFUNCTION("IFERROR(ABS(Q2119-AVERAGE(FILTER(Q2119:Q6187,AA2119:AA6187=""Neighbor""))) / STDEV(FILTER(Q2119:Q6187, AA2119:AA6187 =""Neighbor"")), """")"),2.5586316144597014)</f>
        <v>2.558631614</v>
      </c>
      <c r="AF2119" s="2">
        <f>IFERROR(__xludf.DUMMYFUNCTION("IFERROR(ABS(R2119-AVERAGE(FILTER(R2119:R6187,AA2119:AA6187=""Neighbor""))) / STDEV(FILTER(R2119:R6187, AA2119:AA6187 =""Neighbor"")), """")"),0.3451403891585256)</f>
        <v>0.3451403892</v>
      </c>
    </row>
    <row r="2120">
      <c r="A2120" s="2" t="s">
        <v>28</v>
      </c>
      <c r="B2120" s="2" t="s">
        <v>8509</v>
      </c>
      <c r="C2120" s="2" t="s">
        <v>8677</v>
      </c>
      <c r="D2120" s="2" t="s">
        <v>8682</v>
      </c>
      <c r="E2120" s="2" t="s">
        <v>8683</v>
      </c>
      <c r="F2120" s="2">
        <v>78.0</v>
      </c>
      <c r="G2120" s="2">
        <v>374.0</v>
      </c>
      <c r="H2120" s="2" t="b">
        <v>1</v>
      </c>
      <c r="I2120" s="2">
        <v>-1.0</v>
      </c>
      <c r="J2120" s="2" t="b">
        <v>0</v>
      </c>
      <c r="K2120" s="2" t="b">
        <v>0</v>
      </c>
      <c r="L2120" s="2" t="b">
        <v>0</v>
      </c>
      <c r="M2120" s="2" t="b">
        <v>0</v>
      </c>
      <c r="N2120" s="2" t="s">
        <v>33</v>
      </c>
      <c r="O2120" s="2">
        <v>73.0</v>
      </c>
      <c r="P2120" s="2">
        <v>0.0</v>
      </c>
      <c r="Q2120" s="2">
        <v>5.0</v>
      </c>
      <c r="R2120" s="2">
        <v>0.0</v>
      </c>
      <c r="S2120" s="3" t="s">
        <v>8684</v>
      </c>
      <c r="T2120" s="2" t="s">
        <v>8685</v>
      </c>
      <c r="Y2120" s="4" t="str">
        <f>IFERROR(__xludf.DUMMYFUNCTION("""COMPUTED_VALUE"""),"7.419583")</f>
        <v>7.419583</v>
      </c>
      <c r="Z2120" s="4" t="str">
        <f>IFERROR(__xludf.DUMMYFUNCTION("""COMPUTED_VALUE"""),"3.6404643")</f>
        <v>3.6404643</v>
      </c>
      <c r="AA2120" s="4" t="str">
        <f t="shared" si="1"/>
        <v>Not Neighbor</v>
      </c>
      <c r="AC2120" s="4">
        <f>IFERROR(__xludf.DUMMYFUNCTION("IFERROR(ABS(O2120-AVERAGE(FILTER(O2120:O6188,AA2120:AA6188=""Neighbor""))) / STDEV(FILTER(O2120:O6188, AA2120:AA6188 =""Neighbor"")), """")"),0.5135363449977295)</f>
        <v>0.513536345</v>
      </c>
      <c r="AD2120" s="4">
        <f>IFERROR(__xludf.DUMMYFUNCTION("IFERROR(ABS(P2120-AVERAGE(FILTER(O2120:P6188,AA2120:AA6188=""Neighbor""))) / STDEV(FILTER(P2120:P6188, AA2120:AA6188 =""Neighbor"")), """")"),1.561250341687391)</f>
        <v>1.561250342</v>
      </c>
      <c r="AE2120" s="2">
        <f>IFERROR(__xludf.DUMMYFUNCTION("IFERROR(ABS(Q2120-AVERAGE(FILTER(Q2120:Q6188,AA2120:AA6188=""Neighbor""))) / STDEV(FILTER(Q2120:Q6188, AA2120:AA6188 =""Neighbor"")), """")"),0.7257656983323191)</f>
        <v>0.7257656983</v>
      </c>
      <c r="AF2120" s="2">
        <f>IFERROR(__xludf.DUMMYFUNCTION("IFERROR(ABS(R2120-AVERAGE(FILTER(R2120:R6188,AA2120:AA6188=""Neighbor""))) / STDEV(FILTER(R2120:R6188, AA2120:AA6188 =""Neighbor"")), """")"),0.3451403891585256)</f>
        <v>0.3451403892</v>
      </c>
    </row>
    <row r="2121">
      <c r="A2121" s="2" t="s">
        <v>28</v>
      </c>
      <c r="B2121" s="2" t="s">
        <v>8509</v>
      </c>
      <c r="C2121" s="2" t="s">
        <v>8677</v>
      </c>
      <c r="D2121" s="2" t="s">
        <v>8686</v>
      </c>
      <c r="E2121" s="2" t="s">
        <v>8687</v>
      </c>
      <c r="F2121" s="2">
        <v>158.0</v>
      </c>
      <c r="G2121" s="2">
        <v>953.0</v>
      </c>
      <c r="H2121" s="2" t="b">
        <v>1</v>
      </c>
      <c r="I2121" s="2">
        <v>-1.0</v>
      </c>
      <c r="J2121" s="2" t="b">
        <v>0</v>
      </c>
      <c r="K2121" s="2" t="b">
        <v>1</v>
      </c>
      <c r="L2121" s="2" t="b">
        <v>0</v>
      </c>
      <c r="M2121" s="2" t="b">
        <v>0</v>
      </c>
      <c r="N2121" s="2" t="s">
        <v>33</v>
      </c>
      <c r="O2121" s="2">
        <v>96.0</v>
      </c>
      <c r="P2121" s="2">
        <v>8.0</v>
      </c>
      <c r="Q2121" s="2">
        <v>34.0</v>
      </c>
      <c r="R2121" s="2">
        <v>2.0</v>
      </c>
      <c r="S2121" s="3" t="s">
        <v>8688</v>
      </c>
      <c r="T2121" s="2" t="s">
        <v>8689</v>
      </c>
      <c r="Y2121" s="4" t="str">
        <f>IFERROR(__xludf.DUMMYFUNCTION("""COMPUTED_VALUE"""),"7.3687151")</f>
        <v>7.3687151</v>
      </c>
      <c r="Z2121" s="4" t="str">
        <f>IFERROR(__xludf.DUMMYFUNCTION("""COMPUTED_VALUE"""),"3.6632374")</f>
        <v>3.6632374</v>
      </c>
      <c r="AA2121" s="4" t="str">
        <f t="shared" si="1"/>
        <v>Not Neighbor</v>
      </c>
      <c r="AC2121" s="4">
        <f>IFERROR(__xludf.DUMMYFUNCTION("IFERROR(ABS(O2121-AVERAGE(FILTER(O2121:O6189,AA2121:AA6189=""Neighbor""))) / STDEV(FILTER(O2121:O6189, AA2121:AA6189 =""Neighbor"")), """")"),1.1287981050219975)</f>
        <v>1.128798105</v>
      </c>
      <c r="AD2121" s="4">
        <f>IFERROR(__xludf.DUMMYFUNCTION("IFERROR(ABS(P2121-AVERAGE(FILTER(O2121:P6189,AA2121:AA6189=""Neighbor""))) / STDEV(FILTER(P2121:P6189, AA2121:AA6189 =""Neighbor"")), """")"),1.2082212231746416)</f>
        <v>1.208221223</v>
      </c>
      <c r="AE2121" s="2">
        <f>IFERROR(__xludf.DUMMYFUNCTION("IFERROR(ABS(Q2121-AVERAGE(FILTER(Q2121:Q6189,AA2121:AA6189=""Neighbor""))) / STDEV(FILTER(Q2121:Q6189, AA2121:AA6189 =""Neighbor"")), """")"),0.6349131883958038)</f>
        <v>0.6349131884</v>
      </c>
      <c r="AF2121" s="2">
        <f>IFERROR(__xludf.DUMMYFUNCTION("IFERROR(ABS(R2121-AVERAGE(FILTER(R2121:R6189,AA2121:AA6189=""Neighbor""))) / STDEV(FILTER(R2121:R6189, AA2121:AA6189 =""Neighbor"")), """")"),2.0076889871476786)</f>
        <v>2.007688987</v>
      </c>
    </row>
    <row r="2122">
      <c r="A2122" s="2" t="s">
        <v>28</v>
      </c>
      <c r="B2122" s="2" t="s">
        <v>8509</v>
      </c>
      <c r="C2122" s="2" t="s">
        <v>8677</v>
      </c>
      <c r="D2122" s="2" t="s">
        <v>8690</v>
      </c>
      <c r="E2122" s="2" t="s">
        <v>8691</v>
      </c>
      <c r="F2122" s="2">
        <v>82.0</v>
      </c>
      <c r="G2122" s="2">
        <v>561.0</v>
      </c>
      <c r="H2122" s="2" t="b">
        <v>1</v>
      </c>
      <c r="I2122" s="2">
        <v>-1.0</v>
      </c>
      <c r="J2122" s="2" t="b">
        <v>0</v>
      </c>
      <c r="K2122" s="2" t="b">
        <v>0</v>
      </c>
      <c r="L2122" s="2" t="b">
        <v>0</v>
      </c>
      <c r="M2122" s="2" t="b">
        <v>0</v>
      </c>
      <c r="N2122" s="2" t="s">
        <v>33</v>
      </c>
      <c r="O2122" s="2">
        <v>38.0</v>
      </c>
      <c r="P2122" s="2">
        <v>0.0</v>
      </c>
      <c r="Q2122" s="2">
        <v>24.0</v>
      </c>
      <c r="R2122" s="2">
        <v>0.0</v>
      </c>
      <c r="S2122" s="3" t="s">
        <v>8692</v>
      </c>
      <c r="T2122" s="2" t="s">
        <v>8693</v>
      </c>
      <c r="Y2122" s="4" t="str">
        <f>IFERROR(__xludf.DUMMYFUNCTION("""COMPUTED_VALUE"""),"7.3751961")</f>
        <v>7.3751961</v>
      </c>
      <c r="Z2122" s="4" t="str">
        <f>IFERROR(__xludf.DUMMYFUNCTION("""COMPUTED_VALUE"""),"3.6094948")</f>
        <v>3.6094948</v>
      </c>
      <c r="AA2122" s="4" t="str">
        <f t="shared" si="1"/>
        <v>Not Neighbor</v>
      </c>
      <c r="AC2122" s="4">
        <f>IFERROR(__xludf.DUMMYFUNCTION("IFERROR(ABS(O2122-AVERAGE(FILTER(O2122:O6190,AA2122:AA6190=""Neighbor""))) / STDEV(FILTER(O2122:O6190, AA2122:AA6190 =""Neighbor"")), """")"),0.4227315506913742)</f>
        <v>0.4227315507</v>
      </c>
      <c r="AD2122" s="4">
        <f>IFERROR(__xludf.DUMMYFUNCTION("IFERROR(ABS(P2122-AVERAGE(FILTER(O2122:P6190,AA2122:AA6190=""Neighbor""))) / STDEV(FILTER(P2122:P6190, AA2122:AA6190 =""Neighbor"")), """")"),1.561250341687391)</f>
        <v>1.561250342</v>
      </c>
      <c r="AE2122" s="2">
        <f>IFERROR(__xludf.DUMMYFUNCTION("IFERROR(ABS(Q2122-AVERAGE(FILTER(Q2122:Q6190,AA2122:AA6190=""Neighbor""))) / STDEV(FILTER(Q2122:Q6190, AA2122:AA6190 =""Neighbor"")), """")"),0.16571357228265796)</f>
        <v>0.1657135723</v>
      </c>
      <c r="AF2122" s="2">
        <f>IFERROR(__xludf.DUMMYFUNCTION("IFERROR(ABS(R2122-AVERAGE(FILTER(R2122:R6190,AA2122:AA6190=""Neighbor""))) / STDEV(FILTER(R2122:R6190, AA2122:AA6190 =""Neighbor"")), """")"),0.3451403891585256)</f>
        <v>0.3451403892</v>
      </c>
    </row>
    <row r="2123">
      <c r="A2123" s="2" t="s">
        <v>28</v>
      </c>
      <c r="B2123" s="2" t="s">
        <v>8509</v>
      </c>
      <c r="C2123" s="2" t="s">
        <v>8677</v>
      </c>
      <c r="D2123" s="2" t="s">
        <v>8694</v>
      </c>
      <c r="E2123" s="2" t="s">
        <v>8695</v>
      </c>
      <c r="F2123" s="2">
        <v>64.0</v>
      </c>
      <c r="G2123" s="2">
        <v>573.0</v>
      </c>
      <c r="H2123" s="2" t="b">
        <v>1</v>
      </c>
      <c r="I2123" s="2">
        <v>-1.0</v>
      </c>
      <c r="J2123" s="2" t="b">
        <v>0</v>
      </c>
      <c r="K2123" s="2" t="b">
        <v>0</v>
      </c>
      <c r="L2123" s="2" t="b">
        <v>0</v>
      </c>
      <c r="M2123" s="2" t="b">
        <v>0</v>
      </c>
      <c r="N2123" s="2" t="s">
        <v>33</v>
      </c>
      <c r="O2123" s="2">
        <v>40.0</v>
      </c>
      <c r="P2123" s="2">
        <v>4.0</v>
      </c>
      <c r="Q2123" s="2">
        <v>10.0</v>
      </c>
      <c r="R2123" s="2">
        <v>0.0</v>
      </c>
      <c r="S2123" s="3" t="s">
        <v>8696</v>
      </c>
      <c r="T2123" s="2" t="s">
        <v>8697</v>
      </c>
      <c r="Y2123" s="4" t="str">
        <f>IFERROR(__xludf.DUMMYFUNCTION("""COMPUTED_VALUE"""),"7.3678006")</f>
        <v>7.3678006</v>
      </c>
      <c r="Z2123" s="4" t="str">
        <f>IFERROR(__xludf.DUMMYFUNCTION("""COMPUTED_VALUE"""),"3.6635914")</f>
        <v>3.6635914</v>
      </c>
      <c r="AA2123" s="4" t="str">
        <f t="shared" si="1"/>
        <v>Neighbor</v>
      </c>
      <c r="AC2123" s="4">
        <f>IFERROR(__xludf.DUMMYFUNCTION("IFERROR(ABS(O2123-AVERAGE(FILTER(O2123:O6191,AA2123:AA6191=""Neighbor""))) / STDEV(FILTER(O2123:O6191, AA2123:AA6191 =""Neighbor"")), """")"),0.3692305280805683)</f>
        <v>0.3692305281</v>
      </c>
      <c r="AD2123" s="4">
        <f>IFERROR(__xludf.DUMMYFUNCTION("IFERROR(ABS(P2123-AVERAGE(FILTER(O2123:P6191,AA2123:AA6191=""Neighbor""))) / STDEV(FILTER(P2123:P6191, AA2123:AA6191 =""Neighbor"")), """")"),1.3847357824310165)</f>
        <v>1.384735782</v>
      </c>
      <c r="AE2123" s="2">
        <f>IFERROR(__xludf.DUMMYFUNCTION("IFERROR(ABS(Q2123-AVERAGE(FILTER(Q2123:Q6191,AA2123:AA6191=""Neighbor""))) / STDEV(FILTER(Q2123:Q6191, AA2123:AA6191 =""Neighbor"")), """")"),0.4911658902757462)</f>
        <v>0.4911658903</v>
      </c>
      <c r="AF2123" s="2">
        <f>IFERROR(__xludf.DUMMYFUNCTION("IFERROR(ABS(R2123-AVERAGE(FILTER(R2123:R6191,AA2123:AA6191=""Neighbor""))) / STDEV(FILTER(R2123:R6191, AA2123:AA6191 =""Neighbor"")), """")"),0.3451403891585256)</f>
        <v>0.3451403892</v>
      </c>
    </row>
    <row r="2124">
      <c r="A2124" s="2" t="s">
        <v>28</v>
      </c>
      <c r="B2124" s="2" t="s">
        <v>8509</v>
      </c>
      <c r="C2124" s="2" t="s">
        <v>8677</v>
      </c>
      <c r="D2124" s="2" t="s">
        <v>8698</v>
      </c>
      <c r="E2124" s="2" t="s">
        <v>8699</v>
      </c>
      <c r="F2124" s="2">
        <v>97.0</v>
      </c>
      <c r="G2124" s="2">
        <v>523.0</v>
      </c>
      <c r="H2124" s="2" t="b">
        <v>1</v>
      </c>
      <c r="I2124" s="2">
        <v>-1.0</v>
      </c>
      <c r="J2124" s="2" t="b">
        <v>0</v>
      </c>
      <c r="K2124" s="2" t="b">
        <v>0</v>
      </c>
      <c r="L2124" s="2" t="b">
        <v>0</v>
      </c>
      <c r="M2124" s="2" t="b">
        <v>0</v>
      </c>
      <c r="N2124" s="2" t="s">
        <v>33</v>
      </c>
      <c r="O2124" s="2">
        <v>62.0</v>
      </c>
      <c r="P2124" s="2">
        <v>9.0</v>
      </c>
      <c r="Q2124" s="2">
        <v>12.0</v>
      </c>
      <c r="R2124" s="2">
        <v>0.0</v>
      </c>
      <c r="S2124" s="3" t="s">
        <v>8700</v>
      </c>
      <c r="T2124" s="2" t="s">
        <v>8701</v>
      </c>
      <c r="Y2124" s="4" t="str">
        <f>IFERROR(__xludf.DUMMYFUNCTION("""COMPUTED_VALUE"""),"7.3678006")</f>
        <v>7.3678006</v>
      </c>
      <c r="Z2124" s="4" t="str">
        <f>IFERROR(__xludf.DUMMYFUNCTION("""COMPUTED_VALUE"""),"3.6635914")</f>
        <v>3.6635914</v>
      </c>
      <c r="AA2124" s="4" t="str">
        <f t="shared" si="1"/>
        <v>Not Neighbor</v>
      </c>
      <c r="AC2124" s="4">
        <f>IFERROR(__xludf.DUMMYFUNCTION("IFERROR(ABS(O2124-AVERAGE(FILTER(O2124:O6192,AA2124:AA6192=""Neighbor""))) / STDEV(FILTER(O2124:O6192, AA2124:AA6192 =""Neighbor"")), """")"),0.21870103667071825)</f>
        <v>0.2187010367</v>
      </c>
      <c r="AD2124" s="4">
        <f>IFERROR(__xludf.DUMMYFUNCTION("IFERROR(ABS(P2124-AVERAGE(FILTER(O2124:P6192,AA2124:AA6192=""Neighbor""))) / STDEV(FILTER(P2124:P6192, AA2124:AA6192 =""Neighbor"")), """")"),1.164340566646554)</f>
        <v>1.164340567</v>
      </c>
      <c r="AE2124" s="2">
        <f>IFERROR(__xludf.DUMMYFUNCTION("IFERROR(ABS(Q2124-AVERAGE(FILTER(Q2124:Q6192,AA2124:AA6192=""Neighbor""))) / STDEV(FILTER(Q2124:Q6192, AA2124:AA6192 =""Neighbor"")), """")"),0.39775118560246236)</f>
        <v>0.3977511856</v>
      </c>
      <c r="AF2124" s="2">
        <f>IFERROR(__xludf.DUMMYFUNCTION("IFERROR(ABS(R2124-AVERAGE(FILTER(R2124:R6192,AA2124:AA6192=""Neighbor""))) / STDEV(FILTER(R2124:R6192, AA2124:AA6192 =""Neighbor"")), """")"),0.3453815118875318)</f>
        <v>0.3453815119</v>
      </c>
    </row>
    <row r="2125">
      <c r="A2125" s="2" t="s">
        <v>28</v>
      </c>
      <c r="B2125" s="2" t="s">
        <v>8509</v>
      </c>
      <c r="C2125" s="2" t="s">
        <v>8677</v>
      </c>
      <c r="D2125" s="2" t="s">
        <v>8702</v>
      </c>
      <c r="E2125" s="2" t="s">
        <v>8703</v>
      </c>
      <c r="F2125" s="2">
        <v>78.0</v>
      </c>
      <c r="G2125" s="2">
        <v>419.0</v>
      </c>
      <c r="H2125" s="2" t="b">
        <v>1</v>
      </c>
      <c r="I2125" s="2">
        <v>-1.0</v>
      </c>
      <c r="J2125" s="2" t="b">
        <v>0</v>
      </c>
      <c r="K2125" s="2" t="b">
        <v>0</v>
      </c>
      <c r="L2125" s="2" t="b">
        <v>0</v>
      </c>
      <c r="M2125" s="2" t="b">
        <v>0</v>
      </c>
      <c r="N2125" s="2" t="s">
        <v>33</v>
      </c>
      <c r="O2125" s="2">
        <v>43.0</v>
      </c>
      <c r="P2125" s="2">
        <v>0.0</v>
      </c>
      <c r="Q2125" s="2">
        <v>23.0</v>
      </c>
      <c r="R2125" s="2">
        <v>2.0</v>
      </c>
      <c r="S2125" s="3" t="s">
        <v>8704</v>
      </c>
      <c r="T2125" s="2" t="s">
        <v>8705</v>
      </c>
      <c r="Y2125" s="4" t="str">
        <f>IFERROR(__xludf.DUMMYFUNCTION("""COMPUTED_VALUE"""),"7.346529")</f>
        <v>7.346529</v>
      </c>
      <c r="Z2125" s="4" t="str">
        <f>IFERROR(__xludf.DUMMYFUNCTION("""COMPUTED_VALUE"""),"3.6683449")</f>
        <v>3.6683449</v>
      </c>
      <c r="AA2125" s="4" t="str">
        <f t="shared" si="1"/>
        <v>Not Neighbor</v>
      </c>
      <c r="AC2125" s="4">
        <f>IFERROR(__xludf.DUMMYFUNCTION("IFERROR(ABS(O2125-AVERAGE(FILTER(O2125:O6193,AA2125:AA6193=""Neighbor""))) / STDEV(FILTER(O2125:O6193, AA2125:AA6193 =""Neighbor"")), """")"),0.28928425632972754)</f>
        <v>0.2892842563</v>
      </c>
      <c r="AD2125" s="4">
        <f>IFERROR(__xludf.DUMMYFUNCTION("IFERROR(ABS(P2125-AVERAGE(FILTER(O2125:P6193,AA2125:AA6193=""Neighbor""))) / STDEV(FILTER(P2125:P6193, AA2125:AA6193 =""Neighbor"")), """")"),1.5613312414514595)</f>
        <v>1.561331241</v>
      </c>
      <c r="AE2125" s="2">
        <f>IFERROR(__xludf.DUMMYFUNCTION("IFERROR(ABS(Q2125-AVERAGE(FILTER(Q2125:Q6193,AA2125:AA6193=""Neighbor""))) / STDEV(FILTER(Q2125:Q6193, AA2125:AA6193 =""Neighbor"")), """")"),0.11812360191436433)</f>
        <v>0.1181236019</v>
      </c>
      <c r="AF2125" s="2">
        <f>IFERROR(__xludf.DUMMYFUNCTION("IFERROR(ABS(R2125-AVERAGE(FILTER(R2125:R6193,AA2125:AA6193=""Neighbor""))) / STDEV(FILTER(R2125:R6193, AA2125:AA6193 =""Neighbor"")), """")"),2.0061521860701315)</f>
        <v>2.006152186</v>
      </c>
    </row>
    <row r="2126">
      <c r="A2126" s="2" t="s">
        <v>28</v>
      </c>
      <c r="B2126" s="2" t="s">
        <v>8509</v>
      </c>
      <c r="C2126" s="2" t="s">
        <v>8677</v>
      </c>
      <c r="D2126" s="2" t="s">
        <v>8706</v>
      </c>
      <c r="E2126" s="2" t="s">
        <v>8707</v>
      </c>
      <c r="F2126" s="2">
        <v>140.0</v>
      </c>
      <c r="G2126" s="2">
        <v>770.0</v>
      </c>
      <c r="H2126" s="2" t="b">
        <v>1</v>
      </c>
      <c r="I2126" s="2">
        <v>-1.0</v>
      </c>
      <c r="J2126" s="2" t="b">
        <v>0</v>
      </c>
      <c r="K2126" s="2" t="b">
        <v>0</v>
      </c>
      <c r="L2126" s="2" t="b">
        <v>0</v>
      </c>
      <c r="M2126" s="2" t="b">
        <v>0</v>
      </c>
      <c r="N2126" s="2" t="s">
        <v>33</v>
      </c>
      <c r="O2126" s="2">
        <v>78.0</v>
      </c>
      <c r="P2126" s="2">
        <v>2.0</v>
      </c>
      <c r="Q2126" s="2">
        <v>55.0</v>
      </c>
      <c r="R2126" s="2">
        <v>0.0</v>
      </c>
      <c r="S2126" s="3" t="s">
        <v>8708</v>
      </c>
      <c r="T2126" s="2" t="s">
        <v>8709</v>
      </c>
      <c r="Y2126" s="4" t="str">
        <f>IFERROR(__xludf.DUMMYFUNCTION("""COMPUTED_VALUE"""),"7.4108667")</f>
        <v>7.4108667</v>
      </c>
      <c r="Z2126" s="4" t="str">
        <f>IFERROR(__xludf.DUMMYFUNCTION("""COMPUTED_VALUE"""),"3.5920268")</f>
        <v>3.5920268</v>
      </c>
      <c r="AA2126" s="4" t="str">
        <f t="shared" si="1"/>
        <v>Not Neighbor</v>
      </c>
      <c r="AC2126" s="4">
        <f>IFERROR(__xludf.DUMMYFUNCTION("IFERROR(ABS(O2126-AVERAGE(FILTER(O2126:O6194,AA2126:AA6194=""Neighbor""))) / STDEV(FILTER(O2126:O6194, AA2126:AA6194 =""Neighbor"")), """")"),0.6464781255131989)</f>
        <v>0.6464781255</v>
      </c>
      <c r="AD2126" s="4">
        <f>IFERROR(__xludf.DUMMYFUNCTION("IFERROR(ABS(P2126-AVERAGE(FILTER(O2126:P6194,AA2126:AA6194=""Neighbor""))) / STDEV(FILTER(P2126:P6194, AA2126:AA6194 =""Neighbor"")), """")"),1.4731110914948138)</f>
        <v>1.473111091</v>
      </c>
      <c r="AE2126" s="2">
        <f>IFERROR(__xludf.DUMMYFUNCTION("IFERROR(ABS(Q2126-AVERAGE(FILTER(Q2126:Q6194,AA2126:AA6194=""Neighbor""))) / STDEV(FILTER(Q2126:Q6194, AA2126:AA6194 =""Neighbor"")), """")"),1.6188502565087692)</f>
        <v>1.618850257</v>
      </c>
      <c r="AF2126" s="2">
        <f>IFERROR(__xludf.DUMMYFUNCTION("IFERROR(ABS(R2126-AVERAGE(FILTER(R2126:R6194,AA2126:AA6194=""Neighbor""))) / STDEV(FILTER(R2126:R6194, AA2126:AA6194 =""Neighbor"")), """")"),0.3453815118875318)</f>
        <v>0.3453815119</v>
      </c>
    </row>
    <row r="2127">
      <c r="A2127" s="2" t="s">
        <v>28</v>
      </c>
      <c r="B2127" s="2" t="s">
        <v>8509</v>
      </c>
      <c r="C2127" s="2" t="s">
        <v>8677</v>
      </c>
      <c r="D2127" s="2" t="s">
        <v>8710</v>
      </c>
      <c r="E2127" s="2" t="s">
        <v>8711</v>
      </c>
      <c r="F2127" s="2">
        <v>169.0</v>
      </c>
      <c r="G2127" s="2">
        <v>727.0</v>
      </c>
      <c r="H2127" s="2" t="b">
        <v>1</v>
      </c>
      <c r="I2127" s="2">
        <v>-1.0</v>
      </c>
      <c r="J2127" s="2" t="b">
        <v>0</v>
      </c>
      <c r="K2127" s="2" t="b">
        <v>0</v>
      </c>
      <c r="L2127" s="2" t="b">
        <v>0</v>
      </c>
      <c r="M2127" s="2" t="b">
        <v>0</v>
      </c>
      <c r="N2127" s="2" t="s">
        <v>33</v>
      </c>
      <c r="O2127" s="2">
        <v>151.0</v>
      </c>
      <c r="P2127" s="2">
        <v>5.0</v>
      </c>
      <c r="Q2127" s="2">
        <v>9.0</v>
      </c>
      <c r="R2127" s="2">
        <v>0.0</v>
      </c>
      <c r="S2127" s="3" t="s">
        <v>8712</v>
      </c>
      <c r="T2127" s="2" t="s">
        <v>8713</v>
      </c>
      <c r="Y2127" s="4" t="str">
        <f>IFERROR(__xludf.DUMMYFUNCTION("""COMPUTED_VALUE"""),"7.4552759")</f>
        <v>7.4552759</v>
      </c>
      <c r="Z2127" s="4" t="str">
        <f>IFERROR(__xludf.DUMMYFUNCTION("""COMPUTED_VALUE"""),"3.5027143")</f>
        <v>3.5027143</v>
      </c>
      <c r="AA2127" s="4" t="str">
        <f t="shared" si="1"/>
        <v>Not Neighbor</v>
      </c>
      <c r="AC2127" s="4">
        <f>IFERROR(__xludf.DUMMYFUNCTION("IFERROR(ABS(O2127-AVERAGE(FILTER(O2127:O6195,AA2127:AA6195=""Neighbor""))) / STDEV(FILTER(O2127:O6195, AA2127:AA6195 =""Neighbor"")), """")"),2.5982110933570173)</f>
        <v>2.598211093</v>
      </c>
      <c r="AD2127" s="4">
        <f>IFERROR(__xludf.DUMMYFUNCTION("IFERROR(ABS(P2127-AVERAGE(FILTER(O2127:P6195,AA2127:AA6195=""Neighbor""))) / STDEV(FILTER(P2127:P6195, AA2127:AA6195 =""Neighbor"")), """")"),1.3407808665598453)</f>
        <v>1.340780867</v>
      </c>
      <c r="AE2127" s="2">
        <f>IFERROR(__xludf.DUMMYFUNCTION("IFERROR(ABS(Q2127-AVERAGE(FILTER(Q2127:Q6195,AA2127:AA6195=""Neighbor""))) / STDEV(FILTER(Q2127:Q6195, AA2127:AA6195 =""Neighbor"")), """")"),0.5384443094706879)</f>
        <v>0.5384443095</v>
      </c>
      <c r="AF2127" s="2">
        <f>IFERROR(__xludf.DUMMYFUNCTION("IFERROR(ABS(R2127-AVERAGE(FILTER(R2127:R6195,AA2127:AA6195=""Neighbor""))) / STDEV(FILTER(R2127:R6195, AA2127:AA6195 =""Neighbor"")), """")"),0.3453815118875318)</f>
        <v>0.3453815119</v>
      </c>
    </row>
    <row r="2128">
      <c r="A2128" s="2" t="s">
        <v>28</v>
      </c>
      <c r="B2128" s="2" t="s">
        <v>8509</v>
      </c>
      <c r="C2128" s="2" t="s">
        <v>8677</v>
      </c>
      <c r="D2128" s="2" t="s">
        <v>8714</v>
      </c>
      <c r="E2128" s="2" t="s">
        <v>8715</v>
      </c>
      <c r="F2128" s="2">
        <v>106.0</v>
      </c>
      <c r="G2128" s="2">
        <v>530.0</v>
      </c>
      <c r="H2128" s="2" t="b">
        <v>1</v>
      </c>
      <c r="I2128" s="2">
        <v>-1.0</v>
      </c>
      <c r="J2128" s="2" t="b">
        <v>1</v>
      </c>
      <c r="K2128" s="2" t="b">
        <v>0</v>
      </c>
      <c r="L2128" s="2" t="b">
        <v>0</v>
      </c>
      <c r="M2128" s="2" t="b">
        <v>0</v>
      </c>
      <c r="N2128" s="2" t="s">
        <v>33</v>
      </c>
      <c r="O2128" s="2">
        <v>91.0</v>
      </c>
      <c r="P2128" s="2">
        <v>0.0</v>
      </c>
      <c r="Q2128" s="2">
        <v>7.0</v>
      </c>
      <c r="R2128" s="2">
        <v>0.0</v>
      </c>
      <c r="S2128" s="3" t="s">
        <v>8716</v>
      </c>
      <c r="T2128" s="2" t="s">
        <v>8717</v>
      </c>
      <c r="Y2128" s="4" t="str">
        <f>IFERROR(__xludf.DUMMYFUNCTION("""COMPUTED_VALUE"""),"7.4235355")</f>
        <v>7.4235355</v>
      </c>
      <c r="Z2128" s="4" t="str">
        <f>IFERROR(__xludf.DUMMYFUNCTION("""COMPUTED_VALUE"""),"3.526252")</f>
        <v>3.526252</v>
      </c>
      <c r="AA2128" s="4" t="str">
        <f t="shared" si="1"/>
        <v>Not Neighbor</v>
      </c>
      <c r="AC2128" s="4">
        <f>IFERROR(__xludf.DUMMYFUNCTION("IFERROR(ABS(O2128-AVERAGE(FILTER(O2128:O6196,AA2128:AA6196=""Neighbor""))) / STDEV(FILTER(O2128:O6196, AA2128:AA6196 =""Neighbor"")), """")"),0.9940470101977145)</f>
        <v>0.9940470102</v>
      </c>
      <c r="AD2128" s="4">
        <f>IFERROR(__xludf.DUMMYFUNCTION("IFERROR(ABS(P2128-AVERAGE(FILTER(O2128:P6196,AA2128:AA6196=""Neighbor""))) / STDEV(FILTER(P2128:P6196, AA2128:AA6196 =""Neighbor"")), """")"),1.5613312414514595)</f>
        <v>1.561331241</v>
      </c>
      <c r="AE2128" s="2">
        <f>IFERROR(__xludf.DUMMYFUNCTION("IFERROR(ABS(Q2128-AVERAGE(FILTER(Q2128:Q6196,AA2128:AA6196=""Neighbor""))) / STDEV(FILTER(Q2128:Q6196, AA2128:AA6196 =""Neighbor"")), """")"),0.6322397253828381)</f>
        <v>0.6322397254</v>
      </c>
      <c r="AF2128" s="2">
        <f>IFERROR(__xludf.DUMMYFUNCTION("IFERROR(ABS(R2128-AVERAGE(FILTER(R2128:R6196,AA2128:AA6196=""Neighbor""))) / STDEV(FILTER(R2128:R6196, AA2128:AA6196 =""Neighbor"")), """")"),0.3453815118875318)</f>
        <v>0.3453815119</v>
      </c>
    </row>
    <row r="2129">
      <c r="A2129" s="2" t="s">
        <v>28</v>
      </c>
      <c r="B2129" s="2" t="s">
        <v>8509</v>
      </c>
      <c r="C2129" s="2" t="s">
        <v>8677</v>
      </c>
      <c r="D2129" s="2" t="s">
        <v>8718</v>
      </c>
      <c r="E2129" s="2" t="s">
        <v>8719</v>
      </c>
      <c r="F2129" s="2">
        <v>96.0</v>
      </c>
      <c r="G2129" s="2">
        <v>546.0</v>
      </c>
      <c r="H2129" s="2" t="b">
        <v>1</v>
      </c>
      <c r="I2129" s="2">
        <v>-1.0</v>
      </c>
      <c r="J2129" s="2" t="b">
        <v>0</v>
      </c>
      <c r="K2129" s="2" t="b">
        <v>0</v>
      </c>
      <c r="L2129" s="2" t="b">
        <v>0</v>
      </c>
      <c r="M2129" s="2" t="b">
        <v>0</v>
      </c>
      <c r="N2129" s="2" t="s">
        <v>33</v>
      </c>
      <c r="O2129" s="2">
        <v>43.0</v>
      </c>
      <c r="P2129" s="2">
        <v>8.0</v>
      </c>
      <c r="Q2129" s="2">
        <v>23.0</v>
      </c>
      <c r="R2129" s="2">
        <v>0.0</v>
      </c>
      <c r="S2129" s="3" t="s">
        <v>8720</v>
      </c>
      <c r="T2129" s="2" t="s">
        <v>8721</v>
      </c>
      <c r="Y2129" s="4" t="str">
        <f>IFERROR(__xludf.DUMMYFUNCTION("""COMPUTED_VALUE"""),"7.3832061")</f>
        <v>7.3832061</v>
      </c>
      <c r="Z2129" s="4" t="str">
        <f>IFERROR(__xludf.DUMMYFUNCTION("""COMPUTED_VALUE"""),"3.6740955")</f>
        <v>3.6740955</v>
      </c>
      <c r="AA2129" s="4" t="str">
        <f t="shared" si="1"/>
        <v>Not Neighbor</v>
      </c>
      <c r="AC2129" s="4">
        <f>IFERROR(__xludf.DUMMYFUNCTION("IFERROR(ABS(O2129-AVERAGE(FILTER(O2129:O6197,AA2129:AA6197=""Neighbor""))) / STDEV(FILTER(O2129:O6197, AA2129:AA6197 =""Neighbor"")), """")"),0.28928425632972754)</f>
        <v>0.2892842563</v>
      </c>
      <c r="AD2129" s="4">
        <f>IFERROR(__xludf.DUMMYFUNCTION("IFERROR(ABS(P2129-AVERAGE(FILTER(O2129:P6197,AA2129:AA6197=""Neighbor""))) / STDEV(FILTER(P2129:P6197, AA2129:AA6197 =""Neighbor"")), """")"),1.2084506416248768)</f>
        <v>1.208450642</v>
      </c>
      <c r="AE2129" s="2">
        <f>IFERROR(__xludf.DUMMYFUNCTION("IFERROR(ABS(Q2129-AVERAGE(FILTER(Q2129:Q6197,AA2129:AA6197=""Neighbor""))) / STDEV(FILTER(Q2129:Q6197, AA2129:AA6197 =""Neighbor"")), """")"),0.11812360191436433)</f>
        <v>0.1181236019</v>
      </c>
      <c r="AF2129" s="2">
        <f>IFERROR(__xludf.DUMMYFUNCTION("IFERROR(ABS(R2129-AVERAGE(FILTER(R2129:R6197,AA2129:AA6197=""Neighbor""))) / STDEV(FILTER(R2129:R6197, AA2129:AA6197 =""Neighbor"")), """")"),0.3453815118875318)</f>
        <v>0.3453815119</v>
      </c>
    </row>
    <row r="2130">
      <c r="A2130" s="2" t="s">
        <v>28</v>
      </c>
      <c r="B2130" s="2" t="s">
        <v>8509</v>
      </c>
      <c r="C2130" s="2" t="s">
        <v>8677</v>
      </c>
      <c r="D2130" s="2" t="s">
        <v>8722</v>
      </c>
      <c r="E2130" s="2" t="s">
        <v>8723</v>
      </c>
      <c r="F2130" s="2">
        <v>126.0</v>
      </c>
      <c r="G2130" s="2">
        <v>432.0</v>
      </c>
      <c r="H2130" s="2" t="b">
        <v>1</v>
      </c>
      <c r="I2130" s="2">
        <v>-1.0</v>
      </c>
      <c r="J2130" s="2" t="b">
        <v>0</v>
      </c>
      <c r="K2130" s="2" t="b">
        <v>0</v>
      </c>
      <c r="L2130" s="2" t="b">
        <v>0</v>
      </c>
      <c r="M2130" s="2" t="b">
        <v>0</v>
      </c>
      <c r="N2130" s="2" t="s">
        <v>33</v>
      </c>
      <c r="O2130" s="2">
        <v>71.0</v>
      </c>
      <c r="P2130" s="2">
        <v>1.0</v>
      </c>
      <c r="Q2130" s="2">
        <v>39.0</v>
      </c>
      <c r="R2130" s="2">
        <v>0.0</v>
      </c>
      <c r="S2130" s="3" t="s">
        <v>8724</v>
      </c>
      <c r="T2130" s="2" t="s">
        <v>8725</v>
      </c>
      <c r="Y2130" s="4" t="str">
        <f>IFERROR(__xludf.DUMMYFUNCTION("""COMPUTED_VALUE"""),"7.4116429")</f>
        <v>7.4116429</v>
      </c>
      <c r="Z2130" s="4" t="str">
        <f>IFERROR(__xludf.DUMMYFUNCTION("""COMPUTED_VALUE"""),"3.5898909")</f>
        <v>3.5898909</v>
      </c>
      <c r="AA2130" s="4" t="str">
        <f t="shared" si="1"/>
        <v>Not Neighbor</v>
      </c>
      <c r="AC2130" s="4">
        <f>IFERROR(__xludf.DUMMYFUNCTION("IFERROR(ABS(O2130-AVERAGE(FILTER(O2130:O6198,AA2130:AA6198=""Neighbor""))) / STDEV(FILTER(O2130:O6198, AA2130:AA6198 =""Neighbor"")), """")"),0.4593256491446136)</f>
        <v>0.4593256491</v>
      </c>
      <c r="AD2130" s="4">
        <f>IFERROR(__xludf.DUMMYFUNCTION("IFERROR(ABS(P2130-AVERAGE(FILTER(O2130:P6198,AA2130:AA6198=""Neighbor""))) / STDEV(FILTER(P2130:P6198, AA2130:AA6198 =""Neighbor"")), """")"),1.5172211664731365)</f>
        <v>1.517221166</v>
      </c>
      <c r="AE2130" s="2">
        <f>IFERROR(__xludf.DUMMYFUNCTION("IFERROR(ABS(Q2130-AVERAGE(FILTER(Q2130:Q6198,AA2130:AA6198=""Neighbor""))) / STDEV(FILTER(Q2130:Q6198, AA2130:AA6198 =""Neighbor"")), """")"),0.8684869292115668)</f>
        <v>0.8684869292</v>
      </c>
      <c r="AF2130" s="2">
        <f>IFERROR(__xludf.DUMMYFUNCTION("IFERROR(ABS(R2130-AVERAGE(FILTER(R2130:R6198,AA2130:AA6198=""Neighbor""))) / STDEV(FILTER(R2130:R6198, AA2130:AA6198 =""Neighbor"")), """")"),0.3453815118875318)</f>
        <v>0.3453815119</v>
      </c>
    </row>
    <row r="2131">
      <c r="A2131" s="2" t="s">
        <v>28</v>
      </c>
      <c r="B2131" s="2" t="s">
        <v>8509</v>
      </c>
      <c r="C2131" s="2" t="s">
        <v>8677</v>
      </c>
      <c r="D2131" s="2" t="s">
        <v>8726</v>
      </c>
      <c r="E2131" s="2" t="s">
        <v>8727</v>
      </c>
      <c r="F2131" s="2">
        <v>59.0</v>
      </c>
      <c r="G2131" s="2">
        <v>284.0</v>
      </c>
      <c r="H2131" s="2" t="b">
        <v>1</v>
      </c>
      <c r="I2131" s="2">
        <v>-1.0</v>
      </c>
      <c r="J2131" s="2" t="b">
        <v>0</v>
      </c>
      <c r="K2131" s="2" t="b">
        <v>0</v>
      </c>
      <c r="L2131" s="2" t="b">
        <v>0</v>
      </c>
      <c r="M2131" s="2" t="b">
        <v>0</v>
      </c>
      <c r="N2131" s="2" t="s">
        <v>33</v>
      </c>
      <c r="O2131" s="2">
        <v>51.0</v>
      </c>
      <c r="P2131" s="2">
        <v>1.0</v>
      </c>
      <c r="Q2131" s="2">
        <v>1.0</v>
      </c>
      <c r="R2131" s="2">
        <v>0.0</v>
      </c>
      <c r="S2131" s="3" t="s">
        <v>8728</v>
      </c>
      <c r="T2131" s="2" t="s">
        <v>8729</v>
      </c>
      <c r="Y2131" s="4" t="str">
        <f>IFERROR(__xludf.DUMMYFUNCTION("""COMPUTED_VALUE"""),"28.09761")</f>
        <v>28.09761</v>
      </c>
      <c r="Z2131" s="4" t="str">
        <f>IFERROR(__xludf.DUMMYFUNCTION("""COMPUTED_VALUE"""),"113.224668")</f>
        <v>113.224668</v>
      </c>
      <c r="AA2131" s="4" t="str">
        <f t="shared" si="1"/>
        <v>Not Neighbor</v>
      </c>
      <c r="AC2131" s="4">
        <f>IFERROR(__xludf.DUMMYFUNCTION("IFERROR(ABS(O2131-AVERAGE(FILTER(O2131:O6199,AA2131:AA6199=""Neighbor""))) / STDEV(FILTER(O2131:O6199, AA2131:AA6199 =""Neighbor"")), """")"),0.07539571190848722)</f>
        <v>0.07539571191</v>
      </c>
      <c r="AD2131" s="4">
        <f>IFERROR(__xludf.DUMMYFUNCTION("IFERROR(ABS(P2131-AVERAGE(FILTER(O2131:P6199,AA2131:AA6199=""Neighbor""))) / STDEV(FILTER(P2131:P6199, AA2131:AA6199 =""Neighbor"")), """")"),1.5172211664731365)</f>
        <v>1.517221166</v>
      </c>
      <c r="AE2131" s="2">
        <f>IFERROR(__xludf.DUMMYFUNCTION("IFERROR(ABS(Q2131-AVERAGE(FILTER(Q2131:Q6199,AA2131:AA6199=""Neighbor""))) / STDEV(FILTER(Q2131:Q6199, AA2131:AA6199 =""Neighbor"")), """")"),0.9136259731192891)</f>
        <v>0.9136259731</v>
      </c>
      <c r="AF2131" s="2">
        <f>IFERROR(__xludf.DUMMYFUNCTION("IFERROR(ABS(R2131-AVERAGE(FILTER(R2131:R6199,AA2131:AA6199=""Neighbor""))) / STDEV(FILTER(R2131:R6199, AA2131:AA6199 =""Neighbor"")), """")"),0.3453815118875318)</f>
        <v>0.3453815119</v>
      </c>
    </row>
    <row r="2132">
      <c r="A2132" s="2" t="s">
        <v>28</v>
      </c>
      <c r="B2132" s="2" t="s">
        <v>8509</v>
      </c>
      <c r="C2132" s="2" t="s">
        <v>8677</v>
      </c>
      <c r="D2132" s="2" t="s">
        <v>8730</v>
      </c>
      <c r="E2132" s="2" t="s">
        <v>8731</v>
      </c>
      <c r="F2132" s="2">
        <v>97.0</v>
      </c>
      <c r="G2132" s="2">
        <v>300.0</v>
      </c>
      <c r="H2132" s="2" t="b">
        <v>1</v>
      </c>
      <c r="I2132" s="2">
        <v>-1.0</v>
      </c>
      <c r="J2132" s="2" t="b">
        <v>0</v>
      </c>
      <c r="K2132" s="2" t="b">
        <v>1</v>
      </c>
      <c r="L2132" s="2" t="b">
        <v>0</v>
      </c>
      <c r="M2132" s="2" t="b">
        <v>0</v>
      </c>
      <c r="N2132" s="2" t="s">
        <v>33</v>
      </c>
      <c r="O2132" s="2">
        <v>91.0</v>
      </c>
      <c r="P2132" s="2">
        <v>1.0</v>
      </c>
      <c r="Q2132" s="2">
        <v>4.0</v>
      </c>
      <c r="R2132" s="2">
        <v>0.0</v>
      </c>
      <c r="S2132" s="3" t="s">
        <v>8732</v>
      </c>
      <c r="T2132" s="2" t="s">
        <v>8733</v>
      </c>
      <c r="Y2132" s="4" t="str">
        <f>IFERROR(__xludf.DUMMYFUNCTION("""COMPUTED_VALUE"""),"7.4115329")</f>
        <v>7.4115329</v>
      </c>
      <c r="Z2132" s="4" t="str">
        <f>IFERROR(__xludf.DUMMYFUNCTION("""COMPUTED_VALUE"""),"3.6140237")</f>
        <v>3.6140237</v>
      </c>
      <c r="AA2132" s="4" t="str">
        <f t="shared" si="1"/>
        <v>Not Neighbor</v>
      </c>
      <c r="AC2132" s="4">
        <f>IFERROR(__xludf.DUMMYFUNCTION("IFERROR(ABS(O2132-AVERAGE(FILTER(O2132:O6200,AA2132:AA6200=""Neighbor""))) / STDEV(FILTER(O2132:O6200, AA2132:AA6200 =""Neighbor"")), """")"),0.9940470101977145)</f>
        <v>0.9940470102</v>
      </c>
      <c r="AD2132" s="4">
        <f>IFERROR(__xludf.DUMMYFUNCTION("IFERROR(ABS(P2132-AVERAGE(FILTER(O2132:P6200,AA2132:AA6200=""Neighbor""))) / STDEV(FILTER(P2132:P6200, AA2132:AA6200 =""Neighbor"")), """")"),1.5172211664731365)</f>
        <v>1.517221166</v>
      </c>
      <c r="AE2132" s="2">
        <f>IFERROR(__xludf.DUMMYFUNCTION("IFERROR(ABS(Q2132-AVERAGE(FILTER(Q2132:Q6200,AA2132:AA6200=""Neighbor""))) / STDEV(FILTER(Q2132:Q6200, AA2132:AA6200 =""Neighbor"")), """")"),0.7729328492510636)</f>
        <v>0.7729328493</v>
      </c>
      <c r="AF2132" s="2">
        <f>IFERROR(__xludf.DUMMYFUNCTION("IFERROR(ABS(R2132-AVERAGE(FILTER(R2132:R6200,AA2132:AA6200=""Neighbor""))) / STDEV(FILTER(R2132:R6200, AA2132:AA6200 =""Neighbor"")), """")"),0.3453815118875318)</f>
        <v>0.3453815119</v>
      </c>
    </row>
    <row r="2133">
      <c r="A2133" s="2" t="s">
        <v>28</v>
      </c>
      <c r="B2133" s="2" t="s">
        <v>8509</v>
      </c>
      <c r="C2133" s="2" t="s">
        <v>8677</v>
      </c>
      <c r="D2133" s="2" t="s">
        <v>8734</v>
      </c>
      <c r="E2133" s="2" t="s">
        <v>8735</v>
      </c>
      <c r="F2133" s="2">
        <v>98.0</v>
      </c>
      <c r="G2133" s="2">
        <v>689.0</v>
      </c>
      <c r="H2133" s="2" t="b">
        <v>1</v>
      </c>
      <c r="I2133" s="2">
        <v>-1.0</v>
      </c>
      <c r="J2133" s="2" t="b">
        <v>0</v>
      </c>
      <c r="K2133" s="2" t="b">
        <v>1</v>
      </c>
      <c r="L2133" s="2" t="b">
        <v>0</v>
      </c>
      <c r="M2133" s="2" t="b">
        <v>0</v>
      </c>
      <c r="N2133" s="2" t="s">
        <v>33</v>
      </c>
      <c r="O2133" s="2">
        <v>56.0</v>
      </c>
      <c r="P2133" s="2">
        <v>1.0</v>
      </c>
      <c r="Q2133" s="2">
        <v>33.0</v>
      </c>
      <c r="R2133" s="2">
        <v>0.0</v>
      </c>
      <c r="S2133" s="3" t="s">
        <v>8736</v>
      </c>
      <c r="T2133" s="2" t="s">
        <v>8737</v>
      </c>
      <c r="Y2133" s="4" t="str">
        <f>IFERROR(__xludf.DUMMYFUNCTION("""COMPUTED_VALUE"""),"7.1763348")</f>
        <v>7.1763348</v>
      </c>
      <c r="Z2133" s="4" t="str">
        <f>IFERROR(__xludf.DUMMYFUNCTION("""COMPUTED_VALUE"""),"3.3451886")</f>
        <v>3.3451886</v>
      </c>
      <c r="AA2133" s="4" t="str">
        <f t="shared" si="1"/>
        <v>Not Neighbor</v>
      </c>
      <c r="AC2133" s="4">
        <f>IFERROR(__xludf.DUMMYFUNCTION("IFERROR(ABS(O2133-AVERAGE(FILTER(O2133:O6201,AA2133:AA6201=""Neighbor""))) / STDEV(FILTER(O2133:O6201, AA2133:AA6201 =""Neighbor"")), """")"),0.05828462835478798)</f>
        <v>0.05828462835</v>
      </c>
      <c r="AD2133" s="4">
        <f>IFERROR(__xludf.DUMMYFUNCTION("IFERROR(ABS(P2133-AVERAGE(FILTER(O2133:P6201,AA2133:AA6201=""Neighbor""))) / STDEV(FILTER(P2133:P6201, AA2133:AA6201 =""Neighbor"")), """")"),1.5172211664731365)</f>
        <v>1.517221166</v>
      </c>
      <c r="AE2133" s="2">
        <f>IFERROR(__xludf.DUMMYFUNCTION("IFERROR(ABS(Q2133-AVERAGE(FILTER(Q2133:Q6201,AA2133:AA6201=""Neighbor""))) / STDEV(FILTER(Q2133:Q6201, AA2133:AA6201 =""Neighbor"")), """")"),0.5871006814751158)</f>
        <v>0.5871006815</v>
      </c>
      <c r="AF2133" s="2">
        <f>IFERROR(__xludf.DUMMYFUNCTION("IFERROR(ABS(R2133-AVERAGE(FILTER(R2133:R6201,AA2133:AA6201=""Neighbor""))) / STDEV(FILTER(R2133:R6201, AA2133:AA6201 =""Neighbor"")), """")"),0.3453815118875318)</f>
        <v>0.3453815119</v>
      </c>
    </row>
    <row r="2134">
      <c r="A2134" s="2" t="s">
        <v>28</v>
      </c>
      <c r="B2134" s="2" t="s">
        <v>8509</v>
      </c>
      <c r="C2134" s="2" t="s">
        <v>8738</v>
      </c>
      <c r="D2134" s="2" t="s">
        <v>8739</v>
      </c>
      <c r="E2134" s="2" t="s">
        <v>8740</v>
      </c>
      <c r="F2134" s="2">
        <v>257.0</v>
      </c>
      <c r="G2134" s="2">
        <v>2008.0</v>
      </c>
      <c r="H2134" s="2" t="b">
        <v>1</v>
      </c>
      <c r="I2134" s="2">
        <v>-1.0</v>
      </c>
      <c r="J2134" s="2" t="b">
        <v>1</v>
      </c>
      <c r="K2134" s="2" t="b">
        <v>0</v>
      </c>
      <c r="L2134" s="2" t="b">
        <v>0</v>
      </c>
      <c r="M2134" s="2" t="b">
        <v>0</v>
      </c>
      <c r="N2134" s="2" t="s">
        <v>33</v>
      </c>
      <c r="O2134" s="2">
        <v>138.0</v>
      </c>
      <c r="P2134" s="2">
        <v>71.0</v>
      </c>
      <c r="Q2134" s="2">
        <v>34.0</v>
      </c>
      <c r="R2134" s="2">
        <v>0.0</v>
      </c>
      <c r="S2134" s="3" t="s">
        <v>8741</v>
      </c>
      <c r="T2134" s="2" t="s">
        <v>8742</v>
      </c>
      <c r="Y2134" s="4" t="str">
        <f>IFERROR(__xludf.DUMMYFUNCTION("""COMPUTED_VALUE"""),"7.1935251")</f>
        <v>7.1935251</v>
      </c>
      <c r="Z2134" s="4" t="str">
        <f>IFERROR(__xludf.DUMMYFUNCTION("""COMPUTED_VALUE"""),"3.448594")</f>
        <v>3.448594</v>
      </c>
      <c r="AA2134" s="4" t="str">
        <f t="shared" si="1"/>
        <v>Neighbor</v>
      </c>
      <c r="AC2134" s="4">
        <f>IFERROR(__xludf.DUMMYFUNCTION("IFERROR(ABS(O2134-AVERAGE(FILTER(O2134:O6202,AA2134:AA6202=""Neighbor""))) / STDEV(FILTER(O2134:O6202, AA2134:AA6202 =""Neighbor"")), """")"),2.2506422086725015)</f>
        <v>2.250642209</v>
      </c>
      <c r="AD2134" s="4">
        <f>IFERROR(__xludf.DUMMYFUNCTION("IFERROR(ABS(P2134-AVERAGE(FILTER(O2134:P6202,AA2134:AA6202=""Neighbor""))) / STDEV(FILTER(P2134:P6202, AA2134:AA6202 =""Neighbor"")), """")"),1.5704840820094612)</f>
        <v>1.570484082</v>
      </c>
      <c r="AE2134" s="2">
        <f>IFERROR(__xludf.DUMMYFUNCTION("IFERROR(ABS(Q2134-AVERAGE(FILTER(Q2134:Q6202,AA2134:AA6202=""Neighbor""))) / STDEV(FILTER(Q2134:Q6202, AA2134:AA6202 =""Neighbor"")), """")"),0.633998389431191)</f>
        <v>0.6339983894</v>
      </c>
      <c r="AF2134" s="2">
        <f>IFERROR(__xludf.DUMMYFUNCTION("IFERROR(ABS(R2134-AVERAGE(FILTER(R2134:R6202,AA2134:AA6202=""Neighbor""))) / STDEV(FILTER(R2134:R6202, AA2134:AA6202 =""Neighbor"")), """")"),0.3453815118875318)</f>
        <v>0.3453815119</v>
      </c>
    </row>
    <row r="2135">
      <c r="A2135" s="2" t="s">
        <v>28</v>
      </c>
      <c r="B2135" s="2" t="s">
        <v>8509</v>
      </c>
      <c r="C2135" s="2" t="s">
        <v>8738</v>
      </c>
      <c r="D2135" s="2" t="s">
        <v>8743</v>
      </c>
      <c r="E2135" s="2" t="s">
        <v>8744</v>
      </c>
      <c r="F2135" s="2">
        <v>245.0</v>
      </c>
      <c r="G2135" s="2">
        <v>1935.0</v>
      </c>
      <c r="H2135" s="2" t="b">
        <v>1</v>
      </c>
      <c r="I2135" s="2">
        <v>-1.0</v>
      </c>
      <c r="J2135" s="2" t="b">
        <v>0</v>
      </c>
      <c r="K2135" s="2" t="b">
        <v>0</v>
      </c>
      <c r="L2135" s="2" t="b">
        <v>0</v>
      </c>
      <c r="M2135" s="2" t="b">
        <v>0</v>
      </c>
      <c r="N2135" s="2" t="s">
        <v>33</v>
      </c>
      <c r="O2135" s="2">
        <v>142.0</v>
      </c>
      <c r="P2135" s="2">
        <v>52.0</v>
      </c>
      <c r="Q2135" s="2">
        <v>26.0</v>
      </c>
      <c r="R2135" s="2">
        <v>1.0</v>
      </c>
      <c r="S2135" s="3" t="s">
        <v>8745</v>
      </c>
      <c r="T2135" s="2" t="s">
        <v>8746</v>
      </c>
      <c r="Y2135" s="4" t="str">
        <f>IFERROR(__xludf.DUMMYFUNCTION("""COMPUTED_VALUE"""),"7.1935251")</f>
        <v>7.1935251</v>
      </c>
      <c r="Z2135" s="4" t="str">
        <f>IFERROR(__xludf.DUMMYFUNCTION("""COMPUTED_VALUE"""),"3.448594")</f>
        <v>3.448594</v>
      </c>
      <c r="AA2135" s="4" t="str">
        <f t="shared" si="1"/>
        <v>Not Neighbor</v>
      </c>
      <c r="AC2135" s="4">
        <f>IFERROR(__xludf.DUMMYFUNCTION("IFERROR(ABS(O2135-AVERAGE(FILTER(O2135:O6203,AA2135:AA6203=""Neighbor""))) / STDEV(FILTER(O2135:O6203, AA2135:AA6203 =""Neighbor"")), """")"),2.3664483305443156)</f>
        <v>2.366448331</v>
      </c>
      <c r="AD2135" s="4">
        <f>IFERROR(__xludf.DUMMYFUNCTION("IFERROR(ABS(P2135-AVERAGE(FILTER(O2135:P6203,AA2135:AA6203=""Neighbor""))) / STDEV(FILTER(P2135:P6203, AA2135:AA6203 =""Neighbor"")), """")"),0.7383790333987235)</f>
        <v>0.7383790334</v>
      </c>
      <c r="AE2135" s="2">
        <f>IFERROR(__xludf.DUMMYFUNCTION("IFERROR(ABS(Q2135-AVERAGE(FILTER(Q2135:Q6203,AA2135:AA6203=""Neighbor""))) / STDEV(FILTER(Q2135:Q6203, AA2135:AA6203 =""Neighbor"")), """")"),0.2595130720265892)</f>
        <v>0.259513072</v>
      </c>
      <c r="AF2135" s="2">
        <f>IFERROR(__xludf.DUMMYFUNCTION("IFERROR(ABS(R2135-AVERAGE(FILTER(R2135:R6203,AA2135:AA6203=""Neighbor""))) / STDEV(FILTER(R2135:R6203, AA2135:AA6203 =""Neighbor"")), """")"),0.8294955378353479)</f>
        <v>0.8294955378</v>
      </c>
    </row>
    <row r="2136">
      <c r="A2136" s="2" t="s">
        <v>28</v>
      </c>
      <c r="B2136" s="2" t="s">
        <v>8509</v>
      </c>
      <c r="C2136" s="2" t="s">
        <v>8738</v>
      </c>
      <c r="D2136" s="2" t="s">
        <v>8747</v>
      </c>
      <c r="E2136" s="2" t="s">
        <v>8748</v>
      </c>
      <c r="F2136" s="2">
        <v>279.0</v>
      </c>
      <c r="G2136" s="2">
        <v>2202.0</v>
      </c>
      <c r="H2136" s="2" t="b">
        <v>1</v>
      </c>
      <c r="I2136" s="2">
        <v>-1.0</v>
      </c>
      <c r="J2136" s="2" t="b">
        <v>1</v>
      </c>
      <c r="K2136" s="2" t="b">
        <v>0</v>
      </c>
      <c r="L2136" s="2" t="b">
        <v>0</v>
      </c>
      <c r="M2136" s="2" t="b">
        <v>0</v>
      </c>
      <c r="N2136" s="2" t="s">
        <v>33</v>
      </c>
      <c r="O2136" s="2">
        <v>131.0</v>
      </c>
      <c r="P2136" s="2">
        <v>101.0</v>
      </c>
      <c r="Q2136" s="2">
        <v>20.0</v>
      </c>
      <c r="R2136" s="2">
        <v>0.0</v>
      </c>
      <c r="S2136" s="3" t="s">
        <v>8749</v>
      </c>
      <c r="T2136" s="2" t="s">
        <v>8750</v>
      </c>
      <c r="Y2136" s="4" t="str">
        <f>IFERROR(__xludf.DUMMYFUNCTION("""COMPUTED_VALUE"""),"7.1937475")</f>
        <v>7.1937475</v>
      </c>
      <c r="Z2136" s="4" t="str">
        <f>IFERROR(__xludf.DUMMYFUNCTION("""COMPUTED_VALUE"""),"3.4379444")</f>
        <v>3.4379444</v>
      </c>
      <c r="AA2136" s="4" t="str">
        <f t="shared" si="1"/>
        <v>Neighbor</v>
      </c>
      <c r="AC2136" s="4">
        <f>IFERROR(__xludf.DUMMYFUNCTION("IFERROR(ABS(O2136-AVERAGE(FILTER(O2136:O6204,AA2136:AA6204=""Neighbor""))) / STDEV(FILTER(O2136:O6204, AA2136:AA6204 =""Neighbor"")), """")"),2.071598396079416)</f>
        <v>2.071598396</v>
      </c>
      <c r="AD2136" s="4">
        <f>IFERROR(__xludf.DUMMYFUNCTION("IFERROR(ABS(P2136-AVERAGE(FILTER(O2136:P6204,AA2136:AA6204=""Neighbor""))) / STDEV(FILTER(P2136:P6204, AA2136:AA6204 =""Neighbor"")), """")"),2.9061475862533914)</f>
        <v>2.906147586</v>
      </c>
      <c r="AE2136" s="2">
        <f>IFERROR(__xludf.DUMMYFUNCTION("IFERROR(ABS(Q2136-AVERAGE(FILTER(Q2136:Q6204,AA2136:AA6204=""Neighbor""))) / STDEV(FILTER(Q2136:Q6204, AA2136:AA6204 =""Neighbor"")), """")"),0.02176788372639941)</f>
        <v>0.02176788373</v>
      </c>
      <c r="AF2136" s="2">
        <f>IFERROR(__xludf.DUMMYFUNCTION("IFERROR(ABS(R2136-AVERAGE(FILTER(R2136:R6204,AA2136:AA6204=""Neighbor""))) / STDEV(FILTER(R2136:R6204, AA2136:AA6204 =""Neighbor"")), """")"),0.34562314076472833)</f>
        <v>0.3456231408</v>
      </c>
    </row>
    <row r="2137">
      <c r="A2137" s="2" t="s">
        <v>28</v>
      </c>
      <c r="B2137" s="2" t="s">
        <v>8509</v>
      </c>
      <c r="C2137" s="2" t="s">
        <v>8738</v>
      </c>
      <c r="D2137" s="2" t="s">
        <v>8751</v>
      </c>
      <c r="E2137" s="2" t="s">
        <v>8752</v>
      </c>
      <c r="F2137" s="2">
        <v>225.0</v>
      </c>
      <c r="G2137" s="2">
        <v>1209.0</v>
      </c>
      <c r="H2137" s="2" t="b">
        <v>1</v>
      </c>
      <c r="I2137" s="2">
        <v>-1.0</v>
      </c>
      <c r="J2137" s="2" t="b">
        <v>0</v>
      </c>
      <c r="K2137" s="2" t="b">
        <v>0</v>
      </c>
      <c r="L2137" s="2" t="b">
        <v>0</v>
      </c>
      <c r="M2137" s="2" t="b">
        <v>0</v>
      </c>
      <c r="N2137" s="2" t="s">
        <v>33</v>
      </c>
      <c r="O2137" s="2">
        <v>115.0</v>
      </c>
      <c r="P2137" s="2">
        <v>54.0</v>
      </c>
      <c r="Q2137" s="2">
        <v>29.0</v>
      </c>
      <c r="R2137" s="2">
        <v>4.0</v>
      </c>
      <c r="S2137" s="3" t="s">
        <v>8753</v>
      </c>
      <c r="T2137" s="2" t="s">
        <v>8754</v>
      </c>
      <c r="Y2137" s="4" t="str">
        <f>IFERROR(__xludf.DUMMYFUNCTION("""COMPUTED_VALUE"""),"7.1866745")</f>
        <v>7.1866745</v>
      </c>
      <c r="Z2137" s="4" t="str">
        <f>IFERROR(__xludf.DUMMYFUNCTION("""COMPUTED_VALUE"""),"3.4347939")</f>
        <v>3.4347939</v>
      </c>
      <c r="AA2137" s="4" t="str">
        <f t="shared" si="1"/>
        <v>Not Neighbor</v>
      </c>
      <c r="AC2137" s="4">
        <f>IFERROR(__xludf.DUMMYFUNCTION("IFERROR(ABS(O2137-AVERAGE(FILTER(O2137:O6205,AA2137:AA6205=""Neighbor""))) / STDEV(FILTER(O2137:O6205, AA2137:AA6205 =""Neighbor"")), """")"),1.648735393921823)</f>
        <v>1.648735394</v>
      </c>
      <c r="AD2137" s="4">
        <f>IFERROR(__xludf.DUMMYFUNCTION("IFERROR(ABS(P2137-AVERAGE(FILTER(O2137:P6205,AA2137:AA6205=""Neighbor""))) / STDEV(FILTER(P2137:P6205, AA2137:AA6205 =""Neighbor"")), """")"),0.83812126227744)</f>
        <v>0.8381212623</v>
      </c>
      <c r="AE2137" s="2">
        <f>IFERROR(__xludf.DUMMYFUNCTION("IFERROR(ABS(Q2137-AVERAGE(FILTER(Q2137:Q6205,AA2137:AA6205=""Neighbor""))) / STDEV(FILTER(Q2137:Q6205, AA2137:AA6205 =""Neighbor"")), """")"),0.39987560644699255)</f>
        <v>0.3998756064</v>
      </c>
      <c r="AF2137" s="2">
        <f>IFERROR(__xludf.DUMMYFUNCTION("IFERROR(ABS(R2137-AVERAGE(FILTER(R2137:R6205,AA2137:AA6205=""Neighbor""))) / STDEV(FILTER(R2137:R6205, AA2137:AA6205 =""Neighbor"")), """")"),4.352015428747438)</f>
        <v>4.352015429</v>
      </c>
    </row>
    <row r="2138">
      <c r="A2138" s="2" t="s">
        <v>28</v>
      </c>
      <c r="B2138" s="2" t="s">
        <v>8509</v>
      </c>
      <c r="C2138" s="2" t="s">
        <v>8738</v>
      </c>
      <c r="D2138" s="2" t="s">
        <v>8755</v>
      </c>
      <c r="E2138" s="2" t="s">
        <v>8756</v>
      </c>
      <c r="F2138" s="2">
        <v>129.0</v>
      </c>
      <c r="G2138" s="2">
        <v>801.0</v>
      </c>
      <c r="H2138" s="2" t="b">
        <v>1</v>
      </c>
      <c r="I2138" s="2">
        <v>-1.0</v>
      </c>
      <c r="J2138" s="2" t="b">
        <v>0</v>
      </c>
      <c r="K2138" s="2" t="b">
        <v>0</v>
      </c>
      <c r="L2138" s="2" t="b">
        <v>0</v>
      </c>
      <c r="M2138" s="2" t="b">
        <v>0</v>
      </c>
      <c r="N2138" s="2" t="s">
        <v>33</v>
      </c>
      <c r="O2138" s="2">
        <v>70.0</v>
      </c>
      <c r="P2138" s="2">
        <v>11.0</v>
      </c>
      <c r="Q2138" s="2">
        <v>27.0</v>
      </c>
      <c r="R2138" s="2">
        <v>0.0</v>
      </c>
      <c r="S2138" s="3" t="s">
        <v>8757</v>
      </c>
      <c r="T2138" s="2" t="s">
        <v>8758</v>
      </c>
      <c r="Y2138" s="4" t="str">
        <f>IFERROR(__xludf.DUMMYFUNCTION("""COMPUTED_VALUE"""),"7.1813062")</f>
        <v>7.1813062</v>
      </c>
      <c r="Z2138" s="4" t="str">
        <f>IFERROR(__xludf.DUMMYFUNCTION("""COMPUTED_VALUE"""),"3.4463638")</f>
        <v>3.4463638</v>
      </c>
      <c r="AA2138" s="4" t="str">
        <f t="shared" si="1"/>
        <v>Neighbor</v>
      </c>
      <c r="AC2138" s="4">
        <f>IFERROR(__xludf.DUMMYFUNCTION("IFERROR(ABS(O2138-AVERAGE(FILTER(O2138:O6206,AA2138:AA6206=""Neighbor""))) / STDEV(FILTER(O2138:O6206, AA2138:AA6206 =""Neighbor"")), """")"),0.4400285365277748)</f>
        <v>0.4400285365</v>
      </c>
      <c r="AD2138" s="4">
        <f>IFERROR(__xludf.DUMMYFUNCTION("IFERROR(ABS(P2138-AVERAGE(FILTER(O2138:P6206,AA2138:AA6206=""Neighbor""))) / STDEV(FILTER(P2138:P6206, AA2138:AA6206 =""Neighbor"")), """")"),1.0797402957758475)</f>
        <v>1.079740296</v>
      </c>
      <c r="AE2138" s="2">
        <f>IFERROR(__xludf.DUMMYFUNCTION("IFERROR(ABS(Q2138-AVERAGE(FILTER(Q2138:Q6206,AA2138:AA6206=""Neighbor""))) / STDEV(FILTER(Q2138:Q6206, AA2138:AA6206 =""Neighbor"")), """")"),0.30617402549127387)</f>
        <v>0.3061740255</v>
      </c>
      <c r="AF2138" s="2">
        <f>IFERROR(__xludf.DUMMYFUNCTION("IFERROR(ABS(R2138-AVERAGE(FILTER(R2138:R6206,AA2138:AA6206=""Neighbor""))) / STDEV(FILTER(R2138:R6206, AA2138:AA6206 =""Neighbor"")), """")"),0.345865277563628)</f>
        <v>0.3458652776</v>
      </c>
    </row>
    <row r="2139">
      <c r="A2139" s="2" t="s">
        <v>28</v>
      </c>
      <c r="B2139" s="2" t="s">
        <v>8509</v>
      </c>
      <c r="C2139" s="2" t="s">
        <v>8738</v>
      </c>
      <c r="D2139" s="2" t="s">
        <v>8759</v>
      </c>
      <c r="E2139" s="2" t="s">
        <v>8760</v>
      </c>
      <c r="F2139" s="2">
        <v>79.0</v>
      </c>
      <c r="G2139" s="2">
        <v>597.0</v>
      </c>
      <c r="H2139" s="2" t="b">
        <v>1</v>
      </c>
      <c r="I2139" s="2">
        <v>-1.0</v>
      </c>
      <c r="J2139" s="2" t="b">
        <v>1</v>
      </c>
      <c r="K2139" s="2" t="b">
        <v>0</v>
      </c>
      <c r="L2139" s="2" t="b">
        <v>0</v>
      </c>
      <c r="M2139" s="2" t="b">
        <v>0</v>
      </c>
      <c r="N2139" s="2" t="s">
        <v>33</v>
      </c>
      <c r="O2139" s="2">
        <v>36.0</v>
      </c>
      <c r="P2139" s="2">
        <v>2.0</v>
      </c>
      <c r="Q2139" s="2">
        <v>37.0</v>
      </c>
      <c r="R2139" s="2">
        <v>0.0</v>
      </c>
      <c r="S2139" s="3" t="s">
        <v>8761</v>
      </c>
      <c r="T2139" s="2" t="s">
        <v>8762</v>
      </c>
      <c r="Y2139" s="4" t="str">
        <f>IFERROR(__xludf.DUMMYFUNCTION("""COMPUTED_VALUE"""),"7.1813062")</f>
        <v>7.1813062</v>
      </c>
      <c r="Z2139" s="4" t="str">
        <f>IFERROR(__xludf.DUMMYFUNCTION("""COMPUTED_VALUE"""),"3.4463638")</f>
        <v>3.4463638</v>
      </c>
      <c r="AA2139" s="4" t="str">
        <f t="shared" si="1"/>
        <v>Not Neighbor</v>
      </c>
      <c r="AC2139" s="4">
        <f>IFERROR(__xludf.DUMMYFUNCTION("IFERROR(ABS(O2139-AVERAGE(FILTER(O2139:O6207,AA2139:AA6207=""Neighbor""))) / STDEV(FILTER(O2139:O6207, AA2139:AA6207 =""Neighbor"")), """")"),0.47242537974090704)</f>
        <v>0.4724253797</v>
      </c>
      <c r="AD2139" s="4">
        <f>IFERROR(__xludf.DUMMYFUNCTION("IFERROR(ABS(P2139-AVERAGE(FILTER(O2139:P6207,AA2139:AA6207=""Neighbor""))) / STDEV(FILTER(P2139:P6207, AA2139:AA6207 =""Neighbor"")), """")"),1.4799899578506233)</f>
        <v>1.479989958</v>
      </c>
      <c r="AE2139" s="2">
        <f>IFERROR(__xludf.DUMMYFUNCTION("IFERROR(ABS(Q2139-AVERAGE(FILTER(Q2139:Q6207,AA2139:AA6207=""Neighbor""))) / STDEV(FILTER(Q2139:Q6207, AA2139:AA6207 =""Neighbor"")), """")"),0.7746253099944801)</f>
        <v>0.77462531</v>
      </c>
      <c r="AF2139" s="2">
        <f>IFERROR(__xludf.DUMMYFUNCTION("IFERROR(ABS(R2139-AVERAGE(FILTER(R2139:R6207,AA2139:AA6207=""Neighbor""))) / STDEV(FILTER(R2139:R6207, AA2139:AA6207 =""Neighbor"")), """")"),0.34610792406645696)</f>
        <v>0.3461079241</v>
      </c>
    </row>
    <row r="2140">
      <c r="A2140" s="2" t="s">
        <v>28</v>
      </c>
      <c r="B2140" s="2" t="s">
        <v>8509</v>
      </c>
      <c r="C2140" s="2" t="s">
        <v>8738</v>
      </c>
      <c r="D2140" s="2" t="s">
        <v>8763</v>
      </c>
      <c r="E2140" s="2" t="s">
        <v>8764</v>
      </c>
      <c r="F2140" s="2">
        <v>97.0</v>
      </c>
      <c r="G2140" s="2">
        <v>1056.0</v>
      </c>
      <c r="H2140" s="2" t="b">
        <v>1</v>
      </c>
      <c r="I2140" s="2">
        <v>-1.0</v>
      </c>
      <c r="J2140" s="2" t="b">
        <v>0</v>
      </c>
      <c r="K2140" s="2" t="b">
        <v>0</v>
      </c>
      <c r="L2140" s="2" t="b">
        <v>0</v>
      </c>
      <c r="M2140" s="2" t="b">
        <v>0</v>
      </c>
      <c r="N2140" s="2" t="s">
        <v>33</v>
      </c>
      <c r="O2140" s="2">
        <v>58.0</v>
      </c>
      <c r="P2140" s="2">
        <v>16.0</v>
      </c>
      <c r="Q2140" s="2">
        <v>15.0</v>
      </c>
      <c r="R2140" s="2">
        <v>0.0</v>
      </c>
      <c r="S2140" s="3" t="s">
        <v>8765</v>
      </c>
      <c r="T2140" s="2" t="s">
        <v>8766</v>
      </c>
      <c r="Y2140" s="4" t="str">
        <f>IFERROR(__xludf.DUMMYFUNCTION("""COMPUTED_VALUE"""),"7.2159484")</f>
        <v>7.2159484</v>
      </c>
      <c r="Z2140" s="4" t="str">
        <f>IFERROR(__xludf.DUMMYFUNCTION("""COMPUTED_VALUE"""),"3.4460483")</f>
        <v>3.4460483</v>
      </c>
      <c r="AA2140" s="4" t="str">
        <f t="shared" si="1"/>
        <v>Not Neighbor</v>
      </c>
      <c r="AC2140" s="4">
        <f>IFERROR(__xludf.DUMMYFUNCTION("IFERROR(ABS(O2140-AVERAGE(FILTER(O2140:O6208,AA2140:AA6208=""Neighbor""))) / STDEV(FILTER(O2140:O6208, AA2140:AA6208 =""Neighbor"")), """")"),0.11819897736262693)</f>
        <v>0.1181989774</v>
      </c>
      <c r="AD2140" s="4">
        <f>IFERROR(__xludf.DUMMYFUNCTION("IFERROR(ABS(P2140-AVERAGE(FILTER(O2140:P6208,AA2140:AA6208=""Neighbor""))) / STDEV(FILTER(P2140:P6208, AA2140:AA6208 =""Neighbor"")), """")"),0.8559355420960599)</f>
        <v>0.8559355421</v>
      </c>
      <c r="AE2140" s="2">
        <f>IFERROR(__xludf.DUMMYFUNCTION("IFERROR(ABS(Q2140-AVERAGE(FILTER(Q2140:Q6208,AA2140:AA6208=""Neighbor""))) / STDEV(FILTER(Q2140:Q6208, AA2140:AA6208 =""Neighbor"")), """")"),0.2555059137782323)</f>
        <v>0.2555059138</v>
      </c>
      <c r="AF2140" s="2">
        <f>IFERROR(__xludf.DUMMYFUNCTION("IFERROR(ABS(R2140-AVERAGE(FILTER(R2140:R6208,AA2140:AA6208=""Neighbor""))) / STDEV(FILTER(R2140:R6208, AA2140:AA6208 =""Neighbor"")), """")"),0.34610792406645696)</f>
        <v>0.3461079241</v>
      </c>
    </row>
    <row r="2141">
      <c r="A2141" s="2" t="s">
        <v>28</v>
      </c>
      <c r="B2141" s="2" t="s">
        <v>8509</v>
      </c>
      <c r="C2141" s="2" t="s">
        <v>8738</v>
      </c>
      <c r="D2141" s="2" t="s">
        <v>8767</v>
      </c>
      <c r="E2141" s="2" t="s">
        <v>8768</v>
      </c>
      <c r="F2141" s="2">
        <v>90.0</v>
      </c>
      <c r="G2141" s="2">
        <v>750.0</v>
      </c>
      <c r="H2141" s="2" t="b">
        <v>1</v>
      </c>
      <c r="I2141" s="2">
        <v>-1.0</v>
      </c>
      <c r="J2141" s="2" t="b">
        <v>0</v>
      </c>
      <c r="K2141" s="2" t="b">
        <v>0</v>
      </c>
      <c r="L2141" s="2" t="b">
        <v>0</v>
      </c>
      <c r="M2141" s="2" t="b">
        <v>0</v>
      </c>
      <c r="N2141" s="2" t="s">
        <v>33</v>
      </c>
      <c r="O2141" s="2">
        <v>31.0</v>
      </c>
      <c r="P2141" s="2">
        <v>19.0</v>
      </c>
      <c r="Q2141" s="2">
        <v>27.0</v>
      </c>
      <c r="R2141" s="2">
        <v>3.0</v>
      </c>
      <c r="S2141" s="3" t="s">
        <v>8769</v>
      </c>
      <c r="T2141" s="2" t="s">
        <v>8770</v>
      </c>
      <c r="Y2141" s="4" t="str">
        <f>IFERROR(__xludf.DUMMYFUNCTION("""COMPUTED_VALUE"""),"7.1982779")</f>
        <v>7.1982779</v>
      </c>
      <c r="Z2141" s="4" t="str">
        <f>IFERROR(__xludf.DUMMYFUNCTION("""COMPUTED_VALUE"""),"3.4700327")</f>
        <v>3.4700327</v>
      </c>
      <c r="AA2141" s="4" t="str">
        <f t="shared" si="1"/>
        <v>Not Neighbor</v>
      </c>
      <c r="AC2141" s="4">
        <f>IFERROR(__xludf.DUMMYFUNCTION("IFERROR(ABS(O2141-AVERAGE(FILTER(O2141:O6209,AA2141:AA6209=""Neighbor""))) / STDEV(FILTER(O2141:O6209, AA2141:AA6209 =""Neighbor"")), """")"),0.6066581881735283)</f>
        <v>0.6066581882</v>
      </c>
      <c r="AD2141" s="4">
        <f>IFERROR(__xludf.DUMMYFUNCTION("IFERROR(ABS(P2141-AVERAGE(FILTER(O2141:P6209,AA2141:AA6209=""Neighbor""))) / STDEV(FILTER(P2141:P6209, AA2141:AA6209 =""Neighbor"")), """")"),0.7222095958629392)</f>
        <v>0.7222095959</v>
      </c>
      <c r="AE2141" s="2">
        <f>IFERROR(__xludf.DUMMYFUNCTION("IFERROR(ABS(Q2141-AVERAGE(FILTER(Q2141:Q6209,AA2141:AA6209=""Neighbor""))) / STDEV(FILTER(Q2141:Q6209, AA2141:AA6209 =""Neighbor"")), """")"),0.3063838446432472)</f>
        <v>0.3063838446</v>
      </c>
      <c r="AF2141" s="2">
        <f>IFERROR(__xludf.DUMMYFUNCTION("IFERROR(ABS(R2141-AVERAGE(FILTER(R2141:R6209,AA2141:AA6209=""Neighbor""))) / STDEV(FILTER(R2141:R6209, AA2141:AA6209 =""Neighbor"")), """")"),3.1753561033501327)</f>
        <v>3.175356103</v>
      </c>
    </row>
    <row r="2142">
      <c r="A2142" s="2" t="s">
        <v>28</v>
      </c>
      <c r="B2142" s="2" t="s">
        <v>8509</v>
      </c>
      <c r="C2142" s="2" t="s">
        <v>8738</v>
      </c>
      <c r="D2142" s="2" t="s">
        <v>8771</v>
      </c>
      <c r="E2142" s="2" t="s">
        <v>8772</v>
      </c>
      <c r="F2142" s="2">
        <v>68.0</v>
      </c>
      <c r="G2142" s="2">
        <v>406.0</v>
      </c>
      <c r="H2142" s="2" t="b">
        <v>1</v>
      </c>
      <c r="I2142" s="2">
        <v>-1.0</v>
      </c>
      <c r="J2142" s="2" t="b">
        <v>0</v>
      </c>
      <c r="K2142" s="2" t="b">
        <v>0</v>
      </c>
      <c r="L2142" s="2" t="b">
        <v>0</v>
      </c>
      <c r="M2142" s="2" t="b">
        <v>0</v>
      </c>
      <c r="N2142" s="2" t="s">
        <v>33</v>
      </c>
      <c r="O2142" s="2">
        <v>34.0</v>
      </c>
      <c r="P2142" s="2">
        <v>1.0</v>
      </c>
      <c r="Q2142" s="2">
        <v>28.0</v>
      </c>
      <c r="R2142" s="2">
        <v>0.0</v>
      </c>
      <c r="S2142" s="3" t="s">
        <v>8773</v>
      </c>
      <c r="T2142" s="2" t="s">
        <v>8774</v>
      </c>
      <c r="Y2142" s="4" t="str">
        <f>IFERROR(__xludf.DUMMYFUNCTION("""COMPUTED_VALUE"""),"7.1813062")</f>
        <v>7.1813062</v>
      </c>
      <c r="Z2142" s="4" t="str">
        <f>IFERROR(__xludf.DUMMYFUNCTION("""COMPUTED_VALUE"""),"3.4463638")</f>
        <v>3.4463638</v>
      </c>
      <c r="AA2142" s="4" t="str">
        <f t="shared" si="1"/>
        <v>Not Neighbor</v>
      </c>
      <c r="AC2142" s="4">
        <f>IFERROR(__xludf.DUMMYFUNCTION("IFERROR(ABS(O2142-AVERAGE(FILTER(O2142:O6210,AA2142:AA6210=""Neighbor""))) / STDEV(FILTER(O2142:O6210, AA2142:AA6210 =""Neighbor"")), """")"),0.5261185031139556)</f>
        <v>0.5261185031</v>
      </c>
      <c r="AD2142" s="4">
        <f>IFERROR(__xludf.DUMMYFUNCTION("IFERROR(ABS(P2142-AVERAGE(FILTER(O2142:P6210,AA2142:AA6210=""Neighbor""))) / STDEV(FILTER(P2142:P6210, AA2142:AA6210 =""Neighbor"")), """")"),1.5245652732616635)</f>
        <v>1.524565273</v>
      </c>
      <c r="AE2142" s="2">
        <f>IFERROR(__xludf.DUMMYFUNCTION("IFERROR(ABS(Q2142-AVERAGE(FILTER(Q2142:Q6210,AA2142:AA6210=""Neighbor""))) / STDEV(FILTER(Q2142:Q6210, AA2142:AA6210 =""Neighbor"")), """")"),0.3532079911783705)</f>
        <v>0.3532079912</v>
      </c>
      <c r="AF2142" s="2">
        <f>IFERROR(__xludf.DUMMYFUNCTION("IFERROR(ABS(R2142-AVERAGE(FILTER(R2142:R6210,AA2142:AA6210=""Neighbor""))) / STDEV(FILTER(R2142:R6210, AA2142:AA6210 =""Neighbor"")), """")"),0.34610792406645696)</f>
        <v>0.3461079241</v>
      </c>
    </row>
    <row r="2143">
      <c r="A2143" s="2" t="s">
        <v>28</v>
      </c>
      <c r="B2143" s="2" t="s">
        <v>8509</v>
      </c>
      <c r="C2143" s="2" t="s">
        <v>8775</v>
      </c>
      <c r="D2143" s="2" t="s">
        <v>8776</v>
      </c>
      <c r="E2143" s="2" t="s">
        <v>8777</v>
      </c>
      <c r="F2143" s="2">
        <v>368.0</v>
      </c>
      <c r="G2143" s="2">
        <v>2135.0</v>
      </c>
      <c r="H2143" s="2" t="b">
        <v>1</v>
      </c>
      <c r="I2143" s="2">
        <v>-1.0</v>
      </c>
      <c r="J2143" s="2" t="b">
        <v>1</v>
      </c>
      <c r="K2143" s="2" t="b">
        <v>0</v>
      </c>
      <c r="L2143" s="2" t="b">
        <v>0</v>
      </c>
      <c r="M2143" s="2" t="b">
        <v>0</v>
      </c>
      <c r="N2143" s="2" t="s">
        <v>33</v>
      </c>
      <c r="O2143" s="2">
        <v>202.0</v>
      </c>
      <c r="P2143" s="2">
        <v>108.0</v>
      </c>
      <c r="Q2143" s="2">
        <v>35.0</v>
      </c>
      <c r="R2143" s="2">
        <v>3.0</v>
      </c>
      <c r="S2143" s="3" t="s">
        <v>8778</v>
      </c>
      <c r="T2143" s="2" t="s">
        <v>8779</v>
      </c>
      <c r="Y2143" s="4" t="str">
        <f>IFERROR(__xludf.DUMMYFUNCTION("""COMPUTED_VALUE"""),"7.2201082")</f>
        <v>7.2201082</v>
      </c>
      <c r="Z2143" s="4" t="str">
        <f>IFERROR(__xludf.DUMMYFUNCTION("""COMPUTED_VALUE"""),"3.4296446")</f>
        <v>3.4296446</v>
      </c>
      <c r="AA2143" s="4" t="str">
        <f t="shared" si="1"/>
        <v>Neighbor</v>
      </c>
      <c r="AC2143" s="4">
        <f>IFERROR(__xludf.DUMMYFUNCTION("IFERROR(ABS(O2143-AVERAGE(FILTER(O2143:O6211,AA2143:AA6211=""Neighbor""))) / STDEV(FILTER(O2143:O6211, AA2143:AA6211 =""Neighbor"")), """")"),3.984103860222122)</f>
        <v>3.98410386</v>
      </c>
      <c r="AD2143" s="4">
        <f>IFERROR(__xludf.DUMMYFUNCTION("IFERROR(ABS(P2143-AVERAGE(FILTER(O2143:P6211,AA2143:AA6211=""Neighbor""))) / STDEV(FILTER(P2143:P6211, AA2143:AA6211 =""Neighbor"")), """")"),3.244993475719642)</f>
        <v>3.244993476</v>
      </c>
      <c r="AE2143" s="2">
        <f>IFERROR(__xludf.DUMMYFUNCTION("IFERROR(ABS(Q2143-AVERAGE(FILTER(Q2143:Q6211,AA2143:AA6211=""Neighbor""))) / STDEV(FILTER(Q2143:Q6211, AA2143:AA6211 =""Neighbor"")), """")"),0.6809770169242335)</f>
        <v>0.6809770169</v>
      </c>
      <c r="AF2143" s="2">
        <f>IFERROR(__xludf.DUMMYFUNCTION("IFERROR(ABS(R2143-AVERAGE(FILTER(R2143:R6211,AA2143:AA6211=""Neighbor""))) / STDEV(FILTER(R2143:R6211, AA2143:AA6211 =""Neighbor"")), """")"),3.1753561033501327)</f>
        <v>3.175356103</v>
      </c>
    </row>
    <row r="2144">
      <c r="A2144" s="2" t="s">
        <v>28</v>
      </c>
      <c r="B2144" s="2" t="s">
        <v>8509</v>
      </c>
      <c r="C2144" s="2" t="s">
        <v>8775</v>
      </c>
      <c r="D2144" s="2" t="s">
        <v>8780</v>
      </c>
      <c r="E2144" s="2" t="s">
        <v>8781</v>
      </c>
      <c r="F2144" s="2">
        <v>362.0</v>
      </c>
      <c r="G2144" s="2">
        <v>1957.0</v>
      </c>
      <c r="H2144" s="2" t="b">
        <v>1</v>
      </c>
      <c r="I2144" s="2">
        <v>-1.0</v>
      </c>
      <c r="J2144" s="2" t="b">
        <v>0</v>
      </c>
      <c r="K2144" s="2" t="b">
        <v>0</v>
      </c>
      <c r="L2144" s="2" t="b">
        <v>0</v>
      </c>
      <c r="M2144" s="2" t="b">
        <v>0</v>
      </c>
      <c r="N2144" s="2" t="s">
        <v>33</v>
      </c>
      <c r="O2144" s="2">
        <v>218.0</v>
      </c>
      <c r="P2144" s="2">
        <v>86.0</v>
      </c>
      <c r="Q2144" s="2">
        <v>40.0</v>
      </c>
      <c r="R2144" s="2">
        <v>0.0</v>
      </c>
      <c r="S2144" s="3" t="s">
        <v>8782</v>
      </c>
      <c r="T2144" s="2" t="s">
        <v>8783</v>
      </c>
      <c r="Y2144" s="4" t="str">
        <f>IFERROR(__xludf.DUMMYFUNCTION("""COMPUTED_VALUE"""),"7.2201082")</f>
        <v>7.2201082</v>
      </c>
      <c r="Z2144" s="4" t="str">
        <f>IFERROR(__xludf.DUMMYFUNCTION("""COMPUTED_VALUE"""),"3.4296446")</f>
        <v>3.4296446</v>
      </c>
      <c r="AA2144" s="4" t="str">
        <f t="shared" si="1"/>
        <v>Neighbor</v>
      </c>
      <c r="AC2144" s="4">
        <f>IFERROR(__xludf.DUMMYFUNCTION("IFERROR(ABS(O2144-AVERAGE(FILTER(O2144:O6212,AA2144:AA6212=""Neighbor""))) / STDEV(FILTER(O2144:O6212, AA2144:AA6212 =""Neighbor"")), """")"),4.4606328638645145)</f>
        <v>4.460632864</v>
      </c>
      <c r="AD2144" s="4">
        <f>IFERROR(__xludf.DUMMYFUNCTION("IFERROR(ABS(P2144-AVERAGE(FILTER(O2144:P6212,AA2144:AA6212=""Neighbor""))) / STDEV(FILTER(P2144:P6212, AA2144:AA6212 =""Neighbor"")), """")"),2.2935791065629805)</f>
        <v>2.293579107</v>
      </c>
      <c r="AE2144" s="2">
        <f>IFERROR(__xludf.DUMMYFUNCTION("IFERROR(ABS(Q2144-AVERAGE(FILTER(Q2144:Q6212,AA2144:AA6212=""Neighbor""))) / STDEV(FILTER(Q2144:Q6212, AA2144:AA6212 =""Neighbor"")), """")"),0.9156448099447415)</f>
        <v>0.9156448099</v>
      </c>
      <c r="AF2144" s="2">
        <f>IFERROR(__xludf.DUMMYFUNCTION("IFERROR(ABS(R2144-AVERAGE(FILTER(R2144:R6212,AA2144:AA6212=""Neighbor""))) / STDEV(FILTER(R2144:R6212, AA2144:AA6212 =""Neighbor"")), """")"),0.3440928196434545)</f>
        <v>0.3440928196</v>
      </c>
    </row>
    <row r="2145">
      <c r="A2145" s="2" t="s">
        <v>28</v>
      </c>
      <c r="B2145" s="2" t="s">
        <v>8509</v>
      </c>
      <c r="C2145" s="2" t="s">
        <v>8775</v>
      </c>
      <c r="D2145" s="2" t="s">
        <v>8784</v>
      </c>
      <c r="E2145" s="2" t="s">
        <v>8785</v>
      </c>
      <c r="F2145" s="2">
        <v>210.0</v>
      </c>
      <c r="G2145" s="2">
        <v>1003.0</v>
      </c>
      <c r="H2145" s="2" t="b">
        <v>1</v>
      </c>
      <c r="I2145" s="2">
        <v>-1.0</v>
      </c>
      <c r="J2145" s="2" t="b">
        <v>0</v>
      </c>
      <c r="K2145" s="2" t="b">
        <v>0</v>
      </c>
      <c r="L2145" s="2" t="b">
        <v>0</v>
      </c>
      <c r="M2145" s="2" t="b">
        <v>0</v>
      </c>
      <c r="N2145" s="2" t="s">
        <v>33</v>
      </c>
      <c r="O2145" s="2">
        <v>123.0</v>
      </c>
      <c r="P2145" s="2">
        <v>34.0</v>
      </c>
      <c r="Q2145" s="2">
        <v>33.0</v>
      </c>
      <c r="R2145" s="2">
        <v>1.0</v>
      </c>
      <c r="S2145" s="3" t="s">
        <v>8786</v>
      </c>
      <c r="T2145" s="2" t="s">
        <v>8787</v>
      </c>
      <c r="Y2145" s="4" t="str">
        <f>IFERROR(__xludf.DUMMYFUNCTION("""COMPUTED_VALUE"""),"7.2201082")</f>
        <v>7.2201082</v>
      </c>
      <c r="Z2145" s="4" t="str">
        <f>IFERROR(__xludf.DUMMYFUNCTION("""COMPUTED_VALUE"""),"3.4296446")</f>
        <v>3.4296446</v>
      </c>
      <c r="AA2145" s="4" t="str">
        <f t="shared" si="1"/>
        <v>Neighbor</v>
      </c>
      <c r="AC2145" s="4">
        <f>IFERROR(__xludf.DUMMYFUNCTION("IFERROR(ABS(O2145-AVERAGE(FILTER(O2145:O6213,AA2145:AA6213=""Neighbor""))) / STDEV(FILTER(O2145:O6213, AA2145:AA6213 =""Neighbor"")), """")"),1.9145412225722955)</f>
        <v>1.914541223</v>
      </c>
      <c r="AD2145" s="4">
        <f>IFERROR(__xludf.DUMMYFUNCTION("IFERROR(ABS(P2145-AVERAGE(FILTER(O2145:P6213,AA2145:AA6213=""Neighbor""))) / STDEV(FILTER(P2145:P6213, AA2145:AA6213 =""Neighbor"")), """")"),0.04094016798628803)</f>
        <v>0.04094016799</v>
      </c>
      <c r="AE2145" s="2">
        <f>IFERROR(__xludf.DUMMYFUNCTION("IFERROR(ABS(Q2145-AVERAGE(FILTER(Q2145:Q6213,AA2145:AA6213=""Neighbor""))) / STDEV(FILTER(Q2145:Q6213, AA2145:AA6213 =""Neighbor"")), """")"),0.5890783614502714)</f>
        <v>0.5890783615</v>
      </c>
      <c r="AF2145" s="2">
        <f>IFERROR(__xludf.DUMMYFUNCTION("IFERROR(ABS(R2145-AVERAGE(FILTER(R2145:R6213,AA2145:AA6213=""Neighbor""))) / STDEV(FILTER(R2145:R6213, AA2145:AA6213 =""Neighbor"")), """")"),0.8356049980330501)</f>
        <v>0.835604998</v>
      </c>
    </row>
    <row r="2146">
      <c r="A2146" s="2" t="s">
        <v>28</v>
      </c>
      <c r="B2146" s="2" t="s">
        <v>8509</v>
      </c>
      <c r="C2146" s="2" t="s">
        <v>8775</v>
      </c>
      <c r="D2146" s="2" t="s">
        <v>8788</v>
      </c>
      <c r="E2146" s="2" t="s">
        <v>8789</v>
      </c>
      <c r="F2146" s="2">
        <v>438.0</v>
      </c>
      <c r="G2146" s="2">
        <v>2608.0</v>
      </c>
      <c r="H2146" s="2" t="b">
        <v>1</v>
      </c>
      <c r="I2146" s="2">
        <v>-1.0</v>
      </c>
      <c r="J2146" s="2" t="b">
        <v>1</v>
      </c>
      <c r="K2146" s="2" t="b">
        <v>1</v>
      </c>
      <c r="L2146" s="2" t="b">
        <v>0</v>
      </c>
      <c r="M2146" s="2" t="b">
        <v>0</v>
      </c>
      <c r="N2146" s="2" t="s">
        <v>33</v>
      </c>
      <c r="O2146" s="2">
        <v>202.0</v>
      </c>
      <c r="P2146" s="2">
        <v>149.0</v>
      </c>
      <c r="Q2146" s="2">
        <v>32.0</v>
      </c>
      <c r="R2146" s="2">
        <v>4.0</v>
      </c>
      <c r="S2146" s="3" t="s">
        <v>8790</v>
      </c>
      <c r="T2146" s="2" t="s">
        <v>8791</v>
      </c>
      <c r="Y2146" s="4" t="str">
        <f>IFERROR(__xludf.DUMMYFUNCTION("""COMPUTED_VALUE"""),"7.2201082")</f>
        <v>7.2201082</v>
      </c>
      <c r="Z2146" s="4" t="str">
        <f>IFERROR(__xludf.DUMMYFUNCTION("""COMPUTED_VALUE"""),"3.4296446")</f>
        <v>3.4296446</v>
      </c>
      <c r="AA2146" s="4" t="str">
        <f t="shared" si="1"/>
        <v>Not Neighbor</v>
      </c>
      <c r="AC2146" s="4">
        <f>IFERROR(__xludf.DUMMYFUNCTION("IFERROR(ABS(O2146-AVERAGE(FILTER(O2146:O6214,AA2146:AA6214=""Neighbor""))) / STDEV(FILTER(O2146:O6214, AA2146:AA6214 =""Neighbor"")), """")"),4.090850159553412)</f>
        <v>4.09085016</v>
      </c>
      <c r="AD2146" s="4">
        <f>IFERROR(__xludf.DUMMYFUNCTION("IFERROR(ABS(P2146-AVERAGE(FILTER(O2146:P6214,AA2146:AA6214=""Neighbor""))) / STDEV(FILTER(P2146:P6214, AA2146:AA6214 =""Neighbor"")), """")"),5.166089032881319)</f>
        <v>5.166089033</v>
      </c>
      <c r="AE2146" s="2">
        <f>IFERROR(__xludf.DUMMYFUNCTION("IFERROR(ABS(Q2146-AVERAGE(FILTER(Q2146:Q6214,AA2146:AA6214=""Neighbor""))) / STDEV(FILTER(Q2146:Q6214, AA2146:AA6214 =""Neighbor"")), """")"),0.5427933432442528)</f>
        <v>0.5427933432</v>
      </c>
      <c r="AF2146" s="2">
        <f>IFERROR(__xludf.DUMMYFUNCTION("IFERROR(ABS(R2146-AVERAGE(FILTER(R2146:R6214,AA2146:AA6214=""Neighbor""))) / STDEV(FILTER(R2146:R6214, AA2146:AA6214 =""Neighbor"")), """")"),4.375646045006683)</f>
        <v>4.375646045</v>
      </c>
    </row>
    <row r="2147">
      <c r="A2147" s="2" t="s">
        <v>28</v>
      </c>
      <c r="B2147" s="2" t="s">
        <v>8509</v>
      </c>
      <c r="C2147" s="2" t="s">
        <v>8775</v>
      </c>
      <c r="D2147" s="2" t="s">
        <v>8792</v>
      </c>
      <c r="E2147" s="2" t="s">
        <v>8793</v>
      </c>
      <c r="F2147" s="2">
        <v>111.0</v>
      </c>
      <c r="G2147" s="2">
        <v>729.0</v>
      </c>
      <c r="H2147" s="2" t="b">
        <v>1</v>
      </c>
      <c r="I2147" s="2">
        <v>-1.0</v>
      </c>
      <c r="J2147" s="2" t="b">
        <v>0</v>
      </c>
      <c r="K2147" s="2" t="b">
        <v>1</v>
      </c>
      <c r="L2147" s="2" t="b">
        <v>0</v>
      </c>
      <c r="M2147" s="2" t="b">
        <v>0</v>
      </c>
      <c r="N2147" s="2" t="s">
        <v>33</v>
      </c>
      <c r="O2147" s="2">
        <v>0.0</v>
      </c>
      <c r="P2147" s="2">
        <v>0.0</v>
      </c>
      <c r="Q2147" s="2">
        <v>0.0</v>
      </c>
      <c r="R2147" s="2">
        <v>0.0</v>
      </c>
      <c r="S2147" s="3" t="s">
        <v>8794</v>
      </c>
      <c r="T2147" s="2" t="s">
        <v>8795</v>
      </c>
      <c r="Y2147" s="4" t="str">
        <f>IFERROR(__xludf.DUMMYFUNCTION("""COMPUTED_VALUE"""),"7.197828")</f>
        <v>7.197828</v>
      </c>
      <c r="Z2147" s="4" t="str">
        <f>IFERROR(__xludf.DUMMYFUNCTION("""COMPUTED_VALUE"""),"3.4290927")</f>
        <v>3.4290927</v>
      </c>
      <c r="AA2147" s="4" t="str">
        <f t="shared" si="1"/>
        <v>Not Neighbor</v>
      </c>
      <c r="AC2147" s="4">
        <f>IFERROR(__xludf.DUMMYFUNCTION("IFERROR(ABS(O2147-AVERAGE(FILTER(O2147:O6215,AA2147:AA6215=""Neighbor""))) / STDEV(FILTER(O2147:O6215, AA2147:AA6215 =""Neighbor"")), """")"),1.4594507810327508)</f>
        <v>1.459450781</v>
      </c>
      <c r="AD2147" s="4">
        <f>IFERROR(__xludf.DUMMYFUNCTION("IFERROR(ABS(P2147-AVERAGE(FILTER(O2147:P6215,AA2147:AA6215=""Neighbor""))) / STDEV(FILTER(P2147:P6215, AA2147:AA6215 =""Neighbor"")), """")"),1.577177447957396)</f>
        <v>1.577177448</v>
      </c>
      <c r="AE2147" s="2">
        <f>IFERROR(__xludf.DUMMYFUNCTION("IFERROR(ABS(Q2147-AVERAGE(FILTER(Q2147:Q6215,AA2147:AA6215=""Neighbor""))) / STDEV(FILTER(Q2147:Q6215, AA2147:AA6215 =""Neighbor"")), """")"),0.9543075322605207)</f>
        <v>0.9543075323</v>
      </c>
      <c r="AF2147" s="2">
        <f>IFERROR(__xludf.DUMMYFUNCTION("IFERROR(ABS(R2147-AVERAGE(FILTER(R2147:R6215,AA2147:AA6215=""Neighbor""))) / STDEV(FILTER(R2147:R6215, AA2147:AA6215 =""Neighbor"")), """")"),0.343217058199166)</f>
        <v>0.3432170582</v>
      </c>
    </row>
    <row r="2148">
      <c r="A2148" s="2" t="s">
        <v>28</v>
      </c>
      <c r="B2148" s="2" t="s">
        <v>8509</v>
      </c>
      <c r="C2148" s="2" t="s">
        <v>8775</v>
      </c>
      <c r="D2148" s="2" t="s">
        <v>8796</v>
      </c>
      <c r="E2148" s="2" t="s">
        <v>8797</v>
      </c>
      <c r="F2148" s="2">
        <v>25.0</v>
      </c>
      <c r="G2148" s="2">
        <v>356.0</v>
      </c>
      <c r="H2148" s="2" t="b">
        <v>1</v>
      </c>
      <c r="I2148" s="2">
        <v>-1.0</v>
      </c>
      <c r="J2148" s="2" t="b">
        <v>0</v>
      </c>
      <c r="K2148" s="2" t="b">
        <v>0</v>
      </c>
      <c r="L2148" s="2" t="b">
        <v>0</v>
      </c>
      <c r="M2148" s="2" t="b">
        <v>0</v>
      </c>
      <c r="N2148" s="2" t="s">
        <v>33</v>
      </c>
      <c r="O2148" s="2">
        <v>13.0</v>
      </c>
      <c r="P2148" s="2">
        <v>2.0</v>
      </c>
      <c r="Q2148" s="2">
        <v>8.0</v>
      </c>
      <c r="R2148" s="2">
        <v>0.0</v>
      </c>
      <c r="S2148" s="3" t="s">
        <v>8798</v>
      </c>
      <c r="T2148" s="2" t="s">
        <v>8799</v>
      </c>
      <c r="Y2148" s="4" t="str">
        <f>IFERROR(__xludf.DUMMYFUNCTION("""COMPUTED_VALUE"""),"7.2201082")</f>
        <v>7.2201082</v>
      </c>
      <c r="Z2148" s="4" t="str">
        <f>IFERROR(__xludf.DUMMYFUNCTION("""COMPUTED_VALUE"""),"3.4296446")</f>
        <v>3.4296446</v>
      </c>
      <c r="AA2148" s="4" t="str">
        <f t="shared" si="1"/>
        <v>Not Neighbor</v>
      </c>
      <c r="AC2148" s="4">
        <f>IFERROR(__xludf.DUMMYFUNCTION("IFERROR(ABS(O2148-AVERAGE(FILTER(O2148:O6216,AA2148:AA6216=""Neighbor""))) / STDEV(FILTER(O2148:O6216, AA2148:AA6216 =""Neighbor"")), """")"),1.1022531957475028)</f>
        <v>1.102253196</v>
      </c>
      <c r="AD2148" s="4">
        <f>IFERROR(__xludf.DUMMYFUNCTION("IFERROR(ABS(P2148-AVERAGE(FILTER(O2148:P6216,AA2148:AA6216=""Neighbor""))) / STDEV(FILTER(P2148:P6216, AA2148:AA6216 =""Neighbor"")), """")"),1.4866638039192923)</f>
        <v>1.486663804</v>
      </c>
      <c r="AE2148" s="2">
        <f>IFERROR(__xludf.DUMMYFUNCTION("IFERROR(ABS(Q2148-AVERAGE(FILTER(Q2148:Q6216,AA2148:AA6216=""Neighbor""))) / STDEV(FILTER(Q2148:Q6216, AA2148:AA6216 =""Neighbor"")), """")"),0.5800323133843273)</f>
        <v>0.5800323134</v>
      </c>
      <c r="AF2148" s="2">
        <f>IFERROR(__xludf.DUMMYFUNCTION("IFERROR(ABS(R2148-AVERAGE(FILTER(R2148:R6216,AA2148:AA6216=""Neighbor""))) / STDEV(FILTER(R2148:R6216, AA2148:AA6216 =""Neighbor"")), """")"),0.343217058199166)</f>
        <v>0.3432170582</v>
      </c>
    </row>
    <row r="2149">
      <c r="A2149" s="2" t="s">
        <v>28</v>
      </c>
      <c r="B2149" s="2" t="s">
        <v>8509</v>
      </c>
      <c r="C2149" s="2" t="s">
        <v>8775</v>
      </c>
      <c r="D2149" s="2" t="s">
        <v>8800</v>
      </c>
      <c r="E2149" s="2" t="s">
        <v>8801</v>
      </c>
      <c r="F2149" s="2">
        <v>125.0</v>
      </c>
      <c r="G2149" s="2">
        <v>813.0</v>
      </c>
      <c r="H2149" s="2" t="b">
        <v>1</v>
      </c>
      <c r="I2149" s="2">
        <v>-1.0</v>
      </c>
      <c r="J2149" s="2" t="b">
        <v>1</v>
      </c>
      <c r="K2149" s="2" t="b">
        <v>1</v>
      </c>
      <c r="L2149" s="2" t="b">
        <v>0</v>
      </c>
      <c r="M2149" s="2" t="b">
        <v>0</v>
      </c>
      <c r="N2149" s="2" t="s">
        <v>33</v>
      </c>
      <c r="O2149" s="2">
        <v>45.0</v>
      </c>
      <c r="P2149" s="2">
        <v>53.0</v>
      </c>
      <c r="Q2149" s="2">
        <v>8.0</v>
      </c>
      <c r="R2149" s="2">
        <v>3.0</v>
      </c>
      <c r="S2149" s="3" t="s">
        <v>8802</v>
      </c>
      <c r="T2149" s="2" t="s">
        <v>8803</v>
      </c>
      <c r="Y2149" s="4" t="str">
        <f>IFERROR(__xludf.DUMMYFUNCTION("""COMPUTED_VALUE"""),"7.2105663")</f>
        <v>7.2105663</v>
      </c>
      <c r="Z2149" s="4" t="str">
        <f>IFERROR(__xludf.DUMMYFUNCTION("""COMPUTED_VALUE"""),"3.4460483")</f>
        <v>3.4460483</v>
      </c>
      <c r="AA2149" s="4" t="str">
        <f t="shared" si="1"/>
        <v>Not Neighbor</v>
      </c>
      <c r="AC2149" s="4">
        <f>IFERROR(__xludf.DUMMYFUNCTION("IFERROR(ABS(O2149-AVERAGE(FILTER(O2149:O6217,AA2149:AA6217=""Neighbor""))) / STDEV(FILTER(O2149:O6217, AA2149:AA6217 =""Neighbor"")), """")"),0.22299760119919967)</f>
        <v>0.2229976012</v>
      </c>
      <c r="AD2149" s="4">
        <f>IFERROR(__xludf.DUMMYFUNCTION("IFERROR(ABS(P2149-AVERAGE(FILTER(O2149:P6217,AA2149:AA6217=""Neighbor""))) / STDEV(FILTER(P2149:P6217, AA2149:AA6217 =""Neighbor"")), """")"),0.8214341190523484)</f>
        <v>0.8214341191</v>
      </c>
      <c r="AE2149" s="2">
        <f>IFERROR(__xludf.DUMMYFUNCTION("IFERROR(ABS(Q2149-AVERAGE(FILTER(Q2149:Q6217,AA2149:AA6217=""Neighbor""))) / STDEV(FILTER(Q2149:Q6217, AA2149:AA6217 =""Neighbor"")), """")"),0.5800323133843273)</f>
        <v>0.5800323134</v>
      </c>
      <c r="AF2149" s="2">
        <f>IFERROR(__xludf.DUMMYFUNCTION("IFERROR(ABS(R2149-AVERAGE(FILTER(R2149:R6217,AA2149:AA6217=""Neighbor""))) / STDEV(FILTER(R2149:R6217, AA2149:AA6217 =""Neighbor"")), """")"),3.195930269205221)</f>
        <v>3.195930269</v>
      </c>
    </row>
    <row r="2150">
      <c r="A2150" s="2" t="s">
        <v>28</v>
      </c>
      <c r="B2150" s="2" t="s">
        <v>8509</v>
      </c>
      <c r="C2150" s="2" t="s">
        <v>8775</v>
      </c>
      <c r="D2150" s="2" t="s">
        <v>8804</v>
      </c>
      <c r="E2150" s="2" t="s">
        <v>8805</v>
      </c>
      <c r="F2150" s="2">
        <v>146.0</v>
      </c>
      <c r="G2150" s="2">
        <v>733.0</v>
      </c>
      <c r="H2150" s="2" t="b">
        <v>1</v>
      </c>
      <c r="I2150" s="2">
        <v>-1.0</v>
      </c>
      <c r="J2150" s="2" t="b">
        <v>0</v>
      </c>
      <c r="K2150" s="2" t="b">
        <v>0</v>
      </c>
      <c r="L2150" s="2" t="b">
        <v>0</v>
      </c>
      <c r="M2150" s="2" t="b">
        <v>0</v>
      </c>
      <c r="N2150" s="2" t="s">
        <v>33</v>
      </c>
      <c r="O2150" s="2">
        <v>103.0</v>
      </c>
      <c r="P2150" s="2">
        <v>22.0</v>
      </c>
      <c r="Q2150" s="2">
        <v>16.0</v>
      </c>
      <c r="R2150" s="2">
        <v>0.0</v>
      </c>
      <c r="S2150" s="3" t="s">
        <v>8806</v>
      </c>
      <c r="T2150" s="2" t="s">
        <v>8807</v>
      </c>
      <c r="Y2150" s="4" t="str">
        <f>IFERROR(__xludf.DUMMYFUNCTION("""COMPUTED_VALUE"""),"7.1355598")</f>
        <v>7.1355598</v>
      </c>
      <c r="Z2150" s="4" t="str">
        <f>IFERROR(__xludf.DUMMYFUNCTION("""COMPUTED_VALUE"""),"3.4056797")</f>
        <v>3.4056797</v>
      </c>
      <c r="AA2150" s="4" t="str">
        <f t="shared" si="1"/>
        <v>Not Neighbor</v>
      </c>
      <c r="AC2150" s="4">
        <f>IFERROR(__xludf.DUMMYFUNCTION("IFERROR(ABS(O2150-AVERAGE(FILTER(O2150:O6218,AA2150:AA6218=""Neighbor""))) / STDEV(FILTER(O2150:O6218, AA2150:AA6218 =""Neighbor"")), """")"),1.3706531639195996)</f>
        <v>1.370653164</v>
      </c>
      <c r="AD2150" s="4">
        <f>IFERROR(__xludf.DUMMYFUNCTION("IFERROR(ABS(P2150-AVERAGE(FILTER(O2150:P6218,AA2150:AA6218=""Neighbor""))) / STDEV(FILTER(P2150:P6218, AA2150:AA6218 =""Neighbor"")), """")"),0.5815273635382567)</f>
        <v>0.5815273635</v>
      </c>
      <c r="AE2150" s="2">
        <f>IFERROR(__xludf.DUMMYFUNCTION("IFERROR(ABS(Q2150-AVERAGE(FILTER(Q2150:Q6218,AA2150:AA6218=""Neighbor""))) / STDEV(FILTER(Q2150:Q6218, AA2150:AA6218 =""Neighbor"")), """")"),0.20575709450813395)</f>
        <v>0.2057570945</v>
      </c>
      <c r="AF2150" s="2">
        <f>IFERROR(__xludf.DUMMYFUNCTION("IFERROR(ABS(R2150-AVERAGE(FILTER(R2150:R6218,AA2150:AA6218=""Neighbor""))) / STDEV(FILTER(R2150:R6218, AA2150:AA6218 =""Neighbor"")), """")"),0.343217058199166)</f>
        <v>0.3432170582</v>
      </c>
    </row>
    <row r="2151">
      <c r="A2151" s="2" t="s">
        <v>28</v>
      </c>
      <c r="B2151" s="2" t="s">
        <v>8509</v>
      </c>
      <c r="C2151" s="2" t="s">
        <v>8775</v>
      </c>
      <c r="D2151" s="2" t="s">
        <v>8808</v>
      </c>
      <c r="E2151" s="2" t="s">
        <v>8809</v>
      </c>
      <c r="F2151" s="2">
        <v>144.0</v>
      </c>
      <c r="G2151" s="2">
        <v>535.0</v>
      </c>
      <c r="H2151" s="2" t="b">
        <v>1</v>
      </c>
      <c r="I2151" s="2">
        <v>-1.0</v>
      </c>
      <c r="J2151" s="2" t="b">
        <v>0</v>
      </c>
      <c r="K2151" s="2" t="b">
        <v>0</v>
      </c>
      <c r="L2151" s="2" t="b">
        <v>0</v>
      </c>
      <c r="M2151" s="2" t="b">
        <v>0</v>
      </c>
      <c r="N2151" s="2" t="s">
        <v>33</v>
      </c>
      <c r="O2151" s="2">
        <v>99.0</v>
      </c>
      <c r="P2151" s="2">
        <v>28.0</v>
      </c>
      <c r="Q2151" s="2">
        <v>14.0</v>
      </c>
      <c r="R2151" s="2">
        <v>0.0</v>
      </c>
      <c r="S2151" s="3" t="s">
        <v>8810</v>
      </c>
      <c r="T2151" s="2" t="s">
        <v>8811</v>
      </c>
      <c r="Y2151" s="4" t="str">
        <f>IFERROR(__xludf.DUMMYFUNCTION("""COMPUTED_VALUE"""),"7.1958738")</f>
        <v>7.1958738</v>
      </c>
      <c r="Z2151" s="4" t="str">
        <f>IFERROR(__xludf.DUMMYFUNCTION("""COMPUTED_VALUE"""),"3.4347841")</f>
        <v>3.4347841</v>
      </c>
      <c r="AA2151" s="4" t="str">
        <f t="shared" si="1"/>
        <v>Not Neighbor</v>
      </c>
      <c r="AC2151" s="4">
        <f>IFERROR(__xludf.DUMMYFUNCTION("IFERROR(ABS(O2151-AVERAGE(FILTER(O2151:O6219,AA2151:AA6219=""Neighbor""))) / STDEV(FILTER(O2151:O6219, AA2151:AA6219 =""Neighbor"")), """")"),1.2607462146010617)</f>
        <v>1.260746215</v>
      </c>
      <c r="AD2151" s="4">
        <f>IFERROR(__xludf.DUMMYFUNCTION("IFERROR(ABS(P2151-AVERAGE(FILTER(O2151:P6219,AA2151:AA6219=""Neighbor""))) / STDEV(FILTER(P2151:P6219, AA2151:AA6219 =""Neighbor"")), """")"),0.30998643142394605)</f>
        <v>0.3099864314</v>
      </c>
      <c r="AE2151" s="2">
        <f>IFERROR(__xludf.DUMMYFUNCTION("IFERROR(ABS(Q2151-AVERAGE(FILTER(Q2151:Q6219,AA2151:AA6219=""Neighbor""))) / STDEV(FILTER(Q2151:Q6219, AA2151:AA6219 =""Neighbor"")), """")"),0.2993258992271823)</f>
        <v>0.2993258992</v>
      </c>
      <c r="AF2151" s="2">
        <f>IFERROR(__xludf.DUMMYFUNCTION("IFERROR(ABS(R2151-AVERAGE(FILTER(R2151:R6219,AA2151:AA6219=""Neighbor""))) / STDEV(FILTER(R2151:R6219, AA2151:AA6219 =""Neighbor"")), """")"),0.343217058199166)</f>
        <v>0.3432170582</v>
      </c>
    </row>
    <row r="2152">
      <c r="A2152" s="2" t="s">
        <v>28</v>
      </c>
      <c r="B2152" s="2" t="s">
        <v>8509</v>
      </c>
      <c r="C2152" s="2" t="s">
        <v>8775</v>
      </c>
      <c r="D2152" s="2" t="s">
        <v>8812</v>
      </c>
      <c r="E2152" s="2" t="s">
        <v>8813</v>
      </c>
      <c r="F2152" s="2">
        <v>99.0</v>
      </c>
      <c r="G2152" s="2">
        <v>483.0</v>
      </c>
      <c r="H2152" s="2" t="b">
        <v>1</v>
      </c>
      <c r="I2152" s="2">
        <v>-1.0</v>
      </c>
      <c r="J2152" s="2" t="b">
        <v>0</v>
      </c>
      <c r="K2152" s="2" t="b">
        <v>0</v>
      </c>
      <c r="L2152" s="2" t="b">
        <v>0</v>
      </c>
      <c r="M2152" s="2" t="b">
        <v>0</v>
      </c>
      <c r="N2152" s="2" t="s">
        <v>33</v>
      </c>
      <c r="O2152" s="2">
        <v>70.0</v>
      </c>
      <c r="P2152" s="2">
        <v>4.0</v>
      </c>
      <c r="Q2152" s="2">
        <v>17.0</v>
      </c>
      <c r="R2152" s="2">
        <v>0.0</v>
      </c>
      <c r="S2152" s="3" t="s">
        <v>8814</v>
      </c>
      <c r="T2152" s="2" t="s">
        <v>8815</v>
      </c>
      <c r="Y2152" s="4" t="str">
        <f>IFERROR(__xludf.DUMMYFUNCTION("""COMPUTED_VALUE"""),"7.2201082")</f>
        <v>7.2201082</v>
      </c>
      <c r="Z2152" s="4" t="str">
        <f>IFERROR(__xludf.DUMMYFUNCTION("""COMPUTED_VALUE"""),"3.4296446")</f>
        <v>3.4296446</v>
      </c>
      <c r="AA2152" s="4" t="str">
        <f t="shared" si="1"/>
        <v>Not Neighbor</v>
      </c>
      <c r="AC2152" s="4">
        <f>IFERROR(__xludf.DUMMYFUNCTION("IFERROR(ABS(O2152-AVERAGE(FILTER(O2152:O6220,AA2152:AA6220=""Neighbor""))) / STDEV(FILTER(O2152:O6220, AA2152:AA6220 =""Neighbor"")), """")"),0.46392083204166207)</f>
        <v>0.463920832</v>
      </c>
      <c r="AD2152" s="4">
        <f>IFERROR(__xludf.DUMMYFUNCTION("IFERROR(ABS(P2152-AVERAGE(FILTER(O2152:P6220,AA2152:AA6220=""Neighbor""))) / STDEV(FILTER(P2152:P6220, AA2152:AA6220 =""Neighbor"")), """")"),1.3961501598811887)</f>
        <v>1.39615016</v>
      </c>
      <c r="AE2152" s="2">
        <f>IFERROR(__xludf.DUMMYFUNCTION("IFERROR(ABS(Q2152-AVERAGE(FILTER(Q2152:Q6220,AA2152:AA6220=""Neighbor""))) / STDEV(FILTER(Q2152:Q6220, AA2152:AA6220 =""Neighbor"")), """")"),0.15897269214860976)</f>
        <v>0.1589726921</v>
      </c>
      <c r="AF2152" s="2">
        <f>IFERROR(__xludf.DUMMYFUNCTION("IFERROR(ABS(R2152-AVERAGE(FILTER(R2152:R6220,AA2152:AA6220=""Neighbor""))) / STDEV(FILTER(R2152:R6220, AA2152:AA6220 =""Neighbor"")), """")"),0.343217058199166)</f>
        <v>0.3432170582</v>
      </c>
    </row>
    <row r="2153">
      <c r="A2153" s="2" t="s">
        <v>28</v>
      </c>
      <c r="B2153" s="2" t="s">
        <v>8509</v>
      </c>
      <c r="C2153" s="2" t="s">
        <v>8816</v>
      </c>
      <c r="D2153" s="2" t="s">
        <v>8817</v>
      </c>
      <c r="E2153" s="2" t="s">
        <v>8818</v>
      </c>
      <c r="F2153" s="2">
        <v>94.0</v>
      </c>
      <c r="G2153" s="2">
        <v>546.0</v>
      </c>
      <c r="H2153" s="2" t="b">
        <v>1</v>
      </c>
      <c r="I2153" s="2">
        <v>-1.0</v>
      </c>
      <c r="J2153" s="2" t="b">
        <v>0</v>
      </c>
      <c r="K2153" s="2" t="b">
        <v>0</v>
      </c>
      <c r="L2153" s="2" t="b">
        <v>0</v>
      </c>
      <c r="M2153" s="2" t="b">
        <v>0</v>
      </c>
      <c r="N2153" s="2" t="s">
        <v>33</v>
      </c>
      <c r="O2153" s="2">
        <v>46.0</v>
      </c>
      <c r="P2153" s="2">
        <v>12.0</v>
      </c>
      <c r="Q2153" s="2">
        <v>21.0</v>
      </c>
      <c r="R2153" s="2">
        <v>0.0</v>
      </c>
      <c r="S2153" s="3" t="s">
        <v>8819</v>
      </c>
      <c r="T2153" s="2" t="s">
        <v>8820</v>
      </c>
      <c r="Y2153" s="4" t="str">
        <f>IFERROR(__xludf.DUMMYFUNCTION("""COMPUTED_VALUE"""),"7.2285853")</f>
        <v>7.2285853</v>
      </c>
      <c r="Z2153" s="4" t="str">
        <f>IFERROR(__xludf.DUMMYFUNCTION("""COMPUTED_VALUE"""),"3.4529198")</f>
        <v>3.4529198</v>
      </c>
      <c r="AA2153" s="4" t="str">
        <f t="shared" si="1"/>
        <v>Not Neighbor</v>
      </c>
      <c r="AC2153" s="4">
        <f>IFERROR(__xludf.DUMMYFUNCTION("IFERROR(ABS(O2153-AVERAGE(FILTER(O2153:O6221,AA2153:AA6221=""Neighbor""))) / STDEV(FILTER(O2153:O6221, AA2153:AA6221 =""Neighbor"")), """")"),0.1955208638695652)</f>
        <v>0.1955208639</v>
      </c>
      <c r="AD2153" s="4">
        <f>IFERROR(__xludf.DUMMYFUNCTION("IFERROR(ABS(P2153-AVERAGE(FILTER(O2153:P6221,AA2153:AA6221=""Neighbor""))) / STDEV(FILTER(P2153:P6221, AA2153:AA6221 =""Neighbor"")), """")"),1.0340955837287744)</f>
        <v>1.034095584</v>
      </c>
      <c r="AE2153" s="2">
        <f>IFERROR(__xludf.DUMMYFUNCTION("IFERROR(ABS(Q2153-AVERAGE(FILTER(Q2153:Q6221,AA2153:AA6221=""Neighbor""))) / STDEV(FILTER(Q2153:Q6221, AA2153:AA6221 =""Neighbor"")), """")"),0.028164917289486904)</f>
        <v>0.02816491729</v>
      </c>
      <c r="AF2153" s="2">
        <f>IFERROR(__xludf.DUMMYFUNCTION("IFERROR(ABS(R2153-AVERAGE(FILTER(R2153:R6221,AA2153:AA6221=""Neighbor""))) / STDEV(FILTER(R2153:R6221, AA2153:AA6221 =""Neighbor"")), """")"),0.343217058199166)</f>
        <v>0.3432170582</v>
      </c>
    </row>
    <row r="2154">
      <c r="A2154" s="2" t="s">
        <v>28</v>
      </c>
      <c r="B2154" s="2" t="s">
        <v>8509</v>
      </c>
      <c r="C2154" s="2" t="s">
        <v>8816</v>
      </c>
      <c r="D2154" s="2" t="s">
        <v>8821</v>
      </c>
      <c r="E2154" s="2" t="s">
        <v>8822</v>
      </c>
      <c r="F2154" s="2">
        <v>123.0</v>
      </c>
      <c r="G2154" s="2">
        <v>479.0</v>
      </c>
      <c r="H2154" s="2" t="b">
        <v>1</v>
      </c>
      <c r="I2154" s="2">
        <v>-1.0</v>
      </c>
      <c r="J2154" s="2" t="b">
        <v>0</v>
      </c>
      <c r="K2154" s="2" t="b">
        <v>0</v>
      </c>
      <c r="L2154" s="2" t="b">
        <v>0</v>
      </c>
      <c r="M2154" s="2" t="b">
        <v>0</v>
      </c>
      <c r="N2154" s="2" t="s">
        <v>33</v>
      </c>
      <c r="O2154" s="2">
        <v>61.0</v>
      </c>
      <c r="P2154" s="2">
        <v>1.0</v>
      </c>
      <c r="Q2154" s="2">
        <v>37.0</v>
      </c>
      <c r="R2154" s="2">
        <v>0.0</v>
      </c>
      <c r="S2154" s="3" t="s">
        <v>8823</v>
      </c>
      <c r="T2154" s="2" t="s">
        <v>8824</v>
      </c>
      <c r="Y2154" s="4" t="str">
        <f>IFERROR(__xludf.DUMMYFUNCTION("""COMPUTED_VALUE"""),"7.9424588")</f>
        <v>7.9424588</v>
      </c>
      <c r="Z2154" s="4" t="str">
        <f>IFERROR(__xludf.DUMMYFUNCTION("""COMPUTED_VALUE"""),"4.2642633")</f>
        <v>4.2642633</v>
      </c>
      <c r="AA2154" s="4" t="str">
        <f t="shared" si="1"/>
        <v>Not Neighbor</v>
      </c>
      <c r="AC2154" s="4">
        <f>IFERROR(__xludf.DUMMYFUNCTION("IFERROR(ABS(O2154-AVERAGE(FILTER(O2154:O6222,AA2154:AA6222=""Neighbor""))) / STDEV(FILTER(O2154:O6222, AA2154:AA6222 =""Neighbor"")), """")"),0.21663019607495185)</f>
        <v>0.2166301961</v>
      </c>
      <c r="AD2154" s="4">
        <f>IFERROR(__xludf.DUMMYFUNCTION("IFERROR(ABS(P2154-AVERAGE(FILTER(O2154:P6222,AA2154:AA6222=""Neighbor""))) / STDEV(FILTER(P2154:P6222, AA2154:AA6222 =""Neighbor"")), """")"),1.531920625938344)</f>
        <v>1.531920626</v>
      </c>
      <c r="AE2154" s="2">
        <f>IFERROR(__xludf.DUMMYFUNCTION("IFERROR(ABS(Q2154-AVERAGE(FILTER(Q2154:Q6222,AA2154:AA6222=""Neighbor""))) / STDEV(FILTER(Q2154:Q6222, AA2154:AA6222 =""Neighbor"")), """")"),0.7767153550418736)</f>
        <v>0.776715355</v>
      </c>
      <c r="AF2154" s="2">
        <f>IFERROR(__xludf.DUMMYFUNCTION("IFERROR(ABS(R2154-AVERAGE(FILTER(R2154:R6222,AA2154:AA6222=""Neighbor""))) / STDEV(FILTER(R2154:R6222, AA2154:AA6222 =""Neighbor"")), """")"),0.343217058199166)</f>
        <v>0.3432170582</v>
      </c>
    </row>
    <row r="2155">
      <c r="A2155" s="2" t="s">
        <v>28</v>
      </c>
      <c r="B2155" s="2" t="s">
        <v>8509</v>
      </c>
      <c r="C2155" s="2" t="s">
        <v>8816</v>
      </c>
      <c r="D2155" s="2" t="s">
        <v>8825</v>
      </c>
      <c r="E2155" s="2" t="s">
        <v>8826</v>
      </c>
      <c r="F2155" s="2">
        <v>168.0</v>
      </c>
      <c r="G2155" s="2">
        <v>627.0</v>
      </c>
      <c r="H2155" s="2" t="b">
        <v>1</v>
      </c>
      <c r="I2155" s="2">
        <v>-1.0</v>
      </c>
      <c r="J2155" s="2" t="b">
        <v>0</v>
      </c>
      <c r="K2155" s="2" t="b">
        <v>0</v>
      </c>
      <c r="L2155" s="2" t="b">
        <v>0</v>
      </c>
      <c r="M2155" s="2" t="b">
        <v>0</v>
      </c>
      <c r="N2155" s="2" t="s">
        <v>33</v>
      </c>
      <c r="O2155" s="2">
        <v>107.0</v>
      </c>
      <c r="P2155" s="2">
        <v>4.0</v>
      </c>
      <c r="Q2155" s="2">
        <v>33.0</v>
      </c>
      <c r="R2155" s="2">
        <v>0.0</v>
      </c>
      <c r="S2155" s="3" t="s">
        <v>8827</v>
      </c>
      <c r="T2155" s="2" t="s">
        <v>8828</v>
      </c>
      <c r="Y2155" s="4" t="str">
        <f>IFERROR(__xludf.DUMMYFUNCTION("""COMPUTED_VALUE"""),"7.2285853")</f>
        <v>7.2285853</v>
      </c>
      <c r="Z2155" s="4" t="str">
        <f>IFERROR(__xludf.DUMMYFUNCTION("""COMPUTED_VALUE"""),"3.4529198")</f>
        <v>3.4529198</v>
      </c>
      <c r="AA2155" s="4" t="str">
        <f t="shared" si="1"/>
        <v>Neighbor</v>
      </c>
      <c r="AC2155" s="4">
        <f>IFERROR(__xludf.DUMMYFUNCTION("IFERROR(ABS(O2155-AVERAGE(FILTER(O2155:O6223,AA2155:AA6223=""Neighbor""))) / STDEV(FILTER(O2155:O6223, AA2155:AA6223 =""Neighbor"")), """")"),1.4805601132381374)</f>
        <v>1.480560113</v>
      </c>
      <c r="AD2155" s="4">
        <f>IFERROR(__xludf.DUMMYFUNCTION("IFERROR(ABS(P2155-AVERAGE(FILTER(O2155:P6223,AA2155:AA6223=""Neighbor""))) / STDEV(FILTER(P2155:P6223, AA2155:AA6223 =""Neighbor"")), """")"),1.3961501598811887)</f>
        <v>1.39615016</v>
      </c>
      <c r="AE2155" s="2">
        <f>IFERROR(__xludf.DUMMYFUNCTION("IFERROR(ABS(Q2155-AVERAGE(FILTER(Q2155:Q6223,AA2155:AA6223=""Neighbor""))) / STDEV(FILTER(Q2155:Q6223, AA2155:AA6223 =""Neighbor"")), """")"),0.589577745603777)</f>
        <v>0.5895777456</v>
      </c>
      <c r="AF2155" s="2">
        <f>IFERROR(__xludf.DUMMYFUNCTION("IFERROR(ABS(R2155-AVERAGE(FILTER(R2155:R6223,AA2155:AA6223=""Neighbor""))) / STDEV(FILTER(R2155:R6223, AA2155:AA6223 =""Neighbor"")), """")"),0.343217058199166)</f>
        <v>0.3432170582</v>
      </c>
    </row>
    <row r="2156">
      <c r="A2156" s="2" t="s">
        <v>28</v>
      </c>
      <c r="B2156" s="2" t="s">
        <v>8509</v>
      </c>
      <c r="C2156" s="2" t="s">
        <v>8816</v>
      </c>
      <c r="D2156" s="2" t="s">
        <v>8829</v>
      </c>
      <c r="E2156" s="2" t="s">
        <v>8830</v>
      </c>
      <c r="F2156" s="2">
        <v>136.0</v>
      </c>
      <c r="G2156" s="2">
        <v>548.0</v>
      </c>
      <c r="H2156" s="2" t="b">
        <v>1</v>
      </c>
      <c r="I2156" s="2">
        <v>-1.0</v>
      </c>
      <c r="J2156" s="2" t="b">
        <v>0</v>
      </c>
      <c r="K2156" s="2" t="b">
        <v>1</v>
      </c>
      <c r="L2156" s="2" t="b">
        <v>0</v>
      </c>
      <c r="M2156" s="2" t="b">
        <v>0</v>
      </c>
      <c r="N2156" s="2" t="s">
        <v>33</v>
      </c>
      <c r="O2156" s="2">
        <v>76.0</v>
      </c>
      <c r="P2156" s="2">
        <v>5.0</v>
      </c>
      <c r="Q2156" s="2">
        <v>40.0</v>
      </c>
      <c r="R2156" s="2">
        <v>1.0</v>
      </c>
      <c r="S2156" s="3" t="s">
        <v>8831</v>
      </c>
      <c r="T2156" s="2" t="s">
        <v>8832</v>
      </c>
      <c r="Y2156" s="4" t="str">
        <f>IFERROR(__xludf.DUMMYFUNCTION("""COMPUTED_VALUE"""),"7.2285853")</f>
        <v>7.2285853</v>
      </c>
      <c r="Z2156" s="4" t="str">
        <f>IFERROR(__xludf.DUMMYFUNCTION("""COMPUTED_VALUE"""),"3.4529198")</f>
        <v>3.4529198</v>
      </c>
      <c r="AA2156" s="4" t="str">
        <f t="shared" si="1"/>
        <v>Not Neighbor</v>
      </c>
      <c r="AC2156" s="4">
        <f>IFERROR(__xludf.DUMMYFUNCTION("IFERROR(ABS(O2156-AVERAGE(FILTER(O2156:O6224,AA2156:AA6224=""Neighbor""))) / STDEV(FILTER(O2156:O6224, AA2156:AA6224 =""Neighbor"")), """")"),0.6311245341582433)</f>
        <v>0.6311245342</v>
      </c>
      <c r="AD2156" s="4">
        <f>IFERROR(__xludf.DUMMYFUNCTION("IFERROR(ABS(P2156-AVERAGE(FILTER(O2156:P6224,AA2156:AA6224=""Neighbor""))) / STDEV(FILTER(P2156:P6224, AA2156:AA6224 =""Neighbor"")), """")"),1.349139761404359)</f>
        <v>1.349139761</v>
      </c>
      <c r="AE2156" s="2">
        <f>IFERROR(__xludf.DUMMYFUNCTION("IFERROR(ABS(Q2156-AVERAGE(FILTER(Q2156:Q6224,AA2156:AA6224=""Neighbor""))) / STDEV(FILTER(Q2156:Q6224, AA2156:AA6224 =""Neighbor"")), """")"),0.9174345098537776)</f>
        <v>0.9174345099</v>
      </c>
      <c r="AF2156" s="2">
        <f>IFERROR(__xludf.DUMMYFUNCTION("IFERROR(ABS(R2156-AVERAGE(FILTER(R2156:R6224,AA2156:AA6224=""Neighbor""))) / STDEV(FILTER(R2156:R6224, AA2156:AA6224 =""Neighbor"")), """")"),0.8356007327818911)</f>
        <v>0.8356007328</v>
      </c>
    </row>
    <row r="2157">
      <c r="A2157" s="2" t="s">
        <v>28</v>
      </c>
      <c r="B2157" s="2" t="s">
        <v>8509</v>
      </c>
      <c r="C2157" s="2" t="s">
        <v>8816</v>
      </c>
      <c r="D2157" s="2" t="s">
        <v>8833</v>
      </c>
      <c r="E2157" s="2" t="s">
        <v>8834</v>
      </c>
      <c r="F2157" s="2">
        <v>71.0</v>
      </c>
      <c r="G2157" s="2">
        <v>404.0</v>
      </c>
      <c r="H2157" s="2" t="b">
        <v>1</v>
      </c>
      <c r="I2157" s="2">
        <v>-1.0</v>
      </c>
      <c r="J2157" s="2" t="b">
        <v>0</v>
      </c>
      <c r="K2157" s="2" t="b">
        <v>1</v>
      </c>
      <c r="L2157" s="2" t="b">
        <v>0</v>
      </c>
      <c r="M2157" s="2" t="b">
        <v>0</v>
      </c>
      <c r="N2157" s="2" t="s">
        <v>33</v>
      </c>
      <c r="O2157" s="2">
        <v>0.0</v>
      </c>
      <c r="P2157" s="2">
        <v>0.0</v>
      </c>
      <c r="Q2157" s="2">
        <v>0.0</v>
      </c>
      <c r="R2157" s="2">
        <v>0.0</v>
      </c>
      <c r="S2157" s="3" t="s">
        <v>8835</v>
      </c>
      <c r="T2157" s="2" t="s">
        <v>8836</v>
      </c>
      <c r="Y2157" s="4" t="str">
        <f>IFERROR(__xludf.DUMMYFUNCTION("""COMPUTED_VALUE"""),"7.2723755")</f>
        <v>7.2723755</v>
      </c>
      <c r="Z2157" s="4" t="str">
        <f>IFERROR(__xludf.DUMMYFUNCTION("""COMPUTED_VALUE"""),"3.4828186")</f>
        <v>3.4828186</v>
      </c>
      <c r="AA2157" s="4" t="str">
        <f t="shared" si="1"/>
        <v>Not Neighbor</v>
      </c>
      <c r="AC2157" s="4">
        <f>IFERROR(__xludf.DUMMYFUNCTION("IFERROR(ABS(O2157-AVERAGE(FILTER(O2157:O6225,AA2157:AA6225=""Neighbor""))) / STDEV(FILTER(O2157:O6225, AA2157:AA6225 =""Neighbor"")), """")"),1.4586844557131378)</f>
        <v>1.458684456</v>
      </c>
      <c r="AD2157" s="4">
        <f>IFERROR(__xludf.DUMMYFUNCTION("IFERROR(ABS(P2157-AVERAGE(FILTER(O2157:P6225,AA2157:AA6225=""Neighbor""))) / STDEV(FILTER(P2157:P6225, AA2157:AA6225 =""Neighbor"")), """")"),1.5753274634748995)</f>
        <v>1.575327463</v>
      </c>
      <c r="AE2157" s="2">
        <f>IFERROR(__xludf.DUMMYFUNCTION("IFERROR(ABS(Q2157-AVERAGE(FILTER(Q2157:Q6225,AA2157:AA6225=""Neighbor""))) / STDEV(FILTER(Q2157:Q6225, AA2157:AA6225 =""Neighbor"")), """")"),0.9531718186518359)</f>
        <v>0.9531718187</v>
      </c>
      <c r="AF2157" s="2">
        <f>IFERROR(__xludf.DUMMYFUNCTION("IFERROR(ABS(R2157-AVERAGE(FILTER(R2157:R6225,AA2157:AA6225=""Neighbor""))) / STDEV(FILTER(R2157:R6225, AA2157:AA6225 =""Neighbor"")), """")"),0.34345866418615095)</f>
        <v>0.3434586642</v>
      </c>
    </row>
    <row r="2158">
      <c r="A2158" s="2" t="s">
        <v>28</v>
      </c>
      <c r="B2158" s="2" t="s">
        <v>8509</v>
      </c>
      <c r="C2158" s="2" t="s">
        <v>8816</v>
      </c>
      <c r="D2158" s="2" t="s">
        <v>8837</v>
      </c>
      <c r="E2158" s="2" t="s">
        <v>8838</v>
      </c>
      <c r="F2158" s="2">
        <v>73.0</v>
      </c>
      <c r="G2158" s="2">
        <v>388.0</v>
      </c>
      <c r="H2158" s="2" t="b">
        <v>1</v>
      </c>
      <c r="I2158" s="2">
        <v>-1.0</v>
      </c>
      <c r="J2158" s="2" t="b">
        <v>0</v>
      </c>
      <c r="K2158" s="2" t="b">
        <v>0</v>
      </c>
      <c r="L2158" s="2" t="b">
        <v>0</v>
      </c>
      <c r="M2158" s="2" t="b">
        <v>0</v>
      </c>
      <c r="N2158" s="2" t="s">
        <v>33</v>
      </c>
      <c r="O2158" s="2">
        <v>38.0</v>
      </c>
      <c r="P2158" s="2">
        <v>1.0</v>
      </c>
      <c r="Q2158" s="2">
        <v>24.0</v>
      </c>
      <c r="R2158" s="2">
        <v>1.0</v>
      </c>
      <c r="S2158" s="3" t="s">
        <v>8839</v>
      </c>
      <c r="T2158" s="2" t="s">
        <v>8840</v>
      </c>
      <c r="Y2158" s="4" t="str">
        <f>IFERROR(__xludf.DUMMYFUNCTION("""COMPUTED_VALUE"""),"7.2285853")</f>
        <v>7.2285853</v>
      </c>
      <c r="Z2158" s="4" t="str">
        <f>IFERROR(__xludf.DUMMYFUNCTION("""COMPUTED_VALUE"""),"3.4529198")</f>
        <v>3.4529198</v>
      </c>
      <c r="AA2158" s="4" t="str">
        <f t="shared" si="1"/>
        <v>Not Neighbor</v>
      </c>
      <c r="AC2158" s="4">
        <f>IFERROR(__xludf.DUMMYFUNCTION("IFERROR(ABS(O2158-AVERAGE(FILTER(O2158:O6226,AA2158:AA6226=""Neighbor""))) / STDEV(FILTER(O2158:O6226, AA2158:AA6226 =""Neighbor"")), """")"),0.4137799607774472)</f>
        <v>0.4137799608</v>
      </c>
      <c r="AD2158" s="4">
        <f>IFERROR(__xludf.DUMMYFUNCTION("IFERROR(ABS(P2158-AVERAGE(FILTER(O2158:P6226,AA2158:AA6226=""Neighbor""))) / STDEV(FILTER(P2158:P6226, AA2158:AA6226 =""Neighbor"")), """")"),1.5300899230607914)</f>
        <v>1.530089923</v>
      </c>
      <c r="AE2158" s="2">
        <f>IFERROR(__xludf.DUMMYFUNCTION("IFERROR(ABS(Q2158-AVERAGE(FILTER(Q2158:Q6226,AA2158:AA6226=""Neighbor""))) / STDEV(FILTER(Q2158:Q6226, AA2158:AA6226 =""Neighbor"")), """")"),0.16919197845153222)</f>
        <v>0.1691919785</v>
      </c>
      <c r="AF2158" s="2">
        <f>IFERROR(__xludf.DUMMYFUNCTION("IFERROR(ABS(R2158-AVERAGE(FILTER(R2158:R6226,AA2158:AA6226=""Neighbor""))) / STDEV(FILTER(R2158:R6226, AA2158:AA6226 =""Neighbor"")), """")"),0.8356007327818911)</f>
        <v>0.8356007328</v>
      </c>
    </row>
    <row r="2159">
      <c r="A2159" s="2" t="s">
        <v>28</v>
      </c>
      <c r="B2159" s="2" t="s">
        <v>8509</v>
      </c>
      <c r="C2159" s="2" t="s">
        <v>8841</v>
      </c>
      <c r="D2159" s="2" t="s">
        <v>8842</v>
      </c>
      <c r="E2159" s="2" t="s">
        <v>8843</v>
      </c>
      <c r="F2159" s="2">
        <v>99.0</v>
      </c>
      <c r="G2159" s="2">
        <v>534.0</v>
      </c>
      <c r="H2159" s="2" t="b">
        <v>1</v>
      </c>
      <c r="I2159" s="2">
        <v>-1.0</v>
      </c>
      <c r="J2159" s="2" t="b">
        <v>0</v>
      </c>
      <c r="K2159" s="2" t="b">
        <v>0</v>
      </c>
      <c r="L2159" s="2" t="b">
        <v>0</v>
      </c>
      <c r="M2159" s="2" t="b">
        <v>0</v>
      </c>
      <c r="N2159" s="2" t="s">
        <v>33</v>
      </c>
      <c r="O2159" s="2">
        <v>75.0</v>
      </c>
      <c r="P2159" s="2">
        <v>0.0</v>
      </c>
      <c r="Q2159" s="2">
        <v>7.0</v>
      </c>
      <c r="R2159" s="2">
        <v>1.0</v>
      </c>
      <c r="S2159" s="3" t="s">
        <v>8844</v>
      </c>
      <c r="T2159" s="2" t="s">
        <v>8845</v>
      </c>
      <c r="Y2159" s="4" t="str">
        <f>IFERROR(__xludf.DUMMYFUNCTION("""COMPUTED_VALUE"""),"7.3098645")</f>
        <v>7.3098645</v>
      </c>
      <c r="Z2159" s="4" t="str">
        <f>IFERROR(__xludf.DUMMYFUNCTION("""COMPUTED_VALUE"""),"3.2877593")</f>
        <v>3.2877593</v>
      </c>
      <c r="AA2159" s="4" t="str">
        <f t="shared" si="1"/>
        <v>Neighbor</v>
      </c>
      <c r="AC2159" s="4">
        <f>IFERROR(__xludf.DUMMYFUNCTION("IFERROR(ABS(O2159-AVERAGE(FILTER(O2159:O6227,AA2159:AA6227=""Neighbor""))) / STDEV(FILTER(O2159:O6227, AA2159:AA6227 =""Neighbor"")), """")"),0.6036270474494094)</f>
        <v>0.6036270474</v>
      </c>
      <c r="AD2159" s="4">
        <f>IFERROR(__xludf.DUMMYFUNCTION("IFERROR(ABS(P2159-AVERAGE(FILTER(O2159:P6227,AA2159:AA6227=""Neighbor""))) / STDEV(FILTER(P2159:P6227, AA2159:AA6227 =""Neighbor"")), """")"),1.5753274634748995)</f>
        <v>1.575327463</v>
      </c>
      <c r="AE2159" s="2">
        <f>IFERROR(__xludf.DUMMYFUNCTION("IFERROR(ABS(Q2159-AVERAGE(FILTER(Q2159:Q6227,AA2159:AA6227=""Neighbor""))) / STDEV(FILTER(Q2159:Q6227, AA2159:AA6227 =""Neighbor"")), """")"),0.6258157111633534)</f>
        <v>0.6258157112</v>
      </c>
      <c r="AF2159" s="2">
        <f>IFERROR(__xludf.DUMMYFUNCTION("IFERROR(ABS(R2159-AVERAGE(FILTER(R2159:R6227,AA2159:AA6227=""Neighbor""))) / STDEV(FILTER(R2159:R6227, AA2159:AA6227 =""Neighbor"")), """")"),0.8356007327818911)</f>
        <v>0.8356007328</v>
      </c>
    </row>
    <row r="2160">
      <c r="A2160" s="2" t="s">
        <v>28</v>
      </c>
      <c r="B2160" s="2" t="s">
        <v>8509</v>
      </c>
      <c r="C2160" s="2" t="s">
        <v>8841</v>
      </c>
      <c r="D2160" s="2" t="s">
        <v>8846</v>
      </c>
      <c r="E2160" s="2" t="s">
        <v>8847</v>
      </c>
      <c r="F2160" s="2">
        <v>115.0</v>
      </c>
      <c r="G2160" s="2">
        <v>501.0</v>
      </c>
      <c r="H2160" s="2" t="b">
        <v>1</v>
      </c>
      <c r="I2160" s="2">
        <v>-1.0</v>
      </c>
      <c r="J2160" s="2" t="b">
        <v>0</v>
      </c>
      <c r="K2160" s="2" t="b">
        <v>0</v>
      </c>
      <c r="L2160" s="2" t="b">
        <v>0</v>
      </c>
      <c r="M2160" s="2" t="b">
        <v>0</v>
      </c>
      <c r="N2160" s="2" t="s">
        <v>33</v>
      </c>
      <c r="O2160" s="2">
        <v>52.0</v>
      </c>
      <c r="P2160" s="2">
        <v>5.0</v>
      </c>
      <c r="Q2160" s="2">
        <v>34.0</v>
      </c>
      <c r="R2160" s="2">
        <v>0.0</v>
      </c>
      <c r="S2160" s="3" t="s">
        <v>8848</v>
      </c>
      <c r="T2160" s="2" t="s">
        <v>8849</v>
      </c>
      <c r="Y2160" s="4" t="str">
        <f>IFERROR(__xludf.DUMMYFUNCTION("""COMPUTED_VALUE"""),"7.3098645")</f>
        <v>7.3098645</v>
      </c>
      <c r="Z2160" s="4" t="str">
        <f>IFERROR(__xludf.DUMMYFUNCTION("""COMPUTED_VALUE"""),"3.2877593")</f>
        <v>3.2877593</v>
      </c>
      <c r="AA2160" s="4" t="str">
        <f t="shared" si="1"/>
        <v>Neighbor</v>
      </c>
      <c r="AC2160" s="4">
        <f>IFERROR(__xludf.DUMMYFUNCTION("IFERROR(ABS(O2160-AVERAGE(FILTER(O2160:O6228,AA2160:AA6228=""Neighbor""))) / STDEV(FILTER(O2160:O6228, AA2160:AA6228 =""Neighbor"")), """")"),0.028041734969963178)</f>
        <v>0.02804173497</v>
      </c>
      <c r="AD2160" s="4">
        <f>IFERROR(__xludf.DUMMYFUNCTION("IFERROR(ABS(P2160-AVERAGE(FILTER(O2160:P6228,AA2160:AA6228=""Neighbor""))) / STDEV(FILTER(P2160:P6228, AA2160:AA6228 =""Neighbor"")), """")"),1.3486157306931574)</f>
        <v>1.348615731</v>
      </c>
      <c r="AE2160" s="2">
        <f>IFERROR(__xludf.DUMMYFUNCTION("IFERROR(ABS(Q2160-AVERAGE(FILTER(Q2160:Q6228,AA2160:AA6228=""Neighbor""))) / STDEV(FILTER(Q2160:Q6228, AA2160:AA6228 =""Neighbor"")), """")"),0.6358091358481012)</f>
        <v>0.6358091358</v>
      </c>
      <c r="AF2160" s="2">
        <f>IFERROR(__xludf.DUMMYFUNCTION("IFERROR(ABS(R2160-AVERAGE(FILTER(R2160:R6228,AA2160:AA6228=""Neighbor""))) / STDEV(FILTER(R2160:R6228, AA2160:AA6228 =""Neighbor"")), """")"),0.34233850758777)</f>
        <v>0.3423385076</v>
      </c>
    </row>
    <row r="2161">
      <c r="A2161" s="2" t="s">
        <v>28</v>
      </c>
      <c r="B2161" s="2" t="s">
        <v>8509</v>
      </c>
      <c r="C2161" s="2" t="s">
        <v>8841</v>
      </c>
      <c r="D2161" s="2" t="s">
        <v>8850</v>
      </c>
      <c r="E2161" s="2" t="s">
        <v>8851</v>
      </c>
      <c r="F2161" s="2">
        <v>71.0</v>
      </c>
      <c r="G2161" s="2">
        <v>314.0</v>
      </c>
      <c r="H2161" s="2" t="b">
        <v>1</v>
      </c>
      <c r="I2161" s="2">
        <v>-1.0</v>
      </c>
      <c r="J2161" s="2" t="b">
        <v>0</v>
      </c>
      <c r="K2161" s="2" t="b">
        <v>0</v>
      </c>
      <c r="L2161" s="2" t="b">
        <v>0</v>
      </c>
      <c r="M2161" s="2" t="b">
        <v>0</v>
      </c>
      <c r="N2161" s="2" t="s">
        <v>33</v>
      </c>
      <c r="O2161" s="2">
        <v>37.0</v>
      </c>
      <c r="P2161" s="2">
        <v>9.0</v>
      </c>
      <c r="Q2161" s="2">
        <v>18.0</v>
      </c>
      <c r="R2161" s="2">
        <v>0.0</v>
      </c>
      <c r="S2161" s="3" t="s">
        <v>8852</v>
      </c>
      <c r="T2161" s="2" t="s">
        <v>8853</v>
      </c>
      <c r="Y2161" s="4" t="str">
        <f>IFERROR(__xludf.DUMMYFUNCTION("""COMPUTED_VALUE"""),"7.3098645")</f>
        <v>7.3098645</v>
      </c>
      <c r="Z2161" s="4" t="str">
        <f>IFERROR(__xludf.DUMMYFUNCTION("""COMPUTED_VALUE"""),"3.2877593")</f>
        <v>3.2877593</v>
      </c>
      <c r="AA2161" s="4" t="str">
        <f t="shared" si="1"/>
        <v>Not Neighbor</v>
      </c>
      <c r="AC2161" s="4">
        <f>IFERROR(__xludf.DUMMYFUNCTION("IFERROR(ABS(O2161-AVERAGE(FILTER(O2161:O6229,AA2161:AA6229=""Neighbor""))) / STDEV(FILTER(O2161:O6229, AA2161:AA6229 =""Neighbor"")), """")"),0.4400957479469892)</f>
        <v>0.4400957479</v>
      </c>
      <c r="AD2161" s="4">
        <f>IFERROR(__xludf.DUMMYFUNCTION("IFERROR(ABS(P2161-AVERAGE(FILTER(O2161:P6229,AA2161:AA6229=""Neighbor""))) / STDEV(FILTER(P2161:P6229, AA2161:AA6229 =""Neighbor"")), """")"),1.167542203533608)</f>
        <v>1.167542204</v>
      </c>
      <c r="AE2161" s="2">
        <f>IFERROR(__xludf.DUMMYFUNCTION("IFERROR(ABS(Q2161-AVERAGE(FILTER(Q2161:Q6229,AA2161:AA6229=""Neighbor""))) / STDEV(FILTER(Q2161:Q6229, AA2161:AA6229 =""Neighbor"")), """")"),0.11130033332369202)</f>
        <v>0.1113003333</v>
      </c>
      <c r="AF2161" s="2">
        <f>IFERROR(__xludf.DUMMYFUNCTION("IFERROR(ABS(R2161-AVERAGE(FILTER(R2161:R6229,AA2161:AA6229=""Neighbor""))) / STDEV(FILTER(R2161:R6229, AA2161:AA6229 =""Neighbor"")), """")"),0.34257997310246946)</f>
        <v>0.3425799731</v>
      </c>
    </row>
    <row r="2162">
      <c r="A2162" s="2" t="s">
        <v>28</v>
      </c>
      <c r="B2162" s="2" t="s">
        <v>8509</v>
      </c>
      <c r="C2162" s="2" t="s">
        <v>8841</v>
      </c>
      <c r="D2162" s="2" t="s">
        <v>8854</v>
      </c>
      <c r="E2162" s="2" t="s">
        <v>8855</v>
      </c>
      <c r="F2162" s="2">
        <v>59.0</v>
      </c>
      <c r="G2162" s="2">
        <v>228.0</v>
      </c>
      <c r="H2162" s="2" t="b">
        <v>1</v>
      </c>
      <c r="I2162" s="2">
        <v>-1.0</v>
      </c>
      <c r="J2162" s="2" t="b">
        <v>0</v>
      </c>
      <c r="K2162" s="2" t="b">
        <v>0</v>
      </c>
      <c r="L2162" s="2" t="b">
        <v>0</v>
      </c>
      <c r="M2162" s="2" t="b">
        <v>0</v>
      </c>
      <c r="N2162" s="2" t="s">
        <v>33</v>
      </c>
      <c r="O2162" s="2">
        <v>34.0</v>
      </c>
      <c r="P2162" s="2">
        <v>6.0</v>
      </c>
      <c r="Q2162" s="2">
        <v>17.0</v>
      </c>
      <c r="R2162" s="2">
        <v>0.0</v>
      </c>
      <c r="S2162" s="3" t="s">
        <v>8856</v>
      </c>
      <c r="T2162" s="2" t="s">
        <v>8857</v>
      </c>
      <c r="Y2162" s="4" t="str">
        <f>IFERROR(__xludf.DUMMYFUNCTION("""COMPUTED_VALUE"""),"7.3137975")</f>
        <v>7.3137975</v>
      </c>
      <c r="Z2162" s="4" t="str">
        <f>IFERROR(__xludf.DUMMYFUNCTION("""COMPUTED_VALUE"""),"3.3488096")</f>
        <v>3.3488096</v>
      </c>
      <c r="AA2162" s="4" t="str">
        <f t="shared" si="1"/>
        <v>Not Neighbor</v>
      </c>
      <c r="AC2162" s="4">
        <f>IFERROR(__xludf.DUMMYFUNCTION("IFERROR(ABS(O2162-AVERAGE(FILTER(O2162:O6230,AA2162:AA6230=""Neighbor""))) / STDEV(FILTER(O2162:O6230, AA2162:AA6230 =""Neighbor"")), """")"),0.5225030082545884)</f>
        <v>0.5225030083</v>
      </c>
      <c r="AD2162" s="4">
        <f>IFERROR(__xludf.DUMMYFUNCTION("IFERROR(ABS(P2162-AVERAGE(FILTER(O2162:P6230,AA2162:AA6230=""Neighbor""))) / STDEV(FILTER(P2162:P6230, AA2162:AA6230 =""Neighbor"")), """")"),1.3031554022113003)</f>
        <v>1.303155402</v>
      </c>
      <c r="AE2162" s="2">
        <f>IFERROR(__xludf.DUMMYFUNCTION("IFERROR(ABS(Q2162-AVERAGE(FILTER(Q2162:Q6230,AA2162:AA6230=""Neighbor""))) / STDEV(FILTER(Q2162:Q6230, AA2162:AA6230 =""Neighbor"")), """")"),0.15802993186883021)</f>
        <v>0.1580299319</v>
      </c>
      <c r="AF2162" s="2">
        <f>IFERROR(__xludf.DUMMYFUNCTION("IFERROR(ABS(R2162-AVERAGE(FILTER(R2162:R6230,AA2162:AA6230=""Neighbor""))) / STDEV(FILTER(R2162:R6230, AA2162:AA6230 =""Neighbor"")), """")"),0.34257997310246946)</f>
        <v>0.3425799731</v>
      </c>
    </row>
    <row r="2163">
      <c r="A2163" s="2" t="s">
        <v>28</v>
      </c>
      <c r="B2163" s="2" t="s">
        <v>8509</v>
      </c>
      <c r="C2163" s="2" t="s">
        <v>8841</v>
      </c>
      <c r="D2163" s="2" t="s">
        <v>8858</v>
      </c>
      <c r="E2163" s="2" t="s">
        <v>8859</v>
      </c>
      <c r="F2163" s="2">
        <v>57.0</v>
      </c>
      <c r="G2163" s="2">
        <v>357.0</v>
      </c>
      <c r="H2163" s="2" t="b">
        <v>1</v>
      </c>
      <c r="I2163" s="2">
        <v>-1.0</v>
      </c>
      <c r="J2163" s="2" t="b">
        <v>0</v>
      </c>
      <c r="K2163" s="2" t="b">
        <v>0</v>
      </c>
      <c r="L2163" s="2" t="b">
        <v>1</v>
      </c>
      <c r="M2163" s="2" t="b">
        <v>0</v>
      </c>
      <c r="N2163" s="2" t="s">
        <v>33</v>
      </c>
      <c r="O2163" s="2">
        <v>27.0</v>
      </c>
      <c r="P2163" s="2">
        <v>4.0</v>
      </c>
      <c r="Q2163" s="2">
        <v>22.0</v>
      </c>
      <c r="R2163" s="2">
        <v>0.0</v>
      </c>
      <c r="S2163" s="3" t="s">
        <v>8860</v>
      </c>
      <c r="T2163" s="2" t="s">
        <v>8861</v>
      </c>
      <c r="Y2163" s="4" t="str">
        <f>IFERROR(__xludf.DUMMYFUNCTION("""COMPUTED_VALUE"""),"7.3098645")</f>
        <v>7.3098645</v>
      </c>
      <c r="Z2163" s="4" t="str">
        <f>IFERROR(__xludf.DUMMYFUNCTION("""COMPUTED_VALUE"""),"3.2877593")</f>
        <v>3.2877593</v>
      </c>
      <c r="AA2163" s="4" t="str">
        <f t="shared" si="1"/>
        <v>Neighbor</v>
      </c>
      <c r="AC2163" s="4">
        <f>IFERROR(__xludf.DUMMYFUNCTION("IFERROR(ABS(O2163-AVERAGE(FILTER(O2163:O6231,AA2163:AA6231=""Neighbor""))) / STDEV(FILTER(O2163:O6231, AA2163:AA6231 =""Neighbor"")), """")"),0.7147866156389866)</f>
        <v>0.7147866156</v>
      </c>
      <c r="AD2163" s="4">
        <f>IFERROR(__xludf.DUMMYFUNCTION("IFERROR(ABS(P2163-AVERAGE(FILTER(O2163:P6231,AA2163:AA6231=""Neighbor""))) / STDEV(FILTER(P2163:P6231, AA2163:AA6231 =""Neighbor"")), """")"),1.3935642013297618)</f>
        <v>1.393564201</v>
      </c>
      <c r="AE2163" s="2">
        <f>IFERROR(__xludf.DUMMYFUNCTION("IFERROR(ABS(Q2163-AVERAGE(FILTER(Q2163:Q6231,AA2163:AA6231=""Neighbor""))) / STDEV(FILTER(Q2163:Q6231, AA2163:AA6231 =""Neighbor"")), """")"),0.07561806085686078)</f>
        <v>0.07561806086</v>
      </c>
      <c r="AF2163" s="2">
        <f>IFERROR(__xludf.DUMMYFUNCTION("IFERROR(ABS(R2163-AVERAGE(FILTER(R2163:R6231,AA2163:AA6231=""Neighbor""))) / STDEV(FILTER(R2163:R6231, AA2163:AA6231 =""Neighbor"")), """")"),0.34257997310246946)</f>
        <v>0.3425799731</v>
      </c>
    </row>
    <row r="2164">
      <c r="A2164" s="2" t="s">
        <v>28</v>
      </c>
      <c r="B2164" s="2" t="s">
        <v>8509</v>
      </c>
      <c r="C2164" s="2" t="s">
        <v>8841</v>
      </c>
      <c r="D2164" s="2" t="s">
        <v>8862</v>
      </c>
      <c r="E2164" s="2" t="s">
        <v>8863</v>
      </c>
      <c r="F2164" s="2">
        <v>133.0</v>
      </c>
      <c r="G2164" s="2">
        <v>633.0</v>
      </c>
      <c r="H2164" s="2" t="b">
        <v>1</v>
      </c>
      <c r="I2164" s="2">
        <v>-1.0</v>
      </c>
      <c r="J2164" s="2" t="b">
        <v>0</v>
      </c>
      <c r="K2164" s="2" t="b">
        <v>0</v>
      </c>
      <c r="L2164" s="2" t="b">
        <v>0</v>
      </c>
      <c r="M2164" s="2" t="b">
        <v>0</v>
      </c>
      <c r="N2164" s="2" t="s">
        <v>33</v>
      </c>
      <c r="O2164" s="2">
        <v>96.0</v>
      </c>
      <c r="P2164" s="2">
        <v>4.0</v>
      </c>
      <c r="Q2164" s="2">
        <v>27.0</v>
      </c>
      <c r="R2164" s="2">
        <v>0.0</v>
      </c>
      <c r="S2164" s="3" t="s">
        <v>8864</v>
      </c>
      <c r="T2164" s="2" t="s">
        <v>8865</v>
      </c>
      <c r="Y2164" s="4" t="str">
        <f>IFERROR(__xludf.DUMMYFUNCTION("""COMPUTED_VALUE"""),"7.3098645")</f>
        <v>7.3098645</v>
      </c>
      <c r="Z2164" s="4" t="str">
        <f>IFERROR(__xludf.DUMMYFUNCTION("""COMPUTED_VALUE"""),"3.2877593")</f>
        <v>3.2877593</v>
      </c>
      <c r="AA2164" s="4" t="str">
        <f t="shared" si="1"/>
        <v>Neighbor</v>
      </c>
      <c r="AC2164" s="4">
        <f>IFERROR(__xludf.DUMMYFUNCTION("IFERROR(ABS(O2164-AVERAGE(FILTER(O2164:O6232,AA2164:AA6232=""Neighbor""))) / STDEV(FILTER(O2164:O6232, AA2164:AA6232 =""Neighbor"")), """")"),1.1793106064367247)</f>
        <v>1.179310606</v>
      </c>
      <c r="AD2164" s="4">
        <f>IFERROR(__xludf.DUMMYFUNCTION("IFERROR(ABS(P2164-AVERAGE(FILTER(O2164:P6232,AA2164:AA6232=""Neighbor""))) / STDEV(FILTER(P2164:P6232, AA2164:AA6232 =""Neighbor"")), """")"),1.3940753967982782)</f>
        <v>1.394075397</v>
      </c>
      <c r="AE2164" s="2">
        <f>IFERROR(__xludf.DUMMYFUNCTION("IFERROR(ABS(Q2164-AVERAGE(FILTER(Q2164:Q6232,AA2164:AA6232=""Neighbor""))) / STDEV(FILTER(Q2164:Q6232, AA2164:AA6232 =""Neighbor"")), """")"),0.30916703236357207)</f>
        <v>0.3091670324</v>
      </c>
      <c r="AF2164" s="2">
        <f>IFERROR(__xludf.DUMMYFUNCTION("IFERROR(ABS(R2164-AVERAGE(FILTER(R2164:R6232,AA2164:AA6232=""Neighbor""))) / STDEV(FILTER(R2164:R6232, AA2164:AA6232 =""Neighbor"")), """")"),0.34282195036660706)</f>
        <v>0.3428219504</v>
      </c>
    </row>
    <row r="2165">
      <c r="A2165" s="2" t="s">
        <v>28</v>
      </c>
      <c r="B2165" s="2" t="s">
        <v>8509</v>
      </c>
      <c r="C2165" s="2" t="s">
        <v>8841</v>
      </c>
      <c r="D2165" s="2" t="s">
        <v>8866</v>
      </c>
      <c r="E2165" s="2" t="s">
        <v>8867</v>
      </c>
      <c r="F2165" s="2">
        <v>46.0</v>
      </c>
      <c r="G2165" s="2">
        <v>381.0</v>
      </c>
      <c r="H2165" s="2" t="b">
        <v>1</v>
      </c>
      <c r="I2165" s="2">
        <v>-1.0</v>
      </c>
      <c r="J2165" s="2" t="b">
        <v>0</v>
      </c>
      <c r="K2165" s="2" t="b">
        <v>0</v>
      </c>
      <c r="L2165" s="2" t="b">
        <v>0</v>
      </c>
      <c r="M2165" s="2" t="b">
        <v>0</v>
      </c>
      <c r="N2165" s="2" t="s">
        <v>33</v>
      </c>
      <c r="O2165" s="2">
        <v>33.0</v>
      </c>
      <c r="P2165" s="2">
        <v>0.0</v>
      </c>
      <c r="Q2165" s="2">
        <v>13.0</v>
      </c>
      <c r="R2165" s="2">
        <v>0.0</v>
      </c>
      <c r="S2165" s="3" t="s">
        <v>8868</v>
      </c>
      <c r="T2165" s="2" t="s">
        <v>8869</v>
      </c>
      <c r="Y2165" s="4" t="str">
        <f>IFERROR(__xludf.DUMMYFUNCTION("""COMPUTED_VALUE"""),"7.3098645")</f>
        <v>7.3098645</v>
      </c>
      <c r="Z2165" s="4" t="str">
        <f>IFERROR(__xludf.DUMMYFUNCTION("""COMPUTED_VALUE"""),"3.2877593")</f>
        <v>3.2877593</v>
      </c>
      <c r="AA2165" s="4" t="str">
        <f t="shared" si="1"/>
        <v>Not Neighbor</v>
      </c>
      <c r="AC2165" s="4">
        <f>IFERROR(__xludf.DUMMYFUNCTION("IFERROR(ABS(O2165-AVERAGE(FILTER(O2165:O6233,AA2165:AA6233=""Neighbor""))) / STDEV(FILTER(O2165:O6233, AA2165:AA6233 =""Neighbor"")), """")"),0.549348609861629)</f>
        <v>0.5493486099</v>
      </c>
      <c r="AD2165" s="4">
        <f>IFERROR(__xludf.DUMMYFUNCTION("IFERROR(ABS(P2165-AVERAGE(FILTER(O2165:P6233,AA2165:AA6233=""Neighbor""))) / STDEV(FILTER(P2165:P6233, AA2165:AA6233 =""Neighbor"")), """")"),1.5732768753662696)</f>
        <v>1.573276875</v>
      </c>
      <c r="AE2165" s="2">
        <f>IFERROR(__xludf.DUMMYFUNCTION("IFERROR(ABS(Q2165-AVERAGE(FILTER(Q2165:Q6233,AA2165:AA6233=""Neighbor""))) / STDEV(FILTER(Q2165:Q6233, AA2165:AA6233 =""Neighbor"")), """")"),0.3440463248003165)</f>
        <v>0.3440463248</v>
      </c>
      <c r="AF2165" s="2">
        <f>IFERROR(__xludf.DUMMYFUNCTION("IFERROR(ABS(R2165-AVERAGE(FILTER(R2165:R6233,AA2165:AA6233=""Neighbor""))) / STDEV(FILTER(R2165:R6233, AA2165:AA6233 =""Neighbor"")), """")"),0.34306444119061674)</f>
        <v>0.3430644412</v>
      </c>
    </row>
    <row r="2166">
      <c r="A2166" s="2" t="s">
        <v>28</v>
      </c>
      <c r="B2166" s="2" t="s">
        <v>8509</v>
      </c>
      <c r="C2166" s="2" t="s">
        <v>8870</v>
      </c>
      <c r="D2166" s="2" t="s">
        <v>8871</v>
      </c>
      <c r="E2166" s="2" t="s">
        <v>8872</v>
      </c>
      <c r="F2166" s="2">
        <v>117.0</v>
      </c>
      <c r="G2166" s="2">
        <v>551.0</v>
      </c>
      <c r="H2166" s="2" t="b">
        <v>1</v>
      </c>
      <c r="I2166" s="2">
        <v>-1.0</v>
      </c>
      <c r="J2166" s="2" t="b">
        <v>0</v>
      </c>
      <c r="K2166" s="2" t="b">
        <v>0</v>
      </c>
      <c r="L2166" s="2" t="b">
        <v>0</v>
      </c>
      <c r="M2166" s="2" t="b">
        <v>0</v>
      </c>
      <c r="N2166" s="2" t="s">
        <v>33</v>
      </c>
      <c r="O2166" s="2">
        <v>64.0</v>
      </c>
      <c r="P2166" s="2">
        <v>0.0</v>
      </c>
      <c r="Q2166" s="2">
        <v>14.0</v>
      </c>
      <c r="R2166" s="2">
        <v>0.0</v>
      </c>
      <c r="S2166" s="3" t="s">
        <v>8873</v>
      </c>
      <c r="T2166" s="2" t="s">
        <v>8874</v>
      </c>
      <c r="Y2166" s="4" t="str">
        <f>IFERROR(__xludf.DUMMYFUNCTION("""COMPUTED_VALUE"""),"7.3172955")</f>
        <v>7.3172955</v>
      </c>
      <c r="Z2166" s="4" t="str">
        <f>IFERROR(__xludf.DUMMYFUNCTION("""COMPUTED_VALUE"""),"3.3993751")</f>
        <v>3.3993751</v>
      </c>
      <c r="AA2166" s="4" t="str">
        <f t="shared" si="1"/>
        <v>Not Neighbor</v>
      </c>
      <c r="AC2166" s="4">
        <f>IFERROR(__xludf.DUMMYFUNCTION("IFERROR(ABS(O2166-AVERAGE(FILTER(O2166:O6234,AA2166:AA6234=""Neighbor""))) / STDEV(FILTER(O2166:O6234, AA2166:AA6234 =""Neighbor"")), """")"),0.302141735423896)</f>
        <v>0.3021417354</v>
      </c>
      <c r="AD2166" s="4">
        <f>IFERROR(__xludf.DUMMYFUNCTION("IFERROR(ABS(P2166-AVERAGE(FILTER(O2166:P6234,AA2166:AA6234=""Neighbor""))) / STDEV(FILTER(P2166:P6234, AA2166:AA6234 =""Neighbor"")), """")"),1.5732768753662696)</f>
        <v>1.573276875</v>
      </c>
      <c r="AE2166" s="2">
        <f>IFERROR(__xludf.DUMMYFUNCTION("IFERROR(ABS(Q2166-AVERAGE(FILTER(Q2166:Q6234,AA2166:AA6234=""Neighbor""))) / STDEV(FILTER(Q2166:Q6234, AA2166:AA6234 =""Neighbor"")), """")"),0.2973729151944964)</f>
        <v>0.2973729152</v>
      </c>
      <c r="AF2166" s="2">
        <f>IFERROR(__xludf.DUMMYFUNCTION("IFERROR(ABS(R2166-AVERAGE(FILTER(R2166:R6234,AA2166:AA6234=""Neighbor""))) / STDEV(FILTER(R2166:R6234, AA2166:AA6234 =""Neighbor"")), """")"),0.34306444119061674)</f>
        <v>0.3430644412</v>
      </c>
    </row>
    <row r="2167">
      <c r="A2167" s="2" t="s">
        <v>28</v>
      </c>
      <c r="B2167" s="2" t="s">
        <v>8509</v>
      </c>
      <c r="C2167" s="2" t="s">
        <v>8870</v>
      </c>
      <c r="D2167" s="2" t="s">
        <v>8875</v>
      </c>
      <c r="E2167" s="2" t="s">
        <v>8876</v>
      </c>
      <c r="F2167" s="2">
        <v>204.0</v>
      </c>
      <c r="G2167" s="2">
        <v>1288.0</v>
      </c>
      <c r="H2167" s="2" t="b">
        <v>1</v>
      </c>
      <c r="I2167" s="2">
        <v>-1.0</v>
      </c>
      <c r="J2167" s="2" t="b">
        <v>0</v>
      </c>
      <c r="K2167" s="2" t="b">
        <v>0</v>
      </c>
      <c r="L2167" s="2" t="b">
        <v>0</v>
      </c>
      <c r="M2167" s="2" t="b">
        <v>0</v>
      </c>
      <c r="N2167" s="2" t="s">
        <v>33</v>
      </c>
      <c r="O2167" s="2">
        <v>155.0</v>
      </c>
      <c r="P2167" s="2">
        <v>15.0</v>
      </c>
      <c r="Q2167" s="2">
        <v>20.0</v>
      </c>
      <c r="R2167" s="2">
        <v>0.0</v>
      </c>
      <c r="S2167" s="3" t="s">
        <v>8877</v>
      </c>
      <c r="T2167" s="2" t="s">
        <v>8878</v>
      </c>
      <c r="Y2167" s="4" t="str">
        <f>IFERROR(__xludf.DUMMYFUNCTION("""COMPUTED_VALUE"""),"7.2335592")</f>
        <v>7.2335592</v>
      </c>
      <c r="Z2167" s="4" t="str">
        <f>IFERROR(__xludf.DUMMYFUNCTION("""COMPUTED_VALUE"""),"3.3395213")</f>
        <v>3.3395213</v>
      </c>
      <c r="AA2167" s="4" t="str">
        <f t="shared" si="1"/>
        <v>Not Neighbor</v>
      </c>
      <c r="AC2167" s="4">
        <f>IFERROR(__xludf.DUMMYFUNCTION("IFERROR(ABS(O2167-AVERAGE(FILTER(O2167:O6235,AA2167:AA6235=""Neighbor""))) / STDEV(FILTER(O2167:O6235, AA2167:AA6235 =""Neighbor"")), """")"),2.801677910294308)</f>
        <v>2.80167791</v>
      </c>
      <c r="AD2167" s="4">
        <f>IFERROR(__xludf.DUMMYFUNCTION("IFERROR(ABS(P2167-AVERAGE(FILTER(O2167:P6235,AA2167:AA6235=""Neighbor""))) / STDEV(FILTER(P2167:P6235, AA2167:AA6235 =""Neighbor"")), """")"),0.8957892256870148)</f>
        <v>0.8957892257</v>
      </c>
      <c r="AE2167" s="2">
        <f>IFERROR(__xludf.DUMMYFUNCTION("IFERROR(ABS(Q2167-AVERAGE(FILTER(Q2167:Q6235,AA2167:AA6235=""Neighbor""))) / STDEV(FILTER(Q2167:Q6235, AA2167:AA6235 =""Neighbor"")), """")"),0.01733245755957583)</f>
        <v>0.01733245756</v>
      </c>
      <c r="AF2167" s="2">
        <f>IFERROR(__xludf.DUMMYFUNCTION("IFERROR(ABS(R2167-AVERAGE(FILTER(R2167:R6235,AA2167:AA6235=""Neighbor""))) / STDEV(FILTER(R2167:R6235, AA2167:AA6235 =""Neighbor"")), """")"),0.34306444119061674)</f>
        <v>0.3430644412</v>
      </c>
    </row>
    <row r="2168">
      <c r="A2168" s="2" t="s">
        <v>28</v>
      </c>
      <c r="B2168" s="2" t="s">
        <v>8509</v>
      </c>
      <c r="C2168" s="2" t="s">
        <v>8870</v>
      </c>
      <c r="D2168" s="2" t="s">
        <v>8879</v>
      </c>
      <c r="E2168" s="2" t="s">
        <v>8880</v>
      </c>
      <c r="F2168" s="2">
        <v>34.0</v>
      </c>
      <c r="G2168" s="2">
        <v>249.0</v>
      </c>
      <c r="H2168" s="2" t="b">
        <v>1</v>
      </c>
      <c r="I2168" s="2">
        <v>-1.0</v>
      </c>
      <c r="J2168" s="2" t="b">
        <v>0</v>
      </c>
      <c r="K2168" s="2" t="b">
        <v>0</v>
      </c>
      <c r="L2168" s="2" t="b">
        <v>0</v>
      </c>
      <c r="M2168" s="2" t="b">
        <v>0</v>
      </c>
      <c r="N2168" s="2" t="s">
        <v>33</v>
      </c>
      <c r="O2168" s="2">
        <v>26.0</v>
      </c>
      <c r="P2168" s="2">
        <v>0.0</v>
      </c>
      <c r="Q2168" s="2">
        <v>6.0</v>
      </c>
      <c r="R2168" s="2">
        <v>0.0</v>
      </c>
      <c r="S2168" s="3" t="s">
        <v>8881</v>
      </c>
      <c r="T2168" s="2" t="s">
        <v>8882</v>
      </c>
      <c r="Y2168" s="4" t="str">
        <f>IFERROR(__xludf.DUMMYFUNCTION("""COMPUTED_VALUE"""),"7.2946562")</f>
        <v>7.2946562</v>
      </c>
      <c r="Z2168" s="4" t="str">
        <f>IFERROR(__xludf.DUMMYFUNCTION("""COMPUTED_VALUE"""),"3.5407909")</f>
        <v>3.5407909</v>
      </c>
      <c r="AA2168" s="4" t="str">
        <f t="shared" si="1"/>
        <v>Not Neighbor</v>
      </c>
      <c r="AC2168" s="4">
        <f>IFERROR(__xludf.DUMMYFUNCTION("IFERROR(ABS(O2168-AVERAGE(FILTER(O2168:O6236,AA2168:AA6236=""Neighbor""))) / STDEV(FILTER(O2168:O6236, AA2168:AA6236 =""Neighbor"")), """")"),0.7416206233131992)</f>
        <v>0.7416206233</v>
      </c>
      <c r="AD2168" s="4">
        <f>IFERROR(__xludf.DUMMYFUNCTION("IFERROR(ABS(P2168-AVERAGE(FILTER(O2168:P6236,AA2168:AA6236=""Neighbor""))) / STDEV(FILTER(P2168:P6236, AA2168:AA6236 =""Neighbor"")), """")"),1.5732768753662696)</f>
        <v>1.573276875</v>
      </c>
      <c r="AE2168" s="2">
        <f>IFERROR(__xludf.DUMMYFUNCTION("IFERROR(ABS(Q2168-AVERAGE(FILTER(Q2168:Q6236,AA2168:AA6236=""Neighbor""))) / STDEV(FILTER(Q2168:Q6236, AA2168:AA6236 =""Neighbor"")), """")"),0.6707601920410571)</f>
        <v>0.670760192</v>
      </c>
      <c r="AF2168" s="2">
        <f>IFERROR(__xludf.DUMMYFUNCTION("IFERROR(ABS(R2168-AVERAGE(FILTER(R2168:R6236,AA2168:AA6236=""Neighbor""))) / STDEV(FILTER(R2168:R6236, AA2168:AA6236 =""Neighbor"")), """")"),0.34306444119061674)</f>
        <v>0.3430644412</v>
      </c>
    </row>
    <row r="2169">
      <c r="A2169" s="2" t="s">
        <v>28</v>
      </c>
      <c r="B2169" s="2" t="s">
        <v>8509</v>
      </c>
      <c r="C2169" s="2" t="s">
        <v>8870</v>
      </c>
      <c r="D2169" s="2" t="s">
        <v>8883</v>
      </c>
      <c r="E2169" s="2" t="s">
        <v>8884</v>
      </c>
      <c r="F2169" s="2">
        <v>231.0</v>
      </c>
      <c r="G2169" s="2">
        <v>941.0</v>
      </c>
      <c r="H2169" s="2" t="b">
        <v>1</v>
      </c>
      <c r="I2169" s="2">
        <v>-1.0</v>
      </c>
      <c r="J2169" s="2" t="b">
        <v>0</v>
      </c>
      <c r="K2169" s="2" t="b">
        <v>0</v>
      </c>
      <c r="L2169" s="2" t="b">
        <v>0</v>
      </c>
      <c r="M2169" s="2" t="b">
        <v>0</v>
      </c>
      <c r="N2169" s="2" t="s">
        <v>33</v>
      </c>
      <c r="O2169" s="2">
        <v>147.0</v>
      </c>
      <c r="P2169" s="2">
        <v>37.0</v>
      </c>
      <c r="Q2169" s="2">
        <v>30.0</v>
      </c>
      <c r="R2169" s="2">
        <v>1.0</v>
      </c>
      <c r="S2169" s="3" t="s">
        <v>8885</v>
      </c>
      <c r="T2169" s="2" t="s">
        <v>8886</v>
      </c>
      <c r="Y2169" s="4" t="str">
        <f>IFERROR(__xludf.DUMMYFUNCTION("""COMPUTED_VALUE"""),"6.7798706")</f>
        <v>6.7798706</v>
      </c>
      <c r="Z2169" s="4" t="str">
        <f>IFERROR(__xludf.DUMMYFUNCTION("""COMPUTED_VALUE"""),"3.1083235")</f>
        <v>3.1083235</v>
      </c>
      <c r="AA2169" s="4" t="str">
        <f t="shared" si="1"/>
        <v>Not Neighbor</v>
      </c>
      <c r="AC2169" s="4">
        <f>IFERROR(__xludf.DUMMYFUNCTION("IFERROR(ABS(O2169-AVERAGE(FILTER(O2169:O6237,AA2169:AA6237=""Neighbor""))) / STDEV(FILTER(O2169:O6237, AA2169:AA6237 =""Neighbor"")), """")"),2.5819384663496567)</f>
        <v>2.581938466</v>
      </c>
      <c r="AD2169" s="4">
        <f>IFERROR(__xludf.DUMMYFUNCTION("IFERROR(ABS(P2169-AVERAGE(FILTER(O2169:P6237,AA2169:AA6237=""Neighbor""))) / STDEV(FILTER(P2169:P6237, AA2169:AA6237 =""Neighbor"")), """")"),0.09785932717589226)</f>
        <v>0.09785932718</v>
      </c>
      <c r="AE2169" s="2">
        <f>IFERROR(__xludf.DUMMYFUNCTION("IFERROR(ABS(Q2169-AVERAGE(FILTER(Q2169:Q6237,AA2169:AA6237=""Neighbor""))) / STDEV(FILTER(Q2169:Q6237, AA2169:AA6237 =""Neighbor"")), """")"),0.4494016384986251)</f>
        <v>0.4494016385</v>
      </c>
      <c r="AF2169" s="2">
        <f>IFERROR(__xludf.DUMMYFUNCTION("IFERROR(ABS(R2169-AVERAGE(FILTER(R2169:R6237,AA2169:AA6237=""Neighbor""))) / STDEV(FILTER(R2169:R6237, AA2169:AA6237 =""Neighbor"")), """")"),0.8337957505458903)</f>
        <v>0.8337957505</v>
      </c>
    </row>
    <row r="2170">
      <c r="A2170" s="2" t="s">
        <v>28</v>
      </c>
      <c r="B2170" s="2" t="s">
        <v>8509</v>
      </c>
      <c r="C2170" s="2" t="s">
        <v>8870</v>
      </c>
      <c r="D2170" s="2" t="s">
        <v>8887</v>
      </c>
      <c r="E2170" s="2" t="s">
        <v>8888</v>
      </c>
      <c r="F2170" s="2">
        <v>220.0</v>
      </c>
      <c r="G2170" s="2">
        <v>790.0</v>
      </c>
      <c r="H2170" s="2" t="b">
        <v>1</v>
      </c>
      <c r="I2170" s="2">
        <v>-1.0</v>
      </c>
      <c r="J2170" s="2" t="b">
        <v>1</v>
      </c>
      <c r="K2170" s="2" t="b">
        <v>0</v>
      </c>
      <c r="L2170" s="2" t="b">
        <v>0</v>
      </c>
      <c r="M2170" s="2" t="b">
        <v>0</v>
      </c>
      <c r="N2170" s="2" t="s">
        <v>33</v>
      </c>
      <c r="O2170" s="2">
        <v>129.0</v>
      </c>
      <c r="P2170" s="2">
        <v>10.0</v>
      </c>
      <c r="Q2170" s="2">
        <v>62.0</v>
      </c>
      <c r="R2170" s="2">
        <v>1.0</v>
      </c>
      <c r="S2170" s="3" t="s">
        <v>8889</v>
      </c>
      <c r="T2170" s="2" t="s">
        <v>8890</v>
      </c>
      <c r="Y2170" s="4" t="str">
        <f>IFERROR(__xludf.DUMMYFUNCTION("""COMPUTED_VALUE"""),"7.2212062")</f>
        <v>7.2212062</v>
      </c>
      <c r="Z2170" s="4" t="str">
        <f>IFERROR(__xludf.DUMMYFUNCTION("""COMPUTED_VALUE"""),"3.3722744")</f>
        <v>3.3722744</v>
      </c>
      <c r="AA2170" s="4" t="str">
        <f t="shared" si="1"/>
        <v>Not Neighbor</v>
      </c>
      <c r="AC2170" s="4">
        <f>IFERROR(__xludf.DUMMYFUNCTION("IFERROR(ABS(O2170-AVERAGE(FILTER(O2170:O6238,AA2170:AA6238=""Neighbor""))) / STDEV(FILTER(O2170:O6238, AA2170:AA6238 =""Neighbor"")), """")"),2.0875247174741904)</f>
        <v>2.087524717</v>
      </c>
      <c r="AD2170" s="4">
        <f>IFERROR(__xludf.DUMMYFUNCTION("IFERROR(ABS(P2170-AVERAGE(FILTER(O2170:P6238,AA2170:AA6238=""Neighbor""))) / STDEV(FILTER(P2170:P6238, AA2170:AA6238 =""Neighbor"")), """")"),1.1216184422467665)</f>
        <v>1.121618442</v>
      </c>
      <c r="AE2170" s="2">
        <f>IFERROR(__xludf.DUMMYFUNCTION("IFERROR(ABS(Q2170-AVERAGE(FILTER(Q2170:Q6238,AA2170:AA6238=""Neighbor""))) / STDEV(FILTER(Q2170:Q6238, AA2170:AA6238 =""Neighbor"")), """")"),1.9429507458848683)</f>
        <v>1.942950746</v>
      </c>
      <c r="AF2170" s="2">
        <f>IFERROR(__xludf.DUMMYFUNCTION("IFERROR(ABS(R2170-AVERAGE(FILTER(R2170:R6238,AA2170:AA6238=""Neighbor""))) / STDEV(FILTER(R2170:R6238, AA2170:AA6238 =""Neighbor"")), """")"),0.8337957505458903)</f>
        <v>0.8337957505</v>
      </c>
    </row>
    <row r="2171">
      <c r="A2171" s="2" t="s">
        <v>28</v>
      </c>
      <c r="B2171" s="2" t="s">
        <v>8509</v>
      </c>
      <c r="C2171" s="2" t="s">
        <v>8870</v>
      </c>
      <c r="D2171" s="2" t="s">
        <v>8891</v>
      </c>
      <c r="E2171" s="2" t="s">
        <v>8892</v>
      </c>
      <c r="F2171" s="2">
        <v>97.0</v>
      </c>
      <c r="G2171" s="2">
        <v>390.0</v>
      </c>
      <c r="H2171" s="2" t="b">
        <v>1</v>
      </c>
      <c r="I2171" s="2">
        <v>-1.0</v>
      </c>
      <c r="J2171" s="2" t="b">
        <v>0</v>
      </c>
      <c r="K2171" s="2" t="b">
        <v>1</v>
      </c>
      <c r="L2171" s="2" t="b">
        <v>0</v>
      </c>
      <c r="M2171" s="2" t="b">
        <v>0</v>
      </c>
      <c r="N2171" s="2" t="s">
        <v>33</v>
      </c>
      <c r="O2171" s="2">
        <v>59.0</v>
      </c>
      <c r="P2171" s="2">
        <v>4.0</v>
      </c>
      <c r="Q2171" s="2">
        <v>20.0</v>
      </c>
      <c r="R2171" s="2">
        <v>1.0</v>
      </c>
      <c r="S2171" s="3" t="s">
        <v>8893</v>
      </c>
      <c r="T2171" s="2" t="s">
        <v>8894</v>
      </c>
      <c r="Y2171" s="4" t="str">
        <f>IFERROR(__xludf.DUMMYFUNCTION("""COMPUTED_VALUE"""),"7.3217523")</f>
        <v>7.3217523</v>
      </c>
      <c r="Z2171" s="4" t="str">
        <f>IFERROR(__xludf.DUMMYFUNCTION("""COMPUTED_VALUE"""),"3.3778666")</f>
        <v>3.3778666</v>
      </c>
      <c r="AA2171" s="4" t="str">
        <f t="shared" si="1"/>
        <v>Not Neighbor</v>
      </c>
      <c r="AC2171" s="4">
        <f>IFERROR(__xludf.DUMMYFUNCTION("IFERROR(ABS(O2171-AVERAGE(FILTER(O2171:O6239,AA2171:AA6239=""Neighbor""))) / STDEV(FILTER(O2171:O6239, AA2171:AA6239 =""Neighbor"")), """")"),0.1648045829584887)</f>
        <v>0.164804583</v>
      </c>
      <c r="AD2171" s="4">
        <f>IFERROR(__xludf.DUMMYFUNCTION("IFERROR(ABS(P2171-AVERAGE(FILTER(O2171:P6239,AA2171:AA6239=""Neighbor""))) / STDEV(FILTER(P2171:P6239, AA2171:AA6239 =""Neighbor"")), """")"),1.3926135021184685)</f>
        <v>1.392613502</v>
      </c>
      <c r="AE2171" s="2">
        <f>IFERROR(__xludf.DUMMYFUNCTION("IFERROR(ABS(Q2171-AVERAGE(FILTER(Q2171:Q6239,AA2171:AA6239=""Neighbor""))) / STDEV(FILTER(Q2171:Q6239, AA2171:AA6239 =""Neighbor"")), """")"),0.01733245755957583)</f>
        <v>0.01733245756</v>
      </c>
      <c r="AF2171" s="2">
        <f>IFERROR(__xludf.DUMMYFUNCTION("IFERROR(ABS(R2171-AVERAGE(FILTER(R2171:R6239,AA2171:AA6239=""Neighbor""))) / STDEV(FILTER(R2171:R6239, AA2171:AA6239 =""Neighbor"")), """")"),0.8337957505458903)</f>
        <v>0.8337957505</v>
      </c>
    </row>
    <row r="2172">
      <c r="A2172" s="2" t="s">
        <v>28</v>
      </c>
      <c r="B2172" s="2" t="s">
        <v>8509</v>
      </c>
      <c r="C2172" s="2" t="s">
        <v>8870</v>
      </c>
      <c r="D2172" s="2" t="s">
        <v>8895</v>
      </c>
      <c r="E2172" s="2" t="s">
        <v>8896</v>
      </c>
      <c r="F2172" s="2">
        <v>127.0</v>
      </c>
      <c r="G2172" s="2">
        <v>415.0</v>
      </c>
      <c r="H2172" s="2" t="b">
        <v>1</v>
      </c>
      <c r="I2172" s="2">
        <v>-1.0</v>
      </c>
      <c r="J2172" s="2" t="b">
        <v>0</v>
      </c>
      <c r="K2172" s="2" t="b">
        <v>0</v>
      </c>
      <c r="L2172" s="2" t="b">
        <v>0</v>
      </c>
      <c r="M2172" s="2" t="b">
        <v>0</v>
      </c>
      <c r="N2172" s="2" t="s">
        <v>33</v>
      </c>
      <c r="O2172" s="2">
        <v>118.0</v>
      </c>
      <c r="P2172" s="2">
        <v>0.0</v>
      </c>
      <c r="Q2172" s="2">
        <v>4.0</v>
      </c>
      <c r="R2172" s="2">
        <v>0.0</v>
      </c>
      <c r="S2172" s="3" t="s">
        <v>8897</v>
      </c>
      <c r="T2172" s="2" t="s">
        <v>8898</v>
      </c>
      <c r="Y2172" s="4" t="str">
        <f>IFERROR(__xludf.DUMMYFUNCTION("""COMPUTED_VALUE"""),"7.2361632")</f>
        <v>7.2361632</v>
      </c>
      <c r="Z2172" s="4" t="str">
        <f>IFERROR(__xludf.DUMMYFUNCTION("""COMPUTED_VALUE"""),"3.3400723")</f>
        <v>3.3400723</v>
      </c>
      <c r="AA2172" s="4" t="str">
        <f t="shared" si="1"/>
        <v>Not Neighbor</v>
      </c>
      <c r="AC2172" s="4">
        <f>IFERROR(__xludf.DUMMYFUNCTION("IFERROR(ABS(O2172-AVERAGE(FILTER(O2172:O6240,AA2172:AA6240=""Neighbor""))) / STDEV(FILTER(O2172:O6240, AA2172:AA6240 =""Neighbor"")), """")"),1.7853829820502944)</f>
        <v>1.785382982</v>
      </c>
      <c r="AD2172" s="4">
        <f>IFERROR(__xludf.DUMMYFUNCTION("IFERROR(ABS(P2172-AVERAGE(FILTER(O2172:P6240,AA2172:AA6240=""Neighbor""))) / STDEV(FILTER(P2172:P6240, AA2172:AA6240 =""Neighbor"")), """")"),1.5732768753662696)</f>
        <v>1.573276875</v>
      </c>
      <c r="AE2172" s="2">
        <f>IFERROR(__xludf.DUMMYFUNCTION("IFERROR(ABS(Q2172-AVERAGE(FILTER(Q2172:Q6240,AA2172:AA6240=""Neighbor""))) / STDEV(FILTER(Q2172:Q6240, AA2172:AA6240 =""Neighbor"")), """")"),0.7641070112526973)</f>
        <v>0.7641070113</v>
      </c>
      <c r="AF2172" s="2">
        <f>IFERROR(__xludf.DUMMYFUNCTION("IFERROR(ABS(R2172-AVERAGE(FILTER(R2172:R6240,AA2172:AA6240=""Neighbor""))) / STDEV(FILTER(R2172:R6240, AA2172:AA6240 =""Neighbor"")), """")"),0.34306444119061674)</f>
        <v>0.3430644412</v>
      </c>
    </row>
    <row r="2173">
      <c r="A2173" s="2" t="s">
        <v>28</v>
      </c>
      <c r="B2173" s="2" t="s">
        <v>8509</v>
      </c>
      <c r="C2173" s="2" t="s">
        <v>8870</v>
      </c>
      <c r="D2173" s="2" t="s">
        <v>8899</v>
      </c>
      <c r="E2173" s="2" t="s">
        <v>8900</v>
      </c>
      <c r="F2173" s="2">
        <v>66.0</v>
      </c>
      <c r="G2173" s="2">
        <v>263.0</v>
      </c>
      <c r="H2173" s="2" t="b">
        <v>1</v>
      </c>
      <c r="I2173" s="2">
        <v>-1.0</v>
      </c>
      <c r="J2173" s="2" t="b">
        <v>0</v>
      </c>
      <c r="K2173" s="2" t="b">
        <v>0</v>
      </c>
      <c r="L2173" s="2" t="b">
        <v>0</v>
      </c>
      <c r="M2173" s="2" t="b">
        <v>0</v>
      </c>
      <c r="N2173" s="2" t="s">
        <v>33</v>
      </c>
      <c r="O2173" s="2">
        <v>46.0</v>
      </c>
      <c r="P2173" s="2">
        <v>0.0</v>
      </c>
      <c r="Q2173" s="2">
        <v>12.0</v>
      </c>
      <c r="R2173" s="2">
        <v>0.0</v>
      </c>
      <c r="S2173" s="3" t="s">
        <v>8901</v>
      </c>
      <c r="T2173" s="2" t="s">
        <v>8902</v>
      </c>
      <c r="Y2173" s="4" t="str">
        <f>IFERROR(__xludf.DUMMYFUNCTION("""COMPUTED_VALUE"""),"7.3217523")</f>
        <v>7.3217523</v>
      </c>
      <c r="Z2173" s="4" t="str">
        <f>IFERROR(__xludf.DUMMYFUNCTION("""COMPUTED_VALUE"""),"3.3778666")</f>
        <v>3.3778666</v>
      </c>
      <c r="AA2173" s="4" t="str">
        <f t="shared" si="1"/>
        <v>Not Neighbor</v>
      </c>
      <c r="AC2173" s="4">
        <f>IFERROR(__xludf.DUMMYFUNCTION("IFERROR(ABS(O2173-AVERAGE(FILTER(O2173:O6241,AA2173:AA6241=""Neighbor""))) / STDEV(FILTER(O2173:O6241, AA2173:AA6241 =""Neighbor"")), """")"),0.1922720134515702)</f>
        <v>0.1922720135</v>
      </c>
      <c r="AD2173" s="4">
        <f>IFERROR(__xludf.DUMMYFUNCTION("IFERROR(ABS(P2173-AVERAGE(FILTER(O2173:P6241,AA2173:AA6241=""Neighbor""))) / STDEV(FILTER(P2173:P6241, AA2173:AA6241 =""Neighbor"")), """")"),1.5732768753662696)</f>
        <v>1.573276875</v>
      </c>
      <c r="AE2173" s="2">
        <f>IFERROR(__xludf.DUMMYFUNCTION("IFERROR(ABS(Q2173-AVERAGE(FILTER(Q2173:Q6241,AA2173:AA6241=""Neighbor""))) / STDEV(FILTER(Q2173:Q6241, AA2173:AA6241 =""Neighbor"")), """")"),0.39071973440613655)</f>
        <v>0.3907197344</v>
      </c>
      <c r="AF2173" s="2">
        <f>IFERROR(__xludf.DUMMYFUNCTION("IFERROR(ABS(R2173-AVERAGE(FILTER(R2173:R6241,AA2173:AA6241=""Neighbor""))) / STDEV(FILTER(R2173:R6241, AA2173:AA6241 =""Neighbor"")), """")"),0.34306444119061674)</f>
        <v>0.3430644412</v>
      </c>
    </row>
    <row r="2174">
      <c r="A2174" s="2" t="s">
        <v>28</v>
      </c>
      <c r="B2174" s="2" t="s">
        <v>8509</v>
      </c>
      <c r="C2174" s="2" t="s">
        <v>8870</v>
      </c>
      <c r="D2174" s="2" t="s">
        <v>8903</v>
      </c>
      <c r="E2174" s="2" t="s">
        <v>8904</v>
      </c>
      <c r="F2174" s="2">
        <v>271.0</v>
      </c>
      <c r="G2174" s="2">
        <v>1104.0</v>
      </c>
      <c r="H2174" s="2" t="b">
        <v>1</v>
      </c>
      <c r="I2174" s="2">
        <v>-1.0</v>
      </c>
      <c r="J2174" s="2" t="b">
        <v>0</v>
      </c>
      <c r="K2174" s="2" t="b">
        <v>0</v>
      </c>
      <c r="L2174" s="2" t="b">
        <v>0</v>
      </c>
      <c r="M2174" s="2" t="b">
        <v>0</v>
      </c>
      <c r="N2174" s="2" t="s">
        <v>33</v>
      </c>
      <c r="O2174" s="2">
        <v>0.0</v>
      </c>
      <c r="P2174" s="2">
        <v>0.0</v>
      </c>
      <c r="Q2174" s="2">
        <v>0.0</v>
      </c>
      <c r="R2174" s="2">
        <v>0.0</v>
      </c>
      <c r="S2174" s="3" t="s">
        <v>8905</v>
      </c>
      <c r="T2174" s="2" t="s">
        <v>8906</v>
      </c>
      <c r="Y2174" s="4" t="str">
        <f>IFERROR(__xludf.DUMMYFUNCTION("""COMPUTED_VALUE"""),"7.2274976")</f>
        <v>7.2274976</v>
      </c>
      <c r="Z2174" s="4" t="str">
        <f>IFERROR(__xludf.DUMMYFUNCTION("""COMPUTED_VALUE"""),"3.340151")</f>
        <v>3.340151</v>
      </c>
      <c r="AA2174" s="4" t="str">
        <f t="shared" si="1"/>
        <v>Neighbor</v>
      </c>
      <c r="AC2174" s="4">
        <f>IFERROR(__xludf.DUMMYFUNCTION("IFERROR(ABS(O2174-AVERAGE(FILTER(O2174:O6242,AA2174:AA6242=""Neighbor""))) / STDEV(FILTER(O2174:O6242, AA2174:AA6242 =""Neighbor"")), """")"),1.4557738161333171)</f>
        <v>1.455773816</v>
      </c>
      <c r="AD2174" s="4">
        <f>IFERROR(__xludf.DUMMYFUNCTION("IFERROR(ABS(P2174-AVERAGE(FILTER(O2174:P6242,AA2174:AA6242=""Neighbor""))) / STDEV(FILTER(P2174:P6242, AA2174:AA6242 =""Neighbor"")), """")"),1.5732768753662696)</f>
        <v>1.573276875</v>
      </c>
      <c r="AE2174" s="2">
        <f>IFERROR(__xludf.DUMMYFUNCTION("IFERROR(ABS(Q2174-AVERAGE(FILTER(Q2174:Q6242,AA2174:AA6242=""Neighbor""))) / STDEV(FILTER(Q2174:Q6242, AA2174:AA6242 =""Neighbor"")), """")"),0.9508006496759777)</f>
        <v>0.9508006497</v>
      </c>
      <c r="AF2174" s="2">
        <f>IFERROR(__xludf.DUMMYFUNCTION("IFERROR(ABS(R2174-AVERAGE(FILTER(R2174:R6242,AA2174:AA6242=""Neighbor""))) / STDEV(FILTER(R2174:R6242, AA2174:AA6242 =""Neighbor"")), """")"),0.34306444119061674)</f>
        <v>0.3430644412</v>
      </c>
    </row>
    <row r="2175">
      <c r="A2175" s="2" t="s">
        <v>28</v>
      </c>
      <c r="B2175" s="2" t="s">
        <v>8509</v>
      </c>
      <c r="C2175" s="2" t="s">
        <v>8870</v>
      </c>
      <c r="D2175" s="2" t="s">
        <v>8907</v>
      </c>
      <c r="E2175" s="2" t="s">
        <v>8908</v>
      </c>
      <c r="F2175" s="2">
        <v>250.0</v>
      </c>
      <c r="G2175" s="2">
        <v>989.0</v>
      </c>
      <c r="H2175" s="2" t="b">
        <v>1</v>
      </c>
      <c r="I2175" s="2">
        <v>-1.0</v>
      </c>
      <c r="J2175" s="2" t="b">
        <v>0</v>
      </c>
      <c r="K2175" s="2" t="b">
        <v>0</v>
      </c>
      <c r="L2175" s="2" t="b">
        <v>0</v>
      </c>
      <c r="M2175" s="2" t="b">
        <v>0</v>
      </c>
      <c r="N2175" s="2" t="s">
        <v>33</v>
      </c>
      <c r="O2175" s="2">
        <v>175.0</v>
      </c>
      <c r="P2175" s="2">
        <v>32.0</v>
      </c>
      <c r="Q2175" s="2">
        <v>23.0</v>
      </c>
      <c r="R2175" s="2">
        <v>0.0</v>
      </c>
      <c r="S2175" s="3" t="s">
        <v>8909</v>
      </c>
      <c r="T2175" s="2" t="s">
        <v>8910</v>
      </c>
      <c r="Y2175" s="4" t="str">
        <f>IFERROR(__xludf.DUMMYFUNCTION("""COMPUTED_VALUE"""),"7.2274976")</f>
        <v>7.2274976</v>
      </c>
      <c r="Z2175" s="4" t="str">
        <f>IFERROR(__xludf.DUMMYFUNCTION("""COMPUTED_VALUE"""),"3.340151")</f>
        <v>3.340151</v>
      </c>
      <c r="AA2175" s="4" t="str">
        <f t="shared" si="1"/>
        <v>Not Neighbor</v>
      </c>
      <c r="AC2175" s="4">
        <f>IFERROR(__xludf.DUMMYFUNCTION("IFERROR(ABS(O2175-AVERAGE(FILTER(O2175:O6243,AA2175:AA6243=""Neighbor""))) / STDEV(FILTER(O2175:O6243, AA2175:AA6243 =""Neighbor"")), """")"),3.351568983727666)</f>
        <v>3.351568984</v>
      </c>
      <c r="AD2175" s="4">
        <f>IFERROR(__xludf.DUMMYFUNCTION("IFERROR(ABS(P2175-AVERAGE(FILTER(O2175:P6243,AA2175:AA6243=""Neighbor""))) / STDEV(FILTER(P2175:P6243, AA2175:AA6243 =""Neighbor"")), """")"),0.12993072599279765)</f>
        <v>0.129930726</v>
      </c>
      <c r="AE2175" s="2">
        <f>IFERROR(__xludf.DUMMYFUNCTION("IFERROR(ABS(Q2175-AVERAGE(FILTER(Q2175:Q6243,AA2175:AA6243=""Neighbor""))) / STDEV(FILTER(Q2175:Q6243, AA2175:AA6243 =""Neighbor"")), """")"),0.12147385307098507)</f>
        <v>0.1214738531</v>
      </c>
      <c r="AF2175" s="2">
        <f>IFERROR(__xludf.DUMMYFUNCTION("IFERROR(ABS(R2175-AVERAGE(FILTER(R2175:R6243,AA2175:AA6243=""Neighbor""))) / STDEV(FILTER(R2175:R6243, AA2175:AA6243 =""Neighbor"")), """")"),0.3433074473939129)</f>
        <v>0.3433074474</v>
      </c>
    </row>
    <row r="2176">
      <c r="A2176" s="2" t="s">
        <v>28</v>
      </c>
      <c r="B2176" s="2" t="s">
        <v>8911</v>
      </c>
      <c r="C2176" s="2" t="s">
        <v>8912</v>
      </c>
      <c r="D2176" s="2" t="s">
        <v>8913</v>
      </c>
      <c r="E2176" s="2" t="s">
        <v>8914</v>
      </c>
      <c r="F2176" s="2">
        <v>192.0</v>
      </c>
      <c r="G2176" s="2">
        <v>750.0</v>
      </c>
      <c r="H2176" s="2" t="b">
        <v>1</v>
      </c>
      <c r="I2176" s="2">
        <v>-1.0</v>
      </c>
      <c r="J2176" s="2" t="b">
        <v>0</v>
      </c>
      <c r="K2176" s="2" t="b">
        <v>0</v>
      </c>
      <c r="L2176" s="2" t="b">
        <v>0</v>
      </c>
      <c r="M2176" s="2" t="b">
        <v>0</v>
      </c>
      <c r="N2176" s="2" t="s">
        <v>33</v>
      </c>
      <c r="O2176" s="2">
        <v>134.0</v>
      </c>
      <c r="P2176" s="2">
        <v>9.0</v>
      </c>
      <c r="Q2176" s="2">
        <v>41.0</v>
      </c>
      <c r="R2176" s="2">
        <v>1.0</v>
      </c>
      <c r="S2176" s="3" t="s">
        <v>8915</v>
      </c>
      <c r="T2176" s="2" t="s">
        <v>8916</v>
      </c>
      <c r="Y2176" s="4" t="str">
        <f>IFERROR(__xludf.DUMMYFUNCTION("""COMPUTED_VALUE"""),"6.8645944")</f>
        <v>6.8645944</v>
      </c>
      <c r="Z2176" s="4" t="str">
        <f>IFERROR(__xludf.DUMMYFUNCTION("""COMPUTED_VALUE"""),"3.8887229")</f>
        <v>3.8887229</v>
      </c>
      <c r="AA2176" s="4" t="str">
        <f t="shared" si="1"/>
        <v>Not Neighbor</v>
      </c>
      <c r="AC2176" s="4">
        <f>IFERROR(__xludf.DUMMYFUNCTION("IFERROR(ABS(O2176-AVERAGE(FILTER(O2176:O6244,AA2176:AA6244=""Neighbor""))) / STDEV(FILTER(O2176:O6244, AA2176:AA6244 =""Neighbor"")), """")"),2.22460072996505)</f>
        <v>2.22460073</v>
      </c>
      <c r="AD2176" s="4">
        <f>IFERROR(__xludf.DUMMYFUNCTION("IFERROR(ABS(P2176-AVERAGE(FILTER(O2176:P6244,AA2176:AA6244=""Neighbor""))) / STDEV(FILTER(P2176:P6244, AA2176:AA6244 =""Neighbor"")), """")"),1.1684597129358905)</f>
        <v>1.168459713</v>
      </c>
      <c r="AE2176" s="2">
        <f>IFERROR(__xludf.DUMMYFUNCTION("IFERROR(ABS(Q2176-AVERAGE(FILTER(Q2176:Q6244,AA2176:AA6244=""Neighbor""))) / STDEV(FILTER(Q2176:Q6244, AA2176:AA6244 =""Neighbor"")), """")"),0.96154461463064)</f>
        <v>0.9615446146</v>
      </c>
      <c r="AF2176" s="2">
        <f>IFERROR(__xludf.DUMMYFUNCTION("IFERROR(ABS(R2176-AVERAGE(FILTER(R2176:R6244,AA2176:AA6244=""Neighbor""))) / STDEV(FILTER(R2176:R6244, AA2176:AA6244 =""Neighbor"")), """")"),0.8328937201991452)</f>
        <v>0.8328937202</v>
      </c>
    </row>
    <row r="2177">
      <c r="A2177" s="2" t="s">
        <v>28</v>
      </c>
      <c r="B2177" s="2" t="s">
        <v>8911</v>
      </c>
      <c r="C2177" s="2" t="s">
        <v>8912</v>
      </c>
      <c r="D2177" s="2" t="s">
        <v>8917</v>
      </c>
      <c r="E2177" s="2" t="s">
        <v>8918</v>
      </c>
      <c r="F2177" s="2">
        <v>161.0</v>
      </c>
      <c r="G2177" s="2">
        <v>856.0</v>
      </c>
      <c r="H2177" s="2" t="b">
        <v>1</v>
      </c>
      <c r="I2177" s="2">
        <v>-1.0</v>
      </c>
      <c r="J2177" s="2" t="b">
        <v>0</v>
      </c>
      <c r="K2177" s="2" t="b">
        <v>0</v>
      </c>
      <c r="L2177" s="2" t="b">
        <v>0</v>
      </c>
      <c r="M2177" s="2" t="b">
        <v>0</v>
      </c>
      <c r="N2177" s="2" t="s">
        <v>33</v>
      </c>
      <c r="O2177" s="2">
        <v>88.0</v>
      </c>
      <c r="P2177" s="2">
        <v>6.0</v>
      </c>
      <c r="Q2177" s="2">
        <v>44.0</v>
      </c>
      <c r="R2177" s="2">
        <v>1.0</v>
      </c>
      <c r="S2177" s="3" t="s">
        <v>8919</v>
      </c>
      <c r="T2177" s="2" t="s">
        <v>8920</v>
      </c>
      <c r="Y2177" s="4" t="str">
        <f>IFERROR(__xludf.DUMMYFUNCTION("""COMPUTED_VALUE"""),"8.0334483")</f>
        <v>8.0334483</v>
      </c>
      <c r="Z2177" s="4" t="str">
        <f>IFERROR(__xludf.DUMMYFUNCTION("""COMPUTED_VALUE"""),"4.9298999")</f>
        <v>4.9298999</v>
      </c>
      <c r="AA2177" s="4" t="str">
        <f t="shared" si="1"/>
        <v>Not Neighbor</v>
      </c>
      <c r="AC2177" s="4">
        <f>IFERROR(__xludf.DUMMYFUNCTION("IFERROR(ABS(O2177-AVERAGE(FILTER(O2177:O6245,AA2177:AA6245=""Neighbor""))) / STDEV(FILTER(O2177:O6245, AA2177:AA6245 =""Neighbor"")), """")"),0.960197323304554)</f>
        <v>0.9601973233</v>
      </c>
      <c r="AD2177" s="4">
        <f>IFERROR(__xludf.DUMMYFUNCTION("IFERROR(ABS(P2177-AVERAGE(FILTER(O2177:P6245,AA2177:AA6245=""Neighbor""))) / STDEV(FILTER(P2177:P6245, AA2177:AA6245 =""Neighbor"")), """")"),1.3039200155806416)</f>
        <v>1.303920016</v>
      </c>
      <c r="AE2177" s="2">
        <f>IFERROR(__xludf.DUMMYFUNCTION("IFERROR(ABS(Q2177-AVERAGE(FILTER(Q2177:Q6245,AA2177:AA6245=""Neighbor""))) / STDEV(FILTER(Q2177:Q6245, AA2177:AA6245 =""Neighbor"")), """")"),1.1015564082239158)</f>
        <v>1.101556408</v>
      </c>
      <c r="AF2177" s="2">
        <f>IFERROR(__xludf.DUMMYFUNCTION("IFERROR(ABS(R2177-AVERAGE(FILTER(R2177:R6245,AA2177:AA6245=""Neighbor""))) / STDEV(FILTER(R2177:R6245, AA2177:AA6245 =""Neighbor"")), """")"),0.8328937201991452)</f>
        <v>0.8328937202</v>
      </c>
    </row>
    <row r="2178">
      <c r="A2178" s="2" t="s">
        <v>28</v>
      </c>
      <c r="B2178" s="2" t="s">
        <v>8911</v>
      </c>
      <c r="C2178" s="2" t="s">
        <v>8912</v>
      </c>
      <c r="D2178" s="2" t="s">
        <v>8921</v>
      </c>
      <c r="E2178" s="2" t="s">
        <v>8922</v>
      </c>
      <c r="F2178" s="2">
        <v>241.0</v>
      </c>
      <c r="G2178" s="2">
        <v>924.0</v>
      </c>
      <c r="H2178" s="2" t="b">
        <v>1</v>
      </c>
      <c r="I2178" s="2">
        <v>-1.0</v>
      </c>
      <c r="J2178" s="2" t="b">
        <v>0</v>
      </c>
      <c r="K2178" s="2" t="b">
        <v>0</v>
      </c>
      <c r="L2178" s="2" t="b">
        <v>0</v>
      </c>
      <c r="M2178" s="2" t="b">
        <v>0</v>
      </c>
      <c r="N2178" s="2" t="s">
        <v>33</v>
      </c>
      <c r="O2178" s="2">
        <v>121.0</v>
      </c>
      <c r="P2178" s="2">
        <v>31.0</v>
      </c>
      <c r="Q2178" s="2">
        <v>62.0</v>
      </c>
      <c r="R2178" s="2">
        <v>2.0</v>
      </c>
      <c r="S2178" s="3" t="s">
        <v>8923</v>
      </c>
      <c r="T2178" s="2" t="s">
        <v>8924</v>
      </c>
      <c r="Y2178" s="4" t="str">
        <f>IFERROR(__xludf.DUMMYFUNCTION("""COMPUTED_VALUE"""),"6.8626334")</f>
        <v>6.8626334</v>
      </c>
      <c r="Z2178" s="4" t="str">
        <f>IFERROR(__xludf.DUMMYFUNCTION("""COMPUTED_VALUE"""),"3.9311097")</f>
        <v>3.9311097</v>
      </c>
      <c r="AA2178" s="4" t="str">
        <f t="shared" si="1"/>
        <v>Not Neighbor</v>
      </c>
      <c r="AC2178" s="4">
        <f>IFERROR(__xludf.DUMMYFUNCTION("IFERROR(ABS(O2178-AVERAGE(FILTER(O2178:O6246,AA2178:AA6246=""Neighbor""))) / STDEV(FILTER(O2178:O6246, AA2178:AA6246 =""Neighbor"")), """")"),1.8672693324305618)</f>
        <v>1.867269332</v>
      </c>
      <c r="AD2178" s="4">
        <f>IFERROR(__xludf.DUMMYFUNCTION("IFERROR(ABS(P2178-AVERAGE(FILTER(O2178:P6246,AA2178:AA6246=""Neighbor""))) / STDEV(FILTER(P2178:P6246, AA2178:AA6246 =""Neighbor"")), """")"),0.17508416020771472)</f>
        <v>0.1750841602</v>
      </c>
      <c r="AE2178" s="2">
        <f>IFERROR(__xludf.DUMMYFUNCTION("IFERROR(ABS(Q2178-AVERAGE(FILTER(Q2178:Q6246,AA2178:AA6246=""Neighbor""))) / STDEV(FILTER(Q2178:Q6246, AA2178:AA6246 =""Neighbor"")), """")"),1.9416271697835707)</f>
        <v>1.94162717</v>
      </c>
      <c r="AF2178" s="2">
        <f>IFERROR(__xludf.DUMMYFUNCTION("IFERROR(ABS(R2178-AVERAGE(FILTER(R2178:R6246,AA2178:AA6246=""Neighbor""))) / STDEV(FILTER(R2178:R6246, AA2178:AA6246 =""Neighbor"")), """")"),2.0090948877922035)</f>
        <v>2.009094888</v>
      </c>
    </row>
    <row r="2179">
      <c r="A2179" s="2" t="s">
        <v>28</v>
      </c>
      <c r="B2179" s="2" t="s">
        <v>8911</v>
      </c>
      <c r="C2179" s="2" t="s">
        <v>8925</v>
      </c>
      <c r="D2179" s="2" t="s">
        <v>8926</v>
      </c>
      <c r="E2179" s="2" t="s">
        <v>8927</v>
      </c>
      <c r="F2179" s="2">
        <v>169.0</v>
      </c>
      <c r="G2179" s="2">
        <v>648.0</v>
      </c>
      <c r="H2179" s="2" t="b">
        <v>1</v>
      </c>
      <c r="I2179" s="2">
        <v>-1.0</v>
      </c>
      <c r="J2179" s="2" t="b">
        <v>0</v>
      </c>
      <c r="K2179" s="2" t="b">
        <v>1</v>
      </c>
      <c r="L2179" s="2" t="b">
        <v>0</v>
      </c>
      <c r="M2179" s="2" t="b">
        <v>0</v>
      </c>
      <c r="N2179" s="2" t="s">
        <v>33</v>
      </c>
      <c r="O2179" s="2">
        <v>114.0</v>
      </c>
      <c r="P2179" s="2">
        <v>13.0</v>
      </c>
      <c r="Q2179" s="2">
        <v>29.0</v>
      </c>
      <c r="R2179" s="2">
        <v>0.0</v>
      </c>
      <c r="S2179" s="3" t="s">
        <v>8928</v>
      </c>
      <c r="T2179" s="2" t="s">
        <v>8929</v>
      </c>
      <c r="Y2179" s="4" t="str">
        <f>IFERROR(__xludf.DUMMYFUNCTION("""COMPUTED_VALUE"""),"6.8365046")</f>
        <v>6.8365046</v>
      </c>
      <c r="Z2179" s="4" t="str">
        <f>IFERROR(__xludf.DUMMYFUNCTION("""COMPUTED_VALUE"""),"3.768906")</f>
        <v>3.768906</v>
      </c>
      <c r="AA2179" s="4" t="str">
        <f t="shared" si="1"/>
        <v>Neighbor</v>
      </c>
      <c r="AC2179" s="4">
        <f>IFERROR(__xludf.DUMMYFUNCTION("IFERROR(ABS(O2179-AVERAGE(FILTER(O2179:O6247,AA2179:AA6247=""Neighbor""))) / STDEV(FILTER(O2179:O6247, AA2179:AA6247 =""Neighbor"")), """")"),1.6748601183735299)</f>
        <v>1.674860118</v>
      </c>
      <c r="AD2179" s="4">
        <f>IFERROR(__xludf.DUMMYFUNCTION("IFERROR(ABS(P2179-AVERAGE(FILTER(O2179:P6247,AA2179:AA6247=""Neighbor""))) / STDEV(FILTER(P2179:P6247, AA2179:AA6247 =""Neighbor"")), """")"),0.9878459760762222)</f>
        <v>0.9878459761</v>
      </c>
      <c r="AE2179" s="2">
        <f>IFERROR(__xludf.DUMMYFUNCTION("IFERROR(ABS(Q2179-AVERAGE(FILTER(Q2179:Q6247,AA2179:AA6247=""Neighbor""))) / STDEV(FILTER(Q2179:Q6247, AA2179:AA6247 =""Neighbor"")), """")"),0.4014974402575367)</f>
        <v>0.4014974403</v>
      </c>
      <c r="AF2179" s="2">
        <f>IFERROR(__xludf.DUMMYFUNCTION("IFERROR(ABS(R2179-AVERAGE(FILTER(R2179:R6247,AA2179:AA6247=""Neighbor""))) / STDEV(FILTER(R2179:R6247, AA2179:AA6247 =""Neighbor"")), """")"),0.3433074473939129)</f>
        <v>0.3433074474</v>
      </c>
    </row>
    <row r="2180">
      <c r="A2180" s="2" t="s">
        <v>28</v>
      </c>
      <c r="B2180" s="2" t="s">
        <v>8911</v>
      </c>
      <c r="C2180" s="2" t="s">
        <v>8925</v>
      </c>
      <c r="D2180" s="2" t="s">
        <v>8930</v>
      </c>
      <c r="E2180" s="2" t="s">
        <v>8931</v>
      </c>
      <c r="F2180" s="2">
        <v>201.0</v>
      </c>
      <c r="G2180" s="2">
        <v>898.0</v>
      </c>
      <c r="H2180" s="2" t="b">
        <v>1</v>
      </c>
      <c r="I2180" s="2">
        <v>-1.0</v>
      </c>
      <c r="J2180" s="2" t="b">
        <v>0</v>
      </c>
      <c r="K2180" s="2" t="b">
        <v>0</v>
      </c>
      <c r="L2180" s="2" t="b">
        <v>0</v>
      </c>
      <c r="M2180" s="2" t="b">
        <v>0</v>
      </c>
      <c r="N2180" s="2" t="s">
        <v>33</v>
      </c>
      <c r="O2180" s="2">
        <v>124.0</v>
      </c>
      <c r="P2180" s="2">
        <v>12.0</v>
      </c>
      <c r="Q2180" s="2">
        <v>55.0</v>
      </c>
      <c r="R2180" s="2">
        <v>0.0</v>
      </c>
      <c r="S2180" s="3" t="s">
        <v>8932</v>
      </c>
      <c r="T2180" s="2" t="s">
        <v>8933</v>
      </c>
      <c r="Y2180" s="4" t="str">
        <f>IFERROR(__xludf.DUMMYFUNCTION("""COMPUTED_VALUE"""),"6.8365046")</f>
        <v>6.8365046</v>
      </c>
      <c r="Z2180" s="4" t="str">
        <f>IFERROR(__xludf.DUMMYFUNCTION("""COMPUTED_VALUE"""),"3.768906")</f>
        <v>3.768906</v>
      </c>
      <c r="AA2180" s="4" t="str">
        <f t="shared" si="1"/>
        <v>Not Neighbor</v>
      </c>
      <c r="AC2180" s="4">
        <f>IFERROR(__xludf.DUMMYFUNCTION("IFERROR(ABS(O2180-AVERAGE(FILTER(O2180:O6248,AA2180:AA6248=""Neighbor""))) / STDEV(FILTER(O2180:O6248, AA2180:AA6248 =""Neighbor"")), """")"),1.954108245922472)</f>
        <v>1.954108246</v>
      </c>
      <c r="AD2180" s="4">
        <f>IFERROR(__xludf.DUMMYFUNCTION("IFERROR(ABS(P2180-AVERAGE(FILTER(O2180:P6248,AA2180:AA6248=""Neighbor""))) / STDEV(FILTER(P2180:P6248, AA2180:AA6248 =""Neighbor"")), """")"),1.030719948113832)</f>
        <v>1.030719948</v>
      </c>
      <c r="AE2180" s="2">
        <f>IFERROR(__xludf.DUMMYFUNCTION("IFERROR(ABS(Q2180-AVERAGE(FILTER(Q2180:Q6248,AA2180:AA6248=""Neighbor""))) / STDEV(FILTER(Q2180:Q6248, AA2180:AA6248 =""Neighbor"")), """")"),1.6145820655848664)</f>
        <v>1.614582066</v>
      </c>
      <c r="AF2180" s="2">
        <f>IFERROR(__xludf.DUMMYFUNCTION("IFERROR(ABS(R2180-AVERAGE(FILTER(R2180:R6248,AA2180:AA6248=""Neighbor""))) / STDEV(FILTER(R2180:R6248, AA2180:AA6248 =""Neighbor"")), """")"),0.3435509708049478)</f>
        <v>0.3435509708</v>
      </c>
    </row>
    <row r="2181">
      <c r="A2181" s="2" t="s">
        <v>28</v>
      </c>
      <c r="B2181" s="2" t="s">
        <v>8911</v>
      </c>
      <c r="C2181" s="2" t="s">
        <v>8925</v>
      </c>
      <c r="D2181" s="2" t="s">
        <v>8934</v>
      </c>
      <c r="E2181" s="2" t="s">
        <v>8935</v>
      </c>
      <c r="F2181" s="2">
        <v>204.0</v>
      </c>
      <c r="G2181" s="2">
        <v>1129.0</v>
      </c>
      <c r="H2181" s="2" t="b">
        <v>1</v>
      </c>
      <c r="I2181" s="2">
        <v>-1.0</v>
      </c>
      <c r="J2181" s="2" t="b">
        <v>0</v>
      </c>
      <c r="K2181" s="2" t="b">
        <v>0</v>
      </c>
      <c r="L2181" s="2" t="b">
        <v>0</v>
      </c>
      <c r="M2181" s="2" t="b">
        <v>0</v>
      </c>
      <c r="N2181" s="2" t="s">
        <v>33</v>
      </c>
      <c r="O2181" s="2">
        <v>100.0</v>
      </c>
      <c r="P2181" s="2">
        <v>59.0</v>
      </c>
      <c r="Q2181" s="2">
        <v>29.0</v>
      </c>
      <c r="R2181" s="2">
        <v>0.0</v>
      </c>
      <c r="S2181" s="3" t="s">
        <v>8936</v>
      </c>
      <c r="T2181" s="2" t="s">
        <v>8937</v>
      </c>
      <c r="Y2181" s="4" t="str">
        <f>IFERROR(__xludf.DUMMYFUNCTION("""COMPUTED_VALUE"""),"6.8421434")</f>
        <v>6.8421434</v>
      </c>
      <c r="Z2181" s="4" t="str">
        <f>IFERROR(__xludf.DUMMYFUNCTION("""COMPUTED_VALUE"""),"3.8989076")</f>
        <v>3.8989076</v>
      </c>
      <c r="AA2181" s="4" t="str">
        <f t="shared" si="1"/>
        <v>Not Neighbor</v>
      </c>
      <c r="AC2181" s="4">
        <f>IFERROR(__xludf.DUMMYFUNCTION("IFERROR(ABS(O2181-AVERAGE(FILTER(O2181:O6249,AA2181:AA6249=""Neighbor""))) / STDEV(FILTER(O2181:O6249, AA2181:AA6249 =""Neighbor"")), """")"),1.293659171054732)</f>
        <v>1.293659171</v>
      </c>
      <c r="AD2181" s="4">
        <f>IFERROR(__xludf.DUMMYFUNCTION("IFERROR(ABS(P2181-AVERAGE(FILTER(O2181:P6249,AA2181:AA6249=""Neighbor""))) / STDEV(FILTER(P2181:P6249, AA2181:AA6249 =""Neighbor"")), """")"),1.0901801498380226)</f>
        <v>1.09018015</v>
      </c>
      <c r="AE2181" s="2">
        <f>IFERROR(__xludf.DUMMYFUNCTION("IFERROR(ABS(Q2181-AVERAGE(FILTER(Q2181:Q6249,AA2181:AA6249=""Neighbor""))) / STDEV(FILTER(Q2181:Q6249, AA2181:AA6249 =""Neighbor"")), """")"),0.4017933197239385)</f>
        <v>0.4017933197</v>
      </c>
      <c r="AF2181" s="2">
        <f>IFERROR(__xludf.DUMMYFUNCTION("IFERROR(ABS(R2181-AVERAGE(FILTER(R2181:R6249,AA2181:AA6249=""Neighbor""))) / STDEV(FILTER(R2181:R6249, AA2181:AA6249 =""Neighbor"")), """")"),0.3435509708049478)</f>
        <v>0.3435509708</v>
      </c>
    </row>
    <row r="2182">
      <c r="A2182" s="2" t="s">
        <v>28</v>
      </c>
      <c r="B2182" s="2" t="s">
        <v>8911</v>
      </c>
      <c r="C2182" s="2" t="s">
        <v>8925</v>
      </c>
      <c r="D2182" s="2" t="s">
        <v>8938</v>
      </c>
      <c r="E2182" s="2" t="s">
        <v>8939</v>
      </c>
      <c r="F2182" s="2">
        <v>136.0</v>
      </c>
      <c r="G2182" s="2">
        <v>777.0</v>
      </c>
      <c r="H2182" s="2" t="b">
        <v>1</v>
      </c>
      <c r="I2182" s="2">
        <v>-1.0</v>
      </c>
      <c r="J2182" s="2" t="b">
        <v>0</v>
      </c>
      <c r="K2182" s="2" t="b">
        <v>0</v>
      </c>
      <c r="L2182" s="2" t="b">
        <v>0</v>
      </c>
      <c r="M2182" s="2" t="b">
        <v>0</v>
      </c>
      <c r="N2182" s="2" t="s">
        <v>33</v>
      </c>
      <c r="O2182" s="2">
        <v>73.0</v>
      </c>
      <c r="P2182" s="2">
        <v>32.0</v>
      </c>
      <c r="Q2182" s="2">
        <v>13.0</v>
      </c>
      <c r="R2182" s="2">
        <v>0.0</v>
      </c>
      <c r="S2182" s="3" t="s">
        <v>8940</v>
      </c>
      <c r="T2182" s="2" t="s">
        <v>8941</v>
      </c>
      <c r="Y2182" s="4" t="str">
        <f>IFERROR(__xludf.DUMMYFUNCTION("""COMPUTED_VALUE"""),"6.8663959")</f>
        <v>6.8663959</v>
      </c>
      <c r="Z2182" s="4" t="str">
        <f>IFERROR(__xludf.DUMMYFUNCTION("""COMPUTED_VALUE"""),"3.8795305")</f>
        <v>3.8795305</v>
      </c>
      <c r="AA2182" s="4" t="str">
        <f t="shared" si="1"/>
        <v>Not Neighbor</v>
      </c>
      <c r="AC2182" s="4">
        <f>IFERROR(__xludf.DUMMYFUNCTION("IFERROR(ABS(O2182-AVERAGE(FILTER(O2182:O6250,AA2182:AA6250=""Neighbor""))) / STDEV(FILTER(O2182:O6250, AA2182:AA6250 =""Neighbor"")), """")"),0.5506539618285246)</f>
        <v>0.5506539618</v>
      </c>
      <c r="AD2182" s="4">
        <f>IFERROR(__xludf.DUMMYFUNCTION("IFERROR(ABS(P2182-AVERAGE(FILTER(O2182:P6250,AA2182:AA6250=""Neighbor""))) / STDEV(FILTER(P2182:P6250, AA2182:AA6250 =""Neighbor"")), """")"),0.12820926813431943)</f>
        <v>0.1282092681</v>
      </c>
      <c r="AE2182" s="2">
        <f>IFERROR(__xludf.DUMMYFUNCTION("IFERROR(ABS(Q2182-AVERAGE(FILTER(Q2182:Q6250,AA2182:AA6250=""Neighbor""))) / STDEV(FILTER(Q2182:Q6250, AA2182:AA6250 =""Neighbor"")), """")"),0.3445382161904787)</f>
        <v>0.3445382162</v>
      </c>
      <c r="AF2182" s="2">
        <f>IFERROR(__xludf.DUMMYFUNCTION("IFERROR(ABS(R2182-AVERAGE(FILTER(R2182:R6250,AA2182:AA6250=""Neighbor""))) / STDEV(FILTER(R2182:R6250, AA2182:AA6250 =""Neighbor"")), """")"),0.3435509708049478)</f>
        <v>0.3435509708</v>
      </c>
    </row>
    <row r="2183">
      <c r="A2183" s="2" t="s">
        <v>28</v>
      </c>
      <c r="B2183" s="2" t="s">
        <v>8911</v>
      </c>
      <c r="C2183" s="2" t="s">
        <v>8925</v>
      </c>
      <c r="D2183" s="2" t="s">
        <v>8942</v>
      </c>
      <c r="E2183" s="2" t="s">
        <v>8943</v>
      </c>
      <c r="F2183" s="2">
        <v>126.0</v>
      </c>
      <c r="G2183" s="2">
        <v>750.0</v>
      </c>
      <c r="H2183" s="2" t="b">
        <v>1</v>
      </c>
      <c r="I2183" s="2">
        <v>-1.0</v>
      </c>
      <c r="J2183" s="2" t="b">
        <v>0</v>
      </c>
      <c r="K2183" s="2" t="b">
        <v>0</v>
      </c>
      <c r="L2183" s="2" t="b">
        <v>0</v>
      </c>
      <c r="M2183" s="2" t="b">
        <v>0</v>
      </c>
      <c r="N2183" s="2" t="s">
        <v>33</v>
      </c>
      <c r="O2183" s="2">
        <v>0.0</v>
      </c>
      <c r="P2183" s="2">
        <v>0.0</v>
      </c>
      <c r="Q2183" s="2">
        <v>0.0</v>
      </c>
      <c r="R2183" s="2">
        <v>0.0</v>
      </c>
      <c r="S2183" s="3" t="s">
        <v>8944</v>
      </c>
      <c r="T2183" s="2" t="s">
        <v>8945</v>
      </c>
      <c r="Y2183" s="4" t="str">
        <f>IFERROR(__xludf.DUMMYFUNCTION("""COMPUTED_VALUE"""),"6.8403627")</f>
        <v>6.8403627</v>
      </c>
      <c r="Z2183" s="4" t="str">
        <f>IFERROR(__xludf.DUMMYFUNCTION("""COMPUTED_VALUE"""),"3.9020348")</f>
        <v>3.9020348</v>
      </c>
      <c r="AA2183" s="4" t="str">
        <f t="shared" si="1"/>
        <v>Not Neighbor</v>
      </c>
      <c r="AC2183" s="4">
        <f>IFERROR(__xludf.DUMMYFUNCTION("IFERROR(ABS(O2183-AVERAGE(FILTER(O2183:O6251,AA2183:AA6251=""Neighbor""))) / STDEV(FILTER(O2183:O6251, AA2183:AA6251 =""Neighbor"")), """")"),1.4582119742275181)</f>
        <v>1.458211974</v>
      </c>
      <c r="AD2183" s="4">
        <f>IFERROR(__xludf.DUMMYFUNCTION("IFERROR(ABS(P2183-AVERAGE(FILTER(O2183:P6251,AA2183:AA6251=""Neighbor""))) / STDEV(FILTER(P2183:P6251, AA2183:AA6251 =""Neighbor"")), """")"),1.5722263561015397)</f>
        <v>1.572226356</v>
      </c>
      <c r="AE2183" s="2">
        <f>IFERROR(__xludf.DUMMYFUNCTION("IFERROR(ABS(Q2183-AVERAGE(FILTER(Q2183:Q6251,AA2183:AA6251=""Neighbor""))) / STDEV(FILTER(Q2183:Q6251, AA2183:AA6251 =""Neighbor"")), """")"),0.9509325891209427)</f>
        <v>0.9509325891</v>
      </c>
      <c r="AF2183" s="2">
        <f>IFERROR(__xludf.DUMMYFUNCTION("IFERROR(ABS(R2183-AVERAGE(FILTER(R2183:R6251,AA2183:AA6251=""Neighbor""))) / STDEV(FILTER(R2183:R6251, AA2183:AA6251 =""Neighbor"")), """")"),0.3435509708049478)</f>
        <v>0.3435509708</v>
      </c>
    </row>
    <row r="2184">
      <c r="A2184" s="2" t="s">
        <v>28</v>
      </c>
      <c r="B2184" s="2" t="s">
        <v>8911</v>
      </c>
      <c r="C2184" s="2" t="s">
        <v>8925</v>
      </c>
      <c r="D2184" s="2" t="s">
        <v>8946</v>
      </c>
      <c r="E2184" s="2" t="s">
        <v>8947</v>
      </c>
      <c r="F2184" s="2">
        <v>165.0</v>
      </c>
      <c r="G2184" s="2">
        <v>827.0</v>
      </c>
      <c r="H2184" s="2" t="b">
        <v>1</v>
      </c>
      <c r="I2184" s="2">
        <v>-1.0</v>
      </c>
      <c r="J2184" s="2" t="b">
        <v>0</v>
      </c>
      <c r="K2184" s="2" t="b">
        <v>0</v>
      </c>
      <c r="L2184" s="2" t="b">
        <v>0</v>
      </c>
      <c r="M2184" s="2" t="b">
        <v>0</v>
      </c>
      <c r="N2184" s="2" t="s">
        <v>33</v>
      </c>
      <c r="O2184" s="2">
        <v>107.0</v>
      </c>
      <c r="P2184" s="2">
        <v>9.0</v>
      </c>
      <c r="Q2184" s="2">
        <v>33.0</v>
      </c>
      <c r="R2184" s="2">
        <v>1.0</v>
      </c>
      <c r="S2184" s="3" t="s">
        <v>8948</v>
      </c>
      <c r="T2184" s="2" t="s">
        <v>8949</v>
      </c>
      <c r="Y2184" s="4" t="str">
        <f>IFERROR(__xludf.DUMMYFUNCTION("""COMPUTED_VALUE"""),"6.8663959")</f>
        <v>6.8663959</v>
      </c>
      <c r="Z2184" s="4" t="str">
        <f>IFERROR(__xludf.DUMMYFUNCTION("""COMPUTED_VALUE"""),"3.8795305")</f>
        <v>3.8795305</v>
      </c>
      <c r="AA2184" s="4" t="str">
        <f t="shared" si="1"/>
        <v>Not Neighbor</v>
      </c>
      <c r="AC2184" s="4">
        <f>IFERROR(__xludf.DUMMYFUNCTION("IFERROR(ABS(O2184-AVERAGE(FILTER(O2184:O6252,AA2184:AA6252=""Neighbor""))) / STDEV(FILTER(O2184:O6252, AA2184:AA6252 =""Neighbor"")), """")"),1.4862901512244895)</f>
        <v>1.486290151</v>
      </c>
      <c r="AD2184" s="4">
        <f>IFERROR(__xludf.DUMMYFUNCTION("IFERROR(ABS(P2184-AVERAGE(FILTER(O2184:P6252,AA2184:AA6252=""Neighbor""))) / STDEV(FILTER(P2184:P6252, AA2184:AA6252 =""Neighbor"")), """")"),1.166096550110759)</f>
        <v>1.16609655</v>
      </c>
      <c r="AE2184" s="2">
        <f>IFERROR(__xludf.DUMMYFUNCTION("IFERROR(ABS(Q2184-AVERAGE(FILTER(Q2184:Q6252,AA2184:AA6252=""Neighbor""))) / STDEV(FILTER(Q2184:Q6252, AA2184:AA6252 =""Neighbor"")), """")"),0.5883762037025427)</f>
        <v>0.5883762037</v>
      </c>
      <c r="AF2184" s="2">
        <f>IFERROR(__xludf.DUMMYFUNCTION("IFERROR(ABS(R2184-AVERAGE(FILTER(R2184:R6252,AA2184:AA6252=""Neighbor""))) / STDEV(FILTER(R2184:R6252, AA2184:AA6252 =""Neighbor"")), """")"),0.8319908292971996)</f>
        <v>0.8319908293</v>
      </c>
    </row>
    <row r="2185">
      <c r="A2185" s="2" t="s">
        <v>28</v>
      </c>
      <c r="B2185" s="2" t="s">
        <v>8911</v>
      </c>
      <c r="C2185" s="2" t="s">
        <v>8925</v>
      </c>
      <c r="D2185" s="2" t="s">
        <v>8950</v>
      </c>
      <c r="E2185" s="2" t="s">
        <v>8951</v>
      </c>
      <c r="F2185" s="2">
        <v>164.0</v>
      </c>
      <c r="G2185" s="2">
        <v>688.0</v>
      </c>
      <c r="H2185" s="2" t="b">
        <v>1</v>
      </c>
      <c r="I2185" s="2">
        <v>-1.0</v>
      </c>
      <c r="J2185" s="2" t="b">
        <v>0</v>
      </c>
      <c r="K2185" s="2" t="b">
        <v>0</v>
      </c>
      <c r="L2185" s="2" t="b">
        <v>0</v>
      </c>
      <c r="M2185" s="2" t="b">
        <v>0</v>
      </c>
      <c r="N2185" s="2" t="s">
        <v>33</v>
      </c>
      <c r="O2185" s="2">
        <v>90.0</v>
      </c>
      <c r="P2185" s="2">
        <v>15.0</v>
      </c>
      <c r="Q2185" s="2">
        <v>49.0</v>
      </c>
      <c r="R2185" s="2">
        <v>0.0</v>
      </c>
      <c r="S2185" s="3" t="s">
        <v>8952</v>
      </c>
      <c r="T2185" s="2" t="s">
        <v>8953</v>
      </c>
      <c r="Y2185" s="4" t="str">
        <f>IFERROR(__xludf.DUMMYFUNCTION("""COMPUTED_VALUE"""),"6.8365046")</f>
        <v>6.8365046</v>
      </c>
      <c r="Z2185" s="4" t="str">
        <f>IFERROR(__xludf.DUMMYFUNCTION("""COMPUTED_VALUE"""),"3.768906")</f>
        <v>3.768906</v>
      </c>
      <c r="AA2185" s="4" t="str">
        <f t="shared" si="1"/>
        <v>Not Neighbor</v>
      </c>
      <c r="AC2185" s="4">
        <f>IFERROR(__xludf.DUMMYFUNCTION("IFERROR(ABS(O2185-AVERAGE(FILTER(O2185:O6253,AA2185:AA6253=""Neighbor""))) / STDEV(FILTER(O2185:O6253, AA2185:AA6253 =""Neighbor"")), """")"),1.018472056526507)</f>
        <v>1.018472057</v>
      </c>
      <c r="AD2185" s="4">
        <f>IFERROR(__xludf.DUMMYFUNCTION("IFERROR(ABS(P2185-AVERAGE(FILTER(O2185:P6253,AA2185:AA6253=""Neighbor""))) / STDEV(FILTER(P2185:P6253, AA2185:AA6253 =""Neighbor"")), """")"),0.8953433461169052)</f>
        <v>0.8953433461</v>
      </c>
      <c r="AE2185" s="2">
        <f>IFERROR(__xludf.DUMMYFUNCTION("IFERROR(ABS(Q2185-AVERAGE(FILTER(Q2185:Q6253,AA2185:AA6253=""Neighbor""))) / STDEV(FILTER(Q2185:Q6253, AA2185:AA6253 =""Neighbor"")), """")"),1.33470773961696)</f>
        <v>1.33470774</v>
      </c>
      <c r="AF2185" s="2">
        <f>IFERROR(__xludf.DUMMYFUNCTION("IFERROR(ABS(R2185-AVERAGE(FILTER(R2185:R6253,AA2185:AA6253=""Neighbor""))) / STDEV(FILTER(R2185:R6253, AA2185:AA6253 =""Neighbor"")), """")"),0.3435509708049478)</f>
        <v>0.3435509708</v>
      </c>
    </row>
    <row r="2186">
      <c r="A2186" s="2" t="s">
        <v>28</v>
      </c>
      <c r="B2186" s="2" t="s">
        <v>8911</v>
      </c>
      <c r="C2186" s="2" t="s">
        <v>8925</v>
      </c>
      <c r="D2186" s="2" t="s">
        <v>8954</v>
      </c>
      <c r="E2186" s="2" t="s">
        <v>8955</v>
      </c>
      <c r="F2186" s="2">
        <v>221.0</v>
      </c>
      <c r="G2186" s="2">
        <v>816.0</v>
      </c>
      <c r="H2186" s="2" t="b">
        <v>1</v>
      </c>
      <c r="I2186" s="2">
        <v>-1.0</v>
      </c>
      <c r="J2186" s="2" t="b">
        <v>0</v>
      </c>
      <c r="K2186" s="2" t="b">
        <v>0</v>
      </c>
      <c r="L2186" s="2" t="b">
        <v>0</v>
      </c>
      <c r="M2186" s="2" t="b">
        <v>0</v>
      </c>
      <c r="N2186" s="2" t="s">
        <v>33</v>
      </c>
      <c r="O2186" s="2">
        <v>104.0</v>
      </c>
      <c r="P2186" s="2">
        <v>74.0</v>
      </c>
      <c r="Q2186" s="2">
        <v>29.0</v>
      </c>
      <c r="R2186" s="2">
        <v>3.0</v>
      </c>
      <c r="S2186" s="3" t="s">
        <v>8956</v>
      </c>
      <c r="T2186" s="2" t="s">
        <v>8957</v>
      </c>
      <c r="Y2186" s="4" t="str">
        <f>IFERROR(__xludf.DUMMYFUNCTION("""COMPUTED_VALUE"""),"6.8421434")</f>
        <v>6.8421434</v>
      </c>
      <c r="Z2186" s="4" t="str">
        <f>IFERROR(__xludf.DUMMYFUNCTION("""COMPUTED_VALUE"""),"3.8989076")</f>
        <v>3.8989076</v>
      </c>
      <c r="AA2186" s="4" t="str">
        <f t="shared" si="1"/>
        <v>Not Neighbor</v>
      </c>
      <c r="AC2186" s="4">
        <f>IFERROR(__xludf.DUMMYFUNCTION("IFERROR(ABS(O2186-AVERAGE(FILTER(O2186:O6254,AA2186:AA6254=""Neighbor""))) / STDEV(FILTER(O2186:O6254, AA2186:AA6254 =""Neighbor"")), """")"),1.403734016866022)</f>
        <v>1.403734017</v>
      </c>
      <c r="AD2186" s="4">
        <f>IFERROR(__xludf.DUMMYFUNCTION("IFERROR(ABS(P2186-AVERAGE(FILTER(O2186:P6254,AA2186:AA6254=""Neighbor""))) / STDEV(FILTER(P2186:P6254, AA2186:AA6254 =""Neighbor"")), """")"),1.7670631598226572)</f>
        <v>1.76706316</v>
      </c>
      <c r="AE2186" s="2">
        <f>IFERROR(__xludf.DUMMYFUNCTION("IFERROR(ABS(Q2186-AVERAGE(FILTER(Q2186:Q6254,AA2186:AA6254=""Neighbor""))) / STDEV(FILTER(Q2186:Q6254, AA2186:AA6254 =""Neighbor"")), """")"),0.4017933197239385)</f>
        <v>0.4017933197</v>
      </c>
      <c r="AF2186" s="2">
        <f>IFERROR(__xludf.DUMMYFUNCTION("IFERROR(ABS(R2186-AVERAGE(FILTER(R2186:R6254,AA2186:AA6254=""Neighbor""))) / STDEV(FILTER(R2186:R6254, AA2186:AA6254 =""Neighbor"")), """")"),3.1830744295014943)</f>
        <v>3.18307443</v>
      </c>
    </row>
    <row r="2187">
      <c r="A2187" s="2" t="s">
        <v>28</v>
      </c>
      <c r="B2187" s="2" t="s">
        <v>8911</v>
      </c>
      <c r="C2187" s="2" t="s">
        <v>8925</v>
      </c>
      <c r="D2187" s="2" t="s">
        <v>8958</v>
      </c>
      <c r="E2187" s="2" t="s">
        <v>8959</v>
      </c>
      <c r="F2187" s="2">
        <v>144.0</v>
      </c>
      <c r="G2187" s="2">
        <v>568.0</v>
      </c>
      <c r="H2187" s="2" t="b">
        <v>1</v>
      </c>
      <c r="I2187" s="2">
        <v>-1.0</v>
      </c>
      <c r="J2187" s="2" t="b">
        <v>1</v>
      </c>
      <c r="K2187" s="2" t="b">
        <v>0</v>
      </c>
      <c r="L2187" s="2" t="b">
        <v>0</v>
      </c>
      <c r="M2187" s="2" t="b">
        <v>0</v>
      </c>
      <c r="N2187" s="2" t="s">
        <v>33</v>
      </c>
      <c r="O2187" s="2">
        <v>111.0</v>
      </c>
      <c r="P2187" s="2">
        <v>12.0</v>
      </c>
      <c r="Q2187" s="2">
        <v>17.0</v>
      </c>
      <c r="R2187" s="2">
        <v>0.0</v>
      </c>
      <c r="S2187" s="3" t="s">
        <v>8960</v>
      </c>
      <c r="T2187" s="2" t="s">
        <v>8961</v>
      </c>
      <c r="Y2187" s="4" t="str">
        <f>IFERROR(__xludf.DUMMYFUNCTION("""COMPUTED_VALUE"""),"6.8365046")</f>
        <v>6.8365046</v>
      </c>
      <c r="Z2187" s="4" t="str">
        <f>IFERROR(__xludf.DUMMYFUNCTION("""COMPUTED_VALUE"""),"3.768906")</f>
        <v>3.768906</v>
      </c>
      <c r="AA2187" s="4" t="str">
        <f t="shared" si="1"/>
        <v>Not Neighbor</v>
      </c>
      <c r="AC2187" s="4">
        <f>IFERROR(__xludf.DUMMYFUNCTION("IFERROR(ABS(O2187-AVERAGE(FILTER(O2187:O6255,AA2187:AA6255=""Neighbor""))) / STDEV(FILTER(O2187:O6255, AA2187:AA6255 =""Neighbor"")), """")"),1.5963649970357796)</f>
        <v>1.596364997</v>
      </c>
      <c r="AD2187" s="4">
        <f>IFERROR(__xludf.DUMMYFUNCTION("IFERROR(ABS(P2187-AVERAGE(FILTER(O2187:P6255,AA2187:AA6255=""Neighbor""))) / STDEV(FILTER(P2187:P6255, AA2187:AA6255 =""Neighbor"")), """")"),1.030719948113832)</f>
        <v>1.030719948</v>
      </c>
      <c r="AE2187" s="2">
        <f>IFERROR(__xludf.DUMMYFUNCTION("IFERROR(ABS(Q2187-AVERAGE(FILTER(Q2187:Q6255,AA2187:AA6255=""Neighbor""))) / STDEV(FILTER(Q2187:Q6255, AA2187:AA6255 =""Neighbor"")), """")"),0.1579553322118744)</f>
        <v>0.1579553322</v>
      </c>
      <c r="AF2187" s="2">
        <f>IFERROR(__xludf.DUMMYFUNCTION("IFERROR(ABS(R2187-AVERAGE(FILTER(R2187:R6255,AA2187:AA6255=""Neighbor""))) / STDEV(FILTER(R2187:R6255, AA2187:AA6255 =""Neighbor"")), """")"),0.3435509708049478)</f>
        <v>0.3435509708</v>
      </c>
    </row>
    <row r="2188">
      <c r="A2188" s="2" t="s">
        <v>28</v>
      </c>
      <c r="B2188" s="2" t="s">
        <v>8911</v>
      </c>
      <c r="C2188" s="2" t="s">
        <v>8925</v>
      </c>
      <c r="D2188" s="2" t="s">
        <v>8962</v>
      </c>
      <c r="E2188" s="2" t="s">
        <v>8963</v>
      </c>
      <c r="F2188" s="2">
        <v>129.0</v>
      </c>
      <c r="G2188" s="2">
        <v>681.0</v>
      </c>
      <c r="H2188" s="2" t="b">
        <v>1</v>
      </c>
      <c r="I2188" s="2">
        <v>-1.0</v>
      </c>
      <c r="J2188" s="2" t="b">
        <v>1</v>
      </c>
      <c r="K2188" s="2" t="b">
        <v>0</v>
      </c>
      <c r="L2188" s="2" t="b">
        <v>0</v>
      </c>
      <c r="M2188" s="2" t="b">
        <v>0</v>
      </c>
      <c r="N2188" s="2" t="s">
        <v>33</v>
      </c>
      <c r="O2188" s="2">
        <v>69.0</v>
      </c>
      <c r="P2188" s="2">
        <v>35.0</v>
      </c>
      <c r="Q2188" s="2">
        <v>18.0</v>
      </c>
      <c r="R2188" s="2">
        <v>0.0</v>
      </c>
      <c r="S2188" s="3" t="s">
        <v>8964</v>
      </c>
      <c r="T2188" s="2" t="s">
        <v>8965</v>
      </c>
      <c r="Y2188" s="4" t="str">
        <f>IFERROR(__xludf.DUMMYFUNCTION("""COMPUTED_VALUE"""),"6.8421434")</f>
        <v>6.8421434</v>
      </c>
      <c r="Z2188" s="4" t="str">
        <f>IFERROR(__xludf.DUMMYFUNCTION("""COMPUTED_VALUE"""),"3.8989076")</f>
        <v>3.8989076</v>
      </c>
      <c r="AA2188" s="4" t="str">
        <f t="shared" si="1"/>
        <v>Neighbor</v>
      </c>
      <c r="AC2188" s="4">
        <f>IFERROR(__xludf.DUMMYFUNCTION("IFERROR(ABS(O2188-AVERAGE(FILTER(O2188:O6256,AA2188:AA6256=""Neighbor""))) / STDEV(FILTER(O2188:O6256, AA2188:AA6256 =""Neighbor"")), """")"),0.4405791160172345)</f>
        <v>0.440579116</v>
      </c>
      <c r="AD2188" s="4">
        <f>IFERROR(__xludf.DUMMYFUNCTION("IFERROR(ABS(P2188-AVERAGE(FILTER(O2188:P6256,AA2188:AA6256=""Neighbor""))) / STDEV(FILTER(P2188:P6256, AA2188:AA6256 =""Neighbor"")), """")"),0.007167333862607459)</f>
        <v>0.007167333863</v>
      </c>
      <c r="AE2188" s="2">
        <f>IFERROR(__xludf.DUMMYFUNCTION("IFERROR(ABS(Q2188-AVERAGE(FILTER(Q2188:Q6256,AA2188:AA6256=""Neighbor""))) / STDEV(FILTER(Q2188:Q6256, AA2188:AA6256 =""Neighbor"")), """")"),0.11130961121722333)</f>
        <v>0.1113096112</v>
      </c>
      <c r="AF2188" s="2">
        <f>IFERROR(__xludf.DUMMYFUNCTION("IFERROR(ABS(R2188-AVERAGE(FILTER(R2188:R6256,AA2188:AA6256=""Neighbor""))) / STDEV(FILTER(R2188:R6256, AA2188:AA6256 =""Neighbor"")), """")"),0.3435509708049478)</f>
        <v>0.3435509708</v>
      </c>
    </row>
    <row r="2189">
      <c r="A2189" s="2" t="s">
        <v>28</v>
      </c>
      <c r="B2189" s="2" t="s">
        <v>8911</v>
      </c>
      <c r="C2189" s="2" t="s">
        <v>8925</v>
      </c>
      <c r="D2189" s="2" t="s">
        <v>8966</v>
      </c>
      <c r="E2189" s="2" t="s">
        <v>8967</v>
      </c>
      <c r="F2189" s="2">
        <v>179.0</v>
      </c>
      <c r="G2189" s="2">
        <v>983.0</v>
      </c>
      <c r="H2189" s="2" t="b">
        <v>1</v>
      </c>
      <c r="I2189" s="2">
        <v>-1.0</v>
      </c>
      <c r="J2189" s="2" t="b">
        <v>0</v>
      </c>
      <c r="K2189" s="2" t="b">
        <v>0</v>
      </c>
      <c r="L2189" s="2" t="b">
        <v>0</v>
      </c>
      <c r="M2189" s="2" t="b">
        <v>0</v>
      </c>
      <c r="N2189" s="2" t="s">
        <v>33</v>
      </c>
      <c r="O2189" s="2">
        <v>103.0</v>
      </c>
      <c r="P2189" s="2">
        <v>39.0</v>
      </c>
      <c r="Q2189" s="2">
        <v>23.0</v>
      </c>
      <c r="R2189" s="2">
        <v>0.0</v>
      </c>
      <c r="S2189" s="3" t="s">
        <v>8968</v>
      </c>
      <c r="T2189" s="2" t="s">
        <v>8969</v>
      </c>
      <c r="Y2189" s="4" t="str">
        <f>IFERROR(__xludf.DUMMYFUNCTION("""COMPUTED_VALUE"""),"6.8403627")</f>
        <v>6.8403627</v>
      </c>
      <c r="Z2189" s="4" t="str">
        <f>IFERROR(__xludf.DUMMYFUNCTION("""COMPUTED_VALUE"""),"3.9020348")</f>
        <v>3.9020348</v>
      </c>
      <c r="AA2189" s="4" t="str">
        <f t="shared" si="1"/>
        <v>Not Neighbor</v>
      </c>
      <c r="AC2189" s="4">
        <f>IFERROR(__xludf.DUMMYFUNCTION("IFERROR(ABS(O2189-AVERAGE(FILTER(O2189:O6257,AA2189:AA6257=""Neighbor""))) / STDEV(FILTER(O2189:O6257, AA2189:AA6257 =""Neighbor"")), """")"),1.376069891574387)</f>
        <v>1.376069892</v>
      </c>
      <c r="AD2189" s="4">
        <f>IFERROR(__xludf.DUMMYFUNCTION("IFERROR(ABS(P2189-AVERAGE(FILTER(O2189:P6257,AA2189:AA6257=""Neighbor""))) / STDEV(FILTER(P2189:P6257, AA2189:AA6257 =""Neighbor"")), """")"),0.18861655051666895)</f>
        <v>0.1886165505</v>
      </c>
      <c r="AE2189" s="2">
        <f>IFERROR(__xludf.DUMMYFUNCTION("IFERROR(ABS(Q2189-AVERAGE(FILTER(Q2189:Q6257,AA2189:AA6257=""Neighbor""))) / STDEV(FILTER(Q2189:Q6257, AA2189:AA6257 =""Neighbor"")), """")"),0.12170084771167661)</f>
        <v>0.1217008477</v>
      </c>
      <c r="AF2189" s="2">
        <f>IFERROR(__xludf.DUMMYFUNCTION("IFERROR(ABS(R2189-AVERAGE(FILTER(R2189:R6257,AA2189:AA6257=""Neighbor""))) / STDEV(FILTER(R2189:R6257, AA2189:AA6257 =""Neighbor"")), """")"),0.3437950132612694)</f>
        <v>0.3437950133</v>
      </c>
    </row>
    <row r="2190">
      <c r="A2190" s="2" t="s">
        <v>28</v>
      </c>
      <c r="B2190" s="2" t="s">
        <v>8911</v>
      </c>
      <c r="C2190" s="2" t="s">
        <v>8970</v>
      </c>
      <c r="D2190" s="2" t="s">
        <v>8971</v>
      </c>
      <c r="E2190" s="2" t="s">
        <v>8972</v>
      </c>
      <c r="F2190" s="2">
        <v>169.0</v>
      </c>
      <c r="G2190" s="2">
        <v>750.0</v>
      </c>
      <c r="H2190" s="2" t="b">
        <v>1</v>
      </c>
      <c r="I2190" s="2">
        <v>-1.0</v>
      </c>
      <c r="J2190" s="2" t="b">
        <v>0</v>
      </c>
      <c r="K2190" s="2" t="b">
        <v>0</v>
      </c>
      <c r="L2190" s="2" t="b">
        <v>0</v>
      </c>
      <c r="M2190" s="2" t="b">
        <v>0</v>
      </c>
      <c r="N2190" s="2" t="s">
        <v>33</v>
      </c>
      <c r="O2190" s="2">
        <v>101.0</v>
      </c>
      <c r="P2190" s="2">
        <v>23.0</v>
      </c>
      <c r="Q2190" s="2">
        <v>31.0</v>
      </c>
      <c r="R2190" s="2">
        <v>1.0</v>
      </c>
      <c r="S2190" s="3" t="s">
        <v>8973</v>
      </c>
      <c r="T2190" s="2" t="s">
        <v>8974</v>
      </c>
      <c r="Y2190" s="4" t="str">
        <f>IFERROR(__xludf.DUMMYFUNCTION("""COMPUTED_VALUE"""),"6.8542188")</f>
        <v>6.8542188</v>
      </c>
      <c r="Z2190" s="4" t="str">
        <f>IFERROR(__xludf.DUMMYFUNCTION("""COMPUTED_VALUE"""),"3.8127457")</f>
        <v>3.8127457</v>
      </c>
      <c r="AA2190" s="4" t="str">
        <f t="shared" si="1"/>
        <v>Not Neighbor</v>
      </c>
      <c r="AC2190" s="4">
        <f>IFERROR(__xludf.DUMMYFUNCTION("IFERROR(ABS(O2190-AVERAGE(FILTER(O2190:O6258,AA2190:AA6258=""Neighbor""))) / STDEV(FILTER(O2190:O6258, AA2190:AA6258 =""Neighbor"")), """")"),1.32106068931737)</f>
        <v>1.321060689</v>
      </c>
      <c r="AD2190" s="4">
        <f>IFERROR(__xludf.DUMMYFUNCTION("IFERROR(ABS(P2190-AVERAGE(FILTER(O2190:P6258,AA2190:AA6258=""Neighbor""))) / STDEV(FILTER(P2190:P6258, AA2190:AA6258 =""Neighbor"")), """")"),0.5332464255325183)</f>
        <v>0.5332464255</v>
      </c>
      <c r="AE2190" s="2">
        <f>IFERROR(__xludf.DUMMYFUNCTION("IFERROR(ABS(Q2190-AVERAGE(FILTER(Q2190:Q6258,AA2190:AA6258=""Neighbor""))) / STDEV(FILTER(Q2190:Q6258, AA2190:AA6258 =""Neighbor"")), """")"),0.49463210034862726)</f>
        <v>0.4946321003</v>
      </c>
      <c r="AF2190" s="2">
        <f>IFERROR(__xludf.DUMMYFUNCTION("IFERROR(ABS(R2190-AVERAGE(FILTER(R2190:R6258,AA2190:AA6258=""Neighbor""))) / STDEV(FILTER(R2190:R6258, AA2190:AA6258 =""Neighbor"")), """")"),0.8310870755359381)</f>
        <v>0.8310870755</v>
      </c>
    </row>
    <row r="2191">
      <c r="A2191" s="2" t="s">
        <v>28</v>
      </c>
      <c r="B2191" s="2" t="s">
        <v>8911</v>
      </c>
      <c r="C2191" s="2" t="s">
        <v>8970</v>
      </c>
      <c r="D2191" s="2" t="s">
        <v>8975</v>
      </c>
      <c r="E2191" s="2" t="s">
        <v>8976</v>
      </c>
      <c r="F2191" s="2">
        <v>153.0</v>
      </c>
      <c r="G2191" s="2">
        <v>593.0</v>
      </c>
      <c r="H2191" s="2" t="b">
        <v>1</v>
      </c>
      <c r="I2191" s="2">
        <v>-1.0</v>
      </c>
      <c r="J2191" s="2" t="b">
        <v>0</v>
      </c>
      <c r="K2191" s="2" t="b">
        <v>0</v>
      </c>
      <c r="L2191" s="2" t="b">
        <v>0</v>
      </c>
      <c r="M2191" s="2" t="b">
        <v>0</v>
      </c>
      <c r="N2191" s="2" t="s">
        <v>33</v>
      </c>
      <c r="O2191" s="2">
        <v>52.0</v>
      </c>
      <c r="P2191" s="2">
        <v>18.0</v>
      </c>
      <c r="Q2191" s="2">
        <v>68.0</v>
      </c>
      <c r="R2191" s="2">
        <v>1.0</v>
      </c>
      <c r="S2191" s="3" t="s">
        <v>8977</v>
      </c>
      <c r="T2191" s="2" t="s">
        <v>8978</v>
      </c>
      <c r="Y2191" s="4" t="str">
        <f>IFERROR(__xludf.DUMMYFUNCTION("""COMPUTED_VALUE"""),"6.9121105")</f>
        <v>6.9121105</v>
      </c>
      <c r="Z2191" s="4" t="str">
        <f>IFERROR(__xludf.DUMMYFUNCTION("""COMPUTED_VALUE"""),"3.7695411")</f>
        <v>3.7695411</v>
      </c>
      <c r="AA2191" s="4" t="str">
        <f t="shared" si="1"/>
        <v>Neighbor</v>
      </c>
      <c r="AC2191" s="4">
        <f>IFERROR(__xludf.DUMMYFUNCTION("IFERROR(ABS(O2191-AVERAGE(FILTER(O2191:O6259,AA2191:AA6259=""Neighbor""))) / STDEV(FILTER(O2191:O6259, AA2191:AA6259 =""Neighbor"")), """")"),0.026664765979546468)</f>
        <v>0.02666476598</v>
      </c>
      <c r="AD2191" s="4">
        <f>IFERROR(__xludf.DUMMYFUNCTION("IFERROR(ABS(P2191-AVERAGE(FILTER(O2191:P6259,AA2191:AA6259=""Neighbor""))) / STDEV(FILTER(P2191:P6259, AA2191:AA6259 =""Neighbor"")), """")"),0.7588286055478893)</f>
        <v>0.7588286055</v>
      </c>
      <c r="AE2191" s="2">
        <f>IFERROR(__xludf.DUMMYFUNCTION("IFERROR(ABS(Q2191-AVERAGE(FILTER(Q2191:Q6259,AA2191:AA6259=""Neighbor""))) / STDEV(FILTER(Q2191:Q6259, AA2191:AA6259 =""Neighbor"")), """")"),2.2194391437945242)</f>
        <v>2.219439144</v>
      </c>
      <c r="AF2191" s="2">
        <f>IFERROR(__xludf.DUMMYFUNCTION("IFERROR(ABS(R2191-AVERAGE(FILTER(R2191:R6259,AA2191:AA6259=""Neighbor""))) / STDEV(FILTER(R2191:R6259, AA2191:AA6259 =""Neighbor"")), """")"),0.8310870755359381)</f>
        <v>0.8310870755</v>
      </c>
    </row>
    <row r="2192">
      <c r="A2192" s="2" t="s">
        <v>28</v>
      </c>
      <c r="B2192" s="2" t="s">
        <v>8911</v>
      </c>
      <c r="C2192" s="2" t="s">
        <v>8970</v>
      </c>
      <c r="D2192" s="2" t="s">
        <v>8979</v>
      </c>
      <c r="E2192" s="2" t="s">
        <v>8980</v>
      </c>
      <c r="F2192" s="2">
        <v>89.0</v>
      </c>
      <c r="G2192" s="2">
        <v>253.0</v>
      </c>
      <c r="H2192" s="2" t="b">
        <v>1</v>
      </c>
      <c r="I2192" s="2">
        <v>-1.0</v>
      </c>
      <c r="J2192" s="2" t="b">
        <v>0</v>
      </c>
      <c r="K2192" s="2" t="b">
        <v>0</v>
      </c>
      <c r="L2192" s="2" t="b">
        <v>0</v>
      </c>
      <c r="M2192" s="2" t="b">
        <v>0</v>
      </c>
      <c r="N2192" s="2" t="s">
        <v>33</v>
      </c>
      <c r="O2192" s="2">
        <v>7.0</v>
      </c>
      <c r="P2192" s="2">
        <v>58.0</v>
      </c>
      <c r="Q2192" s="2">
        <v>18.0</v>
      </c>
      <c r="R2192" s="2">
        <v>0.0</v>
      </c>
      <c r="S2192" s="3" t="s">
        <v>8981</v>
      </c>
      <c r="T2192" s="2" t="s">
        <v>8982</v>
      </c>
      <c r="Y2192" s="4" t="str">
        <f>IFERROR(__xludf.DUMMYFUNCTION("""COMPUTED_VALUE"""),"6.9110762")</f>
        <v>6.9110762</v>
      </c>
      <c r="Z2192" s="4" t="str">
        <f>IFERROR(__xludf.DUMMYFUNCTION("""COMPUTED_VALUE"""),"3.7693795")</f>
        <v>3.7693795</v>
      </c>
      <c r="AA2192" s="4" t="str">
        <f t="shared" si="1"/>
        <v>Not Neighbor</v>
      </c>
      <c r="AC2192" s="4">
        <f>IFERROR(__xludf.DUMMYFUNCTION("IFERROR(ABS(O2192-AVERAGE(FILTER(O2192:O6260,AA2192:AA6260=""Neighbor""))) / STDEV(FILTER(O2192:O6260, AA2192:AA6260 =""Neighbor"")), """")"),1.2636007469476531)</f>
        <v>1.263600747</v>
      </c>
      <c r="AD2192" s="4">
        <f>IFERROR(__xludf.DUMMYFUNCTION("IFERROR(ABS(P2192-AVERAGE(FILTER(O2192:P6260,AA2192:AA6260=""Neighbor""))) / STDEV(FILTER(P2192:P6260, AA2192:AA6260 =""Neighbor"")), """")"),1.0451752687297087)</f>
        <v>1.045175269</v>
      </c>
      <c r="AE2192" s="2">
        <f>IFERROR(__xludf.DUMMYFUNCTION("IFERROR(ABS(Q2192-AVERAGE(FILTER(Q2192:Q6260,AA2192:AA6260=""Neighbor""))) / STDEV(FILTER(Q2192:Q6260, AA2192:AA6260 =""Neighbor"")), """")"),0.10882713077694844)</f>
        <v>0.1088271308</v>
      </c>
      <c r="AF2192" s="2">
        <f>IFERROR(__xludf.DUMMYFUNCTION("IFERROR(ABS(R2192-AVERAGE(FILTER(R2192:R6260,AA2192:AA6260=""Neighbor""))) / STDEV(FILTER(R2192:R6260, AA2192:AA6260 =""Neighbor"")), """")"),0.34266890971283315)</f>
        <v>0.3426689097</v>
      </c>
    </row>
    <row r="2193">
      <c r="A2193" s="2" t="s">
        <v>28</v>
      </c>
      <c r="B2193" s="2" t="s">
        <v>8911</v>
      </c>
      <c r="C2193" s="2" t="s">
        <v>8970</v>
      </c>
      <c r="D2193" s="2" t="s">
        <v>8983</v>
      </c>
      <c r="E2193" s="2" t="s">
        <v>8984</v>
      </c>
      <c r="F2193" s="2">
        <v>145.0</v>
      </c>
      <c r="G2193" s="2">
        <v>697.0</v>
      </c>
      <c r="H2193" s="2" t="b">
        <v>1</v>
      </c>
      <c r="I2193" s="2">
        <v>-1.0</v>
      </c>
      <c r="J2193" s="2" t="b">
        <v>0</v>
      </c>
      <c r="K2193" s="2" t="b">
        <v>0</v>
      </c>
      <c r="L2193" s="2" t="b">
        <v>0</v>
      </c>
      <c r="M2193" s="2" t="b">
        <v>0</v>
      </c>
      <c r="N2193" s="2" t="s">
        <v>33</v>
      </c>
      <c r="O2193" s="2">
        <v>84.0</v>
      </c>
      <c r="P2193" s="2">
        <v>12.0</v>
      </c>
      <c r="Q2193" s="2">
        <v>38.0</v>
      </c>
      <c r="R2193" s="2">
        <v>0.0</v>
      </c>
      <c r="S2193" s="3" t="s">
        <v>8985</v>
      </c>
      <c r="T2193" s="2" t="s">
        <v>8986</v>
      </c>
      <c r="Y2193" s="4" t="str">
        <f>IFERROR(__xludf.DUMMYFUNCTION("""COMPUTED_VALUE"""),"6.8736043")</f>
        <v>6.8736043</v>
      </c>
      <c r="Z2193" s="4" t="str">
        <f>IFERROR(__xludf.DUMMYFUNCTION("""COMPUTED_VALUE"""),"3.8146526")</f>
        <v>3.8146526</v>
      </c>
      <c r="AA2193" s="4" t="str">
        <f t="shared" si="1"/>
        <v>Not Neighbor</v>
      </c>
      <c r="AC2193" s="4">
        <f>IFERROR(__xludf.DUMMYFUNCTION("IFERROR(ABS(O2193-AVERAGE(FILTER(O2193:O6261,AA2193:AA6261=""Neighbor""))) / STDEV(FILTER(O2193:O6261, AA2193:AA6261 =""Neighbor"")), """")"),0.8529051180245223)</f>
        <v>0.852905118</v>
      </c>
      <c r="AD2193" s="4">
        <f>IFERROR(__xludf.DUMMYFUNCTION("IFERROR(ABS(P2193-AVERAGE(FILTER(O2193:P6261,AA2193:AA6261=""Neighbor""))) / STDEV(FILTER(P2193:P6261, AA2193:AA6261 =""Neighbor"")), """")"),1.0288632515664815)</f>
        <v>1.028863252</v>
      </c>
      <c r="AE2193" s="2">
        <f>IFERROR(__xludf.DUMMYFUNCTION("IFERROR(ABS(Q2193-AVERAGE(FILTER(Q2193:Q6261,AA2193:AA6261=""Neighbor""))) / STDEV(FILTER(Q2193:Q6261, AA2193:AA6261 =""Neighbor"")), """")"),0.8258478983248515)</f>
        <v>0.8258478983</v>
      </c>
      <c r="AF2193" s="2">
        <f>IFERROR(__xludf.DUMMYFUNCTION("IFERROR(ABS(R2193-AVERAGE(FILTER(R2193:R6261,AA2193:AA6261=""Neighbor""))) / STDEV(FILTER(R2193:R6261, AA2193:AA6261 =""Neighbor"")), """")"),0.34266890971283315)</f>
        <v>0.3426689097</v>
      </c>
    </row>
    <row r="2194">
      <c r="A2194" s="2" t="s">
        <v>28</v>
      </c>
      <c r="B2194" s="2" t="s">
        <v>8911</v>
      </c>
      <c r="C2194" s="2" t="s">
        <v>8970</v>
      </c>
      <c r="D2194" s="2" t="s">
        <v>8987</v>
      </c>
      <c r="E2194" s="2" t="s">
        <v>8988</v>
      </c>
      <c r="F2194" s="2">
        <v>116.0</v>
      </c>
      <c r="G2194" s="2">
        <v>485.0</v>
      </c>
      <c r="H2194" s="2" t="b">
        <v>1</v>
      </c>
      <c r="I2194" s="2">
        <v>-1.0</v>
      </c>
      <c r="J2194" s="2" t="b">
        <v>0</v>
      </c>
      <c r="K2194" s="2" t="b">
        <v>0</v>
      </c>
      <c r="L2194" s="2" t="b">
        <v>0</v>
      </c>
      <c r="M2194" s="2" t="b">
        <v>0</v>
      </c>
      <c r="N2194" s="2" t="s">
        <v>33</v>
      </c>
      <c r="O2194" s="2">
        <v>59.0</v>
      </c>
      <c r="P2194" s="2">
        <v>21.0</v>
      </c>
      <c r="Q2194" s="2">
        <v>27.0</v>
      </c>
      <c r="R2194" s="2">
        <v>0.0</v>
      </c>
      <c r="S2194" s="3" t="s">
        <v>8989</v>
      </c>
      <c r="T2194" s="2" t="s">
        <v>8990</v>
      </c>
      <c r="Y2194" s="4" t="str">
        <f>IFERROR(__xludf.DUMMYFUNCTION("""COMPUTED_VALUE"""),"6.8542188")</f>
        <v>6.8542188</v>
      </c>
      <c r="Z2194" s="4" t="str">
        <f>IFERROR(__xludf.DUMMYFUNCTION("""COMPUTED_VALUE"""),"3.8127457")</f>
        <v>3.8127457</v>
      </c>
      <c r="AA2194" s="4" t="str">
        <f t="shared" si="1"/>
        <v>Not Neighbor</v>
      </c>
      <c r="AC2194" s="4">
        <f>IFERROR(__xludf.DUMMYFUNCTION("IFERROR(ABS(O2194-AVERAGE(FILTER(O2194:O6262,AA2194:AA6262=""Neighbor""))) / STDEV(FILTER(O2194:O6262, AA2194:AA6262 =""Neighbor"")), """")"),0.16572788913745237)</f>
        <v>0.1657278891</v>
      </c>
      <c r="AD2194" s="4">
        <f>IFERROR(__xludf.DUMMYFUNCTION("IFERROR(ABS(P2194-AVERAGE(FILTER(O2194:P6262,AA2194:AA6262=""Neighbor""))) / STDEV(FILTER(P2194:P6262, AA2194:AA6262 =""Neighbor"")), """")"),0.62307310629114)</f>
        <v>0.6230731063</v>
      </c>
      <c r="AE2194" s="2">
        <f>IFERROR(__xludf.DUMMYFUNCTION("IFERROR(ABS(Q2194-AVERAGE(FILTER(Q2194:Q6262,AA2194:AA6262=""Neighbor""))) / STDEV(FILTER(Q2194:Q6262, AA2194:AA6262 =""Neighbor"")), """")"),0.31177663231886155)</f>
        <v>0.3117766323</v>
      </c>
      <c r="AF2194" s="2">
        <f>IFERROR(__xludf.DUMMYFUNCTION("IFERROR(ABS(R2194-AVERAGE(FILTER(R2194:R6262,AA2194:AA6262=""Neighbor""))) / STDEV(FILTER(R2194:R6262, AA2194:AA6262 =""Neighbor"")), """")"),0.34266890971283315)</f>
        <v>0.3426689097</v>
      </c>
    </row>
    <row r="2195">
      <c r="A2195" s="2" t="s">
        <v>28</v>
      </c>
      <c r="B2195" s="2" t="s">
        <v>8911</v>
      </c>
      <c r="C2195" s="2" t="s">
        <v>8991</v>
      </c>
      <c r="D2195" s="2" t="s">
        <v>8992</v>
      </c>
      <c r="E2195" s="2" t="s">
        <v>8993</v>
      </c>
      <c r="F2195" s="2">
        <v>149.0</v>
      </c>
      <c r="G2195" s="2">
        <v>811.0</v>
      </c>
      <c r="H2195" s="2" t="b">
        <v>1</v>
      </c>
      <c r="I2195" s="2">
        <v>-1.0</v>
      </c>
      <c r="J2195" s="2" t="b">
        <v>0</v>
      </c>
      <c r="K2195" s="2" t="b">
        <v>0</v>
      </c>
      <c r="L2195" s="2" t="b">
        <v>0</v>
      </c>
      <c r="M2195" s="2" t="b">
        <v>0</v>
      </c>
      <c r="N2195" s="2" t="s">
        <v>33</v>
      </c>
      <c r="O2195" s="2">
        <v>61.0</v>
      </c>
      <c r="P2195" s="2">
        <v>29.0</v>
      </c>
      <c r="Q2195" s="2">
        <v>43.0</v>
      </c>
      <c r="R2195" s="2">
        <v>1.0</v>
      </c>
      <c r="S2195" s="3" t="s">
        <v>8994</v>
      </c>
      <c r="T2195" s="2" t="s">
        <v>8995</v>
      </c>
      <c r="Y2195" s="4" t="str">
        <f>IFERROR(__xludf.DUMMYFUNCTION("""COMPUTED_VALUE"""),"6.8097213")</f>
        <v>6.8097213</v>
      </c>
      <c r="Z2195" s="4" t="str">
        <f>IFERROR(__xludf.DUMMYFUNCTION("""COMPUTED_VALUE"""),"3.7739869")</f>
        <v>3.7739869</v>
      </c>
      <c r="AA2195" s="4" t="str">
        <f t="shared" si="1"/>
        <v>Neighbor</v>
      </c>
      <c r="AC2195" s="4">
        <f>IFERROR(__xludf.DUMMYFUNCTION("IFERROR(ABS(O2195-AVERAGE(FILTER(O2195:O6263,AA2195:AA6263=""Neighbor""))) / STDEV(FILTER(O2195:O6263, AA2195:AA6263 =""Neighbor"")), """")"),0.22070206744841797)</f>
        <v>0.2207020674</v>
      </c>
      <c r="AD2195" s="4">
        <f>IFERROR(__xludf.DUMMYFUNCTION("IFERROR(ABS(P2195-AVERAGE(FILTER(O2195:P6263,AA2195:AA6263=""Neighbor""))) / STDEV(FILTER(P2195:P6263, AA2195:AA6263 =""Neighbor"")), """")"),0.26237075493528084)</f>
        <v>0.2623707549</v>
      </c>
      <c r="AE2195" s="2">
        <f>IFERROR(__xludf.DUMMYFUNCTION("IFERROR(ABS(Q2195-AVERAGE(FILTER(Q2195:Q6263,AA2195:AA6263=""Neighbor""))) / STDEV(FILTER(Q2195:Q6263, AA2195:AA6263 =""Neighbor"")), """")"),1.0595166556003015)</f>
        <v>1.059516656</v>
      </c>
      <c r="AF2195" s="2">
        <f>IFERROR(__xludf.DUMMYFUNCTION("IFERROR(ABS(R2195-AVERAGE(FILTER(R2195:R6263,AA2195:AA6263=""Neighbor""))) / STDEV(FILTER(R2195:R6263, AA2195:AA6263 =""Neighbor"")), """")"),0.8319821563333416)</f>
        <v>0.8319821563</v>
      </c>
    </row>
    <row r="2196">
      <c r="A2196" s="2" t="s">
        <v>28</v>
      </c>
      <c r="B2196" s="2" t="s">
        <v>8911</v>
      </c>
      <c r="C2196" s="2" t="s">
        <v>8991</v>
      </c>
      <c r="D2196" s="2" t="s">
        <v>8996</v>
      </c>
      <c r="E2196" s="2" t="s">
        <v>8997</v>
      </c>
      <c r="F2196" s="2">
        <v>133.0</v>
      </c>
      <c r="G2196" s="2">
        <v>604.0</v>
      </c>
      <c r="H2196" s="2" t="b">
        <v>1</v>
      </c>
      <c r="I2196" s="2">
        <v>-1.0</v>
      </c>
      <c r="J2196" s="2" t="b">
        <v>0</v>
      </c>
      <c r="K2196" s="2" t="b">
        <v>0</v>
      </c>
      <c r="L2196" s="2" t="b">
        <v>0</v>
      </c>
      <c r="M2196" s="2" t="b">
        <v>0</v>
      </c>
      <c r="N2196" s="2" t="s">
        <v>33</v>
      </c>
      <c r="O2196" s="2">
        <v>67.0</v>
      </c>
      <c r="P2196" s="2">
        <v>13.0</v>
      </c>
      <c r="Q2196" s="2">
        <v>46.0</v>
      </c>
      <c r="R2196" s="2">
        <v>0.0</v>
      </c>
      <c r="S2196" s="3" t="s">
        <v>8998</v>
      </c>
      <c r="T2196" s="2" t="s">
        <v>8999</v>
      </c>
      <c r="Y2196" s="4" t="str">
        <f>IFERROR(__xludf.DUMMYFUNCTION("""COMPUTED_VALUE"""),"6.8097213")</f>
        <v>6.8097213</v>
      </c>
      <c r="Z2196" s="4" t="str">
        <f>IFERROR(__xludf.DUMMYFUNCTION("""COMPUTED_VALUE"""),"3.7739869")</f>
        <v>3.7739869</v>
      </c>
      <c r="AA2196" s="4" t="str">
        <f t="shared" si="1"/>
        <v>Neighbor</v>
      </c>
      <c r="AC2196" s="4">
        <f>IFERROR(__xludf.DUMMYFUNCTION("IFERROR(ABS(O2196-AVERAGE(FILTER(O2196:O6264,AA2196:AA6264=""Neighbor""))) / STDEV(FILTER(O2196:O6264, AA2196:AA6264 =""Neighbor"")), """")"),0.3856719142384922)</f>
        <v>0.3856719142</v>
      </c>
      <c r="AD2196" s="4">
        <f>IFERROR(__xludf.DUMMYFUNCTION("IFERROR(ABS(P2196-AVERAGE(FILTER(O2196:P6264,AA2196:AA6264=""Neighbor""))) / STDEV(FILTER(P2196:P6264, AA2196:AA6264 =""Neighbor"")), """")"),0.98275677153202)</f>
        <v>0.9827567715</v>
      </c>
      <c r="AE2196" s="2">
        <f>IFERROR(__xludf.DUMMYFUNCTION("IFERROR(ABS(Q2196-AVERAGE(FILTER(Q2196:Q6264,AA2196:AA6264=""Neighbor""))) / STDEV(FILTER(Q2196:Q6264, AA2196:AA6264 =""Neighbor"")), """")"),1.201164455075263)</f>
        <v>1.201164455</v>
      </c>
      <c r="AF2196" s="2">
        <f>IFERROR(__xludf.DUMMYFUNCTION("IFERROR(ABS(R2196-AVERAGE(FILTER(R2196:R6264,AA2196:AA6264=""Neighbor""))) / STDEV(FILTER(R2196:R6264, AA2196:AA6264 =""Neighbor"")), """")"),0.3415407754302267)</f>
        <v>0.3415407754</v>
      </c>
    </row>
    <row r="2197">
      <c r="A2197" s="2" t="s">
        <v>28</v>
      </c>
      <c r="B2197" s="2" t="s">
        <v>8911</v>
      </c>
      <c r="C2197" s="2" t="s">
        <v>8991</v>
      </c>
      <c r="D2197" s="2" t="s">
        <v>9000</v>
      </c>
      <c r="E2197" s="2" t="s">
        <v>9001</v>
      </c>
      <c r="F2197" s="2">
        <v>157.0</v>
      </c>
      <c r="G2197" s="2">
        <v>547.0</v>
      </c>
      <c r="H2197" s="2" t="b">
        <v>1</v>
      </c>
      <c r="I2197" s="2">
        <v>-1.0</v>
      </c>
      <c r="J2197" s="2" t="b">
        <v>0</v>
      </c>
      <c r="K2197" s="2" t="b">
        <v>0</v>
      </c>
      <c r="L2197" s="2" t="b">
        <v>0</v>
      </c>
      <c r="M2197" s="2" t="b">
        <v>0</v>
      </c>
      <c r="N2197" s="2" t="s">
        <v>33</v>
      </c>
      <c r="O2197" s="2">
        <v>92.0</v>
      </c>
      <c r="P2197" s="2">
        <v>9.0</v>
      </c>
      <c r="Q2197" s="2">
        <v>49.0</v>
      </c>
      <c r="R2197" s="2">
        <v>0.0</v>
      </c>
      <c r="S2197" s="3" t="s">
        <v>9002</v>
      </c>
      <c r="T2197" s="2" t="s">
        <v>9003</v>
      </c>
      <c r="Y2197" s="4" t="str">
        <f>IFERROR(__xludf.DUMMYFUNCTION("""COMPUTED_VALUE"""),"6.8097213")</f>
        <v>6.8097213</v>
      </c>
      <c r="Z2197" s="4" t="str">
        <f>IFERROR(__xludf.DUMMYFUNCTION("""COMPUTED_VALUE"""),"3.7739869")</f>
        <v>3.7739869</v>
      </c>
      <c r="AA2197" s="4" t="str">
        <f t="shared" si="1"/>
        <v>Neighbor</v>
      </c>
      <c r="AC2197" s="4">
        <f>IFERROR(__xludf.DUMMYFUNCTION("IFERROR(ABS(O2197-AVERAGE(FILTER(O2197:O6265,AA2197:AA6265=""Neighbor""))) / STDEV(FILTER(O2197:O6265, AA2197:AA6265 =""Neighbor"")), """")"),1.0723413035216562)</f>
        <v>1.072341304</v>
      </c>
      <c r="AD2197" s="4">
        <f>IFERROR(__xludf.DUMMYFUNCTION("IFERROR(ABS(P2197-AVERAGE(FILTER(O2197:P6265,AA2197:AA6265=""Neighbor""))) / STDEV(FILTER(P2197:P6265, AA2197:AA6265 =""Neighbor"")), """")"),1.1620069403348672)</f>
        <v>1.16200694</v>
      </c>
      <c r="AE2197" s="2">
        <f>IFERROR(__xludf.DUMMYFUNCTION("IFERROR(ABS(Q2197-AVERAGE(FILTER(Q2197:Q6265,AA2197:AA6265=""Neighbor""))) / STDEV(FILTER(Q2197:Q6265, AA2197:AA6265 =""Neighbor"")), """")"),1.343292814011726)</f>
        <v>1.343292814</v>
      </c>
      <c r="AF2197" s="2">
        <f>IFERROR(__xludf.DUMMYFUNCTION("IFERROR(ABS(R2197-AVERAGE(FILTER(R2197:R6265,AA2197:AA6265=""Neighbor""))) / STDEV(FILTER(R2197:R6265, AA2197:AA6265 =""Neighbor"")), """")"),0.3417840173650839)</f>
        <v>0.3417840174</v>
      </c>
    </row>
    <row r="2198">
      <c r="A2198" s="2" t="s">
        <v>28</v>
      </c>
      <c r="B2198" s="2" t="s">
        <v>8911</v>
      </c>
      <c r="C2198" s="2" t="s">
        <v>8991</v>
      </c>
      <c r="D2198" s="2" t="s">
        <v>9004</v>
      </c>
      <c r="E2198" s="2" t="s">
        <v>9005</v>
      </c>
      <c r="F2198" s="2">
        <v>159.0</v>
      </c>
      <c r="G2198" s="2">
        <v>623.0</v>
      </c>
      <c r="H2198" s="2" t="b">
        <v>1</v>
      </c>
      <c r="I2198" s="2">
        <v>-1.0</v>
      </c>
      <c r="J2198" s="2" t="b">
        <v>0</v>
      </c>
      <c r="K2198" s="2" t="b">
        <v>0</v>
      </c>
      <c r="L2198" s="2" t="b">
        <v>0</v>
      </c>
      <c r="M2198" s="2" t="b">
        <v>0</v>
      </c>
      <c r="N2198" s="2" t="s">
        <v>33</v>
      </c>
      <c r="O2198" s="2">
        <v>82.0</v>
      </c>
      <c r="P2198" s="2">
        <v>15.0</v>
      </c>
      <c r="Q2198" s="2">
        <v>55.0</v>
      </c>
      <c r="R2198" s="2">
        <v>0.0</v>
      </c>
      <c r="S2198" s="3" t="s">
        <v>9006</v>
      </c>
      <c r="T2198" s="2" t="s">
        <v>9007</v>
      </c>
      <c r="Y2198" s="4" t="str">
        <f>IFERROR(__xludf.DUMMYFUNCTION("""COMPUTED_VALUE"""),"6.8097213")</f>
        <v>6.8097213</v>
      </c>
      <c r="Z2198" s="4" t="str">
        <f>IFERROR(__xludf.DUMMYFUNCTION("""COMPUTED_VALUE"""),"3.7739869")</f>
        <v>3.7739869</v>
      </c>
      <c r="AA2198" s="4" t="str">
        <f t="shared" si="1"/>
        <v>Neighbor</v>
      </c>
      <c r="AC2198" s="4">
        <f>IFERROR(__xludf.DUMMYFUNCTION("IFERROR(ABS(O2198-AVERAGE(FILTER(O2198:O6266,AA2198:AA6266=""Neighbor""))) / STDEV(FILTER(O2198:O6266, AA2198:AA6266 =""Neighbor"")), """")"),0.7992353295508583)</f>
        <v>0.7992353296</v>
      </c>
      <c r="AD2198" s="4">
        <f>IFERROR(__xludf.DUMMYFUNCTION("IFERROR(ABS(P2198-AVERAGE(FILTER(O2198:P6266,AA2198:AA6266=""Neighbor""))) / STDEV(FILTER(P2198:P6266, AA2198:AA6266 =""Neighbor"")), """")"),0.8903611336021451)</f>
        <v>0.8903611336</v>
      </c>
      <c r="AE2198" s="2">
        <f>IFERROR(__xludf.DUMMYFUNCTION("IFERROR(ABS(Q2198-AVERAGE(FILTER(Q2198:Q6266,AA2198:AA6266=""Neighbor""))) / STDEV(FILTER(Q2198:Q6266, AA2198:AA6266 =""Neighbor"")), """")"),1.6263552513841761)</f>
        <v>1.626355251</v>
      </c>
      <c r="AF2198" s="2">
        <f>IFERROR(__xludf.DUMMYFUNCTION("IFERROR(ABS(R2198-AVERAGE(FILTER(R2198:R6266,AA2198:AA6266=""Neighbor""))) / STDEV(FILTER(R2198:R6266, AA2198:AA6266 =""Neighbor"")), """")"),0.34202777982738697)</f>
        <v>0.3420277798</v>
      </c>
    </row>
    <row r="2199">
      <c r="A2199" s="2" t="s">
        <v>28</v>
      </c>
      <c r="B2199" s="2" t="s">
        <v>8911</v>
      </c>
      <c r="C2199" s="2" t="s">
        <v>8991</v>
      </c>
      <c r="D2199" s="2" t="s">
        <v>9008</v>
      </c>
      <c r="E2199" s="2" t="s">
        <v>9009</v>
      </c>
      <c r="F2199" s="2">
        <v>193.0</v>
      </c>
      <c r="G2199" s="2">
        <v>621.0</v>
      </c>
      <c r="H2199" s="2" t="b">
        <v>1</v>
      </c>
      <c r="I2199" s="2">
        <v>-1.0</v>
      </c>
      <c r="J2199" s="2" t="b">
        <v>0</v>
      </c>
      <c r="K2199" s="2" t="b">
        <v>0</v>
      </c>
      <c r="L2199" s="2" t="b">
        <v>0</v>
      </c>
      <c r="M2199" s="2" t="b">
        <v>0</v>
      </c>
      <c r="N2199" s="2" t="s">
        <v>33</v>
      </c>
      <c r="O2199" s="2">
        <v>67.0</v>
      </c>
      <c r="P2199" s="2">
        <v>17.0</v>
      </c>
      <c r="Q2199" s="2">
        <v>107.0</v>
      </c>
      <c r="R2199" s="2">
        <v>0.0</v>
      </c>
      <c r="S2199" s="3" t="s">
        <v>9010</v>
      </c>
      <c r="T2199" s="2" t="s">
        <v>9011</v>
      </c>
      <c r="Y2199" s="4" t="str">
        <f>IFERROR(__xludf.DUMMYFUNCTION("""COMPUTED_VALUE"""),"6.8097213")</f>
        <v>6.8097213</v>
      </c>
      <c r="Z2199" s="4" t="str">
        <f>IFERROR(__xludf.DUMMYFUNCTION("""COMPUTED_VALUE"""),"3.7739869")</f>
        <v>3.7739869</v>
      </c>
      <c r="AA2199" s="4" t="str">
        <f t="shared" si="1"/>
        <v>Neighbor</v>
      </c>
      <c r="AC2199" s="4">
        <f>IFERROR(__xludf.DUMMYFUNCTION("IFERROR(ABS(O2199-AVERAGE(FILTER(O2199:O6267,AA2199:AA6267=""Neighbor""))) / STDEV(FILTER(O2199:O6267, AA2199:AA6267 =""Neighbor"")), """")"),0.3882969829275488)</f>
        <v>0.3882969829</v>
      </c>
      <c r="AD2199" s="4">
        <f>IFERROR(__xludf.DUMMYFUNCTION("IFERROR(ABS(P2199-AVERAGE(FILTER(O2199:P6267,AA2199:AA6267=""Neighbor""))) / STDEV(FILTER(P2199:P6267, AA2199:AA6267 =""Neighbor"")), """")"),0.7990320854919267)</f>
        <v>0.7990320855</v>
      </c>
      <c r="AE2199" s="2">
        <f>IFERROR(__xludf.DUMMYFUNCTION("IFERROR(ABS(Q2199-AVERAGE(FILTER(Q2199:Q6267,AA2199:AA6267=""Neighbor""))) / STDEV(FILTER(Q2199:Q6267, AA2199:AA6267 =""Neighbor"")), """")"),4.06503068101813)</f>
        <v>4.065030681</v>
      </c>
      <c r="AF2199" s="2">
        <f>IFERROR(__xludf.DUMMYFUNCTION("IFERROR(ABS(R2199-AVERAGE(FILTER(R2199:R6267,AA2199:AA6267=""Neighbor""))) / STDEV(FILTER(R2199:R6267, AA2199:AA6267 =""Neighbor"")), """")"),0.34227206467655924)</f>
        <v>0.3422720647</v>
      </c>
    </row>
    <row r="2200">
      <c r="A2200" s="2" t="s">
        <v>28</v>
      </c>
      <c r="B2200" s="2" t="s">
        <v>8911</v>
      </c>
      <c r="C2200" s="2" t="s">
        <v>8991</v>
      </c>
      <c r="D2200" s="2" t="s">
        <v>9012</v>
      </c>
      <c r="E2200" s="2" t="s">
        <v>9013</v>
      </c>
      <c r="F2200" s="2">
        <v>131.0</v>
      </c>
      <c r="G2200" s="2">
        <v>523.0</v>
      </c>
      <c r="H2200" s="2" t="b">
        <v>1</v>
      </c>
      <c r="I2200" s="2">
        <v>-1.0</v>
      </c>
      <c r="J2200" s="2" t="b">
        <v>0</v>
      </c>
      <c r="K2200" s="2" t="b">
        <v>0</v>
      </c>
      <c r="L2200" s="2" t="b">
        <v>0</v>
      </c>
      <c r="M2200" s="2" t="b">
        <v>0</v>
      </c>
      <c r="N2200" s="2" t="s">
        <v>33</v>
      </c>
      <c r="O2200" s="2">
        <v>49.0</v>
      </c>
      <c r="P2200" s="2">
        <v>15.0</v>
      </c>
      <c r="Q2200" s="2">
        <v>56.0</v>
      </c>
      <c r="R2200" s="2">
        <v>0.0</v>
      </c>
      <c r="S2200" s="3" t="s">
        <v>9014</v>
      </c>
      <c r="T2200" s="2" t="s">
        <v>9015</v>
      </c>
      <c r="Y2200" s="4" t="str">
        <f>IFERROR(__xludf.DUMMYFUNCTION("""COMPUTED_VALUE"""),"6.8097213")</f>
        <v>6.8097213</v>
      </c>
      <c r="Z2200" s="4" t="str">
        <f>IFERROR(__xludf.DUMMYFUNCTION("""COMPUTED_VALUE"""),"3.7739869")</f>
        <v>3.7739869</v>
      </c>
      <c r="AA2200" s="4" t="str">
        <f t="shared" si="1"/>
        <v>Not Neighbor</v>
      </c>
      <c r="AC2200" s="4">
        <f>IFERROR(__xludf.DUMMYFUNCTION("IFERROR(ABS(O2200-AVERAGE(FILTER(O2200:O6268,AA2200:AA6268=""Neighbor""))) / STDEV(FILTER(O2200:O6268, AA2200:AA6268 =""Neighbor"")), """")"),0.10528009549279417)</f>
        <v>0.1052800955</v>
      </c>
      <c r="AD2200" s="4">
        <f>IFERROR(__xludf.DUMMYFUNCTION("IFERROR(ABS(P2200-AVERAGE(FILTER(O2200:P6268,AA2200:AA6268=""Neighbor""))) / STDEV(FILTER(P2200:P6268, AA2200:AA6268 =""Neighbor"")), """")"),0.8880167182586277)</f>
        <v>0.8880167183</v>
      </c>
      <c r="AE2200" s="2">
        <f>IFERROR(__xludf.DUMMYFUNCTION("IFERROR(ABS(Q2200-AVERAGE(FILTER(Q2200:Q6268,AA2200:AA6268=""Neighbor""))) / STDEV(FILTER(Q2200:Q6268, AA2200:AA6268 =""Neighbor"")), """")"),1.6992374756354336)</f>
        <v>1.699237476</v>
      </c>
      <c r="AF2200" s="2">
        <f>IFERROR(__xludf.DUMMYFUNCTION("IFERROR(ABS(R2200-AVERAGE(FILTER(R2200:R6268,AA2200:AA6268=""Neighbor""))) / STDEV(FILTER(R2200:R6268, AA2200:AA6268 =""Neighbor"")), """")"),0.34251687378133727)</f>
        <v>0.3425168738</v>
      </c>
    </row>
    <row r="2201">
      <c r="A2201" s="2" t="s">
        <v>28</v>
      </c>
      <c r="B2201" s="2" t="s">
        <v>8911</v>
      </c>
      <c r="C2201" s="2" t="s">
        <v>9016</v>
      </c>
      <c r="D2201" s="2" t="s">
        <v>9017</v>
      </c>
      <c r="E2201" s="2" t="s">
        <v>9018</v>
      </c>
      <c r="F2201" s="2">
        <v>197.0</v>
      </c>
      <c r="G2201" s="2">
        <v>945.0</v>
      </c>
      <c r="H2201" s="2" t="b">
        <v>1</v>
      </c>
      <c r="I2201" s="2">
        <v>-1.0</v>
      </c>
      <c r="J2201" s="2" t="b">
        <v>0</v>
      </c>
      <c r="K2201" s="2" t="b">
        <v>0</v>
      </c>
      <c r="L2201" s="2" t="b">
        <v>0</v>
      </c>
      <c r="M2201" s="2" t="b">
        <v>0</v>
      </c>
      <c r="N2201" s="2" t="s">
        <v>33</v>
      </c>
      <c r="O2201" s="2">
        <v>87.0</v>
      </c>
      <c r="P2201" s="2">
        <v>63.0</v>
      </c>
      <c r="Q2201" s="2">
        <v>38.0</v>
      </c>
      <c r="R2201" s="2">
        <v>0.0</v>
      </c>
      <c r="S2201" s="3" t="s">
        <v>9019</v>
      </c>
      <c r="T2201" s="2" t="s">
        <v>9020</v>
      </c>
      <c r="Y2201" s="4" t="str">
        <f>IFERROR(__xludf.DUMMYFUNCTION("""COMPUTED_VALUE"""),"6.8616765")</f>
        <v>6.8616765</v>
      </c>
      <c r="Z2201" s="4" t="str">
        <f>IFERROR(__xludf.DUMMYFUNCTION("""COMPUTED_VALUE"""),"3.7715967")</f>
        <v>3.7715967</v>
      </c>
      <c r="AA2201" s="4" t="str">
        <f t="shared" si="1"/>
        <v>Not Neighbor</v>
      </c>
      <c r="AC2201" s="4">
        <f>IFERROR(__xludf.DUMMYFUNCTION("IFERROR(ABS(O2201-AVERAGE(FILTER(O2201:O6269,AA2201:AA6269=""Neighbor""))) / STDEV(FILTER(O2201:O6269, AA2201:AA6269 =""Neighbor"")), """")"),0.9373199814889688)</f>
        <v>0.9373199815</v>
      </c>
      <c r="AD2201" s="4">
        <f>IFERROR(__xludf.DUMMYFUNCTION("IFERROR(ABS(P2201-AVERAGE(FILTER(O2201:P6269,AA2201:AA6269=""Neighbor""))) / STDEV(FILTER(P2201:P6269, AA2201:AA6269 =""Neighbor"")), """")"),1.2699209679621177)</f>
        <v>1.269920968</v>
      </c>
      <c r="AE2201" s="2">
        <f>IFERROR(__xludf.DUMMYFUNCTION("IFERROR(ABS(Q2201-AVERAGE(FILTER(Q2201:Q6269,AA2201:AA6269=""Neighbor""))) / STDEV(FILTER(Q2201:Q6269, AA2201:AA6269 =""Neighbor"")), """")"),0.8478601950015926)</f>
        <v>0.847860195</v>
      </c>
      <c r="AF2201" s="2">
        <f>IFERROR(__xludf.DUMMYFUNCTION("IFERROR(ABS(R2201-AVERAGE(FILTER(R2201:R6269,AA2201:AA6269=""Neighbor""))) / STDEV(FILTER(R2201:R6269, AA2201:AA6269 =""Neighbor"")), """")"),0.34251687378133727)</f>
        <v>0.3425168738</v>
      </c>
    </row>
    <row r="2202">
      <c r="A2202" s="2" t="s">
        <v>28</v>
      </c>
      <c r="B2202" s="2" t="s">
        <v>8911</v>
      </c>
      <c r="C2202" s="2" t="s">
        <v>9016</v>
      </c>
      <c r="D2202" s="2" t="s">
        <v>9021</v>
      </c>
      <c r="E2202" s="2" t="s">
        <v>9022</v>
      </c>
      <c r="F2202" s="2">
        <v>170.0</v>
      </c>
      <c r="G2202" s="2">
        <v>753.0</v>
      </c>
      <c r="H2202" s="2" t="b">
        <v>1</v>
      </c>
      <c r="I2202" s="2">
        <v>-1.0</v>
      </c>
      <c r="J2202" s="2" t="b">
        <v>0</v>
      </c>
      <c r="K2202" s="2" t="b">
        <v>0</v>
      </c>
      <c r="L2202" s="2" t="b">
        <v>0</v>
      </c>
      <c r="M2202" s="2" t="b">
        <v>0</v>
      </c>
      <c r="N2202" s="2" t="s">
        <v>33</v>
      </c>
      <c r="O2202" s="2">
        <v>84.0</v>
      </c>
      <c r="P2202" s="2">
        <v>14.0</v>
      </c>
      <c r="Q2202" s="2">
        <v>58.0</v>
      </c>
      <c r="R2202" s="2">
        <v>0.0</v>
      </c>
      <c r="S2202" s="3" t="s">
        <v>9023</v>
      </c>
      <c r="T2202" s="2" t="s">
        <v>9024</v>
      </c>
      <c r="Y2202" s="4" t="str">
        <f>IFERROR(__xludf.DUMMYFUNCTION("""COMPUTED_VALUE"""),"6.8739248")</f>
        <v>6.8739248</v>
      </c>
      <c r="Z2202" s="4" t="str">
        <f>IFERROR(__xludf.DUMMYFUNCTION("""COMPUTED_VALUE"""),"3.7739869")</f>
        <v>3.7739869</v>
      </c>
      <c r="AA2202" s="4" t="str">
        <f t="shared" si="1"/>
        <v>Neighbor</v>
      </c>
      <c r="AC2202" s="4">
        <f>IFERROR(__xludf.DUMMYFUNCTION("IFERROR(ABS(O2202-AVERAGE(FILTER(O2202:O6270,AA2202:AA6270=""Neighbor""))) / STDEV(FILTER(O2202:O6270, AA2202:AA6270 =""Neighbor"")), """")"),0.8550094490956718)</f>
        <v>0.8550094491</v>
      </c>
      <c r="AD2202" s="4">
        <f>IFERROR(__xludf.DUMMYFUNCTION("IFERROR(ABS(P2202-AVERAGE(FILTER(O2202:P6270,AA2202:AA6270=""Neighbor""))) / STDEV(FILTER(P2202:P6270, AA2202:AA6270 =""Neighbor"")), """")"),0.9329737533882266)</f>
        <v>0.9329737534</v>
      </c>
      <c r="AE2202" s="2">
        <f>IFERROR(__xludf.DUMMYFUNCTION("IFERROR(ABS(Q2202-AVERAGE(FILTER(Q2202:Q6270,AA2202:AA6270=""Neighbor""))) / STDEV(FILTER(Q2202:Q6270, AA2202:AA6270 =""Neighbor"")), """")"),1.7938349512614158)</f>
        <v>1.793834951</v>
      </c>
      <c r="AF2202" s="2">
        <f>IFERROR(__xludf.DUMMYFUNCTION("IFERROR(ABS(R2202-AVERAGE(FILTER(R2202:R6270,AA2202:AA6270=""Neighbor""))) / STDEV(FILTER(R2202:R6270, AA2202:AA6270 =""Neighbor"")), """")"),0.34251687378133727)</f>
        <v>0.3425168738</v>
      </c>
    </row>
    <row r="2203">
      <c r="A2203" s="2" t="s">
        <v>28</v>
      </c>
      <c r="B2203" s="2" t="s">
        <v>8911</v>
      </c>
      <c r="C2203" s="2" t="s">
        <v>9016</v>
      </c>
      <c r="D2203" s="2" t="s">
        <v>9025</v>
      </c>
      <c r="E2203" s="2" t="s">
        <v>9026</v>
      </c>
      <c r="F2203" s="2">
        <v>159.0</v>
      </c>
      <c r="G2203" s="2">
        <v>689.0</v>
      </c>
      <c r="H2203" s="2" t="b">
        <v>1</v>
      </c>
      <c r="I2203" s="2">
        <v>-1.0</v>
      </c>
      <c r="J2203" s="2" t="b">
        <v>0</v>
      </c>
      <c r="K2203" s="2" t="b">
        <v>0</v>
      </c>
      <c r="L2203" s="2" t="b">
        <v>0</v>
      </c>
      <c r="M2203" s="2" t="b">
        <v>0</v>
      </c>
      <c r="N2203" s="2" t="s">
        <v>33</v>
      </c>
      <c r="O2203" s="2">
        <v>84.0</v>
      </c>
      <c r="P2203" s="2">
        <v>14.0</v>
      </c>
      <c r="Q2203" s="2">
        <v>57.0</v>
      </c>
      <c r="R2203" s="2">
        <v>0.0</v>
      </c>
      <c r="S2203" s="3" t="s">
        <v>9027</v>
      </c>
      <c r="T2203" s="2" t="s">
        <v>9028</v>
      </c>
      <c r="Y2203" s="4" t="str">
        <f>IFERROR(__xludf.DUMMYFUNCTION("""COMPUTED_VALUE"""),"6.8739248")</f>
        <v>6.8739248</v>
      </c>
      <c r="Z2203" s="4" t="str">
        <f>IFERROR(__xludf.DUMMYFUNCTION("""COMPUTED_VALUE"""),"3.7739869")</f>
        <v>3.7739869</v>
      </c>
      <c r="AA2203" s="4" t="str">
        <f t="shared" si="1"/>
        <v>Neighbor</v>
      </c>
      <c r="AC2203" s="4">
        <f>IFERROR(__xludf.DUMMYFUNCTION("IFERROR(ABS(O2203-AVERAGE(FILTER(O2203:O6271,AA2203:AA6271=""Neighbor""))) / STDEV(FILTER(O2203:O6271, AA2203:AA6271 =""Neighbor"")), """")"),0.8559595961830013)</f>
        <v>0.8559595962</v>
      </c>
      <c r="AD2203" s="4">
        <f>IFERROR(__xludf.DUMMYFUNCTION("IFERROR(ABS(P2203-AVERAGE(FILTER(O2203:P6271,AA2203:AA6271=""Neighbor""))) / STDEV(FILTER(P2203:P6271, AA2203:AA6271 =""Neighbor"")), """")"),0.9315616373522564)</f>
        <v>0.9315616374</v>
      </c>
      <c r="AE2203" s="2">
        <f>IFERROR(__xludf.DUMMYFUNCTION("IFERROR(ABS(Q2203-AVERAGE(FILTER(Q2203:Q6271,AA2203:AA6271=""Neighbor""))) / STDEV(FILTER(Q2203:Q6271, AA2203:AA6271 =""Neighbor"")), """")"),1.7513416655901977)</f>
        <v>1.751341666</v>
      </c>
      <c r="AF2203" s="2">
        <f>IFERROR(__xludf.DUMMYFUNCTION("IFERROR(ABS(R2203-AVERAGE(FILTER(R2203:R6271,AA2203:AA6271=""Neighbor""))) / STDEV(FILTER(R2203:R6271, AA2203:AA6271 =""Neighbor"")), """")"),0.34276220901983134)</f>
        <v>0.342762209</v>
      </c>
    </row>
    <row r="2204">
      <c r="A2204" s="2" t="s">
        <v>28</v>
      </c>
      <c r="B2204" s="2" t="s">
        <v>8911</v>
      </c>
      <c r="C2204" s="2" t="s">
        <v>9016</v>
      </c>
      <c r="D2204" s="2" t="s">
        <v>9029</v>
      </c>
      <c r="E2204" s="2" t="s">
        <v>9030</v>
      </c>
      <c r="F2204" s="2">
        <v>212.0</v>
      </c>
      <c r="G2204" s="2">
        <v>858.0</v>
      </c>
      <c r="H2204" s="2" t="b">
        <v>1</v>
      </c>
      <c r="I2204" s="2">
        <v>-1.0</v>
      </c>
      <c r="J2204" s="2" t="b">
        <v>1</v>
      </c>
      <c r="K2204" s="2" t="b">
        <v>0</v>
      </c>
      <c r="L2204" s="2" t="b">
        <v>0</v>
      </c>
      <c r="M2204" s="2" t="b">
        <v>0</v>
      </c>
      <c r="N2204" s="2" t="s">
        <v>33</v>
      </c>
      <c r="O2204" s="2">
        <v>100.0</v>
      </c>
      <c r="P2204" s="2">
        <v>21.0</v>
      </c>
      <c r="Q2204" s="2">
        <v>75.0</v>
      </c>
      <c r="R2204" s="2">
        <v>0.0</v>
      </c>
      <c r="S2204" s="3" t="s">
        <v>9031</v>
      </c>
      <c r="T2204" s="2" t="s">
        <v>9032</v>
      </c>
      <c r="Y2204" s="4" t="str">
        <f>IFERROR(__xludf.DUMMYFUNCTION("""COMPUTED_VALUE"""),"6.8739248")</f>
        <v>6.8739248</v>
      </c>
      <c r="Z2204" s="4" t="str">
        <f>IFERROR(__xludf.DUMMYFUNCTION("""COMPUTED_VALUE"""),"3.7739869")</f>
        <v>3.7739869</v>
      </c>
      <c r="AA2204" s="4" t="str">
        <f t="shared" si="1"/>
        <v>Neighbor</v>
      </c>
      <c r="AC2204" s="4">
        <f>IFERROR(__xludf.DUMMYFUNCTION("IFERROR(ABS(O2204-AVERAGE(FILTER(O2204:O6272,AA2204:AA6272=""Neighbor""))) / STDEV(FILTER(O2204:O6272, AA2204:AA6272 =""Neighbor"")), """")"),1.2957516085002696)</f>
        <v>1.295751609</v>
      </c>
      <c r="AD2204" s="4">
        <f>IFERROR(__xludf.DUMMYFUNCTION("IFERROR(ABS(P2204-AVERAGE(FILTER(O2204:P6272,AA2204:AA6272=""Neighbor""))) / STDEV(FILTER(P2204:P6272, AA2204:AA6272 =""Neighbor"")), """")"),0.6158472506065378)</f>
        <v>0.6158472506</v>
      </c>
      <c r="AE2204" s="2">
        <f>IFERROR(__xludf.DUMMYFUNCTION("IFERROR(ABS(Q2204-AVERAGE(FILTER(Q2204:Q6272,AA2204:AA6272=""Neighbor""))) / STDEV(FILTER(Q2204:Q6272, AA2204:AA6272 =""Neighbor"")), """")"),2.609668843996154)</f>
        <v>2.609668844</v>
      </c>
      <c r="AF2204" s="2">
        <f>IFERROR(__xludf.DUMMYFUNCTION("IFERROR(ABS(R2204-AVERAGE(FILTER(R2204:R6272,AA2204:AA6272=""Neighbor""))) / STDEV(FILTER(R2204:R6272, AA2204:AA6272 =""Neighbor"")), """")"),0.3430080722795859)</f>
        <v>0.3430080723</v>
      </c>
    </row>
    <row r="2205">
      <c r="A2205" s="2" t="s">
        <v>28</v>
      </c>
      <c r="B2205" s="2" t="s">
        <v>8911</v>
      </c>
      <c r="C2205" s="2" t="s">
        <v>9016</v>
      </c>
      <c r="D2205" s="2" t="s">
        <v>9033</v>
      </c>
      <c r="E2205" s="2" t="s">
        <v>9034</v>
      </c>
      <c r="F2205" s="2">
        <v>179.0</v>
      </c>
      <c r="G2205" s="2">
        <v>646.0</v>
      </c>
      <c r="H2205" s="2" t="b">
        <v>1</v>
      </c>
      <c r="I2205" s="2">
        <v>-1.0</v>
      </c>
      <c r="J2205" s="2" t="b">
        <v>1</v>
      </c>
      <c r="K2205" s="2" t="b">
        <v>0</v>
      </c>
      <c r="L2205" s="2" t="b">
        <v>0</v>
      </c>
      <c r="M2205" s="2" t="b">
        <v>0</v>
      </c>
      <c r="N2205" s="2" t="s">
        <v>33</v>
      </c>
      <c r="O2205" s="2">
        <v>65.0</v>
      </c>
      <c r="P2205" s="2">
        <v>4.0</v>
      </c>
      <c r="Q2205" s="2">
        <v>96.0</v>
      </c>
      <c r="R2205" s="2">
        <v>0.0</v>
      </c>
      <c r="S2205" s="3" t="s">
        <v>9035</v>
      </c>
      <c r="T2205" s="2" t="s">
        <v>9036</v>
      </c>
      <c r="Y2205" s="4" t="str">
        <f>IFERROR(__xludf.DUMMYFUNCTION("""COMPUTED_VALUE"""),"6.8739248")</f>
        <v>6.8739248</v>
      </c>
      <c r="Z2205" s="4" t="str">
        <f>IFERROR(__xludf.DUMMYFUNCTION("""COMPUTED_VALUE"""),"3.7739869")</f>
        <v>3.7739869</v>
      </c>
      <c r="AA2205" s="4" t="str">
        <f t="shared" si="1"/>
        <v>Neighbor</v>
      </c>
      <c r="AC2205" s="4">
        <f>IFERROR(__xludf.DUMMYFUNCTION("IFERROR(ABS(O2205-AVERAGE(FILTER(O2205:O6273,AA2205:AA6273=""Neighbor""))) / STDEV(FILTER(O2205:O6273, AA2205:AA6273 =""Neighbor"")), """")"),0.3376078097526388)</f>
        <v>0.3376078098</v>
      </c>
      <c r="AD2205" s="4">
        <f>IFERROR(__xludf.DUMMYFUNCTION("IFERROR(ABS(P2205-AVERAGE(FILTER(O2205:P6273,AA2205:AA6273=""Neighbor""))) / STDEV(FILTER(P2205:P6273, AA2205:AA6273 =""Neighbor"")), """")"),1.376805935812228)</f>
        <v>1.376805936</v>
      </c>
      <c r="AE2205" s="2">
        <f>IFERROR(__xludf.DUMMYFUNCTION("IFERROR(ABS(Q2205-AVERAGE(FILTER(Q2205:Q6273,AA2205:AA6273=""Neighbor""))) / STDEV(FILTER(Q2205:Q6273, AA2205:AA6273 =""Neighbor"")), """")"),3.6226593120130786)</f>
        <v>3.622659312</v>
      </c>
      <c r="AF2205" s="2">
        <f>IFERROR(__xludf.DUMMYFUNCTION("IFERROR(ABS(R2205-AVERAGE(FILTER(R2205:R6273,AA2205:AA6273=""Neighbor""))) / STDEV(FILTER(R2205:R6273, AA2205:AA6273 =""Neighbor"")), """")"),0.3432544654576407)</f>
        <v>0.3432544655</v>
      </c>
    </row>
    <row r="2206">
      <c r="A2206" s="2" t="s">
        <v>28</v>
      </c>
      <c r="B2206" s="2" t="s">
        <v>8911</v>
      </c>
      <c r="C2206" s="2" t="s">
        <v>9016</v>
      </c>
      <c r="D2206" s="2" t="s">
        <v>9037</v>
      </c>
      <c r="E2206" s="2" t="s">
        <v>9038</v>
      </c>
      <c r="F2206" s="2">
        <v>201.0</v>
      </c>
      <c r="G2206" s="2">
        <v>822.0</v>
      </c>
      <c r="H2206" s="2" t="b">
        <v>1</v>
      </c>
      <c r="I2206" s="2">
        <v>-1.0</v>
      </c>
      <c r="J2206" s="2" t="b">
        <v>1</v>
      </c>
      <c r="K2206" s="2" t="b">
        <v>0</v>
      </c>
      <c r="L2206" s="2" t="b">
        <v>0</v>
      </c>
      <c r="M2206" s="2" t="b">
        <v>0</v>
      </c>
      <c r="N2206" s="2" t="s">
        <v>33</v>
      </c>
      <c r="O2206" s="2">
        <v>85.0</v>
      </c>
      <c r="P2206" s="2">
        <v>17.0</v>
      </c>
      <c r="Q2206" s="2">
        <v>88.0</v>
      </c>
      <c r="R2206" s="2">
        <v>0.0</v>
      </c>
      <c r="S2206" s="3" t="s">
        <v>9039</v>
      </c>
      <c r="T2206" s="2" t="s">
        <v>9040</v>
      </c>
      <c r="Y2206" s="4" t="str">
        <f>IFERROR(__xludf.DUMMYFUNCTION("""COMPUTED_VALUE"""),"6.8739248")</f>
        <v>6.8739248</v>
      </c>
      <c r="Z2206" s="4" t="str">
        <f>IFERROR(__xludf.DUMMYFUNCTION("""COMPUTED_VALUE"""),"3.7739869")</f>
        <v>3.7739869</v>
      </c>
      <c r="AA2206" s="4" t="str">
        <f t="shared" si="1"/>
        <v>Neighbor</v>
      </c>
      <c r="AC2206" s="4">
        <f>IFERROR(__xludf.DUMMYFUNCTION("IFERROR(ABS(O2206-AVERAGE(FILTER(O2206:O6274,AA2206:AA6274=""Neighbor""))) / STDEV(FILTER(O2206:O6274, AA2206:AA6274 =""Neighbor"")), """")"),0.8863257167932295)</f>
        <v>0.8863257168</v>
      </c>
      <c r="AD2206" s="4">
        <f>IFERROR(__xludf.DUMMYFUNCTION("IFERROR(ABS(P2206-AVERAGE(FILTER(O2206:P6274,AA2206:AA6274=""Neighbor""))) / STDEV(FILTER(P2206:P6274, AA2206:AA6274 =""Neighbor"")), """")"),0.7931304919917228)</f>
        <v>0.793130492</v>
      </c>
      <c r="AE2206" s="2">
        <f>IFERROR(__xludf.DUMMYFUNCTION("IFERROR(ABS(Q2206-AVERAGE(FILTER(Q2206:Q6274,AA2206:AA6274=""Neighbor""))) / STDEV(FILTER(Q2206:Q6274, AA2206:AA6274 =""Neighbor"")), """")"),3.272190524835037)</f>
        <v>3.272190525</v>
      </c>
      <c r="AF2206" s="2">
        <f>IFERROR(__xludf.DUMMYFUNCTION("IFERROR(ABS(R2206-AVERAGE(FILTER(R2206:R6274,AA2206:AA6274=""Neighbor""))) / STDEV(FILTER(R2206:R6274, AA2206:AA6274 =""Neighbor"")), """")"),0.34350139046059186)</f>
        <v>0.3435013905</v>
      </c>
    </row>
    <row r="2207">
      <c r="A2207" s="2" t="s">
        <v>28</v>
      </c>
      <c r="B2207" s="2" t="s">
        <v>8911</v>
      </c>
      <c r="C2207" s="2" t="s">
        <v>9016</v>
      </c>
      <c r="D2207" s="2" t="s">
        <v>9041</v>
      </c>
      <c r="E2207" s="2" t="s">
        <v>9042</v>
      </c>
      <c r="F2207" s="2">
        <v>162.0</v>
      </c>
      <c r="G2207" s="2">
        <v>497.0</v>
      </c>
      <c r="H2207" s="2" t="b">
        <v>1</v>
      </c>
      <c r="I2207" s="2">
        <v>-1.0</v>
      </c>
      <c r="J2207" s="2" t="b">
        <v>1</v>
      </c>
      <c r="K2207" s="2" t="b">
        <v>0</v>
      </c>
      <c r="L2207" s="2" t="b">
        <v>0</v>
      </c>
      <c r="M2207" s="2" t="b">
        <v>0</v>
      </c>
      <c r="N2207" s="2" t="s">
        <v>33</v>
      </c>
      <c r="O2207" s="2">
        <v>102.0</v>
      </c>
      <c r="P2207" s="2">
        <v>8.0</v>
      </c>
      <c r="Q2207" s="2">
        <v>45.0</v>
      </c>
      <c r="R2207" s="2">
        <v>0.0</v>
      </c>
      <c r="S2207" s="3" t="s">
        <v>9043</v>
      </c>
      <c r="T2207" s="2" t="s">
        <v>9044</v>
      </c>
      <c r="Y2207" s="4" t="str">
        <f>IFERROR(__xludf.DUMMYFUNCTION("""COMPUTED_VALUE"""),"6.8739248")</f>
        <v>6.8739248</v>
      </c>
      <c r="Z2207" s="4" t="str">
        <f>IFERROR(__xludf.DUMMYFUNCTION("""COMPUTED_VALUE"""),"3.7739869")</f>
        <v>3.7739869</v>
      </c>
      <c r="AA2207" s="4" t="str">
        <f t="shared" si="1"/>
        <v>Not Neighbor</v>
      </c>
      <c r="AC2207" s="4">
        <f>IFERROR(__xludf.DUMMYFUNCTION("IFERROR(ABS(O2207-AVERAGE(FILTER(O2207:O6275,AA2207:AA6275=""Neighbor""))) / STDEV(FILTER(O2207:O6275, AA2207:AA6275 =""Neighbor"")), """")"),1.3534872787499141)</f>
        <v>1.353487279</v>
      </c>
      <c r="AD2207" s="4">
        <f>IFERROR(__xludf.DUMMYFUNCTION("IFERROR(ABS(P2207-AVERAGE(FILTER(O2207:P6275,AA2207:AA6275=""Neighbor""))) / STDEV(FILTER(P2207:P6275, AA2207:AA6275 =""Neighbor"")), """")"),1.1950891706715692)</f>
        <v>1.195089171</v>
      </c>
      <c r="AE2207" s="2">
        <f>IFERROR(__xludf.DUMMYFUNCTION("IFERROR(ABS(Q2207-AVERAGE(FILTER(Q2207:Q6275,AA2207:AA6275=""Neighbor""))) / STDEV(FILTER(Q2207:Q6275, AA2207:AA6275 =""Neighbor"")), """")"),1.2207106359608209)</f>
        <v>1.220710636</v>
      </c>
      <c r="AF2207" s="2">
        <f>IFERROR(__xludf.DUMMYFUNCTION("IFERROR(ABS(R2207-AVERAGE(FILTER(R2207:R6275,AA2207:AA6275=""Neighbor""))) / STDEV(FILTER(R2207:R6275, AA2207:AA6275 =""Neighbor"")), """")"),0.3437488492046546)</f>
        <v>0.3437488492</v>
      </c>
    </row>
    <row r="2208">
      <c r="A2208" s="2" t="s">
        <v>28</v>
      </c>
      <c r="B2208" s="2" t="s">
        <v>8911</v>
      </c>
      <c r="C2208" s="2" t="s">
        <v>9045</v>
      </c>
      <c r="D2208" s="2" t="s">
        <v>9046</v>
      </c>
      <c r="E2208" s="2" t="s">
        <v>9047</v>
      </c>
      <c r="F2208" s="2">
        <v>218.0</v>
      </c>
      <c r="G2208" s="2">
        <v>830.0</v>
      </c>
      <c r="H2208" s="2" t="b">
        <v>1</v>
      </c>
      <c r="I2208" s="2">
        <v>-1.0</v>
      </c>
      <c r="J2208" s="2" t="b">
        <v>0</v>
      </c>
      <c r="K2208" s="2" t="b">
        <v>0</v>
      </c>
      <c r="L2208" s="2" t="b">
        <v>0</v>
      </c>
      <c r="M2208" s="2" t="b">
        <v>0</v>
      </c>
      <c r="N2208" s="2" t="s">
        <v>33</v>
      </c>
      <c r="O2208" s="2">
        <v>125.0</v>
      </c>
      <c r="P2208" s="2">
        <v>8.0</v>
      </c>
      <c r="Q2208" s="2">
        <v>63.0</v>
      </c>
      <c r="R2208" s="2">
        <v>0.0</v>
      </c>
      <c r="S2208" s="3" t="s">
        <v>9048</v>
      </c>
      <c r="T2208" s="2" t="s">
        <v>9049</v>
      </c>
      <c r="Y2208" s="4" t="str">
        <f>IFERROR(__xludf.DUMMYFUNCTION("""COMPUTED_VALUE"""),"6.8083077")</f>
        <v>6.8083077</v>
      </c>
      <c r="Z2208" s="4" t="str">
        <f>IFERROR(__xludf.DUMMYFUNCTION("""COMPUTED_VALUE"""),"3.7410415")</f>
        <v>3.7410415</v>
      </c>
      <c r="AA2208" s="4" t="str">
        <f t="shared" si="1"/>
        <v>Neighbor</v>
      </c>
      <c r="AC2208" s="4">
        <f>IFERROR(__xludf.DUMMYFUNCTION("IFERROR(ABS(O2208-AVERAGE(FILTER(O2208:O6276,AA2208:AA6276=""Neighbor""))) / STDEV(FILTER(O2208:O6276, AA2208:AA6276 =""Neighbor"")), """")"),1.984147604033334)</f>
        <v>1.984147604</v>
      </c>
      <c r="AD2208" s="4">
        <f>IFERROR(__xludf.DUMMYFUNCTION("IFERROR(ABS(P2208-AVERAGE(FILTER(O2208:P6276,AA2208:AA6276=""Neighbor""))) / STDEV(FILTER(P2208:P6276, AA2208:AA6276 =""Neighbor"")), """")"),1.1950891706715692)</f>
        <v>1.195089171</v>
      </c>
      <c r="AE2208" s="2">
        <f>IFERROR(__xludf.DUMMYFUNCTION("IFERROR(ABS(Q2208-AVERAGE(FILTER(Q2208:Q6276,AA2208:AA6276=""Neighbor""))) / STDEV(FILTER(Q2208:Q6276, AA2208:AA6276 =""Neighbor"")), """")"),2.0899318789628856)</f>
        <v>2.089931879</v>
      </c>
      <c r="AF2208" s="2">
        <f>IFERROR(__xludf.DUMMYFUNCTION("IFERROR(ABS(R2208-AVERAGE(FILTER(R2208:R6276,AA2208:AA6276=""Neighbor""))) / STDEV(FILTER(R2208:R6276, AA2208:AA6276 =""Neighbor"")), """")"),0.3437488492046546)</f>
        <v>0.3437488492</v>
      </c>
    </row>
    <row r="2209">
      <c r="A2209" s="2" t="s">
        <v>28</v>
      </c>
      <c r="B2209" s="2" t="s">
        <v>8911</v>
      </c>
      <c r="C2209" s="2" t="s">
        <v>9045</v>
      </c>
      <c r="D2209" s="2" t="s">
        <v>9050</v>
      </c>
      <c r="E2209" s="2" t="s">
        <v>9051</v>
      </c>
      <c r="F2209" s="2">
        <v>229.0</v>
      </c>
      <c r="G2209" s="2">
        <v>835.0</v>
      </c>
      <c r="H2209" s="2" t="b">
        <v>1</v>
      </c>
      <c r="I2209" s="2">
        <v>-1.0</v>
      </c>
      <c r="J2209" s="2" t="b">
        <v>0</v>
      </c>
      <c r="K2209" s="2" t="b">
        <v>0</v>
      </c>
      <c r="L2209" s="2" t="b">
        <v>0</v>
      </c>
      <c r="M2209" s="2" t="b">
        <v>0</v>
      </c>
      <c r="N2209" s="2" t="s">
        <v>33</v>
      </c>
      <c r="O2209" s="2">
        <v>148.0</v>
      </c>
      <c r="P2209" s="2">
        <v>12.0</v>
      </c>
      <c r="Q2209" s="2">
        <v>56.0</v>
      </c>
      <c r="R2209" s="2">
        <v>0.0</v>
      </c>
      <c r="S2209" s="3" t="s">
        <v>9052</v>
      </c>
      <c r="T2209" s="2" t="s">
        <v>9053</v>
      </c>
      <c r="Y2209" s="4" t="str">
        <f>IFERROR(__xludf.DUMMYFUNCTION("""COMPUTED_VALUE"""),"6.8074262")</f>
        <v>6.8074262</v>
      </c>
      <c r="Z2209" s="4" t="str">
        <f>IFERROR(__xludf.DUMMYFUNCTION("""COMPUTED_VALUE"""),"3.7358958")</f>
        <v>3.7358958</v>
      </c>
      <c r="AA2209" s="4" t="str">
        <f t="shared" si="1"/>
        <v>Neighbor</v>
      </c>
      <c r="AC2209" s="4">
        <f>IFERROR(__xludf.DUMMYFUNCTION("IFERROR(ABS(O2209-AVERAGE(FILTER(O2209:O6277,AA2209:AA6277=""Neighbor""))) / STDEV(FILTER(O2209:O6277, AA2209:AA6277 =""Neighbor"")), """")"),2.6223663612705965)</f>
        <v>2.622366361</v>
      </c>
      <c r="AD2209" s="4">
        <f>IFERROR(__xludf.DUMMYFUNCTION("IFERROR(ABS(P2209-AVERAGE(FILTER(O2209:P6277,AA2209:AA6277=""Neighbor""))) / STDEV(FILTER(P2209:P6277, AA2209:AA6277 =""Neighbor"")), """")"),1.0133943129172938)</f>
        <v>1.013394313</v>
      </c>
      <c r="AE2209" s="2">
        <f>IFERROR(__xludf.DUMMYFUNCTION("IFERROR(ABS(Q2209-AVERAGE(FILTER(Q2209:Q6277,AA2209:AA6277=""Neighbor""))) / STDEV(FILTER(Q2209:Q6277, AA2209:AA6277 =""Neighbor"")), """")"),1.7584427818735278)</f>
        <v>1.758442782</v>
      </c>
      <c r="AF2209" s="2">
        <f>IFERROR(__xludf.DUMMYFUNCTION("IFERROR(ABS(R2209-AVERAGE(FILTER(R2209:R6277,AA2209:AA6277=""Neighbor""))) / STDEV(FILTER(R2209:R6277, AA2209:AA6277 =""Neighbor"")), """")"),0.3439968436157251)</f>
        <v>0.3439968436</v>
      </c>
    </row>
    <row r="2210">
      <c r="A2210" s="2" t="s">
        <v>28</v>
      </c>
      <c r="B2210" s="2" t="s">
        <v>8911</v>
      </c>
      <c r="C2210" s="2" t="s">
        <v>9045</v>
      </c>
      <c r="D2210" s="2" t="s">
        <v>9054</v>
      </c>
      <c r="E2210" s="2" t="s">
        <v>9055</v>
      </c>
      <c r="F2210" s="2">
        <v>215.0</v>
      </c>
      <c r="G2210" s="2">
        <v>820.0</v>
      </c>
      <c r="H2210" s="2" t="b">
        <v>1</v>
      </c>
      <c r="I2210" s="2">
        <v>-1.0</v>
      </c>
      <c r="J2210" s="2" t="b">
        <v>0</v>
      </c>
      <c r="K2210" s="2" t="b">
        <v>1</v>
      </c>
      <c r="L2210" s="2" t="b">
        <v>0</v>
      </c>
      <c r="M2210" s="2" t="b">
        <v>0</v>
      </c>
      <c r="N2210" s="2" t="s">
        <v>33</v>
      </c>
      <c r="O2210" s="2">
        <v>0.0</v>
      </c>
      <c r="P2210" s="2">
        <v>0.0</v>
      </c>
      <c r="Q2210" s="2">
        <v>0.0</v>
      </c>
      <c r="R2210" s="2">
        <v>0.0</v>
      </c>
      <c r="S2210" s="3" t="s">
        <v>9056</v>
      </c>
      <c r="T2210" s="2" t="s">
        <v>9057</v>
      </c>
      <c r="Y2210" s="4" t="str">
        <f>IFERROR(__xludf.DUMMYFUNCTION("""COMPUTED_VALUE"""),"6.8073418")</f>
        <v>6.8073418</v>
      </c>
      <c r="Z2210" s="4" t="str">
        <f>IFERROR(__xludf.DUMMYFUNCTION("""COMPUTED_VALUE"""),"3.7358924")</f>
        <v>3.7358924</v>
      </c>
      <c r="AA2210" s="4" t="str">
        <f t="shared" si="1"/>
        <v>Neighbor</v>
      </c>
      <c r="AC2210" s="4">
        <f>IFERROR(__xludf.DUMMYFUNCTION("IFERROR(ABS(O2210-AVERAGE(FILTER(O2210:O6278,AA2210:AA6278=""Neighbor""))) / STDEV(FILTER(O2210:O6278, AA2210:AA6278 =""Neighbor"")), """")"),1.44566919555298)</f>
        <v>1.445669196</v>
      </c>
      <c r="AD2210" s="4">
        <f>IFERROR(__xludf.DUMMYFUNCTION("IFERROR(ABS(P2210-AVERAGE(FILTER(O2210:P6278,AA2210:AA6278=""Neighbor""))) / STDEV(FILTER(P2210:P6278, AA2210:AA6278 =""Neighbor"")), """")"),1.5473975548363679)</f>
        <v>1.547397555</v>
      </c>
      <c r="AE2210" s="2">
        <f>IFERROR(__xludf.DUMMYFUNCTION("IFERROR(ABS(Q2210-AVERAGE(FILTER(Q2210:Q6278,AA2210:AA6278=""Neighbor""))) / STDEV(FILTER(Q2210:Q6278, AA2210:AA6278 =""Neighbor"")), """")"),0.9507380430961351)</f>
        <v>0.9507380431</v>
      </c>
      <c r="AF2210" s="2">
        <f>IFERROR(__xludf.DUMMYFUNCTION("IFERROR(ABS(R2210-AVERAGE(FILTER(R2210:R6278,AA2210:AA6278=""Neighbor""))) / STDEV(FILTER(R2210:R6278, AA2210:AA6278 =""Neighbor"")), """")"),0.34424537562944313)</f>
        <v>0.3442453756</v>
      </c>
    </row>
    <row r="2211">
      <c r="A2211" s="2" t="s">
        <v>28</v>
      </c>
      <c r="B2211" s="2" t="s">
        <v>8911</v>
      </c>
      <c r="C2211" s="2" t="s">
        <v>9045</v>
      </c>
      <c r="D2211" s="2" t="s">
        <v>9058</v>
      </c>
      <c r="E2211" s="2" t="s">
        <v>9059</v>
      </c>
      <c r="F2211" s="2">
        <v>208.0</v>
      </c>
      <c r="G2211" s="2">
        <v>779.0</v>
      </c>
      <c r="H2211" s="2" t="b">
        <v>1</v>
      </c>
      <c r="I2211" s="2">
        <v>-1.0</v>
      </c>
      <c r="J2211" s="2" t="b">
        <v>0</v>
      </c>
      <c r="K2211" s="2" t="b">
        <v>0</v>
      </c>
      <c r="L2211" s="2" t="b">
        <v>0</v>
      </c>
      <c r="M2211" s="2" t="b">
        <v>0</v>
      </c>
      <c r="N2211" s="2" t="s">
        <v>33</v>
      </c>
      <c r="O2211" s="2">
        <v>111.0</v>
      </c>
      <c r="P2211" s="2">
        <v>2.0</v>
      </c>
      <c r="Q2211" s="2">
        <v>68.0</v>
      </c>
      <c r="R2211" s="2">
        <v>1.0</v>
      </c>
      <c r="S2211" s="3" t="s">
        <v>9060</v>
      </c>
      <c r="T2211" s="2" t="s">
        <v>9061</v>
      </c>
      <c r="Y2211" s="4" t="str">
        <f>IFERROR(__xludf.DUMMYFUNCTION("""COMPUTED_VALUE"""),"6.8073418")</f>
        <v>6.8073418</v>
      </c>
      <c r="Z2211" s="4" t="str">
        <f>IFERROR(__xludf.DUMMYFUNCTION("""COMPUTED_VALUE"""),"3.7358924")</f>
        <v>3.7358924</v>
      </c>
      <c r="AA2211" s="4" t="str">
        <f t="shared" si="1"/>
        <v>Not Neighbor</v>
      </c>
      <c r="AC2211" s="4">
        <f>IFERROR(__xludf.DUMMYFUNCTION("IFERROR(ABS(O2211-AVERAGE(FILTER(O2211:O6279,AA2211:AA6279=""Neighbor""))) / STDEV(FILTER(O2211:O6279, AA2211:AA6279 =""Neighbor"")), """")"),1.6147239984991486)</f>
        <v>1.614723998</v>
      </c>
      <c r="AD2211" s="4">
        <f>IFERROR(__xludf.DUMMYFUNCTION("IFERROR(ABS(P2211-AVERAGE(FILTER(O2211:P6279,AA2211:AA6279=""Neighbor""))) / STDEV(FILTER(P2211:P6279, AA2211:AA6279 =""Neighbor"")), """")"),1.4594424579137695)</f>
        <v>1.459442458</v>
      </c>
      <c r="AE2211" s="2">
        <f>IFERROR(__xludf.DUMMYFUNCTION("IFERROR(ABS(Q2211-AVERAGE(FILTER(Q2211:Q6279,AA2211:AA6279=""Neighbor""))) / STDEV(FILTER(Q2211:Q6279, AA2211:AA6279 =""Neighbor"")), """")"),2.343276521490741)</f>
        <v>2.343276521</v>
      </c>
      <c r="AF2211" s="2">
        <f>IFERROR(__xludf.DUMMYFUNCTION("IFERROR(ABS(R2211-AVERAGE(FILTER(R2211:R6279,AA2211:AA6279=""Neighbor""))) / STDEV(FILTER(R2211:R6279, AA2211:AA6279 =""Neighbor"")), """")"),0.8219516634738779)</f>
        <v>0.8219516635</v>
      </c>
    </row>
    <row r="2212">
      <c r="A2212" s="2" t="s">
        <v>28</v>
      </c>
      <c r="B2212" s="2" t="s">
        <v>8911</v>
      </c>
      <c r="C2212" s="2" t="s">
        <v>9045</v>
      </c>
      <c r="D2212" s="2" t="s">
        <v>9062</v>
      </c>
      <c r="E2212" s="2" t="s">
        <v>9063</v>
      </c>
      <c r="F2212" s="2">
        <v>150.0</v>
      </c>
      <c r="G2212" s="2">
        <v>549.0</v>
      </c>
      <c r="H2212" s="2" t="b">
        <v>1</v>
      </c>
      <c r="I2212" s="2">
        <v>-1.0</v>
      </c>
      <c r="J2212" s="2" t="b">
        <v>0</v>
      </c>
      <c r="K2212" s="2" t="b">
        <v>0</v>
      </c>
      <c r="L2212" s="2" t="b">
        <v>0</v>
      </c>
      <c r="M2212" s="2" t="b">
        <v>0</v>
      </c>
      <c r="N2212" s="2" t="s">
        <v>33</v>
      </c>
      <c r="O2212" s="2">
        <v>79.0</v>
      </c>
      <c r="P2212" s="2">
        <v>4.0</v>
      </c>
      <c r="Q2212" s="2">
        <v>48.0</v>
      </c>
      <c r="R2212" s="2">
        <v>0.0</v>
      </c>
      <c r="S2212" s="3" t="s">
        <v>9064</v>
      </c>
      <c r="T2212" s="2" t="s">
        <v>9065</v>
      </c>
      <c r="Y2212" s="4" t="str">
        <f>IFERROR(__xludf.DUMMYFUNCTION("""COMPUTED_VALUE"""),"6.7516988")</f>
        <v>6.7516988</v>
      </c>
      <c r="Z2212" s="4" t="str">
        <f>IFERROR(__xludf.DUMMYFUNCTION("""COMPUTED_VALUE"""),"3.7774292")</f>
        <v>3.7774292</v>
      </c>
      <c r="AA2212" s="4" t="str">
        <f t="shared" si="1"/>
        <v>Not Neighbor</v>
      </c>
      <c r="AC2212" s="4">
        <f>IFERROR(__xludf.DUMMYFUNCTION("IFERROR(ABS(O2212-AVERAGE(FILTER(O2212:O6280,AA2212:AA6280=""Neighbor""))) / STDEV(FILTER(O2212:O6280, AA2212:AA6280 =""Neighbor"")), """")"),0.73161260467752)</f>
        <v>0.7316126047</v>
      </c>
      <c r="AD2212" s="4">
        <f>IFERROR(__xludf.DUMMYFUNCTION("IFERROR(ABS(P2212-AVERAGE(FILTER(O2212:P6280,AA2212:AA6280=""Neighbor""))) / STDEV(FILTER(P2212:P6280, AA2212:AA6280 =""Neighbor"")), """")"),1.3699249624318404)</f>
        <v>1.369924962</v>
      </c>
      <c r="AE2212" s="2">
        <f>IFERROR(__xludf.DUMMYFUNCTION("IFERROR(ABS(Q2212-AVERAGE(FILTER(Q2212:Q6280,AA2212:AA6280=""Neighbor""))) / STDEV(FILTER(Q2212:Q6280, AA2212:AA6280 =""Neighbor"")), """")"),1.374103729660438)</f>
        <v>1.37410373</v>
      </c>
      <c r="AF2212" s="2">
        <f>IFERROR(__xludf.DUMMYFUNCTION("IFERROR(ABS(R2212-AVERAGE(FILTER(R2212:R6280,AA2212:AA6280=""Neighbor""))) / STDEV(FILTER(R2212:R6280, AA2212:AA6280 =""Neighbor"")), """")"),0.34449444719125766)</f>
        <v>0.3444944472</v>
      </c>
    </row>
    <row r="2213">
      <c r="A2213" s="2" t="s">
        <v>28</v>
      </c>
      <c r="B2213" s="2" t="s">
        <v>8911</v>
      </c>
      <c r="C2213" s="2" t="s">
        <v>9045</v>
      </c>
      <c r="D2213" s="2" t="s">
        <v>9066</v>
      </c>
      <c r="E2213" s="2" t="s">
        <v>9067</v>
      </c>
      <c r="F2213" s="2">
        <v>182.0</v>
      </c>
      <c r="G2213" s="2">
        <v>762.0</v>
      </c>
      <c r="H2213" s="2" t="b">
        <v>1</v>
      </c>
      <c r="I2213" s="2">
        <v>-1.0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s">
        <v>33</v>
      </c>
      <c r="O2213" s="2">
        <v>101.0</v>
      </c>
      <c r="P2213" s="2">
        <v>8.0</v>
      </c>
      <c r="Q2213" s="2">
        <v>63.0</v>
      </c>
      <c r="R2213" s="2">
        <v>0.0</v>
      </c>
      <c r="S2213" s="3" t="s">
        <v>9068</v>
      </c>
      <c r="T2213" s="2" t="s">
        <v>9069</v>
      </c>
      <c r="Y2213" s="4" t="str">
        <f>IFERROR(__xludf.DUMMYFUNCTION("""COMPUTED_VALUE"""),"6.8073418")</f>
        <v>6.8073418</v>
      </c>
      <c r="Z2213" s="4" t="str">
        <f>IFERROR(__xludf.DUMMYFUNCTION("""COMPUTED_VALUE"""),"3.7358924")</f>
        <v>3.7358924</v>
      </c>
      <c r="AA2213" s="4" t="str">
        <f t="shared" si="1"/>
        <v>Neighbor</v>
      </c>
      <c r="AC2213" s="4">
        <f>IFERROR(__xludf.DUMMYFUNCTION("IFERROR(ABS(O2213-AVERAGE(FILTER(O2213:O6281,AA2213:AA6281=""Neighbor""))) / STDEV(FILTER(O2213:O6281, AA2213:AA6281 =""Neighbor"")), """")"),1.3387516879298897)</f>
        <v>1.338751688</v>
      </c>
      <c r="AD2213" s="4">
        <f>IFERROR(__xludf.DUMMYFUNCTION("IFERROR(ABS(P2213-AVERAGE(FILTER(O2213:P6281,AA2213:AA6281=""Neighbor""))) / STDEV(FILTER(P2213:P6281, AA2213:AA6281 =""Neighbor"")), """")"),1.1908899714679821)</f>
        <v>1.190889971</v>
      </c>
      <c r="AE2213" s="2">
        <f>IFERROR(__xludf.DUMMYFUNCTION("IFERROR(ABS(Q2213-AVERAGE(FILTER(Q2213:Q6281,AA2213:AA6281=""Neighbor""))) / STDEV(FILTER(Q2213:Q6281, AA2213:AA6281 =""Neighbor"")), """")"),2.1009833235331654)</f>
        <v>2.100983324</v>
      </c>
      <c r="AF2213" s="2">
        <f>IFERROR(__xludf.DUMMYFUNCTION("IFERROR(ABS(R2213-AVERAGE(FILTER(R2213:R6281,AA2213:AA6281=""Neighbor""))) / STDEV(FILTER(R2213:R6281, AA2213:AA6281 =""Neighbor"")), """")"),0.34449444719125766)</f>
        <v>0.3444944472</v>
      </c>
    </row>
    <row r="2214">
      <c r="A2214" s="2" t="s">
        <v>28</v>
      </c>
      <c r="B2214" s="2" t="s">
        <v>8911</v>
      </c>
      <c r="C2214" s="2" t="s">
        <v>9045</v>
      </c>
      <c r="D2214" s="2" t="s">
        <v>9070</v>
      </c>
      <c r="E2214" s="2" t="s">
        <v>9071</v>
      </c>
      <c r="F2214" s="2">
        <v>178.0</v>
      </c>
      <c r="G2214" s="2">
        <v>610.0</v>
      </c>
      <c r="H2214" s="2" t="b">
        <v>1</v>
      </c>
      <c r="I2214" s="2">
        <v>-1.0</v>
      </c>
      <c r="J2214" s="2" t="b">
        <v>0</v>
      </c>
      <c r="K2214" s="2" t="b">
        <v>0</v>
      </c>
      <c r="L2214" s="2" t="b">
        <v>0</v>
      </c>
      <c r="M2214" s="2" t="b">
        <v>0</v>
      </c>
      <c r="N2214" s="2" t="s">
        <v>33</v>
      </c>
      <c r="O2214" s="2">
        <v>84.0</v>
      </c>
      <c r="P2214" s="2">
        <v>14.0</v>
      </c>
      <c r="Q2214" s="2">
        <v>61.0</v>
      </c>
      <c r="R2214" s="2">
        <v>0.0</v>
      </c>
      <c r="S2214" s="3" t="s">
        <v>9072</v>
      </c>
      <c r="T2214" s="2" t="s">
        <v>9073</v>
      </c>
      <c r="Y2214" s="4" t="str">
        <f>IFERROR(__xludf.DUMMYFUNCTION("""COMPUTED_VALUE"""),"6.8004194")</f>
        <v>6.8004194</v>
      </c>
      <c r="Z2214" s="4" t="str">
        <f>IFERROR(__xludf.DUMMYFUNCTION("""COMPUTED_VALUE"""),"3.7359638")</f>
        <v>3.7359638</v>
      </c>
      <c r="AA2214" s="4" t="str">
        <f t="shared" si="1"/>
        <v>Not Neighbor</v>
      </c>
      <c r="AC2214" s="4">
        <f>IFERROR(__xludf.DUMMYFUNCTION("IFERROR(ABS(O2214-AVERAGE(FILTER(O2214:O6282,AA2214:AA6282=""Neighbor""))) / STDEV(FILTER(O2214:O6282, AA2214:AA6282 =""Neighbor"")), """")"),0.8717850670832445)</f>
        <v>0.8717850671</v>
      </c>
      <c r="AD2214" s="4">
        <f>IFERROR(__xludf.DUMMYFUNCTION("IFERROR(ABS(P2214-AVERAGE(FILTER(O2214:P6282,AA2214:AA6282=""Neighbor""))) / STDEV(FILTER(P2214:P6282, AA2214:AA6282 =""Neighbor"")), """")"),0.9206762031223203)</f>
        <v>0.9206762031</v>
      </c>
      <c r="AE2214" s="2">
        <f>IFERROR(__xludf.DUMMYFUNCTION("IFERROR(ABS(Q2214-AVERAGE(FILTER(Q2214:Q6282,AA2214:AA6282=""Neighbor""))) / STDEV(FILTER(Q2214:Q6282, AA2214:AA6282 =""Neighbor"")), """")"),2.0112624072674787)</f>
        <v>2.011262407</v>
      </c>
      <c r="AF2214" s="2">
        <f>IFERROR(__xludf.DUMMYFUNCTION("IFERROR(ABS(R2214-AVERAGE(FILTER(R2214:R6282,AA2214:AA6282=""Neighbor""))) / STDEV(FILTER(R2214:R6282, AA2214:AA6282 =""Neighbor"")), """")"),0.3447440602564878)</f>
        <v>0.3447440603</v>
      </c>
    </row>
    <row r="2215">
      <c r="A2215" s="2" t="s">
        <v>28</v>
      </c>
      <c r="B2215" s="2" t="s">
        <v>8911</v>
      </c>
      <c r="C2215" s="2" t="s">
        <v>9074</v>
      </c>
      <c r="D2215" s="2" t="s">
        <v>9075</v>
      </c>
      <c r="E2215" s="2" t="s">
        <v>9076</v>
      </c>
      <c r="F2215" s="2">
        <v>225.0</v>
      </c>
      <c r="G2215" s="2">
        <v>818.0</v>
      </c>
      <c r="H2215" s="2" t="b">
        <v>1</v>
      </c>
      <c r="I2215" s="2">
        <v>-1.0</v>
      </c>
      <c r="J2215" s="2" t="b">
        <v>0</v>
      </c>
      <c r="K2215" s="2" t="b">
        <v>1</v>
      </c>
      <c r="L2215" s="2" t="b">
        <v>0</v>
      </c>
      <c r="M2215" s="2" t="b">
        <v>0</v>
      </c>
      <c r="N2215" s="2" t="s">
        <v>33</v>
      </c>
      <c r="O2215" s="2">
        <v>127.0</v>
      </c>
      <c r="P2215" s="2">
        <v>6.0</v>
      </c>
      <c r="Q2215" s="2">
        <v>73.0</v>
      </c>
      <c r="R2215" s="2">
        <v>0.0</v>
      </c>
      <c r="S2215" s="3" t="s">
        <v>9077</v>
      </c>
      <c r="T2215" s="2" t="s">
        <v>9078</v>
      </c>
      <c r="Y2215" s="4" t="str">
        <f>IFERROR(__xludf.DUMMYFUNCTION("""COMPUTED_VALUE"""),"6.7957362")</f>
        <v>6.7957362</v>
      </c>
      <c r="Z2215" s="4" t="str">
        <f>IFERROR(__xludf.DUMMYFUNCTION("""COMPUTED_VALUE"""),"3.8528061")</f>
        <v>3.8528061</v>
      </c>
      <c r="AA2215" s="4" t="str">
        <f t="shared" si="1"/>
        <v>Neighbor</v>
      </c>
      <c r="AC2215" s="4">
        <f>IFERROR(__xludf.DUMMYFUNCTION("IFERROR(ABS(O2215-AVERAGE(FILTER(O2215:O6283,AA2215:AA6283=""Neighbor""))) / STDEV(FILTER(O2215:O6283, AA2215:AA6283 =""Neighbor"")), """")"),2.0590787584528703)</f>
        <v>2.059078758</v>
      </c>
      <c r="AD2215" s="4">
        <f>IFERROR(__xludf.DUMMYFUNCTION("IFERROR(ABS(P2215-AVERAGE(FILTER(O2215:P6283,AA2215:AA6283=""Neighbor""))) / STDEV(FILTER(P2215:P6283, AA2215:AA6283 =""Neighbor"")), """")"),1.278549332745365)</f>
        <v>1.278549333</v>
      </c>
      <c r="AE2215" s="2">
        <f>IFERROR(__xludf.DUMMYFUNCTION("IFERROR(ABS(Q2215-AVERAGE(FILTER(Q2215:Q6283,AA2215:AA6283=""Neighbor""))) / STDEV(FILTER(Q2215:Q6283, AA2215:AA6283 =""Neighbor"")), """")"),2.594061736781047)</f>
        <v>2.594061737</v>
      </c>
      <c r="AF2215" s="2">
        <f>IFERROR(__xludf.DUMMYFUNCTION("IFERROR(ABS(R2215-AVERAGE(FILTER(R2215:R6283,AA2215:AA6283=""Neighbor""))) / STDEV(FILTER(R2215:R6283, AA2215:AA6283 =""Neighbor"")), """")"),0.3447440602564878)</f>
        <v>0.3447440603</v>
      </c>
    </row>
    <row r="2216">
      <c r="A2216" s="2" t="s">
        <v>28</v>
      </c>
      <c r="B2216" s="2" t="s">
        <v>8911</v>
      </c>
      <c r="C2216" s="2" t="s">
        <v>9074</v>
      </c>
      <c r="D2216" s="2" t="s">
        <v>9079</v>
      </c>
      <c r="E2216" s="2" t="s">
        <v>9080</v>
      </c>
      <c r="F2216" s="2">
        <v>174.0</v>
      </c>
      <c r="G2216" s="2">
        <v>786.0</v>
      </c>
      <c r="H2216" s="2" t="b">
        <v>1</v>
      </c>
      <c r="I2216" s="2">
        <v>-1.0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s">
        <v>33</v>
      </c>
      <c r="O2216" s="2">
        <v>102.0</v>
      </c>
      <c r="P2216" s="2">
        <v>11.0</v>
      </c>
      <c r="Q2216" s="2">
        <v>47.0</v>
      </c>
      <c r="R2216" s="2">
        <v>0.0</v>
      </c>
      <c r="S2216" s="3" t="s">
        <v>9081</v>
      </c>
      <c r="T2216" s="2" t="s">
        <v>9082</v>
      </c>
      <c r="Y2216" s="4" t="str">
        <f>IFERROR(__xludf.DUMMYFUNCTION("""COMPUTED_VALUE"""),"6.7957362")</f>
        <v>6.7957362</v>
      </c>
      <c r="Z2216" s="4" t="str">
        <f>IFERROR(__xludf.DUMMYFUNCTION("""COMPUTED_VALUE"""),"3.8528061")</f>
        <v>3.8528061</v>
      </c>
      <c r="AA2216" s="4" t="str">
        <f t="shared" si="1"/>
        <v>Neighbor</v>
      </c>
      <c r="AC2216" s="4">
        <f>IFERROR(__xludf.DUMMYFUNCTION("IFERROR(ABS(O2216-AVERAGE(FILTER(O2216:O6284,AA2216:AA6284=""Neighbor""))) / STDEV(FILTER(O2216:O6284, AA2216:AA6284 =""Neighbor"")), """")"),1.374368959059243)</f>
        <v>1.374368959</v>
      </c>
      <c r="AD2216" s="4">
        <f>IFERROR(__xludf.DUMMYFUNCTION("IFERROR(ABS(P2216-AVERAGE(FILTER(O2216:P6284,AA2216:AA6284=""Neighbor""))) / STDEV(FILTER(P2216:P6284, AA2216:AA6284 =""Neighbor"")), """")"),1.0524980891151812)</f>
        <v>1.052498089</v>
      </c>
      <c r="AE2216" s="2">
        <f>IFERROR(__xludf.DUMMYFUNCTION("IFERROR(ABS(Q2216-AVERAGE(FILTER(Q2216:Q6284,AA2216:AA6284=""Neighbor""))) / STDEV(FILTER(Q2216:Q6284, AA2216:AA6284 =""Neighbor"")), """")"),1.3397062365628085)</f>
        <v>1.339706237</v>
      </c>
      <c r="AF2216" s="2">
        <f>IFERROR(__xludf.DUMMYFUNCTION("IFERROR(ABS(R2216-AVERAGE(FILTER(R2216:R6284,AA2216:AA6284=""Neighbor""))) / STDEV(FILTER(R2216:R6284, AA2216:AA6284 =""Neighbor"")), """")"),0.3449942167903895)</f>
        <v>0.3449942168</v>
      </c>
    </row>
    <row r="2217">
      <c r="A2217" s="2" t="s">
        <v>28</v>
      </c>
      <c r="B2217" s="2" t="s">
        <v>8911</v>
      </c>
      <c r="C2217" s="2" t="s">
        <v>9074</v>
      </c>
      <c r="D2217" s="2" t="s">
        <v>9083</v>
      </c>
      <c r="E2217" s="2" t="s">
        <v>9084</v>
      </c>
      <c r="F2217" s="2">
        <v>186.0</v>
      </c>
      <c r="G2217" s="2">
        <v>750.0</v>
      </c>
      <c r="H2217" s="2" t="b">
        <v>1</v>
      </c>
      <c r="I2217" s="2">
        <v>-1.0</v>
      </c>
      <c r="J2217" s="2" t="b">
        <v>1</v>
      </c>
      <c r="K2217" s="2" t="b">
        <v>0</v>
      </c>
      <c r="L2217" s="2" t="b">
        <v>0</v>
      </c>
      <c r="M2217" s="2" t="b">
        <v>0</v>
      </c>
      <c r="N2217" s="2" t="s">
        <v>33</v>
      </c>
      <c r="O2217" s="2">
        <v>94.0</v>
      </c>
      <c r="P2217" s="2">
        <v>12.0</v>
      </c>
      <c r="Q2217" s="2">
        <v>66.0</v>
      </c>
      <c r="R2217" s="2">
        <v>0.0</v>
      </c>
      <c r="S2217" s="3" t="s">
        <v>9085</v>
      </c>
      <c r="T2217" s="2" t="s">
        <v>9086</v>
      </c>
      <c r="Y2217" s="4" t="str">
        <f>IFERROR(__xludf.DUMMYFUNCTION("""COMPUTED_VALUE"""),"6.7957362")</f>
        <v>6.7957362</v>
      </c>
      <c r="Z2217" s="4" t="str">
        <f>IFERROR(__xludf.DUMMYFUNCTION("""COMPUTED_VALUE"""),"3.8528061")</f>
        <v>3.8528061</v>
      </c>
      <c r="AA2217" s="4" t="str">
        <f t="shared" si="1"/>
        <v>Neighbor</v>
      </c>
      <c r="AC2217" s="4">
        <f>IFERROR(__xludf.DUMMYFUNCTION("IFERROR(ABS(O2217-AVERAGE(FILTER(O2217:O6285,AA2217:AA6285=""Neighbor""))) / STDEV(FILTER(O2217:O6285, AA2217:AA6285 =""Neighbor"")), """")"),1.1554674607312498)</f>
        <v>1.155467461</v>
      </c>
      <c r="AD2217" s="4">
        <f>IFERROR(__xludf.DUMMYFUNCTION("IFERROR(ABS(P2217-AVERAGE(FILTER(O2217:P6285,AA2217:AA6285=""Neighbor""))) / STDEV(FILTER(P2217:P6285, AA2217:AA6285 =""Neighbor"")), """")"),1.0058980986529305)</f>
        <v>1.005898099</v>
      </c>
      <c r="AE2217" s="2">
        <f>IFERROR(__xludf.DUMMYFUNCTION("IFERROR(ABS(Q2217-AVERAGE(FILTER(Q2217:Q6285,AA2217:AA6285=""Neighbor""))) / STDEV(FILTER(Q2217:Q6285, AA2217:AA6285 =""Neighbor"")), """")"),2.2688537629769447)</f>
        <v>2.268853763</v>
      </c>
      <c r="AF2217" s="2">
        <f>IFERROR(__xludf.DUMMYFUNCTION("IFERROR(ABS(R2217-AVERAGE(FILTER(R2217:R6285,AA2217:AA6285=""Neighbor""))) / STDEV(FILTER(R2217:R6285, AA2217:AA6285 =""Neighbor"")), """")"),0.3452449187682195)</f>
        <v>0.3452449188</v>
      </c>
    </row>
    <row r="2218">
      <c r="A2218" s="2" t="s">
        <v>28</v>
      </c>
      <c r="B2218" s="2" t="s">
        <v>8911</v>
      </c>
      <c r="C2218" s="2" t="s">
        <v>9074</v>
      </c>
      <c r="D2218" s="2" t="s">
        <v>9087</v>
      </c>
      <c r="E2218" s="2" t="s">
        <v>9088</v>
      </c>
      <c r="F2218" s="2">
        <v>246.0</v>
      </c>
      <c r="G2218" s="2">
        <v>748.0</v>
      </c>
      <c r="H2218" s="2" t="b">
        <v>1</v>
      </c>
      <c r="I2218" s="2">
        <v>-1.0</v>
      </c>
      <c r="J2218" s="2" t="b">
        <v>0</v>
      </c>
      <c r="K2218" s="2" t="b">
        <v>0</v>
      </c>
      <c r="L2218" s="2" t="b">
        <v>0</v>
      </c>
      <c r="M2218" s="2" t="b">
        <v>0</v>
      </c>
      <c r="N2218" s="2" t="s">
        <v>33</v>
      </c>
      <c r="O2218" s="2">
        <v>119.0</v>
      </c>
      <c r="P2218" s="2">
        <v>8.0</v>
      </c>
      <c r="Q2218" s="2">
        <v>104.0</v>
      </c>
      <c r="R2218" s="2">
        <v>0.0</v>
      </c>
      <c r="S2218" s="3" t="s">
        <v>9089</v>
      </c>
      <c r="T2218" s="2" t="s">
        <v>9090</v>
      </c>
      <c r="Y2218" s="4" t="str">
        <f>IFERROR(__xludf.DUMMYFUNCTION("""COMPUTED_VALUE"""),"6.7932339")</f>
        <v>6.7932339</v>
      </c>
      <c r="Z2218" s="4" t="str">
        <f>IFERROR(__xludf.DUMMYFUNCTION("""COMPUTED_VALUE"""),"3.8568449")</f>
        <v>3.8568449</v>
      </c>
      <c r="AA2218" s="4" t="str">
        <f t="shared" si="1"/>
        <v>Neighbor</v>
      </c>
      <c r="AC2218" s="4">
        <f>IFERROR(__xludf.DUMMYFUNCTION("IFERROR(ABS(O2218-AVERAGE(FILTER(O2218:O6286,AA2218:AA6286=""Neighbor""))) / STDEV(FILTER(O2218:O6286, AA2218:AA6286 =""Neighbor"")), """")"),1.8495281437714681)</f>
        <v>1.849528144</v>
      </c>
      <c r="AD2218" s="4">
        <f>IFERROR(__xludf.DUMMYFUNCTION("IFERROR(ABS(P2218-AVERAGE(FILTER(O2218:P6286,AA2218:AA6286=""Neighbor""))) / STDEV(FILTER(P2218:P6286, AA2218:AA6286 =""Neighbor"")), """")"),1.182824915470653)</f>
        <v>1.182824915</v>
      </c>
      <c r="AE2218" s="2">
        <f>IFERROR(__xludf.DUMMYFUNCTION("IFERROR(ABS(Q2218-AVERAGE(FILTER(Q2218:Q6286,AA2218:AA6286=""Neighbor""))) / STDEV(FILTER(Q2218:Q6286, AA2218:AA6286 =""Neighbor"")), """")"),4.136442910407458)</f>
        <v>4.13644291</v>
      </c>
      <c r="AF2218" s="2">
        <f>IFERROR(__xludf.DUMMYFUNCTION("IFERROR(ABS(R2218-AVERAGE(FILTER(R2218:R6286,AA2218:AA6286=""Neighbor""))) / STDEV(FILTER(R2218:R6286, AA2218:AA6286 =""Neighbor"")), """")"),0.34549616817530165)</f>
        <v>0.3454961682</v>
      </c>
    </row>
    <row r="2219">
      <c r="A2219" s="2" t="s">
        <v>28</v>
      </c>
      <c r="B2219" s="2" t="s">
        <v>8911</v>
      </c>
      <c r="C2219" s="2" t="s">
        <v>9074</v>
      </c>
      <c r="D2219" s="2" t="s">
        <v>9091</v>
      </c>
      <c r="E2219" s="2" t="s">
        <v>9092</v>
      </c>
      <c r="F2219" s="2">
        <v>168.0</v>
      </c>
      <c r="G2219" s="2">
        <v>752.0</v>
      </c>
      <c r="H2219" s="2" t="b">
        <v>1</v>
      </c>
      <c r="I2219" s="2">
        <v>-1.0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s">
        <v>33</v>
      </c>
      <c r="O2219" s="2">
        <v>90.0</v>
      </c>
      <c r="P2219" s="2">
        <v>10.0</v>
      </c>
      <c r="Q2219" s="2">
        <v>61.0</v>
      </c>
      <c r="R2219" s="2">
        <v>0.0</v>
      </c>
      <c r="S2219" s="3" t="s">
        <v>9093</v>
      </c>
      <c r="T2219" s="2" t="s">
        <v>9094</v>
      </c>
      <c r="Y2219" s="4" t="str">
        <f>IFERROR(__xludf.DUMMYFUNCTION("""COMPUTED_VALUE"""),"6.8004771")</f>
        <v>6.8004771</v>
      </c>
      <c r="Z2219" s="4" t="str">
        <f>IFERROR(__xludf.DUMMYFUNCTION("""COMPUTED_VALUE"""),"3.8543688")</f>
        <v>3.8543688</v>
      </c>
      <c r="AA2219" s="4" t="str">
        <f t="shared" si="1"/>
        <v>Not Neighbor</v>
      </c>
      <c r="AC2219" s="4">
        <f>IFERROR(__xludf.DUMMYFUNCTION("IFERROR(ABS(O2219-AVERAGE(FILTER(O2219:O6287,AA2219:AA6287=""Neighbor""))) / STDEV(FILTER(O2219:O6287, AA2219:AA6287 =""Neighbor"")), """")"),1.0505335207308129)</f>
        <v>1.050533521</v>
      </c>
      <c r="AD2219" s="4">
        <f>IFERROR(__xludf.DUMMYFUNCTION("IFERROR(ABS(P2219-AVERAGE(FILTER(O2219:P6287,AA2219:AA6287=""Neighbor""))) / STDEV(FILTER(P2219:P6287, AA2219:AA6287 =""Neighbor"")), """")"),1.091219111060197)</f>
        <v>1.091219111</v>
      </c>
      <c r="AE2219" s="2">
        <f>IFERROR(__xludf.DUMMYFUNCTION("IFERROR(ABS(Q2219-AVERAGE(FILTER(Q2219:Q6287,AA2219:AA6287=""Neighbor""))) / STDEV(FILTER(Q2219:Q6287, AA2219:AA6287 =""Neighbor"")), """")"),2.060659714061814)</f>
        <v>2.060659714</v>
      </c>
      <c r="AF2219" s="2">
        <f>IFERROR(__xludf.DUMMYFUNCTION("IFERROR(ABS(R2219-AVERAGE(FILTER(R2219:R6287,AA2219:AA6287=""Neighbor""))) / STDEV(FILTER(R2219:R6287, AA2219:AA6287 =""Neighbor"")), """")"),0.34574796700709204)</f>
        <v>0.345747967</v>
      </c>
    </row>
    <row r="2220">
      <c r="A2220" s="2" t="s">
        <v>28</v>
      </c>
      <c r="B2220" s="2" t="s">
        <v>8911</v>
      </c>
      <c r="C2220" s="2" t="s">
        <v>9074</v>
      </c>
      <c r="D2220" s="2" t="s">
        <v>9095</v>
      </c>
      <c r="E2220" s="2" t="s">
        <v>9096</v>
      </c>
      <c r="F2220" s="2">
        <v>246.0</v>
      </c>
      <c r="G2220" s="2">
        <v>762.0</v>
      </c>
      <c r="H2220" s="2" t="b">
        <v>1</v>
      </c>
      <c r="I2220" s="2">
        <v>-1.0</v>
      </c>
      <c r="J2220" s="2" t="b">
        <v>0</v>
      </c>
      <c r="K2220" s="2" t="b">
        <v>1</v>
      </c>
      <c r="L2220" s="2" t="b">
        <v>0</v>
      </c>
      <c r="M2220" s="2" t="b">
        <v>0</v>
      </c>
      <c r="N2220" s="2" t="s">
        <v>33</v>
      </c>
      <c r="O2220" s="2">
        <v>126.0</v>
      </c>
      <c r="P2220" s="2">
        <v>20.0</v>
      </c>
      <c r="Q2220" s="2">
        <v>93.0</v>
      </c>
      <c r="R2220" s="2">
        <v>0.0</v>
      </c>
      <c r="S2220" s="3" t="s">
        <v>9097</v>
      </c>
      <c r="T2220" s="2" t="s">
        <v>9098</v>
      </c>
      <c r="Y2220" s="4" t="str">
        <f>IFERROR(__xludf.DUMMYFUNCTION("""COMPUTED_VALUE"""),"6.8137971")</f>
        <v>6.8137971</v>
      </c>
      <c r="Z2220" s="4" t="str">
        <f>IFERROR(__xludf.DUMMYFUNCTION("""COMPUTED_VALUE"""),"3.9203198")</f>
        <v>3.9203198</v>
      </c>
      <c r="AA2220" s="4" t="str">
        <f t="shared" si="1"/>
        <v>Not Neighbor</v>
      </c>
      <c r="AC2220" s="4">
        <f>IFERROR(__xludf.DUMMYFUNCTION("IFERROR(ABS(O2220-AVERAGE(FILTER(O2220:O6288,AA2220:AA6288=""Neighbor""))) / STDEV(FILTER(O2220:O6288, AA2220:AA6288 =""Neighbor"")), """")"),2.049030356447972)</f>
        <v>2.049030356</v>
      </c>
      <c r="AD2220" s="4">
        <f>IFERROR(__xludf.DUMMYFUNCTION("IFERROR(ABS(P2220-AVERAGE(FILTER(O2220:P6288,AA2220:AA6288=""Neighbor""))) / STDEV(FILTER(P2220:P6288, AA2220:AA6288 =""Neighbor"")), """")"),0.6448972562764769)</f>
        <v>0.6448972563</v>
      </c>
      <c r="AE2220" s="2">
        <f>IFERROR(__xludf.DUMMYFUNCTION("IFERROR(ABS(Q2220-AVERAGE(FILTER(Q2220:Q6288,AA2220:AA6288=""Neighbor""))) / STDEV(FILTER(Q2220:Q6288, AA2220:AA6288 =""Neighbor"")), """")"),3.6424214661160175)</f>
        <v>3.642421466</v>
      </c>
      <c r="AF2220" s="2">
        <f>IFERROR(__xludf.DUMMYFUNCTION("IFERROR(ABS(R2220-AVERAGE(FILTER(R2220:R6288,AA2220:AA6288=""Neighbor""))) / STDEV(FILTER(R2220:R6288, AA2220:AA6288 =""Neighbor"")), """")"),0.34574796700709204)</f>
        <v>0.345747967</v>
      </c>
    </row>
    <row r="2221">
      <c r="A2221" s="2" t="s">
        <v>28</v>
      </c>
      <c r="B2221" s="2" t="s">
        <v>8911</v>
      </c>
      <c r="C2221" s="2" t="s">
        <v>9074</v>
      </c>
      <c r="D2221" s="2" t="s">
        <v>9099</v>
      </c>
      <c r="E2221" s="2" t="s">
        <v>9100</v>
      </c>
      <c r="F2221" s="2">
        <v>240.0</v>
      </c>
      <c r="G2221" s="2">
        <v>775.0</v>
      </c>
      <c r="H2221" s="2" t="b">
        <v>1</v>
      </c>
      <c r="I2221" s="2">
        <v>-1.0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s">
        <v>33</v>
      </c>
      <c r="O2221" s="2">
        <v>15.0</v>
      </c>
      <c r="P2221" s="2">
        <v>1.0</v>
      </c>
      <c r="Q2221" s="2">
        <v>5.0</v>
      </c>
      <c r="R2221" s="2">
        <v>0.0</v>
      </c>
      <c r="S2221" s="3" t="s">
        <v>9101</v>
      </c>
      <c r="T2221" s="2" t="s">
        <v>9102</v>
      </c>
      <c r="Y2221" s="4" t="str">
        <f>IFERROR(__xludf.DUMMYFUNCTION("""COMPUTED_VALUE"""),"6.7957362")</f>
        <v>6.7957362</v>
      </c>
      <c r="Z2221" s="4" t="str">
        <f>IFERROR(__xludf.DUMMYFUNCTION("""COMPUTED_VALUE"""),"3.8528061")</f>
        <v>3.8528061</v>
      </c>
      <c r="AA2221" s="4" t="str">
        <f t="shared" si="1"/>
        <v>Not Neighbor</v>
      </c>
      <c r="AC2221" s="4">
        <f>IFERROR(__xludf.DUMMYFUNCTION("IFERROR(ABS(O2221-AVERAGE(FILTER(O2221:O6289,AA2221:AA6289=""Neighbor""))) / STDEV(FILTER(O2221:O6289, AA2221:AA6289 =""Neighbor"")), """")"),1.0296682203466032)</f>
        <v>1.02966822</v>
      </c>
      <c r="AD2221" s="4">
        <f>IFERROR(__xludf.DUMMYFUNCTION("IFERROR(ABS(P2221-AVERAGE(FILTER(O2221:P6289,AA2221:AA6289=""Neighbor""))) / STDEV(FILTER(P2221:P6289, AA2221:AA6289 =""Neighbor"")), """")"),1.4929087803655452)</f>
        <v>1.49290878</v>
      </c>
      <c r="AE2221" s="2">
        <f>IFERROR(__xludf.DUMMYFUNCTION("IFERROR(ABS(Q2221-AVERAGE(FILTER(Q2221:Q6289,AA2221:AA6289=""Neighbor""))) / STDEV(FILTER(Q2221:Q6289, AA2221:AA6289 =""Neighbor"")), """")"),0.7074233520330424)</f>
        <v>0.707423352</v>
      </c>
      <c r="AF2221" s="2">
        <f>IFERROR(__xludf.DUMMYFUNCTION("IFERROR(ABS(R2221-AVERAGE(FILTER(R2221:R6289,AA2221:AA6289=""Neighbor""))) / STDEV(FILTER(R2221:R6289, AA2221:AA6289 =""Neighbor"")), """")"),0.34574796700709204)</f>
        <v>0.345747967</v>
      </c>
    </row>
    <row r="2222">
      <c r="A2222" s="2" t="s">
        <v>28</v>
      </c>
      <c r="B2222" s="2" t="s">
        <v>8911</v>
      </c>
      <c r="C2222" s="2" t="s">
        <v>9103</v>
      </c>
      <c r="D2222" s="2" t="s">
        <v>9104</v>
      </c>
      <c r="E2222" s="2" t="s">
        <v>9105</v>
      </c>
      <c r="F2222" s="2">
        <v>141.0</v>
      </c>
      <c r="G2222" s="2">
        <v>750.0</v>
      </c>
      <c r="H2222" s="2" t="b">
        <v>1</v>
      </c>
      <c r="I2222" s="2">
        <v>-1.0</v>
      </c>
      <c r="J2222" s="2" t="b">
        <v>0</v>
      </c>
      <c r="K2222" s="2" t="b">
        <v>1</v>
      </c>
      <c r="L2222" s="2" t="b">
        <v>0</v>
      </c>
      <c r="M2222" s="2" t="b">
        <v>0</v>
      </c>
      <c r="N2222" s="2" t="s">
        <v>33</v>
      </c>
      <c r="O2222" s="2">
        <v>71.0</v>
      </c>
      <c r="P2222" s="2">
        <v>9.0</v>
      </c>
      <c r="Q2222" s="2">
        <v>42.0</v>
      </c>
      <c r="R2222" s="2">
        <v>0.0</v>
      </c>
      <c r="S2222" s="3" t="s">
        <v>9106</v>
      </c>
      <c r="T2222" s="2" t="s">
        <v>9107</v>
      </c>
      <c r="Y2222" s="4" t="str">
        <f>IFERROR(__xludf.DUMMYFUNCTION("""COMPUTED_VALUE"""),"6.7713666")</f>
        <v>6.7713666</v>
      </c>
      <c r="Z2222" s="4" t="str">
        <f>IFERROR(__xludf.DUMMYFUNCTION("""COMPUTED_VALUE"""),"3.8701705")</f>
        <v>3.8701705</v>
      </c>
      <c r="AA2222" s="4" t="str">
        <f t="shared" si="1"/>
        <v>Neighbor</v>
      </c>
      <c r="AC2222" s="4">
        <f>IFERROR(__xludf.DUMMYFUNCTION("IFERROR(ABS(O2222-AVERAGE(FILTER(O2222:O6290,AA2222:AA6290=""Neighbor""))) / STDEV(FILTER(O2222:O6290, AA2222:AA6290 =""Neighbor"")), """")"),0.5235490796578675)</f>
        <v>0.5235490797</v>
      </c>
      <c r="AD2222" s="4">
        <f>IFERROR(__xludf.DUMMYFUNCTION("IFERROR(ABS(P2222-AVERAGE(FILTER(O2222:P6290,AA2222:AA6290=""Neighbor""))) / STDEV(FILTER(P2222:P6290, AA2222:AA6290 =""Neighbor"")), """")"),1.135851296538569)</f>
        <v>1.135851297</v>
      </c>
      <c r="AE2222" s="2">
        <f>IFERROR(__xludf.DUMMYFUNCTION("IFERROR(ABS(Q2222-AVERAGE(FILTER(Q2222:Q6290,AA2222:AA6290=""Neighbor""))) / STDEV(FILTER(Q2222:Q6290, AA2222:AA6290 =""Neighbor"")), """")"),1.1214886737796306)</f>
        <v>1.121488674</v>
      </c>
      <c r="AF2222" s="2">
        <f>IFERROR(__xludf.DUMMYFUNCTION("IFERROR(ABS(R2222-AVERAGE(FILTER(R2222:R6290,AA2222:AA6290=""Neighbor""))) / STDEV(FILTER(R2222:R6290, AA2222:AA6290 =""Neighbor"")), """")"),0.34574796700709204)</f>
        <v>0.345747967</v>
      </c>
    </row>
    <row r="2223">
      <c r="A2223" s="2" t="s">
        <v>28</v>
      </c>
      <c r="B2223" s="2" t="s">
        <v>8911</v>
      </c>
      <c r="C2223" s="2" t="s">
        <v>9103</v>
      </c>
      <c r="D2223" s="2" t="s">
        <v>9108</v>
      </c>
      <c r="E2223" s="2" t="s">
        <v>9109</v>
      </c>
      <c r="F2223" s="2">
        <v>147.0</v>
      </c>
      <c r="G2223" s="2">
        <v>976.0</v>
      </c>
      <c r="H2223" s="2" t="b">
        <v>1</v>
      </c>
      <c r="I2223" s="2">
        <v>-1.0</v>
      </c>
      <c r="J2223" s="2" t="b">
        <v>0</v>
      </c>
      <c r="K2223" s="2" t="b">
        <v>1</v>
      </c>
      <c r="L2223" s="2" t="b">
        <v>0</v>
      </c>
      <c r="M2223" s="2" t="b">
        <v>0</v>
      </c>
      <c r="N2223" s="2" t="s">
        <v>33</v>
      </c>
      <c r="O2223" s="2">
        <v>75.0</v>
      </c>
      <c r="P2223" s="2">
        <v>18.0</v>
      </c>
      <c r="Q2223" s="2">
        <v>43.0</v>
      </c>
      <c r="R2223" s="2">
        <v>0.0</v>
      </c>
      <c r="S2223" s="3" t="s">
        <v>9110</v>
      </c>
      <c r="T2223" s="2" t="s">
        <v>9111</v>
      </c>
      <c r="Y2223" s="4" t="str">
        <f>IFERROR(__xludf.DUMMYFUNCTION("""COMPUTED_VALUE"""),"6.7713734")</f>
        <v>6.7713734</v>
      </c>
      <c r="Z2223" s="4" t="str">
        <f>IFERROR(__xludf.DUMMYFUNCTION("""COMPUTED_VALUE"""),"3.8705209")</f>
        <v>3.8705209</v>
      </c>
      <c r="AA2223" s="4" t="str">
        <f t="shared" si="1"/>
        <v>Neighbor</v>
      </c>
      <c r="AC2223" s="4">
        <f>IFERROR(__xludf.DUMMYFUNCTION("IFERROR(ABS(O2223-AVERAGE(FILTER(O2223:O6291,AA2223:AA6291=""Neighbor""))) / STDEV(FILTER(O2223:O6291, AA2223:AA6291 =""Neighbor"")), """")"),0.6348756650659859)</f>
        <v>0.6348756651</v>
      </c>
      <c r="AD2223" s="4">
        <f>IFERROR(__xludf.DUMMYFUNCTION("IFERROR(ABS(P2223-AVERAGE(FILTER(O2223:P6291,AA2223:AA6291=""Neighbor""))) / STDEV(FILTER(P2223:P6291, AA2223:AA6291 =""Neighbor"")), """")"),0.7334167533060443)</f>
        <v>0.7334167533</v>
      </c>
      <c r="AE2223" s="2">
        <f>IFERROR(__xludf.DUMMYFUNCTION("IFERROR(ABS(Q2223-AVERAGE(FILTER(Q2223:Q6291,AA2223:AA6291=""Neighbor""))) / STDEV(FILTER(Q2223:Q6291, AA2223:AA6291 =""Neighbor"")), """")"),1.1725816159662352)</f>
        <v>1.172581616</v>
      </c>
      <c r="AF2223" s="2">
        <f>IFERROR(__xludf.DUMMYFUNCTION("IFERROR(ABS(R2223-AVERAGE(FILTER(R2223:R6291,AA2223:AA6291=""Neighbor""))) / STDEV(FILTER(R2223:R6291, AA2223:AA6291 =""Neighbor"")), """")"),0.34600031726924707)</f>
        <v>0.3460003173</v>
      </c>
    </row>
    <row r="2224">
      <c r="A2224" s="2" t="s">
        <v>28</v>
      </c>
      <c r="B2224" s="2" t="s">
        <v>8911</v>
      </c>
      <c r="C2224" s="2" t="s">
        <v>9103</v>
      </c>
      <c r="D2224" s="2" t="s">
        <v>9112</v>
      </c>
      <c r="E2224" s="2" t="s">
        <v>9113</v>
      </c>
      <c r="F2224" s="2">
        <v>135.0</v>
      </c>
      <c r="G2224" s="2">
        <v>750.0</v>
      </c>
      <c r="H2224" s="2" t="b">
        <v>1</v>
      </c>
      <c r="I2224" s="2">
        <v>-1.0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s">
        <v>33</v>
      </c>
      <c r="O2224" s="2">
        <v>82.0</v>
      </c>
      <c r="P2224" s="2">
        <v>7.0</v>
      </c>
      <c r="Q2224" s="2">
        <v>40.0</v>
      </c>
      <c r="R2224" s="2">
        <v>0.0</v>
      </c>
      <c r="S2224" s="3" t="s">
        <v>9114</v>
      </c>
      <c r="T2224" s="2" t="s">
        <v>9115</v>
      </c>
      <c r="Y2224" s="4" t="str">
        <f>IFERROR(__xludf.DUMMYFUNCTION("""COMPUTED_VALUE"""),"6.7713666")</f>
        <v>6.7713666</v>
      </c>
      <c r="Z2224" s="4" t="str">
        <f>IFERROR(__xludf.DUMMYFUNCTION("""COMPUTED_VALUE"""),"3.8701705")</f>
        <v>3.8701705</v>
      </c>
      <c r="AA2224" s="4" t="str">
        <f t="shared" si="1"/>
        <v>Neighbor</v>
      </c>
      <c r="AC2224" s="4">
        <f>IFERROR(__xludf.DUMMYFUNCTION("IFERROR(ABS(O2224-AVERAGE(FILTER(O2224:O6292,AA2224:AA6292=""Neighbor""))) / STDEV(FILTER(O2224:O6292, AA2224:AA6292 =""Neighbor"")), """")"),0.8294420442326237)</f>
        <v>0.8294420442</v>
      </c>
      <c r="AD2224" s="4">
        <f>IFERROR(__xludf.DUMMYFUNCTION("IFERROR(ABS(P2224-AVERAGE(FILTER(O2224:P6292,AA2224:AA6292=""Neighbor""))) / STDEV(FILTER(P2224:P6292, AA2224:AA6292 =""Neighbor"")), """")"),1.2225882311407508)</f>
        <v>1.222588231</v>
      </c>
      <c r="AE2224" s="2">
        <f>IFERROR(__xludf.DUMMYFUNCTION("IFERROR(ABS(Q2224-AVERAGE(FILTER(Q2224:Q6292,AA2224:AA6292=""Neighbor""))) / STDEV(FILTER(Q2224:Q6292, AA2224:AA6292 =""Neighbor"")), """")"),1.0260521077798244)</f>
        <v>1.026052108</v>
      </c>
      <c r="AF2224" s="2">
        <f>IFERROR(__xludf.DUMMYFUNCTION("IFERROR(ABS(R2224-AVERAGE(FILTER(R2224:R6292,AA2224:AA6292=""Neighbor""))) / STDEV(FILTER(R2224:R6292, AA2224:AA6292 =""Neighbor"")), """")"),0.34625322097768824)</f>
        <v>0.346253221</v>
      </c>
    </row>
    <row r="2225">
      <c r="A2225" s="2" t="s">
        <v>28</v>
      </c>
      <c r="B2225" s="2" t="s">
        <v>8911</v>
      </c>
      <c r="C2225" s="2" t="s">
        <v>9103</v>
      </c>
      <c r="D2225" s="2" t="s">
        <v>9116</v>
      </c>
      <c r="E2225" s="2" t="s">
        <v>9117</v>
      </c>
      <c r="F2225" s="2">
        <v>212.0</v>
      </c>
      <c r="G2225" s="2">
        <v>923.0</v>
      </c>
      <c r="H2225" s="2" t="b">
        <v>1</v>
      </c>
      <c r="I2225" s="2">
        <v>-1.0</v>
      </c>
      <c r="J2225" s="2" t="b">
        <v>0</v>
      </c>
      <c r="K2225" s="2" t="b">
        <v>0</v>
      </c>
      <c r="L2225" s="2" t="b">
        <v>0</v>
      </c>
      <c r="M2225" s="2" t="b">
        <v>0</v>
      </c>
      <c r="N2225" s="2" t="s">
        <v>33</v>
      </c>
      <c r="O2225" s="2">
        <v>153.0</v>
      </c>
      <c r="P2225" s="2">
        <v>18.0</v>
      </c>
      <c r="Q2225" s="2">
        <v>30.0</v>
      </c>
      <c r="R2225" s="2">
        <v>1.0</v>
      </c>
      <c r="S2225" s="3" t="s">
        <v>9118</v>
      </c>
      <c r="T2225" s="2" t="s">
        <v>9119</v>
      </c>
      <c r="Y2225" s="4" t="str">
        <f>IFERROR(__xludf.DUMMYFUNCTION("""COMPUTED_VALUE"""),"6.7702167")</f>
        <v>6.7702167</v>
      </c>
      <c r="Z2225" s="4" t="str">
        <f>IFERROR(__xludf.DUMMYFUNCTION("""COMPUTED_VALUE"""),"3.8693481")</f>
        <v>3.8693481</v>
      </c>
      <c r="AA2225" s="4" t="str">
        <f t="shared" si="1"/>
        <v>Not Neighbor</v>
      </c>
      <c r="AC2225" s="4">
        <f>IFERROR(__xludf.DUMMYFUNCTION("IFERROR(ABS(O2225-AVERAGE(FILTER(O2225:O6293,AA2225:AA6293=""Neighbor""))) / STDEV(FILTER(O2225:O6293, AA2225:AA6293 =""Neighbor"")), """")"),2.7975140447925995)</f>
        <v>2.797514045</v>
      </c>
      <c r="AD2225" s="4">
        <f>IFERROR(__xludf.DUMMYFUNCTION("IFERROR(ABS(P2225-AVERAGE(FILTER(O2225:P6293,AA2225:AA6293=""Neighbor""))) / STDEV(FILTER(P2225:P6293, AA2225:AA6293 =""Neighbor"")), """")"),0.7312603832702722)</f>
        <v>0.7312603833</v>
      </c>
      <c r="AE2225" s="2">
        <f>IFERROR(__xludf.DUMMYFUNCTION("IFERROR(ABS(Q2225-AVERAGE(FILTER(Q2225:Q6293,AA2225:AA6293=""Neighbor""))) / STDEV(FILTER(Q2225:Q6293, AA2225:AA6293 =""Neighbor"")), """")"),0.5329077144096689)</f>
        <v>0.5329077144</v>
      </c>
      <c r="AF2225" s="2">
        <f>IFERROR(__xludf.DUMMYFUNCTION("IFERROR(ABS(R2225-AVERAGE(FILTER(R2225:R6293,AA2225:AA6293=""Neighbor""))) / STDEV(FILTER(R2225:R6293, AA2225:AA6293 =""Neighbor"")), """")"),0.8145946516010897)</f>
        <v>0.8145946516</v>
      </c>
    </row>
    <row r="2226">
      <c r="A2226" s="2" t="s">
        <v>28</v>
      </c>
      <c r="B2226" s="2" t="s">
        <v>8911</v>
      </c>
      <c r="C2226" s="2" t="s">
        <v>9120</v>
      </c>
      <c r="D2226" s="2" t="s">
        <v>9121</v>
      </c>
      <c r="E2226" s="2" t="s">
        <v>9122</v>
      </c>
      <c r="F2226" s="2">
        <v>148.0</v>
      </c>
      <c r="G2226" s="2">
        <v>750.0</v>
      </c>
      <c r="H2226" s="2" t="b">
        <v>1</v>
      </c>
      <c r="I2226" s="2">
        <v>-1.0</v>
      </c>
      <c r="J2226" s="2" t="b">
        <v>0</v>
      </c>
      <c r="K2226" s="2" t="b">
        <v>0</v>
      </c>
      <c r="L2226" s="2" t="b">
        <v>0</v>
      </c>
      <c r="M2226" s="2" t="b">
        <v>0</v>
      </c>
      <c r="N2226" s="2" t="s">
        <v>33</v>
      </c>
      <c r="O2226" s="2">
        <v>69.0</v>
      </c>
      <c r="P2226" s="2">
        <v>8.0</v>
      </c>
      <c r="Q2226" s="2">
        <v>56.0</v>
      </c>
      <c r="R2226" s="2">
        <v>1.0</v>
      </c>
      <c r="S2226" s="3" t="s">
        <v>9123</v>
      </c>
      <c r="T2226" s="2" t="s">
        <v>9124</v>
      </c>
      <c r="Y2226" s="4" t="str">
        <f>IFERROR(__xludf.DUMMYFUNCTION("""COMPUTED_VALUE"""),"6.7160293")</f>
        <v>6.7160293</v>
      </c>
      <c r="Z2226" s="4" t="str">
        <f>IFERROR(__xludf.DUMMYFUNCTION("""COMPUTED_VALUE"""),"3.7968574")</f>
        <v>3.7968574</v>
      </c>
      <c r="AA2226" s="4" t="str">
        <f t="shared" si="1"/>
        <v>Neighbor</v>
      </c>
      <c r="AC2226" s="4">
        <f>IFERROR(__xludf.DUMMYFUNCTION("IFERROR(ABS(O2226-AVERAGE(FILTER(O2226:O6294,AA2226:AA6294=""Neighbor""))) / STDEV(FILTER(O2226:O6294, AA2226:AA6294 =""Neighbor"")), """")"),0.4701749989076634)</f>
        <v>0.4701749989</v>
      </c>
      <c r="AD2226" s="4">
        <f>IFERROR(__xludf.DUMMYFUNCTION("IFERROR(ABS(P2226-AVERAGE(FILTER(O2226:P6294,AA2226:AA6294=""Neighbor""))) / STDEV(FILTER(P2226:P6294, AA2226:AA6294 =""Neighbor"")), """")"),1.1767988280395916)</f>
        <v>1.176798828</v>
      </c>
      <c r="AE2226" s="2">
        <f>IFERROR(__xludf.DUMMYFUNCTION("IFERROR(ABS(Q2226-AVERAGE(FILTER(Q2226:Q6294,AA2226:AA6294=""Neighbor""))) / STDEV(FILTER(Q2226:Q6294, AA2226:AA6294 =""Neighbor"")), """")"),1.8186697500022428)</f>
        <v>1.81866975</v>
      </c>
      <c r="AF2226" s="2">
        <f>IFERROR(__xludf.DUMMYFUNCTION("IFERROR(ABS(R2226-AVERAGE(FILTER(R2226:R6294,AA2226:AA6294=""Neighbor""))) / STDEV(FILTER(R2226:R6294, AA2226:AA6294 =""Neighbor"")), """")"),0.8145946516010897)</f>
        <v>0.8145946516</v>
      </c>
    </row>
    <row r="2227">
      <c r="A2227" s="2" t="s">
        <v>28</v>
      </c>
      <c r="B2227" s="2" t="s">
        <v>8911</v>
      </c>
      <c r="C2227" s="2" t="s">
        <v>9120</v>
      </c>
      <c r="D2227" s="2" t="s">
        <v>9125</v>
      </c>
      <c r="E2227" s="2" t="s">
        <v>9126</v>
      </c>
      <c r="F2227" s="2">
        <v>179.0</v>
      </c>
      <c r="G2227" s="2">
        <v>711.0</v>
      </c>
      <c r="H2227" s="2" t="b">
        <v>1</v>
      </c>
      <c r="I2227" s="2">
        <v>-1.0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s">
        <v>33</v>
      </c>
      <c r="O2227" s="2">
        <v>81.0</v>
      </c>
      <c r="P2227" s="2">
        <v>2.0</v>
      </c>
      <c r="Q2227" s="2">
        <v>78.0</v>
      </c>
      <c r="R2227" s="2">
        <v>0.0</v>
      </c>
      <c r="S2227" s="3" t="s">
        <v>9127</v>
      </c>
      <c r="T2227" s="2" t="s">
        <v>9128</v>
      </c>
      <c r="Y2227" s="4" t="str">
        <f>IFERROR(__xludf.DUMMYFUNCTION("""COMPUTED_VALUE"""),"6.7160293")</f>
        <v>6.7160293</v>
      </c>
      <c r="Z2227" s="4" t="str">
        <f>IFERROR(__xludf.DUMMYFUNCTION("""COMPUTED_VALUE"""),"3.7968574")</f>
        <v>3.7968574</v>
      </c>
      <c r="AA2227" s="4" t="str">
        <f t="shared" si="1"/>
        <v>Neighbor</v>
      </c>
      <c r="AC2227" s="4">
        <f>IFERROR(__xludf.DUMMYFUNCTION("IFERROR(ABS(O2227-AVERAGE(FILTER(O2227:O6295,AA2227:AA6295=""Neighbor""))) / STDEV(FILTER(O2227:O6295, AA2227:AA6295 =""Neighbor"")), """")"),0.8028581308661283)</f>
        <v>0.8028581309</v>
      </c>
      <c r="AD2227" s="4">
        <f>IFERROR(__xludf.DUMMYFUNCTION("IFERROR(ABS(P2227-AVERAGE(FILTER(O2227:P6295,AA2227:AA6295=""Neighbor""))) / STDEV(FILTER(P2227:P6295, AA2227:AA6295 =""Neighbor"")), """")"),1.443082170353842)</f>
        <v>1.44308217</v>
      </c>
      <c r="AE2227" s="2">
        <f>IFERROR(__xludf.DUMMYFUNCTION("IFERROR(ABS(Q2227-AVERAGE(FILTER(Q2227:Q6295,AA2227:AA6295=""Neighbor""))) / STDEV(FILTER(Q2227:Q6295, AA2227:AA6295 =""Neighbor"")), """")"),2.913428822595933)</f>
        <v>2.913428823</v>
      </c>
      <c r="AF2227" s="2">
        <f>IFERROR(__xludf.DUMMYFUNCTION("IFERROR(ABS(R2227-AVERAGE(FILTER(R2227:R6295,AA2227:AA6295=""Neighbor""))) / STDEV(FILTER(R2227:R6295, AA2227:AA6295 =""Neighbor"")), """")"),0.3453630231044419)</f>
        <v>0.3453630231</v>
      </c>
    </row>
    <row r="2228">
      <c r="A2228" s="2" t="s">
        <v>28</v>
      </c>
      <c r="B2228" s="2" t="s">
        <v>8911</v>
      </c>
      <c r="C2228" s="2" t="s">
        <v>9120</v>
      </c>
      <c r="D2228" s="2" t="s">
        <v>9129</v>
      </c>
      <c r="E2228" s="2" t="s">
        <v>9130</v>
      </c>
      <c r="F2228" s="2">
        <v>165.0</v>
      </c>
      <c r="G2228" s="2">
        <v>752.0</v>
      </c>
      <c r="H2228" s="2" t="b">
        <v>1</v>
      </c>
      <c r="I2228" s="2">
        <v>-1.0</v>
      </c>
      <c r="J2228" s="2" t="b">
        <v>0</v>
      </c>
      <c r="K2228" s="2" t="b">
        <v>0</v>
      </c>
      <c r="L2228" s="2" t="b">
        <v>0</v>
      </c>
      <c r="M2228" s="2" t="b">
        <v>0</v>
      </c>
      <c r="N2228" s="2" t="s">
        <v>33</v>
      </c>
      <c r="O2228" s="2">
        <v>108.0</v>
      </c>
      <c r="P2228" s="2">
        <v>5.0</v>
      </c>
      <c r="Q2228" s="2">
        <v>49.0</v>
      </c>
      <c r="R2228" s="2">
        <v>0.0</v>
      </c>
      <c r="S2228" s="3" t="s">
        <v>9131</v>
      </c>
      <c r="T2228" s="2" t="s">
        <v>9132</v>
      </c>
      <c r="Y2228" s="4" t="str">
        <f>IFERROR(__xludf.DUMMYFUNCTION("""COMPUTED_VALUE"""),"6.7160293")</f>
        <v>6.7160293</v>
      </c>
      <c r="Z2228" s="4" t="str">
        <f>IFERROR(__xludf.DUMMYFUNCTION("""COMPUTED_VALUE"""),"3.7968574")</f>
        <v>3.7968574</v>
      </c>
      <c r="AA2228" s="4" t="str">
        <f t="shared" si="1"/>
        <v>Neighbor</v>
      </c>
      <c r="AC2228" s="4">
        <f>IFERROR(__xludf.DUMMYFUNCTION("IFERROR(ABS(O2228-AVERAGE(FILTER(O2228:O6296,AA2228:AA6296=""Neighbor""))) / STDEV(FILTER(O2228:O6296, AA2228:AA6296 =""Neighbor"")), """")"),1.5512417573496893)</f>
        <v>1.551241757</v>
      </c>
      <c r="AD2228" s="4">
        <f>IFERROR(__xludf.DUMMYFUNCTION("IFERROR(ABS(P2228-AVERAGE(FILTER(O2228:P6296,AA2228:AA6296=""Neighbor""))) / STDEV(FILTER(P2228:P6296, AA2228:AA6296 =""Neighbor"")), """")"),1.308594921682776)</f>
        <v>1.308594922</v>
      </c>
      <c r="AE2228" s="2">
        <f>IFERROR(__xludf.DUMMYFUNCTION("IFERROR(ABS(Q2228-AVERAGE(FILTER(Q2228:Q6296,AA2228:AA6296=""Neighbor""))) / STDEV(FILTER(Q2228:Q6296, AA2228:AA6296 =""Neighbor"")), """")"),1.4883038517336316)</f>
        <v>1.488303852</v>
      </c>
      <c r="AF2228" s="2">
        <f>IFERROR(__xludf.DUMMYFUNCTION("IFERROR(ABS(R2228-AVERAGE(FILTER(R2228:R6296,AA2228:AA6296=""Neighbor""))) / STDEV(FILTER(R2228:R6296, AA2228:AA6296 =""Neighbor"")), """")"),0.34561635353773074)</f>
        <v>0.3456163535</v>
      </c>
    </row>
    <row r="2229">
      <c r="A2229" s="2" t="s">
        <v>28</v>
      </c>
      <c r="B2229" s="2" t="s">
        <v>8911</v>
      </c>
      <c r="C2229" s="2" t="s">
        <v>9120</v>
      </c>
      <c r="D2229" s="2" t="s">
        <v>9133</v>
      </c>
      <c r="E2229" s="2" t="s">
        <v>9134</v>
      </c>
      <c r="F2229" s="2">
        <v>106.0</v>
      </c>
      <c r="G2229" s="2">
        <v>498.0</v>
      </c>
      <c r="H2229" s="2" t="b">
        <v>1</v>
      </c>
      <c r="I2229" s="2">
        <v>-1.0</v>
      </c>
      <c r="J2229" s="2" t="b">
        <v>1</v>
      </c>
      <c r="K2229" s="2" t="b">
        <v>0</v>
      </c>
      <c r="L2229" s="2" t="b">
        <v>0</v>
      </c>
      <c r="M2229" s="2" t="b">
        <v>0</v>
      </c>
      <c r="N2229" s="2" t="s">
        <v>33</v>
      </c>
      <c r="O2229" s="2">
        <v>58.0</v>
      </c>
      <c r="P2229" s="2">
        <v>2.0</v>
      </c>
      <c r="Q2229" s="2">
        <v>38.0</v>
      </c>
      <c r="R2229" s="2">
        <v>0.0</v>
      </c>
      <c r="S2229" s="3" t="s">
        <v>9135</v>
      </c>
      <c r="T2229" s="2" t="s">
        <v>9136</v>
      </c>
      <c r="Y2229" s="4" t="str">
        <f>IFERROR(__xludf.DUMMYFUNCTION("""COMPUTED_VALUE"""),"6.7160293")</f>
        <v>6.7160293</v>
      </c>
      <c r="Z2229" s="4" t="str">
        <f>IFERROR(__xludf.DUMMYFUNCTION("""COMPUTED_VALUE"""),"3.7968574")</f>
        <v>3.7968574</v>
      </c>
      <c r="AA2229" s="4" t="str">
        <f t="shared" si="1"/>
        <v>Neighbor</v>
      </c>
      <c r="AC2229" s="4">
        <f>IFERROR(__xludf.DUMMYFUNCTION("IFERROR(ABS(O2229-AVERAGE(FILTER(O2229:O6297,AA2229:AA6297=""Neighbor""))) / STDEV(FILTER(O2229:O6297, AA2229:AA6297 =""Neighbor"")), """")"),0.16914594935649976)</f>
        <v>0.1691459494</v>
      </c>
      <c r="AD2229" s="4">
        <f>IFERROR(__xludf.DUMMYFUNCTION("IFERROR(ABS(P2229-AVERAGE(FILTER(O2229:P6297,AA2229:AA6297=""Neighbor""))) / STDEV(FILTER(P2229:P6297, AA2229:AA6297 =""Neighbor"")), """")"),1.4401556044327075)</f>
        <v>1.440155604</v>
      </c>
      <c r="AE2229" s="2">
        <f>IFERROR(__xludf.DUMMYFUNCTION("IFERROR(ABS(Q2229-AVERAGE(FILTER(Q2229:Q6297,AA2229:AA6297=""Neighbor""))) / STDEV(FILTER(Q2229:Q6297, AA2229:AA6297 =""Neighbor"")), """")"),0.9435082013065159)</f>
        <v>0.9435082013</v>
      </c>
      <c r="AF2229" s="2">
        <f>IFERROR(__xludf.DUMMYFUNCTION("IFERROR(ABS(R2229-AVERAGE(FILTER(R2229:R6297,AA2229:AA6297=""Neighbor""))) / STDEV(FILTER(R2229:R6297, AA2229:AA6297 =""Neighbor"")), """")"),0.34587024235109326)</f>
        <v>0.3458702424</v>
      </c>
    </row>
    <row r="2230">
      <c r="A2230" s="2" t="s">
        <v>28</v>
      </c>
      <c r="B2230" s="2" t="s">
        <v>8911</v>
      </c>
      <c r="C2230" s="2" t="s">
        <v>9120</v>
      </c>
      <c r="D2230" s="2" t="s">
        <v>9137</v>
      </c>
      <c r="E2230" s="2" t="s">
        <v>9138</v>
      </c>
      <c r="F2230" s="2">
        <v>184.0</v>
      </c>
      <c r="G2230" s="2">
        <v>777.0</v>
      </c>
      <c r="H2230" s="2" t="b">
        <v>1</v>
      </c>
      <c r="I2230" s="2">
        <v>-1.0</v>
      </c>
      <c r="J2230" s="2" t="b">
        <v>0</v>
      </c>
      <c r="K2230" s="2" t="b">
        <v>0</v>
      </c>
      <c r="L2230" s="2" t="b">
        <v>0</v>
      </c>
      <c r="M2230" s="2" t="b">
        <v>0</v>
      </c>
      <c r="N2230" s="2" t="s">
        <v>33</v>
      </c>
      <c r="O2230" s="2">
        <v>86.0</v>
      </c>
      <c r="P2230" s="2">
        <v>7.0</v>
      </c>
      <c r="Q2230" s="2">
        <v>78.0</v>
      </c>
      <c r="R2230" s="2">
        <v>0.0</v>
      </c>
      <c r="S2230" s="3" t="s">
        <v>9139</v>
      </c>
      <c r="T2230" s="2" t="s">
        <v>9140</v>
      </c>
      <c r="Y2230" s="4" t="str">
        <f>IFERROR(__xludf.DUMMYFUNCTION("""COMPUTED_VALUE"""),"6.7160293")</f>
        <v>6.7160293</v>
      </c>
      <c r="Z2230" s="4" t="str">
        <f>IFERROR(__xludf.DUMMYFUNCTION("""COMPUTED_VALUE"""),"3.7968574")</f>
        <v>3.7968574</v>
      </c>
      <c r="AA2230" s="4" t="str">
        <f t="shared" si="1"/>
        <v>Neighbor</v>
      </c>
      <c r="AC2230" s="4">
        <f>IFERROR(__xludf.DUMMYFUNCTION("IFERROR(ABS(O2230-AVERAGE(FILTER(O2230:O6298,AA2230:AA6298=""Neighbor""))) / STDEV(FILTER(O2230:O6298, AA2230:AA6298 =""Neighbor"")), """")"),0.9446871118534023)</f>
        <v>0.9446871119</v>
      </c>
      <c r="AD2230" s="4">
        <f>IFERROR(__xludf.DUMMYFUNCTION("IFERROR(ABS(P2230-AVERAGE(FILTER(O2230:P6298,AA2230:AA6298=""Neighbor""))) / STDEV(FILTER(P2230:P6298, AA2230:AA6298 =""Neighbor"")), """")"),1.2175022774631241)</f>
        <v>1.217502277</v>
      </c>
      <c r="AE2230" s="2">
        <f>IFERROR(__xludf.DUMMYFUNCTION("IFERROR(ABS(Q2230-AVERAGE(FILTER(Q2230:Q6298,AA2230:AA6298=""Neighbor""))) / STDEV(FILTER(Q2230:Q6298, AA2230:AA6298 =""Neighbor"")), """")"),2.937073820956795)</f>
        <v>2.937073821</v>
      </c>
      <c r="AF2230" s="2">
        <f>IFERROR(__xludf.DUMMYFUNCTION("IFERROR(ABS(R2230-AVERAGE(FILTER(R2230:R6298,AA2230:AA6298=""Neighbor""))) / STDEV(FILTER(R2230:R6298, AA2230:AA6298 =""Neighbor"")), """")"),0.34612469159910986)</f>
        <v>0.3461246916</v>
      </c>
    </row>
    <row r="2231">
      <c r="A2231" s="2" t="s">
        <v>28</v>
      </c>
      <c r="B2231" s="2" t="s">
        <v>8911</v>
      </c>
      <c r="C2231" s="2" t="s">
        <v>9120</v>
      </c>
      <c r="D2231" s="2" t="s">
        <v>9141</v>
      </c>
      <c r="E2231" s="2" t="s">
        <v>9142</v>
      </c>
      <c r="F2231" s="2">
        <v>146.0</v>
      </c>
      <c r="G2231" s="2">
        <v>630.0</v>
      </c>
      <c r="H2231" s="2" t="b">
        <v>1</v>
      </c>
      <c r="I2231" s="2">
        <v>-1.0</v>
      </c>
      <c r="J2231" s="2" t="b">
        <v>0</v>
      </c>
      <c r="K2231" s="2" t="b">
        <v>0</v>
      </c>
      <c r="L2231" s="2" t="b">
        <v>0</v>
      </c>
      <c r="M2231" s="2" t="b">
        <v>0</v>
      </c>
      <c r="N2231" s="2" t="s">
        <v>33</v>
      </c>
      <c r="O2231" s="2">
        <v>78.0</v>
      </c>
      <c r="P2231" s="2">
        <v>9.0</v>
      </c>
      <c r="Q2231" s="2">
        <v>52.0</v>
      </c>
      <c r="R2231" s="2">
        <v>0.0</v>
      </c>
      <c r="S2231" s="3" t="s">
        <v>9143</v>
      </c>
      <c r="T2231" s="2" t="s">
        <v>9144</v>
      </c>
      <c r="Y2231" s="4" t="str">
        <f>IFERROR(__xludf.DUMMYFUNCTION("""COMPUTED_VALUE"""),"6.7160293")</f>
        <v>6.7160293</v>
      </c>
      <c r="Z2231" s="4" t="str">
        <f>IFERROR(__xludf.DUMMYFUNCTION("""COMPUTED_VALUE"""),"3.7968574")</f>
        <v>3.7968574</v>
      </c>
      <c r="AA2231" s="4" t="str">
        <f t="shared" si="1"/>
        <v>Not Neighbor</v>
      </c>
      <c r="AC2231" s="4">
        <f>IFERROR(__xludf.DUMMYFUNCTION("IFERROR(ABS(O2231-AVERAGE(FILTER(O2231:O6299,AA2231:AA6299=""Neighbor""))) / STDEV(FILTER(O2231:O6299, AA2231:AA6299 =""Neighbor"")), """")"),0.7243303925591462)</f>
        <v>0.7243303926</v>
      </c>
      <c r="AD2231" s="4">
        <f>IFERROR(__xludf.DUMMYFUNCTION("IFERROR(ABS(P2231-AVERAGE(FILTER(O2231:P6299,AA2231:AA6299=""Neighbor""))) / STDEV(FILTER(P2231:P6299, AA2231:AA6299 =""Neighbor"")), """")"),1.1272416808870753)</f>
        <v>1.127241681</v>
      </c>
      <c r="AE2231" s="2">
        <f>IFERROR(__xludf.DUMMYFUNCTION("IFERROR(ABS(Q2231-AVERAGE(FILTER(Q2231:Q6299,AA2231:AA6299=""Neighbor""))) / STDEV(FILTER(Q2231:Q6299, AA2231:AA6299 =""Neighbor"")), """")"),1.6542441998515847)</f>
        <v>1.6542442</v>
      </c>
      <c r="AF2231" s="2">
        <f>IFERROR(__xludf.DUMMYFUNCTION("IFERROR(ABS(R2231-AVERAGE(FILTER(R2231:R6299,AA2231:AA6299=""Neighbor""))) / STDEV(FILTER(R2231:R6299, AA2231:AA6299 =""Neighbor"")), """")"),0.3463797033469614)</f>
        <v>0.3463797033</v>
      </c>
    </row>
    <row r="2232">
      <c r="A2232" s="2" t="s">
        <v>28</v>
      </c>
      <c r="B2232" s="2" t="s">
        <v>8911</v>
      </c>
      <c r="C2232" s="2" t="s">
        <v>9145</v>
      </c>
      <c r="D2232" s="2" t="s">
        <v>9146</v>
      </c>
      <c r="E2232" s="2" t="s">
        <v>9147</v>
      </c>
      <c r="F2232" s="2">
        <v>177.0</v>
      </c>
      <c r="G2232" s="2">
        <v>781.0</v>
      </c>
      <c r="H2232" s="2" t="b">
        <v>1</v>
      </c>
      <c r="I2232" s="2">
        <v>-1.0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s">
        <v>33</v>
      </c>
      <c r="O2232" s="2">
        <v>115.0</v>
      </c>
      <c r="P2232" s="2">
        <v>12.0</v>
      </c>
      <c r="Q2232" s="2">
        <v>36.0</v>
      </c>
      <c r="R2232" s="2">
        <v>0.0</v>
      </c>
      <c r="S2232" s="3" t="s">
        <v>9148</v>
      </c>
      <c r="T2232" s="2" t="s">
        <v>9149</v>
      </c>
      <c r="Y2232" s="4" t="str">
        <f>IFERROR(__xludf.DUMMYFUNCTION("""COMPUTED_VALUE"""),"6.7282385")</f>
        <v>6.7282385</v>
      </c>
      <c r="Z2232" s="4" t="str">
        <f>IFERROR(__xludf.DUMMYFUNCTION("""COMPUTED_VALUE"""),"3.8149704")</f>
        <v>3.8149704</v>
      </c>
      <c r="AA2232" s="4" t="str">
        <f t="shared" si="1"/>
        <v>Not Neighbor</v>
      </c>
      <c r="AC2232" s="4">
        <f>IFERROR(__xludf.DUMMYFUNCTION("IFERROR(ABS(O2232-AVERAGE(FILTER(O2232:O6300,AA2232:AA6300=""Neighbor""))) / STDEV(FILTER(O2232:O6300, AA2232:AA6300 =""Neighbor"")), """")"),1.7489297183153798)</f>
        <v>1.748929718</v>
      </c>
      <c r="AD2232" s="4">
        <f>IFERROR(__xludf.DUMMYFUNCTION("IFERROR(ABS(P2232-AVERAGE(FILTER(O2232:P6300,AA2232:AA6300=""Neighbor""))) / STDEV(FILTER(P2232:P6300, AA2232:AA6300 =""Neighbor"")), """")"),0.9938877748016163)</f>
        <v>0.9938877748</v>
      </c>
      <c r="AE2232" s="2">
        <f>IFERROR(__xludf.DUMMYFUNCTION("IFERROR(ABS(Q2232-AVERAGE(FILTER(Q2232:Q6300,AA2232:AA6300=""Neighbor""))) / STDEV(FILTER(Q2232:Q6300, AA2232:AA6300 =""Neighbor"")), """")"),0.853241745186607)</f>
        <v>0.8532417452</v>
      </c>
      <c r="AF2232" s="2">
        <f>IFERROR(__xludf.DUMMYFUNCTION("IFERROR(ABS(R2232-AVERAGE(FILTER(R2232:R6300,AA2232:AA6300=""Neighbor""))) / STDEV(FILTER(R2232:R6300, AA2232:AA6300 =""Neighbor"")), """")"),0.3463797033469614)</f>
        <v>0.3463797033</v>
      </c>
    </row>
    <row r="2233">
      <c r="A2233" s="2" t="s">
        <v>28</v>
      </c>
      <c r="B2233" s="2" t="s">
        <v>8911</v>
      </c>
      <c r="C2233" s="2" t="s">
        <v>9145</v>
      </c>
      <c r="D2233" s="2" t="s">
        <v>9150</v>
      </c>
      <c r="E2233" s="2" t="s">
        <v>9151</v>
      </c>
      <c r="F2233" s="2">
        <v>172.0</v>
      </c>
      <c r="G2233" s="2">
        <v>815.0</v>
      </c>
      <c r="H2233" s="2" t="b">
        <v>1</v>
      </c>
      <c r="I2233" s="2">
        <v>-1.0</v>
      </c>
      <c r="J2233" s="2" t="b">
        <v>0</v>
      </c>
      <c r="K2233" s="2" t="b">
        <v>0</v>
      </c>
      <c r="L2233" s="2" t="b">
        <v>0</v>
      </c>
      <c r="M2233" s="2" t="b">
        <v>0</v>
      </c>
      <c r="N2233" s="2" t="s">
        <v>33</v>
      </c>
      <c r="O2233" s="2">
        <v>95.0</v>
      </c>
      <c r="P2233" s="2">
        <v>17.0</v>
      </c>
      <c r="Q2233" s="2">
        <v>38.0</v>
      </c>
      <c r="R2233" s="2">
        <v>0.0</v>
      </c>
      <c r="S2233" s="3" t="s">
        <v>9152</v>
      </c>
      <c r="T2233" s="2" t="s">
        <v>9153</v>
      </c>
      <c r="Y2233" s="4" t="str">
        <f>IFERROR(__xludf.DUMMYFUNCTION("""COMPUTED_VALUE"""),"6.7409485")</f>
        <v>6.7409485</v>
      </c>
      <c r="Z2233" s="4" t="str">
        <f>IFERROR(__xludf.DUMMYFUNCTION("""COMPUTED_VALUE"""),"3.8324916")</f>
        <v>3.8324916</v>
      </c>
      <c r="AA2233" s="4" t="str">
        <f t="shared" si="1"/>
        <v>Not Neighbor</v>
      </c>
      <c r="AC2233" s="4">
        <f>IFERROR(__xludf.DUMMYFUNCTION("IFERROR(ABS(O2233-AVERAGE(FILTER(O2233:O6301,AA2233:AA6301=""Neighbor""))) / STDEV(FILTER(O2233:O6301, AA2233:AA6301 =""Neighbor"")), """")"),1.1950922449336319)</f>
        <v>1.195092245</v>
      </c>
      <c r="AD2233" s="4">
        <f>IFERROR(__xludf.DUMMYFUNCTION("IFERROR(ABS(P2233-AVERAGE(FILTER(O2233:P6301,AA2233:AA6301=""Neighbor""))) / STDEV(FILTER(P2233:P6301, AA2233:AA6301 =""Neighbor"")), """")"),0.7716312646591849)</f>
        <v>0.7716312647</v>
      </c>
      <c r="AE2233" s="2">
        <f>IFERROR(__xludf.DUMMYFUNCTION("IFERROR(ABS(Q2233-AVERAGE(FILTER(Q2233:Q6301,AA2233:AA6301=""Neighbor""))) / STDEV(FILTER(Q2233:Q6301, AA2233:AA6301 =""Neighbor"")), """")"),0.9533670520197293)</f>
        <v>0.953367052</v>
      </c>
      <c r="AF2233" s="2">
        <f>IFERROR(__xludf.DUMMYFUNCTION("IFERROR(ABS(R2233-AVERAGE(FILTER(R2233:R6301,AA2233:AA6301=""Neighbor""))) / STDEV(FILTER(R2233:R6301, AA2233:AA6301 =""Neighbor"")), """")"),0.3463797033469614)</f>
        <v>0.3463797033</v>
      </c>
    </row>
    <row r="2234">
      <c r="A2234" s="2" t="s">
        <v>28</v>
      </c>
      <c r="B2234" s="2" t="s">
        <v>8911</v>
      </c>
      <c r="C2234" s="2" t="s">
        <v>9145</v>
      </c>
      <c r="D2234" s="2" t="s">
        <v>9154</v>
      </c>
      <c r="E2234" s="2" t="s">
        <v>9155</v>
      </c>
      <c r="F2234" s="2">
        <v>147.0</v>
      </c>
      <c r="G2234" s="2">
        <v>740.0</v>
      </c>
      <c r="H2234" s="2" t="b">
        <v>1</v>
      </c>
      <c r="I2234" s="2">
        <v>-1.0</v>
      </c>
      <c r="J2234" s="2" t="b">
        <v>0</v>
      </c>
      <c r="K2234" s="2" t="b">
        <v>0</v>
      </c>
      <c r="L2234" s="2" t="b">
        <v>0</v>
      </c>
      <c r="M2234" s="2" t="b">
        <v>0</v>
      </c>
      <c r="N2234" s="2" t="s">
        <v>33</v>
      </c>
      <c r="O2234" s="2">
        <v>81.0</v>
      </c>
      <c r="P2234" s="2">
        <v>3.0</v>
      </c>
      <c r="Q2234" s="2">
        <v>59.0</v>
      </c>
      <c r="R2234" s="2">
        <v>0.0</v>
      </c>
      <c r="S2234" s="3" t="s">
        <v>9156</v>
      </c>
      <c r="T2234" s="2" t="s">
        <v>9157</v>
      </c>
      <c r="Y2234" s="4" t="str">
        <f>IFERROR(__xludf.DUMMYFUNCTION("""COMPUTED_VALUE"""),"6.7076404")</f>
        <v>6.7076404</v>
      </c>
      <c r="Z2234" s="4" t="str">
        <f>IFERROR(__xludf.DUMMYFUNCTION("""COMPUTED_VALUE"""),"3.7152697")</f>
        <v>3.7152697</v>
      </c>
      <c r="AA2234" s="4" t="str">
        <f t="shared" si="1"/>
        <v>Not Neighbor</v>
      </c>
      <c r="AC2234" s="4">
        <f>IFERROR(__xludf.DUMMYFUNCTION("IFERROR(ABS(O2234-AVERAGE(FILTER(O2234:O6302,AA2234:AA6302=""Neighbor""))) / STDEV(FILTER(O2234:O6302, AA2234:AA6302 =""Neighbor"")), """")"),0.8074060135664084)</f>
        <v>0.8074060136</v>
      </c>
      <c r="AD2234" s="4">
        <f>IFERROR(__xludf.DUMMYFUNCTION("IFERROR(ABS(P2234-AVERAGE(FILTER(O2234:P6302,AA2234:AA6302=""Neighbor""))) / STDEV(FILTER(P2234:P6302, AA2234:AA6302 =""Neighbor"")), """")"),1.393949493057993)</f>
        <v>1.393949493</v>
      </c>
      <c r="AE2234" s="2">
        <f>IFERROR(__xludf.DUMMYFUNCTION("IFERROR(ABS(Q2234-AVERAGE(FILTER(Q2234:Q6302,AA2234:AA6302=""Neighbor""))) / STDEV(FILTER(Q2234:Q6302, AA2234:AA6302 =""Neighbor"")), """")"),2.0046827737675126)</f>
        <v>2.004682774</v>
      </c>
      <c r="AF2234" s="2">
        <f>IFERROR(__xludf.DUMMYFUNCTION("IFERROR(ABS(R2234-AVERAGE(FILTER(R2234:R6302,AA2234:AA6302=""Neighbor""))) / STDEV(FILTER(R2234:R6302, AA2234:AA6302 =""Neighbor"")), """")"),0.3463797033469614)</f>
        <v>0.3463797033</v>
      </c>
    </row>
    <row r="2235">
      <c r="A2235" s="2" t="s">
        <v>28</v>
      </c>
      <c r="B2235" s="2" t="s">
        <v>8911</v>
      </c>
      <c r="C2235" s="2" t="s">
        <v>9145</v>
      </c>
      <c r="D2235" s="2" t="s">
        <v>9158</v>
      </c>
      <c r="E2235" s="2" t="s">
        <v>9159</v>
      </c>
      <c r="F2235" s="2">
        <v>116.0</v>
      </c>
      <c r="G2235" s="2">
        <v>488.0</v>
      </c>
      <c r="H2235" s="2" t="b">
        <v>1</v>
      </c>
      <c r="I2235" s="2">
        <v>-1.0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s">
        <v>33</v>
      </c>
      <c r="O2235" s="2">
        <v>49.0</v>
      </c>
      <c r="P2235" s="2">
        <v>19.0</v>
      </c>
      <c r="Q2235" s="2">
        <v>39.0</v>
      </c>
      <c r="R2235" s="2">
        <v>0.0</v>
      </c>
      <c r="S2235" s="3" t="s">
        <v>9160</v>
      </c>
      <c r="T2235" s="2" t="s">
        <v>9161</v>
      </c>
      <c r="Y2235" s="4" t="str">
        <f>IFERROR(__xludf.DUMMYFUNCTION("""COMPUTED_VALUE"""),"6.7282385")</f>
        <v>6.7282385</v>
      </c>
      <c r="Z2235" s="4" t="str">
        <f>IFERROR(__xludf.DUMMYFUNCTION("""COMPUTED_VALUE"""),"3.8149704")</f>
        <v>3.8149704</v>
      </c>
      <c r="AA2235" s="4" t="str">
        <f t="shared" si="1"/>
        <v>Not Neighbor</v>
      </c>
      <c r="AC2235" s="4">
        <f>IFERROR(__xludf.DUMMYFUNCTION("IFERROR(ABS(O2235-AVERAGE(FILTER(O2235:O6303,AA2235:AA6303=""Neighbor""))) / STDEV(FILTER(O2235:O6303, AA2235:AA6303 =""Neighbor"")), """")"),0.07873394384438813)</f>
        <v>0.07873394384</v>
      </c>
      <c r="AD2235" s="4">
        <f>IFERROR(__xludf.DUMMYFUNCTION("IFERROR(ABS(P2235-AVERAGE(FILTER(O2235:P6303,AA2235:AA6303=""Neighbor""))) / STDEV(FILTER(P2235:P6303, AA2235:AA6303 =""Neighbor"")), """")"),0.6827286606022123)</f>
        <v>0.6827286606</v>
      </c>
      <c r="AE2235" s="2">
        <f>IFERROR(__xludf.DUMMYFUNCTION("IFERROR(ABS(Q2235-AVERAGE(FILTER(Q2235:Q6303,AA2235:AA6303=""Neighbor""))) / STDEV(FILTER(Q2235:Q6303, AA2235:AA6303 =""Neighbor"")), """")"),1.0034297054362904)</f>
        <v>1.003429705</v>
      </c>
      <c r="AF2235" s="2">
        <f>IFERROR(__xludf.DUMMYFUNCTION("IFERROR(ABS(R2235-AVERAGE(FILTER(R2235:R6303,AA2235:AA6303=""Neighbor""))) / STDEV(FILTER(R2235:R6303, AA2235:AA6303 =""Neighbor"")), """")"),0.3463797033469614)</f>
        <v>0.3463797033</v>
      </c>
    </row>
    <row r="2236">
      <c r="A2236" s="2" t="s">
        <v>28</v>
      </c>
      <c r="B2236" s="2" t="s">
        <v>8911</v>
      </c>
      <c r="C2236" s="2" t="s">
        <v>9145</v>
      </c>
      <c r="D2236" s="2" t="s">
        <v>9162</v>
      </c>
      <c r="E2236" s="2" t="s">
        <v>9163</v>
      </c>
      <c r="F2236" s="2">
        <v>142.0</v>
      </c>
      <c r="G2236" s="2">
        <v>733.0</v>
      </c>
      <c r="H2236" s="2" t="b">
        <v>1</v>
      </c>
      <c r="I2236" s="2">
        <v>-1.0</v>
      </c>
      <c r="J2236" s="2" t="b">
        <v>0</v>
      </c>
      <c r="K2236" s="2" t="b">
        <v>0</v>
      </c>
      <c r="L2236" s="2" t="b">
        <v>0</v>
      </c>
      <c r="M2236" s="2" t="b">
        <v>0</v>
      </c>
      <c r="N2236" s="2" t="s">
        <v>33</v>
      </c>
      <c r="O2236" s="2">
        <v>71.0</v>
      </c>
      <c r="P2236" s="2">
        <v>2.0</v>
      </c>
      <c r="Q2236" s="2">
        <v>67.0</v>
      </c>
      <c r="R2236" s="2">
        <v>0.0</v>
      </c>
      <c r="S2236" s="3" t="s">
        <v>9164</v>
      </c>
      <c r="T2236" s="2" t="s">
        <v>9165</v>
      </c>
      <c r="Y2236" s="4" t="str">
        <f>IFERROR(__xludf.DUMMYFUNCTION("""COMPUTED_VALUE"""),"6.7023015")</f>
        <v>6.7023015</v>
      </c>
      <c r="Z2236" s="4" t="str">
        <f>IFERROR(__xludf.DUMMYFUNCTION("""COMPUTED_VALUE"""),"3.7373204")</f>
        <v>3.7373204</v>
      </c>
      <c r="AA2236" s="4" t="str">
        <f t="shared" si="1"/>
        <v>Not Neighbor</v>
      </c>
      <c r="AC2236" s="4">
        <f>IFERROR(__xludf.DUMMYFUNCTION("IFERROR(ABS(O2236-AVERAGE(FILTER(O2236:O6304,AA2236:AA6304=""Neighbor""))) / STDEV(FILTER(O2236:O6304, AA2236:AA6304 =""Neighbor"")), """")"),0.5304872768755344)</f>
        <v>0.5304872769</v>
      </c>
      <c r="AD2236" s="4">
        <f>IFERROR(__xludf.DUMMYFUNCTION("IFERROR(ABS(P2236-AVERAGE(FILTER(O2236:P6304,AA2236:AA6304=""Neighbor""))) / STDEV(FILTER(P2236:P6304, AA2236:AA6304 =""Neighbor"")), """")"),1.4384007950864792)</f>
        <v>1.438400795</v>
      </c>
      <c r="AE2236" s="2">
        <f>IFERROR(__xludf.DUMMYFUNCTION("IFERROR(ABS(Q2236-AVERAGE(FILTER(Q2236:Q6304,AA2236:AA6304=""Neighbor""))) / STDEV(FILTER(Q2236:Q6304, AA2236:AA6304 =""Neighbor"")), """")"),2.4051840011000016)</f>
        <v>2.405184001</v>
      </c>
      <c r="AF2236" s="2">
        <f>IFERROR(__xludf.DUMMYFUNCTION("IFERROR(ABS(R2236-AVERAGE(FILTER(R2236:R6304,AA2236:AA6304=""Neighbor""))) / STDEV(FILTER(R2236:R6304, AA2236:AA6304 =""Neighbor"")), """")"),0.3463797033469614)</f>
        <v>0.3463797033</v>
      </c>
    </row>
    <row r="2237">
      <c r="A2237" s="2" t="s">
        <v>28</v>
      </c>
      <c r="B2237" s="2" t="s">
        <v>8911</v>
      </c>
      <c r="C2237" s="2" t="s">
        <v>9166</v>
      </c>
      <c r="D2237" s="2" t="s">
        <v>9167</v>
      </c>
      <c r="E2237" s="2" t="s">
        <v>9168</v>
      </c>
      <c r="F2237" s="2">
        <v>154.0</v>
      </c>
      <c r="G2237" s="2">
        <v>750.0</v>
      </c>
      <c r="H2237" s="2" t="b">
        <v>1</v>
      </c>
      <c r="I2237" s="2">
        <v>-1.0</v>
      </c>
      <c r="J2237" s="2" t="b">
        <v>0</v>
      </c>
      <c r="K2237" s="2" t="b">
        <v>0</v>
      </c>
      <c r="L2237" s="2" t="b">
        <v>0</v>
      </c>
      <c r="M2237" s="2" t="b">
        <v>0</v>
      </c>
      <c r="N2237" s="2" t="s">
        <v>33</v>
      </c>
      <c r="O2237" s="2">
        <v>76.0</v>
      </c>
      <c r="P2237" s="2">
        <v>49.0</v>
      </c>
      <c r="Q2237" s="2">
        <v>22.0</v>
      </c>
      <c r="R2237" s="2">
        <v>1.0</v>
      </c>
      <c r="S2237" s="3" t="s">
        <v>9169</v>
      </c>
      <c r="T2237" s="2" t="s">
        <v>9170</v>
      </c>
      <c r="Y2237" s="4" t="str">
        <f>IFERROR(__xludf.DUMMYFUNCTION("""COMPUTED_VALUE"""),"6.807286")</f>
        <v>6.807286</v>
      </c>
      <c r="Z2237" s="4" t="str">
        <f>IFERROR(__xludf.DUMMYFUNCTION("""COMPUTED_VALUE"""),"3.9268921")</f>
        <v>3.9268921</v>
      </c>
      <c r="AA2237" s="4" t="str">
        <f t="shared" si="1"/>
        <v>Not Neighbor</v>
      </c>
      <c r="AC2237" s="4">
        <f>IFERROR(__xludf.DUMMYFUNCTION("IFERROR(ABS(O2237-AVERAGE(FILTER(O2237:O6305,AA2237:AA6305=""Neighbor""))) / STDEV(FILTER(O2237:O6305, AA2237:AA6305 =""Neighbor"")), """")"),0.6689466452209715)</f>
        <v>0.6689466452</v>
      </c>
      <c r="AD2237" s="4">
        <f>IFERROR(__xludf.DUMMYFUNCTION("IFERROR(ABS(P2237-AVERAGE(FILTER(O2237:P6305,AA2237:AA6305=""Neighbor""))) / STDEV(FILTER(P2237:P6305, AA2237:AA6305 =""Neighbor"")), """")"),0.6508104002523767)</f>
        <v>0.6508104003</v>
      </c>
      <c r="AE2237" s="2">
        <f>IFERROR(__xludf.DUMMYFUNCTION("IFERROR(ABS(Q2237-AVERAGE(FILTER(Q2237:Q6305,AA2237:AA6305=""Neighbor""))) / STDEV(FILTER(Q2237:Q6305, AA2237:AA6305 =""Neighbor"")), """")"),0.1523645973547513)</f>
        <v>0.1523645974</v>
      </c>
      <c r="AF2237" s="2">
        <f>IFERROR(__xludf.DUMMYFUNCTION("IFERROR(ABS(R2237-AVERAGE(FILTER(R2237:R6305,AA2237:AA6305=""Neighbor""))) / STDEV(FILTER(R2237:R6305, AA2237:AA6305 =""Neighbor"")), """")"),0.811779745288914)</f>
        <v>0.8117797453</v>
      </c>
    </row>
    <row r="2238">
      <c r="A2238" s="2" t="s">
        <v>28</v>
      </c>
      <c r="B2238" s="2" t="s">
        <v>8911</v>
      </c>
      <c r="C2238" s="2" t="s">
        <v>9166</v>
      </c>
      <c r="D2238" s="2" t="s">
        <v>9171</v>
      </c>
      <c r="E2238" s="2" t="s">
        <v>9172</v>
      </c>
      <c r="F2238" s="2">
        <v>144.0</v>
      </c>
      <c r="G2238" s="2">
        <v>958.0</v>
      </c>
      <c r="H2238" s="2" t="b">
        <v>1</v>
      </c>
      <c r="I2238" s="2">
        <v>-1.0</v>
      </c>
      <c r="J2238" s="2" t="b">
        <v>0</v>
      </c>
      <c r="K2238" s="2" t="b">
        <v>0</v>
      </c>
      <c r="L2238" s="2" t="b">
        <v>0</v>
      </c>
      <c r="M2238" s="2" t="b">
        <v>0</v>
      </c>
      <c r="N2238" s="2" t="s">
        <v>33</v>
      </c>
      <c r="O2238" s="2">
        <v>64.0</v>
      </c>
      <c r="P2238" s="2">
        <v>32.0</v>
      </c>
      <c r="Q2238" s="2">
        <v>18.0</v>
      </c>
      <c r="R2238" s="2">
        <v>0.0</v>
      </c>
      <c r="S2238" s="3" t="s">
        <v>9173</v>
      </c>
      <c r="T2238" s="2" t="s">
        <v>9174</v>
      </c>
      <c r="Y2238" s="4" t="str">
        <f>IFERROR(__xludf.DUMMYFUNCTION("""COMPUTED_VALUE"""),"6.7994667")</f>
        <v>6.7994667</v>
      </c>
      <c r="Z2238" s="4" t="str">
        <f>IFERROR(__xludf.DUMMYFUNCTION("""COMPUTED_VALUE"""),"3.8978154")</f>
        <v>3.8978154</v>
      </c>
      <c r="AA2238" s="4" t="str">
        <f t="shared" si="1"/>
        <v>Not Neighbor</v>
      </c>
      <c r="AC2238" s="4">
        <f>IFERROR(__xludf.DUMMYFUNCTION("IFERROR(ABS(O2238-AVERAGE(FILTER(O2238:O6306,AA2238:AA6306=""Neighbor""))) / STDEV(FILTER(O2238:O6306, AA2238:AA6306 =""Neighbor"")), """")"),0.33664416119192275)</f>
        <v>0.3366441612</v>
      </c>
      <c r="AD2238" s="4">
        <f>IFERROR(__xludf.DUMMYFUNCTION("IFERROR(ABS(P2238-AVERAGE(FILTER(O2238:P6306,AA2238:AA6306=""Neighbor""))) / STDEV(FILTER(P2238:P6306, AA2238:AA6306 =""Neighbor"")), """")"),0.10486173423189034)</f>
        <v>0.1048617342</v>
      </c>
      <c r="AE2238" s="2">
        <f>IFERROR(__xludf.DUMMYFUNCTION("IFERROR(ABS(Q2238-AVERAGE(FILTER(Q2238:Q6306,AA2238:AA6306=""Neighbor""))) / STDEV(FILTER(Q2238:Q6306, AA2238:AA6306 =""Neighbor"")), """")"),0.04788601631149319)</f>
        <v>0.04788601631</v>
      </c>
      <c r="AF2238" s="2">
        <f>IFERROR(__xludf.DUMMYFUNCTION("IFERROR(ABS(R2238-AVERAGE(FILTER(R2238:R6306,AA2238:AA6306=""Neighbor""))) / STDEV(FILTER(R2238:R6306, AA2238:AA6306 =""Neighbor"")), """")"),0.3463797033469614)</f>
        <v>0.3463797033</v>
      </c>
    </row>
    <row r="2239">
      <c r="A2239" s="2" t="s">
        <v>28</v>
      </c>
      <c r="B2239" s="2" t="s">
        <v>8911</v>
      </c>
      <c r="C2239" s="2" t="s">
        <v>9166</v>
      </c>
      <c r="D2239" s="2" t="s">
        <v>9175</v>
      </c>
      <c r="E2239" s="2" t="s">
        <v>9176</v>
      </c>
      <c r="F2239" s="2">
        <v>106.0</v>
      </c>
      <c r="G2239" s="2">
        <v>750.0</v>
      </c>
      <c r="H2239" s="2" t="b">
        <v>1</v>
      </c>
      <c r="I2239" s="2">
        <v>-1.0</v>
      </c>
      <c r="J2239" s="2" t="b">
        <v>0</v>
      </c>
      <c r="K2239" s="2" t="b">
        <v>0</v>
      </c>
      <c r="L2239" s="2" t="b">
        <v>0</v>
      </c>
      <c r="M2239" s="2" t="b">
        <v>0</v>
      </c>
      <c r="N2239" s="2" t="s">
        <v>33</v>
      </c>
      <c r="O2239" s="2">
        <v>58.0</v>
      </c>
      <c r="P2239" s="2">
        <v>16.0</v>
      </c>
      <c r="Q2239" s="2">
        <v>18.0</v>
      </c>
      <c r="R2239" s="2">
        <v>0.0</v>
      </c>
      <c r="S2239" s="3" t="s">
        <v>9177</v>
      </c>
      <c r="T2239" s="2" t="s">
        <v>9178</v>
      </c>
      <c r="Y2239" s="4" t="str">
        <f>IFERROR(__xludf.DUMMYFUNCTION("""COMPUTED_VALUE"""),"6.8099744")</f>
        <v>6.8099744</v>
      </c>
      <c r="Z2239" s="4" t="str">
        <f>IFERROR(__xludf.DUMMYFUNCTION("""COMPUTED_VALUE"""),"3.9001928")</f>
        <v>3.9001928</v>
      </c>
      <c r="AA2239" s="4" t="str">
        <f t="shared" si="1"/>
        <v>Not Neighbor</v>
      </c>
      <c r="AC2239" s="4">
        <f>IFERROR(__xludf.DUMMYFUNCTION("IFERROR(ABS(O2239-AVERAGE(FILTER(O2239:O6307,AA2239:AA6307=""Neighbor""))) / STDEV(FILTER(O2239:O6307, AA2239:AA6307 =""Neighbor"")), """")"),0.1704929191773984)</f>
        <v>0.1704929192</v>
      </c>
      <c r="AD2239" s="4">
        <f>IFERROR(__xludf.DUMMYFUNCTION("IFERROR(ABS(P2239-AVERAGE(FILTER(O2239:P6307,AA2239:AA6307=""Neighbor""))) / STDEV(FILTER(P2239:P6307, AA2239:AA6307 =""Neighbor"")), """")"),0.8160825666876711)</f>
        <v>0.8160825667</v>
      </c>
      <c r="AE2239" s="2">
        <f>IFERROR(__xludf.DUMMYFUNCTION("IFERROR(ABS(Q2239-AVERAGE(FILTER(Q2239:Q6307,AA2239:AA6307=""Neighbor""))) / STDEV(FILTER(Q2239:Q6307, AA2239:AA6307 =""Neighbor"")), """")"),0.04788601631149319)</f>
        <v>0.04788601631</v>
      </c>
      <c r="AF2239" s="2">
        <f>IFERROR(__xludf.DUMMYFUNCTION("IFERROR(ABS(R2239-AVERAGE(FILTER(R2239:R6307,AA2239:AA6307=""Neighbor""))) / STDEV(FILTER(R2239:R6307, AA2239:AA6307 =""Neighbor"")), """")"),0.3463797033469614)</f>
        <v>0.3463797033</v>
      </c>
    </row>
    <row r="2240">
      <c r="A2240" s="2" t="s">
        <v>28</v>
      </c>
      <c r="B2240" s="2" t="s">
        <v>8911</v>
      </c>
      <c r="C2240" s="2" t="s">
        <v>9166</v>
      </c>
      <c r="D2240" s="2" t="s">
        <v>9179</v>
      </c>
      <c r="E2240" s="2" t="s">
        <v>9180</v>
      </c>
      <c r="F2240" s="2">
        <v>195.0</v>
      </c>
      <c r="G2240" s="2">
        <v>1103.0</v>
      </c>
      <c r="H2240" s="2" t="b">
        <v>1</v>
      </c>
      <c r="I2240" s="2">
        <v>-1.0</v>
      </c>
      <c r="J2240" s="2" t="b">
        <v>0</v>
      </c>
      <c r="K2240" s="2" t="b">
        <v>1</v>
      </c>
      <c r="L2240" s="2" t="b">
        <v>0</v>
      </c>
      <c r="M2240" s="2" t="b">
        <v>0</v>
      </c>
      <c r="N2240" s="2" t="s">
        <v>33</v>
      </c>
      <c r="O2240" s="2">
        <v>0.0</v>
      </c>
      <c r="P2240" s="2">
        <v>0.0</v>
      </c>
      <c r="Q2240" s="2">
        <v>0.0</v>
      </c>
      <c r="R2240" s="2">
        <v>0.0</v>
      </c>
      <c r="S2240" s="3" t="s">
        <v>9181</v>
      </c>
      <c r="T2240" s="2" t="s">
        <v>9182</v>
      </c>
      <c r="Y2240" s="4" t="str">
        <f>IFERROR(__xludf.DUMMYFUNCTION("""COMPUTED_VALUE"""),"6.7927597")</f>
        <v>6.7927597</v>
      </c>
      <c r="Z2240" s="4" t="str">
        <f>IFERROR(__xludf.DUMMYFUNCTION("""COMPUTED_VALUE"""),"3.8909881")</f>
        <v>3.8909881</v>
      </c>
      <c r="AA2240" s="4" t="str">
        <f t="shared" si="1"/>
        <v>Neighbor</v>
      </c>
      <c r="AC2240" s="4">
        <f>IFERROR(__xludf.DUMMYFUNCTION("IFERROR(ABS(O2240-AVERAGE(FILTER(O2240:O6308,AA2240:AA6308=""Neighbor""))) / STDEV(FILTER(O2240:O6308, AA2240:AA6308 =""Neighbor"")), """")"),1.4356357536296702)</f>
        <v>1.435635754</v>
      </c>
      <c r="AD2240" s="4">
        <f>IFERROR(__xludf.DUMMYFUNCTION("IFERROR(ABS(P2240-AVERAGE(FILTER(O2240:P6308,AA2240:AA6308=""Neighbor""))) / STDEV(FILTER(P2240:P6308, AA2240:AA6308 =""Neighbor"")), """")"),1.527303399143452)</f>
        <v>1.527303399</v>
      </c>
      <c r="AE2240" s="2">
        <f>IFERROR(__xludf.DUMMYFUNCTION("IFERROR(ABS(Q2240-AVERAGE(FILTER(Q2240:Q6308,AA2240:AA6308=""Neighbor""))) / STDEV(FILTER(Q2240:Q6308, AA2240:AA6308 =""Neighbor"")), """")"),0.9490137778095934)</f>
        <v>0.9490137778</v>
      </c>
      <c r="AF2240" s="2">
        <f>IFERROR(__xludf.DUMMYFUNCTION("IFERROR(ABS(R2240-AVERAGE(FILTER(R2240:R6308,AA2240:AA6308=""Neighbor""))) / STDEV(FILTER(R2240:R6308, AA2240:AA6308 =""Neighbor"")), """")"),0.3463797033469614)</f>
        <v>0.3463797033</v>
      </c>
    </row>
    <row r="2241">
      <c r="A2241" s="2" t="s">
        <v>28</v>
      </c>
      <c r="B2241" s="2" t="s">
        <v>8911</v>
      </c>
      <c r="C2241" s="2" t="s">
        <v>9166</v>
      </c>
      <c r="D2241" s="2" t="s">
        <v>9183</v>
      </c>
      <c r="E2241" s="2" t="s">
        <v>9184</v>
      </c>
      <c r="F2241" s="2">
        <v>118.0</v>
      </c>
      <c r="G2241" s="2">
        <v>750.0</v>
      </c>
      <c r="H2241" s="2" t="b">
        <v>1</v>
      </c>
      <c r="I2241" s="2">
        <v>-1.0</v>
      </c>
      <c r="J2241" s="2" t="b">
        <v>0</v>
      </c>
      <c r="K2241" s="2" t="b">
        <v>0</v>
      </c>
      <c r="L2241" s="2" t="b">
        <v>0</v>
      </c>
      <c r="M2241" s="2" t="b">
        <v>0</v>
      </c>
      <c r="N2241" s="2" t="s">
        <v>33</v>
      </c>
      <c r="O2241" s="2">
        <v>68.0</v>
      </c>
      <c r="P2241" s="2">
        <v>21.0</v>
      </c>
      <c r="Q2241" s="2">
        <v>22.0</v>
      </c>
      <c r="R2241" s="2">
        <v>0.0</v>
      </c>
      <c r="S2241" s="3" t="s">
        <v>9185</v>
      </c>
      <c r="T2241" s="2" t="s">
        <v>9186</v>
      </c>
      <c r="Y2241" s="4" t="str">
        <f>IFERROR(__xludf.DUMMYFUNCTION("""COMPUTED_VALUE"""),"6.7927597")</f>
        <v>6.7927597</v>
      </c>
      <c r="Z2241" s="4" t="str">
        <f>IFERROR(__xludf.DUMMYFUNCTION("""COMPUTED_VALUE"""),"3.8909881")</f>
        <v>3.8909881</v>
      </c>
      <c r="AA2241" s="4" t="str">
        <f t="shared" si="1"/>
        <v>Not Neighbor</v>
      </c>
      <c r="AC2241" s="4">
        <f>IFERROR(__xludf.DUMMYFUNCTION("IFERROR(ABS(O2241-AVERAGE(FILTER(O2241:O6309,AA2241:AA6309=""Neighbor""))) / STDEV(FILTER(O2241:O6309, AA2241:AA6309 =""Neighbor"")), """")"),0.445831037937895)</f>
        <v>0.4458310379</v>
      </c>
      <c r="AD2241" s="4">
        <f>IFERROR(__xludf.DUMMYFUNCTION("IFERROR(ABS(P2241-AVERAGE(FILTER(O2241:P6309,AA2241:AA6309=""Neighbor""))) / STDEV(FILTER(P2241:P6309, AA2241:AA6309 =""Neighbor"")), """")"),0.5956692191648569)</f>
        <v>0.5956692192</v>
      </c>
      <c r="AE2241" s="2">
        <f>IFERROR(__xludf.DUMMYFUNCTION("IFERROR(ABS(Q2241-AVERAGE(FILTER(Q2241:Q6309,AA2241:AA6309=""Neighbor""))) / STDEV(FILTER(Q2241:Q6309, AA2241:AA6309 =""Neighbor"")), """")"),0.15110280140909832)</f>
        <v>0.1511028014</v>
      </c>
      <c r="AF2241" s="2">
        <f>IFERROR(__xludf.DUMMYFUNCTION("IFERROR(ABS(R2241-AVERAGE(FILTER(R2241:R6309,AA2241:AA6309=""Neighbor""))) / STDEV(FILTER(R2241:R6309, AA2241:AA6309 =""Neighbor"")), """")"),0.34663527967050006)</f>
        <v>0.3466352797</v>
      </c>
    </row>
    <row r="2242">
      <c r="A2242" s="2" t="s">
        <v>28</v>
      </c>
      <c r="B2242" s="2" t="s">
        <v>8911</v>
      </c>
      <c r="C2242" s="2" t="s">
        <v>9166</v>
      </c>
      <c r="D2242" s="2" t="s">
        <v>9187</v>
      </c>
      <c r="E2242" s="2" t="s">
        <v>9188</v>
      </c>
      <c r="F2242" s="2">
        <v>155.0</v>
      </c>
      <c r="G2242" s="2">
        <v>893.0</v>
      </c>
      <c r="H2242" s="2" t="b">
        <v>1</v>
      </c>
      <c r="I2242" s="2">
        <v>-1.0</v>
      </c>
      <c r="J2242" s="2" t="b">
        <v>0</v>
      </c>
      <c r="K2242" s="2" t="b">
        <v>1</v>
      </c>
      <c r="L2242" s="2" t="b">
        <v>0</v>
      </c>
      <c r="M2242" s="2" t="b">
        <v>0</v>
      </c>
      <c r="N2242" s="2" t="s">
        <v>33</v>
      </c>
      <c r="O2242" s="2">
        <v>76.0</v>
      </c>
      <c r="P2242" s="2">
        <v>44.0</v>
      </c>
      <c r="Q2242" s="2">
        <v>24.0</v>
      </c>
      <c r="R2242" s="2">
        <v>1.0</v>
      </c>
      <c r="S2242" s="3" t="s">
        <v>9189</v>
      </c>
      <c r="T2242" s="2" t="s">
        <v>9190</v>
      </c>
      <c r="Y2242" s="4" t="str">
        <f>IFERROR(__xludf.DUMMYFUNCTION("""COMPUTED_VALUE"""),"6.8137033")</f>
        <v>6.8137033</v>
      </c>
      <c r="Z2242" s="4" t="str">
        <f>IFERROR(__xludf.DUMMYFUNCTION("""COMPUTED_VALUE"""),"3.9282948")</f>
        <v>3.9282948</v>
      </c>
      <c r="AA2242" s="4" t="str">
        <f t="shared" si="1"/>
        <v>Not Neighbor</v>
      </c>
      <c r="AC2242" s="4">
        <f>IFERROR(__xludf.DUMMYFUNCTION("IFERROR(ABS(O2242-AVERAGE(FILTER(O2242:O6310,AA2242:AA6310=""Neighbor""))) / STDEV(FILTER(O2242:O6310, AA2242:AA6310 =""Neighbor"")), """")"),0.667521846798526)</f>
        <v>0.6675218468</v>
      </c>
      <c r="AD2242" s="4">
        <f>IFERROR(__xludf.DUMMYFUNCTION("IFERROR(ABS(P2242-AVERAGE(FILTER(O2242:P6310,AA2242:AA6310=""Neighbor""))) / STDEV(FILTER(P2242:P6310, AA2242:AA6310 =""Neighbor"")), """")"),0.4264160292894629)</f>
        <v>0.4264160293</v>
      </c>
      <c r="AE2242" s="2">
        <f>IFERROR(__xludf.DUMMYFUNCTION("IFERROR(ABS(Q2242-AVERAGE(FILTER(Q2242:Q6310,AA2242:AA6310=""Neighbor""))) / STDEV(FILTER(Q2242:Q6310, AA2242:AA6310 =""Neighbor"")), """")"),0.2512216156294624)</f>
        <v>0.2512216156</v>
      </c>
      <c r="AF2242" s="2">
        <f>IFERROR(__xludf.DUMMYFUNCTION("IFERROR(ABS(R2242-AVERAGE(FILTER(R2242:R6310,AA2242:AA6310=""Neighbor""))) / STDEV(FILTER(R2242:R6310, AA2242:AA6310 =""Neighbor"")), """")"),0.8108516894494957)</f>
        <v>0.8108516894</v>
      </c>
    </row>
    <row r="2243">
      <c r="A2243" s="2" t="s">
        <v>28</v>
      </c>
      <c r="B2243" s="2" t="s">
        <v>8911</v>
      </c>
      <c r="C2243" s="2" t="s">
        <v>9166</v>
      </c>
      <c r="D2243" s="2" t="s">
        <v>9191</v>
      </c>
      <c r="E2243" s="2" t="s">
        <v>9192</v>
      </c>
      <c r="F2243" s="2">
        <v>140.0</v>
      </c>
      <c r="G2243" s="2">
        <v>695.0</v>
      </c>
      <c r="H2243" s="2" t="b">
        <v>1</v>
      </c>
      <c r="I2243" s="2">
        <v>-1.0</v>
      </c>
      <c r="J2243" s="2" t="b">
        <v>0</v>
      </c>
      <c r="K2243" s="2" t="b">
        <v>1</v>
      </c>
      <c r="L2243" s="2" t="b">
        <v>0</v>
      </c>
      <c r="M2243" s="2" t="b">
        <v>0</v>
      </c>
      <c r="N2243" s="2" t="s">
        <v>33</v>
      </c>
      <c r="O2243" s="2">
        <v>79.0</v>
      </c>
      <c r="P2243" s="2">
        <v>19.0</v>
      </c>
      <c r="Q2243" s="2">
        <v>35.0</v>
      </c>
      <c r="R2243" s="2">
        <v>1.0</v>
      </c>
      <c r="S2243" s="3" t="s">
        <v>9193</v>
      </c>
      <c r="T2243" s="2" t="s">
        <v>9194</v>
      </c>
      <c r="Y2243" s="4" t="str">
        <f>IFERROR(__xludf.DUMMYFUNCTION("""COMPUTED_VALUE"""),"6.8248815")</f>
        <v>6.8248815</v>
      </c>
      <c r="Z2243" s="4" t="str">
        <f>IFERROR(__xludf.DUMMYFUNCTION("""COMPUTED_VALUE"""),"3.9191404")</f>
        <v>3.9191404</v>
      </c>
      <c r="AA2243" s="4" t="str">
        <f t="shared" si="1"/>
        <v>Not Neighbor</v>
      </c>
      <c r="AC2243" s="4">
        <f>IFERROR(__xludf.DUMMYFUNCTION("IFERROR(ABS(O2243-AVERAGE(FILTER(O2243:O6311,AA2243:AA6311=""Neighbor""))) / STDEV(FILTER(O2243:O6311, AA2243:AA6311 =""Neighbor"")), """")"),0.7506559001212627)</f>
        <v>0.7506559001</v>
      </c>
      <c r="AD2243" s="4">
        <f>IFERROR(__xludf.DUMMYFUNCTION("IFERROR(ABS(P2243-AVERAGE(FILTER(O2243:P6311,AA2243:AA6311=""Neighbor""))) / STDEV(FILTER(P2243:P6311, AA2243:AA6311 =""Neighbor"")), """")"),0.6845461972913196)</f>
        <v>0.6845461973</v>
      </c>
      <c r="AE2243" s="2">
        <f>IFERROR(__xludf.DUMMYFUNCTION("IFERROR(ABS(Q2243-AVERAGE(FILTER(Q2243:Q6311,AA2243:AA6311=""Neighbor""))) / STDEV(FILTER(Q2243:Q6311, AA2243:AA6311 =""Neighbor"")), """")"),0.8018750938414648)</f>
        <v>0.8018750938</v>
      </c>
      <c r="AF2243" s="2">
        <f>IFERROR(__xludf.DUMMYFUNCTION("IFERROR(ABS(R2243-AVERAGE(FILTER(R2243:R6311,AA2243:AA6311=""Neighbor""))) / STDEV(FILTER(R2243:R6311, AA2243:AA6311 =""Neighbor"")), """")"),0.8108516894494957)</f>
        <v>0.8108516894</v>
      </c>
    </row>
    <row r="2244">
      <c r="A2244" s="2" t="s">
        <v>28</v>
      </c>
      <c r="B2244" s="2" t="s">
        <v>8911</v>
      </c>
      <c r="C2244" s="2" t="s">
        <v>9166</v>
      </c>
      <c r="D2244" s="2" t="s">
        <v>9195</v>
      </c>
      <c r="E2244" s="2" t="s">
        <v>9196</v>
      </c>
      <c r="F2244" s="2">
        <v>113.0</v>
      </c>
      <c r="G2244" s="2">
        <v>716.0</v>
      </c>
      <c r="H2244" s="2" t="b">
        <v>1</v>
      </c>
      <c r="I2244" s="2">
        <v>-1.0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s">
        <v>33</v>
      </c>
      <c r="O2244" s="2">
        <v>60.0</v>
      </c>
      <c r="P2244" s="2">
        <v>13.0</v>
      </c>
      <c r="Q2244" s="2">
        <v>45.0</v>
      </c>
      <c r="R2244" s="2">
        <v>0.0</v>
      </c>
      <c r="S2244" s="3" t="s">
        <v>9197</v>
      </c>
      <c r="T2244" s="2" t="s">
        <v>9198</v>
      </c>
      <c r="Y2244" s="4" t="str">
        <f>IFERROR(__xludf.DUMMYFUNCTION("""COMPUTED_VALUE"""),"6.7927597")</f>
        <v>6.7927597</v>
      </c>
      <c r="Z2244" s="4" t="str">
        <f>IFERROR(__xludf.DUMMYFUNCTION("""COMPUTED_VALUE"""),"3.8909881")</f>
        <v>3.8909881</v>
      </c>
      <c r="AA2244" s="4" t="str">
        <f t="shared" si="1"/>
        <v>Not Neighbor</v>
      </c>
      <c r="AC2244" s="4">
        <f>IFERROR(__xludf.DUMMYFUNCTION("IFERROR(ABS(O2244-AVERAGE(FILTER(O2244:O6312,AA2244:AA6312=""Neighbor""))) / STDEV(FILTER(O2244:O6312, AA2244:AA6312 =""Neighbor"")), """")"),0.22414022907726397)</f>
        <v>0.2241402291</v>
      </c>
      <c r="AD2244" s="4">
        <f>IFERROR(__xludf.DUMMYFUNCTION("IFERROR(ABS(P2244-AVERAGE(FILTER(O2244:P6312,AA2244:AA6312=""Neighbor""))) / STDEV(FILTER(P2244:P6312, AA2244:AA6312 =""Neighbor"")), """")"),0.9511771316707074)</f>
        <v>0.9511771317</v>
      </c>
      <c r="AE2244" s="2">
        <f>IFERROR(__xludf.DUMMYFUNCTION("IFERROR(ABS(Q2244-AVERAGE(FILTER(Q2244:Q6312,AA2244:AA6312=""Neighbor""))) / STDEV(FILTER(Q2244:Q6312, AA2244:AA6312 =""Neighbor"")), """")"),1.3024691649432851)</f>
        <v>1.302469165</v>
      </c>
      <c r="AF2244" s="2">
        <f>IFERROR(__xludf.DUMMYFUNCTION("IFERROR(ABS(R2244-AVERAGE(FILTER(R2244:R6312,AA2244:AA6312=""Neighbor""))) / STDEV(FILTER(R2244:R6312, AA2244:AA6312 =""Neighbor"")), """")"),0.34663527967050006)</f>
        <v>0.3466352797</v>
      </c>
    </row>
    <row r="2245">
      <c r="A2245" s="2" t="s">
        <v>28</v>
      </c>
      <c r="B2245" s="2" t="s">
        <v>8911</v>
      </c>
      <c r="C2245" s="2" t="s">
        <v>9166</v>
      </c>
      <c r="D2245" s="2" t="s">
        <v>9199</v>
      </c>
      <c r="E2245" s="2" t="s">
        <v>9200</v>
      </c>
      <c r="F2245" s="2">
        <v>159.0</v>
      </c>
      <c r="G2245" s="2">
        <v>750.0</v>
      </c>
      <c r="H2245" s="2" t="b">
        <v>1</v>
      </c>
      <c r="I2245" s="2">
        <v>-1.0</v>
      </c>
      <c r="J2245" s="2" t="b">
        <v>0</v>
      </c>
      <c r="K2245" s="2" t="b">
        <v>1</v>
      </c>
      <c r="L2245" s="2" t="b">
        <v>0</v>
      </c>
      <c r="M2245" s="2" t="b">
        <v>0</v>
      </c>
      <c r="N2245" s="2" t="s">
        <v>33</v>
      </c>
      <c r="O2245" s="2">
        <v>83.0</v>
      </c>
      <c r="P2245" s="2">
        <v>39.0</v>
      </c>
      <c r="Q2245" s="2">
        <v>22.0</v>
      </c>
      <c r="R2245" s="2">
        <v>0.0</v>
      </c>
      <c r="S2245" s="3" t="s">
        <v>9201</v>
      </c>
      <c r="T2245" s="2" t="s">
        <v>9202</v>
      </c>
      <c r="Y2245" s="4" t="str">
        <f>IFERROR(__xludf.DUMMYFUNCTION("""COMPUTED_VALUE"""),"6.7856172")</f>
        <v>6.7856172</v>
      </c>
      <c r="Z2245" s="4" t="str">
        <f>IFERROR(__xludf.DUMMYFUNCTION("""COMPUTED_VALUE"""),"3.9483142")</f>
        <v>3.9483142</v>
      </c>
      <c r="AA2245" s="4" t="str">
        <f t="shared" si="1"/>
        <v>Not Neighbor</v>
      </c>
      <c r="AC2245" s="4">
        <f>IFERROR(__xludf.DUMMYFUNCTION("IFERROR(ABS(O2245-AVERAGE(FILTER(O2245:O6313,AA2245:AA6313=""Neighbor""))) / STDEV(FILTER(O2245:O6313, AA2245:AA6313 =""Neighbor"")), """")"),0.8615013045515783)</f>
        <v>0.8615013046</v>
      </c>
      <c r="AD2245" s="4">
        <f>IFERROR(__xludf.DUMMYFUNCTION("IFERROR(ABS(P2245-AVERAGE(FILTER(O2245:P6313,AA2245:AA6313=""Neighbor""))) / STDEV(FILTER(P2245:P6313, AA2245:AA6313 =""Neighbor"")), """")"),0.2042235839733064)</f>
        <v>0.204223584</v>
      </c>
      <c r="AE2245" s="2">
        <f>IFERROR(__xludf.DUMMYFUNCTION("IFERROR(ABS(Q2245-AVERAGE(FILTER(Q2245:Q6313,AA2245:AA6313=""Neighbor""))) / STDEV(FILTER(Q2245:Q6313, AA2245:AA6313 =""Neighbor"")), """")"),0.15110280140909832)</f>
        <v>0.1511028014</v>
      </c>
      <c r="AF2245" s="2">
        <f>IFERROR(__xludf.DUMMYFUNCTION("IFERROR(ABS(R2245-AVERAGE(FILTER(R2245:R6313,AA2245:AA6313=""Neighbor""))) / STDEV(FILTER(R2245:R6313, AA2245:AA6313 =""Neighbor"")), """")"),0.34663527967050006)</f>
        <v>0.3466352797</v>
      </c>
    </row>
    <row r="2246">
      <c r="A2246" s="2" t="s">
        <v>28</v>
      </c>
      <c r="B2246" s="2" t="s">
        <v>8911</v>
      </c>
      <c r="C2246" s="2" t="s">
        <v>9166</v>
      </c>
      <c r="D2246" s="2" t="s">
        <v>9203</v>
      </c>
      <c r="E2246" s="2" t="s">
        <v>9204</v>
      </c>
      <c r="F2246" s="2">
        <v>157.0</v>
      </c>
      <c r="G2246" s="2">
        <v>935.0</v>
      </c>
      <c r="H2246" s="2" t="b">
        <v>1</v>
      </c>
      <c r="I2246" s="2">
        <v>-1.0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s">
        <v>33</v>
      </c>
      <c r="O2246" s="2">
        <v>84.0</v>
      </c>
      <c r="P2246" s="2">
        <v>28.0</v>
      </c>
      <c r="Q2246" s="2">
        <v>39.0</v>
      </c>
      <c r="R2246" s="2">
        <v>0.0</v>
      </c>
      <c r="S2246" s="3" t="s">
        <v>9205</v>
      </c>
      <c r="T2246" s="2" t="s">
        <v>9206</v>
      </c>
      <c r="Y2246" s="4" t="str">
        <f>IFERROR(__xludf.DUMMYFUNCTION("""COMPUTED_VALUE"""),"6.8078252")</f>
        <v>6.8078252</v>
      </c>
      <c r="Z2246" s="4" t="str">
        <f>IFERROR(__xludf.DUMMYFUNCTION("""COMPUTED_VALUE"""),"3.8973995")</f>
        <v>3.8973995</v>
      </c>
      <c r="AA2246" s="4" t="str">
        <f t="shared" si="1"/>
        <v>Not Neighbor</v>
      </c>
      <c r="AC2246" s="4">
        <f>IFERROR(__xludf.DUMMYFUNCTION("IFERROR(ABS(O2246-AVERAGE(FILTER(O2246:O6314,AA2246:AA6314=""Neighbor""))) / STDEV(FILTER(O2246:O6314, AA2246:AA6314 =""Neighbor"")), """")"),0.8892126556591571)</f>
        <v>0.8892126557</v>
      </c>
      <c r="AD2246" s="4">
        <f>IFERROR(__xludf.DUMMYFUNCTION("IFERROR(ABS(P2246-AVERAGE(FILTER(O2246:P6314,AA2246:AA6314=""Neighbor""))) / STDEV(FILTER(P2246:P6314, AA2246:AA6314 =""Neighbor"")), """")"),0.28459979572223787)</f>
        <v>0.2845997957</v>
      </c>
      <c r="AE2246" s="2">
        <f>IFERROR(__xludf.DUMMYFUNCTION("IFERROR(ABS(Q2246-AVERAGE(FILTER(Q2246:Q6314,AA2246:AA6314=""Neighbor""))) / STDEV(FILTER(Q2246:Q6314, AA2246:AA6314 =""Neighbor"")), """")"),1.0021127222821928)</f>
        <v>1.002112722</v>
      </c>
      <c r="AF2246" s="2">
        <f>IFERROR(__xludf.DUMMYFUNCTION("IFERROR(ABS(R2246-AVERAGE(FILTER(R2246:R6314,AA2246:AA6314=""Neighbor""))) / STDEV(FILTER(R2246:R6314, AA2246:AA6314 =""Neighbor"")), """")"),0.34663527967050006)</f>
        <v>0.3466352797</v>
      </c>
    </row>
    <row r="2247">
      <c r="A2247" s="2" t="s">
        <v>28</v>
      </c>
      <c r="B2247" s="2" t="s">
        <v>8911</v>
      </c>
      <c r="C2247" s="2" t="s">
        <v>9166</v>
      </c>
      <c r="D2247" s="2" t="s">
        <v>9207</v>
      </c>
      <c r="E2247" s="2" t="s">
        <v>9208</v>
      </c>
      <c r="F2247" s="2">
        <v>137.0</v>
      </c>
      <c r="G2247" s="2">
        <v>885.0</v>
      </c>
      <c r="H2247" s="2" t="b">
        <v>1</v>
      </c>
      <c r="I2247" s="2">
        <v>-1.0</v>
      </c>
      <c r="J2247" s="2" t="b">
        <v>0</v>
      </c>
      <c r="K2247" s="2" t="b">
        <v>1</v>
      </c>
      <c r="L2247" s="2" t="b">
        <v>0</v>
      </c>
      <c r="M2247" s="2" t="b">
        <v>0</v>
      </c>
      <c r="N2247" s="2" t="s">
        <v>33</v>
      </c>
      <c r="O2247" s="2">
        <v>0.0</v>
      </c>
      <c r="P2247" s="2">
        <v>36.0</v>
      </c>
      <c r="Q2247" s="2">
        <v>0.0</v>
      </c>
      <c r="R2247" s="2">
        <v>0.0</v>
      </c>
      <c r="S2247" s="3" t="s">
        <v>9209</v>
      </c>
      <c r="T2247" s="2" t="s">
        <v>9210</v>
      </c>
      <c r="Y2247" s="4" t="str">
        <f>IFERROR(__xludf.DUMMYFUNCTION("""COMPUTED_VALUE"""),"6.7927597")</f>
        <v>6.7927597</v>
      </c>
      <c r="Z2247" s="4" t="str">
        <f>IFERROR(__xludf.DUMMYFUNCTION("""COMPUTED_VALUE"""),"3.8909881")</f>
        <v>3.8909881</v>
      </c>
      <c r="AA2247" s="4" t="str">
        <f t="shared" si="1"/>
        <v>Not Neighbor</v>
      </c>
      <c r="AC2247" s="4">
        <f>IFERROR(__xludf.DUMMYFUNCTION("IFERROR(ABS(O2247-AVERAGE(FILTER(O2247:O6315,AA2247:AA6315=""Neighbor""))) / STDEV(FILTER(O2247:O6315, AA2247:AA6315 =""Neighbor"")), """")"),1.4385408373774689)</f>
        <v>1.438540837</v>
      </c>
      <c r="AD2247" s="4">
        <f>IFERROR(__xludf.DUMMYFUNCTION("IFERROR(ABS(P2247-AVERAGE(FILTER(O2247:P6315,AA2247:AA6315=""Neighbor""))) / STDEV(FILTER(P2247:P6315, AA2247:AA6315 =""Neighbor"")), """")"),0.0709081167836125)</f>
        <v>0.07090811678</v>
      </c>
      <c r="AE2247" s="2">
        <f>IFERROR(__xludf.DUMMYFUNCTION("IFERROR(ABS(Q2247-AVERAGE(FILTER(Q2247:Q6315,AA2247:AA6315=""Neighbor""))) / STDEV(FILTER(Q2247:Q6315, AA2247:AA6315 =""Neighbor"")), """")"),0.9502041550149065)</f>
        <v>0.950204155</v>
      </c>
      <c r="AF2247" s="2">
        <f>IFERROR(__xludf.DUMMYFUNCTION("IFERROR(ABS(R2247-AVERAGE(FILTER(R2247:R6315,AA2247:AA6315=""Neighbor""))) / STDEV(FILTER(R2247:R6315, AA2247:AA6315 =""Neighbor"")), """")"),0.34663527967050006)</f>
        <v>0.3466352797</v>
      </c>
    </row>
    <row r="2248">
      <c r="A2248" s="2" t="s">
        <v>28</v>
      </c>
      <c r="B2248" s="2" t="s">
        <v>8911</v>
      </c>
      <c r="C2248" s="2" t="s">
        <v>9166</v>
      </c>
      <c r="D2248" s="2" t="s">
        <v>9211</v>
      </c>
      <c r="E2248" s="2" t="s">
        <v>9212</v>
      </c>
      <c r="F2248" s="2">
        <v>112.0</v>
      </c>
      <c r="G2248" s="2">
        <v>423.0</v>
      </c>
      <c r="H2248" s="2" t="b">
        <v>1</v>
      </c>
      <c r="I2248" s="2">
        <v>-1.0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s">
        <v>33</v>
      </c>
      <c r="O2248" s="2">
        <v>60.0</v>
      </c>
      <c r="P2248" s="2">
        <v>5.0</v>
      </c>
      <c r="Q2248" s="2">
        <v>41.0</v>
      </c>
      <c r="R2248" s="2">
        <v>0.0</v>
      </c>
      <c r="S2248" s="3" t="s">
        <v>9213</v>
      </c>
      <c r="T2248" s="2" t="s">
        <v>9214</v>
      </c>
      <c r="Y2248" s="4" t="str">
        <f>IFERROR(__xludf.DUMMYFUNCTION("""COMPUTED_VALUE"""),"6.7608769")</f>
        <v>6.7608769</v>
      </c>
      <c r="Z2248" s="4" t="str">
        <f>IFERROR(__xludf.DUMMYFUNCTION("""COMPUTED_VALUE"""),"3.9515009")</f>
        <v>3.9515009</v>
      </c>
      <c r="AA2248" s="4" t="str">
        <f t="shared" si="1"/>
        <v>Not Neighbor</v>
      </c>
      <c r="AC2248" s="4">
        <f>IFERROR(__xludf.DUMMYFUNCTION("IFERROR(ABS(O2248-AVERAGE(FILTER(O2248:O6316,AA2248:AA6316=""Neighbor""))) / STDEV(FILTER(O2248:O6316, AA2248:AA6316 =""Neighbor"")), """")"),0.22414022907726397)</f>
        <v>0.2241402291</v>
      </c>
      <c r="AD2248" s="4">
        <f>IFERROR(__xludf.DUMMYFUNCTION("IFERROR(ABS(P2248-AVERAGE(FILTER(O2248:P6316,AA2248:AA6316=""Neighbor""))) / STDEV(FILTER(P2248:P6316, AA2248:AA6316 =""Neighbor"")), """")"),1.3066850441765576)</f>
        <v>1.306685044</v>
      </c>
      <c r="AE2248" s="2">
        <f>IFERROR(__xludf.DUMMYFUNCTION("IFERROR(ABS(Q2248-AVERAGE(FILTER(Q2248:Q6316,AA2248:AA6316=""Neighbor""))) / STDEV(FILTER(Q2248:Q6316, AA2248:AA6316 =""Neighbor"")), """")"),1.102231536502557)</f>
        <v>1.102231537</v>
      </c>
      <c r="AF2248" s="2">
        <f>IFERROR(__xludf.DUMMYFUNCTION("IFERROR(ABS(R2248-AVERAGE(FILTER(R2248:R6316,AA2248:AA6316=""Neighbor""))) / STDEV(FILTER(R2248:R6316, AA2248:AA6316 =""Neighbor"")), """")"),0.34663527967050006)</f>
        <v>0.3466352797</v>
      </c>
    </row>
    <row r="2249">
      <c r="A2249" s="2" t="s">
        <v>28</v>
      </c>
      <c r="B2249" s="2" t="s">
        <v>8911</v>
      </c>
      <c r="C2249" s="2" t="s">
        <v>9166</v>
      </c>
      <c r="D2249" s="2" t="s">
        <v>9215</v>
      </c>
      <c r="E2249" s="2" t="s">
        <v>9216</v>
      </c>
      <c r="F2249" s="2">
        <v>100.0</v>
      </c>
      <c r="G2249" s="2">
        <v>643.0</v>
      </c>
      <c r="H2249" s="2" t="b">
        <v>1</v>
      </c>
      <c r="I2249" s="2">
        <v>-1.0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s">
        <v>33</v>
      </c>
      <c r="O2249" s="2">
        <v>55.0</v>
      </c>
      <c r="P2249" s="2">
        <v>22.0</v>
      </c>
      <c r="Q2249" s="2">
        <v>16.0</v>
      </c>
      <c r="R2249" s="2">
        <v>0.0</v>
      </c>
      <c r="S2249" s="3" t="s">
        <v>9217</v>
      </c>
      <c r="T2249" s="2" t="s">
        <v>9218</v>
      </c>
      <c r="Y2249" s="4" t="str">
        <f>IFERROR(__xludf.DUMMYFUNCTION("""COMPUTED_VALUE"""),"6.7000389")</f>
        <v>6.7000389</v>
      </c>
      <c r="Z2249" s="4" t="str">
        <f>IFERROR(__xludf.DUMMYFUNCTION("""COMPUTED_VALUE"""),"3.6154482")</f>
        <v>3.6154482</v>
      </c>
      <c r="AA2249" s="4" t="str">
        <f t="shared" si="1"/>
        <v>Not Neighbor</v>
      </c>
      <c r="AC2249" s="4">
        <f>IFERROR(__xludf.DUMMYFUNCTION("IFERROR(ABS(O2249-AVERAGE(FILTER(O2249:O6317,AA2249:AA6317=""Neighbor""))) / STDEV(FILTER(O2249:O6317, AA2249:AA6317 =""Neighbor"")), """")"),0.08558347353936957)</f>
        <v>0.08558347354</v>
      </c>
      <c r="AD2249" s="4">
        <f>IFERROR(__xludf.DUMMYFUNCTION("IFERROR(ABS(P2249-AVERAGE(FILTER(O2249:P6317,AA2249:AA6317=""Neighbor""))) / STDEV(FILTER(P2249:P6317, AA2249:AA6317 =""Neighbor"")), """")"),0.5512307301016257)</f>
        <v>0.5512307301</v>
      </c>
      <c r="AE2249" s="2">
        <f>IFERROR(__xludf.DUMMYFUNCTION("IFERROR(ABS(Q2249-AVERAGE(FILTER(Q2249:Q6317,AA2249:AA6317=""Neighbor""))) / STDEV(FILTER(Q2249:Q6317, AA2249:AA6317 =""Neighbor"")), """")"),0.1492536412519939)</f>
        <v>0.1492536413</v>
      </c>
      <c r="AF2249" s="2">
        <f>IFERROR(__xludf.DUMMYFUNCTION("IFERROR(ABS(R2249-AVERAGE(FILTER(R2249:R6317,AA2249:AA6317=""Neighbor""))) / STDEV(FILTER(R2249:R6317, AA2249:AA6317 =""Neighbor"")), """")"),0.34663527967050006)</f>
        <v>0.3466352797</v>
      </c>
    </row>
    <row r="2250">
      <c r="A2250" s="2" t="s">
        <v>28</v>
      </c>
      <c r="B2250" s="2" t="s">
        <v>8911</v>
      </c>
      <c r="C2250" s="2" t="s">
        <v>9166</v>
      </c>
      <c r="D2250" s="2" t="s">
        <v>9219</v>
      </c>
      <c r="E2250" s="2" t="s">
        <v>9220</v>
      </c>
      <c r="F2250" s="2">
        <v>47.0</v>
      </c>
      <c r="G2250" s="2">
        <v>319.0</v>
      </c>
      <c r="H2250" s="2" t="b">
        <v>1</v>
      </c>
      <c r="I2250" s="2">
        <v>-1.0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s">
        <v>33</v>
      </c>
      <c r="O2250" s="2">
        <v>20.0</v>
      </c>
      <c r="P2250" s="2">
        <v>12.0</v>
      </c>
      <c r="Q2250" s="2">
        <v>13.0</v>
      </c>
      <c r="R2250" s="2">
        <v>0.0</v>
      </c>
      <c r="S2250" s="3" t="s">
        <v>9221</v>
      </c>
      <c r="T2250" s="2" t="s">
        <v>9222</v>
      </c>
      <c r="Y2250" s="4" t="str">
        <f>IFERROR(__xludf.DUMMYFUNCTION("""COMPUTED_VALUE"""),"6.7927597")</f>
        <v>6.7927597</v>
      </c>
      <c r="Z2250" s="4" t="str">
        <f>IFERROR(__xludf.DUMMYFUNCTION("""COMPUTED_VALUE"""),"3.8909881")</f>
        <v>3.8909881</v>
      </c>
      <c r="AA2250" s="4" t="str">
        <f t="shared" si="1"/>
        <v>Not Neighbor</v>
      </c>
      <c r="AC2250" s="4">
        <f>IFERROR(__xludf.DUMMYFUNCTION("IFERROR(ABS(O2250-AVERAGE(FILTER(O2250:O6318,AA2250:AA6318=""Neighbor""))) / STDEV(FILTER(O2250:O6318, AA2250:AA6318 =""Neighbor"")), """")"),0.8843138152258913)</f>
        <v>0.8843138152</v>
      </c>
      <c r="AD2250" s="4">
        <f>IFERROR(__xludf.DUMMYFUNCTION("IFERROR(ABS(P2250-AVERAGE(FILTER(O2250:P6318,AA2250:AA6318=""Neighbor""))) / STDEV(FILTER(P2250:P6318, AA2250:AA6318 =""Neighbor"")), """")"),0.9956156207339386)</f>
        <v>0.9956156207</v>
      </c>
      <c r="AE2250" s="2">
        <f>IFERROR(__xludf.DUMMYFUNCTION("IFERROR(ABS(Q2250-AVERAGE(FILTER(Q2250:Q6318,AA2250:AA6318=""Neighbor""))) / STDEV(FILTER(Q2250:Q6318, AA2250:AA6318 =""Neighbor"")), """")"),0.29943186258254)</f>
        <v>0.2994318626</v>
      </c>
      <c r="AF2250" s="2">
        <f>IFERROR(__xludf.DUMMYFUNCTION("IFERROR(ABS(R2250-AVERAGE(FILTER(R2250:R6318,AA2250:AA6318=""Neighbor""))) / STDEV(FILTER(R2250:R6318, AA2250:AA6318 =""Neighbor"")), """")"),0.34663527967050006)</f>
        <v>0.3466352797</v>
      </c>
    </row>
    <row r="2251">
      <c r="A2251" s="2" t="s">
        <v>28</v>
      </c>
      <c r="B2251" s="2" t="s">
        <v>8911</v>
      </c>
      <c r="C2251" s="2" t="s">
        <v>9223</v>
      </c>
      <c r="D2251" s="2" t="s">
        <v>9224</v>
      </c>
      <c r="E2251" s="2" t="s">
        <v>9225</v>
      </c>
      <c r="F2251" s="2">
        <v>221.0</v>
      </c>
      <c r="G2251" s="2">
        <v>729.0</v>
      </c>
      <c r="H2251" s="2" t="b">
        <v>1</v>
      </c>
      <c r="I2251" s="2">
        <v>-1.0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s">
        <v>33</v>
      </c>
      <c r="O2251" s="2">
        <v>136.0</v>
      </c>
      <c r="P2251" s="2">
        <v>13.0</v>
      </c>
      <c r="Q2251" s="2">
        <v>59.0</v>
      </c>
      <c r="R2251" s="2">
        <v>0.0</v>
      </c>
      <c r="S2251" s="3" t="s">
        <v>9226</v>
      </c>
      <c r="T2251" s="2" t="s">
        <v>9227</v>
      </c>
      <c r="Y2251" s="4" t="str">
        <f>IFERROR(__xludf.DUMMYFUNCTION("""COMPUTED_VALUE"""),"6.7541267")</f>
        <v>6.7541267</v>
      </c>
      <c r="Z2251" s="4" t="str">
        <f>IFERROR(__xludf.DUMMYFUNCTION("""COMPUTED_VALUE"""),"3.8769847")</f>
        <v>3.8769847</v>
      </c>
      <c r="AA2251" s="4" t="str">
        <f t="shared" si="1"/>
        <v>Not Neighbor</v>
      </c>
      <c r="AC2251" s="4">
        <f>IFERROR(__xludf.DUMMYFUNCTION("IFERROR(ABS(O2251-AVERAGE(FILTER(O2251:O6319,AA2251:AA6319=""Neighbor""))) / STDEV(FILTER(O2251:O6319, AA2251:AA6319 =""Neighbor"")), """")"),2.3302029132532587)</f>
        <v>2.330202913</v>
      </c>
      <c r="AD2251" s="4">
        <f>IFERROR(__xludf.DUMMYFUNCTION("IFERROR(ABS(P2251-AVERAGE(FILTER(O2251:P6319,AA2251:AA6319=""Neighbor""))) / STDEV(FILTER(P2251:P6319, AA2251:AA6319 =""Neighbor"")), """")"),0.9511771316707074)</f>
        <v>0.9511771317</v>
      </c>
      <c r="AE2251" s="2">
        <f>IFERROR(__xludf.DUMMYFUNCTION("IFERROR(ABS(Q2251-AVERAGE(FILTER(Q2251:Q6319,AA2251:AA6319=""Neighbor""))) / STDEV(FILTER(Q2251:Q6319, AA2251:AA6319 =""Neighbor"")), """")"),2.0033008644858334)</f>
        <v>2.003300864</v>
      </c>
      <c r="AF2251" s="2">
        <f>IFERROR(__xludf.DUMMYFUNCTION("IFERROR(ABS(R2251-AVERAGE(FILTER(R2251:R6319,AA2251:AA6319=""Neighbor""))) / STDEV(FILTER(R2251:R6319, AA2251:AA6319 =""Neighbor"")), """")"),0.34663527967050006)</f>
        <v>0.3466352797</v>
      </c>
    </row>
    <row r="2252">
      <c r="A2252" s="2" t="s">
        <v>28</v>
      </c>
      <c r="B2252" s="2" t="s">
        <v>8911</v>
      </c>
      <c r="C2252" s="2" t="s">
        <v>9223</v>
      </c>
      <c r="D2252" s="2" t="s">
        <v>9228</v>
      </c>
      <c r="E2252" s="2" t="s">
        <v>9229</v>
      </c>
      <c r="F2252" s="2">
        <v>161.0</v>
      </c>
      <c r="G2252" s="2">
        <v>471.0</v>
      </c>
      <c r="H2252" s="2" t="b">
        <v>1</v>
      </c>
      <c r="I2252" s="2">
        <v>-1.0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s">
        <v>33</v>
      </c>
      <c r="O2252" s="2">
        <v>79.0</v>
      </c>
      <c r="P2252" s="2">
        <v>6.0</v>
      </c>
      <c r="Q2252" s="2">
        <v>70.0</v>
      </c>
      <c r="R2252" s="2">
        <v>0.0</v>
      </c>
      <c r="S2252" s="3" t="s">
        <v>9230</v>
      </c>
      <c r="T2252" s="2" t="s">
        <v>9231</v>
      </c>
      <c r="Y2252" s="4" t="str">
        <f>IFERROR(__xludf.DUMMYFUNCTION("""COMPUTED_VALUE"""),"6.6981745")</f>
        <v>6.6981745</v>
      </c>
      <c r="Z2252" s="4" t="str">
        <f>IFERROR(__xludf.DUMMYFUNCTION("""COMPUTED_VALUE"""),"3.8617127")</f>
        <v>3.8617127</v>
      </c>
      <c r="AA2252" s="4" t="str">
        <f t="shared" si="1"/>
        <v>Neighbor</v>
      </c>
      <c r="AC2252" s="4">
        <f>IFERROR(__xludf.DUMMYFUNCTION("IFERROR(ABS(O2252-AVERAGE(FILTER(O2252:O6320,AA2252:AA6320=""Neighbor""))) / STDEV(FILTER(O2252:O6320, AA2252:AA6320 =""Neighbor"")), """")"),0.7506559001212627)</f>
        <v>0.7506559001</v>
      </c>
      <c r="AD2252" s="4">
        <f>IFERROR(__xludf.DUMMYFUNCTION("IFERROR(ABS(P2252-AVERAGE(FILTER(O2252:P6320,AA2252:AA6320=""Neighbor""))) / STDEV(FILTER(P2252:P6320, AA2252:AA6320 =""Neighbor"")), """")"),1.2622465551133264)</f>
        <v>1.262246555</v>
      </c>
      <c r="AE2252" s="2">
        <f>IFERROR(__xludf.DUMMYFUNCTION("IFERROR(ABS(Q2252-AVERAGE(FILTER(Q2252:Q6320,AA2252:AA6320=""Neighbor""))) / STDEV(FILTER(Q2252:Q6320, AA2252:AA6320 =""Neighbor"")), """")"),2.553954342697836)</f>
        <v>2.553954343</v>
      </c>
      <c r="AF2252" s="2">
        <f>IFERROR(__xludf.DUMMYFUNCTION("IFERROR(ABS(R2252-AVERAGE(FILTER(R2252:R6320,AA2252:AA6320=""Neighbor""))) / STDEV(FILTER(R2252:R6320, AA2252:AA6320 =""Neighbor"")), """")"),0.34663527967050006)</f>
        <v>0.3466352797</v>
      </c>
    </row>
    <row r="2253">
      <c r="A2253" s="2" t="s">
        <v>28</v>
      </c>
      <c r="B2253" s="2" t="s">
        <v>8911</v>
      </c>
      <c r="C2253" s="2" t="s">
        <v>9223</v>
      </c>
      <c r="D2253" s="2" t="s">
        <v>9232</v>
      </c>
      <c r="E2253" s="2" t="s">
        <v>9233</v>
      </c>
      <c r="F2253" s="2">
        <v>130.0</v>
      </c>
      <c r="G2253" s="2">
        <v>620.0</v>
      </c>
      <c r="H2253" s="2" t="b">
        <v>1</v>
      </c>
      <c r="I2253" s="2">
        <v>-1.0</v>
      </c>
      <c r="J2253" s="2" t="b">
        <v>0</v>
      </c>
      <c r="K2253" s="2" t="b">
        <v>0</v>
      </c>
      <c r="L2253" s="2" t="b">
        <v>0</v>
      </c>
      <c r="M2253" s="2" t="b">
        <v>0</v>
      </c>
      <c r="N2253" s="2" t="s">
        <v>33</v>
      </c>
      <c r="O2253" s="2">
        <v>82.0</v>
      </c>
      <c r="P2253" s="2">
        <v>9.0</v>
      </c>
      <c r="Q2253" s="2">
        <v>30.0</v>
      </c>
      <c r="R2253" s="2">
        <v>0.0</v>
      </c>
      <c r="S2253" s="3" t="s">
        <v>9234</v>
      </c>
      <c r="T2253" s="2" t="s">
        <v>9235</v>
      </c>
      <c r="Y2253" s="4" t="str">
        <f>IFERROR(__xludf.DUMMYFUNCTION("""COMPUTED_VALUE"""),"6.6981745")</f>
        <v>6.6981745</v>
      </c>
      <c r="Z2253" s="4" t="str">
        <f>IFERROR(__xludf.DUMMYFUNCTION("""COMPUTED_VALUE"""),"3.8617127")</f>
        <v>3.8617127</v>
      </c>
      <c r="AA2253" s="4" t="str">
        <f t="shared" si="1"/>
        <v>Not Neighbor</v>
      </c>
      <c r="AC2253" s="4">
        <f>IFERROR(__xludf.DUMMYFUNCTION("IFERROR(ABS(O2253-AVERAGE(FILTER(O2253:O6321,AA2253:AA6321=""Neighbor""))) / STDEV(FILTER(O2253:O6321, AA2253:AA6321 =""Neighbor"")), """")"),0.8345410856220367)</f>
        <v>0.8345410856</v>
      </c>
      <c r="AD2253" s="4">
        <f>IFERROR(__xludf.DUMMYFUNCTION("IFERROR(ABS(P2253-AVERAGE(FILTER(O2253:P6321,AA2253:AA6321=""Neighbor""))) / STDEV(FILTER(P2253:P6321, AA2253:AA6321 =""Neighbor"")), """")"),1.1278851910073662)</f>
        <v>1.127885191</v>
      </c>
      <c r="AE2253" s="2">
        <f>IFERROR(__xludf.DUMMYFUNCTION("IFERROR(ABS(Q2253-AVERAGE(FILTER(Q2253:Q6321,AA2253:AA6321=""Neighbor""))) / STDEV(FILTER(Q2253:Q6321, AA2253:AA6321 =""Neighbor"")), """")"),0.5569932126232092)</f>
        <v>0.5569932126</v>
      </c>
      <c r="AF2253" s="2">
        <f>IFERROR(__xludf.DUMMYFUNCTION("IFERROR(ABS(R2253-AVERAGE(FILTER(R2253:R6321,AA2253:AA6321=""Neighbor""))) / STDEV(FILTER(R2253:R6321, AA2253:AA6321 =""Neighbor"")), """")"),0.34689142265632045)</f>
        <v>0.3468914227</v>
      </c>
    </row>
    <row r="2254">
      <c r="A2254" s="2" t="s">
        <v>28</v>
      </c>
      <c r="B2254" s="2" t="s">
        <v>8911</v>
      </c>
      <c r="C2254" s="2" t="s">
        <v>9223</v>
      </c>
      <c r="D2254" s="2" t="s">
        <v>9236</v>
      </c>
      <c r="E2254" s="2" t="s">
        <v>9237</v>
      </c>
      <c r="F2254" s="2">
        <v>216.0</v>
      </c>
      <c r="G2254" s="2">
        <v>678.0</v>
      </c>
      <c r="H2254" s="2" t="b">
        <v>1</v>
      </c>
      <c r="I2254" s="2">
        <v>-1.0</v>
      </c>
      <c r="J2254" s="2" t="b">
        <v>0</v>
      </c>
      <c r="K2254" s="2" t="b">
        <v>0</v>
      </c>
      <c r="L2254" s="2" t="b">
        <v>0</v>
      </c>
      <c r="M2254" s="2" t="b">
        <v>0</v>
      </c>
      <c r="N2254" s="2" t="s">
        <v>33</v>
      </c>
      <c r="O2254" s="2">
        <v>111.0</v>
      </c>
      <c r="P2254" s="2">
        <v>13.0</v>
      </c>
      <c r="Q2254" s="2">
        <v>84.0</v>
      </c>
      <c r="R2254" s="2">
        <v>0.0</v>
      </c>
      <c r="S2254" s="3" t="s">
        <v>9238</v>
      </c>
      <c r="T2254" s="2" t="s">
        <v>9239</v>
      </c>
      <c r="Y2254" s="4" t="str">
        <f>IFERROR(__xludf.DUMMYFUNCTION("""COMPUTED_VALUE"""),"6.7286442")</f>
        <v>6.7286442</v>
      </c>
      <c r="Z2254" s="4" t="str">
        <f>IFERROR(__xludf.DUMMYFUNCTION("""COMPUTED_VALUE"""),"3.8909881")</f>
        <v>3.8909881</v>
      </c>
      <c r="AA2254" s="4" t="str">
        <f t="shared" si="1"/>
        <v>Not Neighbor</v>
      </c>
      <c r="AC2254" s="4">
        <f>IFERROR(__xludf.DUMMYFUNCTION("IFERROR(ABS(O2254-AVERAGE(FILTER(O2254:O6322,AA2254:AA6322=""Neighbor""))) / STDEV(FILTER(O2254:O6322, AA2254:AA6322 =""Neighbor"")), """")"),1.6379387550072573)</f>
        <v>1.637938755</v>
      </c>
      <c r="AD2254" s="4">
        <f>IFERROR(__xludf.DUMMYFUNCTION("IFERROR(ABS(P2254-AVERAGE(FILTER(O2254:P6322,AA2254:AA6322=""Neighbor""))) / STDEV(FILTER(P2254:P6322, AA2254:AA6322 =""Neighbor"")), """")"),0.9502211240890753)</f>
        <v>0.9502211241</v>
      </c>
      <c r="AE2254" s="2">
        <f>IFERROR(__xludf.DUMMYFUNCTION("IFERROR(ABS(Q2254-AVERAGE(FILTER(Q2254:Q6322,AA2254:AA6322=""Neighbor""))) / STDEV(FILTER(Q2254:Q6322, AA2254:AA6322 =""Neighbor"")), """")"),3.270144850565481)</f>
        <v>3.270144851</v>
      </c>
      <c r="AF2254" s="2">
        <f>IFERROR(__xludf.DUMMYFUNCTION("IFERROR(ABS(R2254-AVERAGE(FILTER(R2254:R6322,AA2254:AA6322=""Neighbor""))) / STDEV(FILTER(R2254:R6322, AA2254:AA6322 =""Neighbor"")), """")"),0.34689142265632045)</f>
        <v>0.3468914227</v>
      </c>
    </row>
    <row r="2255">
      <c r="A2255" s="2" t="s">
        <v>28</v>
      </c>
      <c r="B2255" s="2" t="s">
        <v>8911</v>
      </c>
      <c r="C2255" s="2" t="s">
        <v>9223</v>
      </c>
      <c r="D2255" s="2" t="s">
        <v>9240</v>
      </c>
      <c r="E2255" s="2" t="s">
        <v>9241</v>
      </c>
      <c r="F2255" s="2">
        <v>79.0</v>
      </c>
      <c r="G2255" s="2">
        <v>327.0</v>
      </c>
      <c r="H2255" s="2" t="b">
        <v>1</v>
      </c>
      <c r="I2255" s="2">
        <v>-1.0</v>
      </c>
      <c r="J2255" s="2" t="b">
        <v>1</v>
      </c>
      <c r="K2255" s="2" t="b">
        <v>0</v>
      </c>
      <c r="L2255" s="2" t="b">
        <v>0</v>
      </c>
      <c r="M2255" s="2" t="b">
        <v>0</v>
      </c>
      <c r="N2255" s="2" t="s">
        <v>33</v>
      </c>
      <c r="O2255" s="2">
        <v>55.0</v>
      </c>
      <c r="P2255" s="2">
        <v>1.0</v>
      </c>
      <c r="Q2255" s="2">
        <v>20.0</v>
      </c>
      <c r="R2255" s="2">
        <v>0.0</v>
      </c>
      <c r="S2255" s="3" t="s">
        <v>9242</v>
      </c>
      <c r="T2255" s="2" t="s">
        <v>9243</v>
      </c>
      <c r="Y2255" s="4" t="str">
        <f>IFERROR(__xludf.DUMMYFUNCTION("""COMPUTED_VALUE"""),"6.7541267")</f>
        <v>6.7541267</v>
      </c>
      <c r="Z2255" s="4" t="str">
        <f>IFERROR(__xludf.DUMMYFUNCTION("""COMPUTED_VALUE"""),"3.8769847")</f>
        <v>3.8769847</v>
      </c>
      <c r="AA2255" s="4" t="str">
        <f t="shared" si="1"/>
        <v>Not Neighbor</v>
      </c>
      <c r="AC2255" s="4">
        <f>IFERROR(__xludf.DUMMYFUNCTION("IFERROR(ABS(O2255-AVERAGE(FILTER(O2255:O6323,AA2255:AA6323=""Neighbor""))) / STDEV(FILTER(O2255:O6323, AA2255:AA6323 =""Neighbor"")), """")"),0.08655015205648636)</f>
        <v>0.08655015206</v>
      </c>
      <c r="AD2255" s="4">
        <f>IFERROR(__xludf.DUMMYFUNCTION("IFERROR(ABS(P2255-AVERAGE(FILTER(O2255:P6323,AA2255:AA6323=""Neighbor""))) / STDEV(FILTER(P2255:P6323, AA2255:AA6323 =""Neighbor"")), """")"),1.4832133248439479)</f>
        <v>1.483213325</v>
      </c>
      <c r="AE2255" s="2">
        <f>IFERROR(__xludf.DUMMYFUNCTION("IFERROR(ABS(Q2255-AVERAGE(FILTER(Q2255:Q6323,AA2255:AA6323=""Neighbor""))) / STDEV(FILTER(Q2255:Q6323, AA2255:AA6323 =""Neighbor"")), """")"),0.05455772411538114)</f>
        <v>0.05455772412</v>
      </c>
      <c r="AF2255" s="2">
        <f>IFERROR(__xludf.DUMMYFUNCTION("IFERROR(ABS(R2255-AVERAGE(FILTER(R2255:R6323,AA2255:AA6323=""Neighbor""))) / STDEV(FILTER(R2255:R6323, AA2255:AA6323 =""Neighbor"")), """")"),0.34689142265632045)</f>
        <v>0.3468914227</v>
      </c>
    </row>
    <row r="2256">
      <c r="A2256" s="2" t="s">
        <v>28</v>
      </c>
      <c r="B2256" s="2" t="s">
        <v>8911</v>
      </c>
      <c r="C2256" s="2" t="s">
        <v>9244</v>
      </c>
      <c r="D2256" s="2" t="s">
        <v>9245</v>
      </c>
      <c r="E2256" s="2" t="s">
        <v>9246</v>
      </c>
      <c r="F2256" s="2">
        <v>158.0</v>
      </c>
      <c r="G2256" s="2">
        <v>750.0</v>
      </c>
      <c r="H2256" s="2" t="b">
        <v>1</v>
      </c>
      <c r="I2256" s="2">
        <v>-1.0</v>
      </c>
      <c r="J2256" s="2" t="b">
        <v>0</v>
      </c>
      <c r="K2256" s="2" t="b">
        <v>0</v>
      </c>
      <c r="L2256" s="2" t="b">
        <v>0</v>
      </c>
      <c r="M2256" s="2" t="b">
        <v>0</v>
      </c>
      <c r="N2256" s="2" t="s">
        <v>33</v>
      </c>
      <c r="O2256" s="2">
        <v>75.0</v>
      </c>
      <c r="P2256" s="2">
        <v>8.0</v>
      </c>
      <c r="Q2256" s="2">
        <v>69.0</v>
      </c>
      <c r="R2256" s="2">
        <v>0.0</v>
      </c>
      <c r="S2256" s="3" t="s">
        <v>9247</v>
      </c>
      <c r="T2256" s="2" t="s">
        <v>9248</v>
      </c>
      <c r="Y2256" s="4" t="str">
        <f>IFERROR(__xludf.DUMMYFUNCTION("""COMPUTED_VALUE"""),"6.7289648")</f>
        <v>6.7289648</v>
      </c>
      <c r="Z2256" s="4" t="str">
        <f>IFERROR(__xludf.DUMMYFUNCTION("""COMPUTED_VALUE"""),"3.8502617")</f>
        <v>3.8502617</v>
      </c>
      <c r="AA2256" s="4" t="str">
        <f t="shared" si="1"/>
        <v>Not Neighbor</v>
      </c>
      <c r="AC2256" s="4">
        <f>IFERROR(__xludf.DUMMYFUNCTION("IFERROR(ABS(O2256-AVERAGE(FILTER(O2256:O6324,AA2256:AA6324=""Neighbor""))) / STDEV(FILTER(O2256:O6324, AA2256:AA6324 =""Neighbor"")), """")"),0.6406175102531902)</f>
        <v>0.6406175103</v>
      </c>
      <c r="AD2256" s="4">
        <f>IFERROR(__xludf.DUMMYFUNCTION("IFERROR(ABS(P2256-AVERAGE(FILTER(O2256:P6324,AA2256:AA6324=""Neighbor""))) / STDEV(FILTER(P2256:P6324, AA2256:AA6324 =""Neighbor"")), """")"),1.1723012077369388)</f>
        <v>1.172301208</v>
      </c>
      <c r="AE2256" s="2">
        <f>IFERROR(__xludf.DUMMYFUNCTION("IFERROR(ABS(Q2256-AVERAGE(FILTER(Q2256:Q6324,AA2256:AA6324=""Neighbor""))) / STDEV(FILTER(Q2256:Q6324, AA2256:AA6324 =""Neighbor"")), """")"),2.5164916178037386)</f>
        <v>2.516491618</v>
      </c>
      <c r="AF2256" s="2">
        <f>IFERROR(__xludf.DUMMYFUNCTION("IFERROR(ABS(R2256-AVERAGE(FILTER(R2256:R6324,AA2256:AA6324=""Neighbor""))) / STDEV(FILTER(R2256:R6324, AA2256:AA6324 =""Neighbor"")), """")"),0.34689142265632045)</f>
        <v>0.3468914227</v>
      </c>
    </row>
    <row r="2257">
      <c r="A2257" s="2" t="s">
        <v>28</v>
      </c>
      <c r="B2257" s="2" t="s">
        <v>8911</v>
      </c>
      <c r="C2257" s="2" t="s">
        <v>9244</v>
      </c>
      <c r="D2257" s="2" t="s">
        <v>9249</v>
      </c>
      <c r="E2257" s="2" t="s">
        <v>9250</v>
      </c>
      <c r="F2257" s="2">
        <v>141.0</v>
      </c>
      <c r="G2257" s="2">
        <v>520.0</v>
      </c>
      <c r="H2257" s="2" t="b">
        <v>1</v>
      </c>
      <c r="I2257" s="2">
        <v>-1.0</v>
      </c>
      <c r="J2257" s="2" t="b">
        <v>0</v>
      </c>
      <c r="K2257" s="2" t="b">
        <v>0</v>
      </c>
      <c r="L2257" s="2" t="b">
        <v>0</v>
      </c>
      <c r="M2257" s="2" t="b">
        <v>0</v>
      </c>
      <c r="N2257" s="2" t="s">
        <v>33</v>
      </c>
      <c r="O2257" s="2">
        <v>51.0</v>
      </c>
      <c r="P2257" s="2">
        <v>18.0</v>
      </c>
      <c r="Q2257" s="2">
        <v>58.0</v>
      </c>
      <c r="R2257" s="2">
        <v>0.0</v>
      </c>
      <c r="S2257" s="3" t="s">
        <v>9251</v>
      </c>
      <c r="T2257" s="2" t="s">
        <v>9252</v>
      </c>
      <c r="Y2257" s="4" t="str">
        <f>IFERROR(__xludf.DUMMYFUNCTION("""COMPUTED_VALUE"""),"6.7500967")</f>
        <v>6.7500967</v>
      </c>
      <c r="Z2257" s="4" t="str">
        <f>IFERROR(__xludf.DUMMYFUNCTION("""COMPUTED_VALUE"""),"3.9218726")</f>
        <v>3.9218726</v>
      </c>
      <c r="AA2257" s="4" t="str">
        <f t="shared" si="1"/>
        <v>Not Neighbor</v>
      </c>
      <c r="AC2257" s="4">
        <f>IFERROR(__xludf.DUMMYFUNCTION("IFERROR(ABS(O2257-AVERAGE(FILTER(O2257:O6325,AA2257:AA6325=""Neighbor""))) / STDEV(FILTER(O2257:O6325, AA2257:AA6325 =""Neighbor"")), """")"),0.02426331958285442)</f>
        <v>0.02426331958</v>
      </c>
      <c r="AD2257" s="4">
        <f>IFERROR(__xludf.DUMMYFUNCTION("IFERROR(ABS(P2257-AVERAGE(FILTER(O2257:P6325,AA2257:AA6325=""Neighbor""))) / STDEV(FILTER(P2257:P6325, AA2257:AA6325 =""Neighbor"")), """")"),0.7281410404412118)</f>
        <v>0.7281410404</v>
      </c>
      <c r="AE2257" s="2">
        <f>IFERROR(__xludf.DUMMYFUNCTION("IFERROR(ABS(Q2257-AVERAGE(FILTER(Q2257:Q6325,AA2257:AA6325=""Neighbor""))) / STDEV(FILTER(Q2257:Q6325, AA2257:AA6325 =""Neighbor"")), """")"),1.9638125804451279)</f>
        <v>1.96381258</v>
      </c>
      <c r="AF2257" s="2">
        <f>IFERROR(__xludf.DUMMYFUNCTION("IFERROR(ABS(R2257-AVERAGE(FILTER(R2257:R6325,AA2257:AA6325=""Neighbor""))) / STDEV(FILTER(R2257:R6325, AA2257:AA6325 =""Neighbor"")), """")"),0.34689142265632045)</f>
        <v>0.3468914227</v>
      </c>
    </row>
    <row r="2258">
      <c r="A2258" s="2" t="s">
        <v>28</v>
      </c>
      <c r="B2258" s="2" t="s">
        <v>8911</v>
      </c>
      <c r="C2258" s="2" t="s">
        <v>9244</v>
      </c>
      <c r="D2258" s="2" t="s">
        <v>9253</v>
      </c>
      <c r="E2258" s="2" t="s">
        <v>9254</v>
      </c>
      <c r="F2258" s="2">
        <v>85.0</v>
      </c>
      <c r="G2258" s="2">
        <v>367.0</v>
      </c>
      <c r="H2258" s="2" t="b">
        <v>1</v>
      </c>
      <c r="I2258" s="2">
        <v>-1.0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s">
        <v>33</v>
      </c>
      <c r="O2258" s="2">
        <v>48.0</v>
      </c>
      <c r="P2258" s="2">
        <v>2.0</v>
      </c>
      <c r="Q2258" s="2">
        <v>32.0</v>
      </c>
      <c r="R2258" s="2">
        <v>0.0</v>
      </c>
      <c r="S2258" s="3" t="s">
        <v>9255</v>
      </c>
      <c r="T2258" s="2" t="s">
        <v>9256</v>
      </c>
      <c r="Y2258" s="4" t="str">
        <f>IFERROR(__xludf.DUMMYFUNCTION("""COMPUTED_VALUE"""),"6.7272685")</f>
        <v>6.7272685</v>
      </c>
      <c r="Z2258" s="4" t="str">
        <f>IFERROR(__xludf.DUMMYFUNCTION("""COMPUTED_VALUE"""),"3.8537603")</f>
        <v>3.8537603</v>
      </c>
      <c r="AA2258" s="4" t="str">
        <f t="shared" si="1"/>
        <v>Not Neighbor</v>
      </c>
      <c r="AC2258" s="4">
        <f>IFERROR(__xludf.DUMMYFUNCTION("IFERROR(ABS(O2258-AVERAGE(FILTER(O2258:O6326,AA2258:AA6326=""Neighbor""))) / STDEV(FILTER(O2258:O6326, AA2258:AA6326 =""Neighbor"")), """")"),0.10737342331236001)</f>
        <v>0.1073734233</v>
      </c>
      <c r="AD2258" s="4">
        <f>IFERROR(__xludf.DUMMYFUNCTION("IFERROR(ABS(P2258-AVERAGE(FILTER(O2258:P6326,AA2258:AA6326=""Neighbor""))) / STDEV(FILTER(P2258:P6326, AA2258:AA6326 =""Neighbor"")), """")"),1.438797308114375)</f>
        <v>1.438797308</v>
      </c>
      <c r="AE2258" s="2">
        <f>IFERROR(__xludf.DUMMYFUNCTION("IFERROR(ABS(Q2258-AVERAGE(FILTER(Q2258:Q6326,AA2258:AA6326=""Neighbor""))) / STDEV(FILTER(Q2258:Q6326, AA2258:AA6326 =""Neighbor"")), """")"),0.6574803103247748)</f>
        <v>0.6574803103</v>
      </c>
      <c r="AF2258" s="2">
        <f>IFERROR(__xludf.DUMMYFUNCTION("IFERROR(ABS(R2258-AVERAGE(FILTER(R2258:R6326,AA2258:AA6326=""Neighbor""))) / STDEV(FILTER(R2258:R6326, AA2258:AA6326 =""Neighbor"")), """")"),0.34689142265632045)</f>
        <v>0.3468914227</v>
      </c>
    </row>
    <row r="2259">
      <c r="A2259" s="2" t="s">
        <v>28</v>
      </c>
      <c r="B2259" s="2" t="s">
        <v>8911</v>
      </c>
      <c r="C2259" s="2" t="s">
        <v>9257</v>
      </c>
      <c r="D2259" s="2" t="s">
        <v>9258</v>
      </c>
      <c r="E2259" s="2" t="s">
        <v>9259</v>
      </c>
      <c r="F2259" s="2">
        <v>128.0</v>
      </c>
      <c r="G2259" s="2">
        <v>832.0</v>
      </c>
      <c r="H2259" s="2" t="b">
        <v>1</v>
      </c>
      <c r="I2259" s="2">
        <v>-1.0</v>
      </c>
      <c r="J2259" s="2" t="b">
        <v>1</v>
      </c>
      <c r="K2259" s="2" t="b">
        <v>0</v>
      </c>
      <c r="L2259" s="2" t="b">
        <v>0</v>
      </c>
      <c r="M2259" s="2" t="b">
        <v>0</v>
      </c>
      <c r="N2259" s="2" t="s">
        <v>33</v>
      </c>
      <c r="O2259" s="2">
        <v>95.0</v>
      </c>
      <c r="P2259" s="2">
        <v>7.0</v>
      </c>
      <c r="Q2259" s="2">
        <v>19.0</v>
      </c>
      <c r="R2259" s="2">
        <v>0.0</v>
      </c>
      <c r="S2259" s="3" t="s">
        <v>9260</v>
      </c>
      <c r="T2259" s="2" t="s">
        <v>9261</v>
      </c>
      <c r="Y2259" s="4" t="str">
        <f>IFERROR(__xludf.DUMMYFUNCTION("""COMPUTED_VALUE"""),"6.6870706")</f>
        <v>6.6870706</v>
      </c>
      <c r="Z2259" s="4" t="str">
        <f>IFERROR(__xludf.DUMMYFUNCTION("""COMPUTED_VALUE"""),"3.8630247")</f>
        <v>3.8630247</v>
      </c>
      <c r="AA2259" s="4" t="str">
        <f t="shared" si="1"/>
        <v>Neighbor</v>
      </c>
      <c r="AC2259" s="4">
        <f>IFERROR(__xludf.DUMMYFUNCTION("IFERROR(ABS(O2259-AVERAGE(FILTER(O2259:O6327,AA2259:AA6327=""Neighbor""))) / STDEV(FILTER(O2259:O6327, AA2259:AA6327 =""Neighbor"")), """")"),1.194684868449894)</f>
        <v>1.194684868</v>
      </c>
      <c r="AD2259" s="4">
        <f>IFERROR(__xludf.DUMMYFUNCTION("IFERROR(ABS(P2259-AVERAGE(FILTER(O2259:P6327,AA2259:AA6327=""Neighbor""))) / STDEV(FILTER(P2259:P6327, AA2259:AA6327 =""Neighbor"")), """")"),1.2167172244665116)</f>
        <v>1.216717224</v>
      </c>
      <c r="AE2259" s="2">
        <f>IFERROR(__xludf.DUMMYFUNCTION("IFERROR(ABS(Q2259-AVERAGE(FILTER(Q2259:Q6327,AA2259:AA6327=""Neighbor""))) / STDEV(FILTER(Q2259:Q6327, AA2259:AA6327 =""Neighbor"")), """")"),0.004314175264598327)</f>
        <v>0.004314175265</v>
      </c>
      <c r="AF2259" s="2">
        <f>IFERROR(__xludf.DUMMYFUNCTION("IFERROR(ABS(R2259-AVERAGE(FILTER(R2259:R6327,AA2259:AA6327=""Neighbor""))) / STDEV(FILTER(R2259:R6327, AA2259:AA6327 =""Neighbor"")), """")"),0.34689142265632045)</f>
        <v>0.3468914227</v>
      </c>
    </row>
    <row r="2260">
      <c r="A2260" s="2" t="s">
        <v>28</v>
      </c>
      <c r="B2260" s="2" t="s">
        <v>8911</v>
      </c>
      <c r="C2260" s="2" t="s">
        <v>9257</v>
      </c>
      <c r="D2260" s="2" t="s">
        <v>9262</v>
      </c>
      <c r="E2260" s="2" t="s">
        <v>9263</v>
      </c>
      <c r="F2260" s="2">
        <v>106.0</v>
      </c>
      <c r="G2260" s="2">
        <v>583.0</v>
      </c>
      <c r="H2260" s="2" t="b">
        <v>1</v>
      </c>
      <c r="I2260" s="2">
        <v>-1.0</v>
      </c>
      <c r="J2260" s="2" t="b">
        <v>0</v>
      </c>
      <c r="K2260" s="2" t="b">
        <v>0</v>
      </c>
      <c r="L2260" s="2" t="b">
        <v>0</v>
      </c>
      <c r="M2260" s="2" t="b">
        <v>0</v>
      </c>
      <c r="N2260" s="2" t="s">
        <v>33</v>
      </c>
      <c r="O2260" s="2">
        <v>66.0</v>
      </c>
      <c r="P2260" s="2">
        <v>3.0</v>
      </c>
      <c r="Q2260" s="2">
        <v>32.0</v>
      </c>
      <c r="R2260" s="2">
        <v>0.0</v>
      </c>
      <c r="S2260" s="3" t="s">
        <v>9264</v>
      </c>
      <c r="T2260" s="2" t="s">
        <v>9265</v>
      </c>
      <c r="Y2260" s="4" t="str">
        <f>IFERROR(__xludf.DUMMYFUNCTION("""COMPUTED_VALUE"""),"6.6941612")</f>
        <v>6.6941612</v>
      </c>
      <c r="Z2260" s="4" t="str">
        <f>IFERROR(__xludf.DUMMYFUNCTION("""COMPUTED_VALUE"""),"3.8629852")</f>
        <v>3.8629852</v>
      </c>
      <c r="AA2260" s="4" t="str">
        <f t="shared" si="1"/>
        <v>Neighbor</v>
      </c>
      <c r="AC2260" s="4">
        <f>IFERROR(__xludf.DUMMYFUNCTION("IFERROR(ABS(O2260-AVERAGE(FILTER(O2260:O6328,AA2260:AA6328=""Neighbor""))) / STDEV(FILTER(O2260:O6328, AA2260:AA6328 =""Neighbor"")), """")"),0.39297917526080056)</f>
        <v>0.3929791753</v>
      </c>
      <c r="AD2260" s="4">
        <f>IFERROR(__xludf.DUMMYFUNCTION("IFERROR(ABS(P2260-AVERAGE(FILTER(O2260:P6328,AA2260:AA6328=""Neighbor""))) / STDEV(FILTER(P2260:P6328, AA2260:AA6328 =""Neighbor"")), """")"),1.3926625300227395)</f>
        <v>1.39266253</v>
      </c>
      <c r="AE2260" s="2">
        <f>IFERROR(__xludf.DUMMYFUNCTION("IFERROR(ABS(Q2260-AVERAGE(FILTER(Q2260:Q6328,AA2260:AA6328=""Neighbor""))) / STDEV(FILTER(Q2260:Q6328, AA2260:AA6328 =""Neighbor"")), """")"),0.6570510358620518)</f>
        <v>0.6570510359</v>
      </c>
      <c r="AF2260" s="2">
        <f>IFERROR(__xludf.DUMMYFUNCTION("IFERROR(ABS(R2260-AVERAGE(FILTER(R2260:R6328,AA2260:AA6328=""Neighbor""))) / STDEV(FILTER(R2260:R6328, AA2260:AA6328 =""Neighbor"")), """")"),0.34714813440183084)</f>
        <v>0.3471481344</v>
      </c>
    </row>
    <row r="2261">
      <c r="A2261" s="2" t="s">
        <v>28</v>
      </c>
      <c r="B2261" s="2" t="s">
        <v>8911</v>
      </c>
      <c r="C2261" s="2" t="s">
        <v>9257</v>
      </c>
      <c r="D2261" s="2" t="s">
        <v>9266</v>
      </c>
      <c r="E2261" s="2" t="s">
        <v>9267</v>
      </c>
      <c r="F2261" s="2">
        <v>55.0</v>
      </c>
      <c r="G2261" s="2">
        <v>271.0</v>
      </c>
      <c r="H2261" s="2" t="b">
        <v>1</v>
      </c>
      <c r="I2261" s="2">
        <v>-1.0</v>
      </c>
      <c r="J2261" s="2" t="b">
        <v>0</v>
      </c>
      <c r="K2261" s="2" t="b">
        <v>1</v>
      </c>
      <c r="L2261" s="2" t="b">
        <v>0</v>
      </c>
      <c r="M2261" s="2" t="b">
        <v>0</v>
      </c>
      <c r="N2261" s="2" t="s">
        <v>33</v>
      </c>
      <c r="O2261" s="2">
        <v>76.0</v>
      </c>
      <c r="P2261" s="2">
        <v>7.0</v>
      </c>
      <c r="Q2261" s="2">
        <v>20.0</v>
      </c>
      <c r="R2261" s="2">
        <v>0.0</v>
      </c>
      <c r="S2261" s="3" t="s">
        <v>9268</v>
      </c>
      <c r="T2261" s="2" t="s">
        <v>9269</v>
      </c>
      <c r="Y2261" s="4" t="str">
        <f>IFERROR(__xludf.DUMMYFUNCTION("""COMPUTED_VALUE"""),"6.6941612")</f>
        <v>6.6941612</v>
      </c>
      <c r="Z2261" s="4" t="str">
        <f>IFERROR(__xludf.DUMMYFUNCTION("""COMPUTED_VALUE"""),"3.8629852")</f>
        <v>3.8629852</v>
      </c>
      <c r="AA2261" s="4" t="str">
        <f t="shared" si="1"/>
        <v>Not Neighbor</v>
      </c>
      <c r="AC2261" s="4">
        <f>IFERROR(__xludf.DUMMYFUNCTION("IFERROR(ABS(O2261-AVERAGE(FILTER(O2261:O6329,AA2261:AA6329=""Neighbor""))) / STDEV(FILTER(O2261:O6329, AA2261:AA6329 =""Neighbor"")), """")"),0.6702365068457714)</f>
        <v>0.6702365068</v>
      </c>
      <c r="AD2261" s="4">
        <f>IFERROR(__xludf.DUMMYFUNCTION("IFERROR(ABS(P2261-AVERAGE(FILTER(O2261:P6329,AA2261:AA6329=""Neighbor""))) / STDEV(FILTER(P2261:P6329, AA2261:AA6329 =""Neighbor"")), """")"),1.2145885062132102)</f>
        <v>1.214588506</v>
      </c>
      <c r="AE2261" s="2">
        <f>IFERROR(__xludf.DUMMYFUNCTION("IFERROR(ABS(Q2261-AVERAGE(FILTER(Q2261:Q6329,AA2261:AA6329=""Neighbor""))) / STDEV(FILTER(Q2261:Q6329, AA2261:AA6329 =""Neighbor"")), """")"),0.05537675518054824)</f>
        <v>0.05537675518</v>
      </c>
      <c r="AF2261" s="2">
        <f>IFERROR(__xludf.DUMMYFUNCTION("IFERROR(ABS(R2261-AVERAGE(FILTER(R2261:R6329,AA2261:AA6329=""Neighbor""))) / STDEV(FILTER(R2261:R6329, AA2261:AA6329 =""Neighbor"")), """")"),0.3474054170153256)</f>
        <v>0.347405417</v>
      </c>
    </row>
    <row r="2262">
      <c r="A2262" s="2" t="s">
        <v>28</v>
      </c>
      <c r="B2262" s="2" t="s">
        <v>8911</v>
      </c>
      <c r="C2262" s="2" t="s">
        <v>9257</v>
      </c>
      <c r="D2262" s="2" t="s">
        <v>9270</v>
      </c>
      <c r="E2262" s="2" t="s">
        <v>9271</v>
      </c>
      <c r="F2262" s="2">
        <v>183.0</v>
      </c>
      <c r="G2262" s="2">
        <v>627.0</v>
      </c>
      <c r="H2262" s="2" t="b">
        <v>1</v>
      </c>
      <c r="I2262" s="2">
        <v>-1.0</v>
      </c>
      <c r="J2262" s="2" t="b">
        <v>0</v>
      </c>
      <c r="K2262" s="2" t="b">
        <v>0</v>
      </c>
      <c r="L2262" s="2" t="b">
        <v>0</v>
      </c>
      <c r="M2262" s="2" t="b">
        <v>0</v>
      </c>
      <c r="N2262" s="2" t="s">
        <v>33</v>
      </c>
      <c r="O2262" s="2">
        <v>139.0</v>
      </c>
      <c r="P2262" s="2">
        <v>11.0</v>
      </c>
      <c r="Q2262" s="2">
        <v>29.0</v>
      </c>
      <c r="R2262" s="2">
        <v>0.0</v>
      </c>
      <c r="S2262" s="3" t="s">
        <v>9272</v>
      </c>
      <c r="T2262" s="2" t="s">
        <v>9273</v>
      </c>
      <c r="Y2262" s="4" t="str">
        <f>IFERROR(__xludf.DUMMYFUNCTION("""COMPUTED_VALUE"""),"6.7775647")</f>
        <v>6.7775647</v>
      </c>
      <c r="Z2262" s="4" t="str">
        <f>IFERROR(__xludf.DUMMYFUNCTION("""COMPUTED_VALUE"""),"3.7841503")</f>
        <v>3.7841503</v>
      </c>
      <c r="AA2262" s="4" t="str">
        <f t="shared" si="1"/>
        <v>Not Neighbor</v>
      </c>
      <c r="AC2262" s="4">
        <f>IFERROR(__xludf.DUMMYFUNCTION("IFERROR(ABS(O2262-AVERAGE(FILTER(O2262:O6330,AA2262:AA6330=""Neighbor""))) / STDEV(FILTER(O2262:O6330, AA2262:AA6330 =""Neighbor"")), """")"),2.415067082518647)</f>
        <v>2.415067083</v>
      </c>
      <c r="AD2262" s="4">
        <f>IFERROR(__xludf.DUMMYFUNCTION("IFERROR(ABS(P2262-AVERAGE(FILTER(O2262:P6330,AA2262:AA6330=""Neighbor""))) / STDEV(FILTER(P2262:P6330, AA2262:AA6330 =""Neighbor"")), """")"),1.0370918432355958)</f>
        <v>1.037091843</v>
      </c>
      <c r="AE2262" s="2">
        <f>IFERROR(__xludf.DUMMYFUNCTION("IFERROR(ABS(Q2262-AVERAGE(FILTER(Q2262:Q6330,AA2262:AA6330=""Neighbor""))) / STDEV(FILTER(Q2262:Q6330, AA2262:AA6330 =""Neighbor"")), """")"),0.5070995060230751)</f>
        <v>0.507099506</v>
      </c>
      <c r="AF2262" s="2">
        <f>IFERROR(__xludf.DUMMYFUNCTION("IFERROR(ABS(R2262-AVERAGE(FILTER(R2262:R6330,AA2262:AA6330=""Neighbor""))) / STDEV(FILTER(R2262:R6330, AA2262:AA6330 =""Neighbor"")), """")"),0.3474054170153256)</f>
        <v>0.347405417</v>
      </c>
    </row>
    <row r="2263">
      <c r="A2263" s="2" t="s">
        <v>28</v>
      </c>
      <c r="B2263" s="2" t="s">
        <v>8911</v>
      </c>
      <c r="C2263" s="2" t="s">
        <v>9257</v>
      </c>
      <c r="D2263" s="2" t="s">
        <v>9274</v>
      </c>
      <c r="E2263" s="2" t="s">
        <v>9275</v>
      </c>
      <c r="F2263" s="2">
        <v>90.0</v>
      </c>
      <c r="G2263" s="2">
        <v>527.0</v>
      </c>
      <c r="H2263" s="2" t="b">
        <v>1</v>
      </c>
      <c r="I2263" s="2">
        <v>-1.0</v>
      </c>
      <c r="J2263" s="2" t="b">
        <v>0</v>
      </c>
      <c r="K2263" s="2" t="b">
        <v>0</v>
      </c>
      <c r="L2263" s="2" t="b">
        <v>0</v>
      </c>
      <c r="M2263" s="2" t="b">
        <v>0</v>
      </c>
      <c r="N2263" s="2" t="s">
        <v>33</v>
      </c>
      <c r="O2263" s="2">
        <v>44.0</v>
      </c>
      <c r="P2263" s="2">
        <v>15.0</v>
      </c>
      <c r="Q2263" s="2">
        <v>16.0</v>
      </c>
      <c r="R2263" s="2">
        <v>3.0</v>
      </c>
      <c r="S2263" s="3" t="s">
        <v>9276</v>
      </c>
      <c r="T2263" s="2" t="s">
        <v>9277</v>
      </c>
      <c r="Y2263" s="4" t="str">
        <f>IFERROR(__xludf.DUMMYFUNCTION("""COMPUTED_VALUE"""),"6.8365046")</f>
        <v>6.8365046</v>
      </c>
      <c r="Z2263" s="4" t="str">
        <f>IFERROR(__xludf.DUMMYFUNCTION("""COMPUTED_VALUE"""),"3.768906")</f>
        <v>3.768906</v>
      </c>
      <c r="AA2263" s="4" t="str">
        <f t="shared" si="1"/>
        <v>Neighbor</v>
      </c>
      <c r="AC2263" s="4">
        <f>IFERROR(__xludf.DUMMYFUNCTION("IFERROR(ABS(O2263-AVERAGE(FILTER(O2263:O6331,AA2263:AA6331=""Neighbor""))) / STDEV(FILTER(O2263:O6331, AA2263:AA6331 =""Neighbor"")), """")"),0.21602664270235597)</f>
        <v>0.2160266427</v>
      </c>
      <c r="AD2263" s="4">
        <f>IFERROR(__xludf.DUMMYFUNCTION("IFERROR(ABS(P2263-AVERAGE(FILTER(O2263:P6331,AA2263:AA6331=""Neighbor""))) / STDEV(FILTER(P2263:P6331, AA2263:AA6331 =""Neighbor"")), """")"),0.8595951802579811)</f>
        <v>0.8595951803</v>
      </c>
      <c r="AE2263" s="2">
        <f>IFERROR(__xludf.DUMMYFUNCTION("IFERROR(ABS(Q2263-AVERAGE(FILTER(Q2263:Q6331,AA2263:AA6331=""Neighbor""))) / STDEV(FILTER(Q2263:Q6331, AA2263:AA6331 =""Neighbor"")), """")"),0.1453889118605748)</f>
        <v>0.1453889119</v>
      </c>
      <c r="AF2263" s="2">
        <f>IFERROR(__xludf.DUMMYFUNCTION("IFERROR(ABS(R2263-AVERAGE(FILTER(R2263:R6331,AA2263:AA6331=""Neighbor""))) / STDEV(FILTER(R2263:R6331, AA2263:AA6331 =""Neighbor"")), """")"),3.1189966514415577)</f>
        <v>3.118996651</v>
      </c>
    </row>
    <row r="2264">
      <c r="A2264" s="2" t="s">
        <v>28</v>
      </c>
      <c r="B2264" s="2" t="s">
        <v>8911</v>
      </c>
      <c r="C2264" s="2" t="s">
        <v>9257</v>
      </c>
      <c r="D2264" s="2" t="s">
        <v>9278</v>
      </c>
      <c r="E2264" s="2" t="s">
        <v>9279</v>
      </c>
      <c r="F2264" s="2">
        <v>47.0</v>
      </c>
      <c r="G2264" s="2">
        <v>240.0</v>
      </c>
      <c r="H2264" s="2" t="b">
        <v>1</v>
      </c>
      <c r="I2264" s="2">
        <v>-1.0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s">
        <v>33</v>
      </c>
      <c r="O2264" s="2">
        <v>18.0</v>
      </c>
      <c r="P2264" s="2">
        <v>0.0</v>
      </c>
      <c r="Q2264" s="2">
        <v>19.0</v>
      </c>
      <c r="R2264" s="2">
        <v>0.0</v>
      </c>
      <c r="S2264" s="3" t="s">
        <v>9280</v>
      </c>
      <c r="T2264" s="2" t="s">
        <v>9281</v>
      </c>
      <c r="Y2264" s="4" t="str">
        <f>IFERROR(__xludf.DUMMYFUNCTION("""COMPUTED_VALUE"""),"6.8365046")</f>
        <v>6.8365046</v>
      </c>
      <c r="Z2264" s="4" t="str">
        <f>IFERROR(__xludf.DUMMYFUNCTION("""COMPUTED_VALUE"""),"3.768906")</f>
        <v>3.768906</v>
      </c>
      <c r="AA2264" s="4" t="str">
        <f t="shared" si="1"/>
        <v>Not Neighbor</v>
      </c>
      <c r="AC2264" s="4">
        <f>IFERROR(__xludf.DUMMYFUNCTION("IFERROR(ABS(O2264-AVERAGE(FILTER(O2264:O6332,AA2264:AA6332=""Neighbor""))) / STDEV(FILTER(O2264:O6332, AA2264:AA6332 =""Neighbor"")), """")"),0.9358097959763028)</f>
        <v>0.935809796</v>
      </c>
      <c r="AD2264" s="4">
        <f>IFERROR(__xludf.DUMMYFUNCTION("IFERROR(ABS(P2264-AVERAGE(FILTER(O2264:P6332,AA2264:AA6332=""Neighbor""))) / STDEV(FILTER(P2264:P6332, AA2264:AA6332 =""Neighbor"")), """")"),1.5244899524186242)</f>
        <v>1.524489952</v>
      </c>
      <c r="AE2264" s="2">
        <f>IFERROR(__xludf.DUMMYFUNCTION("IFERROR(ABS(Q2264-AVERAGE(FILTER(Q2264:Q6332,AA2264:AA6332=""Neighbor""))) / STDEV(FILTER(Q2264:Q6332, AA2264:AA6332 =""Neighbor"")), """")"),0.0049892731738850156)</f>
        <v>0.004989273174</v>
      </c>
      <c r="AF2264" s="2">
        <f>IFERROR(__xludf.DUMMYFUNCTION("IFERROR(ABS(R2264-AVERAGE(FILTER(R2264:R6332,AA2264:AA6332=""Neighbor""))) / STDEV(FILTER(R2264:R6332, AA2264:AA6332 =""Neighbor"")), """")"),0.34527871425000495)</f>
        <v>0.3452787143</v>
      </c>
    </row>
    <row r="2265">
      <c r="A2265" s="2" t="s">
        <v>28</v>
      </c>
      <c r="B2265" s="2" t="s">
        <v>8911</v>
      </c>
      <c r="C2265" s="2" t="s">
        <v>9282</v>
      </c>
      <c r="D2265" s="2" t="s">
        <v>9283</v>
      </c>
      <c r="E2265" s="2" t="s">
        <v>9284</v>
      </c>
      <c r="F2265" s="2">
        <v>37.0</v>
      </c>
      <c r="G2265" s="2">
        <v>770.0</v>
      </c>
      <c r="H2265" s="2" t="b">
        <v>1</v>
      </c>
      <c r="I2265" s="2">
        <v>-1.0</v>
      </c>
      <c r="J2265" s="2" t="b">
        <v>0</v>
      </c>
      <c r="K2265" s="2" t="b">
        <v>0</v>
      </c>
      <c r="L2265" s="2" t="b">
        <v>0</v>
      </c>
      <c r="M2265" s="2" t="b">
        <v>0</v>
      </c>
      <c r="N2265" s="2" t="s">
        <v>33</v>
      </c>
      <c r="O2265" s="2">
        <v>24.0</v>
      </c>
      <c r="P2265" s="2">
        <v>2.0</v>
      </c>
      <c r="Q2265" s="2">
        <v>9.0</v>
      </c>
      <c r="R2265" s="2">
        <v>0.0</v>
      </c>
      <c r="S2265" s="3" t="s">
        <v>9285</v>
      </c>
      <c r="T2265" s="2" t="s">
        <v>9286</v>
      </c>
      <c r="Y2265" s="4" t="str">
        <f>IFERROR(__xludf.DUMMYFUNCTION("""COMPUTED_VALUE"""),"6.7658338")</f>
        <v>6.7658338</v>
      </c>
      <c r="Z2265" s="4" t="str">
        <f>IFERROR(__xludf.DUMMYFUNCTION("""COMPUTED_VALUE"""),"3.9164585")</f>
        <v>3.9164585</v>
      </c>
      <c r="AA2265" s="4" t="str">
        <f t="shared" si="1"/>
        <v>Not Neighbor</v>
      </c>
      <c r="AC2265" s="4">
        <f>IFERROR(__xludf.DUMMYFUNCTION("IFERROR(ABS(O2265-AVERAGE(FILTER(O2265:O6333,AA2265:AA6333=""Neighbor""))) / STDEV(FILTER(O2265:O6333, AA2265:AA6333 =""Neighbor"")), """")"),0.7697405410044754)</f>
        <v>0.769740541</v>
      </c>
      <c r="AD2265" s="4">
        <f>IFERROR(__xludf.DUMMYFUNCTION("IFERROR(ABS(P2265-AVERAGE(FILTER(O2265:P6333,AA2265:AA6333=""Neighbor""))) / STDEV(FILTER(P2265:P6333, AA2265:AA6333 =""Neighbor"")), """")"),1.4358000543341642)</f>
        <v>1.435800054</v>
      </c>
      <c r="AE2265" s="2">
        <f>IFERROR(__xludf.DUMMYFUNCTION("IFERROR(ABS(Q2265-AVERAGE(FILTER(Q2265:Q6333,AA2265:AA6333=""Neighbor""))) / STDEV(FILTER(Q2265:Q6333, AA2265:AA6333 =""Neighbor"")), """")"),0.49659898990734863)</f>
        <v>0.4965989899</v>
      </c>
      <c r="AF2265" s="2">
        <f>IFERROR(__xludf.DUMMYFUNCTION("IFERROR(ABS(R2265-AVERAGE(FILTER(R2265:R6333,AA2265:AA6333=""Neighbor""))) / STDEV(FILTER(R2265:R6333, AA2265:AA6333 =""Neighbor"")), """")"),0.34527871425000495)</f>
        <v>0.3452787143</v>
      </c>
    </row>
    <row r="2266">
      <c r="A2266" s="2" t="s">
        <v>28</v>
      </c>
      <c r="B2266" s="2" t="s">
        <v>8911</v>
      </c>
      <c r="C2266" s="2" t="s">
        <v>9282</v>
      </c>
      <c r="D2266" s="2" t="s">
        <v>9287</v>
      </c>
      <c r="E2266" s="2" t="s">
        <v>9288</v>
      </c>
      <c r="F2266" s="2">
        <v>170.0</v>
      </c>
      <c r="G2266" s="2">
        <v>705.0</v>
      </c>
      <c r="H2266" s="2" t="b">
        <v>1</v>
      </c>
      <c r="I2266" s="2">
        <v>-1.0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s">
        <v>33</v>
      </c>
      <c r="O2266" s="2">
        <v>96.0</v>
      </c>
      <c r="P2266" s="2">
        <v>4.0</v>
      </c>
      <c r="Q2266" s="2">
        <v>56.0</v>
      </c>
      <c r="R2266" s="2">
        <v>0.0</v>
      </c>
      <c r="S2266" s="3" t="s">
        <v>9289</v>
      </c>
      <c r="T2266" s="2" t="s">
        <v>9290</v>
      </c>
      <c r="Y2266" s="4" t="str">
        <f>IFERROR(__xludf.DUMMYFUNCTION("""COMPUTED_VALUE"""),"6.7500967")</f>
        <v>6.7500967</v>
      </c>
      <c r="Z2266" s="4" t="str">
        <f>IFERROR(__xludf.DUMMYFUNCTION("""COMPUTED_VALUE"""),"3.9218726")</f>
        <v>3.9218726</v>
      </c>
      <c r="AA2266" s="4" t="str">
        <f t="shared" si="1"/>
        <v>Not Neighbor</v>
      </c>
      <c r="AC2266" s="4">
        <f>IFERROR(__xludf.DUMMYFUNCTION("IFERROR(ABS(O2266-AVERAGE(FILTER(O2266:O6334,AA2266:AA6334=""Neighbor""))) / STDEV(FILTER(O2266:O6334, AA2266:AA6334 =""Neighbor"")), """")"),1.2230905186574523)</f>
        <v>1.223090519</v>
      </c>
      <c r="AD2266" s="4">
        <f>IFERROR(__xludf.DUMMYFUNCTION("IFERROR(ABS(P2266-AVERAGE(FILTER(O2266:P6334,AA2266:AA6334=""Neighbor""))) / STDEV(FILTER(P2266:P6334, AA2266:AA6334 =""Neighbor"")), """")"),1.3471101562497043)</f>
        <v>1.347110156</v>
      </c>
      <c r="AE2266" s="2">
        <f>IFERROR(__xludf.DUMMYFUNCTION("IFERROR(ABS(Q2266-AVERAGE(FILTER(Q2266:Q6334,AA2266:AA6334=""Neighbor""))) / STDEV(FILTER(Q2266:Q6334, AA2266:AA6334 =""Neighbor"")), """")"),1.8608658465744494)</f>
        <v>1.860865847</v>
      </c>
      <c r="AF2266" s="2">
        <f>IFERROR(__xludf.DUMMYFUNCTION("IFERROR(ABS(R2266-AVERAGE(FILTER(R2266:R6334,AA2266:AA6334=""Neighbor""))) / STDEV(FILTER(R2266:R6334, AA2266:AA6334 =""Neighbor"")), """")"),0.34527871425000495)</f>
        <v>0.3452787143</v>
      </c>
    </row>
    <row r="2267">
      <c r="A2267" s="2" t="s">
        <v>28</v>
      </c>
      <c r="B2267" s="2" t="s">
        <v>8911</v>
      </c>
      <c r="C2267" s="2" t="s">
        <v>9282</v>
      </c>
      <c r="D2267" s="2" t="s">
        <v>9291</v>
      </c>
      <c r="E2267" s="2" t="s">
        <v>9292</v>
      </c>
      <c r="F2267" s="2">
        <v>213.0</v>
      </c>
      <c r="G2267" s="2">
        <v>816.0</v>
      </c>
      <c r="H2267" s="2" t="b">
        <v>1</v>
      </c>
      <c r="I2267" s="2">
        <v>-1.0</v>
      </c>
      <c r="J2267" s="2" t="b">
        <v>0</v>
      </c>
      <c r="K2267" s="2" t="b">
        <v>1</v>
      </c>
      <c r="L2267" s="2" t="b">
        <v>0</v>
      </c>
      <c r="M2267" s="2" t="b">
        <v>0</v>
      </c>
      <c r="N2267" s="2" t="s">
        <v>33</v>
      </c>
      <c r="O2267" s="2">
        <v>84.0</v>
      </c>
      <c r="P2267" s="2">
        <v>41.0</v>
      </c>
      <c r="Q2267" s="2">
        <v>34.0</v>
      </c>
      <c r="R2267" s="2">
        <v>0.0</v>
      </c>
      <c r="S2267" s="3" t="s">
        <v>9293</v>
      </c>
      <c r="T2267" s="2" t="s">
        <v>9294</v>
      </c>
      <c r="Y2267" s="4" t="str">
        <f>IFERROR(__xludf.DUMMYFUNCTION("""COMPUTED_VALUE"""),"6.7858229")</f>
        <v>6.7858229</v>
      </c>
      <c r="Z2267" s="4" t="str">
        <f>IFERROR(__xludf.DUMMYFUNCTION("""COMPUTED_VALUE"""),"3.922828")</f>
        <v>3.922828</v>
      </c>
      <c r="AA2267" s="4" t="str">
        <f t="shared" si="1"/>
        <v>Neighbor</v>
      </c>
      <c r="AC2267" s="4">
        <f>IFERROR(__xludf.DUMMYFUNCTION("IFERROR(ABS(O2267-AVERAGE(FILTER(O2267:O6335,AA2267:AA6335=""Neighbor""))) / STDEV(FILTER(O2267:O6335, AA2267:AA6335 =""Neighbor"")), """")"),0.8909520087137978)</f>
        <v>0.8909520087</v>
      </c>
      <c r="AD2267" s="4">
        <f>IFERROR(__xludf.DUMMYFUNCTION("IFERROR(ABS(P2267-AVERAGE(FILTER(O2267:P6335,AA2267:AA6335=""Neighbor""))) / STDEV(FILTER(P2267:P6335, AA2267:AA6335 =""Neighbor"")), """")"),0.29365295831280386)</f>
        <v>0.2936529583</v>
      </c>
      <c r="AE2267" s="2">
        <f>IFERROR(__xludf.DUMMYFUNCTION("IFERROR(ABS(Q2267-AVERAGE(FILTER(Q2267:Q6335,AA2267:AA6335=""Neighbor""))) / STDEV(FILTER(Q2267:Q6335, AA2267:AA6335 =""Neighbor"")), """")"),0.7573716677957355)</f>
        <v>0.7573716678</v>
      </c>
      <c r="AF2267" s="2">
        <f>IFERROR(__xludf.DUMMYFUNCTION("IFERROR(ABS(R2267-AVERAGE(FILTER(R2267:R6335,AA2267:AA6335=""Neighbor""))) / STDEV(FILTER(R2267:R6335, AA2267:AA6335 =""Neighbor"")), """")"),0.34527871425000495)</f>
        <v>0.3452787143</v>
      </c>
    </row>
    <row r="2268">
      <c r="A2268" s="2" t="s">
        <v>28</v>
      </c>
      <c r="B2268" s="2" t="s">
        <v>8911</v>
      </c>
      <c r="C2268" s="2" t="s">
        <v>9282</v>
      </c>
      <c r="D2268" s="2" t="s">
        <v>9295</v>
      </c>
      <c r="E2268" s="2" t="s">
        <v>9296</v>
      </c>
      <c r="F2268" s="2">
        <v>98.0</v>
      </c>
      <c r="G2268" s="2">
        <v>750.0</v>
      </c>
      <c r="H2268" s="2" t="b">
        <v>1</v>
      </c>
      <c r="I2268" s="2">
        <v>-1.0</v>
      </c>
      <c r="J2268" s="2" t="b">
        <v>0</v>
      </c>
      <c r="K2268" s="2" t="b">
        <v>0</v>
      </c>
      <c r="L2268" s="2" t="b">
        <v>0</v>
      </c>
      <c r="M2268" s="2" t="b">
        <v>0</v>
      </c>
      <c r="N2268" s="2" t="s">
        <v>33</v>
      </c>
      <c r="O2268" s="2">
        <v>41.0</v>
      </c>
      <c r="P2268" s="2">
        <v>14.0</v>
      </c>
      <c r="Q2268" s="2">
        <v>37.0</v>
      </c>
      <c r="R2268" s="2">
        <v>0.0</v>
      </c>
      <c r="S2268" s="3" t="s">
        <v>9297</v>
      </c>
      <c r="T2268" s="2" t="s">
        <v>9298</v>
      </c>
      <c r="Y2268" s="4" t="str">
        <f>IFERROR(__xludf.DUMMYFUNCTION("""COMPUTED_VALUE"""),"6.7848046")</f>
        <v>6.7848046</v>
      </c>
      <c r="Z2268" s="4" t="str">
        <f>IFERROR(__xludf.DUMMYFUNCTION("""COMPUTED_VALUE"""),"3.916067")</f>
        <v>3.916067</v>
      </c>
      <c r="AA2268" s="4" t="str">
        <f t="shared" si="1"/>
        <v>Not Neighbor</v>
      </c>
      <c r="AC2268" s="4">
        <f>IFERROR(__xludf.DUMMYFUNCTION("IFERROR(ABS(O2268-AVERAGE(FILTER(O2268:O6336,AA2268:AA6336=""Neighbor""))) / STDEV(FILTER(O2268:O6336, AA2268:AA6336 =""Neighbor"")), """")"),0.2979871384389145)</f>
        <v>0.2979871384</v>
      </c>
      <c r="AD2268" s="4">
        <f>IFERROR(__xludf.DUMMYFUNCTION("IFERROR(ABS(P2268-AVERAGE(FILTER(O2268:P6336,AA2268:AA6336=""Neighbor""))) / STDEV(FILTER(P2268:P6336, AA2268:AA6336 =""Neighbor"")), """")"),0.9020881094985391)</f>
        <v>0.9020881095</v>
      </c>
      <c r="AE2268" s="2">
        <f>IFERROR(__xludf.DUMMYFUNCTION("IFERROR(ABS(Q2268-AVERAGE(FILTER(Q2268:Q6336,AA2268:AA6336=""Neighbor""))) / STDEV(FILTER(Q2268:Q6336, AA2268:AA6336 =""Neighbor"")), """")"),0.9085968592399787)</f>
        <v>0.9085968592</v>
      </c>
      <c r="AF2268" s="2">
        <f>IFERROR(__xludf.DUMMYFUNCTION("IFERROR(ABS(R2268-AVERAGE(FILTER(R2268:R6336,AA2268:AA6336=""Neighbor""))) / STDEV(FILTER(R2268:R6336, AA2268:AA6336 =""Neighbor"")), """")"),0.3455349927594496)</f>
        <v>0.3455349928</v>
      </c>
    </row>
    <row r="2269">
      <c r="A2269" s="2" t="s">
        <v>28</v>
      </c>
      <c r="B2269" s="2" t="s">
        <v>9299</v>
      </c>
      <c r="C2269" s="2" t="s">
        <v>9300</v>
      </c>
      <c r="D2269" s="2" t="s">
        <v>9301</v>
      </c>
      <c r="E2269" s="2" t="s">
        <v>9302</v>
      </c>
      <c r="F2269" s="2">
        <v>206.0</v>
      </c>
      <c r="G2269" s="2">
        <v>750.0</v>
      </c>
      <c r="H2269" s="2" t="b">
        <v>1</v>
      </c>
      <c r="I2269" s="2">
        <v>-1.0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s">
        <v>33</v>
      </c>
      <c r="O2269" s="2">
        <v>145.0</v>
      </c>
      <c r="P2269" s="2">
        <v>7.0</v>
      </c>
      <c r="Q2269" s="2">
        <v>42.0</v>
      </c>
      <c r="R2269" s="2">
        <v>1.0</v>
      </c>
      <c r="S2269" s="3" t="s">
        <v>9303</v>
      </c>
      <c r="T2269" s="2" t="s">
        <v>9304</v>
      </c>
      <c r="Y2269" s="4" t="str">
        <f>IFERROR(__xludf.DUMMYFUNCTION("""COMPUTED_VALUE"""),"6.5136786")</f>
        <v>6.5136786</v>
      </c>
      <c r="Z2269" s="4" t="str">
        <f>IFERROR(__xludf.DUMMYFUNCTION("""COMPUTED_VALUE"""),"4.1891386")</f>
        <v>4.1891386</v>
      </c>
      <c r="AA2269" s="4" t="str">
        <f t="shared" si="1"/>
        <v>Not Neighbor</v>
      </c>
      <c r="AC2269" s="4">
        <f>IFERROR(__xludf.DUMMYFUNCTION("IFERROR(ABS(O2269-AVERAGE(FILTER(O2269:O6337,AA2269:AA6337=""Neighbor""))) / STDEV(FILTER(O2269:O6337, AA2269:AA6337 =""Neighbor"")), """")"),2.5801540536464667)</f>
        <v>2.580154054</v>
      </c>
      <c r="AD2269" s="4">
        <f>IFERROR(__xludf.DUMMYFUNCTION("IFERROR(ABS(P2269-AVERAGE(FILTER(O2269:P6337,AA2269:AA6337=""Neighbor""))) / STDEV(FILTER(P2269:P6337, AA2269:AA6337 =""Neighbor"")), """")"),1.2125315153136274)</f>
        <v>1.212531515</v>
      </c>
      <c r="AE2269" s="2">
        <f>IFERROR(__xludf.DUMMYFUNCTION("IFERROR(ABS(Q2269-AVERAGE(FILTER(Q2269:Q6337,AA2269:AA6337=""Neighbor""))) / STDEV(FILTER(Q2269:Q6337, AA2269:AA6337 =""Neighbor"")), """")"),1.1593200470909402)</f>
        <v>1.159320047</v>
      </c>
      <c r="AF2269" s="2">
        <f>IFERROR(__xludf.DUMMYFUNCTION("IFERROR(ABS(R2269-AVERAGE(FILTER(R2269:R6337,AA2269:AA6337=""Neighbor""))) / STDEV(FILTER(R2269:R6337, AA2269:AA6337 =""Neighbor"")), """")"),0.8160179070078073)</f>
        <v>0.816017907</v>
      </c>
    </row>
    <row r="2270">
      <c r="A2270" s="2" t="s">
        <v>28</v>
      </c>
      <c r="B2270" s="2" t="s">
        <v>9299</v>
      </c>
      <c r="C2270" s="2" t="s">
        <v>9300</v>
      </c>
      <c r="D2270" s="2" t="s">
        <v>9305</v>
      </c>
      <c r="E2270" s="2" t="s">
        <v>9306</v>
      </c>
      <c r="F2270" s="2">
        <v>151.0</v>
      </c>
      <c r="G2270" s="2">
        <v>463.0</v>
      </c>
      <c r="H2270" s="2" t="b">
        <v>1</v>
      </c>
      <c r="I2270" s="2">
        <v>-1.0</v>
      </c>
      <c r="J2270" s="2" t="b">
        <v>1</v>
      </c>
      <c r="K2270" s="2" t="b">
        <v>0</v>
      </c>
      <c r="L2270" s="2" t="b">
        <v>0</v>
      </c>
      <c r="M2270" s="2" t="b">
        <v>0</v>
      </c>
      <c r="N2270" s="2" t="s">
        <v>33</v>
      </c>
      <c r="O2270" s="2">
        <v>95.0</v>
      </c>
      <c r="P2270" s="2">
        <v>2.0</v>
      </c>
      <c r="Q2270" s="2">
        <v>46.0</v>
      </c>
      <c r="R2270" s="2">
        <v>0.0</v>
      </c>
      <c r="S2270" s="3" t="s">
        <v>9307</v>
      </c>
      <c r="T2270" s="2" t="s">
        <v>9308</v>
      </c>
      <c r="Y2270" s="4" t="str">
        <f>IFERROR(__xludf.DUMMYFUNCTION("""COMPUTED_VALUE"""),"6.5102324")</f>
        <v>6.5102324</v>
      </c>
      <c r="Z2270" s="4" t="str">
        <f>IFERROR(__xludf.DUMMYFUNCTION("""COMPUTED_VALUE"""),"4.1766081")</f>
        <v>4.1766081</v>
      </c>
      <c r="AA2270" s="4" t="str">
        <f t="shared" si="1"/>
        <v>Not Neighbor</v>
      </c>
      <c r="AC2270" s="4">
        <f>IFERROR(__xludf.DUMMYFUNCTION("IFERROR(ABS(O2270-AVERAGE(FILTER(O2270:O6338,AA2270:AA6338=""Neighbor""))) / STDEV(FILTER(O2270:O6338, AA2270:AA6338 =""Neighbor"")), """")"),1.1964323266823411)</f>
        <v>1.196432327</v>
      </c>
      <c r="AD2270" s="4">
        <f>IFERROR(__xludf.DUMMYFUNCTION("IFERROR(ABS(P2270-AVERAGE(FILTER(O2270:P6338,AA2270:AA6338=""Neighbor""))) / STDEV(FILTER(P2270:P6338, AA2270:AA6338 =""Neighbor"")), """")"),1.4342768051815478)</f>
        <v>1.434276805</v>
      </c>
      <c r="AE2270" s="2">
        <f>IFERROR(__xludf.DUMMYFUNCTION("IFERROR(ABS(Q2270-AVERAGE(FILTER(Q2270:Q6338,AA2270:AA6338=""Neighbor""))) / STDEV(FILTER(Q2270:Q6338, AA2270:AA6338 =""Neighbor"")), """")"),1.3598985973717095)</f>
        <v>1.359898597</v>
      </c>
      <c r="AF2270" s="2">
        <f>IFERROR(__xludf.DUMMYFUNCTION("IFERROR(ABS(R2270-AVERAGE(FILTER(R2270:R6338,AA2270:AA6338=""Neighbor""))) / STDEV(FILTER(R2270:R6338, AA2270:AA6338 =""Neighbor"")), """")"),0.3455349927594496)</f>
        <v>0.3455349928</v>
      </c>
    </row>
    <row r="2271">
      <c r="A2271" s="2" t="s">
        <v>28</v>
      </c>
      <c r="B2271" s="2" t="s">
        <v>9299</v>
      </c>
      <c r="C2271" s="2" t="s">
        <v>9300</v>
      </c>
      <c r="D2271" s="2" t="s">
        <v>9309</v>
      </c>
      <c r="E2271" s="2" t="s">
        <v>9310</v>
      </c>
      <c r="F2271" s="2">
        <v>213.0</v>
      </c>
      <c r="G2271" s="2">
        <v>750.0</v>
      </c>
      <c r="H2271" s="2" t="b">
        <v>1</v>
      </c>
      <c r="I2271" s="2">
        <v>-1.0</v>
      </c>
      <c r="J2271" s="2" t="b">
        <v>0</v>
      </c>
      <c r="K2271" s="2" t="b">
        <v>0</v>
      </c>
      <c r="L2271" s="2" t="b">
        <v>0</v>
      </c>
      <c r="M2271" s="2" t="b">
        <v>0</v>
      </c>
      <c r="N2271" s="2" t="s">
        <v>33</v>
      </c>
      <c r="O2271" s="2">
        <v>100.0</v>
      </c>
      <c r="P2271" s="2">
        <v>1.0</v>
      </c>
      <c r="Q2271" s="2">
        <v>45.0</v>
      </c>
      <c r="R2271" s="2">
        <v>0.0</v>
      </c>
      <c r="S2271" s="3" t="s">
        <v>9311</v>
      </c>
      <c r="T2271" s="2" t="s">
        <v>9312</v>
      </c>
      <c r="Y2271" s="4" t="str">
        <f>IFERROR(__xludf.DUMMYFUNCTION("""COMPUTED_VALUE"""),"6.5136786")</f>
        <v>6.5136786</v>
      </c>
      <c r="Z2271" s="4" t="str">
        <f>IFERROR(__xludf.DUMMYFUNCTION("""COMPUTED_VALUE"""),"4.1891386")</f>
        <v>4.1891386</v>
      </c>
      <c r="AA2271" s="4" t="str">
        <f t="shared" si="1"/>
        <v>Neighbor</v>
      </c>
      <c r="AC2271" s="4">
        <f>IFERROR(__xludf.DUMMYFUNCTION("IFERROR(ABS(O2271-AVERAGE(FILTER(O2271:O6339,AA2271:AA6339=""Neighbor""))) / STDEV(FILTER(O2271:O6339, AA2271:AA6339 =""Neighbor"")), """")"),1.3348044993787538)</f>
        <v>1.334804499</v>
      </c>
      <c r="AD2271" s="4">
        <f>IFERROR(__xludf.DUMMYFUNCTION("IFERROR(ABS(P2271-AVERAGE(FILTER(O2271:P6339,AA2271:AA6339=""Neighbor""))) / STDEV(FILTER(P2271:P6339, AA2271:AA6339 =""Neighbor"")), """")"),1.4786258631551317)</f>
        <v>1.478625863</v>
      </c>
      <c r="AE2271" s="2">
        <f>IFERROR(__xludf.DUMMYFUNCTION("IFERROR(ABS(Q2271-AVERAGE(FILTER(Q2271:Q6339,AA2271:AA6339=""Neighbor""))) / STDEV(FILTER(Q2271:Q6339, AA2271:AA6339 =""Neighbor"")), """")"),1.309753959801517)</f>
        <v>1.30975396</v>
      </c>
      <c r="AF2271" s="2">
        <f>IFERROR(__xludf.DUMMYFUNCTION("IFERROR(ABS(R2271-AVERAGE(FILTER(R2271:R6339,AA2271:AA6339=""Neighbor""))) / STDEV(FILTER(R2271:R6339, AA2271:AA6339 =""Neighbor"")), """")"),0.3455349927594496)</f>
        <v>0.3455349928</v>
      </c>
    </row>
    <row r="2272">
      <c r="A2272" s="2" t="s">
        <v>28</v>
      </c>
      <c r="B2272" s="2" t="s">
        <v>9299</v>
      </c>
      <c r="C2272" s="2" t="s">
        <v>9300</v>
      </c>
      <c r="D2272" s="2" t="s">
        <v>9313</v>
      </c>
      <c r="E2272" s="2" t="s">
        <v>9314</v>
      </c>
      <c r="F2272" s="2">
        <v>48.0</v>
      </c>
      <c r="G2272" s="2">
        <v>159.0</v>
      </c>
      <c r="H2272" s="2" t="b">
        <v>1</v>
      </c>
      <c r="I2272" s="2">
        <v>-1.0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s">
        <v>33</v>
      </c>
      <c r="O2272" s="2">
        <v>31.0</v>
      </c>
      <c r="P2272" s="2">
        <v>0.0</v>
      </c>
      <c r="Q2272" s="2">
        <v>11.0</v>
      </c>
      <c r="R2272" s="2">
        <v>0.0</v>
      </c>
      <c r="S2272" s="3" t="s">
        <v>9315</v>
      </c>
      <c r="T2272" s="2" t="s">
        <v>9316</v>
      </c>
      <c r="Y2272" s="4" t="str">
        <f>IFERROR(__xludf.DUMMYFUNCTION("""COMPUTED_VALUE"""),"6.5136786")</f>
        <v>6.5136786</v>
      </c>
      <c r="Z2272" s="4" t="str">
        <f>IFERROR(__xludf.DUMMYFUNCTION("""COMPUTED_VALUE"""),"4.1891386")</f>
        <v>4.1891386</v>
      </c>
      <c r="AA2272" s="4" t="str">
        <f t="shared" si="1"/>
        <v>Not Neighbor</v>
      </c>
      <c r="AC2272" s="4">
        <f>IFERROR(__xludf.DUMMYFUNCTION("IFERROR(ABS(O2272-AVERAGE(FILTER(O2272:O6340,AA2272:AA6340=""Neighbor""))) / STDEV(FILTER(O2272:O6340, AA2272:AA6340 =""Neighbor"")), """")"),0.5732558063427481)</f>
        <v>0.5732558063</v>
      </c>
      <c r="AD2272" s="4">
        <f>IFERROR(__xludf.DUMMYFUNCTION("IFERROR(ABS(P2272-AVERAGE(FILTER(O2272:P6340,AA2272:AA6340=""Neighbor""))) / STDEV(FILTER(P2272:P6340, AA2272:AA6340 =""Neighbor"")), """")"),1.5215142530167822)</f>
        <v>1.521514253</v>
      </c>
      <c r="AE2272" s="2">
        <f>IFERROR(__xludf.DUMMYFUNCTION("IFERROR(ABS(Q2272-AVERAGE(FILTER(Q2272:Q6340,AA2272:AA6340=""Neighbor""))) / STDEV(FILTER(Q2272:Q6340, AA2272:AA6340 =""Neighbor"")), """")"),0.3936101566166434)</f>
        <v>0.3936101566</v>
      </c>
      <c r="AF2272" s="2">
        <f>IFERROR(__xludf.DUMMYFUNCTION("IFERROR(ABS(R2272-AVERAGE(FILTER(R2272:R6340,AA2272:AA6340=""Neighbor""))) / STDEV(FILTER(R2272:R6340, AA2272:AA6340 =""Neighbor"")), """")"),0.3457918428712433)</f>
        <v>0.3457918429</v>
      </c>
    </row>
    <row r="2273">
      <c r="A2273" s="2" t="s">
        <v>28</v>
      </c>
      <c r="B2273" s="2" t="s">
        <v>9299</v>
      </c>
      <c r="C2273" s="2" t="s">
        <v>9300</v>
      </c>
      <c r="D2273" s="2" t="s">
        <v>9317</v>
      </c>
      <c r="E2273" s="2" t="s">
        <v>9318</v>
      </c>
      <c r="F2273" s="2">
        <v>281.0</v>
      </c>
      <c r="G2273" s="2">
        <v>1061.0</v>
      </c>
      <c r="H2273" s="2" t="b">
        <v>1</v>
      </c>
      <c r="I2273" s="2">
        <v>-1.0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s">
        <v>33</v>
      </c>
      <c r="O2273" s="2">
        <v>182.0</v>
      </c>
      <c r="P2273" s="2">
        <v>2.0</v>
      </c>
      <c r="Q2273" s="2">
        <v>84.0</v>
      </c>
      <c r="R2273" s="2">
        <v>0.0</v>
      </c>
      <c r="S2273" s="3" t="s">
        <v>9319</v>
      </c>
      <c r="T2273" s="2" t="s">
        <v>9320</v>
      </c>
      <c r="Y2273" s="4" t="str">
        <f>IFERROR(__xludf.DUMMYFUNCTION("""COMPUTED_VALUE"""),"6.4861359")</f>
        <v>6.4861359</v>
      </c>
      <c r="Z2273" s="4" t="str">
        <f>IFERROR(__xludf.DUMMYFUNCTION("""COMPUTED_VALUE"""),"4.2230836")</f>
        <v>4.2230836</v>
      </c>
      <c r="AA2273" s="4" t="str">
        <f t="shared" si="1"/>
        <v>Not Neighbor</v>
      </c>
      <c r="AC2273" s="4">
        <f>IFERROR(__xludf.DUMMYFUNCTION("IFERROR(ABS(O2273-AVERAGE(FILTER(O2273:O6341,AA2273:AA6341=""Neighbor""))) / STDEV(FILTER(O2273:O6341, AA2273:AA6341 =""Neighbor"")), """")"),3.6077669518197366)</f>
        <v>3.607766952</v>
      </c>
      <c r="AD2273" s="4">
        <f>IFERROR(__xludf.DUMMYFUNCTION("IFERROR(ABS(P2273-AVERAGE(FILTER(O2273:P6341,AA2273:AA6341=""Neighbor""))) / STDEV(FILTER(P2273:P6341, AA2273:AA6341 =""Neighbor"")), """")"),1.4328457224627973)</f>
        <v>1.432845722</v>
      </c>
      <c r="AE2273" s="2">
        <f>IFERROR(__xludf.DUMMYFUNCTION("IFERROR(ABS(Q2273-AVERAGE(FILTER(Q2273:Q6341,AA2273:AA6341=""Neighbor""))) / STDEV(FILTER(Q2273:Q6341, AA2273:AA6341 =""Neighbor"")), """")"),3.268698853150689)</f>
        <v>3.268698853</v>
      </c>
      <c r="AF2273" s="2">
        <f>IFERROR(__xludf.DUMMYFUNCTION("IFERROR(ABS(R2273-AVERAGE(FILTER(R2273:R6341,AA2273:AA6341=""Neighbor""))) / STDEV(FILTER(R2273:R6341, AA2273:AA6341 =""Neighbor"")), """")"),0.3457918428712433)</f>
        <v>0.3457918429</v>
      </c>
    </row>
    <row r="2274">
      <c r="A2274" s="2" t="s">
        <v>28</v>
      </c>
      <c r="B2274" s="2" t="s">
        <v>9299</v>
      </c>
      <c r="C2274" s="2" t="s">
        <v>9300</v>
      </c>
      <c r="D2274" s="2" t="s">
        <v>9321</v>
      </c>
      <c r="E2274" s="2" t="s">
        <v>9322</v>
      </c>
      <c r="F2274" s="2">
        <v>105.0</v>
      </c>
      <c r="G2274" s="2">
        <v>530.0</v>
      </c>
      <c r="H2274" s="2" t="b">
        <v>1</v>
      </c>
      <c r="I2274" s="2">
        <v>-1.0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s">
        <v>33</v>
      </c>
      <c r="O2274" s="2">
        <v>108.0</v>
      </c>
      <c r="P2274" s="2">
        <v>5.0</v>
      </c>
      <c r="Q2274" s="2">
        <v>71.0</v>
      </c>
      <c r="R2274" s="2">
        <v>0.0</v>
      </c>
      <c r="S2274" s="3" t="s">
        <v>9323</v>
      </c>
      <c r="T2274" s="2" t="s">
        <v>9324</v>
      </c>
      <c r="Y2274" s="4" t="str">
        <f>IFERROR(__xludf.DUMMYFUNCTION("""COMPUTED_VALUE"""),"6.5136786")</f>
        <v>6.5136786</v>
      </c>
      <c r="Z2274" s="4" t="str">
        <f>IFERROR(__xludf.DUMMYFUNCTION("""COMPUTED_VALUE"""),"4.1891386")</f>
        <v>4.1891386</v>
      </c>
      <c r="AA2274" s="4" t="str">
        <f t="shared" si="1"/>
        <v>Not Neighbor</v>
      </c>
      <c r="AC2274" s="4">
        <f>IFERROR(__xludf.DUMMYFUNCTION("IFERROR(ABS(O2274-AVERAGE(FILTER(O2274:O6342,AA2274:AA6342=""Neighbor""))) / STDEV(FILTER(O2274:O6342, AA2274:AA6342 =""Neighbor"")), """")"),1.5587889113957372)</f>
        <v>1.558788911</v>
      </c>
      <c r="AD2274" s="4">
        <f>IFERROR(__xludf.DUMMYFUNCTION("IFERROR(ABS(P2274-AVERAGE(FILTER(O2274:P6342,AA2274:AA6342=""Neighbor""))) / STDEV(FILTER(P2274:P6342, AA2274:AA6342 =""Neighbor"")), """")"),1.29984292663182)</f>
        <v>1.299842927</v>
      </c>
      <c r="AE2274" s="2">
        <f>IFERROR(__xludf.DUMMYFUNCTION("IFERROR(ABS(Q2274-AVERAGE(FILTER(Q2274:Q6342,AA2274:AA6342=""Neighbor""))) / STDEV(FILTER(Q2274:Q6342, AA2274:AA6342 =""Neighbor"")), """")"),2.6165068377126706)</f>
        <v>2.616506838</v>
      </c>
      <c r="AF2274" s="2">
        <f>IFERROR(__xludf.DUMMYFUNCTION("IFERROR(ABS(R2274-AVERAGE(FILTER(R2274:R6342,AA2274:AA6342=""Neighbor""))) / STDEV(FILTER(R2274:R6342, AA2274:AA6342 =""Neighbor"")), """")"),0.3457918428712433)</f>
        <v>0.3457918429</v>
      </c>
    </row>
    <row r="2275">
      <c r="A2275" s="2" t="s">
        <v>28</v>
      </c>
      <c r="B2275" s="2" t="s">
        <v>9299</v>
      </c>
      <c r="C2275" s="2" t="s">
        <v>9300</v>
      </c>
      <c r="D2275" s="2" t="s">
        <v>9325</v>
      </c>
      <c r="E2275" s="2" t="s">
        <v>9326</v>
      </c>
      <c r="F2275" s="2">
        <v>60.0</v>
      </c>
      <c r="G2275" s="2">
        <v>139.0</v>
      </c>
      <c r="H2275" s="2" t="b">
        <v>1</v>
      </c>
      <c r="I2275" s="2">
        <v>-1.0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s">
        <v>33</v>
      </c>
      <c r="O2275" s="2">
        <v>40.0</v>
      </c>
      <c r="P2275" s="2">
        <v>2.0</v>
      </c>
      <c r="Q2275" s="2">
        <v>18.0</v>
      </c>
      <c r="R2275" s="2">
        <v>0.0</v>
      </c>
      <c r="S2275" s="3" t="s">
        <v>9327</v>
      </c>
      <c r="T2275" s="2" t="s">
        <v>9328</v>
      </c>
      <c r="Y2275" s="4" t="str">
        <f>IFERROR(__xludf.DUMMYFUNCTION("""COMPUTED_VALUE"""),"6.4836631")</f>
        <v>6.4836631</v>
      </c>
      <c r="Z2275" s="4" t="str">
        <f>IFERROR(__xludf.DUMMYFUNCTION("""COMPUTED_VALUE"""),"4.1600145")</f>
        <v>4.1600145</v>
      </c>
      <c r="AA2275" s="4" t="str">
        <f t="shared" si="1"/>
        <v>Not Neighbor</v>
      </c>
      <c r="AC2275" s="4">
        <f>IFERROR(__xludf.DUMMYFUNCTION("IFERROR(ABS(O2275-AVERAGE(FILTER(O2275:O6343,AA2275:AA6343=""Neighbor""))) / STDEV(FILTER(O2275:O6343, AA2275:AA6343 =""Neighbor"")), """")"),0.32405577439928873)</f>
        <v>0.3240557744</v>
      </c>
      <c r="AD2275" s="4">
        <f>IFERROR(__xludf.DUMMYFUNCTION("IFERROR(ABS(P2275-AVERAGE(FILTER(O2275:P6343,AA2275:AA6343=""Neighbor""))) / STDEV(FILTER(P2275:P6343, AA2275:AA6343 =""Neighbor"")), """")"),1.4328457224627973)</f>
        <v>1.432845722</v>
      </c>
      <c r="AE2275" s="2">
        <f>IFERROR(__xludf.DUMMYFUNCTION("IFERROR(ABS(Q2275-AVERAGE(FILTER(Q2275:Q6343,AA2275:AA6343=""Neighbor""))) / STDEV(FILTER(Q2275:Q6343, AA2275:AA6343 =""Neighbor"")), """")"),0.04242984061155675)</f>
        <v>0.04242984061</v>
      </c>
      <c r="AF2275" s="2">
        <f>IFERROR(__xludf.DUMMYFUNCTION("IFERROR(ABS(R2275-AVERAGE(FILTER(R2275:R6343,AA2275:AA6343=""Neighbor""))) / STDEV(FILTER(R2275:R6343, AA2275:AA6343 =""Neighbor"")), """")"),0.3457918428712433)</f>
        <v>0.3457918429</v>
      </c>
    </row>
    <row r="2276">
      <c r="A2276" s="2" t="s">
        <v>28</v>
      </c>
      <c r="B2276" s="2" t="s">
        <v>9299</v>
      </c>
      <c r="C2276" s="2" t="s">
        <v>9300</v>
      </c>
      <c r="D2276" s="2" t="s">
        <v>9329</v>
      </c>
      <c r="E2276" s="2" t="s">
        <v>9330</v>
      </c>
      <c r="F2276" s="2">
        <v>210.0</v>
      </c>
      <c r="G2276" s="2">
        <v>750.0</v>
      </c>
      <c r="H2276" s="2" t="b">
        <v>1</v>
      </c>
      <c r="I2276" s="2">
        <v>-1.0</v>
      </c>
      <c r="J2276" s="2" t="b">
        <v>1</v>
      </c>
      <c r="K2276" s="2" t="b">
        <v>1</v>
      </c>
      <c r="L2276" s="2" t="b">
        <v>0</v>
      </c>
      <c r="M2276" s="2" t="b">
        <v>0</v>
      </c>
      <c r="N2276" s="2" t="s">
        <v>33</v>
      </c>
      <c r="O2276" s="2">
        <v>108.0</v>
      </c>
      <c r="P2276" s="2">
        <v>5.0</v>
      </c>
      <c r="Q2276" s="2">
        <v>71.0</v>
      </c>
      <c r="R2276" s="2">
        <v>0.0</v>
      </c>
      <c r="S2276" s="3" t="s">
        <v>9331</v>
      </c>
      <c r="T2276" s="2" t="s">
        <v>9332</v>
      </c>
      <c r="Y2276" s="4" t="str">
        <f>IFERROR(__xludf.DUMMYFUNCTION("""COMPUTED_VALUE"""),"6.5136786")</f>
        <v>6.5136786</v>
      </c>
      <c r="Z2276" s="4" t="str">
        <f>IFERROR(__xludf.DUMMYFUNCTION("""COMPUTED_VALUE"""),"4.1891386")</f>
        <v>4.1891386</v>
      </c>
      <c r="AA2276" s="4" t="str">
        <f t="shared" si="1"/>
        <v>Not Neighbor</v>
      </c>
      <c r="AC2276" s="4">
        <f>IFERROR(__xludf.DUMMYFUNCTION("IFERROR(ABS(O2276-AVERAGE(FILTER(O2276:O6344,AA2276:AA6344=""Neighbor""))) / STDEV(FILTER(O2276:O6344, AA2276:AA6344 =""Neighbor"")), """")"),1.5587889113957372)</f>
        <v>1.558788911</v>
      </c>
      <c r="AD2276" s="4">
        <f>IFERROR(__xludf.DUMMYFUNCTION("IFERROR(ABS(P2276-AVERAGE(FILTER(O2276:P6344,AA2276:AA6344=""Neighbor""))) / STDEV(FILTER(P2276:P6344, AA2276:AA6344 =""Neighbor"")), """")"),1.29984292663182)</f>
        <v>1.299842927</v>
      </c>
      <c r="AE2276" s="2">
        <f>IFERROR(__xludf.DUMMYFUNCTION("IFERROR(ABS(Q2276-AVERAGE(FILTER(Q2276:Q6344,AA2276:AA6344=""Neighbor""))) / STDEV(FILTER(Q2276:Q6344, AA2276:AA6344 =""Neighbor"")), """")"),2.6165068377126706)</f>
        <v>2.616506838</v>
      </c>
      <c r="AF2276" s="2">
        <f>IFERROR(__xludf.DUMMYFUNCTION("IFERROR(ABS(R2276-AVERAGE(FILTER(R2276:R6344,AA2276:AA6344=""Neighbor""))) / STDEV(FILTER(R2276:R6344, AA2276:AA6344 =""Neighbor"")), """")"),0.3457918428712433)</f>
        <v>0.3457918429</v>
      </c>
    </row>
    <row r="2277">
      <c r="A2277" s="2" t="s">
        <v>28</v>
      </c>
      <c r="B2277" s="2" t="s">
        <v>9299</v>
      </c>
      <c r="C2277" s="2" t="s">
        <v>9333</v>
      </c>
      <c r="D2277" s="2" t="s">
        <v>9334</v>
      </c>
      <c r="E2277" s="2" t="s">
        <v>9335</v>
      </c>
      <c r="F2277" s="2">
        <v>143.0</v>
      </c>
      <c r="G2277" s="2">
        <v>380.0</v>
      </c>
      <c r="H2277" s="2" t="b">
        <v>1</v>
      </c>
      <c r="I2277" s="2">
        <v>-1.0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s">
        <v>33</v>
      </c>
      <c r="O2277" s="2">
        <v>2.0</v>
      </c>
      <c r="P2277" s="2">
        <v>5.0</v>
      </c>
      <c r="Q2277" s="2">
        <v>55.0</v>
      </c>
      <c r="R2277" s="2">
        <v>0.0</v>
      </c>
      <c r="S2277" s="3" t="s">
        <v>9336</v>
      </c>
      <c r="T2277" s="2" t="s">
        <v>9337</v>
      </c>
      <c r="Y2277" s="4" t="str">
        <f>IFERROR(__xludf.DUMMYFUNCTION("""COMPUTED_VALUE"""),"6.532273")</f>
        <v>6.532273</v>
      </c>
      <c r="Z2277" s="4" t="str">
        <f>IFERROR(__xludf.DUMMYFUNCTION("""COMPUTED_VALUE"""),"4.234313")</f>
        <v>4.234313</v>
      </c>
      <c r="AA2277" s="4" t="str">
        <f t="shared" si="1"/>
        <v>Neighbor</v>
      </c>
      <c r="AC2277" s="4">
        <f>IFERROR(__xludf.DUMMYFUNCTION("IFERROR(ABS(O2277-AVERAGE(FILTER(O2277:O6345,AA2277:AA6345=""Neighbor""))) / STDEV(FILTER(O2277:O6345, AA2277:AA6345 =""Neighbor"")), """")"),1.3762336870494503)</f>
        <v>1.376233687</v>
      </c>
      <c r="AD2277" s="4">
        <f>IFERROR(__xludf.DUMMYFUNCTION("IFERROR(ABS(P2277-AVERAGE(FILTER(O2277:P6345,AA2277:AA6345=""Neighbor""))) / STDEV(FILTER(P2277:P6345, AA2277:AA6345 =""Neighbor"")), """")"),1.29984292663182)</f>
        <v>1.299842927</v>
      </c>
      <c r="AE2277" s="2">
        <f>IFERROR(__xludf.DUMMYFUNCTION("IFERROR(ABS(Q2277-AVERAGE(FILTER(Q2277:Q6345,AA2277:AA6345=""Neighbor""))) / STDEV(FILTER(Q2277:Q6345, AA2277:AA6345 =""Neighbor"")), """")"),1.8138089725581867)</f>
        <v>1.813808973</v>
      </c>
      <c r="AF2277" s="2">
        <f>IFERROR(__xludf.DUMMYFUNCTION("IFERROR(ABS(R2277-AVERAGE(FILTER(R2277:R6345,AA2277:AA6345=""Neighbor""))) / STDEV(FILTER(R2277:R6345, AA2277:AA6345 =""Neighbor"")), """")"),0.3457918428712433)</f>
        <v>0.3457918429</v>
      </c>
    </row>
    <row r="2278">
      <c r="A2278" s="2" t="s">
        <v>28</v>
      </c>
      <c r="B2278" s="2" t="s">
        <v>9299</v>
      </c>
      <c r="C2278" s="2" t="s">
        <v>9333</v>
      </c>
      <c r="D2278" s="2" t="s">
        <v>9338</v>
      </c>
      <c r="E2278" s="2" t="s">
        <v>9339</v>
      </c>
      <c r="F2278" s="2">
        <v>110.0</v>
      </c>
      <c r="G2278" s="2">
        <v>349.0</v>
      </c>
      <c r="H2278" s="2" t="b">
        <v>1</v>
      </c>
      <c r="I2278" s="2">
        <v>-1.0</v>
      </c>
      <c r="J2278" s="2" t="b">
        <v>0</v>
      </c>
      <c r="K2278" s="2" t="b">
        <v>0</v>
      </c>
      <c r="L2278" s="2" t="b">
        <v>0</v>
      </c>
      <c r="M2278" s="2" t="b">
        <v>0</v>
      </c>
      <c r="N2278" s="2" t="s">
        <v>33</v>
      </c>
      <c r="O2278" s="2">
        <v>69.0</v>
      </c>
      <c r="P2278" s="2">
        <v>1.0</v>
      </c>
      <c r="Q2278" s="2">
        <v>36.0</v>
      </c>
      <c r="R2278" s="2">
        <v>0.0</v>
      </c>
      <c r="S2278" s="3" t="s">
        <v>9340</v>
      </c>
      <c r="T2278" s="2" t="s">
        <v>9341</v>
      </c>
      <c r="Y2278" s="4" t="str">
        <f>IFERROR(__xludf.DUMMYFUNCTION("""COMPUTED_VALUE"""),"6.532273")</f>
        <v>6.532273</v>
      </c>
      <c r="Z2278" s="4" t="str">
        <f>IFERROR(__xludf.DUMMYFUNCTION("""COMPUTED_VALUE"""),"4.234313")</f>
        <v>4.234313</v>
      </c>
      <c r="AA2278" s="4" t="str">
        <f t="shared" si="1"/>
        <v>Not Neighbor</v>
      </c>
      <c r="AC2278" s="4">
        <f>IFERROR(__xludf.DUMMYFUNCTION("IFERROR(ABS(O2278-AVERAGE(FILTER(O2278:O6346,AA2278:AA6346=""Neighbor""))) / STDEV(FILTER(O2278:O6346, AA2278:AA6346 =""Neighbor"")), """")"),0.47737498096917086)</f>
        <v>0.477374981</v>
      </c>
      <c r="AD2278" s="4">
        <f>IFERROR(__xludf.DUMMYFUNCTION("IFERROR(ABS(P2278-AVERAGE(FILTER(O2278:P6346,AA2278:AA6346=""Neighbor""))) / STDEV(FILTER(P2278:P6346, AA2278:AA6346 =""Neighbor"")), """")"),1.4782902833924387)</f>
        <v>1.478290283</v>
      </c>
      <c r="AE2278" s="2">
        <f>IFERROR(__xludf.DUMMYFUNCTION("IFERROR(ABS(Q2278-AVERAGE(FILTER(Q2278:Q6346,AA2278:AA6346=""Neighbor""))) / STDEV(FILTER(Q2278:Q6346, AA2278:AA6346 =""Neighbor"")), """")"),0.8643434947695349)</f>
        <v>0.8643434948</v>
      </c>
      <c r="AF2278" s="2">
        <f>IFERROR(__xludf.DUMMYFUNCTION("IFERROR(ABS(R2278-AVERAGE(FILTER(R2278:R6346,AA2278:AA6346=""Neighbor""))) / STDEV(FILTER(R2278:R6346, AA2278:AA6346 =""Neighbor"")), """")"),0.34604926671369596)</f>
        <v>0.3460492667</v>
      </c>
    </row>
    <row r="2279">
      <c r="A2279" s="2" t="s">
        <v>28</v>
      </c>
      <c r="B2279" s="2" t="s">
        <v>9299</v>
      </c>
      <c r="C2279" s="2" t="s">
        <v>9333</v>
      </c>
      <c r="D2279" s="2" t="s">
        <v>9342</v>
      </c>
      <c r="E2279" s="2" t="s">
        <v>9343</v>
      </c>
      <c r="F2279" s="2">
        <v>139.0</v>
      </c>
      <c r="G2279" s="2">
        <v>780.0</v>
      </c>
      <c r="H2279" s="2" t="b">
        <v>1</v>
      </c>
      <c r="I2279" s="2">
        <v>-1.0</v>
      </c>
      <c r="J2279" s="2" t="b">
        <v>0</v>
      </c>
      <c r="K2279" s="2" t="b">
        <v>0</v>
      </c>
      <c r="L2279" s="2" t="b">
        <v>0</v>
      </c>
      <c r="M2279" s="2" t="b">
        <v>0</v>
      </c>
      <c r="N2279" s="2" t="s">
        <v>33</v>
      </c>
      <c r="O2279" s="2">
        <v>74.0</v>
      </c>
      <c r="P2279" s="2">
        <v>1.0</v>
      </c>
      <c r="Q2279" s="2">
        <v>62.0</v>
      </c>
      <c r="R2279" s="2">
        <v>0.0</v>
      </c>
      <c r="S2279" s="3" t="s">
        <v>9344</v>
      </c>
      <c r="T2279" s="2" t="s">
        <v>9345</v>
      </c>
      <c r="Y2279" s="4" t="str">
        <f>IFERROR(__xludf.DUMMYFUNCTION("""COMPUTED_VALUE"""),"6.5169241")</f>
        <v>6.5169241</v>
      </c>
      <c r="Z2279" s="4" t="str">
        <f>IFERROR(__xludf.DUMMYFUNCTION("""COMPUTED_VALUE"""),"4.356513")</f>
        <v>4.356513</v>
      </c>
      <c r="AA2279" s="4" t="str">
        <f t="shared" si="1"/>
        <v>Neighbor</v>
      </c>
      <c r="AC2279" s="4">
        <f>IFERROR(__xludf.DUMMYFUNCTION("IFERROR(ABS(O2279-AVERAGE(FILTER(O2279:O6347,AA2279:AA6347=""Neighbor""))) / STDEV(FILTER(O2279:O6347, AA2279:AA6347 =""Neighbor"")), """")"),0.6159022648593746)</f>
        <v>0.6159022649</v>
      </c>
      <c r="AD2279" s="4">
        <f>IFERROR(__xludf.DUMMYFUNCTION("IFERROR(ABS(P2279-AVERAGE(FILTER(O2279:P6347,AA2279:AA6347=""Neighbor""))) / STDEV(FILTER(P2279:P6347, AA2279:AA6347 =""Neighbor"")), """")"),1.4782902833924387)</f>
        <v>1.478290283</v>
      </c>
      <c r="AE2279" s="2">
        <f>IFERROR(__xludf.DUMMYFUNCTION("IFERROR(ABS(Q2279-AVERAGE(FILTER(Q2279:Q6347,AA2279:AA6347=""Neighbor""))) / STDEV(FILTER(Q2279:Q6347, AA2279:AA6347 =""Neighbor"")), """")"),2.1707271993031627)</f>
        <v>2.170727199</v>
      </c>
      <c r="AF2279" s="2">
        <f>IFERROR(__xludf.DUMMYFUNCTION("IFERROR(ABS(R2279-AVERAGE(FILTER(R2279:R6347,AA2279:AA6347=""Neighbor""))) / STDEV(FILTER(R2279:R6347, AA2279:AA6347 =""Neighbor"")), """")"),0.34604926671369596)</f>
        <v>0.3460492667</v>
      </c>
    </row>
    <row r="2280">
      <c r="A2280" s="2" t="s">
        <v>28</v>
      </c>
      <c r="B2280" s="2" t="s">
        <v>9299</v>
      </c>
      <c r="C2280" s="2" t="s">
        <v>9333</v>
      </c>
      <c r="D2280" s="2" t="s">
        <v>9346</v>
      </c>
      <c r="E2280" s="2" t="s">
        <v>9347</v>
      </c>
      <c r="F2280" s="2">
        <v>151.0</v>
      </c>
      <c r="G2280" s="2">
        <v>475.0</v>
      </c>
      <c r="H2280" s="2" t="b">
        <v>1</v>
      </c>
      <c r="I2280" s="2">
        <v>-1.0</v>
      </c>
      <c r="J2280" s="2" t="b">
        <v>0</v>
      </c>
      <c r="K2280" s="2" t="b">
        <v>0</v>
      </c>
      <c r="L2280" s="2" t="b">
        <v>0</v>
      </c>
      <c r="M2280" s="2" t="b">
        <v>0</v>
      </c>
      <c r="N2280" s="2" t="s">
        <v>33</v>
      </c>
      <c r="O2280" s="2">
        <v>80.0</v>
      </c>
      <c r="P2280" s="2">
        <v>5.0</v>
      </c>
      <c r="Q2280" s="2">
        <v>56.0</v>
      </c>
      <c r="R2280" s="2">
        <v>1.0</v>
      </c>
      <c r="S2280" s="3" t="s">
        <v>9348</v>
      </c>
      <c r="T2280" s="2" t="s">
        <v>9349</v>
      </c>
      <c r="Y2280" s="4" t="str">
        <f>IFERROR(__xludf.DUMMYFUNCTION("""COMPUTED_VALUE"""),"6.5169241")</f>
        <v>6.5169241</v>
      </c>
      <c r="Z2280" s="4" t="str">
        <f>IFERROR(__xludf.DUMMYFUNCTION("""COMPUTED_VALUE"""),"4.356513")</f>
        <v>4.356513</v>
      </c>
      <c r="AA2280" s="4" t="str">
        <f t="shared" si="1"/>
        <v>Neighbor</v>
      </c>
      <c r="AC2280" s="4">
        <f>IFERROR(__xludf.DUMMYFUNCTION("IFERROR(ABS(O2280-AVERAGE(FILTER(O2280:O6348,AA2280:AA6348=""Neighbor""))) / STDEV(FILTER(O2280:O6348, AA2280:AA6348 =""Neighbor"")), """")"),0.7826322728166052)</f>
        <v>0.7826322728</v>
      </c>
      <c r="AD2280" s="4">
        <f>IFERROR(__xludf.DUMMYFUNCTION("IFERROR(ABS(P2280-AVERAGE(FILTER(O2280:P6348,AA2280:AA6348=""Neighbor""))) / STDEV(FILTER(P2280:P6348, AA2280:AA6348 =""Neighbor"")), """")"),1.3004189824907206)</f>
        <v>1.300418982</v>
      </c>
      <c r="AE2280" s="2">
        <f>IFERROR(__xludf.DUMMYFUNCTION("IFERROR(ABS(Q2280-AVERAGE(FILTER(Q2280:Q6348,AA2280:AA6348=""Neighbor""))) / STDEV(FILTER(Q2280:Q6348, AA2280:AA6348 =""Neighbor"")), """")"),1.876812765179138)</f>
        <v>1.876812765</v>
      </c>
      <c r="AF2280" s="2">
        <f>IFERROR(__xludf.DUMMYFUNCTION("IFERROR(ABS(R2280-AVERAGE(FILTER(R2280:R6348,AA2280:AA6348=""Neighbor""))) / STDEV(FILTER(R2280:R6348, AA2280:AA6348 =""Neighbor"")), """")"),0.8132036702687356)</f>
        <v>0.8132036703</v>
      </c>
    </row>
    <row r="2281">
      <c r="A2281" s="2" t="s">
        <v>28</v>
      </c>
      <c r="B2281" s="2" t="s">
        <v>9299</v>
      </c>
      <c r="C2281" s="2" t="s">
        <v>9333</v>
      </c>
      <c r="D2281" s="2" t="s">
        <v>9350</v>
      </c>
      <c r="E2281" s="2" t="s">
        <v>9351</v>
      </c>
      <c r="F2281" s="2">
        <v>169.0</v>
      </c>
      <c r="G2281" s="2">
        <v>532.0</v>
      </c>
      <c r="H2281" s="2" t="b">
        <v>1</v>
      </c>
      <c r="I2281" s="2">
        <v>-1.0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s">
        <v>33</v>
      </c>
      <c r="O2281" s="2">
        <v>96.0</v>
      </c>
      <c r="P2281" s="2">
        <v>15.0</v>
      </c>
      <c r="Q2281" s="2">
        <v>39.0</v>
      </c>
      <c r="R2281" s="2">
        <v>0.0</v>
      </c>
      <c r="S2281" s="3" t="s">
        <v>9352</v>
      </c>
      <c r="T2281" s="2" t="s">
        <v>9353</v>
      </c>
      <c r="Y2281" s="4" t="str">
        <f>IFERROR(__xludf.DUMMYFUNCTION("""COMPUTED_VALUE"""),"6.5169241")</f>
        <v>6.5169241</v>
      </c>
      <c r="Z2281" s="4" t="str">
        <f>IFERROR(__xludf.DUMMYFUNCTION("""COMPUTED_VALUE"""),"4.356513")</f>
        <v>4.356513</v>
      </c>
      <c r="AA2281" s="4" t="str">
        <f t="shared" si="1"/>
        <v>Not Neighbor</v>
      </c>
      <c r="AC2281" s="4">
        <f>IFERROR(__xludf.DUMMYFUNCTION("IFERROR(ABS(O2281-AVERAGE(FILTER(O2281:O6349,AA2281:AA6349=""Neighbor""))) / STDEV(FILTER(O2281:O6349, AA2281:AA6349 =""Neighbor"")), """")"),1.2264641196174821)</f>
        <v>1.22646412</v>
      </c>
      <c r="AD2281" s="4">
        <f>IFERROR(__xludf.DUMMYFUNCTION("IFERROR(ABS(P2281-AVERAGE(FILTER(O2281:P6349,AA2281:AA6349=""Neighbor""))) / STDEV(FILTER(P2281:P6349, AA2281:AA6349 =""Neighbor"")), """")"),0.8565437661056303)</f>
        <v>0.8565437661</v>
      </c>
      <c r="AE2281" s="2">
        <f>IFERROR(__xludf.DUMMYFUNCTION("IFERROR(ABS(Q2281-AVERAGE(FILTER(Q2281:Q6349,AA2281:AA6349=""Neighbor""))) / STDEV(FILTER(Q2281:Q6349, AA2281:AA6349 =""Neighbor"")), """")"),1.0247489320042702)</f>
        <v>1.024748932</v>
      </c>
      <c r="AF2281" s="2">
        <f>IFERROR(__xludf.DUMMYFUNCTION("IFERROR(ABS(R2281-AVERAGE(FILTER(R2281:R6349,AA2281:AA6349=""Neighbor""))) / STDEV(FILTER(R2281:R6349, AA2281:AA6349 =""Neighbor"")), """")"),0.3451436179764562)</f>
        <v>0.345143618</v>
      </c>
    </row>
    <row r="2282">
      <c r="A2282" s="2" t="s">
        <v>28</v>
      </c>
      <c r="B2282" s="2" t="s">
        <v>9299</v>
      </c>
      <c r="C2282" s="2" t="s">
        <v>9354</v>
      </c>
      <c r="D2282" s="2" t="s">
        <v>9355</v>
      </c>
      <c r="E2282" s="2" t="s">
        <v>9356</v>
      </c>
      <c r="F2282" s="2">
        <v>216.0</v>
      </c>
      <c r="G2282" s="2">
        <v>585.0</v>
      </c>
      <c r="H2282" s="2" t="b">
        <v>1</v>
      </c>
      <c r="I2282" s="2">
        <v>-1.0</v>
      </c>
      <c r="J2282" s="2" t="b">
        <v>1</v>
      </c>
      <c r="K2282" s="2" t="b">
        <v>0</v>
      </c>
      <c r="L2282" s="2" t="b">
        <v>0</v>
      </c>
      <c r="M2282" s="2" t="b">
        <v>0</v>
      </c>
      <c r="N2282" s="2" t="s">
        <v>33</v>
      </c>
      <c r="O2282" s="2">
        <v>125.0</v>
      </c>
      <c r="P2282" s="2">
        <v>3.0</v>
      </c>
      <c r="Q2282" s="2">
        <v>78.0</v>
      </c>
      <c r="R2282" s="2">
        <v>1.0</v>
      </c>
      <c r="S2282" s="3" t="s">
        <v>9357</v>
      </c>
      <c r="T2282" s="2" t="s">
        <v>9358</v>
      </c>
      <c r="Y2282" s="4" t="str">
        <f>IFERROR(__xludf.DUMMYFUNCTION("""COMPUTED_VALUE"""),"6.5423865")</f>
        <v>6.5423865</v>
      </c>
      <c r="Z2282" s="4" t="str">
        <f>IFERROR(__xludf.DUMMYFUNCTION("""COMPUTED_VALUE"""),"4.3346794")</f>
        <v>4.3346794</v>
      </c>
      <c r="AA2282" s="4" t="str">
        <f t="shared" si="1"/>
        <v>Neighbor</v>
      </c>
      <c r="AC2282" s="4">
        <f>IFERROR(__xludf.DUMMYFUNCTION("IFERROR(ABS(O2282-AVERAGE(FILTER(O2282:O6350,AA2282:AA6350=""Neighbor""))) / STDEV(FILTER(O2282:O6350, AA2282:AA6350 =""Neighbor"")), """")"),2.0293824457337406)</f>
        <v>2.029382446</v>
      </c>
      <c r="AD2282" s="4">
        <f>IFERROR(__xludf.DUMMYFUNCTION("IFERROR(ABS(P2282-AVERAGE(FILTER(O2282:P6350,AA2282:AA6350=""Neighbor""))) / STDEV(FILTER(P2282:P6350, AA2282:AA6350 =""Neighbor"")), """")"),1.387867508799126)</f>
        <v>1.387867509</v>
      </c>
      <c r="AE2282" s="2">
        <f>IFERROR(__xludf.DUMMYFUNCTION("IFERROR(ABS(Q2282-AVERAGE(FILTER(Q2282:Q6350,AA2282:AA6350=""Neighbor""))) / STDEV(FILTER(Q2282:Q6350, AA2282:AA6350 =""Neighbor"")), """")"),2.9925336449136006)</f>
        <v>2.992533645</v>
      </c>
      <c r="AF2282" s="2">
        <f>IFERROR(__xludf.DUMMYFUNCTION("IFERROR(ABS(R2282-AVERAGE(FILTER(R2282:R6350,AA2282:AA6350=""Neighbor""))) / STDEV(FILTER(R2282:R6350, AA2282:AA6350 =""Neighbor"")), """")"),0.8141055742404303)</f>
        <v>0.8141055742</v>
      </c>
    </row>
    <row r="2283">
      <c r="A2283" s="2" t="s">
        <v>28</v>
      </c>
      <c r="B2283" s="2" t="s">
        <v>9299</v>
      </c>
      <c r="C2283" s="2" t="s">
        <v>9354</v>
      </c>
      <c r="D2283" s="2" t="s">
        <v>9359</v>
      </c>
      <c r="E2283" s="2" t="s">
        <v>9360</v>
      </c>
      <c r="F2283" s="2">
        <v>181.0</v>
      </c>
      <c r="G2283" s="2">
        <v>507.0</v>
      </c>
      <c r="H2283" s="2" t="b">
        <v>1</v>
      </c>
      <c r="I2283" s="2">
        <v>-1.0</v>
      </c>
      <c r="J2283" s="2" t="b">
        <v>0</v>
      </c>
      <c r="K2283" s="2" t="b">
        <v>0</v>
      </c>
      <c r="L2283" s="2" t="b">
        <v>0</v>
      </c>
      <c r="M2283" s="2" t="b">
        <v>0</v>
      </c>
      <c r="N2283" s="2" t="s">
        <v>33</v>
      </c>
      <c r="O2283" s="2">
        <v>101.0</v>
      </c>
      <c r="P2283" s="2">
        <v>3.0</v>
      </c>
      <c r="Q2283" s="2">
        <v>71.0</v>
      </c>
      <c r="R2283" s="2">
        <v>0.0</v>
      </c>
      <c r="S2283" s="3" t="s">
        <v>9361</v>
      </c>
      <c r="T2283" s="2" t="s">
        <v>9362</v>
      </c>
      <c r="Y2283" s="4" t="str">
        <f>IFERROR(__xludf.DUMMYFUNCTION("""COMPUTED_VALUE"""),"6.5423865")</f>
        <v>6.5423865</v>
      </c>
      <c r="Z2283" s="4" t="str">
        <f>IFERROR(__xludf.DUMMYFUNCTION("""COMPUTED_VALUE"""),"4.3346794")</f>
        <v>4.3346794</v>
      </c>
      <c r="AA2283" s="4" t="str">
        <f t="shared" si="1"/>
        <v>Neighbor</v>
      </c>
      <c r="AC2283" s="4">
        <f>IFERROR(__xludf.DUMMYFUNCTION("IFERROR(ABS(O2283-AVERAGE(FILTER(O2283:O6351,AA2283:AA6351=""Neighbor""))) / STDEV(FILTER(O2283:O6351, AA2283:AA6351 =""Neighbor"")), """")"),1.370480017397802)</f>
        <v>1.370480017</v>
      </c>
      <c r="AD2283" s="4">
        <f>IFERROR(__xludf.DUMMYFUNCTION("IFERROR(ABS(P2283-AVERAGE(FILTER(O2283:P6351,AA2283:AA6351=""Neighbor""))) / STDEV(FILTER(P2283:P6351, AA2283:AA6351 =""Neighbor"")), """")"),1.3855410550435507)</f>
        <v>1.385541055</v>
      </c>
      <c r="AE2283" s="2">
        <f>IFERROR(__xludf.DUMMYFUNCTION("IFERROR(ABS(Q2283-AVERAGE(FILTER(Q2283:Q6351,AA2283:AA6351=""Neighbor""))) / STDEV(FILTER(Q2283:Q6351, AA2283:AA6351 =""Neighbor"")), """")"),2.6575524655124942)</f>
        <v>2.657552466</v>
      </c>
      <c r="AF2283" s="2">
        <f>IFERROR(__xludf.DUMMYFUNCTION("IFERROR(ABS(R2283-AVERAGE(FILTER(R2283:R6351,AA2283:AA6351=""Neighbor""))) / STDEV(FILTER(R2283:R6351, AA2283:AA6351 =""Neighbor"")), """")"),0.3439778101072582)</f>
        <v>0.3439778101</v>
      </c>
    </row>
    <row r="2284">
      <c r="A2284" s="2" t="s">
        <v>28</v>
      </c>
      <c r="B2284" s="2" t="s">
        <v>9299</v>
      </c>
      <c r="C2284" s="2" t="s">
        <v>9354</v>
      </c>
      <c r="D2284" s="2" t="s">
        <v>9363</v>
      </c>
      <c r="E2284" s="2" t="s">
        <v>9364</v>
      </c>
      <c r="F2284" s="2">
        <v>337.0</v>
      </c>
      <c r="G2284" s="2">
        <v>808.0</v>
      </c>
      <c r="H2284" s="2" t="b">
        <v>1</v>
      </c>
      <c r="I2284" s="2">
        <v>-1.0</v>
      </c>
      <c r="J2284" s="2" t="b">
        <v>1</v>
      </c>
      <c r="K2284" s="2" t="b">
        <v>0</v>
      </c>
      <c r="L2284" s="2" t="b">
        <v>0</v>
      </c>
      <c r="M2284" s="2" t="b">
        <v>0</v>
      </c>
      <c r="N2284" s="2" t="s">
        <v>33</v>
      </c>
      <c r="O2284" s="2">
        <v>179.0</v>
      </c>
      <c r="P2284" s="2">
        <v>6.0</v>
      </c>
      <c r="Q2284" s="2">
        <v>135.0</v>
      </c>
      <c r="R2284" s="2">
        <v>0.0</v>
      </c>
      <c r="S2284" s="3" t="s">
        <v>9365</v>
      </c>
      <c r="T2284" s="2" t="s">
        <v>9366</v>
      </c>
      <c r="Y2284" s="4" t="str">
        <f>IFERROR(__xludf.DUMMYFUNCTION("""COMPUTED_VALUE"""),"6.5423865")</f>
        <v>6.5423865</v>
      </c>
      <c r="Z2284" s="4" t="str">
        <f>IFERROR(__xludf.DUMMYFUNCTION("""COMPUTED_VALUE"""),"4.3346794")</f>
        <v>4.3346794</v>
      </c>
      <c r="AA2284" s="4" t="str">
        <f t="shared" si="1"/>
        <v>Neighbor</v>
      </c>
      <c r="AC2284" s="4">
        <f>IFERROR(__xludf.DUMMYFUNCTION("IFERROR(ABS(O2284-AVERAGE(FILTER(O2284:O6352,AA2284:AA6352=""Neighbor""))) / STDEV(FILTER(O2284:O6352, AA2284:AA6352 =""Neighbor"")), """")"),3.5385072954788988)</f>
        <v>3.538507295</v>
      </c>
      <c r="AD2284" s="4">
        <f>IFERROR(__xludf.DUMMYFUNCTION("IFERROR(ABS(P2284-AVERAGE(FILTER(O2284:P6352,AA2284:AA6352=""Neighbor""))) / STDEV(FILTER(P2284:P6352, AA2284:AA6352 =""Neighbor"")), """")"),1.251200675128157)</f>
        <v>1.251200675</v>
      </c>
      <c r="AE2284" s="2">
        <f>IFERROR(__xludf.DUMMYFUNCTION("IFERROR(ABS(Q2284-AVERAGE(FILTER(Q2284:Q6352,AA2284:AA6352=""Neighbor""))) / STDEV(FILTER(Q2284:Q6352, AA2284:AA6352 =""Neighbor"")), """")"),5.931845256801653)</f>
        <v>5.931845257</v>
      </c>
      <c r="AF2284" s="2">
        <f>IFERROR(__xludf.DUMMYFUNCTION("IFERROR(ABS(R2284-AVERAGE(FILTER(R2284:R6352,AA2284:AA6352=""Neighbor""))) / STDEV(FILTER(R2284:R6352, AA2284:AA6352 =""Neighbor"")), """")"),0.3442349642276497)</f>
        <v>0.3442349642</v>
      </c>
    </row>
    <row r="2285">
      <c r="A2285" s="2" t="s">
        <v>28</v>
      </c>
      <c r="B2285" s="2" t="s">
        <v>9299</v>
      </c>
      <c r="C2285" s="2" t="s">
        <v>9354</v>
      </c>
      <c r="D2285" s="2" t="s">
        <v>9367</v>
      </c>
      <c r="E2285" s="2" t="s">
        <v>9368</v>
      </c>
      <c r="F2285" s="2">
        <v>200.0</v>
      </c>
      <c r="G2285" s="2">
        <v>685.0</v>
      </c>
      <c r="H2285" s="2" t="b">
        <v>1</v>
      </c>
      <c r="I2285" s="2">
        <v>-1.0</v>
      </c>
      <c r="J2285" s="2" t="b">
        <v>0</v>
      </c>
      <c r="K2285" s="2" t="b">
        <v>0</v>
      </c>
      <c r="L2285" s="2" t="b">
        <v>0</v>
      </c>
      <c r="M2285" s="2" t="b">
        <v>0</v>
      </c>
      <c r="N2285" s="2" t="s">
        <v>33</v>
      </c>
      <c r="O2285" s="2">
        <v>111.0</v>
      </c>
      <c r="P2285" s="2">
        <v>9.0</v>
      </c>
      <c r="Q2285" s="2">
        <v>65.0</v>
      </c>
      <c r="R2285" s="2">
        <v>0.0</v>
      </c>
      <c r="S2285" s="3" t="s">
        <v>9369</v>
      </c>
      <c r="T2285" s="2" t="s">
        <v>9370</v>
      </c>
      <c r="Y2285" s="4" t="str">
        <f>IFERROR(__xludf.DUMMYFUNCTION("""COMPUTED_VALUE"""),"6.5423865")</f>
        <v>6.5423865</v>
      </c>
      <c r="Z2285" s="4" t="str">
        <f>IFERROR(__xludf.DUMMYFUNCTION("""COMPUTED_VALUE"""),"4.3346794")</f>
        <v>4.3346794</v>
      </c>
      <c r="AA2285" s="4" t="str">
        <f t="shared" si="1"/>
        <v>Neighbor</v>
      </c>
      <c r="AC2285" s="4">
        <f>IFERROR(__xludf.DUMMYFUNCTION("IFERROR(ABS(O2285-AVERAGE(FILTER(O2285:O6353,AA2285:AA6353=""Neighbor""))) / STDEV(FILTER(O2285:O6353, AA2285:AA6353 =""Neighbor"")), """")"),1.6684518968289486)</f>
        <v>1.668451897</v>
      </c>
      <c r="AD2285" s="4">
        <f>IFERROR(__xludf.DUMMYFUNCTION("IFERROR(ABS(P2285-AVERAGE(FILTER(O2285:P6353,AA2285:AA6353=""Neighbor""))) / STDEV(FILTER(P2285:P6353, AA2285:AA6353 =""Neighbor"")), """")"),1.1144570082737495)</f>
        <v>1.114457008</v>
      </c>
      <c r="AE2285" s="2">
        <f>IFERROR(__xludf.DUMMYFUNCTION("IFERROR(ABS(Q2285-AVERAGE(FILTER(Q2285:Q6353,AA2285:AA6353=""Neighbor""))) / STDEV(FILTER(Q2285:Q6353, AA2285:AA6353 =""Neighbor"")), """")"),2.430856007393842)</f>
        <v>2.430856007</v>
      </c>
      <c r="AF2285" s="2">
        <f>IFERROR(__xludf.DUMMYFUNCTION("IFERROR(ABS(R2285-AVERAGE(FILTER(R2285:R6353,AA2285:AA6353=""Neighbor""))) / STDEV(FILTER(R2285:R6353, AA2285:AA6353 =""Neighbor"")), """")"),0.3444926960459274)</f>
        <v>0.344492696</v>
      </c>
    </row>
    <row r="2286">
      <c r="A2286" s="2" t="s">
        <v>28</v>
      </c>
      <c r="B2286" s="2" t="s">
        <v>9299</v>
      </c>
      <c r="C2286" s="2" t="s">
        <v>9354</v>
      </c>
      <c r="D2286" s="2" t="s">
        <v>9371</v>
      </c>
      <c r="E2286" s="2" t="s">
        <v>9372</v>
      </c>
      <c r="F2286" s="2">
        <v>91.0</v>
      </c>
      <c r="G2286" s="2">
        <v>349.0</v>
      </c>
      <c r="H2286" s="2" t="b">
        <v>1</v>
      </c>
      <c r="I2286" s="2">
        <v>-1.0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s">
        <v>33</v>
      </c>
      <c r="O2286" s="2">
        <v>43.0</v>
      </c>
      <c r="P2286" s="2">
        <v>12.0</v>
      </c>
      <c r="Q2286" s="2">
        <v>19.0</v>
      </c>
      <c r="R2286" s="2">
        <v>1.0</v>
      </c>
      <c r="S2286" s="3" t="s">
        <v>9373</v>
      </c>
      <c r="T2286" s="2" t="s">
        <v>9374</v>
      </c>
      <c r="Y2286" s="4" t="str">
        <f>IFERROR(__xludf.DUMMYFUNCTION("""COMPUTED_VALUE"""),"6.5423865")</f>
        <v>6.5423865</v>
      </c>
      <c r="Z2286" s="4" t="str">
        <f>IFERROR(__xludf.DUMMYFUNCTION("""COMPUTED_VALUE"""),"4.3346794")</f>
        <v>4.3346794</v>
      </c>
      <c r="AA2286" s="4" t="str">
        <f t="shared" si="1"/>
        <v>Neighbor</v>
      </c>
      <c r="AC2286" s="4">
        <f>IFERROR(__xludf.DUMMYFUNCTION("IFERROR(ABS(O2286-AVERAGE(FILTER(O2286:O6354,AA2286:AA6354=""Neighbor""))) / STDEV(FILTER(O2286:O6354, AA2286:AA6354 =""Neighbor"")), """")"),0.23214633878916116)</f>
        <v>0.2321463388</v>
      </c>
      <c r="AD2286" s="4">
        <f>IFERROR(__xludf.DUMMYFUNCTION("IFERROR(ABS(P2286-AVERAGE(FILTER(O2286:P6354,AA2286:AA6354=""Neighbor""))) / STDEV(FILTER(P2286:P6354, AA2286:AA6354 =""Neighbor"")), """")"),0.9796973312972171)</f>
        <v>0.9796973313</v>
      </c>
      <c r="AE2286" s="2">
        <f>IFERROR(__xludf.DUMMYFUNCTION("IFERROR(ABS(Q2286-AVERAGE(FILTER(Q2286:Q6354,AA2286:AA6354=""Neighbor""))) / STDEV(FILTER(Q2286:Q6354, AA2286:AA6354 =""Neighbor"")), """")"),0.035465483691427956)</f>
        <v>0.03546548369</v>
      </c>
      <c r="AF2286" s="2">
        <f>IFERROR(__xludf.DUMMYFUNCTION("IFERROR(ABS(R2286-AVERAGE(FILTER(R2286:R6354,AA2286:AA6354=""Neighbor""))) / STDEV(FILTER(R2286:R6354, AA2286:AA6354 =""Neighbor"")), """")"),0.8121836803697646)</f>
        <v>0.8121836804</v>
      </c>
    </row>
    <row r="2287">
      <c r="A2287" s="2" t="s">
        <v>28</v>
      </c>
      <c r="B2287" s="2" t="s">
        <v>9299</v>
      </c>
      <c r="C2287" s="2" t="s">
        <v>9354</v>
      </c>
      <c r="D2287" s="2" t="s">
        <v>9375</v>
      </c>
      <c r="E2287" s="2" t="s">
        <v>9376</v>
      </c>
      <c r="F2287" s="2">
        <v>128.0</v>
      </c>
      <c r="G2287" s="2">
        <v>327.0</v>
      </c>
      <c r="H2287" s="2" t="b">
        <v>1</v>
      </c>
      <c r="I2287" s="2">
        <v>-1.0</v>
      </c>
      <c r="J2287" s="2" t="b">
        <v>0</v>
      </c>
      <c r="K2287" s="2" t="b">
        <v>0</v>
      </c>
      <c r="L2287" s="2" t="b">
        <v>0</v>
      </c>
      <c r="M2287" s="2" t="b">
        <v>0</v>
      </c>
      <c r="N2287" s="2" t="s">
        <v>33</v>
      </c>
      <c r="O2287" s="2">
        <v>94.0</v>
      </c>
      <c r="P2287" s="2">
        <v>6.0</v>
      </c>
      <c r="Q2287" s="2">
        <v>22.0</v>
      </c>
      <c r="R2287" s="2">
        <v>0.0</v>
      </c>
      <c r="S2287" s="3" t="s">
        <v>9377</v>
      </c>
      <c r="T2287" s="2" t="s">
        <v>9378</v>
      </c>
      <c r="Y2287" s="4" t="str">
        <f>IFERROR(__xludf.DUMMYFUNCTION("""COMPUTED_VALUE"""),"6.5423865")</f>
        <v>6.5423865</v>
      </c>
      <c r="Z2287" s="4" t="str">
        <f>IFERROR(__xludf.DUMMYFUNCTION("""COMPUTED_VALUE"""),"4.3346794")</f>
        <v>4.3346794</v>
      </c>
      <c r="AA2287" s="4" t="str">
        <f t="shared" si="1"/>
        <v>Neighbor</v>
      </c>
      <c r="AC2287" s="4">
        <f>IFERROR(__xludf.DUMMYFUNCTION("IFERROR(ABS(O2287-AVERAGE(FILTER(O2287:O6355,AA2287:AA6355=""Neighbor""))) / STDEV(FILTER(O2287:O6355, AA2287:AA6355 =""Neighbor"")), """")"),1.1954170769394579)</f>
        <v>1.195417077</v>
      </c>
      <c r="AD2287" s="4">
        <f>IFERROR(__xludf.DUMMYFUNCTION("IFERROR(ABS(P2287-AVERAGE(FILTER(O2287:P6355,AA2287:AA6355=""Neighbor""))) / STDEV(FILTER(P2287:P6355, AA2287:AA6355 =""Neighbor"")), """")"),1.2444498456385011)</f>
        <v>1.244449846</v>
      </c>
      <c r="AE2287" s="2">
        <f>IFERROR(__xludf.DUMMYFUNCTION("IFERROR(ABS(Q2287-AVERAGE(FILTER(Q2287:Q6355,AA2287:AA6355=""Neighbor""))) / STDEV(FILTER(Q2287:Q6355, AA2287:AA6355 =""Neighbor"")), """")"),0.19234502177845922)</f>
        <v>0.1923450218</v>
      </c>
      <c r="AF2287" s="2">
        <f>IFERROR(__xludf.DUMMYFUNCTION("IFERROR(ABS(R2287-AVERAGE(FILTER(R2287:R6355,AA2287:AA6355=""Neighbor""))) / STDEV(FILTER(R2287:R6355, AA2287:AA6355 =""Neighbor"")), """")"),0.3435808822133136)</f>
        <v>0.3435808822</v>
      </c>
    </row>
    <row r="2288">
      <c r="A2288" s="2" t="s">
        <v>28</v>
      </c>
      <c r="B2288" s="2" t="s">
        <v>9299</v>
      </c>
      <c r="C2288" s="2" t="s">
        <v>9354</v>
      </c>
      <c r="D2288" s="2" t="s">
        <v>9379</v>
      </c>
      <c r="E2288" s="2" t="s">
        <v>9380</v>
      </c>
      <c r="F2288" s="2">
        <v>143.0</v>
      </c>
      <c r="G2288" s="2">
        <v>414.0</v>
      </c>
      <c r="H2288" s="2" t="b">
        <v>1</v>
      </c>
      <c r="I2288" s="2">
        <v>-1.0</v>
      </c>
      <c r="J2288" s="2" t="b">
        <v>0</v>
      </c>
      <c r="K2288" s="2" t="b">
        <v>0</v>
      </c>
      <c r="L2288" s="2" t="b">
        <v>0</v>
      </c>
      <c r="M2288" s="2" t="b">
        <v>0</v>
      </c>
      <c r="N2288" s="2" t="s">
        <v>33</v>
      </c>
      <c r="O2288" s="2">
        <v>111.0</v>
      </c>
      <c r="P2288" s="2">
        <v>3.0</v>
      </c>
      <c r="Q2288" s="2">
        <v>27.0</v>
      </c>
      <c r="R2288" s="2">
        <v>0.0</v>
      </c>
      <c r="S2288" s="3" t="s">
        <v>9381</v>
      </c>
      <c r="T2288" s="2" t="s">
        <v>9382</v>
      </c>
      <c r="Y2288" s="4" t="str">
        <f>IFERROR(__xludf.DUMMYFUNCTION("""COMPUTED_VALUE"""),"6.5423865")</f>
        <v>6.5423865</v>
      </c>
      <c r="Z2288" s="4" t="str">
        <f>IFERROR(__xludf.DUMMYFUNCTION("""COMPUTED_VALUE"""),"4.3346794")</f>
        <v>4.3346794</v>
      </c>
      <c r="AA2288" s="4" t="str">
        <f t="shared" si="1"/>
        <v>Neighbor</v>
      </c>
      <c r="AC2288" s="4">
        <f>IFERROR(__xludf.DUMMYFUNCTION("IFERROR(ABS(O2288-AVERAGE(FILTER(O2288:O6356,AA2288:AA6356=""Neighbor""))) / STDEV(FILTER(O2288:O6356, AA2288:AA6356 =""Neighbor"")), """")"),1.6734212025830038)</f>
        <v>1.673421203</v>
      </c>
      <c r="AD2288" s="4">
        <f>IFERROR(__xludf.DUMMYFUNCTION("IFERROR(ABS(P2288-AVERAGE(FILTER(O2288:P6356,AA2288:AA6356=""Neighbor""))) / STDEV(FILTER(P2288:P6356, AA2288:AA6356 =""Neighbor"")), """")"),1.3752953582786493)</f>
        <v>1.375295358</v>
      </c>
      <c r="AE2288" s="2">
        <f>IFERROR(__xludf.DUMMYFUNCTION("IFERROR(ABS(Q2288-AVERAGE(FILTER(Q2288:Q6356,AA2288:AA6356=""Neighbor""))) / STDEV(FILTER(Q2288:Q6356, AA2288:AA6356 =""Neighbor"")), """")"),0.4537357582250269)</f>
        <v>0.4537357582</v>
      </c>
      <c r="AF2288" s="2">
        <f>IFERROR(__xludf.DUMMYFUNCTION("IFERROR(ABS(R2288-AVERAGE(FILTER(R2288:R6356,AA2288:AA6356=""Neighbor""))) / STDEV(FILTER(R2288:R6356, AA2288:AA6356 =""Neighbor"")), """")"),0.34383905739284776)</f>
        <v>0.3438390574</v>
      </c>
    </row>
    <row r="2289">
      <c r="A2289" s="2" t="s">
        <v>28</v>
      </c>
      <c r="B2289" s="2" t="s">
        <v>9299</v>
      </c>
      <c r="C2289" s="2" t="s">
        <v>9354</v>
      </c>
      <c r="D2289" s="2" t="s">
        <v>9383</v>
      </c>
      <c r="E2289" s="2" t="s">
        <v>9384</v>
      </c>
      <c r="F2289" s="2">
        <v>159.0</v>
      </c>
      <c r="G2289" s="2">
        <v>445.0</v>
      </c>
      <c r="H2289" s="2" t="b">
        <v>1</v>
      </c>
      <c r="I2289" s="2">
        <v>-1.0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s">
        <v>33</v>
      </c>
      <c r="O2289" s="2">
        <v>124.0</v>
      </c>
      <c r="P2289" s="2">
        <v>3.0</v>
      </c>
      <c r="Q2289" s="2">
        <v>26.0</v>
      </c>
      <c r="R2289" s="2">
        <v>0.0</v>
      </c>
      <c r="S2289" s="3" t="s">
        <v>9385</v>
      </c>
      <c r="T2289" s="2" t="s">
        <v>9386</v>
      </c>
      <c r="Y2289" s="4" t="str">
        <f>IFERROR(__xludf.DUMMYFUNCTION("""COMPUTED_VALUE"""),"6.5423865")</f>
        <v>6.5423865</v>
      </c>
      <c r="Z2289" s="4" t="str">
        <f>IFERROR(__xludf.DUMMYFUNCTION("""COMPUTED_VALUE"""),"4.3346794")</f>
        <v>4.3346794</v>
      </c>
      <c r="AA2289" s="4" t="str">
        <f t="shared" si="1"/>
        <v>Not Neighbor</v>
      </c>
      <c r="AC2289" s="4">
        <f>IFERROR(__xludf.DUMMYFUNCTION("IFERROR(ABS(O2289-AVERAGE(FILTER(O2289:O6357,AA2289:AA6357=""Neighbor""))) / STDEV(FILTER(O2289:O6357, AA2289:AA6357 =""Neighbor"")), """")"),2.0422003665838364)</f>
        <v>2.042200367</v>
      </c>
      <c r="AD2289" s="4">
        <f>IFERROR(__xludf.DUMMYFUNCTION("IFERROR(ABS(P2289-AVERAGE(FILTER(O2289:P6357,AA2289:AA6357=""Neighbor""))) / STDEV(FILTER(P2289:P6357, AA2289:AA6357 =""Neighbor"")), """")"),1.3733679158140795)</f>
        <v>1.373367916</v>
      </c>
      <c r="AE2289" s="2">
        <f>IFERROR(__xludf.DUMMYFUNCTION("IFERROR(ABS(Q2289-AVERAGE(FILTER(Q2289:Q6357,AA2289:AA6357=""Neighbor""))) / STDEV(FILTER(Q2289:Q6357, AA2289:AA6357 =""Neighbor"")), """")"),0.4018807050997304)</f>
        <v>0.4018807051</v>
      </c>
      <c r="AF2289" s="2">
        <f>IFERROR(__xludf.DUMMYFUNCTION("IFERROR(ABS(R2289-AVERAGE(FILTER(R2289:R6357,AA2289:AA6357=""Neighbor""))) / STDEV(FILTER(R2289:R6357, AA2289:AA6357 =""Neighbor"")), """")"),0.34409781554453434)</f>
        <v>0.3440978155</v>
      </c>
    </row>
    <row r="2290">
      <c r="A2290" s="2" t="s">
        <v>28</v>
      </c>
      <c r="B2290" s="2" t="s">
        <v>9299</v>
      </c>
      <c r="C2290" s="2" t="s">
        <v>9387</v>
      </c>
      <c r="D2290" s="2" t="s">
        <v>9388</v>
      </c>
      <c r="E2290" s="2" t="s">
        <v>9389</v>
      </c>
      <c r="F2290" s="2">
        <v>133.0</v>
      </c>
      <c r="G2290" s="2">
        <v>374.0</v>
      </c>
      <c r="H2290" s="2" t="b">
        <v>1</v>
      </c>
      <c r="I2290" s="2">
        <v>-1.0</v>
      </c>
      <c r="J2290" s="2" t="b">
        <v>0</v>
      </c>
      <c r="K2290" s="2" t="b">
        <v>0</v>
      </c>
      <c r="L2290" s="2" t="b">
        <v>0</v>
      </c>
      <c r="M2290" s="2" t="b">
        <v>0</v>
      </c>
      <c r="N2290" s="2" t="s">
        <v>33</v>
      </c>
      <c r="O2290" s="2">
        <v>93.0</v>
      </c>
      <c r="P2290" s="2">
        <v>4.0</v>
      </c>
      <c r="Q2290" s="2">
        <v>35.0</v>
      </c>
      <c r="R2290" s="2">
        <v>0.0</v>
      </c>
      <c r="S2290" s="3" t="s">
        <v>9390</v>
      </c>
      <c r="T2290" s="2" t="s">
        <v>9391</v>
      </c>
      <c r="Y2290" s="4" t="str">
        <f>IFERROR(__xludf.DUMMYFUNCTION("""COMPUTED_VALUE"""),"6.5562655")</f>
        <v>6.5562655</v>
      </c>
      <c r="Z2290" s="4" t="str">
        <f>IFERROR(__xludf.DUMMYFUNCTION("""COMPUTED_VALUE"""),"4.3557105")</f>
        <v>4.3557105</v>
      </c>
      <c r="AA2290" s="4" t="str">
        <f t="shared" si="1"/>
        <v>Not Neighbor</v>
      </c>
      <c r="AC2290" s="4">
        <f>IFERROR(__xludf.DUMMYFUNCTION("IFERROR(ABS(O2290-AVERAGE(FILTER(O2290:O6358,AA2290:AA6358=""Neighbor""))) / STDEV(FILTER(O2290:O6358, AA2290:AA6358 =""Neighbor"")), """")"),1.1730551257349195)</f>
        <v>1.173055126</v>
      </c>
      <c r="AD2290" s="4">
        <f>IFERROR(__xludf.DUMMYFUNCTION("IFERROR(ABS(P2290-AVERAGE(FILTER(O2290:P6358,AA2290:AA6358=""Neighbor""))) / STDEV(FILTER(P2290:P6358, AA2290:AA6358 =""Neighbor"")), """")"),1.3292450783117935)</f>
        <v>1.329245078</v>
      </c>
      <c r="AE2290" s="2">
        <f>IFERROR(__xludf.DUMMYFUNCTION("IFERROR(ABS(Q2290-AVERAGE(FILTER(Q2290:Q6358,AA2290:AA6358=""Neighbor""))) / STDEV(FILTER(Q2290:Q6358, AA2290:AA6358 =""Neighbor"")), """")"),0.8718910989098878)</f>
        <v>0.8718910989</v>
      </c>
      <c r="AF2290" s="2">
        <f>IFERROR(__xludf.DUMMYFUNCTION("IFERROR(ABS(R2290-AVERAGE(FILTER(R2290:R6358,AA2290:AA6358=""Neighbor""))) / STDEV(FILTER(R2290:R6358, AA2290:AA6358 =""Neighbor"")), """")"),0.34409781554453434)</f>
        <v>0.3440978155</v>
      </c>
    </row>
    <row r="2291">
      <c r="A2291" s="2" t="s">
        <v>28</v>
      </c>
      <c r="B2291" s="2" t="s">
        <v>9299</v>
      </c>
      <c r="C2291" s="2" t="s">
        <v>9387</v>
      </c>
      <c r="D2291" s="2" t="s">
        <v>9392</v>
      </c>
      <c r="E2291" s="2" t="s">
        <v>9393</v>
      </c>
      <c r="F2291" s="2">
        <v>161.0</v>
      </c>
      <c r="G2291" s="2">
        <v>417.0</v>
      </c>
      <c r="H2291" s="2" t="b">
        <v>1</v>
      </c>
      <c r="I2291" s="2">
        <v>-1.0</v>
      </c>
      <c r="J2291" s="2" t="b">
        <v>0</v>
      </c>
      <c r="K2291" s="2" t="b">
        <v>0</v>
      </c>
      <c r="L2291" s="2" t="b">
        <v>0</v>
      </c>
      <c r="M2291" s="2" t="b">
        <v>0</v>
      </c>
      <c r="N2291" s="2" t="s">
        <v>33</v>
      </c>
      <c r="O2291" s="2">
        <v>88.0</v>
      </c>
      <c r="P2291" s="2">
        <v>0.0</v>
      </c>
      <c r="Q2291" s="2">
        <v>71.0</v>
      </c>
      <c r="R2291" s="2">
        <v>0.0</v>
      </c>
      <c r="S2291" s="3" t="s">
        <v>9394</v>
      </c>
      <c r="T2291" s="2" t="s">
        <v>9395</v>
      </c>
      <c r="Y2291" s="4" t="str">
        <f>IFERROR(__xludf.DUMMYFUNCTION("""COMPUTED_VALUE"""),"6.5806165")</f>
        <v>6.5806165</v>
      </c>
      <c r="Z2291" s="4" t="str">
        <f>IFERROR(__xludf.DUMMYFUNCTION("""COMPUTED_VALUE"""),"4.3770704")</f>
        <v>4.3770704</v>
      </c>
      <c r="AA2291" s="4" t="str">
        <f t="shared" si="1"/>
        <v>Not Neighbor</v>
      </c>
      <c r="AC2291" s="4">
        <f>IFERROR(__xludf.DUMMYFUNCTION("IFERROR(ABS(O2291-AVERAGE(FILTER(O2291:O6359,AA2291:AA6359=""Neighbor""))) / STDEV(FILTER(O2291:O6359, AA2291:AA6359 =""Neighbor"")), """")"),1.0328704094689654)</f>
        <v>1.032870409</v>
      </c>
      <c r="AD2291" s="4">
        <f>IFERROR(__xludf.DUMMYFUNCTION("IFERROR(ABS(P2291-AVERAGE(FILTER(O2291:P6359,AA2291:AA6359=""Neighbor""))) / STDEV(FILTER(P2291:P6359, AA2291:AA6359 =""Neighbor"")), """")"),1.5057364283209376)</f>
        <v>1.505736428</v>
      </c>
      <c r="AE2291" s="2">
        <f>IFERROR(__xludf.DUMMYFUNCTION("IFERROR(ABS(Q2291-AVERAGE(FILTER(Q2291:Q6359,AA2291:AA6359=""Neighbor""))) / STDEV(FILTER(Q2291:Q6359, AA2291:AA6359 =""Neighbor"")), """")"),2.7519326741505177)</f>
        <v>2.751932674</v>
      </c>
      <c r="AF2291" s="2">
        <f>IFERROR(__xludf.DUMMYFUNCTION("IFERROR(ABS(R2291-AVERAGE(FILTER(R2291:R6359,AA2291:AA6359=""Neighbor""))) / STDEV(FILTER(R2291:R6359, AA2291:AA6359 =""Neighbor"")), """")"),0.34409781554453434)</f>
        <v>0.3440978155</v>
      </c>
    </row>
    <row r="2292">
      <c r="A2292" s="2" t="s">
        <v>28</v>
      </c>
      <c r="B2292" s="2" t="s">
        <v>9299</v>
      </c>
      <c r="C2292" s="2" t="s">
        <v>9387</v>
      </c>
      <c r="D2292" s="2" t="s">
        <v>9396</v>
      </c>
      <c r="E2292" s="2" t="s">
        <v>9397</v>
      </c>
      <c r="F2292" s="2">
        <v>226.0</v>
      </c>
      <c r="G2292" s="2">
        <v>623.0</v>
      </c>
      <c r="H2292" s="2" t="b">
        <v>1</v>
      </c>
      <c r="I2292" s="2">
        <v>-1.0</v>
      </c>
      <c r="J2292" s="2" t="b">
        <v>0</v>
      </c>
      <c r="K2292" s="2" t="b">
        <v>0</v>
      </c>
      <c r="L2292" s="2" t="b">
        <v>0</v>
      </c>
      <c r="M2292" s="2" t="b">
        <v>0</v>
      </c>
      <c r="N2292" s="2" t="s">
        <v>33</v>
      </c>
      <c r="O2292" s="2">
        <v>119.0</v>
      </c>
      <c r="P2292" s="2">
        <v>2.0</v>
      </c>
      <c r="Q2292" s="2">
        <v>92.0</v>
      </c>
      <c r="R2292" s="2">
        <v>2.0</v>
      </c>
      <c r="S2292" s="3" t="s">
        <v>9398</v>
      </c>
      <c r="T2292" s="2" t="s">
        <v>9399</v>
      </c>
      <c r="Y2292" s="4" t="str">
        <f>IFERROR(__xludf.DUMMYFUNCTION("""COMPUTED_VALUE"""),"6.5279469")</f>
        <v>6.5279469</v>
      </c>
      <c r="Z2292" s="4" t="str">
        <f>IFERROR(__xludf.DUMMYFUNCTION("""COMPUTED_VALUE"""),"4.3892801")</f>
        <v>4.3892801</v>
      </c>
      <c r="AA2292" s="4" t="str">
        <f t="shared" si="1"/>
        <v>Neighbor</v>
      </c>
      <c r="AC2292" s="4">
        <f>IFERROR(__xludf.DUMMYFUNCTION("IFERROR(ABS(O2292-AVERAGE(FILTER(O2292:O6360,AA2292:AA6360=""Neighbor""))) / STDEV(FILTER(O2292:O6360, AA2292:AA6360 =""Neighbor"")), """")"),1.902015650317882)</f>
        <v>1.90201565</v>
      </c>
      <c r="AD2292" s="4">
        <f>IFERROR(__xludf.DUMMYFUNCTION("IFERROR(ABS(P2292-AVERAGE(FILTER(O2292:P6360,AA2292:AA6360=""Neighbor""))) / STDEV(FILTER(P2292:P6360, AA2292:AA6360 =""Neighbor"")), """")"),1.4174907533163654)</f>
        <v>1.417490753</v>
      </c>
      <c r="AE2292" s="2">
        <f>IFERROR(__xludf.DUMMYFUNCTION("IFERROR(ABS(Q2292-AVERAGE(FILTER(Q2292:Q6360,AA2292:AA6360=""Neighbor""))) / STDEV(FILTER(Q2292:Q6360, AA2292:AA6360 =""Neighbor"")), """")"),3.8486235930408847)</f>
        <v>3.848623593</v>
      </c>
      <c r="AF2292" s="2">
        <f>IFERROR(__xludf.DUMMYFUNCTION("IFERROR(ABS(R2292-AVERAGE(FILTER(R2292:R6360,AA2292:AA6360=""Neighbor""))) / STDEV(FILTER(R2292:R6360, AA2292:AA6360 =""Neighbor"")), """")"),1.9664956607816604)</f>
        <v>1.966495661</v>
      </c>
    </row>
    <row r="2293">
      <c r="A2293" s="2" t="s">
        <v>28</v>
      </c>
      <c r="B2293" s="2" t="s">
        <v>9299</v>
      </c>
      <c r="C2293" s="2" t="s">
        <v>9387</v>
      </c>
      <c r="D2293" s="2" t="s">
        <v>9400</v>
      </c>
      <c r="E2293" s="2" t="s">
        <v>9401</v>
      </c>
      <c r="F2293" s="2">
        <v>241.0</v>
      </c>
      <c r="G2293" s="2">
        <v>667.0</v>
      </c>
      <c r="H2293" s="2" t="b">
        <v>1</v>
      </c>
      <c r="I2293" s="2">
        <v>-1.0</v>
      </c>
      <c r="J2293" s="2" t="b">
        <v>0</v>
      </c>
      <c r="K2293" s="2" t="b">
        <v>0</v>
      </c>
      <c r="L2293" s="2" t="b">
        <v>0</v>
      </c>
      <c r="M2293" s="2" t="b">
        <v>0</v>
      </c>
      <c r="N2293" s="2" t="s">
        <v>33</v>
      </c>
      <c r="O2293" s="2">
        <v>140.0</v>
      </c>
      <c r="P2293" s="2">
        <v>7.0</v>
      </c>
      <c r="Q2293" s="2">
        <v>82.0</v>
      </c>
      <c r="R2293" s="2">
        <v>1.0</v>
      </c>
      <c r="S2293" s="3" t="s">
        <v>9402</v>
      </c>
      <c r="T2293" s="2" t="s">
        <v>9403</v>
      </c>
      <c r="Y2293" s="4" t="str">
        <f>IFERROR(__xludf.DUMMYFUNCTION("""COMPUTED_VALUE"""),"6.5279469")</f>
        <v>6.5279469</v>
      </c>
      <c r="Z2293" s="4" t="str">
        <f>IFERROR(__xludf.DUMMYFUNCTION("""COMPUTED_VALUE"""),"4.3892801")</f>
        <v>4.3892801</v>
      </c>
      <c r="AA2293" s="4" t="str">
        <f t="shared" si="1"/>
        <v>Neighbor</v>
      </c>
      <c r="AC2293" s="4">
        <f>IFERROR(__xludf.DUMMYFUNCTION("IFERROR(ABS(O2293-AVERAGE(FILTER(O2293:O6361,AA2293:AA6361=""Neighbor""))) / STDEV(FILTER(O2293:O6361, AA2293:AA6361 =""Neighbor"")), """")"),2.497788266429095)</f>
        <v>2.497788266</v>
      </c>
      <c r="AD2293" s="4">
        <f>IFERROR(__xludf.DUMMYFUNCTION("IFERROR(ABS(P2293-AVERAGE(FILTER(O2293:P6361,AA2293:AA6361=""Neighbor""))) / STDEV(FILTER(P2293:P6361, AA2293:AA6361 =""Neighbor"")), """")"),1.194857334568415)</f>
        <v>1.194857335</v>
      </c>
      <c r="AE2293" s="2">
        <f>IFERROR(__xludf.DUMMYFUNCTION("IFERROR(ABS(Q2293-AVERAGE(FILTER(Q2293:Q6361,AA2293:AA6361=""Neighbor""))) / STDEV(FILTER(Q2293:Q6361, AA2293:AA6361 =""Neighbor"")), """")"),3.3631636148330295)</f>
        <v>3.363163615</v>
      </c>
      <c r="AF2293" s="2">
        <f>IFERROR(__xludf.DUMMYFUNCTION("IFERROR(ABS(R2293-AVERAGE(FILTER(R2293:R6361,AA2293:AA6361=""Neighbor""))) / STDEV(FILTER(R2293:R6361, AA2293:AA6361 =""Neighbor"")), """")"),0.8154368683828475)</f>
        <v>0.8154368684</v>
      </c>
    </row>
    <row r="2294">
      <c r="A2294" s="2" t="s">
        <v>28</v>
      </c>
      <c r="B2294" s="2" t="s">
        <v>9299</v>
      </c>
      <c r="C2294" s="2" t="s">
        <v>9387</v>
      </c>
      <c r="D2294" s="2" t="s">
        <v>9404</v>
      </c>
      <c r="E2294" s="2" t="s">
        <v>9405</v>
      </c>
      <c r="F2294" s="2">
        <v>111.0</v>
      </c>
      <c r="G2294" s="2">
        <v>297.0</v>
      </c>
      <c r="H2294" s="2" t="b">
        <v>1</v>
      </c>
      <c r="I2294" s="2">
        <v>-1.0</v>
      </c>
      <c r="J2294" s="2" t="b">
        <v>0</v>
      </c>
      <c r="K2294" s="2" t="b">
        <v>0</v>
      </c>
      <c r="L2294" s="2" t="b">
        <v>0</v>
      </c>
      <c r="M2294" s="2" t="b">
        <v>0</v>
      </c>
      <c r="N2294" s="2" t="s">
        <v>33</v>
      </c>
      <c r="O2294" s="2">
        <v>54.0</v>
      </c>
      <c r="P2294" s="2">
        <v>8.0</v>
      </c>
      <c r="Q2294" s="2">
        <v>47.0</v>
      </c>
      <c r="R2294" s="2">
        <v>0.0</v>
      </c>
      <c r="S2294" s="3" t="s">
        <v>9406</v>
      </c>
      <c r="T2294" s="2" t="s">
        <v>9407</v>
      </c>
      <c r="Y2294" s="4" t="str">
        <f>IFERROR(__xludf.DUMMYFUNCTION("""COMPUTED_VALUE"""),"6.5361743")</f>
        <v>6.5361743</v>
      </c>
      <c r="Z2294" s="4" t="str">
        <f>IFERROR(__xludf.DUMMYFUNCTION("""COMPUTED_VALUE"""),"4.3992427")</f>
        <v>4.3992427</v>
      </c>
      <c r="AA2294" s="4" t="str">
        <f t="shared" si="1"/>
        <v>Not Neighbor</v>
      </c>
      <c r="AC2294" s="4">
        <f>IFERROR(__xludf.DUMMYFUNCTION("IFERROR(ABS(O2294-AVERAGE(FILTER(O2294:O6362,AA2294:AA6362=""Neighbor""))) / STDEV(FILTER(O2294:O6362, AA2294:AA6362 =""Neighbor"")), """")"),0.08600846540214213)</f>
        <v>0.0860084654</v>
      </c>
      <c r="AD2294" s="4">
        <f>IFERROR(__xludf.DUMMYFUNCTION("IFERROR(ABS(P2294-AVERAGE(FILTER(O2294:P6362,AA2294:AA6362=""Neighbor""))) / STDEV(FILTER(P2294:P6362, AA2294:AA6362 =""Neighbor"")), """")"),1.147780407595571)</f>
        <v>1.147780408</v>
      </c>
      <c r="AE2294" s="2">
        <f>IFERROR(__xludf.DUMMYFUNCTION("IFERROR(ABS(Q2294-AVERAGE(FILTER(Q2294:Q6362,AA2294:AA6362=""Neighbor""))) / STDEV(FILTER(Q2294:Q6362, AA2294:AA6362 =""Neighbor"")), """")"),1.533314706174807)</f>
        <v>1.533314706</v>
      </c>
      <c r="AF2294" s="2">
        <f>IFERROR(__xludf.DUMMYFUNCTION("IFERROR(ABS(R2294-AVERAGE(FILTER(R2294:R6362,AA2294:AA6362=""Neighbor""))) / STDEV(FILTER(R2294:R6362, AA2294:AA6362 =""Neighbor"")), """")"),0.34092955673042263)</f>
        <v>0.3409295567</v>
      </c>
    </row>
    <row r="2295">
      <c r="A2295" s="2" t="s">
        <v>28</v>
      </c>
      <c r="B2295" s="2" t="s">
        <v>9299</v>
      </c>
      <c r="C2295" s="2" t="s">
        <v>9387</v>
      </c>
      <c r="D2295" s="2" t="s">
        <v>9408</v>
      </c>
      <c r="E2295" s="2" t="s">
        <v>9409</v>
      </c>
      <c r="F2295" s="2">
        <v>177.0</v>
      </c>
      <c r="G2295" s="2">
        <v>855.0</v>
      </c>
      <c r="H2295" s="2" t="b">
        <v>1</v>
      </c>
      <c r="I2295" s="2">
        <v>-1.0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s">
        <v>33</v>
      </c>
      <c r="O2295" s="2">
        <v>75.0</v>
      </c>
      <c r="P2295" s="2">
        <v>40.0</v>
      </c>
      <c r="Q2295" s="2">
        <v>29.0</v>
      </c>
      <c r="R2295" s="2">
        <v>2.0</v>
      </c>
      <c r="S2295" s="3" t="s">
        <v>9410</v>
      </c>
      <c r="T2295" s="2" t="s">
        <v>9411</v>
      </c>
      <c r="Y2295" s="4" t="str">
        <f>IFERROR(__xludf.DUMMYFUNCTION("""COMPUTED_VALUE"""),"6.5591876")</f>
        <v>6.5591876</v>
      </c>
      <c r="Z2295" s="4" t="str">
        <f>IFERROR(__xludf.DUMMYFUNCTION("""COMPUTED_VALUE"""),"4.4089058")</f>
        <v>4.4089058</v>
      </c>
      <c r="AA2295" s="4" t="str">
        <f t="shared" si="1"/>
        <v>Not Neighbor</v>
      </c>
      <c r="AC2295" s="4">
        <f>IFERROR(__xludf.DUMMYFUNCTION("IFERROR(ABS(O2295-AVERAGE(FILTER(O2295:O6363,AA2295:AA6363=""Neighbor""))) / STDEV(FILTER(O2295:O6363, AA2295:AA6363 =""Neighbor"")), """")"),0.6779356365045731)</f>
        <v>0.6779356365</v>
      </c>
      <c r="AD2295" s="4">
        <f>IFERROR(__xludf.DUMMYFUNCTION("IFERROR(ABS(P2295-AVERAGE(FILTER(O2295:P6363,AA2295:AA6363=""Neighbor""))) / STDEV(FILTER(P2295:P6363, AA2295:AA6363 =""Neighbor"")), """")"),0.2628561592586199)</f>
        <v>0.2628561593</v>
      </c>
      <c r="AE2295" s="2">
        <f>IFERROR(__xludf.DUMMYFUNCTION("IFERROR(ABS(Q2295-AVERAGE(FILTER(Q2295:Q6363,AA2295:AA6363=""Neighbor""))) / STDEV(FILTER(Q2295:Q6363, AA2295:AA6363 =""Neighbor"")), """")"),0.5776834182163366)</f>
        <v>0.5776834182</v>
      </c>
      <c r="AF2295" s="2">
        <f>IFERROR(__xludf.DUMMYFUNCTION("IFERROR(ABS(R2295-AVERAGE(FILTER(R2295:R6363,AA2295:AA6363=""Neighbor""))) / STDEV(FILTER(R2295:R6363, AA2295:AA6363 =""Neighbor"")), """")"),1.9736380761183183)</f>
        <v>1.973638076</v>
      </c>
    </row>
    <row r="2296">
      <c r="A2296" s="2" t="s">
        <v>28</v>
      </c>
      <c r="B2296" s="2" t="s">
        <v>9299</v>
      </c>
      <c r="C2296" s="2" t="s">
        <v>9387</v>
      </c>
      <c r="D2296" s="2" t="s">
        <v>9412</v>
      </c>
      <c r="E2296" s="2" t="s">
        <v>9413</v>
      </c>
      <c r="F2296" s="2">
        <v>110.0</v>
      </c>
      <c r="G2296" s="2">
        <v>347.0</v>
      </c>
      <c r="H2296" s="2" t="b">
        <v>1</v>
      </c>
      <c r="I2296" s="2">
        <v>-1.0</v>
      </c>
      <c r="J2296" s="2" t="b">
        <v>0</v>
      </c>
      <c r="K2296" s="2" t="b">
        <v>1</v>
      </c>
      <c r="L2296" s="2" t="b">
        <v>0</v>
      </c>
      <c r="M2296" s="2" t="b">
        <v>0</v>
      </c>
      <c r="N2296" s="2" t="s">
        <v>33</v>
      </c>
      <c r="O2296" s="2">
        <v>34.0</v>
      </c>
      <c r="P2296" s="2">
        <v>9.0</v>
      </c>
      <c r="Q2296" s="2">
        <v>54.0</v>
      </c>
      <c r="R2296" s="2">
        <v>0.0</v>
      </c>
      <c r="S2296" s="3" t="s">
        <v>9414</v>
      </c>
      <c r="T2296" s="2" t="s">
        <v>9415</v>
      </c>
      <c r="Y2296" s="4" t="str">
        <f>IFERROR(__xludf.DUMMYFUNCTION("""COMPUTED_VALUE"""),"6.5806165")</f>
        <v>6.5806165</v>
      </c>
      <c r="Z2296" s="4" t="str">
        <f>IFERROR(__xludf.DUMMYFUNCTION("""COMPUTED_VALUE"""),"4.3770704")</f>
        <v>4.3770704</v>
      </c>
      <c r="AA2296" s="4" t="str">
        <f t="shared" si="1"/>
        <v>Not Neighbor</v>
      </c>
      <c r="AC2296" s="4">
        <f>IFERROR(__xludf.DUMMYFUNCTION("IFERROR(ABS(O2296-AVERAGE(FILTER(O2296:O6364,AA2296:AA6364=""Neighbor""))) / STDEV(FILTER(O2296:O6364, AA2296:AA6364 =""Neighbor"")), """")"),0.47773169755255407)</f>
        <v>0.4777316976</v>
      </c>
      <c r="AD2296" s="4">
        <f>IFERROR(__xludf.DUMMYFUNCTION("IFERROR(ABS(P2296-AVERAGE(FILTER(O2296:P6364,AA2296:AA6364=""Neighbor""))) / STDEV(FILTER(P2296:P6364, AA2296:AA6364 =""Neighbor"")), """")"),1.1036980148813778)</f>
        <v>1.103698015</v>
      </c>
      <c r="AE2296" s="2">
        <f>IFERROR(__xludf.DUMMYFUNCTION("IFERROR(ABS(Q2296-AVERAGE(FILTER(Q2296:Q6364,AA2296:AA6364=""Neighbor""))) / STDEV(FILTER(Q2296:Q6364, AA2296:AA6364 =""Neighbor"")), """")"),1.9049490959364341)</f>
        <v>1.904949096</v>
      </c>
      <c r="AF2296" s="2">
        <f>IFERROR(__xludf.DUMMYFUNCTION("IFERROR(ABS(R2296-AVERAGE(FILTER(R2296:R6364,AA2296:AA6364=""Neighbor""))) / STDEV(FILTER(R2296:R6364, AA2296:AA6364 =""Neighbor"")), """")"),0.34092955673042263)</f>
        <v>0.3409295567</v>
      </c>
    </row>
    <row r="2297">
      <c r="A2297" s="2" t="s">
        <v>28</v>
      </c>
      <c r="B2297" s="2" t="s">
        <v>9299</v>
      </c>
      <c r="C2297" s="2" t="s">
        <v>9387</v>
      </c>
      <c r="D2297" s="2" t="s">
        <v>9416</v>
      </c>
      <c r="E2297" s="2" t="s">
        <v>9417</v>
      </c>
      <c r="F2297" s="2">
        <v>46.0</v>
      </c>
      <c r="G2297" s="2">
        <v>252.0</v>
      </c>
      <c r="H2297" s="2" t="b">
        <v>1</v>
      </c>
      <c r="I2297" s="2">
        <v>-1.0</v>
      </c>
      <c r="J2297" s="2" t="b">
        <v>0</v>
      </c>
      <c r="K2297" s="2" t="b">
        <v>0</v>
      </c>
      <c r="L2297" s="2" t="b">
        <v>0</v>
      </c>
      <c r="M2297" s="2" t="b">
        <v>0</v>
      </c>
      <c r="N2297" s="2" t="s">
        <v>33</v>
      </c>
      <c r="O2297" s="2">
        <v>13.0</v>
      </c>
      <c r="P2297" s="2">
        <v>18.0</v>
      </c>
      <c r="Q2297" s="2">
        <v>6.0</v>
      </c>
      <c r="R2297" s="2">
        <v>0.0</v>
      </c>
      <c r="S2297" s="3" t="s">
        <v>9418</v>
      </c>
      <c r="T2297" s="2" t="s">
        <v>9419</v>
      </c>
      <c r="Y2297" s="4" t="str">
        <f>IFERROR(__xludf.DUMMYFUNCTION("""COMPUTED_VALUE"""),"6.5279469")</f>
        <v>6.5279469</v>
      </c>
      <c r="Z2297" s="4" t="str">
        <f>IFERROR(__xludf.DUMMYFUNCTION("""COMPUTED_VALUE"""),"4.3892801")</f>
        <v>4.3892801</v>
      </c>
      <c r="AA2297" s="4" t="str">
        <f t="shared" si="1"/>
        <v>Not Neighbor</v>
      </c>
      <c r="AC2297" s="4">
        <f>IFERROR(__xludf.DUMMYFUNCTION("IFERROR(ABS(O2297-AVERAGE(FILTER(O2297:O6365,AA2297:AA6365=""Neighbor""))) / STDEV(FILTER(O2297:O6365, AA2297:AA6365 =""Neighbor"")), """")"),1.069658868654985)</f>
        <v>1.069658869</v>
      </c>
      <c r="AD2297" s="4">
        <f>IFERROR(__xludf.DUMMYFUNCTION("IFERROR(ABS(P2297-AVERAGE(FILTER(O2297:P6365,AA2297:AA6365=""Neighbor""))) / STDEV(FILTER(P2297:P6365, AA2297:AA6365 =""Neighbor"")), """")"),0.7069564804536365)</f>
        <v>0.7069564805</v>
      </c>
      <c r="AE2297" s="2">
        <f>IFERROR(__xludf.DUMMYFUNCTION("IFERROR(ABS(Q2297-AVERAGE(FILTER(Q2297:Q6365,AA2297:AA6365=""Neighbor""))) / STDEV(FILTER(Q2297:Q6365, AA2297:AA6365 =""Neighbor"")), """")"),0.6434010052861533)</f>
        <v>0.6434010053</v>
      </c>
      <c r="AF2297" s="2">
        <f>IFERROR(__xludf.DUMMYFUNCTION("IFERROR(ABS(R2297-AVERAGE(FILTER(R2297:R6365,AA2297:AA6365=""Neighbor""))) / STDEV(FILTER(R2297:R6365, AA2297:AA6365 =""Neighbor"")), """")"),0.34092955673042263)</f>
        <v>0.3409295567</v>
      </c>
    </row>
    <row r="2298">
      <c r="A2298" s="2" t="s">
        <v>28</v>
      </c>
      <c r="B2298" s="2" t="s">
        <v>9299</v>
      </c>
      <c r="C2298" s="2" t="s">
        <v>9387</v>
      </c>
      <c r="D2298" s="2" t="s">
        <v>9420</v>
      </c>
      <c r="E2298" s="2" t="s">
        <v>9421</v>
      </c>
      <c r="F2298" s="2">
        <v>235.0</v>
      </c>
      <c r="G2298" s="2">
        <v>608.0</v>
      </c>
      <c r="H2298" s="2" t="b">
        <v>1</v>
      </c>
      <c r="I2298" s="2">
        <v>-1.0</v>
      </c>
      <c r="J2298" s="2" t="b">
        <v>1</v>
      </c>
      <c r="K2298" s="2" t="b">
        <v>0</v>
      </c>
      <c r="L2298" s="2" t="b">
        <v>0</v>
      </c>
      <c r="M2298" s="2" t="b">
        <v>0</v>
      </c>
      <c r="N2298" s="2" t="s">
        <v>33</v>
      </c>
      <c r="O2298" s="2">
        <v>184.0</v>
      </c>
      <c r="P2298" s="2">
        <v>0.0</v>
      </c>
      <c r="Q2298" s="2">
        <v>42.0</v>
      </c>
      <c r="R2298" s="2">
        <v>0.0</v>
      </c>
      <c r="S2298" s="3" t="s">
        <v>9422</v>
      </c>
      <c r="T2298" s="2" t="s">
        <v>9423</v>
      </c>
      <c r="Y2298" s="4" t="str">
        <f>IFERROR(__xludf.DUMMYFUNCTION("""COMPUTED_VALUE"""),"6.5478877")</f>
        <v>6.5478877</v>
      </c>
      <c r="Z2298" s="4" t="str">
        <f>IFERROR(__xludf.DUMMYFUNCTION("""COMPUTED_VALUE"""),"4.3332349")</f>
        <v>4.3332349</v>
      </c>
      <c r="AA2298" s="4" t="str">
        <f t="shared" si="1"/>
        <v>Not Neighbor</v>
      </c>
      <c r="AC2298" s="4">
        <f>IFERROR(__xludf.DUMMYFUNCTION("IFERROR(ABS(O2298-AVERAGE(FILTER(O2298:O6366,AA2298:AA6366=""Neighbor""))) / STDEV(FILTER(O2298:O6366, AA2298:AA6366 =""Neighbor"")), """")"),3.7503195246076673)</f>
        <v>3.750319525</v>
      </c>
      <c r="AD2298" s="4">
        <f>IFERROR(__xludf.DUMMYFUNCTION("IFERROR(ABS(P2298-AVERAGE(FILTER(O2298:P6366,AA2298:AA6366=""Neighbor""))) / STDEV(FILTER(P2298:P6366, AA2298:AA6366 =""Neighbor"")), """")"),1.500439549309119)</f>
        <v>1.500439549</v>
      </c>
      <c r="AE2298" s="2">
        <f>IFERROR(__xludf.DUMMYFUNCTION("IFERROR(ABS(Q2298-AVERAGE(FILTER(Q2298:Q6366,AA2298:AA6366=""Neighbor""))) / STDEV(FILTER(Q2298:Q6366, AA2298:AA6366 =""Neighbor"")), """")"),1.2678615706307874)</f>
        <v>1.267861571</v>
      </c>
      <c r="AF2298" s="2">
        <f>IFERROR(__xludf.DUMMYFUNCTION("IFERROR(ABS(R2298-AVERAGE(FILTER(R2298:R6366,AA2298:AA6366=""Neighbor""))) / STDEV(FILTER(R2298:R6366, AA2298:AA6366 =""Neighbor"")), """")"),0.34092955673042263)</f>
        <v>0.3409295567</v>
      </c>
    </row>
    <row r="2299">
      <c r="A2299" s="2" t="s">
        <v>28</v>
      </c>
      <c r="B2299" s="2" t="s">
        <v>9299</v>
      </c>
      <c r="C2299" s="2" t="s">
        <v>9387</v>
      </c>
      <c r="D2299" s="2" t="s">
        <v>9424</v>
      </c>
      <c r="E2299" s="2" t="s">
        <v>9425</v>
      </c>
      <c r="F2299" s="2">
        <v>93.0</v>
      </c>
      <c r="G2299" s="2">
        <v>296.0</v>
      </c>
      <c r="H2299" s="2" t="b">
        <v>1</v>
      </c>
      <c r="I2299" s="2">
        <v>-1.0</v>
      </c>
      <c r="J2299" s="2" t="b">
        <v>1</v>
      </c>
      <c r="K2299" s="2" t="b">
        <v>0</v>
      </c>
      <c r="L2299" s="2" t="b">
        <v>0</v>
      </c>
      <c r="M2299" s="2" t="b">
        <v>0</v>
      </c>
      <c r="N2299" s="2" t="s">
        <v>33</v>
      </c>
      <c r="O2299" s="2">
        <v>47.0</v>
      </c>
      <c r="P2299" s="2">
        <v>25.0</v>
      </c>
      <c r="Q2299" s="2">
        <v>15.0</v>
      </c>
      <c r="R2299" s="2">
        <v>0.0</v>
      </c>
      <c r="S2299" s="3" t="s">
        <v>9426</v>
      </c>
      <c r="T2299" s="2" t="s">
        <v>9427</v>
      </c>
      <c r="Y2299" s="4" t="str">
        <f>IFERROR(__xludf.DUMMYFUNCTION("""COMPUTED_VALUE"""),"6.5279469")</f>
        <v>6.5279469</v>
      </c>
      <c r="Z2299" s="4" t="str">
        <f>IFERROR(__xludf.DUMMYFUNCTION("""COMPUTED_VALUE"""),"4.3892801")</f>
        <v>4.3892801</v>
      </c>
      <c r="AA2299" s="4" t="str">
        <f t="shared" si="1"/>
        <v>Not Neighbor</v>
      </c>
      <c r="AC2299" s="4">
        <f>IFERROR(__xludf.DUMMYFUNCTION("IFERROR(ABS(O2299-AVERAGE(FILTER(O2299:O6367,AA2299:AA6367=""Neighbor""))) / STDEV(FILTER(O2299:O6367, AA2299:AA6367 =""Neighbor"")), """")"),0.11130059163200154)</f>
        <v>0.1113005916</v>
      </c>
      <c r="AD2299" s="4">
        <f>IFERROR(__xludf.DUMMYFUNCTION("IFERROR(ABS(P2299-AVERAGE(FILTER(O2299:P6367,AA2299:AA6367=""Neighbor""))) / STDEV(FILTER(P2299:P6367, AA2299:AA6367 =""Neighbor"")), """")"),0.3983797314542822)</f>
        <v>0.3983797315</v>
      </c>
      <c r="AE2299" s="2">
        <f>IFERROR(__xludf.DUMMYFUNCTION("IFERROR(ABS(Q2299-AVERAGE(FILTER(Q2299:Q6367,AA2299:AA6367=""Neighbor""))) / STDEV(FILTER(Q2299:Q6367, AA2299:AA6367 =""Neighbor"")), """")"),0.16558536130691812)</f>
        <v>0.1655853613</v>
      </c>
      <c r="AF2299" s="2">
        <f>IFERROR(__xludf.DUMMYFUNCTION("IFERROR(ABS(R2299-AVERAGE(FILTER(R2299:R6367,AA2299:AA6367=""Neighbor""))) / STDEV(FILTER(R2299:R6367, AA2299:AA6367 =""Neighbor"")), """")"),0.34092955673042263)</f>
        <v>0.3409295567</v>
      </c>
    </row>
    <row r="2300">
      <c r="A2300" s="2" t="s">
        <v>28</v>
      </c>
      <c r="B2300" s="2" t="s">
        <v>9299</v>
      </c>
      <c r="C2300" s="2" t="s">
        <v>9387</v>
      </c>
      <c r="D2300" s="2" t="s">
        <v>9428</v>
      </c>
      <c r="E2300" s="2" t="s">
        <v>9429</v>
      </c>
      <c r="F2300" s="2">
        <v>31.0</v>
      </c>
      <c r="G2300" s="2">
        <v>185.0</v>
      </c>
      <c r="H2300" s="2" t="b">
        <v>1</v>
      </c>
      <c r="I2300" s="2">
        <v>-1.0</v>
      </c>
      <c r="J2300" s="2" t="b">
        <v>0</v>
      </c>
      <c r="K2300" s="2" t="b">
        <v>0</v>
      </c>
      <c r="L2300" s="2" t="b">
        <v>0</v>
      </c>
      <c r="M2300" s="2" t="b">
        <v>0</v>
      </c>
      <c r="N2300" s="2" t="s">
        <v>33</v>
      </c>
      <c r="O2300" s="2">
        <v>12.0</v>
      </c>
      <c r="P2300" s="2">
        <v>3.0</v>
      </c>
      <c r="Q2300" s="2">
        <v>15.0</v>
      </c>
      <c r="R2300" s="2">
        <v>0.0</v>
      </c>
      <c r="S2300" s="3" t="s">
        <v>9430</v>
      </c>
      <c r="T2300" s="2" t="s">
        <v>9431</v>
      </c>
      <c r="Y2300" s="4" t="str">
        <f>IFERROR(__xludf.DUMMYFUNCTION("""COMPUTED_VALUE"""),"6.5806165")</f>
        <v>6.5806165</v>
      </c>
      <c r="Z2300" s="4" t="str">
        <f>IFERROR(__xludf.DUMMYFUNCTION("""COMPUTED_VALUE"""),"4.3770704")</f>
        <v>4.3770704</v>
      </c>
      <c r="AA2300" s="4" t="str">
        <f t="shared" si="1"/>
        <v>Neighbor</v>
      </c>
      <c r="AC2300" s="4">
        <f>IFERROR(__xludf.DUMMYFUNCTION("IFERROR(ABS(O2300-AVERAGE(FILTER(O2300:O6368,AA2300:AA6368=""Neighbor""))) / STDEV(FILTER(O2300:O6368, AA2300:AA6368 =""Neighbor"")), """")"),1.09784587680272)</f>
        <v>1.097845877</v>
      </c>
      <c r="AD2300" s="4">
        <f>IFERROR(__xludf.DUMMYFUNCTION("IFERROR(ABS(P2300-AVERAGE(FILTER(O2300:P6368,AA2300:AA6368=""Neighbor""))) / STDEV(FILTER(P2300:P6368, AA2300:AA6368 =""Neighbor"")), """")"),1.3681923711665385)</f>
        <v>1.368192371</v>
      </c>
      <c r="AE2300" s="2">
        <f>IFERROR(__xludf.DUMMYFUNCTION("IFERROR(ABS(Q2300-AVERAGE(FILTER(Q2300:Q6368,AA2300:AA6368=""Neighbor""))) / STDEV(FILTER(Q2300:Q6368, AA2300:AA6368 =""Neighbor"")), """")"),0.16558536130691812)</f>
        <v>0.1655853613</v>
      </c>
      <c r="AF2300" s="2">
        <f>IFERROR(__xludf.DUMMYFUNCTION("IFERROR(ABS(R2300-AVERAGE(FILTER(R2300:R6368,AA2300:AA6368=""Neighbor""))) / STDEV(FILTER(R2300:R6368, AA2300:AA6368 =""Neighbor"")), """")"),0.34092955673042263)</f>
        <v>0.3409295567</v>
      </c>
    </row>
    <row r="2301">
      <c r="A2301" s="2" t="s">
        <v>28</v>
      </c>
      <c r="B2301" s="2" t="s">
        <v>9299</v>
      </c>
      <c r="C2301" s="2" t="s">
        <v>9387</v>
      </c>
      <c r="D2301" s="2" t="s">
        <v>9432</v>
      </c>
      <c r="E2301" s="2" t="s">
        <v>9433</v>
      </c>
      <c r="F2301" s="2">
        <v>37.0</v>
      </c>
      <c r="G2301" s="2">
        <v>248.0</v>
      </c>
      <c r="H2301" s="2" t="b">
        <v>1</v>
      </c>
      <c r="I2301" s="2">
        <v>-1.0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s">
        <v>33</v>
      </c>
      <c r="O2301" s="2">
        <v>13.0</v>
      </c>
      <c r="P2301" s="2">
        <v>1.0</v>
      </c>
      <c r="Q2301" s="2">
        <v>13.0</v>
      </c>
      <c r="R2301" s="2">
        <v>0.0</v>
      </c>
      <c r="S2301" s="3" t="s">
        <v>9434</v>
      </c>
      <c r="T2301" s="2" t="s">
        <v>9435</v>
      </c>
      <c r="Y2301" s="4" t="str">
        <f>IFERROR(__xludf.DUMMYFUNCTION("""COMPUTED_VALUE"""),"6.5806165")</f>
        <v>6.5806165</v>
      </c>
      <c r="Z2301" s="4" t="str">
        <f>IFERROR(__xludf.DUMMYFUNCTION("""COMPUTED_VALUE"""),"4.3770704")</f>
        <v>4.3770704</v>
      </c>
      <c r="AA2301" s="4" t="str">
        <f t="shared" si="1"/>
        <v>Neighbor</v>
      </c>
      <c r="AC2301" s="4">
        <f>IFERROR(__xludf.DUMMYFUNCTION("IFERROR(ABS(O2301-AVERAGE(FILTER(O2301:O6369,AA2301:AA6369=""Neighbor""))) / STDEV(FILTER(O2301:O6369, AA2301:AA6369 =""Neighbor"")), """")"),1.071294629660925)</f>
        <v>1.07129463</v>
      </c>
      <c r="AD2301" s="4">
        <f>IFERROR(__xludf.DUMMYFUNCTION("IFERROR(ABS(P2301-AVERAGE(FILTER(O2301:P6369,AA2301:AA6369=""Neighbor""))) / STDEV(FILTER(P2301:P6369, AA2301:AA6369 =""Neighbor"")), """")"),1.4573362680426951)</f>
        <v>1.457336268</v>
      </c>
      <c r="AE2301" s="2">
        <f>IFERROR(__xludf.DUMMYFUNCTION("IFERROR(ABS(Q2301-AVERAGE(FILTER(Q2301:Q6369,AA2301:AA6369=""Neighbor""))) / STDEV(FILTER(Q2301:Q6369, AA2301:AA6369 =""Neighbor"")), """")"),0.2718116431224879)</f>
        <v>0.2718116431</v>
      </c>
      <c r="AF2301" s="2">
        <f>IFERROR(__xludf.DUMMYFUNCTION("IFERROR(ABS(R2301-AVERAGE(FILTER(R2301:R6369,AA2301:AA6369=""Neighbor""))) / STDEV(FILTER(R2301:R6369, AA2301:AA6369 =""Neighbor"")), """")"),0.34118670491522024)</f>
        <v>0.3411867049</v>
      </c>
    </row>
    <row r="2302">
      <c r="A2302" s="2" t="s">
        <v>28</v>
      </c>
      <c r="B2302" s="2" t="s">
        <v>9299</v>
      </c>
      <c r="C2302" s="2" t="s">
        <v>9387</v>
      </c>
      <c r="D2302" s="2" t="s">
        <v>9436</v>
      </c>
      <c r="E2302" s="2" t="s">
        <v>9437</v>
      </c>
      <c r="F2302" s="2">
        <v>170.0</v>
      </c>
      <c r="G2302" s="2">
        <v>464.0</v>
      </c>
      <c r="H2302" s="2" t="b">
        <v>1</v>
      </c>
      <c r="I2302" s="2">
        <v>-1.0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s">
        <v>33</v>
      </c>
      <c r="O2302" s="2">
        <v>73.0</v>
      </c>
      <c r="P2302" s="2">
        <v>1.0</v>
      </c>
      <c r="Q2302" s="2">
        <v>78.0</v>
      </c>
      <c r="R2302" s="2">
        <v>0.0</v>
      </c>
      <c r="S2302" s="3" t="s">
        <v>9438</v>
      </c>
      <c r="T2302" s="2" t="s">
        <v>9439</v>
      </c>
      <c r="Y2302" s="4" t="str">
        <f>IFERROR(__xludf.DUMMYFUNCTION("""COMPUTED_VALUE"""),"6.5806165")</f>
        <v>6.5806165</v>
      </c>
      <c r="Z2302" s="4" t="str">
        <f>IFERROR(__xludf.DUMMYFUNCTION("""COMPUTED_VALUE"""),"4.3770704")</f>
        <v>4.3770704</v>
      </c>
      <c r="AA2302" s="4" t="str">
        <f t="shared" si="1"/>
        <v>Neighbor</v>
      </c>
      <c r="AC2302" s="4">
        <f>IFERROR(__xludf.DUMMYFUNCTION("IFERROR(ABS(O2302-AVERAGE(FILTER(O2302:O6370,AA2302:AA6370=""Neighbor""))) / STDEV(FILTER(O2302:O6370, AA2302:AA6370 =""Neighbor"")), """")"),0.6187740027585337)</f>
        <v>0.6187740028</v>
      </c>
      <c r="AD2302" s="4">
        <f>IFERROR(__xludf.DUMMYFUNCTION("IFERROR(ABS(P2302-AVERAGE(FILTER(O2302:P6370,AA2302:AA6370=""Neighbor""))) / STDEV(FILTER(P2302:P6370, AA2302:AA6370 =""Neighbor"")), """")"),1.458464797854535)</f>
        <v>1.458464798</v>
      </c>
      <c r="AE2302" s="2">
        <f>IFERROR(__xludf.DUMMYFUNCTION("IFERROR(ABS(Q2302-AVERAGE(FILTER(Q2302:Q6370,AA2302:AA6370=""Neighbor""))) / STDEV(FILTER(Q2302:Q6370, AA2302:AA6370 =""Neighbor"")), """")"),3.174445573156317)</f>
        <v>3.174445573</v>
      </c>
      <c r="AF2302" s="2">
        <f>IFERROR(__xludf.DUMMYFUNCTION("IFERROR(ABS(R2302-AVERAGE(FILTER(R2302:R6370,AA2302:AA6370=""Neighbor""))) / STDEV(FILTER(R2302:R6370, AA2302:AA6370 =""Neighbor"")), """")"),0.3414444359436355)</f>
        <v>0.3414444359</v>
      </c>
    </row>
    <row r="2303">
      <c r="A2303" s="2" t="s">
        <v>28</v>
      </c>
      <c r="B2303" s="2" t="s">
        <v>9299</v>
      </c>
      <c r="C2303" s="2" t="s">
        <v>9387</v>
      </c>
      <c r="D2303" s="2" t="s">
        <v>9440</v>
      </c>
      <c r="E2303" s="2" t="s">
        <v>9441</v>
      </c>
      <c r="F2303" s="2">
        <v>31.0</v>
      </c>
      <c r="G2303" s="2">
        <v>308.0</v>
      </c>
      <c r="H2303" s="2" t="b">
        <v>1</v>
      </c>
      <c r="I2303" s="2">
        <v>-1.0</v>
      </c>
      <c r="J2303" s="2" t="b">
        <v>0</v>
      </c>
      <c r="K2303" s="2" t="b">
        <v>0</v>
      </c>
      <c r="L2303" s="2" t="b">
        <v>0</v>
      </c>
      <c r="M2303" s="2" t="b">
        <v>0</v>
      </c>
      <c r="N2303" s="2" t="s">
        <v>33</v>
      </c>
      <c r="O2303" s="2">
        <v>50.0</v>
      </c>
      <c r="P2303" s="2">
        <v>5.0</v>
      </c>
      <c r="Q2303" s="2">
        <v>6.0</v>
      </c>
      <c r="R2303" s="2">
        <v>0.0</v>
      </c>
      <c r="S2303" s="3" t="s">
        <v>9442</v>
      </c>
      <c r="T2303" s="2" t="s">
        <v>9443</v>
      </c>
      <c r="Y2303" s="4" t="str">
        <f>IFERROR(__xludf.DUMMYFUNCTION("""COMPUTED_VALUE"""),"6.5806165")</f>
        <v>6.5806165</v>
      </c>
      <c r="Z2303" s="4" t="str">
        <f>IFERROR(__xludf.DUMMYFUNCTION("""COMPUTED_VALUE"""),"4.3770704")</f>
        <v>4.3770704</v>
      </c>
      <c r="AA2303" s="4" t="str">
        <f t="shared" si="1"/>
        <v>Not Neighbor</v>
      </c>
      <c r="AC2303" s="4">
        <f>IFERROR(__xludf.DUMMYFUNCTION("IFERROR(ABS(O2303-AVERAGE(FILTER(O2303:O6371,AA2303:AA6371=""Neighbor""))) / STDEV(FILTER(O2303:O6371, AA2303:AA6371 =""Neighbor"")), """")"),0.02883207195327026)</f>
        <v>0.02883207195</v>
      </c>
      <c r="AD2303" s="4">
        <f>IFERROR(__xludf.DUMMYFUNCTION("IFERROR(ABS(P2303-AVERAGE(FILTER(O2303:P6371,AA2303:AA6371=""Neighbor""))) / STDEV(FILTER(P2303:P6371, AA2303:AA6371 =""Neighbor"")), """")"),1.2816659953696279)</f>
        <v>1.281665995</v>
      </c>
      <c r="AE2303" s="2">
        <f>IFERROR(__xludf.DUMMYFUNCTION("IFERROR(ABS(Q2303-AVERAGE(FILTER(Q2303:Q6371,AA2303:AA6371=""Neighbor""))) / STDEV(FILTER(Q2303:Q6371, AA2303:AA6371 =""Neighbor"")), """")"),0.6428409181418562)</f>
        <v>0.6428409181</v>
      </c>
      <c r="AF2303" s="2">
        <f>IFERROR(__xludf.DUMMYFUNCTION("IFERROR(ABS(R2303-AVERAGE(FILTER(R2303:R6371,AA2303:AA6371=""Neighbor""))) / STDEV(FILTER(R2303:R6371, AA2303:AA6371 =""Neighbor"")), """")"),0.34170275202108336)</f>
        <v>0.341702752</v>
      </c>
    </row>
    <row r="2304">
      <c r="A2304" s="2" t="s">
        <v>28</v>
      </c>
      <c r="B2304" s="2" t="s">
        <v>9299</v>
      </c>
      <c r="C2304" s="2" t="s">
        <v>9444</v>
      </c>
      <c r="D2304" s="2" t="s">
        <v>9445</v>
      </c>
      <c r="E2304" s="2" t="s">
        <v>9446</v>
      </c>
      <c r="F2304" s="2">
        <v>105.0</v>
      </c>
      <c r="G2304" s="2">
        <v>290.0</v>
      </c>
      <c r="H2304" s="2" t="b">
        <v>1</v>
      </c>
      <c r="I2304" s="2">
        <v>-1.0</v>
      </c>
      <c r="J2304" s="2" t="b">
        <v>0</v>
      </c>
      <c r="K2304" s="2" t="b">
        <v>0</v>
      </c>
      <c r="L2304" s="2" t="b">
        <v>0</v>
      </c>
      <c r="M2304" s="2" t="b">
        <v>0</v>
      </c>
      <c r="N2304" s="2" t="s">
        <v>33</v>
      </c>
      <c r="O2304" s="2">
        <v>63.0</v>
      </c>
      <c r="P2304" s="2">
        <v>4.0</v>
      </c>
      <c r="Q2304" s="2">
        <v>30.0</v>
      </c>
      <c r="R2304" s="2">
        <v>0.0</v>
      </c>
      <c r="S2304" s="3" t="s">
        <v>9447</v>
      </c>
      <c r="T2304" s="2" t="s">
        <v>9448</v>
      </c>
      <c r="Y2304" s="4" t="str">
        <f>IFERROR(__xludf.DUMMYFUNCTION("""COMPUTED_VALUE"""),"6.5397255")</f>
        <v>6.5397255</v>
      </c>
      <c r="Z2304" s="4" t="str">
        <f>IFERROR(__xludf.DUMMYFUNCTION("""COMPUTED_VALUE"""),"4.3346794")</f>
        <v>4.3346794</v>
      </c>
      <c r="AA2304" s="4" t="str">
        <f t="shared" si="1"/>
        <v>Neighbor</v>
      </c>
      <c r="AC2304" s="4">
        <f>IFERROR(__xludf.DUMMYFUNCTION("IFERROR(ABS(O2304-AVERAGE(FILTER(O2304:O6372,AA2304:AA6372=""Neighbor""))) / STDEV(FILTER(O2304:O6372, AA2304:AA6372 =""Neighbor"")), """")"),0.3375340837288009)</f>
        <v>0.3375340837</v>
      </c>
      <c r="AD2304" s="4">
        <f>IFERROR(__xludf.DUMMYFUNCTION("IFERROR(ABS(P2304-AVERAGE(FILTER(O2304:P6372,AA2304:AA6372=""Neighbor""))) / STDEV(FILTER(P2304:P6372, AA2304:AA6372 =""Neighbor"")), """")"),1.3257006715426463)</f>
        <v>1.325700672</v>
      </c>
      <c r="AE2304" s="2">
        <f>IFERROR(__xludf.DUMMYFUNCTION("IFERROR(ABS(Q2304-AVERAGE(FILTER(Q2304:Q6372,AA2304:AA6372=""Neighbor""))) / STDEV(FILTER(Q2304:Q6372, AA2304:AA6372 =""Neighbor"")), """")"),0.6376286944812466)</f>
        <v>0.6376286945</v>
      </c>
      <c r="AF2304" s="2">
        <f>IFERROR(__xludf.DUMMYFUNCTION("IFERROR(ABS(R2304-AVERAGE(FILTER(R2304:R6372,AA2304:AA6372=""Neighbor""))) / STDEV(FILTER(R2304:R6372, AA2304:AA6372 =""Neighbor"")), """")"),0.34170275202108336)</f>
        <v>0.341702752</v>
      </c>
    </row>
    <row r="2305">
      <c r="A2305" s="2" t="s">
        <v>28</v>
      </c>
      <c r="B2305" s="2" t="s">
        <v>9299</v>
      </c>
      <c r="C2305" s="2" t="s">
        <v>9444</v>
      </c>
      <c r="D2305" s="2" t="s">
        <v>9449</v>
      </c>
      <c r="E2305" s="2" t="s">
        <v>9450</v>
      </c>
      <c r="F2305" s="2">
        <v>122.0</v>
      </c>
      <c r="G2305" s="2">
        <v>334.0</v>
      </c>
      <c r="H2305" s="2" t="b">
        <v>1</v>
      </c>
      <c r="I2305" s="2">
        <v>-1.0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s">
        <v>33</v>
      </c>
      <c r="O2305" s="2">
        <v>70.0</v>
      </c>
      <c r="P2305" s="2">
        <v>1.0</v>
      </c>
      <c r="Q2305" s="2">
        <v>29.0</v>
      </c>
      <c r="R2305" s="2">
        <v>0.0</v>
      </c>
      <c r="S2305" s="3" t="s">
        <v>9451</v>
      </c>
      <c r="T2305" s="2" t="s">
        <v>9452</v>
      </c>
      <c r="Y2305" s="4" t="str">
        <f>IFERROR(__xludf.DUMMYFUNCTION("""COMPUTED_VALUE"""),"6.5397255")</f>
        <v>6.5397255</v>
      </c>
      <c r="Z2305" s="4" t="str">
        <f>IFERROR(__xludf.DUMMYFUNCTION("""COMPUTED_VALUE"""),"4.3346794")</f>
        <v>4.3346794</v>
      </c>
      <c r="AA2305" s="4" t="str">
        <f t="shared" si="1"/>
        <v>Neighbor</v>
      </c>
      <c r="AC2305" s="4">
        <f>IFERROR(__xludf.DUMMYFUNCTION("IFERROR(ABS(O2305-AVERAGE(FILTER(O2305:O6373,AA2305:AA6373=""Neighbor""))) / STDEV(FILTER(O2305:O6373, AA2305:AA6373 =""Neighbor"")), """")"),0.5349444790069137)</f>
        <v>0.534944479</v>
      </c>
      <c r="AD2305" s="4">
        <f>IFERROR(__xludf.DUMMYFUNCTION("IFERROR(ABS(P2305-AVERAGE(FILTER(O2305:P6373,AA2305:AA6373=""Neighbor""))) / STDEV(FILTER(P2305:P6373, AA2305:AA6373 =""Neighbor"")), """")"),1.4571846039769618)</f>
        <v>1.457184604</v>
      </c>
      <c r="AE2305" s="2">
        <f>IFERROR(__xludf.DUMMYFUNCTION("IFERROR(ABS(Q2305-AVERAGE(FILTER(Q2305:Q6373,AA2305:AA6373=""Neighbor""))) / STDEV(FILTER(Q2305:Q6373, AA2305:AA6373 =""Neighbor"")), """")"),0.5849062816977535)</f>
        <v>0.5849062817</v>
      </c>
      <c r="AF2305" s="2">
        <f>IFERROR(__xludf.DUMMYFUNCTION("IFERROR(ABS(R2305-AVERAGE(FILTER(R2305:R6373,AA2305:AA6373=""Neighbor""))) / STDEV(FILTER(R2305:R6373, AA2305:AA6373 =""Neighbor"")), """")"),0.3419616553646806)</f>
        <v>0.3419616554</v>
      </c>
    </row>
    <row r="2306">
      <c r="A2306" s="2" t="s">
        <v>28</v>
      </c>
      <c r="B2306" s="2" t="s">
        <v>9299</v>
      </c>
      <c r="C2306" s="2" t="s">
        <v>9444</v>
      </c>
      <c r="D2306" s="2" t="s">
        <v>9453</v>
      </c>
      <c r="E2306" s="2" t="s">
        <v>9454</v>
      </c>
      <c r="F2306" s="2">
        <v>147.0</v>
      </c>
      <c r="G2306" s="2">
        <v>500.0</v>
      </c>
      <c r="H2306" s="2" t="b">
        <v>1</v>
      </c>
      <c r="I2306" s="2">
        <v>-1.0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s">
        <v>33</v>
      </c>
      <c r="O2306" s="2">
        <v>87.0</v>
      </c>
      <c r="P2306" s="2">
        <v>2.0</v>
      </c>
      <c r="Q2306" s="2">
        <v>47.0</v>
      </c>
      <c r="R2306" s="2">
        <v>1.0</v>
      </c>
      <c r="S2306" s="3" t="s">
        <v>9455</v>
      </c>
      <c r="T2306" s="2" t="s">
        <v>9456</v>
      </c>
      <c r="Y2306" s="4" t="str">
        <f>IFERROR(__xludf.DUMMYFUNCTION("""COMPUTED_VALUE"""),"6.5396807")</f>
        <v>6.5396807</v>
      </c>
      <c r="Z2306" s="4" t="str">
        <f>IFERROR(__xludf.DUMMYFUNCTION("""COMPUTED_VALUE"""),"4.3347566")</f>
        <v>4.3347566</v>
      </c>
      <c r="AA2306" s="4" t="str">
        <f t="shared" si="1"/>
        <v>Neighbor</v>
      </c>
      <c r="AC2306" s="4">
        <f>IFERROR(__xludf.DUMMYFUNCTION("IFERROR(ABS(O2306-AVERAGE(FILTER(O2306:O6374,AA2306:AA6374=""Neighbor""))) / STDEV(FILTER(O2306:O6374, AA2306:AA6374 =""Neighbor"")), """")"),1.0139853510126626)</f>
        <v>1.013985351</v>
      </c>
      <c r="AD2306" s="4">
        <f>IFERROR(__xludf.DUMMYFUNCTION("IFERROR(ABS(P2306-AVERAGE(FILTER(O2306:P6374,AA2306:AA6374=""Neighbor""))) / STDEV(FILTER(P2306:P6374, AA2306:AA6374 =""Neighbor"")), """")"),1.4126144260134883)</f>
        <v>1.412614426</v>
      </c>
      <c r="AE2306" s="2">
        <f>IFERROR(__xludf.DUMMYFUNCTION("IFERROR(ABS(Q2306-AVERAGE(FILTER(Q2306:Q6374,AA2306:AA6374=""Neighbor""))) / STDEV(FILTER(Q2306:Q6374, AA2306:AA6374 =""Neighbor"")), """")"),1.544975452513393)</f>
        <v>1.544975453</v>
      </c>
      <c r="AF2306" s="2">
        <f>IFERROR(__xludf.DUMMYFUNCTION("IFERROR(ABS(R2306-AVERAGE(FILTER(R2306:R6374,AA2306:AA6374=""Neighbor""))) / STDEV(FILTER(R2306:R6374, AA2306:AA6374 =""Neighbor"")), """")"),0.811597860647337)</f>
        <v>0.8115978606</v>
      </c>
    </row>
    <row r="2307">
      <c r="A2307" s="2" t="s">
        <v>28</v>
      </c>
      <c r="B2307" s="2" t="s">
        <v>9299</v>
      </c>
      <c r="C2307" s="2" t="s">
        <v>9444</v>
      </c>
      <c r="D2307" s="2" t="s">
        <v>9457</v>
      </c>
      <c r="E2307" s="2" t="s">
        <v>9458</v>
      </c>
      <c r="F2307" s="2">
        <v>99.0</v>
      </c>
      <c r="G2307" s="2">
        <v>352.0</v>
      </c>
      <c r="H2307" s="2" t="b">
        <v>1</v>
      </c>
      <c r="I2307" s="2">
        <v>-1.0</v>
      </c>
      <c r="J2307" s="2" t="b">
        <v>0</v>
      </c>
      <c r="K2307" s="2" t="b">
        <v>0</v>
      </c>
      <c r="L2307" s="2" t="b">
        <v>0</v>
      </c>
      <c r="M2307" s="2" t="b">
        <v>0</v>
      </c>
      <c r="N2307" s="2" t="s">
        <v>33</v>
      </c>
      <c r="O2307" s="2">
        <v>63.0</v>
      </c>
      <c r="P2307" s="2">
        <v>3.0</v>
      </c>
      <c r="Q2307" s="2">
        <v>29.0</v>
      </c>
      <c r="R2307" s="2">
        <v>1.0</v>
      </c>
      <c r="S2307" s="3" t="s">
        <v>9459</v>
      </c>
      <c r="T2307" s="2" t="s">
        <v>9460</v>
      </c>
      <c r="Y2307" s="4" t="str">
        <f>IFERROR(__xludf.DUMMYFUNCTION("""COMPUTED_VALUE"""),"6.5397255")</f>
        <v>6.5397255</v>
      </c>
      <c r="Z2307" s="4" t="str">
        <f>IFERROR(__xludf.DUMMYFUNCTION("""COMPUTED_VALUE"""),"4.3346794")</f>
        <v>4.3346794</v>
      </c>
      <c r="AA2307" s="4" t="str">
        <f t="shared" si="1"/>
        <v>Not Neighbor</v>
      </c>
      <c r="AC2307" s="4">
        <f>IFERROR(__xludf.DUMMYFUNCTION("IFERROR(ABS(O2307-AVERAGE(FILTER(O2307:O6375,AA2307:AA6375=""Neighbor""))) / STDEV(FILTER(O2307:O6375, AA2307:AA6375 =""Neighbor"")), """")"),0.33974089822825965)</f>
        <v>0.3397408982</v>
      </c>
      <c r="AD2307" s="4">
        <f>IFERROR(__xludf.DUMMYFUNCTION("IFERROR(ABS(P2307-AVERAGE(FILTER(O2307:P6375,AA2307:AA6375=""Neighbor""))) / STDEV(FILTER(P2307:P6375, AA2307:AA6375 =""Neighbor"")), """")"),1.367477801181205)</f>
        <v>1.367477801</v>
      </c>
      <c r="AE2307" s="2">
        <f>IFERROR(__xludf.DUMMYFUNCTION("IFERROR(ABS(Q2307-AVERAGE(FILTER(Q2307:Q6375,AA2307:AA6375=""Neighbor""))) / STDEV(FILTER(Q2307:Q6375, AA2307:AA6375 =""Neighbor"")), """")"),0.5881027828340745)</f>
        <v>0.5881027828</v>
      </c>
      <c r="AF2307" s="2">
        <f>IFERROR(__xludf.DUMMYFUNCTION("IFERROR(ABS(R2307-AVERAGE(FILTER(R2307:R6375,AA2307:AA6375=""Neighbor""))) / STDEV(FILTER(R2307:R6375, AA2307:AA6375 =""Neighbor"")), """")"),0.8125149322370386)</f>
        <v>0.8125149322</v>
      </c>
    </row>
    <row r="2308">
      <c r="A2308" s="2" t="s">
        <v>28</v>
      </c>
      <c r="B2308" s="2" t="s">
        <v>9299</v>
      </c>
      <c r="C2308" s="2" t="s">
        <v>9444</v>
      </c>
      <c r="D2308" s="2" t="s">
        <v>9461</v>
      </c>
      <c r="E2308" s="2" t="s">
        <v>9462</v>
      </c>
      <c r="F2308" s="2">
        <v>319.0</v>
      </c>
      <c r="G2308" s="2">
        <v>900.0</v>
      </c>
      <c r="H2308" s="2" t="b">
        <v>1</v>
      </c>
      <c r="I2308" s="2">
        <v>-1.0</v>
      </c>
      <c r="J2308" s="2" t="b">
        <v>0</v>
      </c>
      <c r="K2308" s="2" t="b">
        <v>1</v>
      </c>
      <c r="L2308" s="2" t="b">
        <v>0</v>
      </c>
      <c r="M2308" s="2" t="b">
        <v>0</v>
      </c>
      <c r="N2308" s="2" t="s">
        <v>33</v>
      </c>
      <c r="O2308" s="2">
        <v>201.0</v>
      </c>
      <c r="P2308" s="2">
        <v>0.0</v>
      </c>
      <c r="Q2308" s="2">
        <v>109.0</v>
      </c>
      <c r="R2308" s="2">
        <v>0.0</v>
      </c>
      <c r="S2308" s="3" t="s">
        <v>9463</v>
      </c>
      <c r="T2308" s="2" t="s">
        <v>9464</v>
      </c>
      <c r="Y2308" s="4" t="str">
        <f>IFERROR(__xludf.DUMMYFUNCTION("""COMPUTED_VALUE"""),"7.945211")</f>
        <v>7.945211</v>
      </c>
      <c r="Z2308" s="4" t="str">
        <f>IFERROR(__xludf.DUMMYFUNCTION("""COMPUTED_VALUE"""),"4.788842")</f>
        <v>4.788842</v>
      </c>
      <c r="AA2308" s="4" t="str">
        <f t="shared" si="1"/>
        <v>Not Neighbor</v>
      </c>
      <c r="AC2308" s="4">
        <f>IFERROR(__xludf.DUMMYFUNCTION("IFERROR(ABS(O2308-AVERAGE(FILTER(O2308:O6376,AA2308:AA6376=""Neighbor""))) / STDEV(FILTER(O2308:O6376, AA2308:AA6376 =""Neighbor"")), """")"),4.224707602149786)</f>
        <v>4.224707602</v>
      </c>
      <c r="AD2308" s="4">
        <f>IFERROR(__xludf.DUMMYFUNCTION("IFERROR(ABS(P2308-AVERAGE(FILTER(O2308:P6376,AA2308:AA6376=""Neighbor""))) / STDEV(FILTER(P2308:P6376, AA2308:AA6376 =""Neighbor"")), """")"),1.4994287276815452)</f>
        <v>1.499428728</v>
      </c>
      <c r="AE2308" s="2">
        <f>IFERROR(__xludf.DUMMYFUNCTION("IFERROR(ABS(Q2308-AVERAGE(FILTER(Q2308:Q6376,AA2308:AA6376=""Neighbor""))) / STDEV(FILTER(Q2308:Q6376, AA2308:AA6376 =""Neighbor"")), """")"),4.856754872823797)</f>
        <v>4.856754873</v>
      </c>
      <c r="AF2308" s="2">
        <f>IFERROR(__xludf.DUMMYFUNCTION("IFERROR(ABS(R2308-AVERAGE(FILTER(R2308:R6376,AA2308:AA6376=""Neighbor""))) / STDEV(FILTER(R2308:R6376, AA2308:AA6376 =""Neighbor"")), """")"),0.34103624815365063)</f>
        <v>0.3410362482</v>
      </c>
    </row>
    <row r="2309">
      <c r="A2309" s="2" t="s">
        <v>28</v>
      </c>
      <c r="B2309" s="2" t="s">
        <v>9299</v>
      </c>
      <c r="C2309" s="2" t="s">
        <v>9444</v>
      </c>
      <c r="D2309" s="2" t="s">
        <v>9465</v>
      </c>
      <c r="E2309" s="2" t="s">
        <v>9466</v>
      </c>
      <c r="F2309" s="2">
        <v>166.0</v>
      </c>
      <c r="G2309" s="2">
        <v>520.0</v>
      </c>
      <c r="H2309" s="2" t="b">
        <v>1</v>
      </c>
      <c r="I2309" s="2">
        <v>-1.0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s">
        <v>33</v>
      </c>
      <c r="O2309" s="2">
        <v>113.0</v>
      </c>
      <c r="P2309" s="2">
        <v>0.0</v>
      </c>
      <c r="Q2309" s="2">
        <v>48.0</v>
      </c>
      <c r="R2309" s="2">
        <v>2.0</v>
      </c>
      <c r="S2309" s="3" t="s">
        <v>9467</v>
      </c>
      <c r="T2309" s="2" t="s">
        <v>9468</v>
      </c>
      <c r="Y2309" s="4" t="str">
        <f>IFERROR(__xludf.DUMMYFUNCTION("""COMPUTED_VALUE"""),"6.5397255")</f>
        <v>6.5397255</v>
      </c>
      <c r="Z2309" s="4" t="str">
        <f>IFERROR(__xludf.DUMMYFUNCTION("""COMPUTED_VALUE"""),"4.3346794")</f>
        <v>4.3346794</v>
      </c>
      <c r="AA2309" s="4" t="str">
        <f t="shared" si="1"/>
        <v>Not Neighbor</v>
      </c>
      <c r="AC2309" s="4">
        <f>IFERROR(__xludf.DUMMYFUNCTION("IFERROR(ABS(O2309-AVERAGE(FILTER(O2309:O6377,AA2309:AA6377=""Neighbor""))) / STDEV(FILTER(O2309:O6377, AA2309:AA6377 =""Neighbor"")), """")"),1.7473375300838851)</f>
        <v>1.74733753</v>
      </c>
      <c r="AD2309" s="4">
        <f>IFERROR(__xludf.DUMMYFUNCTION("IFERROR(ABS(P2309-AVERAGE(FILTER(O2309:P6377,AA2309:AA6377=""Neighbor""))) / STDEV(FILTER(P2309:P6377, AA2309:AA6377 =""Neighbor"")), """")"),1.4994287276815452)</f>
        <v>1.499428728</v>
      </c>
      <c r="AE2309" s="2">
        <f>IFERROR(__xludf.DUMMYFUNCTION("IFERROR(ABS(Q2309-AVERAGE(FILTER(Q2309:Q6377,AA2309:AA6377=""Neighbor""))) / STDEV(FILTER(Q2309:Q6377, AA2309:AA6377 =""Neighbor"")), """")"),1.6019076542066335)</f>
        <v>1.601907654</v>
      </c>
      <c r="AF2309" s="2">
        <f>IFERROR(__xludf.DUMMYFUNCTION("IFERROR(ABS(R2309-AVERAGE(FILTER(R2309:R6377,AA2309:AA6377=""Neighbor""))) / STDEV(FILTER(R2309:R6377, AA2309:AA6377 =""Neighbor"")), """")"),1.966066112627728)</f>
        <v>1.966066113</v>
      </c>
    </row>
    <row r="2310">
      <c r="A2310" s="2" t="s">
        <v>28</v>
      </c>
      <c r="B2310" s="2" t="s">
        <v>9299</v>
      </c>
      <c r="C2310" s="2" t="s">
        <v>9444</v>
      </c>
      <c r="D2310" s="2" t="s">
        <v>9469</v>
      </c>
      <c r="E2310" s="2" t="s">
        <v>9470</v>
      </c>
      <c r="F2310" s="2">
        <v>111.0</v>
      </c>
      <c r="G2310" s="2">
        <v>272.0</v>
      </c>
      <c r="H2310" s="2" t="b">
        <v>1</v>
      </c>
      <c r="I2310" s="2">
        <v>-1.0</v>
      </c>
      <c r="J2310" s="2" t="b">
        <v>0</v>
      </c>
      <c r="K2310" s="2" t="b">
        <v>0</v>
      </c>
      <c r="L2310" s="2" t="b">
        <v>0</v>
      </c>
      <c r="M2310" s="2" t="b">
        <v>0</v>
      </c>
      <c r="N2310" s="2" t="s">
        <v>33</v>
      </c>
      <c r="O2310" s="2">
        <v>72.0</v>
      </c>
      <c r="P2310" s="2">
        <v>2.0</v>
      </c>
      <c r="Q2310" s="2">
        <v>34.0</v>
      </c>
      <c r="R2310" s="2">
        <v>0.0</v>
      </c>
      <c r="S2310" s="3" t="s">
        <v>9471</v>
      </c>
      <c r="T2310" s="2" t="s">
        <v>9472</v>
      </c>
      <c r="Y2310" s="4" t="str">
        <f>IFERROR(__xludf.DUMMYFUNCTION("""COMPUTED_VALUE"""),"9.0562646")</f>
        <v>9.0562646</v>
      </c>
      <c r="Z2310" s="4" t="str">
        <f>IFERROR(__xludf.DUMMYFUNCTION("""COMPUTED_VALUE"""),"7.4985259")</f>
        <v>7.4985259</v>
      </c>
      <c r="AA2310" s="4" t="str">
        <f t="shared" si="1"/>
        <v>Not Neighbor</v>
      </c>
      <c r="AC2310" s="4">
        <f>IFERROR(__xludf.DUMMYFUNCTION("IFERROR(ABS(O2310-AVERAGE(FILTER(O2310:O6378,AA2310:AA6378=""Neighbor""))) / STDEV(FILTER(O2310:O6378, AA2310:AA6378 =""Neighbor"")), """")"),0.5931082919622722)</f>
        <v>0.593108292</v>
      </c>
      <c r="AD2310" s="4">
        <f>IFERROR(__xludf.DUMMYFUNCTION("IFERROR(ABS(P2310-AVERAGE(FILTER(O2310:P6378,AA2310:AA6378=""Neighbor""))) / STDEV(FILTER(P2310:P6378, AA2310:AA6378 =""Neighbor"")), """")"),1.411461443347985)</f>
        <v>1.411461443</v>
      </c>
      <c r="AE2310" s="2">
        <f>IFERROR(__xludf.DUMMYFUNCTION("IFERROR(ABS(Q2310-AVERAGE(FILTER(Q2310:Q6378,AA2310:AA6378=""Neighbor""))) / STDEV(FILTER(Q2310:Q6378, AA2310:AA6378 =""Neighbor"")), """")"),0.8548935384584322)</f>
        <v>0.8548935385</v>
      </c>
      <c r="AF2310" s="2">
        <f>IFERROR(__xludf.DUMMYFUNCTION("IFERROR(ABS(R2310-AVERAGE(FILTER(R2310:R6378,AA2310:AA6378=""Neighbor""))) / STDEV(FILTER(R2310:R6378, AA2310:AA6378 =""Neighbor"")), """")"),0.34103624815365063)</f>
        <v>0.3410362482</v>
      </c>
    </row>
    <row r="2311">
      <c r="A2311" s="2" t="s">
        <v>28</v>
      </c>
      <c r="B2311" s="2" t="s">
        <v>9299</v>
      </c>
      <c r="C2311" s="2" t="s">
        <v>9444</v>
      </c>
      <c r="D2311" s="2" t="s">
        <v>9473</v>
      </c>
      <c r="E2311" s="2" t="s">
        <v>9474</v>
      </c>
      <c r="F2311" s="2">
        <v>130.0</v>
      </c>
      <c r="G2311" s="2">
        <v>388.0</v>
      </c>
      <c r="H2311" s="2" t="b">
        <v>1</v>
      </c>
      <c r="I2311" s="2">
        <v>-1.0</v>
      </c>
      <c r="J2311" s="2" t="b">
        <v>0</v>
      </c>
      <c r="K2311" s="2" t="b">
        <v>1</v>
      </c>
      <c r="L2311" s="2" t="b">
        <v>0</v>
      </c>
      <c r="M2311" s="2" t="b">
        <v>0</v>
      </c>
      <c r="N2311" s="2" t="s">
        <v>33</v>
      </c>
      <c r="O2311" s="2">
        <v>0.0</v>
      </c>
      <c r="P2311" s="2">
        <v>0.0</v>
      </c>
      <c r="Q2311" s="2">
        <v>0.0</v>
      </c>
      <c r="R2311" s="2">
        <v>0.0</v>
      </c>
      <c r="S2311" s="3" t="s">
        <v>9475</v>
      </c>
      <c r="T2311" s="2" t="s">
        <v>9476</v>
      </c>
      <c r="Y2311" s="4" t="str">
        <f>IFERROR(__xludf.DUMMYFUNCTION("""COMPUTED_VALUE"""),"6.5397255")</f>
        <v>6.5397255</v>
      </c>
      <c r="Z2311" s="4" t="str">
        <f>IFERROR(__xludf.DUMMYFUNCTION("""COMPUTED_VALUE"""),"4.3346794")</f>
        <v>4.3346794</v>
      </c>
      <c r="AA2311" s="4" t="str">
        <f t="shared" si="1"/>
        <v>Neighbor</v>
      </c>
      <c r="AC2311" s="4">
        <f>IFERROR(__xludf.DUMMYFUNCTION("IFERROR(ABS(O2311-AVERAGE(FILTER(O2311:O6379,AA2311:AA6379=""Neighbor""))) / STDEV(FILTER(O2311:O6379, AA2311:AA6379 =""Neighbor"")), """")"),1.4338308579098284)</f>
        <v>1.433830858</v>
      </c>
      <c r="AD2311" s="4">
        <f>IFERROR(__xludf.DUMMYFUNCTION("IFERROR(ABS(P2311-AVERAGE(FILTER(O2311:P6379,AA2311:AA6379=""Neighbor""))) / STDEV(FILTER(P2311:P6379, AA2311:AA6379 =""Neighbor"")), """")"),1.4994287276815452)</f>
        <v>1.499428728</v>
      </c>
      <c r="AE2311" s="2">
        <f>IFERROR(__xludf.DUMMYFUNCTION("IFERROR(ABS(Q2311-AVERAGE(FILTER(Q2311:Q6379,AA2311:AA6379=""Neighbor""))) / STDEV(FILTER(Q2311:Q6379, AA2311:AA6379 =""Neighbor"")), """")"),0.9592835997871998)</f>
        <v>0.9592835998</v>
      </c>
      <c r="AF2311" s="2">
        <f>IFERROR(__xludf.DUMMYFUNCTION("IFERROR(ABS(R2311-AVERAGE(FILTER(R2311:R6379,AA2311:AA6379=""Neighbor""))) / STDEV(FILTER(R2311:R6379, AA2311:AA6379 =""Neighbor"")), """")"),0.34103624815365063)</f>
        <v>0.3410362482</v>
      </c>
    </row>
    <row r="2312">
      <c r="A2312" s="2" t="s">
        <v>28</v>
      </c>
      <c r="B2312" s="2" t="s">
        <v>9299</v>
      </c>
      <c r="C2312" s="2" t="s">
        <v>9444</v>
      </c>
      <c r="D2312" s="2" t="s">
        <v>9477</v>
      </c>
      <c r="E2312" s="2" t="s">
        <v>9478</v>
      </c>
      <c r="F2312" s="2">
        <v>93.0</v>
      </c>
      <c r="G2312" s="2">
        <v>322.0</v>
      </c>
      <c r="H2312" s="2" t="b">
        <v>1</v>
      </c>
      <c r="I2312" s="2">
        <v>-1.0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s">
        <v>33</v>
      </c>
      <c r="O2312" s="2">
        <v>68.0</v>
      </c>
      <c r="P2312" s="2">
        <v>2.0</v>
      </c>
      <c r="Q2312" s="2">
        <v>22.0</v>
      </c>
      <c r="R2312" s="2">
        <v>1.0</v>
      </c>
      <c r="S2312" s="3" t="s">
        <v>9479</v>
      </c>
      <c r="T2312" s="2" t="s">
        <v>9480</v>
      </c>
      <c r="Y2312" s="4" t="str">
        <f>IFERROR(__xludf.DUMMYFUNCTION("""COMPUTED_VALUE"""),"6.5397255")</f>
        <v>6.5397255</v>
      </c>
      <c r="Z2312" s="4" t="str">
        <f>IFERROR(__xludf.DUMMYFUNCTION("""COMPUTED_VALUE"""),"4.3346794")</f>
        <v>4.3346794</v>
      </c>
      <c r="AA2312" s="4" t="str">
        <f t="shared" si="1"/>
        <v>Not Neighbor</v>
      </c>
      <c r="AC2312" s="4">
        <f>IFERROR(__xludf.DUMMYFUNCTION("IFERROR(ABS(O2312-AVERAGE(FILTER(O2312:O6380,AA2312:AA6380=""Neighbor""))) / STDEV(FILTER(O2312:O6380, AA2312:AA6380 =""Neighbor"")), """")"),0.47889087840423883)</f>
        <v>0.4788908784</v>
      </c>
      <c r="AD2312" s="4">
        <f>IFERROR(__xludf.DUMMYFUNCTION("IFERROR(ABS(P2312-AVERAGE(FILTER(O2312:P6380,AA2312:AA6380=""Neighbor""))) / STDEV(FILTER(P2312:P6380, AA2312:AA6380 =""Neighbor"")), """")"),1.413098228791648)</f>
        <v>1.413098229</v>
      </c>
      <c r="AE2312" s="2">
        <f>IFERROR(__xludf.DUMMYFUNCTION("IFERROR(ABS(Q2312-AVERAGE(FILTER(Q2312:Q6380,AA2312:AA6380=""Neighbor""))) / STDEV(FILTER(Q2312:Q6380, AA2312:AA6380 =""Neighbor"")), """")"),0.21327557766786912)</f>
        <v>0.2132755777</v>
      </c>
      <c r="AF2312" s="2">
        <f>IFERROR(__xludf.DUMMYFUNCTION("IFERROR(ABS(R2312-AVERAGE(FILTER(R2312:R6380,AA2312:AA6380=""Neighbor""))) / STDEV(FILTER(R2312:R6380, AA2312:AA6380 =""Neighbor"")), """")"),0.8115600361144619)</f>
        <v>0.8115600361</v>
      </c>
    </row>
    <row r="2313">
      <c r="A2313" s="2" t="s">
        <v>28</v>
      </c>
      <c r="B2313" s="2" t="s">
        <v>9299</v>
      </c>
      <c r="C2313" s="2" t="s">
        <v>9481</v>
      </c>
      <c r="D2313" s="2" t="s">
        <v>9482</v>
      </c>
      <c r="E2313" s="2" t="s">
        <v>9483</v>
      </c>
      <c r="F2313" s="2">
        <v>134.0</v>
      </c>
      <c r="G2313" s="2">
        <v>466.0</v>
      </c>
      <c r="H2313" s="2" t="b">
        <v>1</v>
      </c>
      <c r="I2313" s="2">
        <v>-1.0</v>
      </c>
      <c r="J2313" s="2" t="b">
        <v>0</v>
      </c>
      <c r="K2313" s="2" t="b">
        <v>0</v>
      </c>
      <c r="L2313" s="2" t="b">
        <v>0</v>
      </c>
      <c r="M2313" s="2" t="b">
        <v>0</v>
      </c>
      <c r="N2313" s="2" t="s">
        <v>33</v>
      </c>
      <c r="O2313" s="2">
        <v>84.0</v>
      </c>
      <c r="P2313" s="2">
        <v>8.0</v>
      </c>
      <c r="Q2313" s="2">
        <v>32.0</v>
      </c>
      <c r="R2313" s="2">
        <v>2.0</v>
      </c>
      <c r="S2313" s="3" t="s">
        <v>9484</v>
      </c>
      <c r="T2313" s="2" t="s">
        <v>9485</v>
      </c>
      <c r="Y2313" s="4" t="str">
        <f>IFERROR(__xludf.DUMMYFUNCTION("""COMPUTED_VALUE"""),"6.4888201")</f>
        <v>6.4888201</v>
      </c>
      <c r="Z2313" s="4" t="str">
        <f>IFERROR(__xludf.DUMMYFUNCTION("""COMPUTED_VALUE"""),"4.4164393")</f>
        <v>4.4164393</v>
      </c>
      <c r="AA2313" s="4" t="str">
        <f t="shared" si="1"/>
        <v>Neighbor</v>
      </c>
      <c r="AC2313" s="4">
        <f>IFERROR(__xludf.DUMMYFUNCTION("IFERROR(ABS(O2313-AVERAGE(FILTER(O2313:O6381,AA2313:AA6381=""Neighbor""))) / STDEV(FILTER(O2313:O6381, AA2313:AA6381 =""Neighbor"")), """")"),0.9296478785587261)</f>
        <v>0.9296478786</v>
      </c>
      <c r="AD2313" s="4">
        <f>IFERROR(__xludf.DUMMYFUNCTION("IFERROR(ABS(P2313-AVERAGE(FILTER(O2313:P6381,AA2313:AA6381=""Neighbor""))) / STDEV(FILTER(P2313:P6381, AA2313:AA6381 =""Neighbor"")), """")"),1.149272702494207)</f>
        <v>1.149272702</v>
      </c>
      <c r="AE2313" s="2">
        <f>IFERROR(__xludf.DUMMYFUNCTION("IFERROR(ABS(Q2313-AVERAGE(FILTER(Q2313:Q6381,AA2313:AA6381=""Neighbor""))) / STDEV(FILTER(Q2313:Q6381, AA2313:AA6381 =""Neighbor"")), """")"),0.7468284733352688)</f>
        <v>0.7468284733</v>
      </c>
      <c r="AF2313" s="2">
        <f>IFERROR(__xludf.DUMMYFUNCTION("IFERROR(ABS(R2313-AVERAGE(FILTER(R2313:R6381,AA2313:AA6381=""Neighbor""))) / STDEV(FILTER(R2313:R6381, AA2313:AA6381 =""Neighbor"")), """")"),1.9644156688119436)</f>
        <v>1.964415669</v>
      </c>
    </row>
    <row r="2314">
      <c r="A2314" s="2" t="s">
        <v>28</v>
      </c>
      <c r="B2314" s="2" t="s">
        <v>9299</v>
      </c>
      <c r="C2314" s="2" t="s">
        <v>9481</v>
      </c>
      <c r="D2314" s="2" t="s">
        <v>9486</v>
      </c>
      <c r="E2314" s="2" t="s">
        <v>9487</v>
      </c>
      <c r="F2314" s="2">
        <v>226.0</v>
      </c>
      <c r="G2314" s="2">
        <v>672.0</v>
      </c>
      <c r="H2314" s="2" t="b">
        <v>1</v>
      </c>
      <c r="I2314" s="2">
        <v>-1.0</v>
      </c>
      <c r="J2314" s="2" t="b">
        <v>0</v>
      </c>
      <c r="K2314" s="2" t="b">
        <v>0</v>
      </c>
      <c r="L2314" s="2" t="b">
        <v>0</v>
      </c>
      <c r="M2314" s="2" t="b">
        <v>0</v>
      </c>
      <c r="N2314" s="2" t="s">
        <v>33</v>
      </c>
      <c r="O2314" s="2">
        <v>113.0</v>
      </c>
      <c r="P2314" s="2">
        <v>11.0</v>
      </c>
      <c r="Q2314" s="2">
        <v>77.0</v>
      </c>
      <c r="R2314" s="2">
        <v>0.0</v>
      </c>
      <c r="S2314" s="3" t="s">
        <v>9488</v>
      </c>
      <c r="T2314" s="2" t="s">
        <v>9489</v>
      </c>
      <c r="Y2314" s="4" t="str">
        <f>IFERROR(__xludf.DUMMYFUNCTION("""COMPUTED_VALUE"""),"6.4896421")</f>
        <v>6.4896421</v>
      </c>
      <c r="Z2314" s="4" t="str">
        <f>IFERROR(__xludf.DUMMYFUNCTION("""COMPUTED_VALUE"""),"4.4170836")</f>
        <v>4.4170836</v>
      </c>
      <c r="AA2314" s="4" t="str">
        <f t="shared" si="1"/>
        <v>Neighbor</v>
      </c>
      <c r="AC2314" s="4">
        <f>IFERROR(__xludf.DUMMYFUNCTION("IFERROR(ABS(O2314-AVERAGE(FILTER(O2314:O6382,AA2314:AA6382=""Neighbor""))) / STDEV(FILTER(O2314:O6382, AA2314:AA6382 =""Neighbor"")), """")"),1.7477540822577893)</f>
        <v>1.747754082</v>
      </c>
      <c r="AD2314" s="4">
        <f>IFERROR(__xludf.DUMMYFUNCTION("IFERROR(ABS(P2314-AVERAGE(FILTER(O2314:P6382,AA2314:AA6382=""Neighbor""))) / STDEV(FILTER(P2314:P6382, AA2314:AA6382 =""Neighbor"")), """")"),1.0160682185835397)</f>
        <v>1.016068219</v>
      </c>
      <c r="AE2314" s="2">
        <f>IFERROR(__xludf.DUMMYFUNCTION("IFERROR(ABS(Q2314-AVERAGE(FILTER(Q2314:Q6382,AA2314:AA6382=""Neighbor""))) / STDEV(FILTER(Q2314:Q6382, AA2314:AA6382 =""Neighbor"")), """")"),3.1478863265088135)</f>
        <v>3.147886327</v>
      </c>
      <c r="AF2314" s="2">
        <f>IFERROR(__xludf.DUMMYFUNCTION("IFERROR(ABS(R2314-AVERAGE(FILTER(R2314:R6382,AA2314:AA6382=""Neighbor""))) / STDEV(FILTER(R2314:R6382, AA2314:AA6382 =""Neighbor"")), """")"),0.33927729832115533)</f>
        <v>0.3392772983</v>
      </c>
    </row>
    <row r="2315">
      <c r="A2315" s="2" t="s">
        <v>28</v>
      </c>
      <c r="B2315" s="2" t="s">
        <v>9299</v>
      </c>
      <c r="C2315" s="2" t="s">
        <v>9481</v>
      </c>
      <c r="D2315" s="2" t="s">
        <v>9490</v>
      </c>
      <c r="E2315" s="2" t="s">
        <v>9491</v>
      </c>
      <c r="F2315" s="2">
        <v>46.0</v>
      </c>
      <c r="G2315" s="2">
        <v>107.0</v>
      </c>
      <c r="H2315" s="2" t="b">
        <v>1</v>
      </c>
      <c r="I2315" s="2">
        <v>-1.0</v>
      </c>
      <c r="J2315" s="2" t="b">
        <v>1</v>
      </c>
      <c r="K2315" s="2" t="b">
        <v>0</v>
      </c>
      <c r="L2315" s="2" t="b">
        <v>0</v>
      </c>
      <c r="M2315" s="2" t="b">
        <v>0</v>
      </c>
      <c r="N2315" s="2" t="s">
        <v>33</v>
      </c>
      <c r="O2315" s="2">
        <v>24.0</v>
      </c>
      <c r="P2315" s="2">
        <v>2.0</v>
      </c>
      <c r="Q2315" s="2">
        <v>6.0</v>
      </c>
      <c r="R2315" s="2">
        <v>0.0</v>
      </c>
      <c r="S2315" s="3" t="s">
        <v>9492</v>
      </c>
      <c r="T2315" s="2" t="s">
        <v>9493</v>
      </c>
      <c r="Y2315" s="4" t="str">
        <f>IFERROR(__xludf.DUMMYFUNCTION("""COMPUTED_VALUE"""),"6.4888201")</f>
        <v>6.4888201</v>
      </c>
      <c r="Z2315" s="4" t="str">
        <f>IFERROR(__xludf.DUMMYFUNCTION("""COMPUTED_VALUE"""),"4.4164393")</f>
        <v>4.4164393</v>
      </c>
      <c r="AA2315" s="4" t="str">
        <f t="shared" si="1"/>
        <v>Neighbor</v>
      </c>
      <c r="AC2315" s="4">
        <f>IFERROR(__xludf.DUMMYFUNCTION("IFERROR(ABS(O2315-AVERAGE(FILTER(O2315:O6383,AA2315:AA6383=""Neighbor""))) / STDEV(FILTER(O2315:O6383, AA2315:AA6383 =""Neighbor"")), """")"),0.7580297517935981)</f>
        <v>0.7580297518</v>
      </c>
      <c r="AD2315" s="4">
        <f>IFERROR(__xludf.DUMMYFUNCTION("IFERROR(ABS(P2315-AVERAGE(FILTER(O2315:P6383,AA2315:AA6383=""Neighbor""))) / STDEV(FILTER(P2315:P6383, AA2315:AA6383 =""Neighbor"")), """")"),1.409013997926344)</f>
        <v>1.409013998</v>
      </c>
      <c r="AE2315" s="2">
        <f>IFERROR(__xludf.DUMMYFUNCTION("IFERROR(ABS(Q2315-AVERAGE(FILTER(Q2315:Q6383,AA2315:AA6383=""Neighbor""))) / STDEV(FILTER(Q2315:Q6383, AA2315:AA6383 =""Neighbor"")), """")"),0.6388055761350735)</f>
        <v>0.6388055761</v>
      </c>
      <c r="AF2315" s="2">
        <f>IFERROR(__xludf.DUMMYFUNCTION("IFERROR(ABS(R2315-AVERAGE(FILTER(R2315:R6383,AA2315:AA6383=""Neighbor""))) / STDEV(FILTER(R2315:R6383, AA2315:AA6383 =""Neighbor"")), """")"),0.3395357357749006)</f>
        <v>0.3395357358</v>
      </c>
    </row>
    <row r="2316">
      <c r="A2316" s="2" t="s">
        <v>28</v>
      </c>
      <c r="B2316" s="2" t="s">
        <v>9299</v>
      </c>
      <c r="C2316" s="2" t="s">
        <v>9481</v>
      </c>
      <c r="D2316" s="2" t="s">
        <v>9494</v>
      </c>
      <c r="E2316" s="2" t="s">
        <v>9495</v>
      </c>
      <c r="F2316" s="2">
        <v>21.0</v>
      </c>
      <c r="G2316" s="2">
        <v>80.0</v>
      </c>
      <c r="H2316" s="2" t="b">
        <v>1</v>
      </c>
      <c r="I2316" s="2">
        <v>-1.0</v>
      </c>
      <c r="J2316" s="2" t="b">
        <v>0</v>
      </c>
      <c r="K2316" s="2" t="b">
        <v>0</v>
      </c>
      <c r="L2316" s="2" t="b">
        <v>0</v>
      </c>
      <c r="M2316" s="2" t="b">
        <v>0</v>
      </c>
      <c r="N2316" s="2" t="s">
        <v>33</v>
      </c>
      <c r="O2316" s="2">
        <v>13.0</v>
      </c>
      <c r="P2316" s="2">
        <v>3.0</v>
      </c>
      <c r="Q2316" s="2">
        <v>3.0</v>
      </c>
      <c r="R2316" s="2">
        <v>0.0</v>
      </c>
      <c r="S2316" s="3" t="s">
        <v>9496</v>
      </c>
      <c r="T2316" s="2" t="s">
        <v>9497</v>
      </c>
      <c r="Y2316" s="4" t="str">
        <f>IFERROR(__xludf.DUMMYFUNCTION("""COMPUTED_VALUE"""),"6.4888201")</f>
        <v>6.4888201</v>
      </c>
      <c r="Z2316" s="4" t="str">
        <f>IFERROR(__xludf.DUMMYFUNCTION("""COMPUTED_VALUE"""),"4.4164393")</f>
        <v>4.4164393</v>
      </c>
      <c r="AA2316" s="4" t="str">
        <f t="shared" si="1"/>
        <v>Neighbor</v>
      </c>
      <c r="AC2316" s="4">
        <f>IFERROR(__xludf.DUMMYFUNCTION("IFERROR(ABS(O2316-AVERAGE(FILTER(O2316:O6384,AA2316:AA6384=""Neighbor""))) / STDEV(FILTER(O2316:O6384, AA2316:AA6384 =""Neighbor"")), """")"),1.0690616606640897)</f>
        <v>1.069061661</v>
      </c>
      <c r="AD2316" s="4">
        <f>IFERROR(__xludf.DUMMYFUNCTION("IFERROR(ABS(P2316-AVERAGE(FILTER(O2316:P6384,AA2316:AA6384=""Neighbor""))) / STDEV(FILTER(P2316:P6384, AA2316:AA6384 =""Neighbor"")), """")"),1.3658508035682027)</f>
        <v>1.365850804</v>
      </c>
      <c r="AE2316" s="2">
        <f>IFERROR(__xludf.DUMMYFUNCTION("IFERROR(ABS(Q2316-AVERAGE(FILTER(Q2316:Q6384,AA2316:AA6384=""Neighbor""))) / STDEV(FILTER(Q2316:Q6384, AA2316:AA6384 =""Neighbor"")), """")"),0.8003606442761821)</f>
        <v>0.8003606443</v>
      </c>
      <c r="AF2316" s="2">
        <f>IFERROR(__xludf.DUMMYFUNCTION("IFERROR(ABS(R2316-AVERAGE(FILTER(R2316:R6384,AA2316:AA6384=""Neighbor""))) / STDEV(FILTER(R2316:R6384, AA2316:AA6384 =""Neighbor"")), """")"),0.3397947648074459)</f>
        <v>0.3397947648</v>
      </c>
    </row>
    <row r="2317">
      <c r="A2317" s="2" t="s">
        <v>28</v>
      </c>
      <c r="B2317" s="2" t="s">
        <v>9299</v>
      </c>
      <c r="C2317" s="2" t="s">
        <v>9481</v>
      </c>
      <c r="D2317" s="2" t="s">
        <v>9498</v>
      </c>
      <c r="E2317" s="2" t="s">
        <v>9499</v>
      </c>
      <c r="F2317" s="2">
        <v>25.0</v>
      </c>
      <c r="G2317" s="2">
        <v>86.0</v>
      </c>
      <c r="H2317" s="2" t="b">
        <v>1</v>
      </c>
      <c r="I2317" s="2">
        <v>-1.0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s">
        <v>33</v>
      </c>
      <c r="O2317" s="2">
        <v>14.0</v>
      </c>
      <c r="P2317" s="2">
        <v>1.0</v>
      </c>
      <c r="Q2317" s="2">
        <v>8.0</v>
      </c>
      <c r="R2317" s="2">
        <v>0.0</v>
      </c>
      <c r="S2317" s="3" t="s">
        <v>9500</v>
      </c>
      <c r="T2317" s="2" t="s">
        <v>9501</v>
      </c>
      <c r="Y2317" s="4" t="str">
        <f>IFERROR(__xludf.DUMMYFUNCTION("""COMPUTED_VALUE"""),"6.4888201")</f>
        <v>6.4888201</v>
      </c>
      <c r="Z2317" s="4" t="str">
        <f>IFERROR(__xludf.DUMMYFUNCTION("""COMPUTED_VALUE"""),"4.4164393")</f>
        <v>4.4164393</v>
      </c>
      <c r="AA2317" s="4" t="str">
        <f t="shared" si="1"/>
        <v>Neighbor</v>
      </c>
      <c r="AC2317" s="4">
        <f>IFERROR(__xludf.DUMMYFUNCTION("IFERROR(ABS(O2317-AVERAGE(FILTER(O2317:O6385,AA2317:AA6385=""Neighbor""))) / STDEV(FILTER(O2317:O6385, AA2317:AA6385 =""Neighbor"")), """")"),1.0424302541490493)</f>
        <v>1.042430254</v>
      </c>
      <c r="AD2317" s="4">
        <f>IFERROR(__xludf.DUMMYFUNCTION("IFERROR(ABS(P2317-AVERAGE(FILTER(O2317:P6385,AA2317:AA6385=""Neighbor""))) / STDEV(FILTER(P2317:P6385, AA2317:AA6385 =""Neighbor"")), """")"),1.454622675133301)</f>
        <v>1.454622675</v>
      </c>
      <c r="AE2317" s="2">
        <f>IFERROR(__xludf.DUMMYFUNCTION("IFERROR(ABS(Q2317-AVERAGE(FILTER(Q2317:Q6385,AA2317:AA6385=""Neighbor""))) / STDEV(FILTER(Q2317:Q6385, AA2317:AA6385 =""Neighbor"")), """")"),0.5330951221027838)</f>
        <v>0.5330951221</v>
      </c>
      <c r="AF2317" s="2">
        <f>IFERROR(__xludf.DUMMYFUNCTION("IFERROR(ABS(R2317-AVERAGE(FILTER(R2317:R6385,AA2317:AA6385=""Neighbor""))) / STDEV(FILTER(R2317:R6385, AA2317:AA6385 =""Neighbor"")), """")"),0.34005438767950813)</f>
        <v>0.3400543877</v>
      </c>
    </row>
    <row r="2318">
      <c r="A2318" s="2" t="s">
        <v>28</v>
      </c>
      <c r="B2318" s="2" t="s">
        <v>9299</v>
      </c>
      <c r="C2318" s="2" t="s">
        <v>9481</v>
      </c>
      <c r="D2318" s="2" t="s">
        <v>9502</v>
      </c>
      <c r="E2318" s="2" t="s">
        <v>9503</v>
      </c>
      <c r="F2318" s="2">
        <v>13.0</v>
      </c>
      <c r="G2318" s="2">
        <v>107.0</v>
      </c>
      <c r="H2318" s="2" t="b">
        <v>1</v>
      </c>
      <c r="I2318" s="2">
        <v>-1.0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s">
        <v>33</v>
      </c>
      <c r="O2318" s="2">
        <v>10.0</v>
      </c>
      <c r="P2318" s="2">
        <v>0.0</v>
      </c>
      <c r="Q2318" s="2">
        <v>1.0</v>
      </c>
      <c r="R2318" s="2">
        <v>0.0</v>
      </c>
      <c r="S2318" s="3" t="s">
        <v>9504</v>
      </c>
      <c r="T2318" s="2" t="s">
        <v>9505</v>
      </c>
      <c r="Y2318" s="4" t="str">
        <f>IFERROR(__xludf.DUMMYFUNCTION("""COMPUTED_VALUE"""),"6.4888201")</f>
        <v>6.4888201</v>
      </c>
      <c r="Z2318" s="4" t="str">
        <f>IFERROR(__xludf.DUMMYFUNCTION("""COMPUTED_VALUE"""),"4.4164393")</f>
        <v>4.4164393</v>
      </c>
      <c r="AA2318" s="4" t="str">
        <f t="shared" si="1"/>
        <v>Not Neighbor</v>
      </c>
      <c r="AC2318" s="4">
        <f>IFERROR(__xludf.DUMMYFUNCTION("IFERROR(ABS(O2318-AVERAGE(FILTER(O2318:O6386,AA2318:AA6386=""Neighbor""))) / STDEV(FILTER(O2318:O6386, AA2318:AA6386 =""Neighbor"")), """")"),1.156748754774677)</f>
        <v>1.156748755</v>
      </c>
      <c r="AD2318" s="4">
        <f>IFERROR(__xludf.DUMMYFUNCTION("IFERROR(ABS(P2318-AVERAGE(FILTER(O2318:P6386,AA2318:AA6386=""Neighbor""))) / STDEV(FILTER(P2318:P6386, AA2318:AA6386 =""Neighbor"")), """")"),1.4996117415080614)</f>
        <v>1.499611742</v>
      </c>
      <c r="AE2318" s="2">
        <f>IFERROR(__xludf.DUMMYFUNCTION("IFERROR(ABS(Q2318-AVERAGE(FILTER(Q2318:Q6386,AA2318:AA6386=""Neighbor""))) / STDEV(FILTER(Q2318:Q6386, AA2318:AA6386 =""Neighbor"")), """")"),0.9088129084241728)</f>
        <v>0.9088129084</v>
      </c>
      <c r="AF2318" s="2">
        <f>IFERROR(__xludf.DUMMYFUNCTION("IFERROR(ABS(R2318-AVERAGE(FILTER(R2318:R6386,AA2318:AA6386=""Neighbor""))) / STDEV(FILTER(R2318:R6386, AA2318:AA6386 =""Neighbor"")), """")"),0.34031460666391905)</f>
        <v>0.3403146067</v>
      </c>
    </row>
    <row r="2319">
      <c r="A2319" s="2" t="s">
        <v>28</v>
      </c>
      <c r="B2319" s="2" t="s">
        <v>9299</v>
      </c>
      <c r="C2319" s="2" t="s">
        <v>9481</v>
      </c>
      <c r="D2319" s="2" t="s">
        <v>9506</v>
      </c>
      <c r="E2319" s="2" t="s">
        <v>9507</v>
      </c>
      <c r="F2319" s="2">
        <v>152.0</v>
      </c>
      <c r="G2319" s="2">
        <v>507.0</v>
      </c>
      <c r="H2319" s="2" t="b">
        <v>1</v>
      </c>
      <c r="I2319" s="2">
        <v>-1.0</v>
      </c>
      <c r="J2319" s="2" t="b">
        <v>0</v>
      </c>
      <c r="K2319" s="2" t="b">
        <v>0</v>
      </c>
      <c r="L2319" s="2" t="b">
        <v>0</v>
      </c>
      <c r="M2319" s="2" t="b">
        <v>0</v>
      </c>
      <c r="N2319" s="2" t="s">
        <v>33</v>
      </c>
      <c r="O2319" s="2">
        <v>77.0</v>
      </c>
      <c r="P2319" s="2">
        <v>2.0</v>
      </c>
      <c r="Q2319" s="2">
        <v>63.0</v>
      </c>
      <c r="R2319" s="2">
        <v>0.0</v>
      </c>
      <c r="S2319" s="3" t="s">
        <v>9508</v>
      </c>
      <c r="T2319" s="2" t="s">
        <v>9509</v>
      </c>
      <c r="Y2319" s="4" t="str">
        <f>IFERROR(__xludf.DUMMYFUNCTION("""COMPUTED_VALUE"""),"43.3381465")</f>
        <v>43.3381465</v>
      </c>
      <c r="Z2319" s="4" t="str">
        <f>IFERROR(__xludf.DUMMYFUNCTION("""COMPUTED_VALUE"""),"-1.7888495")</f>
        <v>-1.7888495</v>
      </c>
      <c r="AA2319" s="4" t="str">
        <f t="shared" si="1"/>
        <v>Not Neighbor</v>
      </c>
      <c r="AC2319" s="4">
        <f>IFERROR(__xludf.DUMMYFUNCTION("IFERROR(ABS(O2319-AVERAGE(FILTER(O2319:O6387,AA2319:AA6387=""Neighbor""))) / STDEV(FILTER(O2319:O6387, AA2319:AA6387 =""Neighbor"")), """")"),0.7330414804507263)</f>
        <v>0.7330414805</v>
      </c>
      <c r="AD2319" s="4">
        <f>IFERROR(__xludf.DUMMYFUNCTION("IFERROR(ABS(P2319-AVERAGE(FILTER(O2319:P6387,AA2319:AA6387=""Neighbor""))) / STDEV(FILTER(P2319:P6387, AA2319:AA6387 =""Neighbor"")), """")"),1.4118742708162775)</f>
        <v>1.411874271</v>
      </c>
      <c r="AE2319" s="2">
        <f>IFERROR(__xludf.DUMMYFUNCTION("IFERROR(ABS(Q2319-AVERAGE(FILTER(Q2319:Q6387,AA2319:AA6387=""Neighbor""))) / STDEV(FILTER(Q2319:Q6387, AA2319:AA6387 =""Neighbor"")), """")"),2.4148120660235235)</f>
        <v>2.414812066</v>
      </c>
      <c r="AF2319" s="2">
        <f>IFERROR(__xludf.DUMMYFUNCTION("IFERROR(ABS(R2319-AVERAGE(FILTER(R2319:R6387,AA2319:AA6387=""Neighbor""))) / STDEV(FILTER(R2319:R6387, AA2319:AA6387 =""Neighbor"")), """")"),0.34031460666391905)</f>
        <v>0.3403146067</v>
      </c>
    </row>
    <row r="2320">
      <c r="A2320" s="2" t="s">
        <v>28</v>
      </c>
      <c r="B2320" s="2" t="s">
        <v>9299</v>
      </c>
      <c r="C2320" s="2" t="s">
        <v>9481</v>
      </c>
      <c r="D2320" s="2" t="s">
        <v>9510</v>
      </c>
      <c r="E2320" s="2" t="s">
        <v>9511</v>
      </c>
      <c r="F2320" s="2">
        <v>27.0</v>
      </c>
      <c r="G2320" s="2">
        <v>104.0</v>
      </c>
      <c r="H2320" s="2" t="b">
        <v>1</v>
      </c>
      <c r="I2320" s="2">
        <v>-1.0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s">
        <v>33</v>
      </c>
      <c r="O2320" s="2">
        <v>16.0</v>
      </c>
      <c r="P2320" s="2">
        <v>0.0</v>
      </c>
      <c r="Q2320" s="2">
        <v>9.0</v>
      </c>
      <c r="R2320" s="2">
        <v>2.0</v>
      </c>
      <c r="S2320" s="3" t="s">
        <v>9512</v>
      </c>
      <c r="T2320" s="2" t="s">
        <v>9513</v>
      </c>
      <c r="Y2320" s="4" t="str">
        <f>IFERROR(__xludf.DUMMYFUNCTION("""COMPUTED_VALUE"""),"6.5169241")</f>
        <v>6.5169241</v>
      </c>
      <c r="Z2320" s="4" t="str">
        <f>IFERROR(__xludf.DUMMYFUNCTION("""COMPUTED_VALUE"""),"4.356513")</f>
        <v>4.356513</v>
      </c>
      <c r="AA2320" s="4" t="str">
        <f t="shared" si="1"/>
        <v>Not Neighbor</v>
      </c>
      <c r="AC2320" s="4">
        <f>IFERROR(__xludf.DUMMYFUNCTION("IFERROR(ABS(O2320-AVERAGE(FILTER(O2320:O6388,AA2320:AA6388=""Neighbor""))) / STDEV(FILTER(O2320:O6388, AA2320:AA6388 =""Neighbor"")), """")"),0.9875138083365812)</f>
        <v>0.9875138083</v>
      </c>
      <c r="AD2320" s="4">
        <f>IFERROR(__xludf.DUMMYFUNCTION("IFERROR(ABS(P2320-AVERAGE(FILTER(O2320:P6388,AA2320:AA6388=""Neighbor""))) / STDEV(FILTER(P2320:P6388, AA2320:AA6388 =""Neighbor"")), """")"),1.4996117415080614)</f>
        <v>1.499611742</v>
      </c>
      <c r="AE2320" s="2">
        <f>IFERROR(__xludf.DUMMYFUNCTION("IFERROR(ABS(Q2320-AVERAGE(FILTER(Q2320:Q6388,AA2320:AA6388=""Neighbor""))) / STDEV(FILTER(Q2320:Q6388, AA2320:AA6388 =""Neighbor"")), """")"),0.47995807301156695)</f>
        <v>0.479958073</v>
      </c>
      <c r="AF2320" s="2">
        <f>IFERROR(__xludf.DUMMYFUNCTION("IFERROR(ABS(R2320-AVERAGE(FILTER(R2320:R6388,AA2320:AA6388=""Neighbor""))) / STDEV(FILTER(R2320:R6388, AA2320:AA6388 =""Neighbor"")), """")"),1.9643275668368536)</f>
        <v>1.964327567</v>
      </c>
    </row>
    <row r="2321">
      <c r="A2321" s="2" t="s">
        <v>28</v>
      </c>
      <c r="B2321" s="2" t="s">
        <v>9299</v>
      </c>
      <c r="C2321" s="2" t="s">
        <v>9481</v>
      </c>
      <c r="D2321" s="2" t="s">
        <v>9514</v>
      </c>
      <c r="E2321" s="2" t="s">
        <v>9515</v>
      </c>
      <c r="F2321" s="2">
        <v>24.0</v>
      </c>
      <c r="G2321" s="2">
        <v>161.0</v>
      </c>
      <c r="H2321" s="2" t="b">
        <v>1</v>
      </c>
      <c r="I2321" s="2">
        <v>-1.0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s">
        <v>33</v>
      </c>
      <c r="O2321" s="2">
        <v>13.0</v>
      </c>
      <c r="P2321" s="2">
        <v>6.0</v>
      </c>
      <c r="Q2321" s="2">
        <v>3.0</v>
      </c>
      <c r="R2321" s="2">
        <v>0.0</v>
      </c>
      <c r="S2321" s="3" t="s">
        <v>9516</v>
      </c>
      <c r="T2321" s="2" t="s">
        <v>9517</v>
      </c>
      <c r="Y2321" s="4" t="str">
        <f>IFERROR(__xludf.DUMMYFUNCTION("""COMPUTED_VALUE"""),"6.4888201")</f>
        <v>6.4888201</v>
      </c>
      <c r="Z2321" s="4" t="str">
        <f>IFERROR(__xludf.DUMMYFUNCTION("""COMPUTED_VALUE"""),"4.4164393")</f>
        <v>4.4164393</v>
      </c>
      <c r="AA2321" s="4" t="str">
        <f t="shared" si="1"/>
        <v>Not Neighbor</v>
      </c>
      <c r="AC2321" s="4">
        <f>IFERROR(__xludf.DUMMYFUNCTION("IFERROR(ABS(O2321-AVERAGE(FILTER(O2321:O6389,AA2321:AA6389=""Neighbor""))) / STDEV(FILTER(O2321:O6389, AA2321:AA6389 =""Neighbor"")), """")"),1.0721312815556292)</f>
        <v>1.072131282</v>
      </c>
      <c r="AD2321" s="4">
        <f>IFERROR(__xludf.DUMMYFUNCTION("IFERROR(ABS(P2321-AVERAGE(FILTER(O2321:P6389,AA2321:AA6389=""Neighbor""))) / STDEV(FILTER(P2321:P6389, AA2321:AA6389 =""Neighbor"")), """")"),1.2363993294327094)</f>
        <v>1.236399329</v>
      </c>
      <c r="AE2321" s="2">
        <f>IFERROR(__xludf.DUMMYFUNCTION("IFERROR(ABS(Q2321-AVERAGE(FILTER(Q2321:Q6389,AA2321:AA6389=""Neighbor""))) / STDEV(FILTER(Q2321:Q6389, AA2321:AA6389 =""Neighbor"")), """")"),0.8015991995710214)</f>
        <v>0.8015991996</v>
      </c>
      <c r="AF2321" s="2">
        <f>IFERROR(__xludf.DUMMYFUNCTION("IFERROR(ABS(R2321-AVERAGE(FILTER(R2321:R6389,AA2321:AA6389=""Neighbor""))) / STDEV(FILTER(R2321:R6389, AA2321:AA6389 =""Neighbor"")), """")"),0.34031460666391905)</f>
        <v>0.3403146067</v>
      </c>
    </row>
    <row r="2322">
      <c r="A2322" s="2" t="s">
        <v>28</v>
      </c>
      <c r="B2322" s="2" t="s">
        <v>9299</v>
      </c>
      <c r="C2322" s="2" t="s">
        <v>9518</v>
      </c>
      <c r="D2322" s="2" t="s">
        <v>9519</v>
      </c>
      <c r="E2322" s="2" t="s">
        <v>9520</v>
      </c>
      <c r="F2322" s="2">
        <v>142.0</v>
      </c>
      <c r="G2322" s="2">
        <v>750.0</v>
      </c>
      <c r="H2322" s="2" t="b">
        <v>1</v>
      </c>
      <c r="I2322" s="2">
        <v>-1.0</v>
      </c>
      <c r="J2322" s="2" t="b">
        <v>1</v>
      </c>
      <c r="K2322" s="2" t="b">
        <v>0</v>
      </c>
      <c r="L2322" s="2" t="b">
        <v>0</v>
      </c>
      <c r="M2322" s="2" t="b">
        <v>0</v>
      </c>
      <c r="N2322" s="2" t="s">
        <v>33</v>
      </c>
      <c r="O2322" s="2">
        <v>69.0</v>
      </c>
      <c r="P2322" s="2">
        <v>2.0</v>
      </c>
      <c r="Q2322" s="2">
        <v>65.0</v>
      </c>
      <c r="R2322" s="2">
        <v>0.0</v>
      </c>
      <c r="S2322" s="3" t="s">
        <v>9521</v>
      </c>
      <c r="T2322" s="2" t="s">
        <v>9522</v>
      </c>
      <c r="Y2322" s="4" t="str">
        <f>IFERROR(__xludf.DUMMYFUNCTION("""COMPUTED_VALUE"""),"6.6140101")</f>
        <v>6.6140101</v>
      </c>
      <c r="Z2322" s="4" t="str">
        <f>IFERROR(__xludf.DUMMYFUNCTION("""COMPUTED_VALUE"""),"4.5454416")</f>
        <v>4.5454416</v>
      </c>
      <c r="AA2322" s="4" t="str">
        <f t="shared" si="1"/>
        <v>Not Neighbor</v>
      </c>
      <c r="AC2322" s="4">
        <f>IFERROR(__xludf.DUMMYFUNCTION("IFERROR(ABS(O2322-AVERAGE(FILTER(O2322:O6390,AA2322:AA6390=""Neighbor""))) / STDEV(FILTER(O2322:O6390, AA2322:AA6390 =""Neighbor"")), """")"),0.5073948851999319)</f>
        <v>0.5073948852</v>
      </c>
      <c r="AD2322" s="4">
        <f>IFERROR(__xludf.DUMMYFUNCTION("IFERROR(ABS(P2322-AVERAGE(FILTER(O2322:P6390,AA2322:AA6390=""Neighbor""))) / STDEV(FILTER(P2322:P6390, AA2322:AA6390 =""Neighbor"")), """")"),1.4118742708162775)</f>
        <v>1.411874271</v>
      </c>
      <c r="AE2322" s="2">
        <f>IFERROR(__xludf.DUMMYFUNCTION("IFERROR(ABS(Q2322-AVERAGE(FILTER(Q2322:Q6390,AA2322:AA6390=""Neighbor""))) / STDEV(FILTER(Q2322:Q6390, AA2322:AA6390 =""Neighbor"")), """")"),2.522025774876675)</f>
        <v>2.522025775</v>
      </c>
      <c r="AF2322" s="2">
        <f>IFERROR(__xludf.DUMMYFUNCTION("IFERROR(ABS(R2322-AVERAGE(FILTER(R2322:R6390,AA2322:AA6390=""Neighbor""))) / STDEV(FILTER(R2322:R6390, AA2322:AA6390 =""Neighbor"")), """")"),0.34031460666391905)</f>
        <v>0.3403146067</v>
      </c>
    </row>
    <row r="2323">
      <c r="A2323" s="2" t="s">
        <v>28</v>
      </c>
      <c r="B2323" s="2" t="s">
        <v>9299</v>
      </c>
      <c r="C2323" s="2" t="s">
        <v>9518</v>
      </c>
      <c r="D2323" s="2" t="s">
        <v>9523</v>
      </c>
      <c r="E2323" s="2" t="s">
        <v>9524</v>
      </c>
      <c r="F2323" s="2">
        <v>78.0</v>
      </c>
      <c r="G2323" s="2">
        <v>467.0</v>
      </c>
      <c r="H2323" s="2" t="b">
        <v>1</v>
      </c>
      <c r="I2323" s="2">
        <v>-1.0</v>
      </c>
      <c r="J2323" s="2" t="b">
        <v>0</v>
      </c>
      <c r="K2323" s="2" t="b">
        <v>0</v>
      </c>
      <c r="L2323" s="2" t="b">
        <v>0</v>
      </c>
      <c r="M2323" s="2" t="b">
        <v>0</v>
      </c>
      <c r="N2323" s="2" t="s">
        <v>33</v>
      </c>
      <c r="O2323" s="2">
        <v>31.0</v>
      </c>
      <c r="P2323" s="2">
        <v>0.0</v>
      </c>
      <c r="Q2323" s="2">
        <v>46.0</v>
      </c>
      <c r="R2323" s="2">
        <v>0.0</v>
      </c>
      <c r="S2323" s="3" t="s">
        <v>9525</v>
      </c>
      <c r="T2323" s="2" t="s">
        <v>9526</v>
      </c>
      <c r="Y2323" s="4" t="str">
        <f>IFERROR(__xludf.DUMMYFUNCTION("""COMPUTED_VALUE"""),"6.4836695")</f>
        <v>6.4836695</v>
      </c>
      <c r="Z2323" s="4" t="str">
        <f>IFERROR(__xludf.DUMMYFUNCTION("""COMPUTED_VALUE"""),"4.5108862")</f>
        <v>4.5108862</v>
      </c>
      <c r="AA2323" s="4" t="str">
        <f t="shared" si="1"/>
        <v>Not Neighbor</v>
      </c>
      <c r="AC2323" s="4">
        <f>IFERROR(__xludf.DUMMYFUNCTION("IFERROR(ABS(O2323-AVERAGE(FILTER(O2323:O6391,AA2323:AA6391=""Neighbor""))) / STDEV(FILTER(O2323:O6391, AA2323:AA6391 =""Neighbor"")), """")"),0.5644264422413416)</f>
        <v>0.5644264422</v>
      </c>
      <c r="AD2323" s="4">
        <f>IFERROR(__xludf.DUMMYFUNCTION("IFERROR(ABS(P2323-AVERAGE(FILTER(O2323:P6391,AA2323:AA6391=""Neighbor""))) / STDEV(FILTER(P2323:P6391, AA2323:AA6391 =""Neighbor"")), """")"),1.4996117415080614)</f>
        <v>1.499611742</v>
      </c>
      <c r="AE2323" s="2">
        <f>IFERROR(__xludf.DUMMYFUNCTION("IFERROR(ABS(Q2323-AVERAGE(FILTER(Q2323:Q6391,AA2323:AA6391=""Neighbor""))) / STDEV(FILTER(Q2323:Q6391, AA2323:AA6391 =""Neighbor"")), """")"),1.5034955407717356)</f>
        <v>1.503495541</v>
      </c>
      <c r="AF2323" s="2">
        <f>IFERROR(__xludf.DUMMYFUNCTION("IFERROR(ABS(R2323-AVERAGE(FILTER(R2323:R6391,AA2323:AA6391=""Neighbor""))) / STDEV(FILTER(R2323:R6391, AA2323:AA6391 =""Neighbor"")), """")"),0.34031460666391905)</f>
        <v>0.3403146067</v>
      </c>
    </row>
    <row r="2324">
      <c r="A2324" s="2" t="s">
        <v>28</v>
      </c>
      <c r="B2324" s="2" t="s">
        <v>9299</v>
      </c>
      <c r="C2324" s="2" t="s">
        <v>9518</v>
      </c>
      <c r="D2324" s="2" t="s">
        <v>9527</v>
      </c>
      <c r="E2324" s="2" t="s">
        <v>9528</v>
      </c>
      <c r="F2324" s="2">
        <v>117.0</v>
      </c>
      <c r="G2324" s="2">
        <v>432.0</v>
      </c>
      <c r="H2324" s="2" t="b">
        <v>1</v>
      </c>
      <c r="I2324" s="2">
        <v>-1.0</v>
      </c>
      <c r="J2324" s="2" t="b">
        <v>1</v>
      </c>
      <c r="K2324" s="2" t="b">
        <v>1</v>
      </c>
      <c r="L2324" s="2" t="b">
        <v>0</v>
      </c>
      <c r="M2324" s="2" t="b">
        <v>0</v>
      </c>
      <c r="N2324" s="2" t="s">
        <v>33</v>
      </c>
      <c r="O2324" s="2">
        <v>57.0</v>
      </c>
      <c r="P2324" s="2">
        <v>1.0</v>
      </c>
      <c r="Q2324" s="2">
        <v>53.0</v>
      </c>
      <c r="R2324" s="2">
        <v>0.0</v>
      </c>
      <c r="S2324" s="3" t="s">
        <v>9529</v>
      </c>
      <c r="T2324" s="2" t="s">
        <v>9530</v>
      </c>
      <c r="Y2324" s="4" t="str">
        <f>IFERROR(__xludf.DUMMYFUNCTION("""COMPUTED_VALUE"""),"7.8720018")</f>
        <v>7.8720018</v>
      </c>
      <c r="Z2324" s="4" t="str">
        <f>IFERROR(__xludf.DUMMYFUNCTION("""COMPUTED_VALUE"""),"3.2325969")</f>
        <v>3.2325969</v>
      </c>
      <c r="AA2324" s="4" t="str">
        <f t="shared" si="1"/>
        <v>Not Neighbor</v>
      </c>
      <c r="AC2324" s="4">
        <f>IFERROR(__xludf.DUMMYFUNCTION("IFERROR(ABS(O2324-AVERAGE(FILTER(O2324:O6392,AA2324:AA6392=""Neighbor""))) / STDEV(FILTER(O2324:O6392, AA2324:AA6392 =""Neighbor"")), """")"),0.16892499232374023)</f>
        <v>0.1689249923</v>
      </c>
      <c r="AD2324" s="4">
        <f>IFERROR(__xludf.DUMMYFUNCTION("IFERROR(ABS(P2324-AVERAGE(FILTER(O2324:P6392,AA2324:AA6392=""Neighbor""))) / STDEV(FILTER(P2324:P6392, AA2324:AA6392 =""Neighbor"")), """")"),1.4557430061621695)</f>
        <v>1.455743006</v>
      </c>
      <c r="AE2324" s="2">
        <f>IFERROR(__xludf.DUMMYFUNCTION("IFERROR(ABS(Q2324-AVERAGE(FILTER(Q2324:Q6392,AA2324:AA6392=""Neighbor""))) / STDEV(FILTER(Q2324:Q6392, AA2324:AA6392 =""Neighbor"")), """")"),1.878743521757766)</f>
        <v>1.878743522</v>
      </c>
      <c r="AF2324" s="2">
        <f>IFERROR(__xludf.DUMMYFUNCTION("IFERROR(ABS(R2324-AVERAGE(FILTER(R2324:R6392,AA2324:AA6392=""Neighbor""))) / STDEV(FILTER(R2324:R6392, AA2324:AA6392 =""Neighbor"")), """")"),0.34031460666391905)</f>
        <v>0.3403146067</v>
      </c>
    </row>
    <row r="2325">
      <c r="A2325" s="2" t="s">
        <v>28</v>
      </c>
      <c r="B2325" s="2" t="s">
        <v>9299</v>
      </c>
      <c r="C2325" s="2" t="s">
        <v>9518</v>
      </c>
      <c r="D2325" s="2" t="s">
        <v>9531</v>
      </c>
      <c r="E2325" s="2" t="s">
        <v>9532</v>
      </c>
      <c r="F2325" s="2">
        <v>149.0</v>
      </c>
      <c r="G2325" s="2">
        <v>792.0</v>
      </c>
      <c r="H2325" s="2" t="b">
        <v>1</v>
      </c>
      <c r="I2325" s="2">
        <v>-1.0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s">
        <v>33</v>
      </c>
      <c r="O2325" s="2">
        <v>91.0</v>
      </c>
      <c r="P2325" s="2">
        <v>10.0</v>
      </c>
      <c r="Q2325" s="2">
        <v>38.0</v>
      </c>
      <c r="R2325" s="2">
        <v>0.0</v>
      </c>
      <c r="S2325" s="3" t="s">
        <v>9533</v>
      </c>
      <c r="T2325" s="2" t="s">
        <v>9534</v>
      </c>
      <c r="Y2325" s="4" t="str">
        <f>IFERROR(__xludf.DUMMYFUNCTION("""COMPUTED_VALUE"""),"43.591382")</f>
        <v>43.591382</v>
      </c>
      <c r="Z2325" s="4" t="str">
        <f>IFERROR(__xludf.DUMMYFUNCTION("""COMPUTED_VALUE"""),"-88.443713")</f>
        <v>-88.443713</v>
      </c>
      <c r="AA2325" s="4" t="str">
        <f t="shared" si="1"/>
        <v>Not Neighbor</v>
      </c>
      <c r="AC2325" s="4">
        <f>IFERROR(__xludf.DUMMYFUNCTION("IFERROR(ABS(O2325-AVERAGE(FILTER(O2325:O6393,AA2325:AA6393=""Neighbor""))) / STDEV(FILTER(O2325:O6393, AA2325:AA6393 =""Neighbor"")), """")"),1.1279230221396166)</f>
        <v>1.127923022</v>
      </c>
      <c r="AD2325" s="4">
        <f>IFERROR(__xludf.DUMMYFUNCTION("IFERROR(ABS(P2325-AVERAGE(FILTER(O2325:P6393,AA2325:AA6393=""Neighbor""))) / STDEV(FILTER(P2325:P6393, AA2325:AA6393 =""Neighbor"")), """")"),1.0609243880491412)</f>
        <v>1.060924388</v>
      </c>
      <c r="AE2325" s="2">
        <f>IFERROR(__xludf.DUMMYFUNCTION("IFERROR(ABS(Q2325-AVERAGE(FILTER(Q2325:Q6393,AA2325:AA6393=""Neighbor""))) / STDEV(FILTER(Q2325:Q6393, AA2325:AA6393 =""Neighbor"")), """")"),1.0746407053591296)</f>
        <v>1.074640705</v>
      </c>
      <c r="AF2325" s="2">
        <f>IFERROR(__xludf.DUMMYFUNCTION("IFERROR(ABS(R2325-AVERAGE(FILTER(R2325:R6393,AA2325:AA6393=""Neighbor""))) / STDEV(FILTER(R2325:R6393, AA2325:AA6393 =""Neighbor"")), """")"),0.34031460666391905)</f>
        <v>0.3403146067</v>
      </c>
    </row>
    <row r="2326">
      <c r="A2326" s="2" t="s">
        <v>28</v>
      </c>
      <c r="B2326" s="2" t="s">
        <v>9299</v>
      </c>
      <c r="C2326" s="2" t="s">
        <v>9518</v>
      </c>
      <c r="D2326" s="2" t="s">
        <v>9535</v>
      </c>
      <c r="E2326" s="2" t="s">
        <v>9536</v>
      </c>
      <c r="F2326" s="2">
        <v>53.0</v>
      </c>
      <c r="G2326" s="2">
        <v>453.0</v>
      </c>
      <c r="H2326" s="2" t="b">
        <v>1</v>
      </c>
      <c r="I2326" s="2">
        <v>-1.0</v>
      </c>
      <c r="J2326" s="2" t="b">
        <v>1</v>
      </c>
      <c r="K2326" s="2" t="b">
        <v>1</v>
      </c>
      <c r="L2326" s="2" t="b">
        <v>0</v>
      </c>
      <c r="M2326" s="2" t="b">
        <v>0</v>
      </c>
      <c r="N2326" s="2" t="s">
        <v>33</v>
      </c>
      <c r="O2326" s="2">
        <v>34.0</v>
      </c>
      <c r="P2326" s="2">
        <v>2.0</v>
      </c>
      <c r="Q2326" s="2">
        <v>12.0</v>
      </c>
      <c r="R2326" s="2">
        <v>0.0</v>
      </c>
      <c r="S2326" s="3" t="s">
        <v>9537</v>
      </c>
      <c r="T2326" s="2" t="s">
        <v>9538</v>
      </c>
      <c r="Y2326" s="4" t="str">
        <f>IFERROR(__xludf.DUMMYFUNCTION("""COMPUTED_VALUE"""),"6.4836695")</f>
        <v>6.4836695</v>
      </c>
      <c r="Z2326" s="4" t="str">
        <f>IFERROR(__xludf.DUMMYFUNCTION("""COMPUTED_VALUE"""),"4.5108862")</f>
        <v>4.5108862</v>
      </c>
      <c r="AA2326" s="4" t="str">
        <f t="shared" si="1"/>
        <v>Neighbor</v>
      </c>
      <c r="AC2326" s="4">
        <f>IFERROR(__xludf.DUMMYFUNCTION("IFERROR(ABS(O2326-AVERAGE(FILTER(O2326:O6394,AA2326:AA6394=""Neighbor""))) / STDEV(FILTER(O2326:O6394, AA2326:AA6394 =""Neighbor"")), """")"),0.47980896902229375)</f>
        <v>0.479808969</v>
      </c>
      <c r="AD2326" s="4">
        <f>IFERROR(__xludf.DUMMYFUNCTION("IFERROR(ABS(P2326-AVERAGE(FILTER(O2326:P6394,AA2326:AA6394=""Neighbor""))) / STDEV(FILTER(P2326:P6394, AA2326:AA6394 =""Neighbor"")), """")"),1.4118742708162775)</f>
        <v>1.411874271</v>
      </c>
      <c r="AE2326" s="2">
        <f>IFERROR(__xludf.DUMMYFUNCTION("IFERROR(ABS(Q2326-AVERAGE(FILTER(Q2326:Q6394,AA2326:AA6394=""Neighbor""))) / STDEV(FILTER(Q2326:Q6394, AA2326:AA6394 =""Neighbor"")), """")"),0.3191375097318397)</f>
        <v>0.3191375097</v>
      </c>
      <c r="AF2326" s="2">
        <f>IFERROR(__xludf.DUMMYFUNCTION("IFERROR(ABS(R2326-AVERAGE(FILTER(R2326:R6394,AA2326:AA6394=""Neighbor""))) / STDEV(FILTER(R2326:R6394, AA2326:AA6394 =""Neighbor"")), """")"),0.34031460666391905)</f>
        <v>0.3403146067</v>
      </c>
    </row>
    <row r="2327">
      <c r="A2327" s="2" t="s">
        <v>28</v>
      </c>
      <c r="B2327" s="2" t="s">
        <v>9299</v>
      </c>
      <c r="C2327" s="2" t="s">
        <v>9518</v>
      </c>
      <c r="D2327" s="2" t="s">
        <v>9539</v>
      </c>
      <c r="E2327" s="2" t="s">
        <v>9540</v>
      </c>
      <c r="F2327" s="2">
        <v>62.0</v>
      </c>
      <c r="G2327" s="2">
        <v>286.0</v>
      </c>
      <c r="H2327" s="2" t="b">
        <v>1</v>
      </c>
      <c r="I2327" s="2">
        <v>-1.0</v>
      </c>
      <c r="J2327" s="2" t="b">
        <v>0</v>
      </c>
      <c r="K2327" s="2" t="b">
        <v>0</v>
      </c>
      <c r="L2327" s="2" t="b">
        <v>0</v>
      </c>
      <c r="M2327" s="2" t="b">
        <v>0</v>
      </c>
      <c r="N2327" s="2" t="s">
        <v>33</v>
      </c>
      <c r="O2327" s="2">
        <v>27.0</v>
      </c>
      <c r="P2327" s="2">
        <v>6.0</v>
      </c>
      <c r="Q2327" s="2">
        <v>24.0</v>
      </c>
      <c r="R2327" s="2">
        <v>0.0</v>
      </c>
      <c r="S2327" s="3" t="s">
        <v>9541</v>
      </c>
      <c r="T2327" s="2" t="s">
        <v>9542</v>
      </c>
      <c r="Y2327" s="4" t="str">
        <f>IFERROR(__xludf.DUMMYFUNCTION("""COMPUTED_VALUE"""),"6.4836695")</f>
        <v>6.4836695</v>
      </c>
      <c r="Z2327" s="4" t="str">
        <f>IFERROR(__xludf.DUMMYFUNCTION("""COMPUTED_VALUE"""),"4.5108862")</f>
        <v>4.5108862</v>
      </c>
      <c r="AA2327" s="4" t="str">
        <f t="shared" si="1"/>
        <v>Not Neighbor</v>
      </c>
      <c r="AC2327" s="4">
        <f>IFERROR(__xludf.DUMMYFUNCTION("IFERROR(ABS(O2327-AVERAGE(FILTER(O2327:O6395,AA2327:AA6395=""Neighbor""))) / STDEV(FILTER(O2327:O6395, AA2327:AA6395 =""Neighbor"")), """")"),0.6775507614215305)</f>
        <v>0.6775507614</v>
      </c>
      <c r="AD2327" s="4">
        <f>IFERROR(__xludf.DUMMYFUNCTION("IFERROR(ABS(P2327-AVERAGE(FILTER(O2327:P6395,AA2327:AA6395=""Neighbor""))) / STDEV(FILTER(P2327:P6395, AA2327:AA6395 =""Neighbor"")), """")"),1.236911299042774)</f>
        <v>1.236911299</v>
      </c>
      <c r="AE2327" s="2">
        <f>IFERROR(__xludf.DUMMYFUNCTION("IFERROR(ABS(Q2327-AVERAGE(FILTER(Q2327:Q6395,AA2327:AA6395=""Neighbor""))) / STDEV(FILTER(Q2327:Q6395, AA2327:AA6395 =""Neighbor"")), """")"),0.3235057495483508)</f>
        <v>0.3235057495</v>
      </c>
      <c r="AF2327" s="2">
        <f>IFERROR(__xludf.DUMMYFUNCTION("IFERROR(ABS(R2327-AVERAGE(FILTER(R2327:R6395,AA2327:AA6395=""Neighbor""))) / STDEV(FILTER(R2327:R6395, AA2327:AA6395 =""Neighbor"")), """")"),0.3405754240457091)</f>
        <v>0.340575424</v>
      </c>
    </row>
    <row r="2328">
      <c r="A2328" s="2" t="s">
        <v>28</v>
      </c>
      <c r="B2328" s="2" t="s">
        <v>9299</v>
      </c>
      <c r="C2328" s="2" t="s">
        <v>9518</v>
      </c>
      <c r="D2328" s="2" t="s">
        <v>9543</v>
      </c>
      <c r="E2328" s="2" t="s">
        <v>9544</v>
      </c>
      <c r="F2328" s="2">
        <v>64.0</v>
      </c>
      <c r="G2328" s="2">
        <v>199.0</v>
      </c>
      <c r="H2328" s="2" t="b">
        <v>1</v>
      </c>
      <c r="I2328" s="2">
        <v>-1.0</v>
      </c>
      <c r="J2328" s="2" t="b">
        <v>0</v>
      </c>
      <c r="K2328" s="2" t="b">
        <v>0</v>
      </c>
      <c r="L2328" s="2" t="b">
        <v>0</v>
      </c>
      <c r="M2328" s="2" t="b">
        <v>0</v>
      </c>
      <c r="N2328" s="2" t="s">
        <v>33</v>
      </c>
      <c r="O2328" s="2">
        <v>21.0</v>
      </c>
      <c r="P2328" s="2">
        <v>0.0</v>
      </c>
      <c r="Q2328" s="2">
        <v>36.0</v>
      </c>
      <c r="R2328" s="2">
        <v>0.0</v>
      </c>
      <c r="S2328" s="3" t="s">
        <v>9545</v>
      </c>
      <c r="T2328" s="2" t="s">
        <v>9546</v>
      </c>
      <c r="Y2328" s="4" t="str">
        <f>IFERROR(__xludf.DUMMYFUNCTION("""COMPUTED_VALUE"""),"43.591382")</f>
        <v>43.591382</v>
      </c>
      <c r="Z2328" s="4" t="str">
        <f>IFERROR(__xludf.DUMMYFUNCTION("""COMPUTED_VALUE"""),"-88.443713")</f>
        <v>-88.443713</v>
      </c>
      <c r="AA2328" s="4" t="str">
        <f t="shared" si="1"/>
        <v>Not Neighbor</v>
      </c>
      <c r="AC2328" s="4">
        <f>IFERROR(__xludf.DUMMYFUNCTION("IFERROR(ABS(O2328-AVERAGE(FILTER(O2328:O6396,AA2328:AA6396=""Neighbor""))) / STDEV(FILTER(O2328:O6396, AA2328:AA6396 =""Neighbor"")), """")"),0.8466960954409155)</f>
        <v>0.8466960954</v>
      </c>
      <c r="AD2328" s="4">
        <f>IFERROR(__xludf.DUMMYFUNCTION("IFERROR(ABS(P2328-AVERAGE(FILTER(O2328:P6396,AA2328:AA6396=""Neighbor""))) / STDEV(FILTER(P2328:P6396, AA2328:AA6396 =""Neighbor"")), """")"),1.5000248797715647)</f>
        <v>1.50002488</v>
      </c>
      <c r="AE2328" s="2">
        <f>IFERROR(__xludf.DUMMYFUNCTION("IFERROR(ABS(Q2328-AVERAGE(FILTER(Q2328:Q6396,AA2328:AA6396=""Neighbor""))) / STDEV(FILTER(Q2328:Q6396, AA2328:AA6396 =""Neighbor"")), """")"),0.9663905238216568)</f>
        <v>0.9663905238</v>
      </c>
      <c r="AF2328" s="2">
        <f>IFERROR(__xludf.DUMMYFUNCTION("IFERROR(ABS(R2328-AVERAGE(FILTER(R2328:R6396,AA2328:AA6396=""Neighbor""))) / STDEV(FILTER(R2328:R6396, AA2328:AA6396 =""Neighbor"")), """")"),0.3405754240457091)</f>
        <v>0.340575424</v>
      </c>
    </row>
    <row r="2329">
      <c r="A2329" s="2" t="s">
        <v>28</v>
      </c>
      <c r="B2329" s="2" t="s">
        <v>9299</v>
      </c>
      <c r="C2329" s="2" t="s">
        <v>9547</v>
      </c>
      <c r="D2329" s="2" t="s">
        <v>9548</v>
      </c>
      <c r="E2329" s="2" t="s">
        <v>9549</v>
      </c>
      <c r="F2329" s="2">
        <v>46.0</v>
      </c>
      <c r="G2329" s="2">
        <v>181.0</v>
      </c>
      <c r="H2329" s="2" t="b">
        <v>1</v>
      </c>
      <c r="I2329" s="2">
        <v>-1.0</v>
      </c>
      <c r="J2329" s="2" t="b">
        <v>0</v>
      </c>
      <c r="K2329" s="2" t="b">
        <v>0</v>
      </c>
      <c r="L2329" s="2" t="b">
        <v>0</v>
      </c>
      <c r="M2329" s="2" t="b">
        <v>0</v>
      </c>
      <c r="N2329" s="2" t="s">
        <v>33</v>
      </c>
      <c r="O2329" s="2">
        <v>282.0</v>
      </c>
      <c r="P2329" s="2">
        <v>0.0</v>
      </c>
      <c r="Q2329" s="2">
        <v>17.0</v>
      </c>
      <c r="R2329" s="2">
        <v>0.0</v>
      </c>
      <c r="S2329" s="3" t="s">
        <v>9550</v>
      </c>
      <c r="T2329" s="2" t="s">
        <v>9551</v>
      </c>
      <c r="Y2329" s="4" t="str">
        <f>IFERROR(__xludf.DUMMYFUNCTION("""COMPUTED_VALUE"""),"6.5627225")</f>
        <v>6.5627225</v>
      </c>
      <c r="Z2329" s="4" t="str">
        <f>IFERROR(__xludf.DUMMYFUNCTION("""COMPUTED_VALUE"""),"4.5225906")</f>
        <v>4.5225906</v>
      </c>
      <c r="AA2329" s="4" t="str">
        <f t="shared" si="1"/>
        <v>Not Neighbor</v>
      </c>
      <c r="AC2329" s="4">
        <f>IFERROR(__xludf.DUMMYFUNCTION("IFERROR(ABS(O2329-AVERAGE(FILTER(O2329:O6397,AA2329:AA6397=""Neighbor""))) / STDEV(FILTER(O2329:O6397, AA2329:AA6397 =""Neighbor"")), """")"),6.511125934402338)</f>
        <v>6.511125934</v>
      </c>
      <c r="AD2329" s="4">
        <f>IFERROR(__xludf.DUMMYFUNCTION("IFERROR(ABS(P2329-AVERAGE(FILTER(O2329:P6397,AA2329:AA6397=""Neighbor""))) / STDEV(FILTER(P2329:P6397, AA2329:AA6397 =""Neighbor"")), """")"),1.5000248797715647)</f>
        <v>1.50002488</v>
      </c>
      <c r="AE2329" s="2">
        <f>IFERROR(__xludf.DUMMYFUNCTION("IFERROR(ABS(Q2329-AVERAGE(FILTER(Q2329:Q6397,AA2329:AA6397=""Neighbor""))) / STDEV(FILTER(Q2329:Q6397, AA2329:AA6397 =""Neighbor"")), """")"),0.051510368777744314)</f>
        <v>0.05151036878</v>
      </c>
      <c r="AF2329" s="2">
        <f>IFERROR(__xludf.DUMMYFUNCTION("IFERROR(ABS(R2329-AVERAGE(FILTER(R2329:R6397,AA2329:AA6397=""Neighbor""))) / STDEV(FILTER(R2329:R6397, AA2329:AA6397 =""Neighbor"")), """")"),0.3405754240457091)</f>
        <v>0.340575424</v>
      </c>
    </row>
    <row r="2330">
      <c r="A2330" s="2" t="s">
        <v>28</v>
      </c>
      <c r="B2330" s="2" t="s">
        <v>9299</v>
      </c>
      <c r="C2330" s="2" t="s">
        <v>9547</v>
      </c>
      <c r="D2330" s="2" t="s">
        <v>9552</v>
      </c>
      <c r="E2330" s="2" t="s">
        <v>9553</v>
      </c>
      <c r="F2330" s="2">
        <v>127.0</v>
      </c>
      <c r="G2330" s="2">
        <v>522.0</v>
      </c>
      <c r="H2330" s="2" t="b">
        <v>1</v>
      </c>
      <c r="I2330" s="2">
        <v>-1.0</v>
      </c>
      <c r="J2330" s="2" t="b">
        <v>0</v>
      </c>
      <c r="K2330" s="2" t="b">
        <v>1</v>
      </c>
      <c r="L2330" s="2" t="b">
        <v>0</v>
      </c>
      <c r="M2330" s="2" t="b">
        <v>0</v>
      </c>
      <c r="N2330" s="2" t="s">
        <v>33</v>
      </c>
      <c r="O2330" s="2">
        <v>71.0</v>
      </c>
      <c r="P2330" s="2">
        <v>0.0</v>
      </c>
      <c r="Q2330" s="2">
        <v>51.0</v>
      </c>
      <c r="R2330" s="2">
        <v>0.0</v>
      </c>
      <c r="S2330" s="3" t="s">
        <v>9554</v>
      </c>
      <c r="T2330" s="2" t="s">
        <v>9555</v>
      </c>
      <c r="Y2330" s="4" t="str">
        <f>IFERROR(__xludf.DUMMYFUNCTION("""COMPUTED_VALUE"""),"6.5620889")</f>
        <v>6.5620889</v>
      </c>
      <c r="Z2330" s="4" t="str">
        <f>IFERROR(__xludf.DUMMYFUNCTION("""COMPUTED_VALUE"""),"4.5638479")</f>
        <v>4.5638479</v>
      </c>
      <c r="AA2330" s="4" t="str">
        <f t="shared" si="1"/>
        <v>Neighbor</v>
      </c>
      <c r="AC2330" s="4">
        <f>IFERROR(__xludf.DUMMYFUNCTION("IFERROR(ABS(O2330-AVERAGE(FILTER(O2330:O6398,AA2330:AA6398=""Neighbor""))) / STDEV(FILTER(O2330:O6398, AA2330:AA6398 =""Neighbor"")), """")"),0.562848354720627)</f>
        <v>0.5628483547</v>
      </c>
      <c r="AD2330" s="4">
        <f>IFERROR(__xludf.DUMMYFUNCTION("IFERROR(ABS(P2330-AVERAGE(FILTER(O2330:P6398,AA2330:AA6398=""Neighbor""))) / STDEV(FILTER(P2330:P6398, AA2330:AA6398 =""Neighbor"")), """")"),1.5000248797715647)</f>
        <v>1.50002488</v>
      </c>
      <c r="AE2330" s="2">
        <f>IFERROR(__xludf.DUMMYFUNCTION("IFERROR(ABS(Q2330-AVERAGE(FILTER(Q2330:Q6398,AA2330:AA6398=""Neighbor""))) / STDEV(FILTER(Q2330:Q6398, AA2330:AA6398 =""Neighbor"")), """")"),1.7699964916632893)</f>
        <v>1.769996492</v>
      </c>
      <c r="AF2330" s="2">
        <f>IFERROR(__xludf.DUMMYFUNCTION("IFERROR(ABS(R2330-AVERAGE(FILTER(R2330:R6398,AA2330:AA6398=""Neighbor""))) / STDEV(FILTER(R2330:R6398, AA2330:AA6398 =""Neighbor"")), """")"),0.3405754240457091)</f>
        <v>0.340575424</v>
      </c>
    </row>
    <row r="2331">
      <c r="A2331" s="2" t="s">
        <v>28</v>
      </c>
      <c r="B2331" s="2" t="s">
        <v>9299</v>
      </c>
      <c r="C2331" s="2" t="s">
        <v>9547</v>
      </c>
      <c r="D2331" s="2" t="s">
        <v>9556</v>
      </c>
      <c r="E2331" s="2" t="s">
        <v>9557</v>
      </c>
      <c r="F2331" s="2">
        <v>167.0</v>
      </c>
      <c r="G2331" s="2">
        <v>593.0</v>
      </c>
      <c r="H2331" s="2" t="b">
        <v>1</v>
      </c>
      <c r="I2331" s="2">
        <v>-1.0</v>
      </c>
      <c r="J2331" s="2" t="b">
        <v>1</v>
      </c>
      <c r="K2331" s="2" t="b">
        <v>1</v>
      </c>
      <c r="L2331" s="2" t="b">
        <v>0</v>
      </c>
      <c r="M2331" s="2" t="b">
        <v>0</v>
      </c>
      <c r="N2331" s="2" t="s">
        <v>33</v>
      </c>
      <c r="O2331" s="2">
        <v>101.0</v>
      </c>
      <c r="P2331" s="2">
        <v>4.0</v>
      </c>
      <c r="Q2331" s="2">
        <v>55.0</v>
      </c>
      <c r="R2331" s="2">
        <v>2.0</v>
      </c>
      <c r="S2331" s="3" t="s">
        <v>9558</v>
      </c>
      <c r="T2331" s="2" t="s">
        <v>9559</v>
      </c>
      <c r="Y2331" s="4" t="str">
        <f>IFERROR(__xludf.DUMMYFUNCTION("""COMPUTED_VALUE"""),"6.5584644")</f>
        <v>6.5584644</v>
      </c>
      <c r="Z2331" s="4" t="str">
        <f>IFERROR(__xludf.DUMMYFUNCTION("""COMPUTED_VALUE"""),"4.5666181")</f>
        <v>4.5666181</v>
      </c>
      <c r="AA2331" s="4" t="str">
        <f t="shared" si="1"/>
        <v>Neighbor</v>
      </c>
      <c r="AC2331" s="4">
        <f>IFERROR(__xludf.DUMMYFUNCTION("IFERROR(ABS(O2331-AVERAGE(FILTER(O2331:O6399,AA2331:AA6399=""Neighbor""))) / STDEV(FILTER(O2331:O6399, AA2331:AA6399 =""Neighbor"")), """")"),1.4086871418551346)</f>
        <v>1.408687142</v>
      </c>
      <c r="AD2331" s="4">
        <f>IFERROR(__xludf.DUMMYFUNCTION("IFERROR(ABS(P2331-AVERAGE(FILTER(O2331:P6399,AA2331:AA6399=""Neighbor""))) / STDEV(FILTER(P2331:P6399, AA2331:AA6399 =""Neighbor"")), """")"),1.3241556162739216)</f>
        <v>1.324155616</v>
      </c>
      <c r="AE2331" s="2">
        <f>IFERROR(__xludf.DUMMYFUNCTION("IFERROR(ABS(Q2331-AVERAGE(FILTER(Q2331:Q6399,AA2331:AA6399=""Neighbor""))) / STDEV(FILTER(Q2331:Q6399, AA2331:AA6399 =""Neighbor"")), """")"),1.9896642243231375)</f>
        <v>1.989664224</v>
      </c>
      <c r="AF2331" s="2">
        <f>IFERROR(__xludf.DUMMYFUNCTION("IFERROR(ABS(R2331-AVERAGE(FILTER(R2331:R6399,AA2331:AA6399=""Neighbor""))) / STDEV(FILTER(R2331:R6399, AA2331:AA6399 =""Neighbor"")), """")"),1.9610008079309387)</f>
        <v>1.961000808</v>
      </c>
    </row>
    <row r="2332">
      <c r="A2332" s="2" t="s">
        <v>28</v>
      </c>
      <c r="B2332" s="2" t="s">
        <v>9299</v>
      </c>
      <c r="C2332" s="2" t="s">
        <v>9547</v>
      </c>
      <c r="D2332" s="2" t="s">
        <v>9560</v>
      </c>
      <c r="E2332" s="2" t="s">
        <v>9557</v>
      </c>
      <c r="F2332" s="2">
        <v>111.0</v>
      </c>
      <c r="G2332" s="2">
        <v>469.0</v>
      </c>
      <c r="H2332" s="2" t="b">
        <v>1</v>
      </c>
      <c r="I2332" s="2">
        <v>-1.0</v>
      </c>
      <c r="J2332" s="2" t="b">
        <v>0</v>
      </c>
      <c r="K2332" s="2" t="b">
        <v>0</v>
      </c>
      <c r="L2332" s="2" t="b">
        <v>0</v>
      </c>
      <c r="M2332" s="2" t="b">
        <v>0</v>
      </c>
      <c r="N2332" s="2" t="s">
        <v>33</v>
      </c>
      <c r="O2332" s="2">
        <v>72.0</v>
      </c>
      <c r="P2332" s="2">
        <v>3.0</v>
      </c>
      <c r="Q2332" s="2">
        <v>31.0</v>
      </c>
      <c r="R2332" s="2">
        <v>0.0</v>
      </c>
      <c r="S2332" s="3" t="s">
        <v>9561</v>
      </c>
      <c r="T2332" s="2" t="s">
        <v>9559</v>
      </c>
      <c r="Y2332" s="4" t="str">
        <f>IFERROR(__xludf.DUMMYFUNCTION("""COMPUTED_VALUE"""),"6.5584644")</f>
        <v>6.5584644</v>
      </c>
      <c r="Z2332" s="4" t="str">
        <f>IFERROR(__xludf.DUMMYFUNCTION("""COMPUTED_VALUE"""),"4.5666181")</f>
        <v>4.5666181</v>
      </c>
      <c r="AA2332" s="4" t="str">
        <f t="shared" si="1"/>
        <v>Not Neighbor</v>
      </c>
      <c r="AC2332" s="4">
        <f>IFERROR(__xludf.DUMMYFUNCTION("IFERROR(ABS(O2332-AVERAGE(FILTER(O2332:O6400,AA2332:AA6400=""Neighbor""))) / STDEV(FILTER(O2332:O6400, AA2332:AA6400 =""Neighbor"")), """")"),0.5938840642840189)</f>
        <v>0.5938840643</v>
      </c>
      <c r="AD2332" s="4">
        <f>IFERROR(__xludf.DUMMYFUNCTION("IFERROR(ABS(P2332-AVERAGE(FILTER(O2332:P6400,AA2332:AA6400=""Neighbor""))) / STDEV(FILTER(P2332:P6400, AA2332:AA6400 =""Neighbor"")), """")"),1.36627169126722)</f>
        <v>1.366271691</v>
      </c>
      <c r="AE2332" s="2">
        <f>IFERROR(__xludf.DUMMYFUNCTION("IFERROR(ABS(Q2332-AVERAGE(FILTER(Q2332:Q6400,AA2332:AA6400=""Neighbor""))) / STDEV(FILTER(Q2332:Q6400, AA2332:AA6400 =""Neighbor"")), """")"),0.7061868309336684)</f>
        <v>0.7061868309</v>
      </c>
      <c r="AF2332" s="2">
        <f>IFERROR(__xludf.DUMMYFUNCTION("IFERROR(ABS(R2332-AVERAGE(FILTER(R2332:R6400,AA2332:AA6400=""Neighbor""))) / STDEV(FILTER(R2332:R6400, AA2332:AA6400 =""Neighbor"")), """")"),0.3387997015857978)</f>
        <v>0.3387997016</v>
      </c>
    </row>
    <row r="2333">
      <c r="A2333" s="2" t="s">
        <v>28</v>
      </c>
      <c r="B2333" s="2" t="s">
        <v>9299</v>
      </c>
      <c r="C2333" s="2" t="s">
        <v>9547</v>
      </c>
      <c r="D2333" s="2" t="s">
        <v>9562</v>
      </c>
      <c r="E2333" s="2" t="s">
        <v>9563</v>
      </c>
      <c r="F2333" s="2">
        <v>192.0</v>
      </c>
      <c r="G2333" s="2">
        <v>777.0</v>
      </c>
      <c r="H2333" s="2" t="b">
        <v>1</v>
      </c>
      <c r="I2333" s="2">
        <v>-1.0</v>
      </c>
      <c r="J2333" s="2" t="b">
        <v>1</v>
      </c>
      <c r="K2333" s="2" t="b">
        <v>1</v>
      </c>
      <c r="L2333" s="2" t="b">
        <v>0</v>
      </c>
      <c r="M2333" s="2" t="b">
        <v>0</v>
      </c>
      <c r="N2333" s="2" t="s">
        <v>33</v>
      </c>
      <c r="O2333" s="2">
        <v>78.0</v>
      </c>
      <c r="P2333" s="2">
        <v>1.0</v>
      </c>
      <c r="Q2333" s="2">
        <v>103.0</v>
      </c>
      <c r="R2333" s="2">
        <v>0.0</v>
      </c>
      <c r="S2333" s="3" t="s">
        <v>9564</v>
      </c>
      <c r="T2333" s="2" t="s">
        <v>9565</v>
      </c>
      <c r="Y2333" s="4" t="str">
        <f>IFERROR(__xludf.DUMMYFUNCTION("""COMPUTED_VALUE"""),"6.5045698")</f>
        <v>6.5045698</v>
      </c>
      <c r="Z2333" s="4" t="str">
        <f>IFERROR(__xludf.DUMMYFUNCTION("""COMPUTED_VALUE"""),"4.5521274")</f>
        <v>4.5521274</v>
      </c>
      <c r="AA2333" s="4" t="str">
        <f t="shared" si="1"/>
        <v>Not Neighbor</v>
      </c>
      <c r="AC2333" s="4">
        <f>IFERROR(__xludf.DUMMYFUNCTION("IFERROR(ABS(O2333-AVERAGE(FILTER(O2333:O6401,AA2333:AA6401=""Neighbor""))) / STDEV(FILTER(O2333:O6401, AA2333:AA6401 =""Neighbor"")), """")"),0.7630651827932187)</f>
        <v>0.7630651828</v>
      </c>
      <c r="AD2333" s="4">
        <f>IFERROR(__xludf.DUMMYFUNCTION("IFERROR(ABS(P2333-AVERAGE(FILTER(O2333:P6401,AA2333:AA6401=""Neighbor""))) / STDEV(FILTER(P2333:P6401, AA2333:AA6401 =""Neighbor"")), """")"),1.4539113264071213)</f>
        <v>1.453911326</v>
      </c>
      <c r="AE2333" s="2">
        <f>IFERROR(__xludf.DUMMYFUNCTION("IFERROR(ABS(Q2333-AVERAGE(FILTER(Q2333:Q6401,AA2333:AA6401=""Neighbor""))) / STDEV(FILTER(Q2333:Q6401, AA2333:AA6401 =""Neighbor"")), """")"),4.577125881100368)</f>
        <v>4.577125881</v>
      </c>
      <c r="AF2333" s="2">
        <f>IFERROR(__xludf.DUMMYFUNCTION("IFERROR(ABS(R2333-AVERAGE(FILTER(R2333:R6401,AA2333:AA6401=""Neighbor""))) / STDEV(FILTER(R2333:R6401, AA2333:AA6401 =""Neighbor"")), """")"),0.3387997015857978)</f>
        <v>0.3387997016</v>
      </c>
    </row>
    <row r="2334">
      <c r="A2334" s="2" t="s">
        <v>28</v>
      </c>
      <c r="B2334" s="2" t="s">
        <v>9299</v>
      </c>
      <c r="C2334" s="2" t="s">
        <v>9547</v>
      </c>
      <c r="D2334" s="2" t="s">
        <v>9566</v>
      </c>
      <c r="E2334" s="2" t="s">
        <v>9567</v>
      </c>
      <c r="F2334" s="2">
        <v>268.0</v>
      </c>
      <c r="G2334" s="2">
        <v>725.0</v>
      </c>
      <c r="H2334" s="2" t="b">
        <v>1</v>
      </c>
      <c r="I2334" s="2">
        <v>-1.0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s">
        <v>33</v>
      </c>
      <c r="O2334" s="2">
        <v>171.0</v>
      </c>
      <c r="P2334" s="2">
        <v>8.0</v>
      </c>
      <c r="Q2334" s="2">
        <v>83.0</v>
      </c>
      <c r="R2334" s="2">
        <v>0.0</v>
      </c>
      <c r="S2334" s="3" t="s">
        <v>9568</v>
      </c>
      <c r="T2334" s="2" t="s">
        <v>9569</v>
      </c>
      <c r="Y2334" s="4" t="str">
        <f>IFERROR(__xludf.DUMMYFUNCTION("""COMPUTED_VALUE"""),"6.4599802")</f>
        <v>6.4599802</v>
      </c>
      <c r="Z2334" s="4" t="str">
        <f>IFERROR(__xludf.DUMMYFUNCTION("""COMPUTED_VALUE"""),"4.5413307")</f>
        <v>4.5413307</v>
      </c>
      <c r="AA2334" s="4" t="str">
        <f t="shared" si="1"/>
        <v>Not Neighbor</v>
      </c>
      <c r="AC2334" s="4">
        <f>IFERROR(__xludf.DUMMYFUNCTION("IFERROR(ABS(O2334-AVERAGE(FILTER(O2334:O6402,AA2334:AA6402=""Neighbor""))) / STDEV(FILTER(O2334:O6402, AA2334:AA6402 =""Neighbor"")), """")"),3.385372519685817)</f>
        <v>3.38537252</v>
      </c>
      <c r="AD2334" s="4">
        <f>IFERROR(__xludf.DUMMYFUNCTION("IFERROR(ABS(P2334-AVERAGE(FILTER(O2334:P6402,AA2334:AA6402=""Neighbor""))) / STDEV(FILTER(P2334:P6402, AA2334:AA6402 =""Neighbor"")), """")"),1.1471726034174667)</f>
        <v>1.147172603</v>
      </c>
      <c r="AE2334" s="2">
        <f>IFERROR(__xludf.DUMMYFUNCTION("IFERROR(ABS(Q2334-AVERAGE(FILTER(Q2334:Q6402,AA2334:AA6402=""Neighbor""))) / STDEV(FILTER(Q2334:Q6402, AA2334:AA6402 =""Neighbor"")), """")"),3.501865033831841)</f>
        <v>3.501865034</v>
      </c>
      <c r="AF2334" s="2">
        <f>IFERROR(__xludf.DUMMYFUNCTION("IFERROR(ABS(R2334-AVERAGE(FILTER(R2334:R6402,AA2334:AA6402=""Neighbor""))) / STDEV(FILTER(R2334:R6402, AA2334:AA6402 =""Neighbor"")), """")"),0.3387997015857978)</f>
        <v>0.3387997016</v>
      </c>
    </row>
    <row r="2335">
      <c r="A2335" s="2" t="s">
        <v>28</v>
      </c>
      <c r="B2335" s="2" t="s">
        <v>9299</v>
      </c>
      <c r="C2335" s="2" t="s">
        <v>9547</v>
      </c>
      <c r="D2335" s="2" t="s">
        <v>9570</v>
      </c>
      <c r="E2335" s="2" t="s">
        <v>9571</v>
      </c>
      <c r="F2335" s="2">
        <v>65.0</v>
      </c>
      <c r="G2335" s="2">
        <v>212.0</v>
      </c>
      <c r="H2335" s="2" t="b">
        <v>1</v>
      </c>
      <c r="I2335" s="2">
        <v>-1.0</v>
      </c>
      <c r="J2335" s="2" t="b">
        <v>1</v>
      </c>
      <c r="K2335" s="2" t="b">
        <v>0</v>
      </c>
      <c r="L2335" s="2" t="b">
        <v>0</v>
      </c>
      <c r="M2335" s="2" t="b">
        <v>0</v>
      </c>
      <c r="N2335" s="2" t="s">
        <v>33</v>
      </c>
      <c r="O2335" s="2">
        <v>32.0</v>
      </c>
      <c r="P2335" s="2">
        <v>0.0</v>
      </c>
      <c r="Q2335" s="2">
        <v>27.0</v>
      </c>
      <c r="R2335" s="2">
        <v>0.0</v>
      </c>
      <c r="S2335" s="3" t="s">
        <v>9572</v>
      </c>
      <c r="T2335" s="2" t="s">
        <v>9573</v>
      </c>
      <c r="Y2335" s="4" t="str">
        <f>IFERROR(__xludf.DUMMYFUNCTION("""COMPUTED_VALUE"""),"6.5045698")</f>
        <v>6.5045698</v>
      </c>
      <c r="Z2335" s="4" t="str">
        <f>IFERROR(__xludf.DUMMYFUNCTION("""COMPUTED_VALUE"""),"4.5521274")</f>
        <v>4.5521274</v>
      </c>
      <c r="AA2335" s="4" t="str">
        <f t="shared" si="1"/>
        <v>Neighbor</v>
      </c>
      <c r="AC2335" s="4">
        <f>IFERROR(__xludf.DUMMYFUNCTION("IFERROR(ABS(O2335-AVERAGE(FILTER(O2335:O6403,AA2335:AA6403=""Neighbor""))) / STDEV(FILTER(O2335:O6403, AA2335:AA6403 =""Neighbor"")), """")"),0.5339900591106469)</f>
        <v>0.5339900591</v>
      </c>
      <c r="AD2335" s="4">
        <f>IFERROR(__xludf.DUMMYFUNCTION("IFERROR(ABS(P2335-AVERAGE(FILTER(O2335:P6403,AA2335:AA6403=""Neighbor""))) / STDEV(FILTER(P2335:P6403, AA2335:AA6403 =""Neighbor"")), """")"),1.497731143977072)</f>
        <v>1.497731144</v>
      </c>
      <c r="AE2335" s="2">
        <f>IFERROR(__xludf.DUMMYFUNCTION("IFERROR(ABS(Q2335-AVERAGE(FILTER(Q2335:Q6403,AA2335:AA6403=""Neighbor""))) / STDEV(FILTER(Q2335:Q6403, AA2335:AA6403 =""Neighbor"")), """")"),0.4911346614799628)</f>
        <v>0.4911346615</v>
      </c>
      <c r="AF2335" s="2">
        <f>IFERROR(__xludf.DUMMYFUNCTION("IFERROR(ABS(R2335-AVERAGE(FILTER(R2335:R6403,AA2335:AA6403=""Neighbor""))) / STDEV(FILTER(R2335:R6403, AA2335:AA6403 =""Neighbor"")), """")"),0.3387997015857978)</f>
        <v>0.3387997016</v>
      </c>
    </row>
    <row r="2336">
      <c r="A2336" s="2" t="s">
        <v>28</v>
      </c>
      <c r="B2336" s="2" t="s">
        <v>9299</v>
      </c>
      <c r="C2336" s="2" t="s">
        <v>9547</v>
      </c>
      <c r="D2336" s="2" t="s">
        <v>9574</v>
      </c>
      <c r="E2336" s="2" t="s">
        <v>9575</v>
      </c>
      <c r="F2336" s="2">
        <v>58.0</v>
      </c>
      <c r="G2336" s="2">
        <v>211.0</v>
      </c>
      <c r="H2336" s="2" t="b">
        <v>1</v>
      </c>
      <c r="I2336" s="2">
        <v>-1.0</v>
      </c>
      <c r="J2336" s="2" t="b">
        <v>0</v>
      </c>
      <c r="K2336" s="2" t="b">
        <v>0</v>
      </c>
      <c r="L2336" s="2" t="b">
        <v>0</v>
      </c>
      <c r="M2336" s="2" t="b">
        <v>0</v>
      </c>
      <c r="N2336" s="2" t="s">
        <v>33</v>
      </c>
      <c r="O2336" s="2">
        <v>35.0</v>
      </c>
      <c r="P2336" s="2">
        <v>3.0</v>
      </c>
      <c r="Q2336" s="2">
        <v>0.0</v>
      </c>
      <c r="R2336" s="2">
        <v>13.0</v>
      </c>
      <c r="S2336" s="3" t="s">
        <v>9576</v>
      </c>
      <c r="T2336" s="2" t="s">
        <v>9577</v>
      </c>
      <c r="Y2336" s="4" t="str">
        <f>IFERROR(__xludf.DUMMYFUNCTION("""COMPUTED_VALUE"""),"6.5045698")</f>
        <v>6.5045698</v>
      </c>
      <c r="Z2336" s="4" t="str">
        <f>IFERROR(__xludf.DUMMYFUNCTION("""COMPUTED_VALUE"""),"4.5521274")</f>
        <v>4.5521274</v>
      </c>
      <c r="AA2336" s="4" t="str">
        <f t="shared" si="1"/>
        <v>Not Neighbor</v>
      </c>
      <c r="AC2336" s="4">
        <f>IFERROR(__xludf.DUMMYFUNCTION("IFERROR(ABS(O2336-AVERAGE(FILTER(O2336:O6404,AA2336:AA6404=""Neighbor""))) / STDEV(FILTER(O2336:O6404, AA2336:AA6404 =""Neighbor"")), """")"),0.4499148096068933)</f>
        <v>0.4499148096</v>
      </c>
      <c r="AD2336" s="4">
        <f>IFERROR(__xludf.DUMMYFUNCTION("IFERROR(ABS(P2336-AVERAGE(FILTER(O2336:P6404,AA2336:AA6404=""Neighbor""))) / STDEV(FILTER(P2336:P6404, AA2336:AA6404 =""Neighbor"")), """")"),1.3669783433023626)</f>
        <v>1.366978343</v>
      </c>
      <c r="AE2336" s="2">
        <f>IFERROR(__xludf.DUMMYFUNCTION("IFERROR(ABS(Q2336-AVERAGE(FILTER(Q2336:Q6404,AA2336:AA6404=""Neighbor""))) / STDEV(FILTER(Q2336:Q6404, AA2336:AA6404 =""Neighbor"")), """")"),0.9592860882459289)</f>
        <v>0.9592860882</v>
      </c>
      <c r="AF2336" s="2">
        <f>IFERROR(__xludf.DUMMYFUNCTION("IFERROR(ABS(R2336-AVERAGE(FILTER(R2336:R6404,AA2336:AA6404=""Neighbor""))) / STDEV(FILTER(R2336:R6404, AA2336:AA6404 =""Neighbor"")), """")"),14.643261495771739)</f>
        <v>14.6432615</v>
      </c>
    </row>
    <row r="2337">
      <c r="A2337" s="2" t="s">
        <v>28</v>
      </c>
      <c r="B2337" s="2" t="s">
        <v>9299</v>
      </c>
      <c r="C2337" s="2" t="s">
        <v>9578</v>
      </c>
      <c r="D2337" s="2" t="s">
        <v>9579</v>
      </c>
      <c r="E2337" s="2" t="s">
        <v>9580</v>
      </c>
      <c r="F2337" s="2">
        <v>181.0</v>
      </c>
      <c r="G2337" s="2">
        <v>772.0</v>
      </c>
      <c r="H2337" s="2" t="b">
        <v>1</v>
      </c>
      <c r="I2337" s="2">
        <v>-1.0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s">
        <v>33</v>
      </c>
      <c r="O2337" s="2">
        <v>90.0</v>
      </c>
      <c r="P2337" s="2">
        <v>9.0</v>
      </c>
      <c r="Q2337" s="2">
        <v>67.0</v>
      </c>
      <c r="R2337" s="2">
        <v>0.0</v>
      </c>
      <c r="S2337" s="3" t="s">
        <v>9581</v>
      </c>
      <c r="T2337" s="2" t="s">
        <v>9582</v>
      </c>
      <c r="Y2337" s="4" t="str">
        <f>IFERROR(__xludf.DUMMYFUNCTION("""COMPUTED_VALUE"""),"6.4419789")</f>
        <v>6.4419789</v>
      </c>
      <c r="Z2337" s="4" t="str">
        <f>IFERROR(__xludf.DUMMYFUNCTION("""COMPUTED_VALUE"""),"4.4102364")</f>
        <v>4.4102364</v>
      </c>
      <c r="AA2337" s="4" t="str">
        <f t="shared" si="1"/>
        <v>Not Neighbor</v>
      </c>
      <c r="AC2337" s="4">
        <f>IFERROR(__xludf.DUMMYFUNCTION("IFERROR(ABS(O2337-AVERAGE(FILTER(O2337:O6405,AA2337:AA6405=""Neighbor""))) / STDEV(FILTER(O2337:O6405, AA2337:AA6405 =""Neighbor"")), """")"),1.1001464223144157)</f>
        <v>1.100146422</v>
      </c>
      <c r="AD2337" s="4">
        <f>IFERROR(__xludf.DUMMYFUNCTION("IFERROR(ABS(P2337-AVERAGE(FILTER(O2337:P6405,AA2337:AA6405=""Neighbor""))) / STDEV(FILTER(P2337:P6405, AA2337:AA6405 =""Neighbor"")), """")"),1.104135127858601)</f>
        <v>1.104135128</v>
      </c>
      <c r="AE2337" s="2">
        <f>IFERROR(__xludf.DUMMYFUNCTION("IFERROR(ABS(Q2337-AVERAGE(FILTER(Q2337:Q6405,AA2337:AA6405=""Neighbor""))) / STDEV(FILTER(Q2337:Q6405, AA2337:AA6405 =""Neighbor"")), """")"),2.6409498551686568)</f>
        <v>2.640949855</v>
      </c>
      <c r="AF2337" s="2">
        <f>IFERROR(__xludf.DUMMYFUNCTION("IFERROR(ABS(R2337-AVERAGE(FILTER(R2337:R6405,AA2337:AA6405=""Neighbor""))) / STDEV(FILTER(R2337:R6405, AA2337:AA6405 =""Neighbor"")), """")"),0.33906019117288627)</f>
        <v>0.3390601912</v>
      </c>
    </row>
    <row r="2338">
      <c r="A2338" s="2" t="s">
        <v>28</v>
      </c>
      <c r="B2338" s="2" t="s">
        <v>9299</v>
      </c>
      <c r="C2338" s="2" t="s">
        <v>9578</v>
      </c>
      <c r="D2338" s="2" t="s">
        <v>9583</v>
      </c>
      <c r="E2338" s="2" t="s">
        <v>9584</v>
      </c>
      <c r="F2338" s="2">
        <v>93.0</v>
      </c>
      <c r="G2338" s="2">
        <v>372.0</v>
      </c>
      <c r="H2338" s="2" t="b">
        <v>1</v>
      </c>
      <c r="I2338" s="2">
        <v>-1.0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s">
        <v>33</v>
      </c>
      <c r="O2338" s="2">
        <v>35.0</v>
      </c>
      <c r="P2338" s="2">
        <v>1.0</v>
      </c>
      <c r="Q2338" s="2">
        <v>54.0</v>
      </c>
      <c r="R2338" s="2">
        <v>0.0</v>
      </c>
      <c r="S2338" s="3" t="s">
        <v>9585</v>
      </c>
      <c r="T2338" s="2" t="s">
        <v>9586</v>
      </c>
      <c r="Y2338" s="4" t="str">
        <f>IFERROR(__xludf.DUMMYFUNCTION("""COMPUTED_VALUE"""),"6.4418726")</f>
        <v>6.4418726</v>
      </c>
      <c r="Z2338" s="4" t="str">
        <f>IFERROR(__xludf.DUMMYFUNCTION("""COMPUTED_VALUE"""),"4.4284985")</f>
        <v>4.4284985</v>
      </c>
      <c r="AA2338" s="4" t="str">
        <f t="shared" si="1"/>
        <v>Not Neighbor</v>
      </c>
      <c r="AC2338" s="4">
        <f>IFERROR(__xludf.DUMMYFUNCTION("IFERROR(ABS(O2338-AVERAGE(FILTER(O2338:O6406,AA2338:AA6406=""Neighbor""))) / STDEV(FILTER(O2338:O6406, AA2338:AA6406 =""Neighbor"")), """")"),0.4499148096068933)</f>
        <v>0.4499148096</v>
      </c>
      <c r="AD2338" s="4">
        <f>IFERROR(__xludf.DUMMYFUNCTION("IFERROR(ABS(P2338-AVERAGE(FILTER(O2338:P6406,AA2338:AA6406=""Neighbor""))) / STDEV(FILTER(P2338:P6406, AA2338:AA6406 =""Neighbor"")), """")"),1.4545927484502832)</f>
        <v>1.454592748</v>
      </c>
      <c r="AE2338" s="2">
        <f>IFERROR(__xludf.DUMMYFUNCTION("IFERROR(ABS(Q2338-AVERAGE(FILTER(Q2338:Q6406,AA2338:AA6406=""Neighbor""))) / STDEV(FILTER(Q2338:Q6406, AA2338:AA6406 =""Neighbor"")), """")"),1.942396612416573)</f>
        <v>1.942396612</v>
      </c>
      <c r="AF2338" s="2">
        <f>IFERROR(__xludf.DUMMYFUNCTION("IFERROR(ABS(R2338-AVERAGE(FILTER(R2338:R6406,AA2338:AA6406=""Neighbor""))) / STDEV(FILTER(R2338:R6406, AA2338:AA6406 =""Neighbor"")), """")"),0.33906019117288627)</f>
        <v>0.3390601912</v>
      </c>
    </row>
    <row r="2339">
      <c r="A2339" s="2" t="s">
        <v>28</v>
      </c>
      <c r="B2339" s="2" t="s">
        <v>9299</v>
      </c>
      <c r="C2339" s="2" t="s">
        <v>9578</v>
      </c>
      <c r="D2339" s="2" t="s">
        <v>9587</v>
      </c>
      <c r="E2339" s="2" t="s">
        <v>9588</v>
      </c>
      <c r="F2339" s="2">
        <v>70.0</v>
      </c>
      <c r="G2339" s="2">
        <v>299.0</v>
      </c>
      <c r="H2339" s="2" t="b">
        <v>1</v>
      </c>
      <c r="I2339" s="2">
        <v>-1.0</v>
      </c>
      <c r="J2339" s="2" t="b">
        <v>0</v>
      </c>
      <c r="K2339" s="2" t="b">
        <v>0</v>
      </c>
      <c r="L2339" s="2" t="b">
        <v>0</v>
      </c>
      <c r="M2339" s="2" t="b">
        <v>0</v>
      </c>
      <c r="N2339" s="2" t="s">
        <v>33</v>
      </c>
      <c r="O2339" s="2">
        <v>50.0</v>
      </c>
      <c r="P2339" s="2">
        <v>0.0</v>
      </c>
      <c r="Q2339" s="2">
        <v>19.0</v>
      </c>
      <c r="R2339" s="2">
        <v>0.0</v>
      </c>
      <c r="S2339" s="3" t="s">
        <v>9589</v>
      </c>
      <c r="T2339" s="2" t="s">
        <v>9590</v>
      </c>
      <c r="Y2339" s="4" t="str">
        <f>IFERROR(__xludf.DUMMYFUNCTION("""COMPUTED_VALUE"""),"6.3760946")</f>
        <v>6.3760946</v>
      </c>
      <c r="Z2339" s="4" t="str">
        <f>IFERROR(__xludf.DUMMYFUNCTION("""COMPUTED_VALUE"""),"4.5505158")</f>
        <v>4.5505158</v>
      </c>
      <c r="AA2339" s="4" t="str">
        <f t="shared" si="1"/>
        <v>Not Neighbor</v>
      </c>
      <c r="AC2339" s="4">
        <f>IFERROR(__xludf.DUMMYFUNCTION("IFERROR(ABS(O2339-AVERAGE(FILTER(O2339:O6407,AA2339:AA6407=""Neighbor""))) / STDEV(FILTER(O2339:O6407, AA2339:AA6407 =""Neighbor"")), """")"),0.027170837264718126)</f>
        <v>0.02717083726</v>
      </c>
      <c r="AD2339" s="4">
        <f>IFERROR(__xludf.DUMMYFUNCTION("IFERROR(ABS(P2339-AVERAGE(FILTER(O2339:P6407,AA2339:AA6407=""Neighbor""))) / STDEV(FILTER(P2339:P6407, AA2339:AA6407 =""Neighbor"")), """")"),1.4983999510242434)</f>
        <v>1.498399951</v>
      </c>
      <c r="AE2339" s="2">
        <f>IFERROR(__xludf.DUMMYFUNCTION("IFERROR(ABS(Q2339-AVERAGE(FILTER(Q2339:Q6407,AA2339:AA6407=""Neighbor""))) / STDEV(FILTER(Q2339:Q6407, AA2339:AA6407 =""Neighbor"")), """")"),0.06167634346865517)</f>
        <v>0.06167634347</v>
      </c>
      <c r="AF2339" s="2">
        <f>IFERROR(__xludf.DUMMYFUNCTION("IFERROR(ABS(R2339-AVERAGE(FILTER(R2339:R6407,AA2339:AA6407=""Neighbor""))) / STDEV(FILTER(R2339:R6407, AA2339:AA6407 =""Neighbor"")), """")"),0.33906019117288627)</f>
        <v>0.3390601912</v>
      </c>
    </row>
    <row r="2340">
      <c r="A2340" s="2" t="s">
        <v>28</v>
      </c>
      <c r="B2340" s="2" t="s">
        <v>9299</v>
      </c>
      <c r="C2340" s="2" t="s">
        <v>9578</v>
      </c>
      <c r="D2340" s="2" t="s">
        <v>9591</v>
      </c>
      <c r="E2340" s="2" t="s">
        <v>9592</v>
      </c>
      <c r="F2340" s="2">
        <v>110.0</v>
      </c>
      <c r="G2340" s="2">
        <v>348.0</v>
      </c>
      <c r="H2340" s="2" t="b">
        <v>1</v>
      </c>
      <c r="I2340" s="2">
        <v>-1.0</v>
      </c>
      <c r="J2340" s="2" t="b">
        <v>0</v>
      </c>
      <c r="K2340" s="2" t="b">
        <v>0</v>
      </c>
      <c r="L2340" s="2" t="b">
        <v>0</v>
      </c>
      <c r="M2340" s="2" t="b">
        <v>0</v>
      </c>
      <c r="N2340" s="2" t="s">
        <v>33</v>
      </c>
      <c r="O2340" s="2">
        <v>69.0</v>
      </c>
      <c r="P2340" s="2">
        <v>0.0</v>
      </c>
      <c r="Q2340" s="2">
        <v>39.0</v>
      </c>
      <c r="R2340" s="2">
        <v>0.0</v>
      </c>
      <c r="S2340" s="3" t="s">
        <v>9593</v>
      </c>
      <c r="T2340" s="2" t="s">
        <v>9594</v>
      </c>
      <c r="Y2340" s="4" t="str">
        <f>IFERROR(__xludf.DUMMYFUNCTION("""COMPUTED_VALUE"""),"6.4418726")</f>
        <v>6.4418726</v>
      </c>
      <c r="Z2340" s="4" t="str">
        <f>IFERROR(__xludf.DUMMYFUNCTION("""COMPUTED_VALUE"""),"4.4284985")</f>
        <v>4.4284985</v>
      </c>
      <c r="AA2340" s="4" t="str">
        <f t="shared" si="1"/>
        <v>Not Neighbor</v>
      </c>
      <c r="AC2340" s="4">
        <f>IFERROR(__xludf.DUMMYFUNCTION("IFERROR(ABS(O2340-AVERAGE(FILTER(O2340:O6408,AA2340:AA6408=""Neighbor""))) / STDEV(FILTER(O2340:O6408, AA2340:AA6408 =""Neighbor"")), """")"),0.5083048610353704)</f>
        <v>0.508304861</v>
      </c>
      <c r="AD2340" s="4">
        <f>IFERROR(__xludf.DUMMYFUNCTION("IFERROR(ABS(P2340-AVERAGE(FILTER(O2340:P6408,AA2340:AA6408=""Neighbor""))) / STDEV(FILTER(P2340:P6408, AA2340:AA6408 =""Neighbor"")), """")"),1.4983999510242434)</f>
        <v>1.498399951</v>
      </c>
      <c r="AE2340" s="2">
        <f>IFERROR(__xludf.DUMMYFUNCTION("IFERROR(ABS(Q2340-AVERAGE(FILTER(Q2340:Q6408,AA2340:AA6408=""Neighbor""))) / STDEV(FILTER(Q2340:Q6408, AA2340:AA6408 =""Neighbor"")), """")"),1.1363736400103226)</f>
        <v>1.13637364</v>
      </c>
      <c r="AF2340" s="2">
        <f>IFERROR(__xludf.DUMMYFUNCTION("IFERROR(ABS(R2340-AVERAGE(FILTER(R2340:R6408,AA2340:AA6408=""Neighbor""))) / STDEV(FILTER(R2340:R6408, AA2340:AA6408 =""Neighbor"")), """")"),0.33906019117288627)</f>
        <v>0.3390601912</v>
      </c>
    </row>
    <row r="2341">
      <c r="A2341" s="2" t="s">
        <v>28</v>
      </c>
      <c r="B2341" s="2" t="s">
        <v>9299</v>
      </c>
      <c r="C2341" s="2" t="s">
        <v>9578</v>
      </c>
      <c r="D2341" s="2" t="s">
        <v>9595</v>
      </c>
      <c r="E2341" s="2" t="s">
        <v>9596</v>
      </c>
      <c r="F2341" s="2">
        <v>17.0</v>
      </c>
      <c r="G2341" s="2">
        <v>213.0</v>
      </c>
      <c r="H2341" s="2" t="b">
        <v>1</v>
      </c>
      <c r="I2341" s="2">
        <v>-1.0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s">
        <v>33</v>
      </c>
      <c r="O2341" s="2">
        <v>13.0</v>
      </c>
      <c r="P2341" s="2">
        <v>0.0</v>
      </c>
      <c r="Q2341" s="2">
        <v>3.0</v>
      </c>
      <c r="R2341" s="2">
        <v>0.0</v>
      </c>
      <c r="S2341" s="3" t="s">
        <v>9597</v>
      </c>
      <c r="T2341" s="2" t="s">
        <v>9598</v>
      </c>
      <c r="Y2341" s="4" t="str">
        <f>IFERROR(__xludf.DUMMYFUNCTION("""COMPUTED_VALUE"""),"6.3760946")</f>
        <v>6.3760946</v>
      </c>
      <c r="Z2341" s="4" t="str">
        <f>IFERROR(__xludf.DUMMYFUNCTION("""COMPUTED_VALUE"""),"4.5505158")</f>
        <v>4.5505158</v>
      </c>
      <c r="AA2341" s="4" t="str">
        <f t="shared" si="1"/>
        <v>Not Neighbor</v>
      </c>
      <c r="AC2341" s="4">
        <f>IFERROR(__xludf.DUMMYFUNCTION("IFERROR(ABS(O2341-AVERAGE(FILTER(O2341:O6409,AA2341:AA6409=""Neighbor""))) / STDEV(FILTER(O2341:O6409, AA2341:AA6409 =""Neighbor"")), """")"),1.069939302375417)</f>
        <v>1.069939302</v>
      </c>
      <c r="AD2341" s="4">
        <f>IFERROR(__xludf.DUMMYFUNCTION("IFERROR(ABS(P2341-AVERAGE(FILTER(O2341:P6409,AA2341:AA6409=""Neighbor""))) / STDEV(FILTER(P2341:P6409, AA2341:AA6409 =""Neighbor"")), """")"),1.4983999510242434)</f>
        <v>1.498399951</v>
      </c>
      <c r="AE2341" s="2">
        <f>IFERROR(__xludf.DUMMYFUNCTION("IFERROR(ABS(Q2341-AVERAGE(FILTER(Q2341:Q6409,AA2341:AA6409=""Neighbor""))) / STDEV(FILTER(Q2341:Q6409, AA2341:AA6409 =""Neighbor"")), """")"),0.7980814937646787)</f>
        <v>0.7980814938</v>
      </c>
      <c r="AF2341" s="2">
        <f>IFERROR(__xludf.DUMMYFUNCTION("IFERROR(ABS(R2341-AVERAGE(FILTER(R2341:R6409,AA2341:AA6409=""Neighbor""))) / STDEV(FILTER(R2341:R6409, AA2341:AA6409 =""Neighbor"")), """")"),0.33906019117288627)</f>
        <v>0.3390601912</v>
      </c>
    </row>
    <row r="2342">
      <c r="A2342" s="2" t="s">
        <v>28</v>
      </c>
      <c r="B2342" s="2" t="s">
        <v>9299</v>
      </c>
      <c r="C2342" s="2" t="s">
        <v>9578</v>
      </c>
      <c r="D2342" s="2" t="s">
        <v>9599</v>
      </c>
      <c r="E2342" s="2" t="s">
        <v>9600</v>
      </c>
      <c r="F2342" s="2">
        <v>114.0</v>
      </c>
      <c r="G2342" s="2">
        <v>408.0</v>
      </c>
      <c r="H2342" s="2" t="b">
        <v>1</v>
      </c>
      <c r="I2342" s="2">
        <v>-1.0</v>
      </c>
      <c r="J2342" s="2" t="b">
        <v>0</v>
      </c>
      <c r="K2342" s="2" t="b">
        <v>0</v>
      </c>
      <c r="L2342" s="2" t="b">
        <v>0</v>
      </c>
      <c r="M2342" s="2" t="b">
        <v>0</v>
      </c>
      <c r="N2342" s="2" t="s">
        <v>33</v>
      </c>
      <c r="O2342" s="2">
        <v>64.0</v>
      </c>
      <c r="P2342" s="2">
        <v>2.0</v>
      </c>
      <c r="Q2342" s="2">
        <v>48.0</v>
      </c>
      <c r="R2342" s="2">
        <v>0.0</v>
      </c>
      <c r="S2342" s="3" t="s">
        <v>9601</v>
      </c>
      <c r="T2342" s="2" t="s">
        <v>9602</v>
      </c>
      <c r="Y2342" s="4" t="str">
        <f>IFERROR(__xludf.DUMMYFUNCTION("""COMPUTED_VALUE"""),"6.4419789")</f>
        <v>6.4419789</v>
      </c>
      <c r="Z2342" s="4" t="str">
        <f>IFERROR(__xludf.DUMMYFUNCTION("""COMPUTED_VALUE"""),"4.4102364")</f>
        <v>4.4102364</v>
      </c>
      <c r="AA2342" s="4" t="str">
        <f t="shared" si="1"/>
        <v>Not Neighbor</v>
      </c>
      <c r="AC2342" s="4">
        <f>IFERROR(__xludf.DUMMYFUNCTION("IFERROR(ABS(O2342-AVERAGE(FILTER(O2342:O6410,AA2342:AA6410=""Neighbor""))) / STDEV(FILTER(O2342:O6410, AA2342:AA6410 =""Neighbor"")), """")"),0.3673902035879787)</f>
        <v>0.3673902036</v>
      </c>
      <c r="AD2342" s="4">
        <f>IFERROR(__xludf.DUMMYFUNCTION("IFERROR(ABS(P2342-AVERAGE(FILTER(O2342:P6410,AA2342:AA6410=""Neighbor""))) / STDEV(FILTER(P2342:P6410, AA2342:AA6410 =""Neighbor"")), """")"),1.4107855458763228)</f>
        <v>1.410785546</v>
      </c>
      <c r="AE2342" s="2">
        <f>IFERROR(__xludf.DUMMYFUNCTION("IFERROR(ABS(Q2342-AVERAGE(FILTER(Q2342:Q6410,AA2342:AA6410=""Neighbor""))) / STDEV(FILTER(Q2342:Q6410, AA2342:AA6410 =""Neighbor"")), """")"),1.6199874234540728)</f>
        <v>1.619987423</v>
      </c>
      <c r="AF2342" s="2">
        <f>IFERROR(__xludf.DUMMYFUNCTION("IFERROR(ABS(R2342-AVERAGE(FILTER(R2342:R6410,AA2342:AA6410=""Neighbor""))) / STDEV(FILTER(R2342:R6410, AA2342:AA6410 =""Neighbor"")), """")"),0.33906019117288627)</f>
        <v>0.3390601912</v>
      </c>
    </row>
    <row r="2343">
      <c r="A2343" s="2" t="s">
        <v>28</v>
      </c>
      <c r="B2343" s="2" t="s">
        <v>9299</v>
      </c>
      <c r="C2343" s="2" t="s">
        <v>9578</v>
      </c>
      <c r="D2343" s="2" t="s">
        <v>9603</v>
      </c>
      <c r="E2343" s="2" t="s">
        <v>9604</v>
      </c>
      <c r="F2343" s="2">
        <v>107.0</v>
      </c>
      <c r="G2343" s="2">
        <v>386.0</v>
      </c>
      <c r="H2343" s="2" t="b">
        <v>1</v>
      </c>
      <c r="I2343" s="2">
        <v>-1.0</v>
      </c>
      <c r="J2343" s="2" t="b">
        <v>0</v>
      </c>
      <c r="K2343" s="2" t="b">
        <v>0</v>
      </c>
      <c r="L2343" s="2" t="b">
        <v>0</v>
      </c>
      <c r="M2343" s="2" t="b">
        <v>0</v>
      </c>
      <c r="N2343" s="2" t="s">
        <v>33</v>
      </c>
      <c r="O2343" s="2">
        <v>74.0</v>
      </c>
      <c r="P2343" s="2">
        <v>0.0</v>
      </c>
      <c r="Q2343" s="2">
        <v>29.0</v>
      </c>
      <c r="R2343" s="2">
        <v>0.0</v>
      </c>
      <c r="S2343" s="3" t="s">
        <v>9605</v>
      </c>
      <c r="T2343" s="2" t="s">
        <v>9606</v>
      </c>
      <c r="Y2343" s="4" t="str">
        <f>IFERROR(__xludf.DUMMYFUNCTION("""COMPUTED_VALUE"""),"6.4418726")</f>
        <v>6.4418726</v>
      </c>
      <c r="Z2343" s="4" t="str">
        <f>IFERROR(__xludf.DUMMYFUNCTION("""COMPUTED_VALUE"""),"4.4284985")</f>
        <v>4.4284985</v>
      </c>
      <c r="AA2343" s="4" t="str">
        <f t="shared" si="1"/>
        <v>Neighbor</v>
      </c>
      <c r="AC2343" s="4">
        <f>IFERROR(__xludf.DUMMYFUNCTION("IFERROR(ABS(O2343-AVERAGE(FILTER(O2343:O6411,AA2343:AA6411=""Neighbor""))) / STDEV(FILTER(O2343:O6411, AA2343:AA6411 =""Neighbor"")), """")"),0.6492195184827622)</f>
        <v>0.6492195185</v>
      </c>
      <c r="AD2343" s="4">
        <f>IFERROR(__xludf.DUMMYFUNCTION("IFERROR(ABS(P2343-AVERAGE(FILTER(O2343:P6411,AA2343:AA6411=""Neighbor""))) / STDEV(FILTER(P2343:P6411, AA2343:AA6411 =""Neighbor"")), """")"),1.4983999510242434)</f>
        <v>1.498399951</v>
      </c>
      <c r="AE2343" s="2">
        <f>IFERROR(__xludf.DUMMYFUNCTION("IFERROR(ABS(Q2343-AVERAGE(FILTER(Q2343:Q6411,AA2343:AA6411=""Neighbor""))) / STDEV(FILTER(Q2343:Q6411, AA2343:AA6411 =""Neighbor"")), """")"),0.5990249917394889)</f>
        <v>0.5990249917</v>
      </c>
      <c r="AF2343" s="2">
        <f>IFERROR(__xludf.DUMMYFUNCTION("IFERROR(ABS(R2343-AVERAGE(FILTER(R2343:R6411,AA2343:AA6411=""Neighbor""))) / STDEV(FILTER(R2343:R6411, AA2343:AA6411 =""Neighbor"")), """")"),0.33906019117288627)</f>
        <v>0.3390601912</v>
      </c>
    </row>
    <row r="2344">
      <c r="A2344" s="2" t="s">
        <v>28</v>
      </c>
      <c r="B2344" s="2" t="s">
        <v>9299</v>
      </c>
      <c r="C2344" s="2" t="s">
        <v>9578</v>
      </c>
      <c r="D2344" s="2" t="s">
        <v>9607</v>
      </c>
      <c r="E2344" s="2" t="s">
        <v>9608</v>
      </c>
      <c r="F2344" s="2">
        <v>28.0</v>
      </c>
      <c r="G2344" s="2">
        <v>192.0</v>
      </c>
      <c r="H2344" s="2" t="b">
        <v>1</v>
      </c>
      <c r="I2344" s="2">
        <v>-1.0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s">
        <v>33</v>
      </c>
      <c r="O2344" s="2">
        <v>19.0</v>
      </c>
      <c r="P2344" s="2">
        <v>0.0</v>
      </c>
      <c r="Q2344" s="2">
        <v>9.0</v>
      </c>
      <c r="R2344" s="2">
        <v>0.0</v>
      </c>
      <c r="S2344" s="3" t="s">
        <v>9609</v>
      </c>
      <c r="T2344" s="2" t="s">
        <v>9610</v>
      </c>
      <c r="Y2344" s="4" t="str">
        <f>IFERROR(__xludf.DUMMYFUNCTION("""COMPUTED_VALUE"""),"6.4418726")</f>
        <v>6.4418726</v>
      </c>
      <c r="Z2344" s="4" t="str">
        <f>IFERROR(__xludf.DUMMYFUNCTION("""COMPUTED_VALUE"""),"4.4284985")</f>
        <v>4.4284985</v>
      </c>
      <c r="AA2344" s="4" t="str">
        <f t="shared" si="1"/>
        <v>Neighbor</v>
      </c>
      <c r="AC2344" s="4">
        <f>IFERROR(__xludf.DUMMYFUNCTION("IFERROR(ABS(O2344-AVERAGE(FILTER(O2344:O6412,AA2344:AA6412=""Neighbor""))) / STDEV(FILTER(O2344:O6412, AA2344:AA6412 =""Neighbor"")), """")"),0.8995837933970209)</f>
        <v>0.8995837934</v>
      </c>
      <c r="AD2344" s="4">
        <f>IFERROR(__xludf.DUMMYFUNCTION("IFERROR(ABS(P2344-AVERAGE(FILTER(O2344:P6412,AA2344:AA6412=""Neighbor""))) / STDEV(FILTER(P2344:P6412, AA2344:AA6412 =""Neighbor"")), """")"),1.4977999757944396)</f>
        <v>1.497799976</v>
      </c>
      <c r="AE2344" s="2">
        <f>IFERROR(__xludf.DUMMYFUNCTION("IFERROR(ABS(Q2344-AVERAGE(FILTER(Q2344:Q6412,AA2344:AA6412=""Neighbor""))) / STDEV(FILTER(Q2344:Q6412, AA2344:AA6412 =""Neighbor"")), """")"),0.4746332396465054)</f>
        <v>0.4746332396</v>
      </c>
      <c r="AF2344" s="2">
        <f>IFERROR(__xludf.DUMMYFUNCTION("IFERROR(ABS(R2344-AVERAGE(FILTER(R2344:R6412,AA2344:AA6412=""Neighbor""))) / STDEV(FILTER(R2344:R6412, AA2344:AA6412 =""Neighbor"")), """")"),0.339321282627558)</f>
        <v>0.3393212826</v>
      </c>
    </row>
    <row r="2345">
      <c r="A2345" s="2" t="s">
        <v>28</v>
      </c>
      <c r="B2345" s="2" t="s">
        <v>9299</v>
      </c>
      <c r="C2345" s="2" t="s">
        <v>9578</v>
      </c>
      <c r="D2345" s="2" t="s">
        <v>9611</v>
      </c>
      <c r="E2345" s="2" t="s">
        <v>9612</v>
      </c>
      <c r="F2345" s="2">
        <v>9.0</v>
      </c>
      <c r="G2345" s="2">
        <v>214.0</v>
      </c>
      <c r="H2345" s="2" t="b">
        <v>1</v>
      </c>
      <c r="I2345" s="2">
        <v>-1.0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s">
        <v>33</v>
      </c>
      <c r="O2345" s="2">
        <v>4.0</v>
      </c>
      <c r="P2345" s="2">
        <v>1.0</v>
      </c>
      <c r="Q2345" s="2">
        <v>3.0</v>
      </c>
      <c r="R2345" s="2">
        <v>0.0</v>
      </c>
      <c r="S2345" s="3" t="s">
        <v>9613</v>
      </c>
      <c r="T2345" s="2" t="s">
        <v>9614</v>
      </c>
      <c r="Y2345" s="4" t="str">
        <f>IFERROR(__xludf.DUMMYFUNCTION("""COMPUTED_VALUE"""),"6.4418726")</f>
        <v>6.4418726</v>
      </c>
      <c r="Z2345" s="4" t="str">
        <f>IFERROR(__xludf.DUMMYFUNCTION("""COMPUTED_VALUE"""),"4.4284985")</f>
        <v>4.4284985</v>
      </c>
      <c r="AA2345" s="4" t="str">
        <f t="shared" si="1"/>
        <v>Not Neighbor</v>
      </c>
      <c r="AC2345" s="4">
        <f>IFERROR(__xludf.DUMMYFUNCTION("IFERROR(ABS(O2345-AVERAGE(FILTER(O2345:O6413,AA2345:AA6413=""Neighbor""))) / STDEV(FILTER(O2345:O6413, AA2345:AA6413 =""Neighbor"")), """")"),1.3232306355559906)</f>
        <v>1.323230636</v>
      </c>
      <c r="AD2345" s="4">
        <f>IFERROR(__xludf.DUMMYFUNCTION("IFERROR(ABS(P2345-AVERAGE(FILTER(O2345:P6413,AA2345:AA6413=""Neighbor""))) / STDEV(FILTER(P2345:P6413, AA2345:AA6413 =""Neighbor"")), """")"),1.4550860386110722)</f>
        <v>1.455086039</v>
      </c>
      <c r="AE2345" s="2">
        <f>IFERROR(__xludf.DUMMYFUNCTION("IFERROR(ABS(Q2345-AVERAGE(FILTER(Q2345:Q6413,AA2345:AA6413=""Neighbor""))) / STDEV(FILTER(Q2345:Q6413, AA2345:AA6413 =""Neighbor"")), """")"),0.797128889265984)</f>
        <v>0.7971288893</v>
      </c>
      <c r="AF2345" s="2">
        <f>IFERROR(__xludf.DUMMYFUNCTION("IFERROR(ABS(R2345-AVERAGE(FILTER(R2345:R6413,AA2345:AA6413=""Neighbor""))) / STDEV(FILTER(R2345:R6413, AA2345:AA6413 =""Neighbor"")), """")"),0.33958297827145145)</f>
        <v>0.3395829783</v>
      </c>
    </row>
    <row r="2346">
      <c r="A2346" s="2" t="s">
        <v>28</v>
      </c>
      <c r="B2346" s="2" t="s">
        <v>9299</v>
      </c>
      <c r="C2346" s="2" t="s">
        <v>9578</v>
      </c>
      <c r="D2346" s="2" t="s">
        <v>9615</v>
      </c>
      <c r="E2346" s="2" t="s">
        <v>9616</v>
      </c>
      <c r="F2346" s="2">
        <v>87.0</v>
      </c>
      <c r="G2346" s="2">
        <v>425.0</v>
      </c>
      <c r="H2346" s="2" t="b">
        <v>1</v>
      </c>
      <c r="I2346" s="2">
        <v>-1.0</v>
      </c>
      <c r="J2346" s="2" t="b">
        <v>0</v>
      </c>
      <c r="K2346" s="2" t="b">
        <v>0</v>
      </c>
      <c r="L2346" s="2" t="b">
        <v>0</v>
      </c>
      <c r="M2346" s="2" t="b">
        <v>0</v>
      </c>
      <c r="N2346" s="2" t="s">
        <v>33</v>
      </c>
      <c r="O2346" s="2">
        <v>40.0</v>
      </c>
      <c r="P2346" s="2">
        <v>4.0</v>
      </c>
      <c r="Q2346" s="2">
        <v>41.0</v>
      </c>
      <c r="R2346" s="2">
        <v>0.0</v>
      </c>
      <c r="S2346" s="3" t="s">
        <v>9617</v>
      </c>
      <c r="T2346" s="2" t="s">
        <v>9618</v>
      </c>
      <c r="Y2346" s="4" t="str">
        <f>IFERROR(__xludf.DUMMYFUNCTION("""COMPUTED_VALUE"""),"6.4413692")</f>
        <v>6.4413692</v>
      </c>
      <c r="Z2346" s="4" t="str">
        <f>IFERROR(__xludf.DUMMYFUNCTION("""COMPUTED_VALUE"""),"4.4098501")</f>
        <v>4.4098501</v>
      </c>
      <c r="AA2346" s="4" t="str">
        <f t="shared" si="1"/>
        <v>Not Neighbor</v>
      </c>
      <c r="AC2346" s="4">
        <f>IFERROR(__xludf.DUMMYFUNCTION("IFERROR(ABS(O2346-AVERAGE(FILTER(O2346:O6414,AA2346:AA6414=""Neighbor""))) / STDEV(FILTER(O2346:O6414, AA2346:AA6414 =""Neighbor"")), """")"),0.3091842670867479)</f>
        <v>0.3091842671</v>
      </c>
      <c r="AD2346" s="4">
        <f>IFERROR(__xludf.DUMMYFUNCTION("IFERROR(ABS(P2346-AVERAGE(FILTER(O2346:P6414,AA2346:AA6414=""Neighbor""))) / STDEV(FILTER(P2346:P6414, AA2346:AA6414 =""Neighbor"")), """")"),1.3237398962247255)</f>
        <v>1.323739896</v>
      </c>
      <c r="AE2346" s="2">
        <f>IFERROR(__xludf.DUMMYFUNCTION("IFERROR(ABS(Q2346-AVERAGE(FILTER(Q2346:Q6414,AA2346:AA6414=""Neighbor""))) / STDEV(FILTER(Q2346:Q6414, AA2346:AA6414 =""Neighbor"")), """")"),1.242795390736025)</f>
        <v>1.242795391</v>
      </c>
      <c r="AF2346" s="2">
        <f>IFERROR(__xludf.DUMMYFUNCTION("IFERROR(ABS(R2346-AVERAGE(FILTER(R2346:R6414,AA2346:AA6414=""Neighbor""))) / STDEV(FILTER(R2346:R6414, AA2346:AA6414 =""Neighbor"")), """")"),0.33958297827145145)</f>
        <v>0.3395829783</v>
      </c>
    </row>
    <row r="2347">
      <c r="A2347" s="2" t="s">
        <v>28</v>
      </c>
      <c r="B2347" s="2" t="s">
        <v>9299</v>
      </c>
      <c r="C2347" s="2" t="s">
        <v>9619</v>
      </c>
      <c r="D2347" s="2" t="s">
        <v>9620</v>
      </c>
      <c r="E2347" s="2" t="s">
        <v>9621</v>
      </c>
      <c r="F2347" s="2">
        <v>196.0</v>
      </c>
      <c r="G2347" s="2">
        <v>756.0</v>
      </c>
      <c r="H2347" s="2" t="b">
        <v>1</v>
      </c>
      <c r="I2347" s="2">
        <v>-1.0</v>
      </c>
      <c r="J2347" s="2" t="b">
        <v>0</v>
      </c>
      <c r="K2347" s="2" t="b">
        <v>0</v>
      </c>
      <c r="L2347" s="2" t="b">
        <v>0</v>
      </c>
      <c r="M2347" s="2" t="b">
        <v>0</v>
      </c>
      <c r="N2347" s="2" t="s">
        <v>33</v>
      </c>
      <c r="O2347" s="2">
        <v>85.0</v>
      </c>
      <c r="P2347" s="2">
        <v>0.0</v>
      </c>
      <c r="Q2347" s="2">
        <v>111.0</v>
      </c>
      <c r="R2347" s="2">
        <v>0.0</v>
      </c>
      <c r="S2347" s="3" t="s">
        <v>9622</v>
      </c>
      <c r="T2347" s="2" t="s">
        <v>9623</v>
      </c>
      <c r="Y2347" s="4" t="str">
        <f>IFERROR(__xludf.DUMMYFUNCTION("""COMPUTED_VALUE"""),"6.3781473")</f>
        <v>6.3781473</v>
      </c>
      <c r="Z2347" s="4" t="str">
        <f>IFERROR(__xludf.DUMMYFUNCTION("""COMPUTED_VALUE"""),"4.4284985")</f>
        <v>4.4284985</v>
      </c>
      <c r="AA2347" s="4" t="str">
        <f t="shared" si="1"/>
        <v>Not Neighbor</v>
      </c>
      <c r="AC2347" s="4">
        <f>IFERROR(__xludf.DUMMYFUNCTION("IFERROR(ABS(O2347-AVERAGE(FILTER(O2347:O6415,AA2347:AA6415=""Neighbor""))) / STDEV(FILTER(O2347:O6415, AA2347:AA6415 =""Neighbor"")), """")"),0.9583736934998056)</f>
        <v>0.9583736935</v>
      </c>
      <c r="AD2347" s="4">
        <f>IFERROR(__xludf.DUMMYFUNCTION("IFERROR(ABS(P2347-AVERAGE(FILTER(O2347:P6415,AA2347:AA6415=""Neighbor""))) / STDEV(FILTER(P2347:P6415, AA2347:AA6415 =""Neighbor"")), """")"),1.4988680860731878)</f>
        <v>1.498868086</v>
      </c>
      <c r="AE2347" s="2">
        <f>IFERROR(__xludf.DUMMYFUNCTION("IFERROR(ABS(Q2347-AVERAGE(FILTER(Q2347:Q6415,AA2347:AA6415=""Neighbor""))) / STDEV(FILTER(Q2347:Q6415, AA2347:AA6415 =""Neighbor"")), """")"),5.000550643371304)</f>
        <v>5.000550643</v>
      </c>
      <c r="AF2347" s="2">
        <f>IFERROR(__xludf.DUMMYFUNCTION("IFERROR(ABS(R2347-AVERAGE(FILTER(R2347:R6415,AA2347:AA6415=""Neighbor""))) / STDEV(FILTER(R2347:R6415, AA2347:AA6415 =""Neighbor"")), """")"),0.33958297827145145)</f>
        <v>0.3395829783</v>
      </c>
    </row>
    <row r="2348">
      <c r="A2348" s="2" t="s">
        <v>28</v>
      </c>
      <c r="B2348" s="2" t="s">
        <v>9299</v>
      </c>
      <c r="C2348" s="2" t="s">
        <v>9619</v>
      </c>
      <c r="D2348" s="2" t="s">
        <v>9624</v>
      </c>
      <c r="E2348" s="2" t="s">
        <v>9625</v>
      </c>
      <c r="F2348" s="2">
        <v>79.0</v>
      </c>
      <c r="G2348" s="2">
        <v>295.0</v>
      </c>
      <c r="H2348" s="2" t="b">
        <v>1</v>
      </c>
      <c r="I2348" s="2">
        <v>-1.0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s">
        <v>33</v>
      </c>
      <c r="O2348" s="2">
        <v>38.0</v>
      </c>
      <c r="P2348" s="2">
        <v>0.0</v>
      </c>
      <c r="Q2348" s="2">
        <v>36.0</v>
      </c>
      <c r="R2348" s="2">
        <v>0.0</v>
      </c>
      <c r="S2348" s="3" t="s">
        <v>9626</v>
      </c>
      <c r="T2348" s="2" t="s">
        <v>9627</v>
      </c>
      <c r="Y2348" s="4" t="str">
        <f>IFERROR(__xludf.DUMMYFUNCTION("""COMPUTED_VALUE"""),"6.363637")</f>
        <v>6.363637</v>
      </c>
      <c r="Z2348" s="4" t="str">
        <f>IFERROR(__xludf.DUMMYFUNCTION("""COMPUTED_VALUE"""),"4.395416")</f>
        <v>4.395416</v>
      </c>
      <c r="AA2348" s="4" t="str">
        <f t="shared" si="1"/>
        <v>Not Neighbor</v>
      </c>
      <c r="AC2348" s="4">
        <f>IFERROR(__xludf.DUMMYFUNCTION("IFERROR(ABS(O2348-AVERAGE(FILTER(O2348:O6416,AA2348:AA6416=""Neighbor""))) / STDEV(FILTER(O2348:O6416, AA2348:AA6416 =""Neighbor"")), """")"),0.3655201764461503)</f>
        <v>0.3655201764</v>
      </c>
      <c r="AD2348" s="4">
        <f>IFERROR(__xludf.DUMMYFUNCTION("IFERROR(ABS(P2348-AVERAGE(FILTER(O2348:P6416,AA2348:AA6416=""Neighbor""))) / STDEV(FILTER(P2348:P6416, AA2348:AA6416 =""Neighbor"")), """")"),1.4988680860731878)</f>
        <v>1.498868086</v>
      </c>
      <c r="AE2348" s="2">
        <f>IFERROR(__xludf.DUMMYFUNCTION("IFERROR(ABS(Q2348-AVERAGE(FILTER(Q2348:Q6416,AA2348:AA6416=""Neighbor""))) / STDEV(FILTER(Q2348:Q6416, AA2348:AA6416 =""Neighbor"")), """")"),0.9743843012620764)</f>
        <v>0.9743843013</v>
      </c>
      <c r="AF2348" s="2">
        <f>IFERROR(__xludf.DUMMYFUNCTION("IFERROR(ABS(R2348-AVERAGE(FILTER(R2348:R6416,AA2348:AA6416=""Neighbor""))) / STDEV(FILTER(R2348:R6416, AA2348:AA6416 =""Neighbor"")), """")"),0.33958297827145145)</f>
        <v>0.3395829783</v>
      </c>
    </row>
    <row r="2349">
      <c r="A2349" s="2" t="s">
        <v>28</v>
      </c>
      <c r="B2349" s="2" t="s">
        <v>9299</v>
      </c>
      <c r="C2349" s="2" t="s">
        <v>9619</v>
      </c>
      <c r="D2349" s="2" t="s">
        <v>9628</v>
      </c>
      <c r="E2349" s="2" t="s">
        <v>9629</v>
      </c>
      <c r="F2349" s="2">
        <v>116.0</v>
      </c>
      <c r="G2349" s="2">
        <v>315.0</v>
      </c>
      <c r="H2349" s="2" t="b">
        <v>1</v>
      </c>
      <c r="I2349" s="2">
        <v>-1.0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s">
        <v>33</v>
      </c>
      <c r="O2349" s="2">
        <v>51.0</v>
      </c>
      <c r="P2349" s="2">
        <v>0.0</v>
      </c>
      <c r="Q2349" s="2">
        <v>60.0</v>
      </c>
      <c r="R2349" s="2">
        <v>0.0</v>
      </c>
      <c r="S2349" s="3" t="s">
        <v>9630</v>
      </c>
      <c r="T2349" s="2" t="s">
        <v>9631</v>
      </c>
      <c r="Y2349" s="4" t="str">
        <f>IFERROR(__xludf.DUMMYFUNCTION("""COMPUTED_VALUE"""),"6.4064751")</f>
        <v>6.4064751</v>
      </c>
      <c r="Z2349" s="4" t="str">
        <f>IFERROR(__xludf.DUMMYFUNCTION("""COMPUTED_VALUE"""),"4.4140293")</f>
        <v>4.4140293</v>
      </c>
      <c r="AA2349" s="4" t="str">
        <f t="shared" si="1"/>
        <v>Not Neighbor</v>
      </c>
      <c r="AC2349" s="4">
        <f>IFERROR(__xludf.DUMMYFUNCTION("IFERROR(ABS(O2349-AVERAGE(FILTER(O2349:O6417,AA2349:AA6417=""Neighbor""))) / STDEV(FILTER(O2349:O6417, AA2349:AA6417 =""Neighbor"")), """")"),6.632343899651665E-4)</f>
        <v>0.00066323439</v>
      </c>
      <c r="AD2349" s="4">
        <f>IFERROR(__xludf.DUMMYFUNCTION("IFERROR(ABS(P2349-AVERAGE(FILTER(O2349:P6417,AA2349:AA6417=""Neighbor""))) / STDEV(FILTER(P2349:P6417, AA2349:AA6417 =""Neighbor"")), """")"),1.4988680860731878)</f>
        <v>1.498868086</v>
      </c>
      <c r="AE2349" s="2">
        <f>IFERROR(__xludf.DUMMYFUNCTION("IFERROR(ABS(Q2349-AVERAGE(FILTER(Q2349:Q6417,AA2349:AA6417=""Neighbor""))) / STDEV(FILTER(Q2349:Q6417, AA2349:AA6417 =""Neighbor"")), """")"),2.262757530737029)</f>
        <v>2.262757531</v>
      </c>
      <c r="AF2349" s="2">
        <f>IFERROR(__xludf.DUMMYFUNCTION("IFERROR(ABS(R2349-AVERAGE(FILTER(R2349:R6417,AA2349:AA6417=""Neighbor""))) / STDEV(FILTER(R2349:R6417, AA2349:AA6417 =""Neighbor"")), """")"),0.33958297827145145)</f>
        <v>0.3395829783</v>
      </c>
    </row>
    <row r="2350">
      <c r="A2350" s="2" t="s">
        <v>28</v>
      </c>
      <c r="B2350" s="2" t="s">
        <v>9299</v>
      </c>
      <c r="C2350" s="2" t="s">
        <v>9619</v>
      </c>
      <c r="D2350" s="2" t="s">
        <v>9632</v>
      </c>
      <c r="E2350" s="2" t="s">
        <v>9633</v>
      </c>
      <c r="F2350" s="2">
        <v>204.0</v>
      </c>
      <c r="G2350" s="2">
        <v>813.0</v>
      </c>
      <c r="H2350" s="2" t="b">
        <v>1</v>
      </c>
      <c r="I2350" s="2">
        <v>-1.0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s">
        <v>33</v>
      </c>
      <c r="O2350" s="2">
        <v>118.0</v>
      </c>
      <c r="P2350" s="2">
        <v>2.0</v>
      </c>
      <c r="Q2350" s="2">
        <v>80.0</v>
      </c>
      <c r="R2350" s="2">
        <v>0.0</v>
      </c>
      <c r="S2350" s="3" t="s">
        <v>9634</v>
      </c>
      <c r="T2350" s="2" t="s">
        <v>9635</v>
      </c>
      <c r="Y2350" s="4" t="str">
        <f>IFERROR(__xludf.DUMMYFUNCTION("""COMPUTED_VALUE"""),"6.3781473")</f>
        <v>6.3781473</v>
      </c>
      <c r="Z2350" s="4" t="str">
        <f>IFERROR(__xludf.DUMMYFUNCTION("""COMPUTED_VALUE"""),"4.4284985")</f>
        <v>4.4284985</v>
      </c>
      <c r="AA2350" s="4" t="str">
        <f t="shared" si="1"/>
        <v>Not Neighbor</v>
      </c>
      <c r="AC2350" s="4">
        <f>IFERROR(__xludf.DUMMYFUNCTION("IFERROR(ABS(O2350-AVERAGE(FILTER(O2350:O6418,AA2350:AA6418=""Neighbor""))) / STDEV(FILTER(O2350:O6418, AA2350:AA6418 =""Neighbor"")), """")"),1.8879161979299446)</f>
        <v>1.887916198</v>
      </c>
      <c r="AD2350" s="4">
        <f>IFERROR(__xludf.DUMMYFUNCTION("IFERROR(ABS(P2350-AVERAGE(FILTER(O2350:P6418,AA2350:AA6418=""Neighbor""))) / STDEV(FILTER(P2350:P6418, AA2350:AA6418 =""Neighbor"")), """")"),1.4113039911489567)</f>
        <v>1.411303991</v>
      </c>
      <c r="AE2350" s="2">
        <f>IFERROR(__xludf.DUMMYFUNCTION("IFERROR(ABS(Q2350-AVERAGE(FILTER(Q2350:Q6418,AA2350:AA6418=""Neighbor""))) / STDEV(FILTER(Q2350:Q6418, AA2350:AA6418 =""Neighbor"")), """")"),3.3364018886328233)</f>
        <v>3.336401889</v>
      </c>
      <c r="AF2350" s="2">
        <f>IFERROR(__xludf.DUMMYFUNCTION("IFERROR(ABS(R2350-AVERAGE(FILTER(R2350:R6418,AA2350:AA6418=""Neighbor""))) / STDEV(FILTER(R2350:R6418, AA2350:AA6418 =""Neighbor"")), """")"),0.33958297827145145)</f>
        <v>0.3395829783</v>
      </c>
    </row>
    <row r="2351">
      <c r="A2351" s="2" t="s">
        <v>28</v>
      </c>
      <c r="B2351" s="2" t="s">
        <v>9299</v>
      </c>
      <c r="C2351" s="2" t="s">
        <v>9619</v>
      </c>
      <c r="D2351" s="2" t="s">
        <v>9636</v>
      </c>
      <c r="E2351" s="2" t="s">
        <v>9637</v>
      </c>
      <c r="F2351" s="2">
        <v>139.0</v>
      </c>
      <c r="G2351" s="2">
        <v>345.0</v>
      </c>
      <c r="H2351" s="2" t="b">
        <v>1</v>
      </c>
      <c r="I2351" s="2">
        <v>-1.0</v>
      </c>
      <c r="J2351" s="2" t="b">
        <v>0</v>
      </c>
      <c r="K2351" s="2" t="b">
        <v>1</v>
      </c>
      <c r="L2351" s="2" t="b">
        <v>0</v>
      </c>
      <c r="M2351" s="2" t="b">
        <v>0</v>
      </c>
      <c r="N2351" s="2" t="s">
        <v>33</v>
      </c>
      <c r="O2351" s="2">
        <v>42.0</v>
      </c>
      <c r="P2351" s="2">
        <v>1.0</v>
      </c>
      <c r="Q2351" s="2">
        <v>11.0</v>
      </c>
      <c r="R2351" s="2">
        <v>0.0</v>
      </c>
      <c r="S2351" s="3" t="s">
        <v>9638</v>
      </c>
      <c r="T2351" s="2" t="s">
        <v>9639</v>
      </c>
      <c r="Y2351" s="4" t="str">
        <f>IFERROR(__xludf.DUMMYFUNCTION("""COMPUTED_VALUE"""),"6.3619067")</f>
        <v>6.3619067</v>
      </c>
      <c r="Z2351" s="4" t="str">
        <f>IFERROR(__xludf.DUMMYFUNCTION("""COMPUTED_VALUE"""),"4.3879947")</f>
        <v>4.3879947</v>
      </c>
      <c r="AA2351" s="4" t="str">
        <f t="shared" si="1"/>
        <v>Not Neighbor</v>
      </c>
      <c r="AC2351" s="4">
        <f>IFERROR(__xludf.DUMMYFUNCTION("IFERROR(ABS(O2351-AVERAGE(FILTER(O2351:O6419,AA2351:AA6419=""Neighbor""))) / STDEV(FILTER(O2351:O6419, AA2351:AA6419 =""Neighbor"")), """")"),0.25284835772734554)</f>
        <v>0.2528483577</v>
      </c>
      <c r="AD2351" s="4">
        <f>IFERROR(__xludf.DUMMYFUNCTION("IFERROR(ABS(P2351-AVERAGE(FILTER(O2351:P6419,AA2351:AA6419=""Neighbor""))) / STDEV(FILTER(P2351:P6419, AA2351:AA6419 =""Neighbor"")), """")"),1.4550860386110722)</f>
        <v>1.455086039</v>
      </c>
      <c r="AE2351" s="2">
        <f>IFERROR(__xludf.DUMMYFUNCTION("IFERROR(ABS(Q2351-AVERAGE(FILTER(Q2351:Q6419,AA2351:AA6419=""Neighbor""))) / STDEV(FILTER(Q2351:Q6419, AA2351:AA6419 =""Neighbor"")), """")"),0.3676711461076663)</f>
        <v>0.3676711461</v>
      </c>
      <c r="AF2351" s="2">
        <f>IFERROR(__xludf.DUMMYFUNCTION("IFERROR(ABS(R2351-AVERAGE(FILTER(R2351:R6419,AA2351:AA6419=""Neighbor""))) / STDEV(FILTER(R2351:R6419, AA2351:AA6419 =""Neighbor"")), """")"),0.33958297827145145)</f>
        <v>0.3395829783</v>
      </c>
    </row>
    <row r="2352">
      <c r="A2352" s="2" t="s">
        <v>28</v>
      </c>
      <c r="B2352" s="2" t="s">
        <v>9299</v>
      </c>
      <c r="C2352" s="2" t="s">
        <v>9619</v>
      </c>
      <c r="D2352" s="2" t="s">
        <v>9640</v>
      </c>
      <c r="E2352" s="2" t="s">
        <v>9641</v>
      </c>
      <c r="F2352" s="2">
        <v>161.0</v>
      </c>
      <c r="G2352" s="2">
        <v>655.0</v>
      </c>
      <c r="H2352" s="2" t="b">
        <v>1</v>
      </c>
      <c r="I2352" s="2">
        <v>-1.0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s">
        <v>33</v>
      </c>
      <c r="O2352" s="2">
        <v>72.0</v>
      </c>
      <c r="P2352" s="2">
        <v>0.0</v>
      </c>
      <c r="Q2352" s="2">
        <v>78.0</v>
      </c>
      <c r="R2352" s="2">
        <v>0.0</v>
      </c>
      <c r="S2352" s="3" t="s">
        <v>9642</v>
      </c>
      <c r="T2352" s="2" t="s">
        <v>9643</v>
      </c>
      <c r="Y2352" s="4" t="str">
        <f>IFERROR(__xludf.DUMMYFUNCTION("""COMPUTED_VALUE"""),"6.3781473")</f>
        <v>6.3781473</v>
      </c>
      <c r="Z2352" s="4" t="str">
        <f>IFERROR(__xludf.DUMMYFUNCTION("""COMPUTED_VALUE"""),"4.4284985")</f>
        <v>4.4284985</v>
      </c>
      <c r="AA2352" s="4" t="str">
        <f t="shared" si="1"/>
        <v>Neighbor</v>
      </c>
      <c r="AC2352" s="4">
        <f>IFERROR(__xludf.DUMMYFUNCTION("IFERROR(ABS(O2352-AVERAGE(FILTER(O2352:O6420,AA2352:AA6420=""Neighbor""))) / STDEV(FILTER(O2352:O6420, AA2352:AA6420 =""Neighbor"")), """")"),0.5921902826636901)</f>
        <v>0.5921902827</v>
      </c>
      <c r="AD2352" s="4">
        <f>IFERROR(__xludf.DUMMYFUNCTION("IFERROR(ABS(P2352-AVERAGE(FILTER(O2352:P6420,AA2352:AA6420=""Neighbor""))) / STDEV(FILTER(P2352:P6420, AA2352:AA6420 =""Neighbor"")), """")"),1.4988680860731878)</f>
        <v>1.498868086</v>
      </c>
      <c r="AE2352" s="2">
        <f>IFERROR(__xludf.DUMMYFUNCTION("IFERROR(ABS(Q2352-AVERAGE(FILTER(Q2352:Q6420,AA2352:AA6420=""Neighbor""))) / STDEV(FILTER(Q2352:Q6420, AA2352:AA6420 =""Neighbor"")), """")"),3.229037452843244)</f>
        <v>3.229037453</v>
      </c>
      <c r="AF2352" s="2">
        <f>IFERROR(__xludf.DUMMYFUNCTION("IFERROR(ABS(R2352-AVERAGE(FILTER(R2352:R6420,AA2352:AA6420=""Neighbor""))) / STDEV(FILTER(R2352:R6420, AA2352:AA6420 =""Neighbor"")), """")"),0.33958297827145145)</f>
        <v>0.3395829783</v>
      </c>
    </row>
    <row r="2353">
      <c r="A2353" s="2" t="s">
        <v>28</v>
      </c>
      <c r="B2353" s="2" t="s">
        <v>9299</v>
      </c>
      <c r="C2353" s="2" t="s">
        <v>9619</v>
      </c>
      <c r="D2353" s="2" t="s">
        <v>9644</v>
      </c>
      <c r="E2353" s="2" t="s">
        <v>9645</v>
      </c>
      <c r="F2353" s="2">
        <v>103.0</v>
      </c>
      <c r="G2353" s="2">
        <v>363.0</v>
      </c>
      <c r="H2353" s="2" t="b">
        <v>1</v>
      </c>
      <c r="I2353" s="2">
        <v>-1.0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s">
        <v>33</v>
      </c>
      <c r="O2353" s="2">
        <v>64.0</v>
      </c>
      <c r="P2353" s="2">
        <v>0.0</v>
      </c>
      <c r="Q2353" s="2">
        <v>36.0</v>
      </c>
      <c r="R2353" s="2">
        <v>0.0</v>
      </c>
      <c r="S2353" s="3" t="s">
        <v>9646</v>
      </c>
      <c r="T2353" s="2" t="s">
        <v>9647</v>
      </c>
      <c r="Y2353" s="4" t="str">
        <f>IFERROR(__xludf.DUMMYFUNCTION("""COMPUTED_VALUE"""),"6.3781473")</f>
        <v>6.3781473</v>
      </c>
      <c r="Z2353" s="4" t="str">
        <f>IFERROR(__xludf.DUMMYFUNCTION("""COMPUTED_VALUE"""),"4.4284985")</f>
        <v>4.4284985</v>
      </c>
      <c r="AA2353" s="4" t="str">
        <f t="shared" si="1"/>
        <v>Not Neighbor</v>
      </c>
      <c r="AC2353" s="4">
        <f>IFERROR(__xludf.DUMMYFUNCTION("IFERROR(ABS(O2353-AVERAGE(FILTER(O2353:O6421,AA2353:AA6421=""Neighbor""))) / STDEV(FILTER(O2353:O6421, AA2353:AA6421 =""Neighbor"")), """")"),0.36750244179699887)</f>
        <v>0.3675024418</v>
      </c>
      <c r="AD2353" s="4">
        <f>IFERROR(__xludf.DUMMYFUNCTION("IFERROR(ABS(P2353-AVERAGE(FILTER(O2353:P6421,AA2353:AA6421=""Neighbor""))) / STDEV(FILTER(P2353:P6421, AA2353:AA6421 =""Neighbor"")), """")"),1.4983316310155956)</f>
        <v>1.498331631</v>
      </c>
      <c r="AE2353" s="2">
        <f>IFERROR(__xludf.DUMMYFUNCTION("IFERROR(ABS(Q2353-AVERAGE(FILTER(Q2353:Q6421,AA2353:AA6421=""Neighbor""))) / STDEV(FILTER(Q2353:Q6421, AA2353:AA6421 =""Neighbor"")), """")"),0.9853444363543041)</f>
        <v>0.9853444364</v>
      </c>
      <c r="AF2353" s="2">
        <f>IFERROR(__xludf.DUMMYFUNCTION("IFERROR(ABS(R2353-AVERAGE(FILTER(R2353:R6421,AA2353:AA6421=""Neighbor""))) / STDEV(FILTER(R2353:R6421, AA2353:AA6421 =""Neighbor"")), """")"),0.33984528043876405)</f>
        <v>0.3398452804</v>
      </c>
    </row>
    <row r="2354">
      <c r="A2354" s="2" t="s">
        <v>28</v>
      </c>
      <c r="B2354" s="2" t="s">
        <v>9648</v>
      </c>
      <c r="C2354" s="2" t="s">
        <v>9649</v>
      </c>
      <c r="D2354" s="2" t="s">
        <v>9650</v>
      </c>
      <c r="E2354" s="2" t="s">
        <v>9651</v>
      </c>
      <c r="F2354" s="2">
        <v>63.0</v>
      </c>
      <c r="G2354" s="2">
        <v>336.0</v>
      </c>
      <c r="H2354" s="2" t="b">
        <v>1</v>
      </c>
      <c r="I2354" s="2">
        <v>-1.0</v>
      </c>
      <c r="J2354" s="2" t="b">
        <v>0</v>
      </c>
      <c r="K2354" s="2" t="b">
        <v>1</v>
      </c>
      <c r="L2354" s="2" t="b">
        <v>0</v>
      </c>
      <c r="M2354" s="2" t="b">
        <v>0</v>
      </c>
      <c r="N2354" s="2" t="s">
        <v>33</v>
      </c>
      <c r="O2354" s="2">
        <v>46.0</v>
      </c>
      <c r="P2354" s="2">
        <v>2.0</v>
      </c>
      <c r="Q2354" s="2">
        <v>13.0</v>
      </c>
      <c r="R2354" s="2">
        <v>0.0</v>
      </c>
      <c r="S2354" s="3" t="s">
        <v>9652</v>
      </c>
      <c r="T2354" s="2" t="s">
        <v>9653</v>
      </c>
      <c r="Y2354" s="4" t="str">
        <f>IFERROR(__xludf.DUMMYFUNCTION("""COMPUTED_VALUE"""),"6.9844114")</f>
        <v>6.9844114</v>
      </c>
      <c r="Z2354" s="4" t="str">
        <f>IFERROR(__xludf.DUMMYFUNCTION("""COMPUTED_VALUE"""),"3.6902166")</f>
        <v>3.6902166</v>
      </c>
      <c r="AA2354" s="4" t="str">
        <f t="shared" si="1"/>
        <v>Neighbor</v>
      </c>
      <c r="AC2354" s="4">
        <f>IFERROR(__xludf.DUMMYFUNCTION("IFERROR(ABS(O2354-AVERAGE(FILTER(O2354:O6422,AA2354:AA6422=""Neighbor""))) / STDEV(FILTER(O2354:O6422, AA2354:AA6422 =""Neighbor"")), """")"),0.13929244606204377)</f>
        <v>0.1392924461</v>
      </c>
      <c r="AD2354" s="4">
        <f>IFERROR(__xludf.DUMMYFUNCTION("IFERROR(ABS(P2354-AVERAGE(FILTER(O2354:P6422,AA2354:AA6422=""Neighbor""))) / STDEV(FILTER(P2354:P6422, AA2354:AA6422 =""Neighbor"")), """")"),1.4107926154807016)</f>
        <v>1.410792615</v>
      </c>
      <c r="AE2354" s="2">
        <f>IFERROR(__xludf.DUMMYFUNCTION("IFERROR(ABS(Q2354-AVERAGE(FILTER(Q2354:Q6422,AA2354:AA6422=""Neighbor""))) / STDEV(FILTER(Q2354:Q6422, AA2354:AA6422 =""Neighbor"")), """")"),0.25752213305798954)</f>
        <v>0.2575221331</v>
      </c>
      <c r="AF2354" s="2">
        <f>IFERROR(__xludf.DUMMYFUNCTION("IFERROR(ABS(R2354-AVERAGE(FILTER(R2354:R6422,AA2354:AA6422=""Neighbor""))) / STDEV(FILTER(R2354:R6422, AA2354:AA6422 =""Neighbor"")), """")"),0.33984528043876405)</f>
        <v>0.3398452804</v>
      </c>
    </row>
    <row r="2355">
      <c r="A2355" s="2" t="s">
        <v>28</v>
      </c>
      <c r="B2355" s="2" t="s">
        <v>9648</v>
      </c>
      <c r="C2355" s="2" t="s">
        <v>9649</v>
      </c>
      <c r="D2355" s="2" t="s">
        <v>9654</v>
      </c>
      <c r="E2355" s="2" t="s">
        <v>9655</v>
      </c>
      <c r="F2355" s="2">
        <v>96.0</v>
      </c>
      <c r="G2355" s="2">
        <v>355.0</v>
      </c>
      <c r="H2355" s="2" t="b">
        <v>1</v>
      </c>
      <c r="I2355" s="2">
        <v>-1.0</v>
      </c>
      <c r="J2355" s="2" t="b">
        <v>0</v>
      </c>
      <c r="K2355" s="2" t="b">
        <v>0</v>
      </c>
      <c r="L2355" s="2" t="b">
        <v>0</v>
      </c>
      <c r="M2355" s="2" t="b">
        <v>0</v>
      </c>
      <c r="N2355" s="2" t="s">
        <v>33</v>
      </c>
      <c r="O2355" s="2">
        <v>48.0</v>
      </c>
      <c r="P2355" s="2">
        <v>3.0</v>
      </c>
      <c r="Q2355" s="2">
        <v>41.0</v>
      </c>
      <c r="R2355" s="2">
        <v>0.0</v>
      </c>
      <c r="S2355" s="3" t="s">
        <v>9656</v>
      </c>
      <c r="T2355" s="2" t="s">
        <v>9657</v>
      </c>
      <c r="Y2355" s="4" t="str">
        <f>IFERROR(__xludf.DUMMYFUNCTION("""COMPUTED_VALUE"""),"6.9857259")</f>
        <v>6.9857259</v>
      </c>
      <c r="Z2355" s="4" t="str">
        <f>IFERROR(__xludf.DUMMYFUNCTION("""COMPUTED_VALUE"""),"3.68296")</f>
        <v>3.68296</v>
      </c>
      <c r="AA2355" s="4" t="str">
        <f t="shared" si="1"/>
        <v>Neighbor</v>
      </c>
      <c r="AC2355" s="4">
        <f>IFERROR(__xludf.DUMMYFUNCTION("IFERROR(ABS(O2355-AVERAGE(FILTER(O2355:O6423,AA2355:AA6423=""Neighbor""))) / STDEV(FILTER(O2355:O6423, AA2355:AA6423 =""Neighbor"")), """")"),0.08311870545197268)</f>
        <v>0.08311870545</v>
      </c>
      <c r="AD2355" s="4">
        <f>IFERROR(__xludf.DUMMYFUNCTION("IFERROR(ABS(P2355-AVERAGE(FILTER(O2355:P6423,AA2355:AA6423=""Neighbor""))) / STDEV(FILTER(P2355:P6423, AA2355:AA6423 =""Neighbor"")), """")"),1.3671336870190798)</f>
        <v>1.367133687</v>
      </c>
      <c r="AE2355" s="2">
        <f>IFERROR(__xludf.DUMMYFUNCTION("IFERROR(ABS(Q2355-AVERAGE(FILTER(Q2355:Q6423,AA2355:AA6423=""Neighbor""))) / STDEV(FILTER(Q2355:Q6423, AA2355:AA6423 =""Neighbor"")), """")"),1.25436104891755)</f>
        <v>1.254361049</v>
      </c>
      <c r="AF2355" s="2">
        <f>IFERROR(__xludf.DUMMYFUNCTION("IFERROR(ABS(R2355-AVERAGE(FILTER(R2355:R6423,AA2355:AA6423=""Neighbor""))) / STDEV(FILTER(R2355:R6423, AA2355:AA6423 =""Neighbor"")), """")"),0.34010819147633975)</f>
        <v>0.3401081915</v>
      </c>
    </row>
    <row r="2356">
      <c r="A2356" s="2" t="s">
        <v>28</v>
      </c>
      <c r="B2356" s="2" t="s">
        <v>9648</v>
      </c>
      <c r="C2356" s="2" t="s">
        <v>9649</v>
      </c>
      <c r="D2356" s="2" t="s">
        <v>9658</v>
      </c>
      <c r="E2356" s="2" t="s">
        <v>9659</v>
      </c>
      <c r="F2356" s="2">
        <v>155.0</v>
      </c>
      <c r="G2356" s="2">
        <v>714.0</v>
      </c>
      <c r="H2356" s="2" t="b">
        <v>1</v>
      </c>
      <c r="I2356" s="2">
        <v>-1.0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s">
        <v>33</v>
      </c>
      <c r="O2356" s="2">
        <v>82.0</v>
      </c>
      <c r="P2356" s="2">
        <v>22.0</v>
      </c>
      <c r="Q2356" s="2">
        <v>33.0</v>
      </c>
      <c r="R2356" s="2">
        <v>2.0</v>
      </c>
      <c r="S2356" s="3" t="s">
        <v>9660</v>
      </c>
      <c r="T2356" s="2" t="s">
        <v>9661</v>
      </c>
      <c r="Y2356" s="4" t="str">
        <f>IFERROR(__xludf.DUMMYFUNCTION("""COMPUTED_VALUE"""),"6.9871912")</f>
        <v>6.9871912</v>
      </c>
      <c r="Z2356" s="4" t="str">
        <f>IFERROR(__xludf.DUMMYFUNCTION("""COMPUTED_VALUE"""),"3.6775362")</f>
        <v>3.6775362</v>
      </c>
      <c r="AA2356" s="4" t="str">
        <f t="shared" si="1"/>
        <v>Not Neighbor</v>
      </c>
      <c r="AC2356" s="4">
        <f>IFERROR(__xludf.DUMMYFUNCTION("IFERROR(ABS(O2356-AVERAGE(FILTER(O2356:O6424,AA2356:AA6424=""Neighbor""))) / STDEV(FILTER(O2356:O6424, AA2356:AA6424 =""Neighbor"")), """")"),0.8727894445778522)</f>
        <v>0.8727894446</v>
      </c>
      <c r="AD2356" s="4">
        <f>IFERROR(__xludf.DUMMYFUNCTION("IFERROR(ABS(P2356-AVERAGE(FILTER(O2356:P6424,AA2356:AA6424=""Neighbor""))) / STDEV(FILTER(P2356:P6424, AA2356:AA6424 =""Neighbor"")), """")"),0.5361342691007914)</f>
        <v>0.5361342691</v>
      </c>
      <c r="AE2356" s="2">
        <f>IFERROR(__xludf.DUMMYFUNCTION("IFERROR(ABS(Q2356-AVERAGE(FILTER(Q2356:Q6424,AA2356:AA6424=""Neighbor""))) / STDEV(FILTER(Q2356:Q6424, AA2356:AA6424 =""Neighbor"")), """")"),0.8244151408833637)</f>
        <v>0.8244151409</v>
      </c>
      <c r="AF2356" s="2">
        <f>IFERROR(__xludf.DUMMYFUNCTION("IFERROR(ABS(R2356-AVERAGE(FILTER(R2356:R6424,AA2356:AA6424=""Neighbor""))) / STDEV(FILTER(R2356:R6424, AA2356:AA6424 =""Neighbor"")), """")"),1.9575368513431994)</f>
        <v>1.957536851</v>
      </c>
    </row>
    <row r="2357">
      <c r="A2357" s="2" t="s">
        <v>28</v>
      </c>
      <c r="B2357" s="2" t="s">
        <v>9648</v>
      </c>
      <c r="C2357" s="2" t="s">
        <v>9649</v>
      </c>
      <c r="D2357" s="2" t="s">
        <v>9662</v>
      </c>
      <c r="E2357" s="2" t="s">
        <v>9663</v>
      </c>
      <c r="F2357" s="2">
        <v>85.0</v>
      </c>
      <c r="G2357" s="2">
        <v>299.0</v>
      </c>
      <c r="H2357" s="2" t="b">
        <v>1</v>
      </c>
      <c r="I2357" s="2">
        <v>-1.0</v>
      </c>
      <c r="J2357" s="2" t="b">
        <v>0</v>
      </c>
      <c r="K2357" s="2" t="b">
        <v>0</v>
      </c>
      <c r="L2357" s="2" t="b">
        <v>0</v>
      </c>
      <c r="M2357" s="2" t="b">
        <v>0</v>
      </c>
      <c r="N2357" s="2" t="s">
        <v>33</v>
      </c>
      <c r="O2357" s="2">
        <v>35.0</v>
      </c>
      <c r="P2357" s="2">
        <v>9.0</v>
      </c>
      <c r="Q2357" s="2">
        <v>35.0</v>
      </c>
      <c r="R2357" s="2">
        <v>0.0</v>
      </c>
      <c r="S2357" s="3" t="s">
        <v>9664</v>
      </c>
      <c r="T2357" s="2" t="s">
        <v>9665</v>
      </c>
      <c r="Y2357" s="4" t="str">
        <f>IFERROR(__xludf.DUMMYFUNCTION("""COMPUTED_VALUE"""),"6.9844114")</f>
        <v>6.9844114</v>
      </c>
      <c r="Z2357" s="4" t="str">
        <f>IFERROR(__xludf.DUMMYFUNCTION("""COMPUTED_VALUE"""),"3.6902166")</f>
        <v>3.6902166</v>
      </c>
      <c r="AA2357" s="4" t="str">
        <f t="shared" si="1"/>
        <v>Neighbor</v>
      </c>
      <c r="AC2357" s="4">
        <f>IFERROR(__xludf.DUMMYFUNCTION("IFERROR(ABS(O2357-AVERAGE(FILTER(O2357:O6425,AA2357:AA6425=""Neighbor""))) / STDEV(FILTER(O2357:O6425, AA2357:AA6425 =""Neighbor"")), """")"),0.44869331453408656)</f>
        <v>0.4486933145</v>
      </c>
      <c r="AD2357" s="4">
        <f>IFERROR(__xludf.DUMMYFUNCTION("IFERROR(ABS(P2357-AVERAGE(FILTER(O2357:P6425,AA2357:AA6425=""Neighbor""))) / STDEV(FILTER(P2357:P6425, AA2357:AA6425 =""Neighbor"")), """")"),1.1046896370705097)</f>
        <v>1.104689637</v>
      </c>
      <c r="AE2357" s="2">
        <f>IFERROR(__xludf.DUMMYFUNCTION("IFERROR(ABS(Q2357-AVERAGE(FILTER(Q2357:Q6425,AA2357:AA6425=""Neighbor""))) / STDEV(FILTER(Q2357:Q6425, AA2357:AA6425 =""Neighbor"")), """")"),0.9324637165842639)</f>
        <v>0.9324637166</v>
      </c>
      <c r="AF2357" s="2">
        <f>IFERROR(__xludf.DUMMYFUNCTION("IFERROR(ABS(R2357-AVERAGE(FILTER(R2357:R6425,AA2357:AA6425=""Neighbor""))) / STDEV(FILTER(R2357:R6425, AA2357:AA6425 =""Neighbor"")), """")"),0.3403717137437563)</f>
        <v>0.3403717137</v>
      </c>
    </row>
    <row r="2358">
      <c r="A2358" s="2" t="s">
        <v>28</v>
      </c>
      <c r="B2358" s="2" t="s">
        <v>9648</v>
      </c>
      <c r="C2358" s="2" t="s">
        <v>9649</v>
      </c>
      <c r="D2358" s="2" t="s">
        <v>9666</v>
      </c>
      <c r="E2358" s="2" t="s">
        <v>9667</v>
      </c>
      <c r="F2358" s="2">
        <v>78.0</v>
      </c>
      <c r="G2358" s="2">
        <v>297.0</v>
      </c>
      <c r="H2358" s="2" t="b">
        <v>1</v>
      </c>
      <c r="I2358" s="2">
        <v>-1.0</v>
      </c>
      <c r="J2358" s="2" t="b">
        <v>0</v>
      </c>
      <c r="K2358" s="2" t="b">
        <v>0</v>
      </c>
      <c r="L2358" s="2" t="b">
        <v>0</v>
      </c>
      <c r="M2358" s="2" t="b">
        <v>0</v>
      </c>
      <c r="N2358" s="2" t="s">
        <v>33</v>
      </c>
      <c r="O2358" s="2">
        <v>36.0</v>
      </c>
      <c r="P2358" s="2">
        <v>2.0</v>
      </c>
      <c r="Q2358" s="2">
        <v>34.0</v>
      </c>
      <c r="R2358" s="2">
        <v>0.0</v>
      </c>
      <c r="S2358" s="3" t="s">
        <v>9668</v>
      </c>
      <c r="T2358" s="2" t="s">
        <v>9669</v>
      </c>
      <c r="Y2358" s="4" t="str">
        <f>IFERROR(__xludf.DUMMYFUNCTION("""COMPUTED_VALUE"""),"6.9844114")</f>
        <v>6.9844114</v>
      </c>
      <c r="Z2358" s="4" t="str">
        <f>IFERROR(__xludf.DUMMYFUNCTION("""COMPUTED_VALUE"""),"3.6902166")</f>
        <v>3.6902166</v>
      </c>
      <c r="AA2358" s="4" t="str">
        <f t="shared" si="1"/>
        <v>Neighbor</v>
      </c>
      <c r="AC2358" s="4">
        <f>IFERROR(__xludf.DUMMYFUNCTION("IFERROR(ABS(O2358-AVERAGE(FILTER(O2358:O6426,AA2358:AA6426=""Neighbor""))) / STDEV(FILTER(O2358:O6426, AA2358:AA6426 =""Neighbor"")), """")"),0.42096726858808764)</f>
        <v>0.4209672686</v>
      </c>
      <c r="AD2358" s="4">
        <f>IFERROR(__xludf.DUMMYFUNCTION("IFERROR(ABS(P2358-AVERAGE(FILTER(O2358:P6426,AA2358:AA6426=""Neighbor""))) / STDEV(FILTER(P2358:P6426, AA2358:AA6426 =""Neighbor"")), """")"),1.4107360606419714)</f>
        <v>1.410736061</v>
      </c>
      <c r="AE2358" s="2">
        <f>IFERROR(__xludf.DUMMYFUNCTION("IFERROR(ABS(Q2358-AVERAGE(FILTER(Q2358:Q6426,AA2358:AA6426=""Neighbor""))) / STDEV(FILTER(Q2358:Q6426, AA2358:AA6426 =""Neighbor"")), """")"),0.8796588115132261)</f>
        <v>0.8796588115</v>
      </c>
      <c r="AF2358" s="2">
        <f>IFERROR(__xludf.DUMMYFUNCTION("IFERROR(ABS(R2358-AVERAGE(FILTER(R2358:R6426,AA2358:AA6426=""Neighbor""))) / STDEV(FILTER(R2358:R6426, AA2358:AA6426 =""Neighbor"")), """")"),0.3406358496134151)</f>
        <v>0.3406358496</v>
      </c>
    </row>
    <row r="2359">
      <c r="A2359" s="2" t="s">
        <v>28</v>
      </c>
      <c r="B2359" s="2" t="s">
        <v>9648</v>
      </c>
      <c r="C2359" s="2" t="s">
        <v>9649</v>
      </c>
      <c r="D2359" s="2" t="s">
        <v>9670</v>
      </c>
      <c r="E2359" s="2" t="s">
        <v>9671</v>
      </c>
      <c r="F2359" s="2">
        <v>90.0</v>
      </c>
      <c r="G2359" s="2">
        <v>302.0</v>
      </c>
      <c r="H2359" s="2" t="b">
        <v>1</v>
      </c>
      <c r="I2359" s="2">
        <v>-1.0</v>
      </c>
      <c r="J2359" s="2" t="b">
        <v>0</v>
      </c>
      <c r="K2359" s="2" t="b">
        <v>0</v>
      </c>
      <c r="L2359" s="2" t="b">
        <v>0</v>
      </c>
      <c r="M2359" s="2" t="b">
        <v>0</v>
      </c>
      <c r="N2359" s="2" t="s">
        <v>33</v>
      </c>
      <c r="O2359" s="2">
        <v>37.0</v>
      </c>
      <c r="P2359" s="2">
        <v>4.0</v>
      </c>
      <c r="Q2359" s="2">
        <v>44.0</v>
      </c>
      <c r="R2359" s="2">
        <v>0.0</v>
      </c>
      <c r="S2359" s="3" t="s">
        <v>9672</v>
      </c>
      <c r="T2359" s="2" t="s">
        <v>9673</v>
      </c>
      <c r="Y2359" s="4" t="str">
        <f>IFERROR(__xludf.DUMMYFUNCTION("""COMPUTED_VALUE"""),"6.9844114")</f>
        <v>6.9844114</v>
      </c>
      <c r="Z2359" s="4" t="str">
        <f>IFERROR(__xludf.DUMMYFUNCTION("""COMPUTED_VALUE"""),"3.6902166")</f>
        <v>3.6902166</v>
      </c>
      <c r="AA2359" s="4" t="str">
        <f t="shared" si="1"/>
        <v>Neighbor</v>
      </c>
      <c r="AC2359" s="4">
        <f>IFERROR(__xludf.DUMMYFUNCTION("IFERROR(ABS(O2359-AVERAGE(FILTER(O2359:O6427,AA2359:AA6427=""Neighbor""))) / STDEV(FILTER(O2359:O6427, AA2359:AA6427 =""Neighbor"")), """")"),0.39322757371440265)</f>
        <v>0.3932275737</v>
      </c>
      <c r="AD2359" s="4">
        <f>IFERROR(__xludf.DUMMYFUNCTION("IFERROR(ABS(P2359-AVERAGE(FILTER(O2359:P6427,AA2359:AA6427=""Neighbor""))) / STDEV(FILTER(P2359:P6427, AA2359:AA6427 =""Neighbor"")), """")"),1.323754088209452)</f>
        <v>1.323754088</v>
      </c>
      <c r="AE2359" s="2">
        <f>IFERROR(__xludf.DUMMYFUNCTION("IFERROR(ABS(Q2359-AVERAGE(FILTER(Q2359:Q6427,AA2359:AA6427=""Neighbor""))) / STDEV(FILTER(Q2359:Q6427, AA2359:AA6427 =""Neighbor"")), """")"),1.420856492674934)</f>
        <v>1.420856493</v>
      </c>
      <c r="AF2359" s="2">
        <f>IFERROR(__xludf.DUMMYFUNCTION("IFERROR(ABS(R2359-AVERAGE(FILTER(R2359:R6427,AA2359:AA6427=""Neighbor""))) / STDEV(FILTER(R2359:R6427, AA2359:AA6427 =""Neighbor"")), """")"),0.34090060147063117)</f>
        <v>0.3409006015</v>
      </c>
    </row>
    <row r="2360">
      <c r="A2360" s="2" t="s">
        <v>28</v>
      </c>
      <c r="B2360" s="2" t="s">
        <v>9648</v>
      </c>
      <c r="C2360" s="2" t="s">
        <v>9649</v>
      </c>
      <c r="D2360" s="2" t="s">
        <v>9674</v>
      </c>
      <c r="E2360" s="2" t="s">
        <v>9675</v>
      </c>
      <c r="F2360" s="2">
        <v>72.0</v>
      </c>
      <c r="G2360" s="2">
        <v>225.0</v>
      </c>
      <c r="H2360" s="2" t="b">
        <v>1</v>
      </c>
      <c r="I2360" s="2">
        <v>-1.0</v>
      </c>
      <c r="J2360" s="2" t="b">
        <v>0</v>
      </c>
      <c r="K2360" s="2" t="b">
        <v>0</v>
      </c>
      <c r="L2360" s="2" t="b">
        <v>0</v>
      </c>
      <c r="M2360" s="2" t="b">
        <v>0</v>
      </c>
      <c r="N2360" s="2" t="s">
        <v>33</v>
      </c>
      <c r="O2360" s="2">
        <v>21.0</v>
      </c>
      <c r="P2360" s="2">
        <v>2.0</v>
      </c>
      <c r="Q2360" s="2">
        <v>44.0</v>
      </c>
      <c r="R2360" s="2">
        <v>0.0</v>
      </c>
      <c r="S2360" s="3" t="s">
        <v>9676</v>
      </c>
      <c r="T2360" s="2" t="s">
        <v>9677</v>
      </c>
      <c r="Y2360" s="4" t="str">
        <f>IFERROR(__xludf.DUMMYFUNCTION("""COMPUTED_VALUE"""),"6.9844114")</f>
        <v>6.9844114</v>
      </c>
      <c r="Z2360" s="4" t="str">
        <f>IFERROR(__xludf.DUMMYFUNCTION("""COMPUTED_VALUE"""),"3.6902166")</f>
        <v>3.6902166</v>
      </c>
      <c r="AA2360" s="4" t="str">
        <f t="shared" si="1"/>
        <v>Neighbor</v>
      </c>
      <c r="AC2360" s="4">
        <f>IFERROR(__xludf.DUMMYFUNCTION("IFERROR(ABS(O2360-AVERAGE(FILTER(O2360:O6428,AA2360:AA6428=""Neighbor""))) / STDEV(FILTER(O2360:O6428, AA2360:AA6428 =""Neighbor"")), """")"),0.8426370830928605)</f>
        <v>0.8426370831</v>
      </c>
      <c r="AD2360" s="4">
        <f>IFERROR(__xludf.DUMMYFUNCTION("IFERROR(ABS(P2360-AVERAGE(FILTER(O2360:P6428,AA2360:AA6428=""Neighbor""))) / STDEV(FILTER(P2360:P6428, AA2360:AA6428 =""Neighbor"")), """")"),1.4113427751292704)</f>
        <v>1.411342775</v>
      </c>
      <c r="AE2360" s="2">
        <f>IFERROR(__xludf.DUMMYFUNCTION("IFERROR(ABS(Q2360-AVERAGE(FILTER(Q2360:Q6428,AA2360:AA6428=""Neighbor""))) / STDEV(FILTER(Q2360:Q6428, AA2360:AA6428 =""Neighbor"")), """")"),1.4238585578306613)</f>
        <v>1.423858558</v>
      </c>
      <c r="AF2360" s="2">
        <f>IFERROR(__xludf.DUMMYFUNCTION("IFERROR(ABS(R2360-AVERAGE(FILTER(R2360:R6428,AA2360:AA6428=""Neighbor""))) / STDEV(FILTER(R2360:R6428, AA2360:AA6428 =""Neighbor"")), """")"),0.34116597171372237)</f>
        <v>0.3411659717</v>
      </c>
    </row>
    <row r="2361">
      <c r="A2361" s="2" t="s">
        <v>28</v>
      </c>
      <c r="B2361" s="2" t="s">
        <v>9648</v>
      </c>
      <c r="C2361" s="2" t="s">
        <v>9649</v>
      </c>
      <c r="D2361" s="2" t="s">
        <v>9678</v>
      </c>
      <c r="E2361" s="2" t="s">
        <v>9679</v>
      </c>
      <c r="F2361" s="2">
        <v>148.0</v>
      </c>
      <c r="G2361" s="2">
        <v>659.0</v>
      </c>
      <c r="H2361" s="2" t="b">
        <v>1</v>
      </c>
      <c r="I2361" s="2">
        <v>-1.0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s">
        <v>33</v>
      </c>
      <c r="O2361" s="2">
        <v>75.0</v>
      </c>
      <c r="P2361" s="2">
        <v>23.0</v>
      </c>
      <c r="Q2361" s="2">
        <v>44.0</v>
      </c>
      <c r="R2361" s="2">
        <v>0.0</v>
      </c>
      <c r="S2361" s="3" t="s">
        <v>9680</v>
      </c>
      <c r="T2361" s="2" t="s">
        <v>9681</v>
      </c>
      <c r="Y2361" s="4" t="str">
        <f>IFERROR(__xludf.DUMMYFUNCTION("""COMPUTED_VALUE"""),"6.9844114")</f>
        <v>6.9844114</v>
      </c>
      <c r="Z2361" s="4" t="str">
        <f>IFERROR(__xludf.DUMMYFUNCTION("""COMPUTED_VALUE"""),"3.6902166")</f>
        <v>3.6902166</v>
      </c>
      <c r="AA2361" s="4" t="str">
        <f t="shared" si="1"/>
        <v>Neighbor</v>
      </c>
      <c r="AC2361" s="4">
        <f>IFERROR(__xludf.DUMMYFUNCTION("IFERROR(ABS(O2361-AVERAGE(FILTER(O2361:O6429,AA2361:AA6429=""Neighbor""))) / STDEV(FILTER(O2361:O6429, AA2361:AA6429 =""Neighbor"")), """")"),0.6717367927937661)</f>
        <v>0.6717367928</v>
      </c>
      <c r="AD2361" s="4">
        <f>IFERROR(__xludf.DUMMYFUNCTION("IFERROR(ABS(P2361-AVERAGE(FILTER(O2361:P6429,AA2361:AA6429=""Neighbor""))) / STDEV(FILTER(P2361:P6429, AA2361:AA6429 =""Neighbor"")), """")"),0.4954237183533614)</f>
        <v>0.4954237184</v>
      </c>
      <c r="AE2361" s="2">
        <f>IFERROR(__xludf.DUMMYFUNCTION("IFERROR(ABS(Q2361-AVERAGE(FILTER(Q2361:Q6429,AA2361:AA6429=""Neighbor""))) / STDEV(FILTER(Q2361:Q6429, AA2361:AA6429 =""Neighbor"")), """")"),1.4268797404774247)</f>
        <v>1.42687974</v>
      </c>
      <c r="AF2361" s="2">
        <f>IFERROR(__xludf.DUMMYFUNCTION("IFERROR(ABS(R2361-AVERAGE(FILTER(R2361:R6429,AA2361:AA6429=""Neighbor""))) / STDEV(FILTER(R2361:R6429, AA2361:AA6429 =""Neighbor"")), """")"),0.34143196275410204)</f>
        <v>0.3414319628</v>
      </c>
    </row>
    <row r="2362">
      <c r="A2362" s="2" t="s">
        <v>28</v>
      </c>
      <c r="B2362" s="2" t="s">
        <v>9648</v>
      </c>
      <c r="C2362" s="2" t="s">
        <v>9649</v>
      </c>
      <c r="D2362" s="2" t="s">
        <v>9682</v>
      </c>
      <c r="E2362" s="2" t="s">
        <v>9683</v>
      </c>
      <c r="F2362" s="2">
        <v>95.0</v>
      </c>
      <c r="G2362" s="2">
        <v>348.0</v>
      </c>
      <c r="H2362" s="2" t="b">
        <v>1</v>
      </c>
      <c r="I2362" s="2">
        <v>-1.0</v>
      </c>
      <c r="J2362" s="2" t="b">
        <v>0</v>
      </c>
      <c r="K2362" s="2" t="b">
        <v>0</v>
      </c>
      <c r="L2362" s="2" t="b">
        <v>0</v>
      </c>
      <c r="M2362" s="2" t="b">
        <v>0</v>
      </c>
      <c r="N2362" s="2" t="s">
        <v>33</v>
      </c>
      <c r="O2362" s="2">
        <v>55.0</v>
      </c>
      <c r="P2362" s="2">
        <v>11.0</v>
      </c>
      <c r="Q2362" s="2">
        <v>26.0</v>
      </c>
      <c r="R2362" s="2">
        <v>0.0</v>
      </c>
      <c r="S2362" s="3" t="s">
        <v>9684</v>
      </c>
      <c r="T2362" s="2" t="s">
        <v>9685</v>
      </c>
      <c r="Y2362" s="4" t="str">
        <f>IFERROR(__xludf.DUMMYFUNCTION("""COMPUTED_VALUE"""),"6.9844114")</f>
        <v>6.9844114</v>
      </c>
      <c r="Z2362" s="4" t="str">
        <f>IFERROR(__xludf.DUMMYFUNCTION("""COMPUTED_VALUE"""),"3.6902166")</f>
        <v>3.6902166</v>
      </c>
      <c r="AA2362" s="4" t="str">
        <f t="shared" si="1"/>
        <v>Not Neighbor</v>
      </c>
      <c r="AC2362" s="4">
        <f>IFERROR(__xludf.DUMMYFUNCTION("IFERROR(ABS(O2362-AVERAGE(FILTER(O2362:O6430,AA2362:AA6430=""Neighbor""))) / STDEV(FILTER(O2362:O6430, AA2362:AA6430 =""Neighbor"")), """")"),0.11138231819648396)</f>
        <v>0.1113823182</v>
      </c>
      <c r="AD2362" s="4">
        <f>IFERROR(__xludf.DUMMYFUNCTION("IFERROR(ABS(P2362-AVERAGE(FILTER(O2362:P6430,AA2362:AA6430=""Neighbor""))) / STDEV(FILTER(P2362:P6430, AA2362:AA6430 =""Neighbor"")), """")"),1.0177303103576185)</f>
        <v>1.01773031</v>
      </c>
      <c r="AE2362" s="2">
        <f>IFERROR(__xludf.DUMMYFUNCTION("IFERROR(ABS(Q2362-AVERAGE(FILTER(Q2362:Q6430,AA2362:AA6430=""Neighbor""))) / STDEV(FILTER(Q2362:Q6430, AA2362:AA6430 =""Neighbor"")), """")"),0.4556155587344894)</f>
        <v>0.4556155587</v>
      </c>
      <c r="AF2362" s="2">
        <f>IFERROR(__xludf.DUMMYFUNCTION("IFERROR(ABS(R2362-AVERAGE(FILTER(R2362:R6430,AA2362:AA6430=""Neighbor""))) / STDEV(FILTER(R2362:R6430, AA2362:AA6430 =""Neighbor"")), """")"),0.3416985770163703)</f>
        <v>0.341698577</v>
      </c>
    </row>
    <row r="2363">
      <c r="A2363" s="2" t="s">
        <v>28</v>
      </c>
      <c r="B2363" s="2" t="s">
        <v>9648</v>
      </c>
      <c r="C2363" s="2" t="s">
        <v>9649</v>
      </c>
      <c r="D2363" s="2" t="s">
        <v>9686</v>
      </c>
      <c r="E2363" s="2" t="s">
        <v>9687</v>
      </c>
      <c r="F2363" s="2">
        <v>104.0</v>
      </c>
      <c r="G2363" s="2">
        <v>296.0</v>
      </c>
      <c r="H2363" s="2" t="b">
        <v>1</v>
      </c>
      <c r="I2363" s="2">
        <v>-1.0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s">
        <v>33</v>
      </c>
      <c r="O2363" s="2">
        <v>48.0</v>
      </c>
      <c r="P2363" s="2">
        <v>9.0</v>
      </c>
      <c r="Q2363" s="2">
        <v>44.0</v>
      </c>
      <c r="R2363" s="2">
        <v>0.0</v>
      </c>
      <c r="S2363" s="3" t="s">
        <v>9688</v>
      </c>
      <c r="T2363" s="2" t="s">
        <v>9689</v>
      </c>
      <c r="Y2363" s="4" t="str">
        <f>IFERROR(__xludf.DUMMYFUNCTION("""COMPUTED_VALUE"""),"6.9871912")</f>
        <v>6.9871912</v>
      </c>
      <c r="Z2363" s="4" t="str">
        <f>IFERROR(__xludf.DUMMYFUNCTION("""COMPUTED_VALUE"""),"3.6775362")</f>
        <v>3.6775362</v>
      </c>
      <c r="AA2363" s="4" t="str">
        <f t="shared" si="1"/>
        <v>Not Neighbor</v>
      </c>
      <c r="AC2363" s="4">
        <f>IFERROR(__xludf.DUMMYFUNCTION("IFERROR(ABS(O2363-AVERAGE(FILTER(O2363:O6431,AA2363:AA6431=""Neighbor""))) / STDEV(FILTER(O2363:O6431, AA2363:AA6431 =""Neighbor"")), """")"),0.08498058351287303)</f>
        <v>0.08498058351</v>
      </c>
      <c r="AD2363" s="4">
        <f>IFERROR(__xludf.DUMMYFUNCTION("IFERROR(ABS(P2363-AVERAGE(FILTER(O2363:P6431,AA2363:AA6431=""Neighbor""))) / STDEV(FILTER(P2363:P6431, AA2363:AA6431 =""Neighbor"")), """")"),1.104985286533812)</f>
        <v>1.104985287</v>
      </c>
      <c r="AE2363" s="2">
        <f>IFERROR(__xludf.DUMMYFUNCTION("IFERROR(ABS(Q2363-AVERAGE(FILTER(Q2363:Q6431,AA2363:AA6431=""Neighbor""))) / STDEV(FILTER(Q2363:Q6431, AA2363:AA6431 =""Neighbor"")), """")"),1.4299202444009884)</f>
        <v>1.429920244</v>
      </c>
      <c r="AF2363" s="2">
        <f>IFERROR(__xludf.DUMMYFUNCTION("IFERROR(ABS(R2363-AVERAGE(FILTER(R2363:R6431,AA2363:AA6431=""Neighbor""))) / STDEV(FILTER(R2363:R6431, AA2363:AA6431 =""Neighbor"")), """")"),0.3416985770163703)</f>
        <v>0.341698577</v>
      </c>
    </row>
    <row r="2364">
      <c r="A2364" s="2" t="s">
        <v>28</v>
      </c>
      <c r="B2364" s="2" t="s">
        <v>9648</v>
      </c>
      <c r="C2364" s="2" t="s">
        <v>9649</v>
      </c>
      <c r="D2364" s="2" t="s">
        <v>9690</v>
      </c>
      <c r="E2364" s="2" t="s">
        <v>9691</v>
      </c>
      <c r="F2364" s="2">
        <v>108.0</v>
      </c>
      <c r="G2364" s="2">
        <v>387.0</v>
      </c>
      <c r="H2364" s="2" t="b">
        <v>1</v>
      </c>
      <c r="I2364" s="2">
        <v>-1.0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s">
        <v>33</v>
      </c>
      <c r="O2364" s="2">
        <v>50.0</v>
      </c>
      <c r="P2364" s="2">
        <v>11.0</v>
      </c>
      <c r="Q2364" s="2">
        <v>45.0</v>
      </c>
      <c r="R2364" s="2">
        <v>0.0</v>
      </c>
      <c r="S2364" s="3" t="s">
        <v>9692</v>
      </c>
      <c r="T2364" s="2" t="s">
        <v>9693</v>
      </c>
      <c r="Y2364" s="4" t="str">
        <f>IFERROR(__xludf.DUMMYFUNCTION("""COMPUTED_VALUE"""),"6.9844114")</f>
        <v>6.9844114</v>
      </c>
      <c r="Z2364" s="4" t="str">
        <f>IFERROR(__xludf.DUMMYFUNCTION("""COMPUTED_VALUE"""),"3.6902166")</f>
        <v>3.6902166</v>
      </c>
      <c r="AA2364" s="4" t="str">
        <f t="shared" si="1"/>
        <v>Neighbor</v>
      </c>
      <c r="AC2364" s="4">
        <f>IFERROR(__xludf.DUMMYFUNCTION("IFERROR(ABS(O2364-AVERAGE(FILTER(O2364:O6432,AA2364:AA6432=""Neighbor""))) / STDEV(FILTER(O2364:O6432, AA2364:AA6432 =""Neighbor"")), """")"),0.028876897310199604)</f>
        <v>0.02887689731</v>
      </c>
      <c r="AD2364" s="4">
        <f>IFERROR(__xludf.DUMMYFUNCTION("IFERROR(ABS(P2364-AVERAGE(FILTER(O2364:P6432,AA2364:AA6432=""Neighbor""))) / STDEV(FILTER(P2364:P6432, AA2364:AA6432 =""Neighbor"")), """")"),1.0177303103576185)</f>
        <v>1.01773031</v>
      </c>
      <c r="AE2364" s="2">
        <f>IFERROR(__xludf.DUMMYFUNCTION("IFERROR(ABS(Q2364-AVERAGE(FILTER(Q2364:Q6432,AA2364:AA6432=""Neighbor""))) / STDEV(FILTER(Q2364:Q6432, AA2364:AA6432 =""Neighbor"")), """")"),1.4840482824935717)</f>
        <v>1.484048282</v>
      </c>
      <c r="AF2364" s="2">
        <f>IFERROR(__xludf.DUMMYFUNCTION("IFERROR(ABS(R2364-AVERAGE(FILTER(R2364:R6432,AA2364:AA6432=""Neighbor""))) / STDEV(FILTER(R2364:R6432, AA2364:AA6432 =""Neighbor"")), """")"),0.3416985770163703)</f>
        <v>0.341698577</v>
      </c>
    </row>
    <row r="2365">
      <c r="A2365" s="2" t="s">
        <v>28</v>
      </c>
      <c r="B2365" s="2" t="s">
        <v>9648</v>
      </c>
      <c r="C2365" s="2" t="s">
        <v>9649</v>
      </c>
      <c r="D2365" s="2" t="s">
        <v>9694</v>
      </c>
      <c r="E2365" s="2" t="s">
        <v>9695</v>
      </c>
      <c r="F2365" s="2">
        <v>58.0</v>
      </c>
      <c r="G2365" s="2">
        <v>190.0</v>
      </c>
      <c r="H2365" s="2" t="b">
        <v>1</v>
      </c>
      <c r="I2365" s="2">
        <v>-1.0</v>
      </c>
      <c r="J2365" s="2" t="b">
        <v>0</v>
      </c>
      <c r="K2365" s="2" t="b">
        <v>0</v>
      </c>
      <c r="L2365" s="2" t="b">
        <v>0</v>
      </c>
      <c r="M2365" s="2" t="b">
        <v>0</v>
      </c>
      <c r="N2365" s="2" t="s">
        <v>33</v>
      </c>
      <c r="O2365" s="2">
        <v>34.0</v>
      </c>
      <c r="P2365" s="2">
        <v>1.0</v>
      </c>
      <c r="Q2365" s="2">
        <v>22.0</v>
      </c>
      <c r="R2365" s="2">
        <v>0.0</v>
      </c>
      <c r="S2365" s="3" t="s">
        <v>9696</v>
      </c>
      <c r="T2365" s="2" t="s">
        <v>9697</v>
      </c>
      <c r="Y2365" s="4" t="str">
        <f>IFERROR(__xludf.DUMMYFUNCTION("""COMPUTED_VALUE"""),"6.9844114")</f>
        <v>6.9844114</v>
      </c>
      <c r="Z2365" s="4" t="str">
        <f>IFERROR(__xludf.DUMMYFUNCTION("""COMPUTED_VALUE"""),"3.6902166")</f>
        <v>3.6902166</v>
      </c>
      <c r="AA2365" s="4" t="str">
        <f t="shared" si="1"/>
        <v>Not Neighbor</v>
      </c>
      <c r="AC2365" s="4">
        <f>IFERROR(__xludf.DUMMYFUNCTION("IFERROR(ABS(O2365-AVERAGE(FILTER(O2365:O6433,AA2365:AA6433=""Neighbor""))) / STDEV(FILTER(O2365:O6433, AA2365:AA6433 =""Neighbor"")), """")"),0.47741202363364527)</f>
        <v>0.4774120236</v>
      </c>
      <c r="AD2365" s="4">
        <f>IFERROR(__xludf.DUMMYFUNCTION("IFERROR(ABS(P2365-AVERAGE(FILTER(O2365:P6433,AA2365:AA6433=""Neighbor""))) / STDEV(FILTER(P2365:P6433, AA2365:AA6433 =""Neighbor"")), """")"),1.4533045318735085)</f>
        <v>1.453304532</v>
      </c>
      <c r="AE2365" s="2">
        <f>IFERROR(__xludf.DUMMYFUNCTION("IFERROR(ABS(Q2365-AVERAGE(FILTER(Q2365:Q6433,AA2365:AA6433=""Neighbor""))) / STDEV(FILTER(Q2365:Q6433, AA2365:AA6433 =""Neighbor"")), """")"),0.24138925532163047)</f>
        <v>0.2413892553</v>
      </c>
      <c r="AF2365" s="2">
        <f>IFERROR(__xludf.DUMMYFUNCTION("IFERROR(ABS(R2365-AVERAGE(FILTER(R2365:R6433,AA2365:AA6433=""Neighbor""))) / STDEV(FILTER(R2365:R6433, AA2365:AA6433 =""Neighbor"")), """")"),0.3419658169384077)</f>
        <v>0.3419658169</v>
      </c>
    </row>
    <row r="2366">
      <c r="A2366" s="2" t="s">
        <v>28</v>
      </c>
      <c r="B2366" s="2" t="s">
        <v>9648</v>
      </c>
      <c r="C2366" s="2" t="s">
        <v>9698</v>
      </c>
      <c r="D2366" s="2" t="s">
        <v>9699</v>
      </c>
      <c r="E2366" s="2" t="s">
        <v>9700</v>
      </c>
      <c r="F2366" s="2">
        <v>84.0</v>
      </c>
      <c r="G2366" s="2">
        <v>336.0</v>
      </c>
      <c r="H2366" s="2" t="b">
        <v>1</v>
      </c>
      <c r="I2366" s="2">
        <v>-1.0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s">
        <v>33</v>
      </c>
      <c r="O2366" s="2">
        <v>50.0</v>
      </c>
      <c r="P2366" s="2">
        <v>6.0</v>
      </c>
      <c r="Q2366" s="2">
        <v>27.0</v>
      </c>
      <c r="R2366" s="2">
        <v>0.0</v>
      </c>
      <c r="S2366" s="3" t="s">
        <v>9701</v>
      </c>
      <c r="T2366" s="2" t="s">
        <v>9702</v>
      </c>
      <c r="Y2366" s="4" t="str">
        <f>IFERROR(__xludf.DUMMYFUNCTION("""COMPUTED_VALUE"""),"6.9898923")</f>
        <v>6.9898923</v>
      </c>
      <c r="Z2366" s="4" t="str">
        <f>IFERROR(__xludf.DUMMYFUNCTION("""COMPUTED_VALUE"""),"3.6750005")</f>
        <v>3.6750005</v>
      </c>
      <c r="AA2366" s="4" t="str">
        <f t="shared" si="1"/>
        <v>Neighbor</v>
      </c>
      <c r="AC2366" s="4">
        <f>IFERROR(__xludf.DUMMYFUNCTION("IFERROR(ABS(O2366-AVERAGE(FILTER(O2366:O6434,AA2366:AA6434=""Neighbor""))) / STDEV(FILTER(O2366:O6434, AA2366:AA6434 =""Neighbor"")), """")"),0.028897128993719032)</f>
        <v>0.02889712899</v>
      </c>
      <c r="AD2366" s="4">
        <f>IFERROR(__xludf.DUMMYFUNCTION("IFERROR(ABS(P2366-AVERAGE(FILTER(O2366:P6434,AA2366:AA6434=""Neighbor""))) / STDEV(FILTER(P2366:P6434, AA2366:AA6434 =""Neighbor"")), """")"),1.2353073233603047)</f>
        <v>1.235307323</v>
      </c>
      <c r="AE2366" s="2">
        <f>IFERROR(__xludf.DUMMYFUNCTION("IFERROR(ABS(Q2366-AVERAGE(FILTER(Q2366:Q6434,AA2366:AA6434=""Neighbor""))) / STDEV(FILTER(Q2366:Q6434, AA2366:AA6434 =""Neighbor"")), """")"),0.5122588477741368)</f>
        <v>0.5122588478</v>
      </c>
      <c r="AF2366" s="2">
        <f>IFERROR(__xludf.DUMMYFUNCTION("IFERROR(ABS(R2366-AVERAGE(FILTER(R2366:R6434,AA2366:AA6434=""Neighbor""))) / STDEV(FILTER(R2366:R6434, AA2366:AA6434 =""Neighbor"")), """")"),0.3419658169384077)</f>
        <v>0.3419658169</v>
      </c>
    </row>
    <row r="2367">
      <c r="A2367" s="2" t="s">
        <v>28</v>
      </c>
      <c r="B2367" s="2" t="s">
        <v>9648</v>
      </c>
      <c r="C2367" s="2" t="s">
        <v>9698</v>
      </c>
      <c r="D2367" s="2" t="s">
        <v>9703</v>
      </c>
      <c r="E2367" s="2" t="s">
        <v>9704</v>
      </c>
      <c r="F2367" s="2">
        <v>103.0</v>
      </c>
      <c r="G2367" s="2">
        <v>393.0</v>
      </c>
      <c r="H2367" s="2" t="b">
        <v>1</v>
      </c>
      <c r="I2367" s="2">
        <v>-1.0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s">
        <v>33</v>
      </c>
      <c r="O2367" s="2">
        <v>52.0</v>
      </c>
      <c r="P2367" s="2">
        <v>4.0</v>
      </c>
      <c r="Q2367" s="2">
        <v>36.0</v>
      </c>
      <c r="R2367" s="2">
        <v>0.0</v>
      </c>
      <c r="S2367" s="3" t="s">
        <v>9705</v>
      </c>
      <c r="T2367" s="2" t="s">
        <v>9706</v>
      </c>
      <c r="Y2367" s="4" t="str">
        <f>IFERROR(__xludf.DUMMYFUNCTION("""COMPUTED_VALUE"""),"6.9898923")</f>
        <v>6.9898923</v>
      </c>
      <c r="Z2367" s="4" t="str">
        <f>IFERROR(__xludf.DUMMYFUNCTION("""COMPUTED_VALUE"""),"3.6750005")</f>
        <v>3.6750005</v>
      </c>
      <c r="AA2367" s="4" t="str">
        <f t="shared" si="1"/>
        <v>Neighbor</v>
      </c>
      <c r="AC2367" s="4">
        <f>IFERROR(__xludf.DUMMYFUNCTION("IFERROR(ABS(O2367-AVERAGE(FILTER(O2367:O6435,AA2367:AA6435=""Neighbor""))) / STDEV(FILTER(O2367:O6435, AA2367:AA6435 =""Neighbor"")), """")"),0.027107606594260644)</f>
        <v>0.02710760659</v>
      </c>
      <c r="AD2367" s="4">
        <f>IFERROR(__xludf.DUMMYFUNCTION("IFERROR(ABS(P2367-AVERAGE(FILTER(O2367:P6435,AA2367:AA6435=""Neighbor""))) / STDEV(FILTER(P2367:P6435, AA2367:AA6435 =""Neighbor"")), """")"),1.3222039983829867)</f>
        <v>1.322203998</v>
      </c>
      <c r="AE2367" s="2">
        <f>IFERROR(__xludf.DUMMYFUNCTION("IFERROR(ABS(Q2367-AVERAGE(FILTER(Q2367:Q6435,AA2367:AA6435=""Neighbor""))) / STDEV(FILTER(Q2367:Q6435, AA2367:AA6435 =""Neighbor"")), """")"),1.0000252596402988)</f>
        <v>1.00002526</v>
      </c>
      <c r="AF2367" s="2">
        <f>IFERROR(__xludf.DUMMYFUNCTION("IFERROR(ABS(R2367-AVERAGE(FILTER(R2367:R6435,AA2367:AA6435=""Neighbor""))) / STDEV(FILTER(R2367:R6435, AA2367:AA6435 =""Neighbor"")), """")"),0.3422336849714675)</f>
        <v>0.342233685</v>
      </c>
    </row>
    <row r="2368">
      <c r="A2368" s="2" t="s">
        <v>28</v>
      </c>
      <c r="B2368" s="2" t="s">
        <v>9648</v>
      </c>
      <c r="C2368" s="2" t="s">
        <v>9698</v>
      </c>
      <c r="D2368" s="2" t="s">
        <v>9707</v>
      </c>
      <c r="E2368" s="2" t="s">
        <v>9708</v>
      </c>
      <c r="F2368" s="2">
        <v>116.0</v>
      </c>
      <c r="G2368" s="2">
        <v>428.0</v>
      </c>
      <c r="H2368" s="2" t="b">
        <v>1</v>
      </c>
      <c r="I2368" s="2">
        <v>-1.0</v>
      </c>
      <c r="J2368" s="2" t="b">
        <v>0</v>
      </c>
      <c r="K2368" s="2" t="b">
        <v>0</v>
      </c>
      <c r="L2368" s="2" t="b">
        <v>0</v>
      </c>
      <c r="M2368" s="2" t="b">
        <v>0</v>
      </c>
      <c r="N2368" s="2" t="s">
        <v>33</v>
      </c>
      <c r="O2368" s="2">
        <v>59.0</v>
      </c>
      <c r="P2368" s="2">
        <v>3.0</v>
      </c>
      <c r="Q2368" s="2">
        <v>52.0</v>
      </c>
      <c r="R2368" s="2">
        <v>0.0</v>
      </c>
      <c r="S2368" s="3" t="s">
        <v>9709</v>
      </c>
      <c r="T2368" s="2" t="s">
        <v>9710</v>
      </c>
      <c r="Y2368" s="4" t="str">
        <f>IFERROR(__xludf.DUMMYFUNCTION("""COMPUTED_VALUE"""),"6.9871912")</f>
        <v>6.9871912</v>
      </c>
      <c r="Z2368" s="4" t="str">
        <f>IFERROR(__xludf.DUMMYFUNCTION("""COMPUTED_VALUE"""),"3.6775362")</f>
        <v>3.6775362</v>
      </c>
      <c r="AA2368" s="4" t="str">
        <f t="shared" si="1"/>
        <v>Not Neighbor</v>
      </c>
      <c r="AC2368" s="4">
        <f>IFERROR(__xludf.DUMMYFUNCTION("IFERROR(ABS(O2368-AVERAGE(FILTER(O2368:O6436,AA2368:AA6436=""Neighbor""))) / STDEV(FILTER(O2368:O6436, AA2368:AA6436 =""Neighbor"")), """")"),0.2230763418962825)</f>
        <v>0.2230763419</v>
      </c>
      <c r="AD2368" s="4">
        <f>IFERROR(__xludf.DUMMYFUNCTION("IFERROR(ABS(P2368-AVERAGE(FILTER(O2368:P6436,AA2368:AA6436=""Neighbor""))) / STDEV(FILTER(P2368:P6436, AA2368:AA6436 =""Neighbor"")), """")"),1.3655486908399486)</f>
        <v>1.365548691</v>
      </c>
      <c r="AE2368" s="2">
        <f>IFERROR(__xludf.DUMMYFUNCTION("IFERROR(ABS(Q2368-AVERAGE(FILTER(Q2368:Q6436,AA2368:AA6436=""Neighbor""))) / STDEV(FILTER(Q2368:Q6436, AA2368:AA6436 =""Neighbor"")), """")"),1.8677673512398865)</f>
        <v>1.867767351</v>
      </c>
      <c r="AF2368" s="2">
        <f>IFERROR(__xludf.DUMMYFUNCTION("IFERROR(ABS(R2368-AVERAGE(FILTER(R2368:R6436,AA2368:AA6436=""Neighbor""))) / STDEV(FILTER(R2368:R6436, AA2368:AA6436 =""Neighbor"")), """")"),0.3425021835802722)</f>
        <v>0.3425021836</v>
      </c>
    </row>
    <row r="2369">
      <c r="A2369" s="2" t="s">
        <v>28</v>
      </c>
      <c r="B2369" s="2" t="s">
        <v>9648</v>
      </c>
      <c r="C2369" s="2" t="s">
        <v>9698</v>
      </c>
      <c r="D2369" s="2" t="s">
        <v>9711</v>
      </c>
      <c r="E2369" s="2" t="s">
        <v>9712</v>
      </c>
      <c r="F2369" s="2">
        <v>62.0</v>
      </c>
      <c r="G2369" s="2">
        <v>174.0</v>
      </c>
      <c r="H2369" s="2" t="b">
        <v>1</v>
      </c>
      <c r="I2369" s="2">
        <v>-1.0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s">
        <v>33</v>
      </c>
      <c r="O2369" s="2">
        <v>22.0</v>
      </c>
      <c r="P2369" s="2">
        <v>0.0</v>
      </c>
      <c r="Q2369" s="2">
        <v>36.0</v>
      </c>
      <c r="R2369" s="2">
        <v>0.0</v>
      </c>
      <c r="S2369" s="3" t="s">
        <v>9713</v>
      </c>
      <c r="T2369" s="2" t="s">
        <v>9714</v>
      </c>
      <c r="Y2369" s="4" t="str">
        <f>IFERROR(__xludf.DUMMYFUNCTION("""COMPUTED_VALUE"""),"6.9698036")</f>
        <v>6.9698036</v>
      </c>
      <c r="Z2369" s="4" t="str">
        <f>IFERROR(__xludf.DUMMYFUNCTION("""COMPUTED_VALUE"""),"3.6774625")</f>
        <v>3.6774625</v>
      </c>
      <c r="AA2369" s="4" t="str">
        <f t="shared" si="1"/>
        <v>Not Neighbor</v>
      </c>
      <c r="AC2369" s="4">
        <f>IFERROR(__xludf.DUMMYFUNCTION("IFERROR(ABS(O2369-AVERAGE(FILTER(O2369:O6437,AA2369:AA6437=""Neighbor""))) / STDEV(FILTER(O2369:O6437, AA2369:AA6437 =""Neighbor"")), """")"),0.8126577432194085)</f>
        <v>0.8126577432</v>
      </c>
      <c r="AD2369" s="4">
        <f>IFERROR(__xludf.DUMMYFUNCTION("IFERROR(ABS(P2369-AVERAGE(FILTER(O2369:P6437,AA2369:AA6437=""Neighbor""))) / STDEV(FILTER(P2369:P6437, AA2369:AA6437 =""Neighbor"")), """")"),1.496219396188039)</f>
        <v>1.496219396</v>
      </c>
      <c r="AE2369" s="2">
        <f>IFERROR(__xludf.DUMMYFUNCTION("IFERROR(ABS(Q2369-AVERAGE(FILTER(Q2369:Q6437,AA2369:AA6437=""Neighbor""))) / STDEV(FILTER(Q2369:Q6437, AA2369:AA6437 =""Neighbor"")), """")"),1.0014327924979411)</f>
        <v>1.001432792</v>
      </c>
      <c r="AF2369" s="2">
        <f>IFERROR(__xludf.DUMMYFUNCTION("IFERROR(ABS(R2369-AVERAGE(FILTER(R2369:R6437,AA2369:AA6437=""Neighbor""))) / STDEV(FILTER(R2369:R6437, AA2369:AA6437 =""Neighbor"")), """")"),0.3425021835802722)</f>
        <v>0.3425021836</v>
      </c>
    </row>
    <row r="2370">
      <c r="A2370" s="2" t="s">
        <v>28</v>
      </c>
      <c r="B2370" s="2" t="s">
        <v>9648</v>
      </c>
      <c r="C2370" s="2" t="s">
        <v>9698</v>
      </c>
      <c r="D2370" s="2" t="s">
        <v>9715</v>
      </c>
      <c r="E2370" s="2" t="s">
        <v>9716</v>
      </c>
      <c r="F2370" s="2">
        <v>103.0</v>
      </c>
      <c r="G2370" s="2">
        <v>403.0</v>
      </c>
      <c r="H2370" s="2" t="b">
        <v>1</v>
      </c>
      <c r="I2370" s="2">
        <v>-1.0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s">
        <v>33</v>
      </c>
      <c r="O2370" s="2">
        <v>47.0</v>
      </c>
      <c r="P2370" s="2">
        <v>7.0</v>
      </c>
      <c r="Q2370" s="2">
        <v>48.0</v>
      </c>
      <c r="R2370" s="2">
        <v>0.0</v>
      </c>
      <c r="S2370" s="3" t="s">
        <v>9717</v>
      </c>
      <c r="T2370" s="2" t="s">
        <v>9718</v>
      </c>
      <c r="Y2370" s="4" t="str">
        <f>IFERROR(__xludf.DUMMYFUNCTION("""COMPUTED_VALUE"""),"6.9898923")</f>
        <v>6.9898923</v>
      </c>
      <c r="Z2370" s="4" t="str">
        <f>IFERROR(__xludf.DUMMYFUNCTION("""COMPUTED_VALUE"""),"3.6750005")</f>
        <v>3.6750005</v>
      </c>
      <c r="AA2370" s="4" t="str">
        <f t="shared" si="1"/>
        <v>Neighbor</v>
      </c>
      <c r="AC2370" s="4">
        <f>IFERROR(__xludf.DUMMYFUNCTION("IFERROR(ABS(O2370-AVERAGE(FILTER(O2370:O6438,AA2370:AA6438=""Neighbor""))) / STDEV(FILTER(O2370:O6438, AA2370:AA6438 =""Neighbor"")), """")"),0.1128374154385362)</f>
        <v>0.1128374154</v>
      </c>
      <c r="AD2370" s="4">
        <f>IFERROR(__xludf.DUMMYFUNCTION("IFERROR(ABS(P2370-AVERAGE(FILTER(O2370:P6438,AA2370:AA6438=""Neighbor""))) / STDEV(FILTER(P2370:P6438, AA2370:AA6438 =""Neighbor"")), """")"),1.1913210837091615)</f>
        <v>1.191321084</v>
      </c>
      <c r="AE2370" s="2">
        <f>IFERROR(__xludf.DUMMYFUNCTION("IFERROR(ABS(Q2370-AVERAGE(FILTER(Q2370:Q6438,AA2370:AA6438=""Neighbor""))) / STDEV(FILTER(Q2370:Q6438, AA2370:AA6438 =""Neighbor"")), """")"),1.6511837115544001)</f>
        <v>1.651183712</v>
      </c>
      <c r="AF2370" s="2">
        <f>IFERROR(__xludf.DUMMYFUNCTION("IFERROR(ABS(R2370-AVERAGE(FILTER(R2370:R6438,AA2370:AA6438=""Neighbor""))) / STDEV(FILTER(R2370:R6438, AA2370:AA6438 =""Neighbor"")), """")"),0.3425021835802722)</f>
        <v>0.3425021836</v>
      </c>
    </row>
    <row r="2371">
      <c r="A2371" s="2" t="s">
        <v>28</v>
      </c>
      <c r="B2371" s="2" t="s">
        <v>9648</v>
      </c>
      <c r="C2371" s="2" t="s">
        <v>9698</v>
      </c>
      <c r="D2371" s="2" t="s">
        <v>9719</v>
      </c>
      <c r="E2371" s="2" t="s">
        <v>9720</v>
      </c>
      <c r="F2371" s="2">
        <v>79.0</v>
      </c>
      <c r="G2371" s="2">
        <v>266.0</v>
      </c>
      <c r="H2371" s="2" t="b">
        <v>1</v>
      </c>
      <c r="I2371" s="2">
        <v>-1.0</v>
      </c>
      <c r="J2371" s="2" t="b">
        <v>0</v>
      </c>
      <c r="K2371" s="2" t="b">
        <v>0</v>
      </c>
      <c r="L2371" s="2" t="b">
        <v>0</v>
      </c>
      <c r="M2371" s="2" t="b">
        <v>0</v>
      </c>
      <c r="N2371" s="2" t="s">
        <v>33</v>
      </c>
      <c r="O2371" s="2">
        <v>44.0</v>
      </c>
      <c r="P2371" s="2">
        <v>3.0</v>
      </c>
      <c r="Q2371" s="2">
        <v>26.0</v>
      </c>
      <c r="R2371" s="2">
        <v>0.0</v>
      </c>
      <c r="S2371" s="3" t="s">
        <v>9721</v>
      </c>
      <c r="T2371" s="2" t="s">
        <v>9722</v>
      </c>
      <c r="Y2371" s="4" t="str">
        <f>IFERROR(__xludf.DUMMYFUNCTION("""COMPUTED_VALUE"""),"6.9898923")</f>
        <v>6.9898923</v>
      </c>
      <c r="Z2371" s="4" t="str">
        <f>IFERROR(__xludf.DUMMYFUNCTION("""COMPUTED_VALUE"""),"3.6750005")</f>
        <v>3.6750005</v>
      </c>
      <c r="AA2371" s="4" t="str">
        <f t="shared" si="1"/>
        <v>Neighbor</v>
      </c>
      <c r="AC2371" s="4">
        <f>IFERROR(__xludf.DUMMYFUNCTION("IFERROR(ABS(O2371-AVERAGE(FILTER(O2371:O6439,AA2371:AA6439=""Neighbor""))) / STDEV(FILTER(O2371:O6439, AA2371:AA6439 =""Neighbor"")), """")"),0.19683778461683835)</f>
        <v>0.1968377846</v>
      </c>
      <c r="AD2371" s="4">
        <f>IFERROR(__xludf.DUMMYFUNCTION("IFERROR(ABS(P2371-AVERAGE(FILTER(O2371:P6439,AA2371:AA6439=""Neighbor""))) / STDEV(FILTER(P2371:P6439, AA2371:AA6439 =""Neighbor"")), """")"),1.365245351093105)</f>
        <v>1.365245351</v>
      </c>
      <c r="AE2371" s="2">
        <f>IFERROR(__xludf.DUMMYFUNCTION("IFERROR(ABS(Q2371-AVERAGE(FILTER(Q2371:Q6439,AA2371:AA6439=""Neighbor""))) / STDEV(FILTER(Q2371:Q6439, AA2371:AA6439 =""Neighbor"")), """")"),0.4628644376570694)</f>
        <v>0.4628644377</v>
      </c>
      <c r="AF2371" s="2">
        <f>IFERROR(__xludf.DUMMYFUNCTION("IFERROR(ABS(R2371-AVERAGE(FILTER(R2371:R6439,AA2371:AA6439=""Neighbor""))) / STDEV(FILTER(R2371:R6439, AA2371:AA6439 =""Neighbor"")), """")"),0.3427713152431068)</f>
        <v>0.3427713152</v>
      </c>
    </row>
    <row r="2372">
      <c r="A2372" s="2" t="s">
        <v>28</v>
      </c>
      <c r="B2372" s="2" t="s">
        <v>9648</v>
      </c>
      <c r="C2372" s="2" t="s">
        <v>9698</v>
      </c>
      <c r="D2372" s="2" t="s">
        <v>9723</v>
      </c>
      <c r="E2372" s="2" t="s">
        <v>9724</v>
      </c>
      <c r="F2372" s="2">
        <v>82.0</v>
      </c>
      <c r="G2372" s="2">
        <v>303.0</v>
      </c>
      <c r="H2372" s="2" t="b">
        <v>1</v>
      </c>
      <c r="I2372" s="2">
        <v>-1.0</v>
      </c>
      <c r="J2372" s="2" t="b">
        <v>0</v>
      </c>
      <c r="K2372" s="2" t="b">
        <v>0</v>
      </c>
      <c r="L2372" s="2" t="b">
        <v>0</v>
      </c>
      <c r="M2372" s="2" t="b">
        <v>0</v>
      </c>
      <c r="N2372" s="2" t="s">
        <v>33</v>
      </c>
      <c r="O2372" s="2">
        <v>40.0</v>
      </c>
      <c r="P2372" s="2">
        <v>6.0</v>
      </c>
      <c r="Q2372" s="2">
        <v>30.0</v>
      </c>
      <c r="R2372" s="2">
        <v>0.0</v>
      </c>
      <c r="S2372" s="3" t="s">
        <v>9725</v>
      </c>
      <c r="T2372" s="2" t="s">
        <v>9726</v>
      </c>
      <c r="Y2372" s="4" t="str">
        <f>IFERROR(__xludf.DUMMYFUNCTION("""COMPUTED_VALUE"""),"6.9898923")</f>
        <v>6.9898923</v>
      </c>
      <c r="Z2372" s="4" t="str">
        <f>IFERROR(__xludf.DUMMYFUNCTION("""COMPUTED_VALUE"""),"3.6750005")</f>
        <v>3.6750005</v>
      </c>
      <c r="AA2372" s="4" t="str">
        <f t="shared" si="1"/>
        <v>Neighbor</v>
      </c>
      <c r="AC2372" s="4">
        <f>IFERROR(__xludf.DUMMYFUNCTION("IFERROR(ABS(O2372-AVERAGE(FILTER(O2372:O6440,AA2372:AA6440=""Neighbor""))) / STDEV(FILTER(O2372:O6440, AA2372:AA6440 =""Neighbor"")), """")"),0.3087992422534594)</f>
        <v>0.3087992423</v>
      </c>
      <c r="AD2372" s="4">
        <f>IFERROR(__xludf.DUMMYFUNCTION("IFERROR(ABS(P2372-AVERAGE(FILTER(O2372:P6440,AA2372:AA6440=""Neighbor""))) / STDEV(FILTER(P2372:P6440, AA2372:AA6440 =""Neighbor"")), """")"),1.23479869041109)</f>
        <v>1.23479869</v>
      </c>
      <c r="AE2372" s="2">
        <f>IFERROR(__xludf.DUMMYFUNCTION("IFERROR(ABS(Q2372-AVERAGE(FILTER(Q2372:Q6440,AA2372:AA6440=""Neighbor""))) / STDEV(FILTER(Q2372:Q6440, AA2372:AA6440 =""Neighbor"")), """")"),0.679988594546128)</f>
        <v>0.6799885945</v>
      </c>
      <c r="AF2372" s="2">
        <f>IFERROR(__xludf.DUMMYFUNCTION("IFERROR(ABS(R2372-AVERAGE(FILTER(R2372:R6440,AA2372:AA6440=""Neighbor""))) / STDEV(FILTER(R2372:R6440, AA2372:AA6440 =""Neighbor"")), """")"),0.34304108245191606)</f>
        <v>0.3430410825</v>
      </c>
    </row>
    <row r="2373">
      <c r="A2373" s="2" t="s">
        <v>28</v>
      </c>
      <c r="B2373" s="2" t="s">
        <v>9648</v>
      </c>
      <c r="C2373" s="2" t="s">
        <v>9698</v>
      </c>
      <c r="D2373" s="2" t="s">
        <v>9727</v>
      </c>
      <c r="E2373" s="2" t="s">
        <v>9728</v>
      </c>
      <c r="F2373" s="2">
        <v>105.0</v>
      </c>
      <c r="G2373" s="2">
        <v>406.0</v>
      </c>
      <c r="H2373" s="2" t="b">
        <v>1</v>
      </c>
      <c r="I2373" s="2">
        <v>-1.0</v>
      </c>
      <c r="J2373" s="2" t="b">
        <v>0</v>
      </c>
      <c r="K2373" s="2" t="b">
        <v>0</v>
      </c>
      <c r="L2373" s="2" t="b">
        <v>0</v>
      </c>
      <c r="M2373" s="2" t="b">
        <v>0</v>
      </c>
      <c r="N2373" s="2" t="s">
        <v>33</v>
      </c>
      <c r="O2373" s="2">
        <v>47.0</v>
      </c>
      <c r="P2373" s="2">
        <v>1.0</v>
      </c>
      <c r="Q2373" s="2">
        <v>54.0</v>
      </c>
      <c r="R2373" s="2">
        <v>0.0</v>
      </c>
      <c r="S2373" s="3" t="s">
        <v>9729</v>
      </c>
      <c r="T2373" s="2" t="s">
        <v>9730</v>
      </c>
      <c r="Y2373" s="4" t="str">
        <f>IFERROR(__xludf.DUMMYFUNCTION("""COMPUTED_VALUE"""),"6.9898923")</f>
        <v>6.9898923</v>
      </c>
      <c r="Z2373" s="4" t="str">
        <f>IFERROR(__xludf.DUMMYFUNCTION("""COMPUTED_VALUE"""),"3.6750005")</f>
        <v>3.6750005</v>
      </c>
      <c r="AA2373" s="4" t="str">
        <f t="shared" si="1"/>
        <v>Neighbor</v>
      </c>
      <c r="AC2373" s="4">
        <f>IFERROR(__xludf.DUMMYFUNCTION("IFERROR(ABS(O2373-AVERAGE(FILTER(O2373:O6441,AA2373:AA6441=""Neighbor""))) / STDEV(FILTER(O2373:O6441, AA2373:AA6441 =""Neighbor"")), """")"),0.11348220721814165)</f>
        <v>0.1134822072</v>
      </c>
      <c r="AD2373" s="4">
        <f>IFERROR(__xludf.DUMMYFUNCTION("IFERROR(ABS(P2373-AVERAGE(FILTER(O2373:P6441,AA2373:AA6441=""Neighbor""))) / STDEV(FILTER(P2373:P6441, AA2373:AA6441 =""Neighbor"")), """")"),1.452311428281289)</f>
        <v>1.452311428</v>
      </c>
      <c r="AE2373" s="2">
        <f>IFERROR(__xludf.DUMMYFUNCTION("IFERROR(ABS(Q2373-AVERAGE(FILTER(Q2373:Q6441,AA2373:AA6441=""Neighbor""))) / STDEV(FILTER(Q2373:Q6441, AA2373:AA6441 =""Neighbor"")), """")"),1.9805663468223789)</f>
        <v>1.980566347</v>
      </c>
      <c r="AF2373" s="2">
        <f>IFERROR(__xludf.DUMMYFUNCTION("IFERROR(ABS(R2373-AVERAGE(FILTER(R2373:R6441,AA2373:AA6441=""Neighbor""))) / STDEV(FILTER(R2373:R6441, AA2373:AA6441 =""Neighbor"")), """")"),0.3433114877124014)</f>
        <v>0.3433114877</v>
      </c>
    </row>
    <row r="2374">
      <c r="A2374" s="2" t="s">
        <v>28</v>
      </c>
      <c r="B2374" s="2" t="s">
        <v>9648</v>
      </c>
      <c r="C2374" s="2" t="s">
        <v>9698</v>
      </c>
      <c r="D2374" s="2" t="s">
        <v>9731</v>
      </c>
      <c r="E2374" s="2" t="s">
        <v>9732</v>
      </c>
      <c r="F2374" s="2">
        <v>61.0</v>
      </c>
      <c r="G2374" s="2">
        <v>198.0</v>
      </c>
      <c r="H2374" s="2" t="b">
        <v>1</v>
      </c>
      <c r="I2374" s="2">
        <v>-1.0</v>
      </c>
      <c r="J2374" s="2" t="b">
        <v>0</v>
      </c>
      <c r="K2374" s="2" t="b">
        <v>0</v>
      </c>
      <c r="L2374" s="2" t="b">
        <v>0</v>
      </c>
      <c r="M2374" s="2" t="b">
        <v>0</v>
      </c>
      <c r="N2374" s="2" t="s">
        <v>33</v>
      </c>
      <c r="O2374" s="2">
        <v>36.0</v>
      </c>
      <c r="P2374" s="2">
        <v>1.0</v>
      </c>
      <c r="Q2374" s="2">
        <v>24.0</v>
      </c>
      <c r="R2374" s="2">
        <v>0.0</v>
      </c>
      <c r="S2374" s="3" t="s">
        <v>9733</v>
      </c>
      <c r="T2374" s="2" t="s">
        <v>9734</v>
      </c>
      <c r="Y2374" s="4" t="str">
        <f>IFERROR(__xludf.DUMMYFUNCTION("""COMPUTED_VALUE"""),"6.9898923")</f>
        <v>6.9898923</v>
      </c>
      <c r="Z2374" s="4" t="str">
        <f>IFERROR(__xludf.DUMMYFUNCTION("""COMPUTED_VALUE"""),"3.6750005")</f>
        <v>3.6750005</v>
      </c>
      <c r="AA2374" s="4" t="str">
        <f t="shared" si="1"/>
        <v>Neighbor</v>
      </c>
      <c r="AC2374" s="4">
        <f>IFERROR(__xludf.DUMMYFUNCTION("IFERROR(ABS(O2374-AVERAGE(FILTER(O2374:O6442,AA2374:AA6442=""Neighbor""))) / STDEV(FILTER(O2374:O6442, AA2374:AA6442 =""Neighbor"")), """")"),0.42065036302736386)</f>
        <v>0.420650363</v>
      </c>
      <c r="AD2374" s="4">
        <f>IFERROR(__xludf.DUMMYFUNCTION("IFERROR(ABS(P2374-AVERAGE(FILTER(O2374:P6442,AA2374:AA6442=""Neighbor""))) / STDEV(FILTER(P2374:P6442, AA2374:AA6442 =""Neighbor"")), """")"),1.452467094908971)</f>
        <v>1.452467095</v>
      </c>
      <c r="AE2374" s="2">
        <f>IFERROR(__xludf.DUMMYFUNCTION("IFERROR(ABS(Q2374-AVERAGE(FILTER(Q2374:Q6442,AA2374:AA6442=""Neighbor""))) / STDEV(FILTER(Q2374:Q6442, AA2374:AA6442 =""Neighbor"")), """")"),0.35926883883840405)</f>
        <v>0.3592688388</v>
      </c>
      <c r="AF2374" s="2">
        <f>IFERROR(__xludf.DUMMYFUNCTION("IFERROR(ABS(R2374-AVERAGE(FILTER(R2374:R6442,AA2374:AA6442=""Neighbor""))) / STDEV(FILTER(R2374:R6442, AA2374:AA6442 =""Neighbor"")), """")"),0.34358253354411816)</f>
        <v>0.3435825335</v>
      </c>
    </row>
    <row r="2375">
      <c r="A2375" s="2" t="s">
        <v>28</v>
      </c>
      <c r="B2375" s="2" t="s">
        <v>9648</v>
      </c>
      <c r="C2375" s="2" t="s">
        <v>9698</v>
      </c>
      <c r="D2375" s="2" t="s">
        <v>9735</v>
      </c>
      <c r="E2375" s="2" t="s">
        <v>9736</v>
      </c>
      <c r="F2375" s="2">
        <v>115.0</v>
      </c>
      <c r="G2375" s="2">
        <v>482.0</v>
      </c>
      <c r="H2375" s="2" t="b">
        <v>1</v>
      </c>
      <c r="I2375" s="2">
        <v>-1.0</v>
      </c>
      <c r="J2375" s="2" t="b">
        <v>0</v>
      </c>
      <c r="K2375" s="2" t="b">
        <v>0</v>
      </c>
      <c r="L2375" s="2" t="b">
        <v>0</v>
      </c>
      <c r="M2375" s="2" t="b">
        <v>0</v>
      </c>
      <c r="N2375" s="2" t="s">
        <v>33</v>
      </c>
      <c r="O2375" s="2">
        <v>69.0</v>
      </c>
      <c r="P2375" s="2">
        <v>5.0</v>
      </c>
      <c r="Q2375" s="2">
        <v>32.0</v>
      </c>
      <c r="R2375" s="2">
        <v>0.0</v>
      </c>
      <c r="S2375" s="3" t="s">
        <v>9737</v>
      </c>
      <c r="T2375" s="2" t="s">
        <v>9738</v>
      </c>
      <c r="Y2375" s="4" t="str">
        <f>IFERROR(__xludf.DUMMYFUNCTION("""COMPUTED_VALUE"""),"6.9898923")</f>
        <v>6.9898923</v>
      </c>
      <c r="Z2375" s="4" t="str">
        <f>IFERROR(__xludf.DUMMYFUNCTION("""COMPUTED_VALUE"""),"3.6750005")</f>
        <v>3.6750005</v>
      </c>
      <c r="AA2375" s="4" t="str">
        <f t="shared" si="1"/>
        <v>Neighbor</v>
      </c>
      <c r="AC2375" s="4">
        <f>IFERROR(__xludf.DUMMYFUNCTION("IFERROR(ABS(O2375-AVERAGE(FILTER(O2375:O6443,AA2375:AA6443=""Neighbor""))) / STDEV(FILTER(O2375:O6443, AA2375:AA6443 =""Neighbor"")), """")"),0.49972330497742473)</f>
        <v>0.499723305</v>
      </c>
      <c r="AD2375" s="4">
        <f>IFERROR(__xludf.DUMMYFUNCTION("IFERROR(ABS(P2375-AVERAGE(FILTER(O2375:P6443,AA2375:AA6443=""Neighbor""))) / STDEV(FILTER(P2375:P6443, AA2375:AA6443 =""Neighbor"")), """")"),1.2791113674004186)</f>
        <v>1.279111367</v>
      </c>
      <c r="AE2375" s="2">
        <f>IFERROR(__xludf.DUMMYFUNCTION("IFERROR(ABS(Q2375-AVERAGE(FILTER(Q2375:Q6443,AA2375:AA6443=""Neighbor""))) / STDEV(FILTER(Q2375:Q6443, AA2375:AA6443 =""Neighbor"")), """")"),0.7934811369532502)</f>
        <v>0.793481137</v>
      </c>
      <c r="AF2375" s="2">
        <f>IFERROR(__xludf.DUMMYFUNCTION("IFERROR(ABS(R2375-AVERAGE(FILTER(R2375:R6443,AA2375:AA6443=""Neighbor""))) / STDEV(FILTER(R2375:R6443, AA2375:AA6443 =""Neighbor"")), """")"),0.3438542224805748)</f>
        <v>0.3438542225</v>
      </c>
    </row>
    <row r="2376">
      <c r="A2376" s="2" t="s">
        <v>28</v>
      </c>
      <c r="B2376" s="2" t="s">
        <v>9648</v>
      </c>
      <c r="C2376" s="2" t="s">
        <v>9698</v>
      </c>
      <c r="D2376" s="2" t="s">
        <v>9739</v>
      </c>
      <c r="E2376" s="2" t="s">
        <v>9740</v>
      </c>
      <c r="F2376" s="2">
        <v>77.0</v>
      </c>
      <c r="G2376" s="2">
        <v>315.0</v>
      </c>
      <c r="H2376" s="2" t="b">
        <v>1</v>
      </c>
      <c r="I2376" s="2">
        <v>-1.0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s">
        <v>33</v>
      </c>
      <c r="O2376" s="2">
        <v>40.0</v>
      </c>
      <c r="P2376" s="2">
        <v>5.0</v>
      </c>
      <c r="Q2376" s="2">
        <v>25.0</v>
      </c>
      <c r="R2376" s="2">
        <v>0.0</v>
      </c>
      <c r="S2376" s="3" t="s">
        <v>9741</v>
      </c>
      <c r="T2376" s="2" t="s">
        <v>9742</v>
      </c>
      <c r="Y2376" s="4" t="str">
        <f>IFERROR(__xludf.DUMMYFUNCTION("""COMPUTED_VALUE"""),"6.9898923")</f>
        <v>6.9898923</v>
      </c>
      <c r="Z2376" s="4" t="str">
        <f>IFERROR(__xludf.DUMMYFUNCTION("""COMPUTED_VALUE"""),"3.6750005")</f>
        <v>3.6750005</v>
      </c>
      <c r="AA2376" s="4" t="str">
        <f t="shared" si="1"/>
        <v>Neighbor</v>
      </c>
      <c r="AC2376" s="4">
        <f>IFERROR(__xludf.DUMMYFUNCTION("IFERROR(ABS(O2376-AVERAGE(FILTER(O2376:O6444,AA2376:AA6444=""Neighbor""))) / STDEV(FILTER(O2376:O6444, AA2376:AA6444 =""Neighbor"")), """")"),0.3085245786328426)</f>
        <v>0.3085245786</v>
      </c>
      <c r="AD2376" s="4">
        <f>IFERROR(__xludf.DUMMYFUNCTION("IFERROR(ABS(P2376-AVERAGE(FILTER(O2376:P6444,AA2376:AA6444=""Neighbor""))) / STDEV(FILTER(P2376:P6444, AA2376:AA6444 =""Neighbor"")), """")"),1.2783252728570758)</f>
        <v>1.278325273</v>
      </c>
      <c r="AE2376" s="2">
        <f>IFERROR(__xludf.DUMMYFUNCTION("IFERROR(ABS(Q2376-AVERAGE(FILTER(Q2376:Q6444,AA2376:AA6444=""Neighbor""))) / STDEV(FILTER(Q2376:Q6444, AA2376:AA6444 =""Neighbor"")), """")"),0.4148130799090359)</f>
        <v>0.4148130799</v>
      </c>
      <c r="AF2376" s="2">
        <f>IFERROR(__xludf.DUMMYFUNCTION("IFERROR(ABS(R2376-AVERAGE(FILTER(R2376:R6444,AA2376:AA6444=""Neighbor""))) / STDEV(FILTER(R2376:R6444, AA2376:AA6444 =""Neighbor"")), """")"),0.3441265570693325)</f>
        <v>0.3441265571</v>
      </c>
    </row>
    <row r="2377">
      <c r="A2377" s="2" t="s">
        <v>28</v>
      </c>
      <c r="B2377" s="2" t="s">
        <v>9648</v>
      </c>
      <c r="C2377" s="2" t="s">
        <v>9698</v>
      </c>
      <c r="D2377" s="2" t="s">
        <v>9743</v>
      </c>
      <c r="E2377" s="2" t="s">
        <v>9744</v>
      </c>
      <c r="F2377" s="2">
        <v>56.0</v>
      </c>
      <c r="G2377" s="2">
        <v>190.0</v>
      </c>
      <c r="H2377" s="2" t="b">
        <v>1</v>
      </c>
      <c r="I2377" s="2">
        <v>-1.0</v>
      </c>
      <c r="J2377" s="2" t="b">
        <v>0</v>
      </c>
      <c r="K2377" s="2" t="b">
        <v>1</v>
      </c>
      <c r="L2377" s="2" t="b">
        <v>0</v>
      </c>
      <c r="M2377" s="2" t="b">
        <v>0</v>
      </c>
      <c r="N2377" s="2" t="s">
        <v>33</v>
      </c>
      <c r="O2377" s="2">
        <v>27.0</v>
      </c>
      <c r="P2377" s="2">
        <v>2.0</v>
      </c>
      <c r="Q2377" s="2">
        <v>22.0</v>
      </c>
      <c r="R2377" s="2">
        <v>0.0</v>
      </c>
      <c r="S2377" s="3" t="s">
        <v>9745</v>
      </c>
      <c r="T2377" s="2" t="s">
        <v>9746</v>
      </c>
      <c r="Y2377" s="4" t="str">
        <f>IFERROR(__xludf.DUMMYFUNCTION("""COMPUTED_VALUE"""),"6.9898923")</f>
        <v>6.9898923</v>
      </c>
      <c r="Z2377" s="4" t="str">
        <f>IFERROR(__xludf.DUMMYFUNCTION("""COMPUTED_VALUE"""),"3.6750005")</f>
        <v>3.6750005</v>
      </c>
      <c r="AA2377" s="4" t="str">
        <f t="shared" si="1"/>
        <v>Neighbor</v>
      </c>
      <c r="AC2377" s="4">
        <f>IFERROR(__xludf.DUMMYFUNCTION("IFERROR(ABS(O2377-AVERAGE(FILTER(O2377:O6445,AA2377:AA6445=""Neighbor""))) / STDEV(FILTER(O2377:O6445, AA2377:AA6445 =""Neighbor"")), """")"),0.6710475632944274)</f>
        <v>0.6710475633</v>
      </c>
      <c r="AD2377" s="4">
        <f>IFERROR(__xludf.DUMMYFUNCTION("IFERROR(ABS(P2377-AVERAGE(FILTER(O2377:P6445,AA2377:AA6445=""Neighbor""))) / STDEV(FILTER(P2377:P6445, AA2377:AA6445 =""Neighbor"")), """")"),1.4086941685769112)</f>
        <v>1.408694169</v>
      </c>
      <c r="AE2377" s="2">
        <f>IFERROR(__xludf.DUMMYFUNCTION("IFERROR(ABS(Q2377-AVERAGE(FILTER(Q2377:Q6445,AA2377:AA6445=""Neighbor""))) / STDEV(FILTER(Q2377:Q6445, AA2377:AA6445 =""Neighbor"")), """")"),0.2525743241102029)</f>
        <v>0.2525743241</v>
      </c>
      <c r="AF2377" s="2">
        <f>IFERROR(__xludf.DUMMYFUNCTION("IFERROR(ABS(R2377-AVERAGE(FILTER(R2377:R6445,AA2377:AA6445=""Neighbor""))) / STDEV(FILTER(R2377:R6445, AA2377:AA6445 =""Neighbor"")), """")"),0.34439953987210487)</f>
        <v>0.3443995399</v>
      </c>
    </row>
    <row r="2378">
      <c r="A2378" s="2" t="s">
        <v>28</v>
      </c>
      <c r="B2378" s="2" t="s">
        <v>9648</v>
      </c>
      <c r="C2378" s="2" t="s">
        <v>9698</v>
      </c>
      <c r="D2378" s="2" t="s">
        <v>9747</v>
      </c>
      <c r="E2378" s="2" t="s">
        <v>9748</v>
      </c>
      <c r="F2378" s="2">
        <v>104.0</v>
      </c>
      <c r="G2378" s="2">
        <v>457.0</v>
      </c>
      <c r="H2378" s="2" t="b">
        <v>1</v>
      </c>
      <c r="I2378" s="2">
        <v>-1.0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s">
        <v>33</v>
      </c>
      <c r="O2378" s="2">
        <v>66.0</v>
      </c>
      <c r="P2378" s="2">
        <v>14.0</v>
      </c>
      <c r="Q2378" s="2">
        <v>23.0</v>
      </c>
      <c r="R2378" s="2">
        <v>0.0</v>
      </c>
      <c r="S2378" s="3" t="s">
        <v>9749</v>
      </c>
      <c r="T2378" s="2" t="s">
        <v>9750</v>
      </c>
      <c r="Y2378" s="4" t="str">
        <f>IFERROR(__xludf.DUMMYFUNCTION("""COMPUTED_VALUE"""),"6.9898923")</f>
        <v>6.9898923</v>
      </c>
      <c r="Z2378" s="4" t="str">
        <f>IFERROR(__xludf.DUMMYFUNCTION("""COMPUTED_VALUE"""),"3.6750005")</f>
        <v>3.6750005</v>
      </c>
      <c r="AA2378" s="4" t="str">
        <f t="shared" si="1"/>
        <v>Not Neighbor</v>
      </c>
      <c r="AC2378" s="4">
        <f>IFERROR(__xludf.DUMMYFUNCTION("IFERROR(ABS(O2378-AVERAGE(FILTER(O2378:O6446,AA2378:AA6446=""Neighbor""))) / STDEV(FILTER(O2378:O6446, AA2378:AA6446 =""Neighbor"")), """")"),0.41468579220181623)</f>
        <v>0.4146857922</v>
      </c>
      <c r="AD2378" s="4">
        <f>IFERROR(__xludf.DUMMYFUNCTION("IFERROR(ABS(P2378-AVERAGE(FILTER(O2378:P6446,AA2378:AA6446=""Neighbor""))) / STDEV(FILTER(P2378:P6446, AA2378:AA6446 =""Neighbor"")), """")"),0.8885475355306606)</f>
        <v>0.8885475355</v>
      </c>
      <c r="AE2378" s="2">
        <f>IFERROR(__xludf.DUMMYFUNCTION("IFERROR(ABS(Q2378-AVERAGE(FILTER(Q2378:Q6446,AA2378:AA6446=""Neighbor""))) / STDEV(FILTER(Q2378:Q6446, AA2378:AA6446 =""Neighbor"")), """")"),0.3069235837253965)</f>
        <v>0.3069235837</v>
      </c>
      <c r="AF2378" s="2">
        <f>IFERROR(__xludf.DUMMYFUNCTION("IFERROR(ABS(R2378-AVERAGE(FILTER(R2378:R6446,AA2378:AA6446=""Neighbor""))) / STDEV(FILTER(R2378:R6446, AA2378:AA6446 =""Neighbor"")), """")"),0.34467317346486)</f>
        <v>0.3446731735</v>
      </c>
    </row>
    <row r="2379">
      <c r="A2379" s="2" t="s">
        <v>28</v>
      </c>
      <c r="B2379" s="2" t="s">
        <v>9648</v>
      </c>
      <c r="C2379" s="2" t="s">
        <v>9751</v>
      </c>
      <c r="D2379" s="2" t="s">
        <v>9752</v>
      </c>
      <c r="E2379" s="2" t="s">
        <v>9753</v>
      </c>
      <c r="F2379" s="2">
        <v>135.0</v>
      </c>
      <c r="G2379" s="2">
        <v>579.0</v>
      </c>
      <c r="H2379" s="2" t="b">
        <v>1</v>
      </c>
      <c r="I2379" s="2">
        <v>-1.0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s">
        <v>33</v>
      </c>
      <c r="O2379" s="2">
        <v>78.0</v>
      </c>
      <c r="P2379" s="2">
        <v>8.0</v>
      </c>
      <c r="Q2379" s="2">
        <v>39.0</v>
      </c>
      <c r="R2379" s="2">
        <v>0.0</v>
      </c>
      <c r="S2379" s="3" t="s">
        <v>9754</v>
      </c>
      <c r="T2379" s="2" t="s">
        <v>9755</v>
      </c>
      <c r="Y2379" s="4" t="str">
        <f>IFERROR(__xludf.DUMMYFUNCTION("""COMPUTED_VALUE"""),"7.0005006")</f>
        <v>7.0005006</v>
      </c>
      <c r="Z2379" s="4" t="str">
        <f>IFERROR(__xludf.DUMMYFUNCTION("""COMPUTED_VALUE"""),"3.6902166")</f>
        <v>3.6902166</v>
      </c>
      <c r="AA2379" s="4" t="str">
        <f t="shared" si="1"/>
        <v>Neighbor</v>
      </c>
      <c r="AC2379" s="4">
        <f>IFERROR(__xludf.DUMMYFUNCTION("IFERROR(ABS(O2379-AVERAGE(FILTER(O2379:O6447,AA2379:AA6447=""Neighbor""))) / STDEV(FILTER(O2379:O6447, AA2379:AA6447 =""Neighbor"")), """")"),0.7489704881420476)</f>
        <v>0.7489704881</v>
      </c>
      <c r="AD2379" s="4">
        <f>IFERROR(__xludf.DUMMYFUNCTION("IFERROR(ABS(P2379-AVERAGE(FILTER(O2379:P6447,AA2379:AA6447=""Neighbor""))) / STDEV(FILTER(P2379:P6447, AA2379:AA6447 =""Neighbor"")), """")"),1.1489716403750705)</f>
        <v>1.14897164</v>
      </c>
      <c r="AE2379" s="2">
        <f>IFERROR(__xludf.DUMMYFUNCTION("IFERROR(ABS(Q2379-AVERAGE(FILTER(Q2379:Q6447,AA2379:AA6447=""Neighbor""))) / STDEV(FILTER(Q2379:Q6447, AA2379:AA6447 =""Neighbor"")), """")"),1.1734588421950902)</f>
        <v>1.173458842</v>
      </c>
      <c r="AF2379" s="2">
        <f>IFERROR(__xludf.DUMMYFUNCTION("IFERROR(ABS(R2379-AVERAGE(FILTER(R2379:R6447,AA2379:AA6447=""Neighbor""))) / STDEV(FILTER(R2379:R6447, AA2379:AA6447 =""Neighbor"")), """")"),0.34467317346486)</f>
        <v>0.3446731735</v>
      </c>
    </row>
    <row r="2380">
      <c r="A2380" s="2" t="s">
        <v>28</v>
      </c>
      <c r="B2380" s="2" t="s">
        <v>9648</v>
      </c>
      <c r="C2380" s="2" t="s">
        <v>9751</v>
      </c>
      <c r="D2380" s="2" t="s">
        <v>9756</v>
      </c>
      <c r="E2380" s="2" t="s">
        <v>9757</v>
      </c>
      <c r="F2380" s="2">
        <v>86.0</v>
      </c>
      <c r="G2380" s="2">
        <v>419.0</v>
      </c>
      <c r="H2380" s="2" t="b">
        <v>1</v>
      </c>
      <c r="I2380" s="2">
        <v>-1.0</v>
      </c>
      <c r="J2380" s="2" t="b">
        <v>1</v>
      </c>
      <c r="K2380" s="2" t="b">
        <v>0</v>
      </c>
      <c r="L2380" s="2" t="b">
        <v>0</v>
      </c>
      <c r="M2380" s="2" t="b">
        <v>0</v>
      </c>
      <c r="N2380" s="2" t="s">
        <v>33</v>
      </c>
      <c r="O2380" s="2">
        <v>44.0</v>
      </c>
      <c r="P2380" s="2">
        <v>3.0</v>
      </c>
      <c r="Q2380" s="2">
        <v>26.0</v>
      </c>
      <c r="R2380" s="2">
        <v>1.0</v>
      </c>
      <c r="S2380" s="3" t="s">
        <v>9758</v>
      </c>
      <c r="T2380" s="2" t="s">
        <v>9759</v>
      </c>
      <c r="Y2380" s="4" t="str">
        <f>IFERROR(__xludf.DUMMYFUNCTION("""COMPUTED_VALUE"""),"7.0005006")</f>
        <v>7.0005006</v>
      </c>
      <c r="Z2380" s="4" t="str">
        <f>IFERROR(__xludf.DUMMYFUNCTION("""COMPUTED_VALUE"""),"3.6902166")</f>
        <v>3.6902166</v>
      </c>
      <c r="AA2380" s="4" t="str">
        <f t="shared" si="1"/>
        <v>Not Neighbor</v>
      </c>
      <c r="AC2380" s="4">
        <f>IFERROR(__xludf.DUMMYFUNCTION("IFERROR(ABS(O2380-AVERAGE(FILTER(O2380:O6448,AA2380:AA6448=""Neighbor""))) / STDEV(FILTER(O2380:O6448, AA2380:AA6448 =""Neighbor"")), """")"),0.19704099173275127)</f>
        <v>0.1970409917</v>
      </c>
      <c r="AD2380" s="4">
        <f>IFERROR(__xludf.DUMMYFUNCTION("IFERROR(ABS(P2380-AVERAGE(FILTER(O2380:P6448,AA2380:AA6448=""Neighbor""))) / STDEV(FILTER(P2380:P6448, AA2380:AA6448 =""Neighbor"")), """")"),1.3646687007458915)</f>
        <v>1.364668701</v>
      </c>
      <c r="AE2380" s="2">
        <f>IFERROR(__xludf.DUMMYFUNCTION("IFERROR(ABS(Q2380-AVERAGE(FILTER(Q2380:Q6448,AA2380:AA6448=""Neighbor""))) / STDEV(FILTER(Q2380:Q6448, AA2380:AA6448 =""Neighbor"")), """")"),0.4711979227163575)</f>
        <v>0.4711979227</v>
      </c>
      <c r="AF2380" s="2">
        <f>IFERROR(__xludf.DUMMYFUNCTION("IFERROR(ABS(R2380-AVERAGE(FILTER(R2380:R6448,AA2380:AA6448=""Neighbor""))) / STDEV(FILTER(R2380:R6448, AA2380:AA6448 =""Neighbor"")), """")"),0.7919216345264966)</f>
        <v>0.7919216345</v>
      </c>
    </row>
    <row r="2381">
      <c r="A2381" s="2" t="s">
        <v>28</v>
      </c>
      <c r="B2381" s="2" t="s">
        <v>9648</v>
      </c>
      <c r="C2381" s="2" t="s">
        <v>9751</v>
      </c>
      <c r="D2381" s="2" t="s">
        <v>9760</v>
      </c>
      <c r="E2381" s="2" t="s">
        <v>9761</v>
      </c>
      <c r="F2381" s="2">
        <v>108.0</v>
      </c>
      <c r="G2381" s="2">
        <v>549.0</v>
      </c>
      <c r="H2381" s="2" t="b">
        <v>1</v>
      </c>
      <c r="I2381" s="2">
        <v>-1.0</v>
      </c>
      <c r="J2381" s="2" t="b">
        <v>0</v>
      </c>
      <c r="K2381" s="2" t="b">
        <v>1</v>
      </c>
      <c r="L2381" s="2" t="b">
        <v>0</v>
      </c>
      <c r="M2381" s="2" t="b">
        <v>0</v>
      </c>
      <c r="N2381" s="2" t="s">
        <v>33</v>
      </c>
      <c r="O2381" s="2">
        <v>61.0</v>
      </c>
      <c r="P2381" s="2">
        <v>4.0</v>
      </c>
      <c r="Q2381" s="2">
        <v>36.0</v>
      </c>
      <c r="R2381" s="2">
        <v>0.0</v>
      </c>
      <c r="S2381" s="3" t="s">
        <v>9762</v>
      </c>
      <c r="T2381" s="2" t="s">
        <v>9763</v>
      </c>
      <c r="Y2381" s="4" t="str">
        <f>IFERROR(__xludf.DUMMYFUNCTION("""COMPUTED_VALUE"""),"6.9871912")</f>
        <v>6.9871912</v>
      </c>
      <c r="Z2381" s="4" t="str">
        <f>IFERROR(__xludf.DUMMYFUNCTION("""COMPUTED_VALUE"""),"3.6775362")</f>
        <v>3.6775362</v>
      </c>
      <c r="AA2381" s="4" t="str">
        <f t="shared" si="1"/>
        <v>Neighbor</v>
      </c>
      <c r="AC2381" s="4">
        <f>IFERROR(__xludf.DUMMYFUNCTION("IFERROR(ABS(O2381-AVERAGE(FILTER(O2381:O6449,AA2381:AA6449=""Neighbor""))) / STDEV(FILTER(O2381:O6449, AA2381:AA6449 =""Neighbor"")), """")"),0.27638103269621045)</f>
        <v>0.2763810327</v>
      </c>
      <c r="AD2381" s="4">
        <f>IFERROR(__xludf.DUMMYFUNCTION("IFERROR(ABS(P2381-AVERAGE(FILTER(O2381:P6449,AA2381:AA6449=""Neighbor""))) / STDEV(FILTER(P2381:P6449, AA2381:AA6449 =""Neighbor"")), """")"),1.3212899768479716)</f>
        <v>1.321289977</v>
      </c>
      <c r="AE2381" s="2">
        <f>IFERROR(__xludf.DUMMYFUNCTION("IFERROR(ABS(Q2381-AVERAGE(FILTER(Q2381:Q6449,AA2381:AA6449=""Neighbor""))) / STDEV(FILTER(Q2381:Q6449, AA2381:AA6449 =""Neighbor"")), """")"),1.012928911492779)</f>
        <v>1.012928911</v>
      </c>
      <c r="AF2381" s="2">
        <f>IFERROR(__xludf.DUMMYFUNCTION("IFERROR(ABS(R2381-AVERAGE(FILTER(R2381:R6449,AA2381:AA6449=""Neighbor""))) / STDEV(FILTER(R2381:R6449, AA2381:AA6449 =""Neighbor"")), """")"),0.3449474604379218)</f>
        <v>0.3449474604</v>
      </c>
    </row>
    <row r="2382">
      <c r="A2382" s="2" t="s">
        <v>28</v>
      </c>
      <c r="B2382" s="2" t="s">
        <v>9648</v>
      </c>
      <c r="C2382" s="2" t="s">
        <v>9751</v>
      </c>
      <c r="D2382" s="2" t="s">
        <v>9764</v>
      </c>
      <c r="E2382" s="2" t="s">
        <v>9765</v>
      </c>
      <c r="F2382" s="2">
        <v>134.0</v>
      </c>
      <c r="G2382" s="2">
        <v>490.0</v>
      </c>
      <c r="H2382" s="2" t="b">
        <v>1</v>
      </c>
      <c r="I2382" s="2">
        <v>-1.0</v>
      </c>
      <c r="J2382" s="2" t="b">
        <v>1</v>
      </c>
      <c r="K2382" s="2" t="b">
        <v>0</v>
      </c>
      <c r="L2382" s="2" t="b">
        <v>0</v>
      </c>
      <c r="M2382" s="2" t="b">
        <v>0</v>
      </c>
      <c r="N2382" s="2" t="s">
        <v>33</v>
      </c>
      <c r="O2382" s="2">
        <v>63.0</v>
      </c>
      <c r="P2382" s="2">
        <v>3.0</v>
      </c>
      <c r="Q2382" s="2">
        <v>61.0</v>
      </c>
      <c r="R2382" s="2">
        <v>0.0</v>
      </c>
      <c r="S2382" s="3" t="s">
        <v>9766</v>
      </c>
      <c r="T2382" s="2" t="s">
        <v>9767</v>
      </c>
      <c r="Y2382" s="4" t="str">
        <f>IFERROR(__xludf.DUMMYFUNCTION("""COMPUTED_VALUE"""),"6.9871912")</f>
        <v>6.9871912</v>
      </c>
      <c r="Z2382" s="4" t="str">
        <f>IFERROR(__xludf.DUMMYFUNCTION("""COMPUTED_VALUE"""),"3.6775362")</f>
        <v>3.6775362</v>
      </c>
      <c r="AA2382" s="4" t="str">
        <f t="shared" si="1"/>
        <v>Neighbor</v>
      </c>
      <c r="AC2382" s="4">
        <f>IFERROR(__xludf.DUMMYFUNCTION("IFERROR(ABS(O2382-AVERAGE(FILTER(O2382:O6450,AA2382:AA6450=""Neighbor""))) / STDEV(FILTER(O2382:O6450, AA2382:AA6450 =""Neighbor"")), """")"),0.3322529111593573)</f>
        <v>0.3322529112</v>
      </c>
      <c r="AD2382" s="4">
        <f>IFERROR(__xludf.DUMMYFUNCTION("IFERROR(ABS(P2382-AVERAGE(FILTER(O2382:P6450,AA2382:AA6450=""Neighbor""))) / STDEV(FILTER(P2382:P6450, AA2382:AA6450 =""Neighbor"")), """")"),1.3641675652721807)</f>
        <v>1.364167565</v>
      </c>
      <c r="AE2382" s="2">
        <f>IFERROR(__xludf.DUMMYFUNCTION("IFERROR(ABS(Q2382-AVERAGE(FILTER(Q2382:Q6450,AA2382:AA6450=""Neighbor""))) / STDEV(FILTER(Q2382:Q6450, AA2382:AA6450 =""Neighbor"")), """")"),2.3687478706929004)</f>
        <v>2.368747871</v>
      </c>
      <c r="AF2382" s="2">
        <f>IFERROR(__xludf.DUMMYFUNCTION("IFERROR(ABS(R2382-AVERAGE(FILTER(R2382:R6450,AA2382:AA6450=""Neighbor""))) / STDEV(FILTER(R2382:R6450, AA2382:AA6450 =""Neighbor"")), """")"),0.3452224033960737)</f>
        <v>0.3452224034</v>
      </c>
    </row>
    <row r="2383">
      <c r="A2383" s="2" t="s">
        <v>28</v>
      </c>
      <c r="B2383" s="2" t="s">
        <v>9648</v>
      </c>
      <c r="C2383" s="2" t="s">
        <v>9751</v>
      </c>
      <c r="D2383" s="2" t="s">
        <v>9768</v>
      </c>
      <c r="E2383" s="2" t="s">
        <v>9769</v>
      </c>
      <c r="F2383" s="2">
        <v>98.0</v>
      </c>
      <c r="G2383" s="2">
        <v>447.0</v>
      </c>
      <c r="H2383" s="2" t="b">
        <v>1</v>
      </c>
      <c r="I2383" s="2">
        <v>-1.0</v>
      </c>
      <c r="J2383" s="2" t="b">
        <v>0</v>
      </c>
      <c r="K2383" s="2" t="b">
        <v>0</v>
      </c>
      <c r="L2383" s="2" t="b">
        <v>0</v>
      </c>
      <c r="M2383" s="2" t="b">
        <v>0</v>
      </c>
      <c r="N2383" s="2" t="s">
        <v>33</v>
      </c>
      <c r="O2383" s="2">
        <v>0.0</v>
      </c>
      <c r="P2383" s="2">
        <v>0.0</v>
      </c>
      <c r="Q2383" s="2">
        <v>0.0</v>
      </c>
      <c r="R2383" s="2">
        <v>0.0</v>
      </c>
      <c r="S2383" s="3" t="s">
        <v>9770</v>
      </c>
      <c r="T2383" s="2" t="s">
        <v>9771</v>
      </c>
      <c r="Y2383" s="4" t="str">
        <f>IFERROR(__xludf.DUMMYFUNCTION("""COMPUTED_VALUE"""),"6.9832971")</f>
        <v>6.9832971</v>
      </c>
      <c r="Z2383" s="4" t="str">
        <f>IFERROR(__xludf.DUMMYFUNCTION("""COMPUTED_VALUE"""),"3.6832654")</f>
        <v>3.6832654</v>
      </c>
      <c r="AA2383" s="4" t="str">
        <f t="shared" si="1"/>
        <v>Not Neighbor</v>
      </c>
      <c r="AC2383" s="4">
        <f>IFERROR(__xludf.DUMMYFUNCTION("IFERROR(ABS(O2383-AVERAGE(FILTER(O2383:O6451,AA2383:AA6451=""Neighbor""))) / STDEV(FILTER(O2383:O6451, AA2383:AA6451 =""Neighbor"")), """")"),1.4196596541358764)</f>
        <v>1.419659654</v>
      </c>
      <c r="AD2383" s="4">
        <f>IFERROR(__xludf.DUMMYFUNCTION("IFERROR(ABS(P2383-AVERAGE(FILTER(O2383:P6451,AA2383:AA6451=""Neighbor""))) / STDEV(FILTER(P2383:P6451, AA2383:AA6451 =""Neighbor"")), """")"),1.4937110071099475)</f>
        <v>1.493711007</v>
      </c>
      <c r="AE2383" s="2">
        <f>IFERROR(__xludf.DUMMYFUNCTION("IFERROR(ABS(Q2383-AVERAGE(FILTER(Q2383:Q6451,AA2383:AA6451=""Neighbor""))) / STDEV(FILTER(Q2383:Q6451, AA2383:AA6451 =""Neighbor"")), """")"),0.9355884224954739)</f>
        <v>0.9355884225</v>
      </c>
      <c r="AF2383" s="2">
        <f>IFERROR(__xludf.DUMMYFUNCTION("IFERROR(ABS(R2383-AVERAGE(FILTER(R2383:R6451,AA2383:AA6451=""Neighbor""))) / STDEV(FILTER(R2383:R6451, AA2383:AA6451 =""Neighbor"")), """")"),0.3454980049586623)</f>
        <v>0.345498005</v>
      </c>
    </row>
    <row r="2384">
      <c r="A2384" s="2" t="s">
        <v>28</v>
      </c>
      <c r="B2384" s="2" t="s">
        <v>9648</v>
      </c>
      <c r="C2384" s="2" t="s">
        <v>9751</v>
      </c>
      <c r="D2384" s="2" t="s">
        <v>9772</v>
      </c>
      <c r="E2384" s="2" t="s">
        <v>9773</v>
      </c>
      <c r="F2384" s="2">
        <v>179.0</v>
      </c>
      <c r="G2384" s="2">
        <v>851.0</v>
      </c>
      <c r="H2384" s="2" t="b">
        <v>1</v>
      </c>
      <c r="I2384" s="2">
        <v>-1.0</v>
      </c>
      <c r="J2384" s="2" t="b">
        <v>1</v>
      </c>
      <c r="K2384" s="2" t="b">
        <v>0</v>
      </c>
      <c r="L2384" s="2" t="b">
        <v>0</v>
      </c>
      <c r="M2384" s="2" t="b">
        <v>0</v>
      </c>
      <c r="N2384" s="2" t="s">
        <v>33</v>
      </c>
      <c r="O2384" s="2">
        <v>79.0</v>
      </c>
      <c r="P2384" s="2">
        <v>32.0</v>
      </c>
      <c r="Q2384" s="2">
        <v>63.0</v>
      </c>
      <c r="R2384" s="2">
        <v>1.0</v>
      </c>
      <c r="S2384" s="3" t="s">
        <v>9774</v>
      </c>
      <c r="T2384" s="2" t="s">
        <v>9775</v>
      </c>
      <c r="Y2384" s="4" t="str">
        <f>IFERROR(__xludf.DUMMYFUNCTION("""COMPUTED_VALUE"""),"7.0005006")</f>
        <v>7.0005006</v>
      </c>
      <c r="Z2384" s="4" t="str">
        <f>IFERROR(__xludf.DUMMYFUNCTION("""COMPUTED_VALUE"""),"3.6902166")</f>
        <v>3.6902166</v>
      </c>
      <c r="AA2384" s="4" t="str">
        <f t="shared" si="1"/>
        <v>Neighbor</v>
      </c>
      <c r="AC2384" s="4">
        <f>IFERROR(__xludf.DUMMYFUNCTION("IFERROR(ABS(O2384-AVERAGE(FILTER(O2384:O6452,AA2384:AA6452=""Neighbor""))) / STDEV(FILTER(O2384:O6452, AA2384:AA6452 =""Neighbor"")), """")"),0.7775130774897139)</f>
        <v>0.7775130775</v>
      </c>
      <c r="AD2384" s="4">
        <f>IFERROR(__xludf.DUMMYFUNCTION("IFERROR(ABS(P2384-AVERAGE(FILTER(O2384:P6452,AA2384:AA6452=""Neighbor""))) / STDEV(FILTER(P2384:P6452, AA2384:AA6452 =""Neighbor"")), """")"),0.10680420672599628)</f>
        <v>0.1068042067</v>
      </c>
      <c r="AE2384" s="2">
        <f>IFERROR(__xludf.DUMMYFUNCTION("IFERROR(ABS(Q2384-AVERAGE(FILTER(Q2384:Q6452,AA2384:AA6452=""Neighbor""))) / STDEV(FILTER(Q2384:Q6452, AA2384:AA6452 =""Neighbor"")), """")"),2.4887164519381217)</f>
        <v>2.488716452</v>
      </c>
      <c r="AF2384" s="2">
        <f>IFERROR(__xludf.DUMMYFUNCTION("IFERROR(ABS(R2384-AVERAGE(FILTER(R2384:R6452,AA2384:AA6452=""Neighbor""))) / STDEV(FILTER(R2384:R6452, AA2384:AA6452 =""Neighbor"")), """")"),0.7899414479571294)</f>
        <v>0.789941448</v>
      </c>
    </row>
    <row r="2385">
      <c r="A2385" s="2" t="s">
        <v>28</v>
      </c>
      <c r="B2385" s="2" t="s">
        <v>9648</v>
      </c>
      <c r="C2385" s="2" t="s">
        <v>9751</v>
      </c>
      <c r="D2385" s="2" t="s">
        <v>9776</v>
      </c>
      <c r="E2385" s="2" t="s">
        <v>9777</v>
      </c>
      <c r="F2385" s="2">
        <v>74.0</v>
      </c>
      <c r="G2385" s="2">
        <v>351.0</v>
      </c>
      <c r="H2385" s="2" t="b">
        <v>1</v>
      </c>
      <c r="I2385" s="2">
        <v>-1.0</v>
      </c>
      <c r="J2385" s="2" t="b">
        <v>0</v>
      </c>
      <c r="K2385" s="2" t="b">
        <v>1</v>
      </c>
      <c r="L2385" s="2" t="b">
        <v>0</v>
      </c>
      <c r="M2385" s="2" t="b">
        <v>0</v>
      </c>
      <c r="N2385" s="2" t="s">
        <v>33</v>
      </c>
      <c r="O2385" s="2">
        <v>39.0</v>
      </c>
      <c r="P2385" s="2">
        <v>12.0</v>
      </c>
      <c r="Q2385" s="2">
        <v>21.0</v>
      </c>
      <c r="R2385" s="2">
        <v>0.0</v>
      </c>
      <c r="S2385" s="3" t="s">
        <v>9778</v>
      </c>
      <c r="T2385" s="2" t="s">
        <v>9779</v>
      </c>
      <c r="Y2385" s="4" t="str">
        <f>IFERROR(__xludf.DUMMYFUNCTION("""COMPUTED_VALUE"""),"7.0005006")</f>
        <v>7.0005006</v>
      </c>
      <c r="Z2385" s="4" t="str">
        <f>IFERROR(__xludf.DUMMYFUNCTION("""COMPUTED_VALUE"""),"3.6902166")</f>
        <v>3.6902166</v>
      </c>
      <c r="AA2385" s="4" t="str">
        <f t="shared" si="1"/>
        <v>Neighbor</v>
      </c>
      <c r="AC2385" s="4">
        <f>IFERROR(__xludf.DUMMYFUNCTION("IFERROR(ABS(O2385-AVERAGE(FILTER(O2385:O6453,AA2385:AA6453=""Neighbor""))) / STDEV(FILTER(O2385:O6453, AA2385:AA6453 =""Neighbor"")), """")"),0.3337727883312081)</f>
        <v>0.3337727883</v>
      </c>
      <c r="AD2385" s="4">
        <f>IFERROR(__xludf.DUMMYFUNCTION("IFERROR(ABS(P2385-AVERAGE(FILTER(O2385:P6453,AA2385:AA6453=""Neighbor""))) / STDEV(FILTER(P2385:P6453, AA2385:AA6453 =""Neighbor"")), """")"),0.9718815095728958)</f>
        <v>0.9718815096</v>
      </c>
      <c r="AE2385" s="2">
        <f>IFERROR(__xludf.DUMMYFUNCTION("IFERROR(ABS(Q2385-AVERAGE(FILTER(Q2385:Q6453,AA2385:AA6453=""Neighbor""))) / STDEV(FILTER(Q2385:Q6453, AA2385:AA6453 =""Neighbor"")), """")"),0.21019173243070127)</f>
        <v>0.2101917324</v>
      </c>
      <c r="AF2385" s="2">
        <f>IFERROR(__xludf.DUMMYFUNCTION("IFERROR(ABS(R2385-AVERAGE(FILTER(R2385:R6453,AA2385:AA6453=""Neighbor""))) / STDEV(FILTER(R2385:R6453, AA2385:AA6453 =""Neighbor"")), """")"),0.34427540969928744)</f>
        <v>0.3442754097</v>
      </c>
    </row>
    <row r="2386">
      <c r="A2386" s="2" t="s">
        <v>28</v>
      </c>
      <c r="B2386" s="2" t="s">
        <v>9648</v>
      </c>
      <c r="C2386" s="2" t="s">
        <v>9751</v>
      </c>
      <c r="D2386" s="2" t="s">
        <v>9780</v>
      </c>
      <c r="E2386" s="2" t="s">
        <v>9781</v>
      </c>
      <c r="F2386" s="2">
        <v>129.0</v>
      </c>
      <c r="G2386" s="2">
        <v>495.0</v>
      </c>
      <c r="H2386" s="2" t="b">
        <v>1</v>
      </c>
      <c r="I2386" s="2">
        <v>-1.0</v>
      </c>
      <c r="J2386" s="2" t="b">
        <v>0</v>
      </c>
      <c r="K2386" s="2" t="b">
        <v>0</v>
      </c>
      <c r="L2386" s="2" t="b">
        <v>0</v>
      </c>
      <c r="M2386" s="2" t="b">
        <v>0</v>
      </c>
      <c r="N2386" s="2" t="s">
        <v>33</v>
      </c>
      <c r="O2386" s="2">
        <v>71.0</v>
      </c>
      <c r="P2386" s="2">
        <v>15.0</v>
      </c>
      <c r="Q2386" s="2">
        <v>33.0</v>
      </c>
      <c r="R2386" s="2">
        <v>0.0</v>
      </c>
      <c r="S2386" s="3" t="s">
        <v>9782</v>
      </c>
      <c r="T2386" s="2" t="s">
        <v>9783</v>
      </c>
      <c r="Y2386" s="4" t="str">
        <f>IFERROR(__xludf.DUMMYFUNCTION("""COMPUTED_VALUE"""),"7.0005006")</f>
        <v>7.0005006</v>
      </c>
      <c r="Z2386" s="4" t="str">
        <f>IFERROR(__xludf.DUMMYFUNCTION("""COMPUTED_VALUE"""),"3.6902166")</f>
        <v>3.6902166</v>
      </c>
      <c r="AA2386" s="4" t="str">
        <f t="shared" si="1"/>
        <v>Not Neighbor</v>
      </c>
      <c r="AC2386" s="4">
        <f>IFERROR(__xludf.DUMMYFUNCTION("IFERROR(ABS(O2386-AVERAGE(FILTER(O2386:O6454,AA2386:AA6454=""Neighbor""))) / STDEV(FILTER(O2386:O6454, AA2386:AA6454 =""Neighbor"")), """")"),0.5551378836479604)</f>
        <v>0.5551378836</v>
      </c>
      <c r="AD2386" s="4">
        <f>IFERROR(__xludf.DUMMYFUNCTION("IFERROR(ABS(P2386-AVERAGE(FILTER(O2386:P6454,AA2386:AA6454=""Neighbor""))) / STDEV(FILTER(P2386:P6454, AA2386:AA6454 =""Neighbor"")), """")"),0.8419069602285012)</f>
        <v>0.8419069602</v>
      </c>
      <c r="AE2386" s="2">
        <f>IFERROR(__xludf.DUMMYFUNCTION("IFERROR(ABS(Q2386-AVERAGE(FILTER(Q2386:Q6454,AA2386:AA6454=""Neighbor""))) / STDEV(FILTER(Q2386:Q6454, AA2386:AA6454 =""Neighbor"")), """")"),0.8645932871643519)</f>
        <v>0.8645932872</v>
      </c>
      <c r="AF2386" s="2">
        <f>IFERROR(__xludf.DUMMYFUNCTION("IFERROR(ABS(R2386-AVERAGE(FILTER(R2386:R6454,AA2386:AA6454=""Neighbor""))) / STDEV(FILTER(R2386:R6454, AA2386:AA6454 =""Neighbor"")), """")"),0.344550880284355)</f>
        <v>0.3445508803</v>
      </c>
    </row>
    <row r="2387">
      <c r="A2387" s="2" t="s">
        <v>28</v>
      </c>
      <c r="B2387" s="2" t="s">
        <v>9648</v>
      </c>
      <c r="C2387" s="2" t="s">
        <v>9784</v>
      </c>
      <c r="D2387" s="2" t="s">
        <v>9785</v>
      </c>
      <c r="E2387" s="2" t="s">
        <v>9786</v>
      </c>
      <c r="F2387" s="2">
        <v>45.0</v>
      </c>
      <c r="G2387" s="2">
        <v>175.0</v>
      </c>
      <c r="H2387" s="2" t="b">
        <v>1</v>
      </c>
      <c r="I2387" s="2">
        <v>-1.0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s">
        <v>33</v>
      </c>
      <c r="O2387" s="2">
        <v>35.0</v>
      </c>
      <c r="P2387" s="2">
        <v>2.0</v>
      </c>
      <c r="Q2387" s="2">
        <v>8.0</v>
      </c>
      <c r="R2387" s="2">
        <v>0.0</v>
      </c>
      <c r="S2387" s="3" t="s">
        <v>9787</v>
      </c>
      <c r="T2387" s="2" t="s">
        <v>9788</v>
      </c>
      <c r="Y2387" s="4" t="str">
        <f>IFERROR(__xludf.DUMMYFUNCTION("""COMPUTED_VALUE"""),"7.024302")</f>
        <v>7.024302</v>
      </c>
      <c r="Z2387" s="4" t="str">
        <f>IFERROR(__xludf.DUMMYFUNCTION("""COMPUTED_VALUE"""),"3.7333537")</f>
        <v>3.7333537</v>
      </c>
      <c r="AA2387" s="4" t="str">
        <f t="shared" si="1"/>
        <v>Neighbor</v>
      </c>
      <c r="AC2387" s="4">
        <f>IFERROR(__xludf.DUMMYFUNCTION("IFERROR(ABS(O2387-AVERAGE(FILTER(O2387:O6455,AA2387:AA6455=""Neighbor""))) / STDEV(FILTER(O2387:O6455, AA2387:AA6455 =""Neighbor"")), """")"),0.4451851525876759)</f>
        <v>0.4451851526</v>
      </c>
      <c r="AD2387" s="4">
        <f>IFERROR(__xludf.DUMMYFUNCTION("IFERROR(ABS(P2387-AVERAGE(FILTER(O2387:P6455,AA2387:AA6455=""Neighbor""))) / STDEV(FILTER(P2387:P6455, AA2387:AA6455 =""Neighbor"")), """")"),1.4047081799952184)</f>
        <v>1.40470818</v>
      </c>
      <c r="AE2387" s="2">
        <f>IFERROR(__xludf.DUMMYFUNCTION("IFERROR(ABS(Q2387-AVERAGE(FILTER(Q2387:Q6455,AA2387:AA6455=""Neighbor""))) / STDEV(FILTER(Q2387:Q6455, AA2387:AA6455 =""Neighbor"")), """")"),0.4984162765738303)</f>
        <v>0.4984162766</v>
      </c>
      <c r="AF2387" s="2">
        <f>IFERROR(__xludf.DUMMYFUNCTION("IFERROR(ABS(R2387-AVERAGE(FILTER(R2387:R6455,AA2387:AA6455=""Neighbor""))) / STDEV(FILTER(R2387:R6455, AA2387:AA6455 =""Neighbor"")), """")"),0.344550880284355)</f>
        <v>0.3445508803</v>
      </c>
    </row>
    <row r="2388">
      <c r="A2388" s="2" t="s">
        <v>28</v>
      </c>
      <c r="B2388" s="2" t="s">
        <v>9648</v>
      </c>
      <c r="C2388" s="2" t="s">
        <v>9784</v>
      </c>
      <c r="D2388" s="2" t="s">
        <v>9789</v>
      </c>
      <c r="E2388" s="2" t="s">
        <v>9790</v>
      </c>
      <c r="F2388" s="2">
        <v>31.0</v>
      </c>
      <c r="G2388" s="2">
        <v>124.0</v>
      </c>
      <c r="H2388" s="2" t="b">
        <v>1</v>
      </c>
      <c r="I2388" s="2">
        <v>-1.0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s">
        <v>33</v>
      </c>
      <c r="O2388" s="2">
        <v>21.0</v>
      </c>
      <c r="P2388" s="2">
        <v>2.0</v>
      </c>
      <c r="Q2388" s="2">
        <v>5.0</v>
      </c>
      <c r="R2388" s="2">
        <v>0.0</v>
      </c>
      <c r="S2388" s="3" t="s">
        <v>9791</v>
      </c>
      <c r="T2388" s="2" t="s">
        <v>9792</v>
      </c>
      <c r="Y2388" s="4" t="str">
        <f>IFERROR(__xludf.DUMMYFUNCTION("""COMPUTED_VALUE"""),"7.024302")</f>
        <v>7.024302</v>
      </c>
      <c r="Z2388" s="4" t="str">
        <f>IFERROR(__xludf.DUMMYFUNCTION("""COMPUTED_VALUE"""),"3.7333537")</f>
        <v>3.7333537</v>
      </c>
      <c r="AA2388" s="4" t="str">
        <f t="shared" si="1"/>
        <v>Neighbor</v>
      </c>
      <c r="AC2388" s="4">
        <f>IFERROR(__xludf.DUMMYFUNCTION("IFERROR(ABS(O2388-AVERAGE(FILTER(O2388:O6456,AA2388:AA6456=""Neighbor""))) / STDEV(FILTER(O2388:O6456, AA2388:AA6456 =""Neighbor"")), """")"),0.8343580903413527)</f>
        <v>0.8343580903</v>
      </c>
      <c r="AD2388" s="4">
        <f>IFERROR(__xludf.DUMMYFUNCTION("IFERROR(ABS(P2388-AVERAGE(FILTER(O2388:P6456,AA2388:AA6456=""Neighbor""))) / STDEV(FILTER(P2388:P6456, AA2388:AA6456 =""Neighbor"")), """")"),1.405166665914387)</f>
        <v>1.405166666</v>
      </c>
      <c r="AE2388" s="2">
        <f>IFERROR(__xludf.DUMMYFUNCTION("IFERROR(ABS(Q2388-AVERAGE(FILTER(Q2388:Q6456,AA2388:AA6456=""Neighbor""))) / STDEV(FILTER(Q2388:Q6456, AA2388:AA6456 =""Neighbor"")), """")"),0.6623351641374534)</f>
        <v>0.6623351641</v>
      </c>
      <c r="AF2388" s="2">
        <f>IFERROR(__xludf.DUMMYFUNCTION("IFERROR(ABS(R2388-AVERAGE(FILTER(R2388:R6456,AA2388:AA6456=""Neighbor""))) / STDEV(FILTER(R2388:R6456, AA2388:AA6456 =""Neighbor"")), """")"),0.3448270132988831)</f>
        <v>0.3448270133</v>
      </c>
    </row>
    <row r="2389">
      <c r="A2389" s="2" t="s">
        <v>28</v>
      </c>
      <c r="B2389" s="2" t="s">
        <v>9648</v>
      </c>
      <c r="C2389" s="2" t="s">
        <v>9784</v>
      </c>
      <c r="D2389" s="2" t="s">
        <v>9793</v>
      </c>
      <c r="E2389" s="2" t="s">
        <v>9794</v>
      </c>
      <c r="F2389" s="2">
        <v>98.0</v>
      </c>
      <c r="G2389" s="2">
        <v>266.0</v>
      </c>
      <c r="H2389" s="2" t="b">
        <v>1</v>
      </c>
      <c r="I2389" s="2">
        <v>-1.0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s">
        <v>33</v>
      </c>
      <c r="O2389" s="2">
        <v>56.0</v>
      </c>
      <c r="P2389" s="2">
        <v>10.0</v>
      </c>
      <c r="Q2389" s="2">
        <v>22.0</v>
      </c>
      <c r="R2389" s="2">
        <v>0.0</v>
      </c>
      <c r="S2389" s="3" t="s">
        <v>9795</v>
      </c>
      <c r="T2389" s="2" t="s">
        <v>9796</v>
      </c>
      <c r="Y2389" s="4" t="str">
        <f>IFERROR(__xludf.DUMMYFUNCTION("""COMPUTED_VALUE"""),"7.024302")</f>
        <v>7.024302</v>
      </c>
      <c r="Z2389" s="4" t="str">
        <f>IFERROR(__xludf.DUMMYFUNCTION("""COMPUTED_VALUE"""),"3.7333537")</f>
        <v>3.7333537</v>
      </c>
      <c r="AA2389" s="4" t="str">
        <f t="shared" si="1"/>
        <v>Neighbor</v>
      </c>
      <c r="AC2389" s="4">
        <f>IFERROR(__xludf.DUMMYFUNCTION("IFERROR(ABS(O2389-AVERAGE(FILTER(O2389:O6457,AA2389:AA6457=""Neighbor""))) / STDEV(FILTER(O2389:O6457, AA2389:AA6457 =""Neighbor"")), """")"),0.13639018001517017)</f>
        <v>0.13639018</v>
      </c>
      <c r="AD2389" s="4">
        <f>IFERROR(__xludf.DUMMYFUNCTION("IFERROR(ABS(P2389-AVERAGE(FILTER(O2389:P6457,AA2389:AA6457=""Neighbor""))) / STDEV(FILTER(P2389:P6457, AA2389:AA6457 =""Neighbor"")), """")"),1.0599856145266633)</f>
        <v>1.059985615</v>
      </c>
      <c r="AE2389" s="2">
        <f>IFERROR(__xludf.DUMMYFUNCTION("IFERROR(ABS(Q2389-AVERAGE(FILTER(Q2389:Q6457,AA2389:AA6457=""Neighbor""))) / STDEV(FILTER(Q2389:Q6457, AA2389:AA6457 =""Neighbor"")), """")"),0.26295387289132677)</f>
        <v>0.2629538729</v>
      </c>
      <c r="AF2389" s="2">
        <f>IFERROR(__xludf.DUMMYFUNCTION("IFERROR(ABS(R2389-AVERAGE(FILTER(R2389:R6457,AA2389:AA6457=""Neighbor""))) / STDEV(FILTER(R2389:R6457, AA2389:AA6457 =""Neighbor"")), """")"),0.3451038114024843)</f>
        <v>0.3451038114</v>
      </c>
    </row>
    <row r="2390">
      <c r="A2390" s="2" t="s">
        <v>28</v>
      </c>
      <c r="B2390" s="2" t="s">
        <v>9648</v>
      </c>
      <c r="C2390" s="2" t="s">
        <v>9784</v>
      </c>
      <c r="D2390" s="2" t="s">
        <v>9797</v>
      </c>
      <c r="E2390" s="2" t="s">
        <v>9798</v>
      </c>
      <c r="F2390" s="2">
        <v>82.0</v>
      </c>
      <c r="G2390" s="2">
        <v>390.0</v>
      </c>
      <c r="H2390" s="2" t="b">
        <v>1</v>
      </c>
      <c r="I2390" s="2">
        <v>-1.0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s">
        <v>33</v>
      </c>
      <c r="O2390" s="2">
        <v>25.0</v>
      </c>
      <c r="P2390" s="2">
        <v>4.0</v>
      </c>
      <c r="Q2390" s="2">
        <v>43.0</v>
      </c>
      <c r="R2390" s="2">
        <v>0.0</v>
      </c>
      <c r="S2390" s="3" t="s">
        <v>9799</v>
      </c>
      <c r="T2390" s="2" t="s">
        <v>9800</v>
      </c>
      <c r="Y2390" s="4" t="str">
        <f>IFERROR(__xludf.DUMMYFUNCTION("""COMPUTED_VALUE"""),"7.024302")</f>
        <v>7.024302</v>
      </c>
      <c r="Z2390" s="4" t="str">
        <f>IFERROR(__xludf.DUMMYFUNCTION("""COMPUTED_VALUE"""),"3.7333537")</f>
        <v>3.7333537</v>
      </c>
      <c r="AA2390" s="4" t="str">
        <f t="shared" si="1"/>
        <v>Not Neighbor</v>
      </c>
      <c r="AC2390" s="4">
        <f>IFERROR(__xludf.DUMMYFUNCTION("IFERROR(ABS(O2390-AVERAGE(FILTER(O2390:O6458,AA2390:AA6458=""Neighbor""))) / STDEV(FILTER(O2390:O6458, AA2390:AA6458 =""Neighbor"")), """")"),0.7236083437788873)</f>
        <v>0.7236083438</v>
      </c>
      <c r="AD2390" s="4">
        <f>IFERROR(__xludf.DUMMYFUNCTION("IFERROR(ABS(P2390-AVERAGE(FILTER(O2390:P6458,AA2390:AA6458=""Neighbor""))) / STDEV(FILTER(P2390:P6458, AA2390:AA6458 =""Neighbor"")), """")"),1.318798793857972)</f>
        <v>1.318798794</v>
      </c>
      <c r="AE2390" s="2">
        <f>IFERROR(__xludf.DUMMYFUNCTION("IFERROR(ABS(Q2390-AVERAGE(FILTER(Q2390:Q6458,AA2390:AA6458=""Neighbor""))) / STDEV(FILTER(Q2390:Q6458, AA2390:AA6458 =""Neighbor"")), """")"),1.4062389005317038)</f>
        <v>1.406238901</v>
      </c>
      <c r="AF2390" s="2">
        <f>IFERROR(__xludf.DUMMYFUNCTION("IFERROR(ABS(R2390-AVERAGE(FILTER(R2390:R6458,AA2390:AA6458=""Neighbor""))) / STDEV(FILTER(R2390:R6458, AA2390:AA6458 =""Neighbor"")), """")"),0.3453812772697468)</f>
        <v>0.3453812773</v>
      </c>
    </row>
    <row r="2391">
      <c r="A2391" s="2" t="s">
        <v>28</v>
      </c>
      <c r="B2391" s="2" t="s">
        <v>9648</v>
      </c>
      <c r="C2391" s="2" t="s">
        <v>9784</v>
      </c>
      <c r="D2391" s="2" t="s">
        <v>9801</v>
      </c>
      <c r="E2391" s="2" t="s">
        <v>9802</v>
      </c>
      <c r="F2391" s="2">
        <v>88.0</v>
      </c>
      <c r="G2391" s="2">
        <v>360.0</v>
      </c>
      <c r="H2391" s="2" t="b">
        <v>1</v>
      </c>
      <c r="I2391" s="2">
        <v>-1.0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s">
        <v>33</v>
      </c>
      <c r="O2391" s="2">
        <v>50.0</v>
      </c>
      <c r="P2391" s="2">
        <v>4.0</v>
      </c>
      <c r="Q2391" s="2">
        <v>28.0</v>
      </c>
      <c r="R2391" s="2">
        <v>0.0</v>
      </c>
      <c r="S2391" s="3" t="s">
        <v>9803</v>
      </c>
      <c r="T2391" s="2" t="s">
        <v>9804</v>
      </c>
      <c r="Y2391" s="4" t="str">
        <f>IFERROR(__xludf.DUMMYFUNCTION("""COMPUTED_VALUE"""),"7.007651")</f>
        <v>7.007651</v>
      </c>
      <c r="Z2391" s="4" t="str">
        <f>IFERROR(__xludf.DUMMYFUNCTION("""COMPUTED_VALUE"""),"3.7647455")</f>
        <v>3.7647455</v>
      </c>
      <c r="AA2391" s="4" t="str">
        <f t="shared" si="1"/>
        <v>Not Neighbor</v>
      </c>
      <c r="AC2391" s="4">
        <f>IFERROR(__xludf.DUMMYFUNCTION("IFERROR(ABS(O2391-AVERAGE(FILTER(O2391:O6459,AA2391:AA6459=""Neighbor""))) / STDEV(FILTER(O2391:O6459, AA2391:AA6459 =""Neighbor"")), """")"),0.029980683337633422)</f>
        <v>0.02998068334</v>
      </c>
      <c r="AD2391" s="4">
        <f>IFERROR(__xludf.DUMMYFUNCTION("IFERROR(ABS(P2391-AVERAGE(FILTER(O2391:P6459,AA2391:AA6459=""Neighbor""))) / STDEV(FILTER(P2391:P6459, AA2391:AA6459 =""Neighbor"")), """")"),1.318798793857972)</f>
        <v>1.318798794</v>
      </c>
      <c r="AE2391" s="2">
        <f>IFERROR(__xludf.DUMMYFUNCTION("IFERROR(ABS(Q2391-AVERAGE(FILTER(Q2391:Q6459,AA2391:AA6459=""Neighbor""))) / STDEV(FILTER(Q2391:Q6459, AA2391:AA6459 =""Neighbor"")), """")"),0.5897509841828866)</f>
        <v>0.5897509842</v>
      </c>
      <c r="AF2391" s="2">
        <f>IFERROR(__xludf.DUMMYFUNCTION("IFERROR(ABS(R2391-AVERAGE(FILTER(R2391:R6459,AA2391:AA6459=""Neighbor""))) / STDEV(FILTER(R2391:R6459, AA2391:AA6459 =""Neighbor"")), """")"),0.3453812772697468)</f>
        <v>0.3453812773</v>
      </c>
    </row>
    <row r="2392">
      <c r="A2392" s="2" t="s">
        <v>28</v>
      </c>
      <c r="B2392" s="2" t="s">
        <v>9648</v>
      </c>
      <c r="C2392" s="2" t="s">
        <v>9784</v>
      </c>
      <c r="D2392" s="2" t="s">
        <v>9805</v>
      </c>
      <c r="E2392" s="2" t="s">
        <v>9806</v>
      </c>
      <c r="F2392" s="2">
        <v>10.0</v>
      </c>
      <c r="G2392" s="2">
        <v>97.0</v>
      </c>
      <c r="H2392" s="2" t="b">
        <v>1</v>
      </c>
      <c r="I2392" s="2">
        <v>-1.0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s">
        <v>33</v>
      </c>
      <c r="O2392" s="2">
        <v>6.0</v>
      </c>
      <c r="P2392" s="2">
        <v>1.0</v>
      </c>
      <c r="Q2392" s="2">
        <v>3.0</v>
      </c>
      <c r="R2392" s="2">
        <v>0.0</v>
      </c>
      <c r="S2392" s="3" t="s">
        <v>9807</v>
      </c>
      <c r="T2392" s="2" t="s">
        <v>9808</v>
      </c>
      <c r="Y2392" s="4" t="str">
        <f>IFERROR(__xludf.DUMMYFUNCTION("""COMPUTED_VALUE"""),"7.024302")</f>
        <v>7.024302</v>
      </c>
      <c r="Z2392" s="4" t="str">
        <f>IFERROR(__xludf.DUMMYFUNCTION("""COMPUTED_VALUE"""),"3.7333537")</f>
        <v>3.7333537</v>
      </c>
      <c r="AA2392" s="4" t="str">
        <f t="shared" si="1"/>
        <v>Not Neighbor</v>
      </c>
      <c r="AC2392" s="4">
        <f>IFERROR(__xludf.DUMMYFUNCTION("IFERROR(ABS(O2392-AVERAGE(FILTER(O2392:O6460,AA2392:AA6460=""Neighbor""))) / STDEV(FILTER(O2392:O6460, AA2392:AA6460 =""Neighbor"")), """")"),1.2507653657142404)</f>
        <v>1.250765366</v>
      </c>
      <c r="AD2392" s="4">
        <f>IFERROR(__xludf.DUMMYFUNCTION("IFERROR(ABS(P2392-AVERAGE(FILTER(O2392:P6460,AA2392:AA6460=""Neighbor""))) / STDEV(FILTER(P2392:P6460, AA2392:AA6460 =""Neighbor"")), """")"),1.448495293324689)</f>
        <v>1.448495293</v>
      </c>
      <c r="AE2392" s="2">
        <f>IFERROR(__xludf.DUMMYFUNCTION("IFERROR(ABS(Q2392-AVERAGE(FILTER(Q2392:Q6460,AA2392:AA6460=""Neighbor""))) / STDEV(FILTER(Q2392:Q6460, AA2392:AA6460 =""Neighbor"")), """")"),0.7710622097318088)</f>
        <v>0.7710622097</v>
      </c>
      <c r="AF2392" s="2">
        <f>IFERROR(__xludf.DUMMYFUNCTION("IFERROR(ABS(R2392-AVERAGE(FILTER(R2392:R6460,AA2392:AA6460=""Neighbor""))) / STDEV(FILTER(R2392:R6460, AA2392:AA6460 =""Neighbor"")), """")"),0.3453812772697468)</f>
        <v>0.3453812773</v>
      </c>
    </row>
    <row r="2393">
      <c r="A2393" s="2" t="s">
        <v>28</v>
      </c>
      <c r="B2393" s="2" t="s">
        <v>9648</v>
      </c>
      <c r="C2393" s="2" t="s">
        <v>9784</v>
      </c>
      <c r="D2393" s="2" t="s">
        <v>9809</v>
      </c>
      <c r="E2393" s="2" t="s">
        <v>9810</v>
      </c>
      <c r="F2393" s="2">
        <v>34.0</v>
      </c>
      <c r="G2393" s="2">
        <v>242.0</v>
      </c>
      <c r="H2393" s="2" t="b">
        <v>1</v>
      </c>
      <c r="I2393" s="2">
        <v>-1.0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s">
        <v>33</v>
      </c>
      <c r="O2393" s="2">
        <v>14.0</v>
      </c>
      <c r="P2393" s="2">
        <v>0.0</v>
      </c>
      <c r="Q2393" s="2">
        <v>17.0</v>
      </c>
      <c r="R2393" s="2">
        <v>0.0</v>
      </c>
      <c r="S2393" s="3" t="s">
        <v>9811</v>
      </c>
      <c r="T2393" s="2" t="s">
        <v>9812</v>
      </c>
      <c r="Y2393" s="4" t="str">
        <f>IFERROR(__xludf.DUMMYFUNCTION("""COMPUTED_VALUE"""),"7.1127506")</f>
        <v>7.1127506</v>
      </c>
      <c r="Z2393" s="4" t="str">
        <f>IFERROR(__xludf.DUMMYFUNCTION("""COMPUTED_VALUE"""),"3.6450572")</f>
        <v>3.6450572</v>
      </c>
      <c r="AA2393" s="4" t="str">
        <f t="shared" si="1"/>
        <v>Not Neighbor</v>
      </c>
      <c r="AC2393" s="4">
        <f>IFERROR(__xludf.DUMMYFUNCTION("IFERROR(ABS(O2393-AVERAGE(FILTER(O2393:O6461,AA2393:AA6461=""Neighbor""))) / STDEV(FILTER(O2393:O6461, AA2393:AA6461 =""Neighbor"")), """")"),1.028804514373039)</f>
        <v>1.028804514</v>
      </c>
      <c r="AD2393" s="4">
        <f>IFERROR(__xludf.DUMMYFUNCTION("IFERROR(ABS(P2393-AVERAGE(FILTER(O2393:P6461,AA2393:AA6461=""Neighbor""))) / STDEV(FILTER(P2393:P6461, AA2393:AA6461 =""Neighbor"")), """")"),1.4917274598135948)</f>
        <v>1.49172746</v>
      </c>
      <c r="AE2393" s="2">
        <f>IFERROR(__xludf.DUMMYFUNCTION("IFERROR(ABS(Q2393-AVERAGE(FILTER(Q2393:Q6461,AA2393:AA6461=""Neighbor""))) / STDEV(FILTER(Q2393:Q6461, AA2393:AA6461 =""Neighbor"")), """")"),0.009006821139579367)</f>
        <v>0.00900682114</v>
      </c>
      <c r="AF2393" s="2">
        <f>IFERROR(__xludf.DUMMYFUNCTION("IFERROR(ABS(R2393-AVERAGE(FILTER(R2393:R6461,AA2393:AA6461=""Neighbor""))) / STDEV(FILTER(R2393:R6461, AA2393:AA6461 =""Neighbor"")), """")"),0.3453812772697468)</f>
        <v>0.3453812773</v>
      </c>
    </row>
    <row r="2394">
      <c r="A2394" s="2" t="s">
        <v>28</v>
      </c>
      <c r="B2394" s="2" t="s">
        <v>9648</v>
      </c>
      <c r="C2394" s="2" t="s">
        <v>9784</v>
      </c>
      <c r="D2394" s="2" t="s">
        <v>9813</v>
      </c>
      <c r="E2394" s="2" t="s">
        <v>9814</v>
      </c>
      <c r="F2394" s="2">
        <v>13.0</v>
      </c>
      <c r="G2394" s="2">
        <v>144.0</v>
      </c>
      <c r="H2394" s="2" t="b">
        <v>1</v>
      </c>
      <c r="I2394" s="2">
        <v>-1.0</v>
      </c>
      <c r="J2394" s="2" t="b">
        <v>1</v>
      </c>
      <c r="K2394" s="2" t="b">
        <v>0</v>
      </c>
      <c r="L2394" s="2" t="b">
        <v>0</v>
      </c>
      <c r="M2394" s="2" t="b">
        <v>0</v>
      </c>
      <c r="N2394" s="2" t="s">
        <v>33</v>
      </c>
      <c r="O2394" s="2">
        <v>4.0</v>
      </c>
      <c r="P2394" s="2">
        <v>1.0</v>
      </c>
      <c r="Q2394" s="2">
        <v>8.0</v>
      </c>
      <c r="R2394" s="2">
        <v>0.0</v>
      </c>
      <c r="S2394" s="3" t="s">
        <v>9815</v>
      </c>
      <c r="T2394" s="2" t="s">
        <v>9816</v>
      </c>
      <c r="Y2394" s="4" t="str">
        <f>IFERROR(__xludf.DUMMYFUNCTION("""COMPUTED_VALUE"""),"7.024302")</f>
        <v>7.024302</v>
      </c>
      <c r="Z2394" s="4" t="str">
        <f>IFERROR(__xludf.DUMMYFUNCTION("""COMPUTED_VALUE"""),"3.7333537")</f>
        <v>3.7333537</v>
      </c>
      <c r="AA2394" s="4" t="str">
        <f t="shared" si="1"/>
        <v>Neighbor</v>
      </c>
      <c r="AC2394" s="4">
        <f>IFERROR(__xludf.DUMMYFUNCTION("IFERROR(ABS(O2394-AVERAGE(FILTER(O2394:O6462,AA2394:AA6462=""Neighbor""))) / STDEV(FILTER(O2394:O6462, AA2394:AA6462 =""Neighbor"")), """")"),1.3062555785495407)</f>
        <v>1.306255579</v>
      </c>
      <c r="AD2394" s="4">
        <f>IFERROR(__xludf.DUMMYFUNCTION("IFERROR(ABS(P2394-AVERAGE(FILTER(O2394:P6462,AA2394:AA6462=""Neighbor""))) / STDEV(FILTER(P2394:P6462, AA2394:AA6462 =""Neighbor"")), """")"),1.448495293324689)</f>
        <v>1.448495293</v>
      </c>
      <c r="AE2394" s="2">
        <f>IFERROR(__xludf.DUMMYFUNCTION("IFERROR(ABS(Q2394-AVERAGE(FILTER(Q2394:Q6462,AA2394:AA6462=""Neighbor""))) / STDEV(FILTER(Q2394:Q6462, AA2394:AA6462 =""Neighbor"")), """")"),0.4988995709488697)</f>
        <v>0.4988995709</v>
      </c>
      <c r="AF2394" s="2">
        <f>IFERROR(__xludf.DUMMYFUNCTION("IFERROR(ABS(R2394-AVERAGE(FILTER(R2394:R6462,AA2394:AA6462=""Neighbor""))) / STDEV(FILTER(R2394:R6462, AA2394:AA6462 =""Neighbor"")), """")"),0.3453812772697468)</f>
        <v>0.3453812773</v>
      </c>
    </row>
    <row r="2395">
      <c r="A2395" s="2" t="s">
        <v>28</v>
      </c>
      <c r="B2395" s="2" t="s">
        <v>9648</v>
      </c>
      <c r="C2395" s="2" t="s">
        <v>9784</v>
      </c>
      <c r="D2395" s="2" t="s">
        <v>9817</v>
      </c>
      <c r="E2395" s="2" t="s">
        <v>9818</v>
      </c>
      <c r="F2395" s="2">
        <v>22.0</v>
      </c>
      <c r="G2395" s="2">
        <v>139.0</v>
      </c>
      <c r="H2395" s="2" t="b">
        <v>1</v>
      </c>
      <c r="I2395" s="2">
        <v>-1.0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s">
        <v>33</v>
      </c>
      <c r="O2395" s="2">
        <v>7.0</v>
      </c>
      <c r="P2395" s="2">
        <v>1.0</v>
      </c>
      <c r="Q2395" s="2">
        <v>13.0</v>
      </c>
      <c r="R2395" s="2">
        <v>0.0</v>
      </c>
      <c r="S2395" s="3" t="s">
        <v>9819</v>
      </c>
      <c r="T2395" s="2" t="s">
        <v>9820</v>
      </c>
      <c r="Y2395" s="4" t="str">
        <f>IFERROR(__xludf.DUMMYFUNCTION("""COMPUTED_VALUE"""),"7.024302")</f>
        <v>7.024302</v>
      </c>
      <c r="Z2395" s="4" t="str">
        <f>IFERROR(__xludf.DUMMYFUNCTION("""COMPUTED_VALUE"""),"3.7333537")</f>
        <v>3.7333537</v>
      </c>
      <c r="AA2395" s="4" t="str">
        <f t="shared" si="1"/>
        <v>Neighbor</v>
      </c>
      <c r="AC2395" s="4">
        <f>IFERROR(__xludf.DUMMYFUNCTION("IFERROR(ABS(O2395-AVERAGE(FILTER(O2395:O6463,AA2395:AA6463=""Neighbor""))) / STDEV(FILTER(O2395:O6463, AA2395:AA6463 =""Neighbor"")), """")"),1.2255293342683669)</f>
        <v>1.225529334</v>
      </c>
      <c r="AD2395" s="4">
        <f>IFERROR(__xludf.DUMMYFUNCTION("IFERROR(ABS(P2395-AVERAGE(FILTER(O2395:P6463,AA2395:AA6463=""Neighbor""))) / STDEV(FILTER(P2395:P6463, AA2395:AA6463 =""Neighbor"")), """")"),1.450004143458354)</f>
        <v>1.450004143</v>
      </c>
      <c r="AE2395" s="2">
        <f>IFERROR(__xludf.DUMMYFUNCTION("IFERROR(ABS(Q2395-AVERAGE(FILTER(Q2395:Q6463,AA2395:AA6463=""Neighbor""))) / STDEV(FILTER(Q2395:Q6463, AA2395:AA6463 =""Neighbor"")), """")"),0.22733270395802727)</f>
        <v>0.227332704</v>
      </c>
      <c r="AF2395" s="2">
        <f>IFERROR(__xludf.DUMMYFUNCTION("IFERROR(ABS(R2395-AVERAGE(FILTER(R2395:R6463,AA2395:AA6463=""Neighbor""))) / STDEV(FILTER(R2395:R6463, AA2395:AA6463 =""Neighbor"")), """")"),0.34565941359034263)</f>
        <v>0.3456594136</v>
      </c>
    </row>
    <row r="2396">
      <c r="A2396" s="2" t="s">
        <v>28</v>
      </c>
      <c r="B2396" s="2" t="s">
        <v>9648</v>
      </c>
      <c r="C2396" s="2" t="s">
        <v>9784</v>
      </c>
      <c r="D2396" s="2" t="s">
        <v>9821</v>
      </c>
      <c r="E2396" s="2" t="s">
        <v>9822</v>
      </c>
      <c r="F2396" s="2">
        <v>16.0</v>
      </c>
      <c r="G2396" s="2">
        <v>45.0</v>
      </c>
      <c r="H2396" s="2" t="b">
        <v>1</v>
      </c>
      <c r="I2396" s="2">
        <v>-1.0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s">
        <v>33</v>
      </c>
      <c r="O2396" s="2">
        <v>8.0</v>
      </c>
      <c r="P2396" s="2">
        <v>0.0</v>
      </c>
      <c r="Q2396" s="2">
        <v>8.0</v>
      </c>
      <c r="R2396" s="2">
        <v>0.0</v>
      </c>
      <c r="S2396" s="3" t="s">
        <v>9823</v>
      </c>
      <c r="T2396" s="2" t="s">
        <v>9824</v>
      </c>
      <c r="Y2396" s="4" t="str">
        <f>IFERROR(__xludf.DUMMYFUNCTION("""COMPUTED_VALUE"""),"7.024302")</f>
        <v>7.024302</v>
      </c>
      <c r="Z2396" s="4" t="str">
        <f>IFERROR(__xludf.DUMMYFUNCTION("""COMPUTED_VALUE"""),"3.7333537")</f>
        <v>3.7333537</v>
      </c>
      <c r="AA2396" s="4" t="str">
        <f t="shared" si="1"/>
        <v>Neighbor</v>
      </c>
      <c r="AC2396" s="4">
        <f>IFERROR(__xludf.DUMMYFUNCTION("IFERROR(ABS(O2396-AVERAGE(FILTER(O2396:O6464,AA2396:AA6464=""Neighbor""))) / STDEV(FILTER(O2396:O6464, AA2396:AA6464 =""Neighbor"")), """")"),1.1999756119685852)</f>
        <v>1.199975612</v>
      </c>
      <c r="AD2396" s="4">
        <f>IFERROR(__xludf.DUMMYFUNCTION("IFERROR(ABS(P2396-AVERAGE(FILTER(O2396:P6464,AA2396:AA6464=""Neighbor""))) / STDEV(FILTER(P2396:P6464, AA2396:AA6464 =""Neighbor"")), """")"),1.4946278878009034)</f>
        <v>1.494627888</v>
      </c>
      <c r="AE2396" s="2">
        <f>IFERROR(__xludf.DUMMYFUNCTION("IFERROR(ABS(Q2396-AVERAGE(FILTER(Q2396:Q6464,AA2396:AA6464=""Neighbor""))) / STDEV(FILTER(Q2396:Q6464, AA2396:AA6464 =""Neighbor"")), """")"),0.49933408346669444)</f>
        <v>0.4993340835</v>
      </c>
      <c r="AF2396" s="2">
        <f>IFERROR(__xludf.DUMMYFUNCTION("IFERROR(ABS(R2396-AVERAGE(FILTER(R2396:R6464,AA2396:AA6464=""Neighbor""))) / STDEV(FILTER(R2396:R6464, AA2396:AA6464 =""Neighbor"")), """")"),0.34593822306913796)</f>
        <v>0.3459382231</v>
      </c>
    </row>
    <row r="2397">
      <c r="A2397" s="2" t="s">
        <v>28</v>
      </c>
      <c r="B2397" s="2" t="s">
        <v>9648</v>
      </c>
      <c r="C2397" s="2" t="s">
        <v>9784</v>
      </c>
      <c r="D2397" s="2" t="s">
        <v>9825</v>
      </c>
      <c r="E2397" s="2" t="s">
        <v>9826</v>
      </c>
      <c r="F2397" s="2">
        <v>37.0</v>
      </c>
      <c r="G2397" s="2">
        <v>335.0</v>
      </c>
      <c r="H2397" s="2" t="b">
        <v>1</v>
      </c>
      <c r="I2397" s="2">
        <v>-1.0</v>
      </c>
      <c r="J2397" s="2" t="b">
        <v>1</v>
      </c>
      <c r="K2397" s="2" t="b">
        <v>0</v>
      </c>
      <c r="L2397" s="2" t="b">
        <v>0</v>
      </c>
      <c r="M2397" s="2" t="b">
        <v>0</v>
      </c>
      <c r="N2397" s="2" t="s">
        <v>33</v>
      </c>
      <c r="O2397" s="2">
        <v>23.0</v>
      </c>
      <c r="P2397" s="2">
        <v>2.0</v>
      </c>
      <c r="Q2397" s="2">
        <v>10.0</v>
      </c>
      <c r="R2397" s="2">
        <v>0.0</v>
      </c>
      <c r="S2397" s="3" t="s">
        <v>9827</v>
      </c>
      <c r="T2397" s="2" t="s">
        <v>9828</v>
      </c>
      <c r="Y2397" s="4" t="str">
        <f>IFERROR(__xludf.DUMMYFUNCTION("""COMPUTED_VALUE"""),"7.024302")</f>
        <v>7.024302</v>
      </c>
      <c r="Z2397" s="4" t="str">
        <f>IFERROR(__xludf.DUMMYFUNCTION("""COMPUTED_VALUE"""),"3.7333537")</f>
        <v>3.7333537</v>
      </c>
      <c r="AA2397" s="4" t="str">
        <f t="shared" si="1"/>
        <v>Neighbor</v>
      </c>
      <c r="AC2397" s="4">
        <f>IFERROR(__xludf.DUMMYFUNCTION("IFERROR(ABS(O2397-AVERAGE(FILTER(O2397:O6465,AA2397:AA6465=""Neighbor""))) / STDEV(FILTER(O2397:O6465, AA2397:AA6465 =""Neighbor"")), """")"),0.7854196075849764)</f>
        <v>0.7854196076</v>
      </c>
      <c r="AD2397" s="4">
        <f>IFERROR(__xludf.DUMMYFUNCTION("IFERROR(ABS(P2397-AVERAGE(FILTER(O2397:P6465,AA2397:AA6465=""Neighbor""))) / STDEV(FILTER(P2397:P6465, AA2397:AA6465 =""Neighbor"")), """")"),1.4097277452912256)</f>
        <v>1.409727745</v>
      </c>
      <c r="AE2397" s="2">
        <f>IFERROR(__xludf.DUMMYFUNCTION("IFERROR(ABS(Q2397-AVERAGE(FILTER(Q2397:Q6465,AA2397:AA6465=""Neighbor""))) / STDEV(FILTER(Q2397:Q6465, AA2397:AA6465 =""Neighbor"")), """")"),0.3911117189189348)</f>
        <v>0.3911117189</v>
      </c>
      <c r="AF2397" s="2">
        <f>IFERROR(__xludf.DUMMYFUNCTION("IFERROR(ABS(R2397-AVERAGE(FILTER(R2397:R6465,AA2397:AA6465=""Neighbor""))) / STDEV(FILTER(R2397:R6465, AA2397:AA6465 =""Neighbor"")), """")"),0.34621770842630295)</f>
        <v>0.3462177084</v>
      </c>
    </row>
    <row r="2398">
      <c r="A2398" s="2" t="s">
        <v>28</v>
      </c>
      <c r="B2398" s="2" t="s">
        <v>9648</v>
      </c>
      <c r="C2398" s="2" t="s">
        <v>9784</v>
      </c>
      <c r="D2398" s="2" t="s">
        <v>9829</v>
      </c>
      <c r="E2398" s="2" t="s">
        <v>9830</v>
      </c>
      <c r="F2398" s="2">
        <v>24.0</v>
      </c>
      <c r="G2398" s="2">
        <v>123.0</v>
      </c>
      <c r="H2398" s="2" t="b">
        <v>1</v>
      </c>
      <c r="I2398" s="2">
        <v>-1.0</v>
      </c>
      <c r="J2398" s="2" t="b">
        <v>0</v>
      </c>
      <c r="K2398" s="2" t="b">
        <v>0</v>
      </c>
      <c r="L2398" s="2" t="b">
        <v>0</v>
      </c>
      <c r="M2398" s="2" t="b">
        <v>0</v>
      </c>
      <c r="N2398" s="2" t="s">
        <v>33</v>
      </c>
      <c r="O2398" s="2">
        <v>13.0</v>
      </c>
      <c r="P2398" s="2">
        <v>3.0</v>
      </c>
      <c r="Q2398" s="2">
        <v>5.0</v>
      </c>
      <c r="R2398" s="2">
        <v>0.0</v>
      </c>
      <c r="S2398" s="3" t="s">
        <v>9831</v>
      </c>
      <c r="T2398" s="2" t="s">
        <v>9832</v>
      </c>
      <c r="Y2398" s="4" t="str">
        <f>IFERROR(__xludf.DUMMYFUNCTION("""COMPUTED_VALUE"""),"7.024302")</f>
        <v>7.024302</v>
      </c>
      <c r="Z2398" s="4" t="str">
        <f>IFERROR(__xludf.DUMMYFUNCTION("""COMPUTED_VALUE"""),"3.7333537")</f>
        <v>3.7333537</v>
      </c>
      <c r="AA2398" s="4" t="str">
        <f t="shared" si="1"/>
        <v>Neighbor</v>
      </c>
      <c r="AC2398" s="4">
        <f>IFERROR(__xludf.DUMMYFUNCTION("IFERROR(ABS(O2398-AVERAGE(FILTER(O2398:O6466,AA2398:AA6466=""Neighbor""))) / STDEV(FILTER(O2398:O6466, AA2398:AA6466 =""Neighbor"")), """")"),1.0640446552902956)</f>
        <v>1.064044655</v>
      </c>
      <c r="AD2398" s="4">
        <f>IFERROR(__xludf.DUMMYFUNCTION("IFERROR(ABS(P2398-AVERAGE(FILTER(O2398:P6466,AA2398:AA6466=""Neighbor""))) / STDEV(FILTER(P2398:P6466, AA2398:AA6466 =""Neighbor"")), """")"),1.3674040198303157)</f>
        <v>1.36740402</v>
      </c>
      <c r="AE2398" s="2">
        <f>IFERROR(__xludf.DUMMYFUNCTION("IFERROR(ABS(Q2398-AVERAGE(FILTER(Q2398:Q6466,AA2398:AA6466=""Neighbor""))) / STDEV(FILTER(Q2398:Q6466, AA2398:AA6466 =""Neighbor"")), """")"),0.6629527437844502)</f>
        <v>0.6629527438</v>
      </c>
      <c r="AF2398" s="2">
        <f>IFERROR(__xludf.DUMMYFUNCTION("IFERROR(ABS(R2398-AVERAGE(FILTER(R2398:R6466,AA2398:AA6466=""Neighbor""))) / STDEV(FILTER(R2398:R6466, AA2398:AA6466 =""Neighbor"")), """")"),0.34649787239742363)</f>
        <v>0.3464978724</v>
      </c>
    </row>
    <row r="2399">
      <c r="A2399" s="2" t="s">
        <v>28</v>
      </c>
      <c r="B2399" s="2" t="s">
        <v>9648</v>
      </c>
      <c r="C2399" s="2" t="s">
        <v>9784</v>
      </c>
      <c r="D2399" s="2" t="s">
        <v>9833</v>
      </c>
      <c r="E2399" s="2" t="s">
        <v>9834</v>
      </c>
      <c r="F2399" s="2">
        <v>16.0</v>
      </c>
      <c r="G2399" s="2">
        <v>66.0</v>
      </c>
      <c r="H2399" s="2" t="b">
        <v>1</v>
      </c>
      <c r="I2399" s="2">
        <v>-1.0</v>
      </c>
      <c r="J2399" s="2" t="b">
        <v>0</v>
      </c>
      <c r="K2399" s="2" t="b">
        <v>0</v>
      </c>
      <c r="L2399" s="2" t="b">
        <v>0</v>
      </c>
      <c r="M2399" s="2" t="b">
        <v>0</v>
      </c>
      <c r="N2399" s="2" t="s">
        <v>33</v>
      </c>
      <c r="O2399" s="2">
        <v>8.0</v>
      </c>
      <c r="P2399" s="2">
        <v>1.0</v>
      </c>
      <c r="Q2399" s="2">
        <v>5.0</v>
      </c>
      <c r="R2399" s="2">
        <v>0.0</v>
      </c>
      <c r="S2399" s="3" t="s">
        <v>9835</v>
      </c>
      <c r="T2399" s="2" t="s">
        <v>9836</v>
      </c>
      <c r="Y2399" s="4" t="str">
        <f>IFERROR(__xludf.DUMMYFUNCTION("""COMPUTED_VALUE"""),"7.024302")</f>
        <v>7.024302</v>
      </c>
      <c r="Z2399" s="4" t="str">
        <f>IFERROR(__xludf.DUMMYFUNCTION("""COMPUTED_VALUE"""),"3.7333537")</f>
        <v>3.7333537</v>
      </c>
      <c r="AA2399" s="4" t="str">
        <f t="shared" si="1"/>
        <v>Neighbor</v>
      </c>
      <c r="AC2399" s="4">
        <f>IFERROR(__xludf.DUMMYFUNCTION("IFERROR(ABS(O2399-AVERAGE(FILTER(O2399:O6467,AA2399:AA6467=""Neighbor""))) / STDEV(FILTER(O2399:O6467, AA2399:AA6467 =""Neighbor"")), """")"),1.2045568269033429)</f>
        <v>1.204556827</v>
      </c>
      <c r="AD2399" s="4">
        <f>IFERROR(__xludf.DUMMYFUNCTION("IFERROR(ABS(P2399-AVERAGE(FILTER(O2399:P6467,AA2399:AA6467=""Neighbor""))) / STDEV(FILTER(P2399:P6467, AA2399:AA6467 =""Neighbor"")), """")"),1.4548115551429763)</f>
        <v>1.454811555</v>
      </c>
      <c r="AE2399" s="2">
        <f>IFERROR(__xludf.DUMMYFUNCTION("IFERROR(ABS(Q2399-AVERAGE(FILTER(Q2399:Q6467,AA2399:AA6467=""Neighbor""))) / STDEV(FILTER(Q2399:Q6467, AA2399:AA6467 =""Neighbor"")), """")"),0.6636439729646697)</f>
        <v>0.663643973</v>
      </c>
      <c r="AF2399" s="2">
        <f>IFERROR(__xludf.DUMMYFUNCTION("IFERROR(ABS(R2399-AVERAGE(FILTER(R2399:R6467,AA2399:AA6467=""Neighbor""))) / STDEV(FILTER(R2399:R6467, AA2399:AA6467 =""Neighbor"")), """")"),0.3467787177336143)</f>
        <v>0.3467787177</v>
      </c>
    </row>
    <row r="2400">
      <c r="A2400" s="2" t="s">
        <v>28</v>
      </c>
      <c r="B2400" s="2" t="s">
        <v>9648</v>
      </c>
      <c r="C2400" s="2" t="s">
        <v>9784</v>
      </c>
      <c r="D2400" s="2" t="s">
        <v>9837</v>
      </c>
      <c r="E2400" s="2" t="s">
        <v>9838</v>
      </c>
      <c r="F2400" s="2">
        <v>26.0</v>
      </c>
      <c r="G2400" s="2">
        <v>85.0</v>
      </c>
      <c r="H2400" s="2" t="b">
        <v>1</v>
      </c>
      <c r="I2400" s="2">
        <v>-1.0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s">
        <v>33</v>
      </c>
      <c r="O2400" s="2">
        <v>14.0</v>
      </c>
      <c r="P2400" s="2">
        <v>0.0</v>
      </c>
      <c r="Q2400" s="2">
        <v>11.0</v>
      </c>
      <c r="R2400" s="2">
        <v>0.0</v>
      </c>
      <c r="S2400" s="3" t="s">
        <v>9839</v>
      </c>
      <c r="T2400" s="2" t="s">
        <v>9840</v>
      </c>
      <c r="Y2400" s="4" t="str">
        <f>IFERROR(__xludf.DUMMYFUNCTION("""COMPUTED_VALUE"""),"7.024302")</f>
        <v>7.024302</v>
      </c>
      <c r="Z2400" s="4" t="str">
        <f>IFERROR(__xludf.DUMMYFUNCTION("""COMPUTED_VALUE"""),"3.7333537")</f>
        <v>3.7333537</v>
      </c>
      <c r="AA2400" s="4" t="str">
        <f t="shared" si="1"/>
        <v>Neighbor</v>
      </c>
      <c r="AC2400" s="4">
        <f>IFERROR(__xludf.DUMMYFUNCTION("IFERROR(ABS(O2400-AVERAGE(FILTER(O2400:O6468,AA2400:AA6468=""Neighbor""))) / STDEV(FILTER(O2400:O6468, AA2400:AA6468 =""Neighbor"")), """")"),1.0400076982835889)</f>
        <v>1.040007698</v>
      </c>
      <c r="AD2400" s="4">
        <f>IFERROR(__xludf.DUMMYFUNCTION("IFERROR(ABS(P2400-AVERAGE(FILTER(O2400:P6468,AA2400:AA6468=""Neighbor""))) / STDEV(FILTER(P2400:P6468, AA2400:AA6468 =""Neighbor"")), """")"),1.4993615064301673)</f>
        <v>1.499361506</v>
      </c>
      <c r="AE2400" s="2">
        <f>IFERROR(__xludf.DUMMYFUNCTION("IFERROR(ABS(Q2400-AVERAGE(FILTER(Q2400:Q6468,AA2400:AA6468=""Neighbor""))) / STDEV(FILTER(Q2400:Q6468, AA2400:AA6468 =""Neighbor"")), """")"),0.33878370844108036)</f>
        <v>0.3387837084</v>
      </c>
      <c r="AF2400" s="2">
        <f>IFERROR(__xludf.DUMMYFUNCTION("IFERROR(ABS(R2400-AVERAGE(FILTER(R2400:R6468,AA2400:AA6468=""Neighbor""))) / STDEV(FILTER(R2400:R6468, AA2400:AA6468 =""Neighbor"")), """")"),0.34706024720163137)</f>
        <v>0.3470602472</v>
      </c>
    </row>
    <row r="2401">
      <c r="A2401" s="2" t="s">
        <v>28</v>
      </c>
      <c r="B2401" s="2" t="s">
        <v>9648</v>
      </c>
      <c r="C2401" s="2" t="s">
        <v>9784</v>
      </c>
      <c r="D2401" s="2" t="s">
        <v>9841</v>
      </c>
      <c r="E2401" s="2" t="s">
        <v>9842</v>
      </c>
      <c r="F2401" s="2">
        <v>22.0</v>
      </c>
      <c r="G2401" s="2">
        <v>102.0</v>
      </c>
      <c r="H2401" s="2" t="b">
        <v>1</v>
      </c>
      <c r="I2401" s="2">
        <v>-1.0</v>
      </c>
      <c r="J2401" s="2" t="b">
        <v>0</v>
      </c>
      <c r="K2401" s="2" t="b">
        <v>0</v>
      </c>
      <c r="L2401" s="2" t="b">
        <v>0</v>
      </c>
      <c r="M2401" s="2" t="b">
        <v>0</v>
      </c>
      <c r="N2401" s="2" t="s">
        <v>33</v>
      </c>
      <c r="O2401" s="2">
        <v>10.0</v>
      </c>
      <c r="P2401" s="2">
        <v>0.0</v>
      </c>
      <c r="Q2401" s="2">
        <v>10.0</v>
      </c>
      <c r="R2401" s="2">
        <v>0.0</v>
      </c>
      <c r="S2401" s="3" t="s">
        <v>9843</v>
      </c>
      <c r="T2401" s="2" t="s">
        <v>9844</v>
      </c>
      <c r="Y2401" s="4" t="str">
        <f>IFERROR(__xludf.DUMMYFUNCTION("""COMPUTED_VALUE"""),"7.024302")</f>
        <v>7.024302</v>
      </c>
      <c r="Z2401" s="4" t="str">
        <f>IFERROR(__xludf.DUMMYFUNCTION("""COMPUTED_VALUE"""),"3.7333537")</f>
        <v>3.7333537</v>
      </c>
      <c r="AA2401" s="4" t="str">
        <f t="shared" si="1"/>
        <v>Neighbor</v>
      </c>
      <c r="AC2401" s="4">
        <f>IFERROR(__xludf.DUMMYFUNCTION("IFERROR(ABS(O2401-AVERAGE(FILTER(O2401:O6469,AA2401:AA6469=""Neighbor""))) / STDEV(FILTER(O2401:O6469, AA2401:AA6469 =""Neighbor"")), """")"),1.1527189851323694)</f>
        <v>1.152718985</v>
      </c>
      <c r="AD2401" s="4">
        <f>IFERROR(__xludf.DUMMYFUNCTION("IFERROR(ABS(P2401-AVERAGE(FILTER(O2401:P6469,AA2401:AA6469=""Neighbor""))) / STDEV(FILTER(P2401:P6469, AA2401:AA6469 =""Neighbor"")), """")"),1.5006747648602399)</f>
        <v>1.500674765</v>
      </c>
      <c r="AE2401" s="2">
        <f>IFERROR(__xludf.DUMMYFUNCTION("IFERROR(ABS(Q2401-AVERAGE(FILTER(Q2401:Q6469,AA2401:AA6469=""Neighbor""))) / STDEV(FILTER(Q2401:Q6469, AA2401:AA6469 =""Neighbor"")), """")"),0.3932818201695474)</f>
        <v>0.3932818202</v>
      </c>
      <c r="AF2401" s="2">
        <f>IFERROR(__xludf.DUMMYFUNCTION("IFERROR(ABS(R2401-AVERAGE(FILTER(R2401:R6469,AA2401:AA6469=""Neighbor""))) / STDEV(FILTER(R2401:R6469, AA2401:AA6469 =""Neighbor"")), """")"),0.34734246358398735)</f>
        <v>0.3473424636</v>
      </c>
    </row>
    <row r="2402">
      <c r="A2402" s="2" t="s">
        <v>28</v>
      </c>
      <c r="B2402" s="2" t="s">
        <v>9648</v>
      </c>
      <c r="C2402" s="2" t="s">
        <v>9784</v>
      </c>
      <c r="D2402" s="2" t="s">
        <v>9845</v>
      </c>
      <c r="E2402" s="2" t="s">
        <v>9846</v>
      </c>
      <c r="F2402" s="2">
        <v>11.0</v>
      </c>
      <c r="G2402" s="2">
        <v>112.0</v>
      </c>
      <c r="H2402" s="2" t="b">
        <v>1</v>
      </c>
      <c r="I2402" s="2">
        <v>-1.0</v>
      </c>
      <c r="J2402" s="2" t="b">
        <v>0</v>
      </c>
      <c r="K2402" s="2" t="b">
        <v>0</v>
      </c>
      <c r="L2402" s="2" t="b">
        <v>0</v>
      </c>
      <c r="M2402" s="2" t="b">
        <v>0</v>
      </c>
      <c r="N2402" s="2" t="s">
        <v>33</v>
      </c>
      <c r="O2402" s="2">
        <v>5.0</v>
      </c>
      <c r="P2402" s="2">
        <v>0.0</v>
      </c>
      <c r="Q2402" s="2">
        <v>4.0</v>
      </c>
      <c r="R2402" s="2">
        <v>0.0</v>
      </c>
      <c r="S2402" s="3" t="s">
        <v>9847</v>
      </c>
      <c r="T2402" s="2" t="s">
        <v>9848</v>
      </c>
      <c r="Y2402" s="4" t="str">
        <f>IFERROR(__xludf.DUMMYFUNCTION("""COMPUTED_VALUE"""),"7.024302")</f>
        <v>7.024302</v>
      </c>
      <c r="Z2402" s="4" t="str">
        <f>IFERROR(__xludf.DUMMYFUNCTION("""COMPUTED_VALUE"""),"3.7333537")</f>
        <v>3.7333537</v>
      </c>
      <c r="AA2402" s="4" t="str">
        <f t="shared" si="1"/>
        <v>Neighbor</v>
      </c>
      <c r="AC2402" s="4">
        <f>IFERROR(__xludf.DUMMYFUNCTION("IFERROR(ABS(O2402-AVERAGE(FILTER(O2402:O6470,AA2402:AA6470=""Neighbor""))) / STDEV(FILTER(O2402:O6470, AA2402:AA6470 =""Neighbor"")), """")"),1.293629460322734)</f>
        <v>1.29362946</v>
      </c>
      <c r="AD2402" s="4">
        <f>IFERROR(__xludf.DUMMYFUNCTION("IFERROR(ABS(P2402-AVERAGE(FILTER(O2402:P6470,AA2402:AA6470=""Neighbor""))) / STDEV(FILTER(P2402:P6470, AA2402:AA6470 =""Neighbor"")), """")"),1.5021186790717589)</f>
        <v>1.502118679</v>
      </c>
      <c r="AE2402" s="2">
        <f>IFERROR(__xludf.DUMMYFUNCTION("IFERROR(ABS(Q2402-AVERAGE(FILTER(Q2402:Q6470,AA2402:AA6470=""Neighbor""))) / STDEV(FILTER(Q2402:Q6470, AA2402:AA6470 =""Neighbor"")), """")"),0.7187558495095663)</f>
        <v>0.7187558495</v>
      </c>
      <c r="AF2402" s="2">
        <f>IFERROR(__xludf.DUMMYFUNCTION("IFERROR(ABS(R2402-AVERAGE(FILTER(R2402:R6470,AA2402:AA6470=""Neighbor""))) / STDEV(FILTER(R2402:R6470, AA2402:AA6470 =""Neighbor"")), """")"),0.3476253696790673)</f>
        <v>0.3476253697</v>
      </c>
    </row>
    <row r="2403">
      <c r="A2403" s="2" t="s">
        <v>28</v>
      </c>
      <c r="B2403" s="2" t="s">
        <v>9648</v>
      </c>
      <c r="C2403" s="2" t="s">
        <v>9784</v>
      </c>
      <c r="D2403" s="2" t="s">
        <v>9849</v>
      </c>
      <c r="E2403" s="2" t="s">
        <v>9850</v>
      </c>
      <c r="F2403" s="2">
        <v>15.0</v>
      </c>
      <c r="G2403" s="2">
        <v>153.0</v>
      </c>
      <c r="H2403" s="2" t="b">
        <v>1</v>
      </c>
      <c r="I2403" s="2">
        <v>-1.0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s">
        <v>33</v>
      </c>
      <c r="O2403" s="2">
        <v>0.0</v>
      </c>
      <c r="P2403" s="2">
        <v>0.0</v>
      </c>
      <c r="Q2403" s="2">
        <v>0.0</v>
      </c>
      <c r="R2403" s="2">
        <v>0.0</v>
      </c>
      <c r="S2403" s="3" t="s">
        <v>9851</v>
      </c>
      <c r="T2403" s="2" t="s">
        <v>9852</v>
      </c>
      <c r="Y2403" s="4" t="str">
        <f>IFERROR(__xludf.DUMMYFUNCTION("""COMPUTED_VALUE"""),"7.024302")</f>
        <v>7.024302</v>
      </c>
      <c r="Z2403" s="4" t="str">
        <f>IFERROR(__xludf.DUMMYFUNCTION("""COMPUTED_VALUE"""),"3.7333537")</f>
        <v>3.7333537</v>
      </c>
      <c r="AA2403" s="4" t="str">
        <f t="shared" si="1"/>
        <v>Not Neighbor</v>
      </c>
      <c r="AC2403" s="4">
        <f>IFERROR(__xludf.DUMMYFUNCTION("IFERROR(ABS(O2403-AVERAGE(FILTER(O2403:O6471,AA2403:AA6471=""Neighbor""))) / STDEV(FILTER(O2403:O6471, AA2403:AA6471 =""Neighbor"")), """")"),1.4351776917608554)</f>
        <v>1.435177692</v>
      </c>
      <c r="AD2403" s="4">
        <f>IFERROR(__xludf.DUMMYFUNCTION("IFERROR(ABS(P2403-AVERAGE(FILTER(O2403:P6471,AA2403:AA6471=""Neighbor""))) / STDEV(FILTER(P2403:P6471, AA2403:AA6471 =""Neighbor"")), """")"),1.5037251398600333)</f>
        <v>1.50372514</v>
      </c>
      <c r="AE2403" s="2">
        <f>IFERROR(__xludf.DUMMYFUNCTION("IFERROR(ABS(Q2403-AVERAGE(FILTER(Q2403:Q6471,AA2403:AA6471=""Neighbor""))) / STDEV(FILTER(Q2403:Q6471, AA2403:AA6471 =""Neighbor"")), """")"),0.9362364590238055)</f>
        <v>0.936236459</v>
      </c>
      <c r="AF2403" s="2">
        <f>IFERROR(__xludf.DUMMYFUNCTION("IFERROR(ABS(R2403-AVERAGE(FILTER(R2403:R6471,AA2403:AA6471=""Neighbor""))) / STDEV(FILTER(R2403:R6471, AA2403:AA6471 =""Neighbor"")), """")"),0.3479089683012441)</f>
        <v>0.3479089683</v>
      </c>
    </row>
    <row r="2404">
      <c r="A2404" s="2" t="s">
        <v>28</v>
      </c>
      <c r="B2404" s="2" t="s">
        <v>9648</v>
      </c>
      <c r="C2404" s="2" t="s">
        <v>9853</v>
      </c>
      <c r="D2404" s="2" t="s">
        <v>9854</v>
      </c>
      <c r="E2404" s="2" t="s">
        <v>9855</v>
      </c>
      <c r="F2404" s="2">
        <v>145.0</v>
      </c>
      <c r="G2404" s="2">
        <v>1179.0</v>
      </c>
      <c r="H2404" s="2" t="b">
        <v>1</v>
      </c>
      <c r="I2404" s="2">
        <v>-1.0</v>
      </c>
      <c r="J2404" s="2" t="b">
        <v>0</v>
      </c>
      <c r="K2404" s="2" t="b">
        <v>0</v>
      </c>
      <c r="L2404" s="2" t="b">
        <v>0</v>
      </c>
      <c r="M2404" s="2" t="b">
        <v>0</v>
      </c>
      <c r="N2404" s="2" t="s">
        <v>33</v>
      </c>
      <c r="O2404" s="2">
        <v>57.0</v>
      </c>
      <c r="P2404" s="2">
        <v>21.0</v>
      </c>
      <c r="Q2404" s="2">
        <v>44.0</v>
      </c>
      <c r="R2404" s="2">
        <v>0.0</v>
      </c>
      <c r="S2404" s="3" t="s">
        <v>9856</v>
      </c>
      <c r="T2404" s="2" t="s">
        <v>9857</v>
      </c>
      <c r="Y2404" s="4" t="str">
        <f>IFERROR(__xludf.DUMMYFUNCTION("""COMPUTED_VALUE"""),"6.9318828")</f>
        <v>6.9318828</v>
      </c>
      <c r="Z2404" s="4" t="str">
        <f>IFERROR(__xludf.DUMMYFUNCTION("""COMPUTED_VALUE"""),"3.7244696")</f>
        <v>3.7244696</v>
      </c>
      <c r="AA2404" s="4" t="str">
        <f t="shared" si="1"/>
        <v>Neighbor</v>
      </c>
      <c r="AC2404" s="4">
        <f>IFERROR(__xludf.DUMMYFUNCTION("IFERROR(ABS(O2404-AVERAGE(FILTER(O2404:O6472,AA2404:AA6472=""Neighbor""))) / STDEV(FILTER(O2404:O6472, AA2404:AA6472 =""Neighbor"")), """")"),0.14968260091143049)</f>
        <v>0.1496826009</v>
      </c>
      <c r="AD2404" s="4">
        <f>IFERROR(__xludf.DUMMYFUNCTION("IFERROR(ABS(P2404-AVERAGE(FILTER(O2404:P6472,AA2404:AA6472=""Neighbor""))) / STDEV(FILTER(P2404:P6472, AA2404:AA6472 =""Neighbor"")), """")"),0.5985116358349762)</f>
        <v>0.5985116358</v>
      </c>
      <c r="AE2404" s="2">
        <f>IFERROR(__xludf.DUMMYFUNCTION("IFERROR(ABS(Q2404-AVERAGE(FILTER(Q2404:Q6472,AA2404:AA6472=""Neighbor""))) / STDEV(FILTER(Q2404:Q6472, AA2404:AA6472 =""Neighbor"")), """")"),1.4473129066285682)</f>
        <v>1.447312907</v>
      </c>
      <c r="AF2404" s="2">
        <f>IFERROR(__xludf.DUMMYFUNCTION("IFERROR(ABS(R2404-AVERAGE(FILTER(R2404:R6472,AA2404:AA6472=""Neighbor""))) / STDEV(FILTER(R2404:R6472, AA2404:AA6472 =""Neighbor"")), """")"),0.3479089683012441)</f>
        <v>0.3479089683</v>
      </c>
    </row>
    <row r="2405">
      <c r="A2405" s="2" t="s">
        <v>28</v>
      </c>
      <c r="B2405" s="2" t="s">
        <v>9648</v>
      </c>
      <c r="C2405" s="2" t="s">
        <v>9853</v>
      </c>
      <c r="D2405" s="2" t="s">
        <v>9858</v>
      </c>
      <c r="E2405" s="2" t="s">
        <v>9859</v>
      </c>
      <c r="F2405" s="2">
        <v>127.0</v>
      </c>
      <c r="G2405" s="2">
        <v>875.0</v>
      </c>
      <c r="H2405" s="2" t="b">
        <v>1</v>
      </c>
      <c r="I2405" s="2">
        <v>-1.0</v>
      </c>
      <c r="J2405" s="2" t="b">
        <v>0</v>
      </c>
      <c r="K2405" s="2" t="b">
        <v>1</v>
      </c>
      <c r="L2405" s="2" t="b">
        <v>0</v>
      </c>
      <c r="M2405" s="2" t="b">
        <v>0</v>
      </c>
      <c r="N2405" s="2" t="s">
        <v>33</v>
      </c>
      <c r="O2405" s="2">
        <v>53.0</v>
      </c>
      <c r="P2405" s="2">
        <v>19.0</v>
      </c>
      <c r="Q2405" s="2">
        <v>39.0</v>
      </c>
      <c r="R2405" s="2">
        <v>0.0</v>
      </c>
      <c r="S2405" s="3" t="s">
        <v>9860</v>
      </c>
      <c r="T2405" s="2" t="s">
        <v>9861</v>
      </c>
      <c r="Y2405" s="4" t="str">
        <f>IFERROR(__xludf.DUMMYFUNCTION("""COMPUTED_VALUE"""),"6.9318828")</f>
        <v>6.9318828</v>
      </c>
      <c r="Z2405" s="4" t="str">
        <f>IFERROR(__xludf.DUMMYFUNCTION("""COMPUTED_VALUE"""),"3.7244696")</f>
        <v>3.7244696</v>
      </c>
      <c r="AA2405" s="4" t="str">
        <f t="shared" si="1"/>
        <v>Neighbor</v>
      </c>
      <c r="AC2405" s="4">
        <f>IFERROR(__xludf.DUMMYFUNCTION("IFERROR(ABS(O2405-AVERAGE(FILTER(O2405:O6473,AA2405:AA6473=""Neighbor""))) / STDEV(FILTER(O2405:O6473, AA2405:AA6473 =""Neighbor"")), """")"),0.038655236628759436)</f>
        <v>0.03865523663</v>
      </c>
      <c r="AD2405" s="4">
        <f>IFERROR(__xludf.DUMMYFUNCTION("IFERROR(ABS(P2405-AVERAGE(FILTER(O2405:P6473,AA2405:AA6473=""Neighbor""))) / STDEV(FILTER(P2405:P6473, AA2405:AA6473 =""Neighbor"")), """")"),0.6839712273435975)</f>
        <v>0.6839712273</v>
      </c>
      <c r="AE2405" s="2">
        <f>IFERROR(__xludf.DUMMYFUNCTION("IFERROR(ABS(Q2405-AVERAGE(FILTER(Q2405:Q6473,AA2405:AA6473=""Neighbor""))) / STDEV(FILTER(Q2405:Q6473, AA2405:AA6473 =""Neighbor"")), """")"),1.1795147895779332)</f>
        <v>1.17951479</v>
      </c>
      <c r="AF2405" s="2">
        <f>IFERROR(__xludf.DUMMYFUNCTION("IFERROR(ABS(R2405-AVERAGE(FILTER(R2405:R6473,AA2405:AA6473=""Neighbor""))) / STDEV(FILTER(R2405:R6473, AA2405:AA6473 =""Neighbor"")), """")"),0.3481932622809973)</f>
        <v>0.3481932623</v>
      </c>
    </row>
    <row r="2406">
      <c r="A2406" s="2" t="s">
        <v>28</v>
      </c>
      <c r="B2406" s="2" t="s">
        <v>9648</v>
      </c>
      <c r="C2406" s="2" t="s">
        <v>9853</v>
      </c>
      <c r="D2406" s="2" t="s">
        <v>9862</v>
      </c>
      <c r="E2406" s="2" t="s">
        <v>9863</v>
      </c>
      <c r="F2406" s="2">
        <v>95.0</v>
      </c>
      <c r="G2406" s="2">
        <v>699.0</v>
      </c>
      <c r="H2406" s="2" t="b">
        <v>1</v>
      </c>
      <c r="I2406" s="2">
        <v>-1.0</v>
      </c>
      <c r="J2406" s="2" t="b">
        <v>0</v>
      </c>
      <c r="K2406" s="2" t="b">
        <v>0</v>
      </c>
      <c r="L2406" s="2" t="b">
        <v>0</v>
      </c>
      <c r="M2406" s="2" t="b">
        <v>0</v>
      </c>
      <c r="N2406" s="2" t="s">
        <v>33</v>
      </c>
      <c r="O2406" s="2">
        <v>52.0</v>
      </c>
      <c r="P2406" s="2">
        <v>15.0</v>
      </c>
      <c r="Q2406" s="2">
        <v>23.0</v>
      </c>
      <c r="R2406" s="2">
        <v>0.0</v>
      </c>
      <c r="S2406" s="3" t="s">
        <v>9864</v>
      </c>
      <c r="T2406" s="2" t="s">
        <v>9865</v>
      </c>
      <c r="Y2406" s="4" t="str">
        <f>IFERROR(__xludf.DUMMYFUNCTION("""COMPUTED_VALUE"""),"6.9318828")</f>
        <v>6.9318828</v>
      </c>
      <c r="Z2406" s="4" t="str">
        <f>IFERROR(__xludf.DUMMYFUNCTION("""COMPUTED_VALUE"""),"3.7244696")</f>
        <v>3.7244696</v>
      </c>
      <c r="AA2406" s="4" t="str">
        <f t="shared" si="1"/>
        <v>Not Neighbor</v>
      </c>
      <c r="AC2406" s="4">
        <f>IFERROR(__xludf.DUMMYFUNCTION("IFERROR(ABS(O2406-AVERAGE(FILTER(O2406:O6474,AA2406:AA6474=""Neighbor""))) / STDEV(FILTER(O2406:O6474, AA2406:AA6474 =""Neighbor"")), """")"),0.01091905268112498)</f>
        <v>0.01091905268</v>
      </c>
      <c r="AD2406" s="4">
        <f>IFERROR(__xludf.DUMMYFUNCTION("IFERROR(ABS(P2406-AVERAGE(FILTER(O2406:P6474,AA2406:AA6474=""Neighbor""))) / STDEV(FILTER(P2406:P6474, AA2406:AA6474 =""Neighbor"")), """")"),0.8555729749840711)</f>
        <v>0.855572975</v>
      </c>
      <c r="AE2406" s="2">
        <f>IFERROR(__xludf.DUMMYFUNCTION("IFERROR(ABS(Q2406-AVERAGE(FILTER(Q2406:Q6474,AA2406:AA6474=""Neighbor""))) / STDEV(FILTER(Q2406:Q6474, AA2406:AA6474 =""Neighbor"")), """")"),0.3138880166199594)</f>
        <v>0.3138880166</v>
      </c>
      <c r="AF2406" s="2">
        <f>IFERROR(__xludf.DUMMYFUNCTION("IFERROR(ABS(R2406-AVERAGE(FILTER(R2406:R6474,AA2406:AA6474=""Neighbor""))) / STDEV(FILTER(R2406:R6474, AA2406:AA6474 =""Neighbor"")), """")"),0.34847825446503156)</f>
        <v>0.3484782545</v>
      </c>
    </row>
    <row r="2407">
      <c r="A2407" s="2" t="s">
        <v>28</v>
      </c>
      <c r="B2407" s="2" t="s">
        <v>9648</v>
      </c>
      <c r="C2407" s="2" t="s">
        <v>9866</v>
      </c>
      <c r="D2407" s="2" t="s">
        <v>9867</v>
      </c>
      <c r="E2407" s="2" t="s">
        <v>9868</v>
      </c>
      <c r="F2407" s="2">
        <v>108.0</v>
      </c>
      <c r="G2407" s="2">
        <v>499.0</v>
      </c>
      <c r="H2407" s="2" t="b">
        <v>1</v>
      </c>
      <c r="I2407" s="2">
        <v>-1.0</v>
      </c>
      <c r="J2407" s="2" t="b">
        <v>0</v>
      </c>
      <c r="K2407" s="2" t="b">
        <v>0</v>
      </c>
      <c r="L2407" s="2" t="b">
        <v>0</v>
      </c>
      <c r="M2407" s="2" t="b">
        <v>0</v>
      </c>
      <c r="N2407" s="2" t="s">
        <v>33</v>
      </c>
      <c r="O2407" s="2">
        <v>72.0</v>
      </c>
      <c r="P2407" s="2">
        <v>3.0</v>
      </c>
      <c r="Q2407" s="2">
        <v>33.0</v>
      </c>
      <c r="R2407" s="2">
        <v>0.0</v>
      </c>
      <c r="S2407" s="3" t="s">
        <v>9869</v>
      </c>
      <c r="T2407" s="2" t="s">
        <v>9870</v>
      </c>
      <c r="Y2407" s="4" t="str">
        <f>IFERROR(__xludf.DUMMYFUNCTION("""COMPUTED_VALUE"""),"6.9640781")</f>
        <v>6.9640781</v>
      </c>
      <c r="Z2407" s="4" t="str">
        <f>IFERROR(__xludf.DUMMYFUNCTION("""COMPUTED_VALUE"""),"3.7193936")</f>
        <v>3.7193936</v>
      </c>
      <c r="AA2407" s="4" t="str">
        <f t="shared" si="1"/>
        <v>Neighbor</v>
      </c>
      <c r="AC2407" s="4">
        <f>IFERROR(__xludf.DUMMYFUNCTION("IFERROR(ABS(O2407-AVERAGE(FILTER(O2407:O6475,AA2407:AA6475=""Neighbor""))) / STDEV(FILTER(O2407:O6475, AA2407:AA6475 =""Neighbor"")), """")"),0.5662076797361096)</f>
        <v>0.5662076797</v>
      </c>
      <c r="AD2407" s="4">
        <f>IFERROR(__xludf.DUMMYFUNCTION("IFERROR(ABS(P2407-AVERAGE(FILTER(O2407:P6475,AA2407:AA6475=""Neighbor""))) / STDEV(FILTER(P2407:P6475, AA2407:AA6475 =""Neighbor"")), """")"),1.3720883455834576)</f>
        <v>1.372088346</v>
      </c>
      <c r="AE2407" s="2">
        <f>IFERROR(__xludf.DUMMYFUNCTION("IFERROR(ABS(Q2407-AVERAGE(FILTER(Q2407:Q6475,AA2407:AA6475=""Neighbor""))) / STDEV(FILTER(Q2407:Q6475, AA2407:AA6475 =""Neighbor"")), """")"),0.8561951733970551)</f>
        <v>0.8561951734</v>
      </c>
      <c r="AF2407" s="2">
        <f>IFERROR(__xludf.DUMMYFUNCTION("IFERROR(ABS(R2407-AVERAGE(FILTER(R2407:R6475,AA2407:AA6475=""Neighbor""))) / STDEV(FILTER(R2407:R6475, AA2407:AA6475 =""Neighbor"")), """")"),0.34847825446503156)</f>
        <v>0.3484782545</v>
      </c>
    </row>
    <row r="2408">
      <c r="A2408" s="2" t="s">
        <v>28</v>
      </c>
      <c r="B2408" s="2" t="s">
        <v>9648</v>
      </c>
      <c r="C2408" s="2" t="s">
        <v>9866</v>
      </c>
      <c r="D2408" s="2" t="s">
        <v>9871</v>
      </c>
      <c r="E2408" s="2" t="s">
        <v>9872</v>
      </c>
      <c r="F2408" s="2">
        <v>75.0</v>
      </c>
      <c r="G2408" s="2">
        <v>315.0</v>
      </c>
      <c r="H2408" s="2" t="b">
        <v>1</v>
      </c>
      <c r="I2408" s="2">
        <v>-1.0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s">
        <v>33</v>
      </c>
      <c r="O2408" s="2">
        <v>46.0</v>
      </c>
      <c r="P2408" s="2">
        <v>8.0</v>
      </c>
      <c r="Q2408" s="2">
        <v>20.0</v>
      </c>
      <c r="R2408" s="2">
        <v>0.0</v>
      </c>
      <c r="S2408" s="3" t="s">
        <v>9873</v>
      </c>
      <c r="T2408" s="2" t="s">
        <v>9874</v>
      </c>
      <c r="Y2408" s="4" t="str">
        <f>IFERROR(__xludf.DUMMYFUNCTION("""COMPUTED_VALUE"""),"6.9640781")</f>
        <v>6.9640781</v>
      </c>
      <c r="Z2408" s="4" t="str">
        <f>IFERROR(__xludf.DUMMYFUNCTION("""COMPUTED_VALUE"""),"3.7193936")</f>
        <v>3.7193936</v>
      </c>
      <c r="AA2408" s="4" t="str">
        <f t="shared" si="1"/>
        <v>Neighbor</v>
      </c>
      <c r="AC2408" s="4">
        <f>IFERROR(__xludf.DUMMYFUNCTION("IFERROR(ABS(O2408-AVERAGE(FILTER(O2408:O6476,AA2408:AA6476=""Neighbor""))) / STDEV(FILTER(O2408:O6476, AA2408:AA6476 =""Neighbor"")), """")"),0.15476152009416236)</f>
        <v>0.1547615201</v>
      </c>
      <c r="AD2408" s="4">
        <f>IFERROR(__xludf.DUMMYFUNCTION("IFERROR(ABS(P2408-AVERAGE(FILTER(O2408:P6476,AA2408:AA6476=""Neighbor""))) / STDEV(FILTER(P2408:P6476, AA2408:AA6476 =""Neighbor"")), """")"),1.1562216254411797)</f>
        <v>1.156221625</v>
      </c>
      <c r="AE2408" s="2">
        <f>IFERROR(__xludf.DUMMYFUNCTION("IFERROR(ABS(Q2408-AVERAGE(FILTER(Q2408:Q6476,AA2408:AA6476=""Neighbor""))) / STDEV(FILTER(Q2408:Q6476, AA2408:AA6476 =""Neighbor"")), """")"),0.15241974447887624)</f>
        <v>0.1524197445</v>
      </c>
      <c r="AF2408" s="2">
        <f>IFERROR(__xludf.DUMMYFUNCTION("IFERROR(ABS(R2408-AVERAGE(FILTER(R2408:R6476,AA2408:AA6476=""Neighbor""))) / STDEV(FILTER(R2408:R6476, AA2408:AA6476 =""Neighbor"")), """")"),0.3487639477163958)</f>
        <v>0.3487639477</v>
      </c>
    </row>
    <row r="2409">
      <c r="A2409" s="2" t="s">
        <v>28</v>
      </c>
      <c r="B2409" s="2" t="s">
        <v>9648</v>
      </c>
      <c r="C2409" s="2" t="s">
        <v>9866</v>
      </c>
      <c r="D2409" s="2" t="s">
        <v>9875</v>
      </c>
      <c r="E2409" s="2" t="s">
        <v>9876</v>
      </c>
      <c r="F2409" s="2">
        <v>32.0</v>
      </c>
      <c r="G2409" s="2">
        <v>201.0</v>
      </c>
      <c r="H2409" s="2" t="b">
        <v>1</v>
      </c>
      <c r="I2409" s="2">
        <v>-1.0</v>
      </c>
      <c r="J2409" s="2" t="b">
        <v>0</v>
      </c>
      <c r="K2409" s="2" t="b">
        <v>1</v>
      </c>
      <c r="L2409" s="2" t="b">
        <v>0</v>
      </c>
      <c r="M2409" s="2" t="b">
        <v>0</v>
      </c>
      <c r="N2409" s="2" t="s">
        <v>33</v>
      </c>
      <c r="O2409" s="2">
        <v>12.0</v>
      </c>
      <c r="P2409" s="2">
        <v>0.0</v>
      </c>
      <c r="Q2409" s="2">
        <v>7.0</v>
      </c>
      <c r="R2409" s="2">
        <v>0.0</v>
      </c>
      <c r="S2409" s="3" t="s">
        <v>9877</v>
      </c>
      <c r="T2409" s="2" t="s">
        <v>9878</v>
      </c>
      <c r="Y2409" s="4" t="str">
        <f>IFERROR(__xludf.DUMMYFUNCTION("""COMPUTED_VALUE"""),"6.9640781")</f>
        <v>6.9640781</v>
      </c>
      <c r="Z2409" s="4" t="str">
        <f>IFERROR(__xludf.DUMMYFUNCTION("""COMPUTED_VALUE"""),"3.7193936")</f>
        <v>3.7193936</v>
      </c>
      <c r="AA2409" s="4" t="str">
        <f t="shared" si="1"/>
        <v>Neighbor</v>
      </c>
      <c r="AC2409" s="4">
        <f>IFERROR(__xludf.DUMMYFUNCTION("IFERROR(ABS(O2409-AVERAGE(FILTER(O2409:O6477,AA2409:AA6477=""Neighbor""))) / STDEV(FILTER(O2409:O6477, AA2409:AA6477 =""Neighbor"")), """")"),1.0977232319650805)</f>
        <v>1.097723232</v>
      </c>
      <c r="AD2409" s="4">
        <f>IFERROR(__xludf.DUMMYFUNCTION("IFERROR(ABS(P2409-AVERAGE(FILTER(O2409:P6477,AA2409:AA6477=""Neighbor""))) / STDEV(FILTER(P2409:P6477, AA2409:AA6477 =""Neighbor"")), """")"),1.500027110627936)</f>
        <v>1.500027111</v>
      </c>
      <c r="AE2409" s="2">
        <f>IFERROR(__xludf.DUMMYFUNCTION("IFERROR(ABS(Q2409-AVERAGE(FILTER(Q2409:Q6477,AA2409:AA6477=""Neighbor""))) / STDEV(FILTER(Q2409:Q6477, AA2409:AA6477 =""Neighbor"")), """")"),0.5518231107224223)</f>
        <v>0.5518231107</v>
      </c>
      <c r="AF2409" s="2">
        <f>IFERROR(__xludf.DUMMYFUNCTION("IFERROR(ABS(R2409-AVERAGE(FILTER(R2409:R6477,AA2409:AA6477=""Neighbor""))) / STDEV(FILTER(R2409:R6477, AA2409:AA6477 =""Neighbor"")), """")"),0.34905034491460474)</f>
        <v>0.3490503449</v>
      </c>
    </row>
    <row r="2410">
      <c r="A2410" s="2" t="s">
        <v>28</v>
      </c>
      <c r="B2410" s="2" t="s">
        <v>9648</v>
      </c>
      <c r="C2410" s="2" t="s">
        <v>9866</v>
      </c>
      <c r="D2410" s="2" t="s">
        <v>9879</v>
      </c>
      <c r="E2410" s="2" t="s">
        <v>9880</v>
      </c>
      <c r="F2410" s="2">
        <v>28.0</v>
      </c>
      <c r="G2410" s="2">
        <v>180.0</v>
      </c>
      <c r="H2410" s="2" t="b">
        <v>1</v>
      </c>
      <c r="I2410" s="2">
        <v>-1.0</v>
      </c>
      <c r="J2410" s="2" t="b">
        <v>0</v>
      </c>
      <c r="K2410" s="2" t="b">
        <v>0</v>
      </c>
      <c r="L2410" s="2" t="b">
        <v>0</v>
      </c>
      <c r="M2410" s="2" t="b">
        <v>0</v>
      </c>
      <c r="N2410" s="2" t="s">
        <v>33</v>
      </c>
      <c r="O2410" s="2">
        <v>7.0</v>
      </c>
      <c r="P2410" s="2">
        <v>1.0</v>
      </c>
      <c r="Q2410" s="2">
        <v>18.0</v>
      </c>
      <c r="R2410" s="2">
        <v>0.0</v>
      </c>
      <c r="S2410" s="3" t="s">
        <v>9881</v>
      </c>
      <c r="T2410" s="2" t="s">
        <v>9882</v>
      </c>
      <c r="Y2410" s="4" t="str">
        <f>IFERROR(__xludf.DUMMYFUNCTION("""COMPUTED_VALUE"""),"6.9640781")</f>
        <v>6.9640781</v>
      </c>
      <c r="Z2410" s="4" t="str">
        <f>IFERROR(__xludf.DUMMYFUNCTION("""COMPUTED_VALUE"""),"3.7193936")</f>
        <v>3.7193936</v>
      </c>
      <c r="AA2410" s="4" t="str">
        <f t="shared" si="1"/>
        <v>Neighbor</v>
      </c>
      <c r="AC2410" s="4">
        <f>IFERROR(__xludf.DUMMYFUNCTION("IFERROR(ABS(O2410-AVERAGE(FILTER(O2410:O6478,AA2410:AA6478=""Neighbor""))) / STDEV(FILTER(O2410:O6478, AA2410:AA6478 =""Neighbor"")), """")"),1.2381772037788263)</f>
        <v>1.238177204</v>
      </c>
      <c r="AD2410" s="4">
        <f>IFERROR(__xludf.DUMMYFUNCTION("IFERROR(ABS(P2410-AVERAGE(FILTER(O2410:P6478,AA2410:AA6478=""Neighbor""))) / STDEV(FILTER(P2410:P6478, AA2410:AA6478 =""Neighbor"")), """")"),1.4584359322969518)</f>
        <v>1.458435932</v>
      </c>
      <c r="AE2410" s="2">
        <f>IFERROR(__xludf.DUMMYFUNCTION("IFERROR(ABS(Q2410-AVERAGE(FILTER(Q2410:Q6478,AA2410:AA6478=""Neighbor""))) / STDEV(FILTER(Q2410:Q6478, AA2410:AA6478 =""Neighbor"")), """")"),0.043338815076374146)</f>
        <v>0.04333881508</v>
      </c>
      <c r="AF2410" s="2">
        <f>IFERROR(__xludf.DUMMYFUNCTION("IFERROR(ABS(R2410-AVERAGE(FILTER(R2410:R6478,AA2410:AA6478=""Neighbor""))) / STDEV(FILTER(R2410:R6478, AA2410:AA6478 =""Neighbor"")), """")"),0.34933744895576113)</f>
        <v>0.349337449</v>
      </c>
    </row>
    <row r="2411">
      <c r="A2411" s="2" t="s">
        <v>28</v>
      </c>
      <c r="B2411" s="2" t="s">
        <v>9648</v>
      </c>
      <c r="C2411" s="2" t="s">
        <v>9866</v>
      </c>
      <c r="D2411" s="2" t="s">
        <v>9883</v>
      </c>
      <c r="E2411" s="2" t="s">
        <v>9884</v>
      </c>
      <c r="F2411" s="2">
        <v>110.0</v>
      </c>
      <c r="G2411" s="2">
        <v>514.0</v>
      </c>
      <c r="H2411" s="2" t="b">
        <v>1</v>
      </c>
      <c r="I2411" s="2">
        <v>-1.0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s">
        <v>33</v>
      </c>
      <c r="O2411" s="2">
        <v>73.0</v>
      </c>
      <c r="P2411" s="2">
        <v>10.0</v>
      </c>
      <c r="Q2411" s="2">
        <v>26.0</v>
      </c>
      <c r="R2411" s="2">
        <v>0.0</v>
      </c>
      <c r="S2411" s="3" t="s">
        <v>9885</v>
      </c>
      <c r="T2411" s="2" t="s">
        <v>9886</v>
      </c>
      <c r="Y2411" s="4" t="str">
        <f>IFERROR(__xludf.DUMMYFUNCTION("""COMPUTED_VALUE"""),"6.9640781")</f>
        <v>6.9640781</v>
      </c>
      <c r="Z2411" s="4" t="str">
        <f>IFERROR(__xludf.DUMMYFUNCTION("""COMPUTED_VALUE"""),"3.7193936")</f>
        <v>3.7193936</v>
      </c>
      <c r="AA2411" s="4" t="str">
        <f t="shared" si="1"/>
        <v>Neighbor</v>
      </c>
      <c r="AC2411" s="4">
        <f>IFERROR(__xludf.DUMMYFUNCTION("IFERROR(ABS(O2411-AVERAGE(FILTER(O2411:O6479,AA2411:AA6479=""Neighbor""))) / STDEV(FILTER(O2411:O6479, AA2411:AA6479 =""Neighbor"")), """")"),0.5907431460341885)</f>
        <v>0.590743146</v>
      </c>
      <c r="AD2411" s="4">
        <f>IFERROR(__xludf.DUMMYFUNCTION("IFERROR(ABS(P2411-AVERAGE(FILTER(O2411:P6479,AA2411:AA6479=""Neighbor""))) / STDEV(FILTER(P2411:P6479, AA2411:AA6479 =""Neighbor"")), """")"),1.0731504063734234)</f>
        <v>1.073150406</v>
      </c>
      <c r="AE2411" s="2">
        <f>IFERROR(__xludf.DUMMYFUNCTION("IFERROR(ABS(Q2411-AVERAGE(FILTER(Q2411:Q6479,AA2411:AA6479=""Neighbor""))) / STDEV(FILTER(Q2411:Q6479, AA2411:AA6479 =""Neighbor"")), """")"),0.47628172321748036)</f>
        <v>0.4762817232</v>
      </c>
      <c r="AF2411" s="2">
        <f>IFERROR(__xludf.DUMMYFUNCTION("IFERROR(ABS(R2411-AVERAGE(FILTER(R2411:R6479,AA2411:AA6479=""Neighbor""))) / STDEV(FILTER(R2411:R6479, AA2411:AA6479 =""Neighbor"")), """")"),0.3496252627526781)</f>
        <v>0.3496252628</v>
      </c>
    </row>
    <row r="2412">
      <c r="A2412" s="2" t="s">
        <v>28</v>
      </c>
      <c r="B2412" s="2" t="s">
        <v>9648</v>
      </c>
      <c r="C2412" s="2" t="s">
        <v>9866</v>
      </c>
      <c r="D2412" s="2" t="s">
        <v>9887</v>
      </c>
      <c r="E2412" s="2" t="s">
        <v>9888</v>
      </c>
      <c r="F2412" s="2">
        <v>26.0</v>
      </c>
      <c r="G2412" s="2">
        <v>192.0</v>
      </c>
      <c r="H2412" s="2" t="b">
        <v>1</v>
      </c>
      <c r="I2412" s="2">
        <v>-1.0</v>
      </c>
      <c r="J2412" s="2" t="b">
        <v>0</v>
      </c>
      <c r="K2412" s="2" t="b">
        <v>0</v>
      </c>
      <c r="L2412" s="2" t="b">
        <v>0</v>
      </c>
      <c r="M2412" s="2" t="b">
        <v>0</v>
      </c>
      <c r="N2412" s="2" t="s">
        <v>33</v>
      </c>
      <c r="O2412" s="2">
        <v>6.0</v>
      </c>
      <c r="P2412" s="2">
        <v>4.0</v>
      </c>
      <c r="Q2412" s="2">
        <v>15.0</v>
      </c>
      <c r="R2412" s="2">
        <v>0.0</v>
      </c>
      <c r="S2412" s="3" t="s">
        <v>9889</v>
      </c>
      <c r="T2412" s="2" t="s">
        <v>9890</v>
      </c>
      <c r="Y2412" s="4" t="str">
        <f>IFERROR(__xludf.DUMMYFUNCTION("""COMPUTED_VALUE"""),"6.9640781")</f>
        <v>6.9640781</v>
      </c>
      <c r="Z2412" s="4" t="str">
        <f>IFERROR(__xludf.DUMMYFUNCTION("""COMPUTED_VALUE"""),"3.7193936")</f>
        <v>3.7193936</v>
      </c>
      <c r="AA2412" s="4" t="str">
        <f t="shared" si="1"/>
        <v>Neighbor</v>
      </c>
      <c r="AC2412" s="4">
        <f>IFERROR(__xludf.DUMMYFUNCTION("IFERROR(ABS(O2412-AVERAGE(FILTER(O2412:O6480,AA2412:AA6480=""Neighbor""))) / STDEV(FILTER(O2412:O6480, AA2412:AA6480 =""Neighbor"")), """")"),1.266755506025747)</f>
        <v>1.266755506</v>
      </c>
      <c r="AD2412" s="4">
        <f>IFERROR(__xludf.DUMMYFUNCTION("IFERROR(ABS(P2412-AVERAGE(FILTER(O2412:P6480,AA2412:AA6480=""Neighbor""))) / STDEV(FILTER(P2412:P6480, AA2412:AA6480 =""Neighbor"")), """")"),1.3297166920816148)</f>
        <v>1.329716692</v>
      </c>
      <c r="AE2412" s="2">
        <f>IFERROR(__xludf.DUMMYFUNCTION("IFERROR(ABS(Q2412-AVERAGE(FILTER(Q2412:Q6480,AA2412:AA6480=""Neighbor""))) / STDEV(FILTER(Q2412:Q6480, AA2412:AA6480 =""Neighbor"")), """")"),0.11820216345087822)</f>
        <v>0.1182021635</v>
      </c>
      <c r="AF2412" s="2">
        <f>IFERROR(__xludf.DUMMYFUNCTION("IFERROR(ABS(R2412-AVERAGE(FILTER(R2412:R6480,AA2412:AA6480=""Neighbor""))) / STDEV(FILTER(R2412:R6480, AA2412:AA6480 =""Neighbor"")), """")"),0.3499137892350032)</f>
        <v>0.3499137892</v>
      </c>
    </row>
    <row r="2413">
      <c r="A2413" s="2" t="s">
        <v>28</v>
      </c>
      <c r="B2413" s="2" t="s">
        <v>9648</v>
      </c>
      <c r="C2413" s="2" t="s">
        <v>9866</v>
      </c>
      <c r="D2413" s="2" t="s">
        <v>9891</v>
      </c>
      <c r="E2413" s="2" t="s">
        <v>9892</v>
      </c>
      <c r="F2413" s="2">
        <v>25.0</v>
      </c>
      <c r="G2413" s="2">
        <v>142.0</v>
      </c>
      <c r="H2413" s="2" t="b">
        <v>1</v>
      </c>
      <c r="I2413" s="2">
        <v>-1.0</v>
      </c>
      <c r="J2413" s="2" t="b">
        <v>0</v>
      </c>
      <c r="K2413" s="2" t="b">
        <v>0</v>
      </c>
      <c r="L2413" s="2" t="b">
        <v>0</v>
      </c>
      <c r="M2413" s="2" t="b">
        <v>0</v>
      </c>
      <c r="N2413" s="2" t="s">
        <v>33</v>
      </c>
      <c r="O2413" s="2">
        <v>14.0</v>
      </c>
      <c r="P2413" s="2">
        <v>1.0</v>
      </c>
      <c r="Q2413" s="2">
        <v>9.0</v>
      </c>
      <c r="R2413" s="2">
        <v>0.0</v>
      </c>
      <c r="S2413" s="3" t="s">
        <v>9893</v>
      </c>
      <c r="T2413" s="2" t="s">
        <v>9894</v>
      </c>
      <c r="Y2413" s="4" t="str">
        <f>IFERROR(__xludf.DUMMYFUNCTION("""COMPUTED_VALUE"""),"6.9640781")</f>
        <v>6.9640781</v>
      </c>
      <c r="Z2413" s="4" t="str">
        <f>IFERROR(__xludf.DUMMYFUNCTION("""COMPUTED_VALUE"""),"3.7193936")</f>
        <v>3.7193936</v>
      </c>
      <c r="AA2413" s="4" t="str">
        <f t="shared" si="1"/>
        <v>Neighbor</v>
      </c>
      <c r="AC2413" s="4">
        <f>IFERROR(__xludf.DUMMYFUNCTION("IFERROR(ABS(O2413-AVERAGE(FILTER(O2413:O6481,AA2413:AA6481=""Neighbor""))) / STDEV(FILTER(O2413:O6481, AA2413:AA6481 =""Neighbor"")), """")"),1.047232583021549)</f>
        <v>1.047232583</v>
      </c>
      <c r="AD2413" s="4">
        <f>IFERROR(__xludf.DUMMYFUNCTION("IFERROR(ABS(P2413-AVERAGE(FILTER(O2413:P6481,AA2413:AA6481=""Neighbor""))) / STDEV(FILTER(P2413:P6481, AA2413:AA6481 =""Neighbor"")), """")"),1.4597761921874517)</f>
        <v>1.459776192</v>
      </c>
      <c r="AE2413" s="2">
        <f>IFERROR(__xludf.DUMMYFUNCTION("IFERROR(ABS(Q2413-AVERAGE(FILTER(Q2413:Q6481,AA2413:AA6481=""Neighbor""))) / STDEV(FILTER(Q2413:Q6481, AA2413:AA6481 =""Neighbor"")), """")"),0.44255273727545164)</f>
        <v>0.4425527373</v>
      </c>
      <c r="AF2413" s="2">
        <f>IFERROR(__xludf.DUMMYFUNCTION("IFERROR(ABS(R2413-AVERAGE(FILTER(R2413:R6481,AA2413:AA6481=""Neighbor""))) / STDEV(FILTER(R2413:R6481, AA2413:AA6481 =""Neighbor"")), """")"),0.3502030313493448)</f>
        <v>0.3502030313</v>
      </c>
    </row>
    <row r="2414">
      <c r="A2414" s="2" t="s">
        <v>28</v>
      </c>
      <c r="B2414" s="2" t="s">
        <v>9648</v>
      </c>
      <c r="C2414" s="2" t="s">
        <v>9866</v>
      </c>
      <c r="D2414" s="2" t="s">
        <v>9895</v>
      </c>
      <c r="E2414" s="2" t="s">
        <v>9896</v>
      </c>
      <c r="F2414" s="2">
        <v>30.0</v>
      </c>
      <c r="G2414" s="2">
        <v>221.0</v>
      </c>
      <c r="H2414" s="2" t="b">
        <v>1</v>
      </c>
      <c r="I2414" s="2">
        <v>-1.0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s">
        <v>33</v>
      </c>
      <c r="O2414" s="2">
        <v>17.0</v>
      </c>
      <c r="P2414" s="2">
        <v>4.0</v>
      </c>
      <c r="Q2414" s="2">
        <v>9.0</v>
      </c>
      <c r="R2414" s="2">
        <v>0.0</v>
      </c>
      <c r="S2414" s="3" t="s">
        <v>9897</v>
      </c>
      <c r="T2414" s="2" t="s">
        <v>9898</v>
      </c>
      <c r="Y2414" s="4" t="str">
        <f>IFERROR(__xludf.DUMMYFUNCTION("""COMPUTED_VALUE"""),"6.9640781")</f>
        <v>6.9640781</v>
      </c>
      <c r="Z2414" s="4" t="str">
        <f>IFERROR(__xludf.DUMMYFUNCTION("""COMPUTED_VALUE"""),"3.7193936")</f>
        <v>3.7193936</v>
      </c>
      <c r="AA2414" s="4" t="str">
        <f t="shared" si="1"/>
        <v>Neighbor</v>
      </c>
      <c r="AC2414" s="4">
        <f>IFERROR(__xludf.DUMMYFUNCTION("IFERROR(ABS(O2414-AVERAGE(FILTER(O2414:O6482,AA2414:AA6482=""Neighbor""))) / STDEV(FILTER(O2414:O6482, AA2414:AA6482 =""Neighbor"")), """")"),0.965614512714591)</f>
        <v>0.9656145127</v>
      </c>
      <c r="AD2414" s="4">
        <f>IFERROR(__xludf.DUMMYFUNCTION("IFERROR(ABS(P2414-AVERAGE(FILTER(O2414:P6482,AA2414:AA6482=""Neighbor""))) / STDEV(FILTER(P2414:P6482, AA2414:AA6482 =""Neighbor"")), """")"),1.332301437003332)</f>
        <v>1.332301437</v>
      </c>
      <c r="AE2414" s="2">
        <f>IFERROR(__xludf.DUMMYFUNCTION("IFERROR(ABS(Q2414-AVERAGE(FILTER(Q2414:Q6482,AA2414:AA6482=""Neighbor""))) / STDEV(FILTER(Q2414:Q6482, AA2414:AA6482 =""Neighbor"")), """")"),0.4429431518995051)</f>
        <v>0.4429431519</v>
      </c>
      <c r="AF2414" s="2">
        <f>IFERROR(__xludf.DUMMYFUNCTION("IFERROR(ABS(R2414-AVERAGE(FILTER(R2414:R6482,AA2414:AA6482=""Neighbor""))) / STDEV(FILTER(R2414:R6482, AA2414:AA6482 =""Neighbor"")), """")"),0.3504929920593976)</f>
        <v>0.3504929921</v>
      </c>
    </row>
    <row r="2415">
      <c r="A2415" s="2" t="s">
        <v>28</v>
      </c>
      <c r="B2415" s="2" t="s">
        <v>9648</v>
      </c>
      <c r="C2415" s="2" t="s">
        <v>9866</v>
      </c>
      <c r="D2415" s="2" t="s">
        <v>9899</v>
      </c>
      <c r="E2415" s="2" t="s">
        <v>9900</v>
      </c>
      <c r="F2415" s="2">
        <v>24.0</v>
      </c>
      <c r="G2415" s="2">
        <v>135.0</v>
      </c>
      <c r="H2415" s="2" t="b">
        <v>1</v>
      </c>
      <c r="I2415" s="2">
        <v>-1.0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s">
        <v>33</v>
      </c>
      <c r="O2415" s="2">
        <v>10.0</v>
      </c>
      <c r="P2415" s="2">
        <v>2.0</v>
      </c>
      <c r="Q2415" s="2">
        <v>12.0</v>
      </c>
      <c r="R2415" s="2">
        <v>0.0</v>
      </c>
      <c r="S2415" s="3" t="s">
        <v>9901</v>
      </c>
      <c r="T2415" s="2" t="s">
        <v>9902</v>
      </c>
      <c r="Y2415" s="4" t="str">
        <f>IFERROR(__xludf.DUMMYFUNCTION("""COMPUTED_VALUE"""),"6.9640781")</f>
        <v>6.9640781</v>
      </c>
      <c r="Z2415" s="4" t="str">
        <f>IFERROR(__xludf.DUMMYFUNCTION("""COMPUTED_VALUE"""),"3.7193936")</f>
        <v>3.7193936</v>
      </c>
      <c r="AA2415" s="4" t="str">
        <f t="shared" si="1"/>
        <v>Not Neighbor</v>
      </c>
      <c r="AC2415" s="4">
        <f>IFERROR(__xludf.DUMMYFUNCTION("IFERROR(ABS(O2415-AVERAGE(FILTER(O2415:O6483,AA2415:AA6483=""Neighbor""))) / STDEV(FILTER(O2415:O6483, AA2415:AA6483 =""Neighbor"")), """")"),1.1612154939855344)</f>
        <v>1.161215494</v>
      </c>
      <c r="AD2415" s="4">
        <f>IFERROR(__xludf.DUMMYFUNCTION("IFERROR(ABS(P2415-AVERAGE(FILTER(O2415:P6483,AA2415:AA6483=""Neighbor""))) / STDEV(FILTER(P2415:P6483, AA2415:AA6483 =""Neighbor"")), """")"),1.4190268638468628)</f>
        <v>1.419026864</v>
      </c>
      <c r="AE2415" s="2">
        <f>IFERROR(__xludf.DUMMYFUNCTION("IFERROR(ABS(Q2415-AVERAGE(FILTER(Q2415:Q6483,AA2415:AA6483=""Neighbor""))) / STDEV(FILTER(Q2415:Q6483, AA2415:AA6483 =""Neighbor"")), """")"),0.2813960981715068)</f>
        <v>0.2813960982</v>
      </c>
      <c r="AF2415" s="2">
        <f>IFERROR(__xludf.DUMMYFUNCTION("IFERROR(ABS(R2415-AVERAGE(FILTER(R2415:R6483,AA2415:AA6483=""Neighbor""))) / STDEV(FILTER(R2415:R6483, AA2415:AA6483 =""Neighbor"")), """")"),0.3507836743460704)</f>
        <v>0.3507836743</v>
      </c>
    </row>
    <row r="2416">
      <c r="A2416" s="2" t="s">
        <v>28</v>
      </c>
      <c r="B2416" s="2" t="s">
        <v>9648</v>
      </c>
      <c r="C2416" s="2" t="s">
        <v>9903</v>
      </c>
      <c r="D2416" s="2" t="s">
        <v>9904</v>
      </c>
      <c r="E2416" s="2" t="s">
        <v>9905</v>
      </c>
      <c r="F2416" s="2">
        <v>135.0</v>
      </c>
      <c r="G2416" s="2">
        <v>584.0</v>
      </c>
      <c r="H2416" s="2" t="b">
        <v>1</v>
      </c>
      <c r="I2416" s="2">
        <v>-1.0</v>
      </c>
      <c r="J2416" s="2" t="b">
        <v>0</v>
      </c>
      <c r="K2416" s="2" t="b">
        <v>0</v>
      </c>
      <c r="L2416" s="2" t="b">
        <v>0</v>
      </c>
      <c r="M2416" s="2" t="b">
        <v>0</v>
      </c>
      <c r="N2416" s="2" t="s">
        <v>33</v>
      </c>
      <c r="O2416" s="2">
        <v>67.0</v>
      </c>
      <c r="P2416" s="2">
        <v>12.0</v>
      </c>
      <c r="Q2416" s="2">
        <v>47.0</v>
      </c>
      <c r="R2416" s="2">
        <v>1.0</v>
      </c>
      <c r="S2416" s="3" t="s">
        <v>9906</v>
      </c>
      <c r="T2416" s="2" t="s">
        <v>9907</v>
      </c>
      <c r="Y2416" s="4" t="str">
        <f>IFERROR(__xludf.DUMMYFUNCTION("""COMPUTED_VALUE"""),"7.0020289")</f>
        <v>7.0020289</v>
      </c>
      <c r="Z2416" s="4" t="str">
        <f>IFERROR(__xludf.DUMMYFUNCTION("""COMPUTED_VALUE"""),"3.6661265")</f>
        <v>3.6661265</v>
      </c>
      <c r="AA2416" s="4" t="str">
        <f t="shared" si="1"/>
        <v>Neighbor</v>
      </c>
      <c r="AC2416" s="4">
        <f>IFERROR(__xludf.DUMMYFUNCTION("IFERROR(ABS(O2416-AVERAGE(FILTER(O2416:O6484,AA2416:AA6484=""Neighbor""))) / STDEV(FILTER(O2416:O6484, AA2416:AA6484 =""Neighbor"")), """")"),0.42029006992831436)</f>
        <v>0.4202900699</v>
      </c>
      <c r="AD2416" s="4">
        <f>IFERROR(__xludf.DUMMYFUNCTION("IFERROR(ABS(P2416-AVERAGE(FILTER(O2416:P6484,AA2416:AA6484=""Neighbor""))) / STDEV(FILTER(P2416:P6484, AA2416:AA6484 =""Neighbor"")), """")"),0.9901146528204916)</f>
        <v>0.9901146528</v>
      </c>
      <c r="AE2416" s="2">
        <f>IFERROR(__xludf.DUMMYFUNCTION("IFERROR(ABS(Q2416-AVERAGE(FILTER(Q2416:Q6484,AA2416:AA6484=""Neighbor""))) / STDEV(FILTER(Q2416:Q6484, AA2416:AA6484 =""Neighbor"")), """")"),1.6078864451706762)</f>
        <v>1.607886445</v>
      </c>
      <c r="AF2416" s="2">
        <f>IFERROR(__xludf.DUMMYFUNCTION("IFERROR(ABS(R2416-AVERAGE(FILTER(R2416:R6484,AA2416:AA6484=""Neighbor""))) / STDEV(FILTER(R2416:R6484, AA2416:AA6484 =""Neighbor"")), """")"),0.7677529476253616)</f>
        <v>0.7677529476</v>
      </c>
    </row>
    <row r="2417">
      <c r="A2417" s="2" t="s">
        <v>28</v>
      </c>
      <c r="B2417" s="2" t="s">
        <v>9648</v>
      </c>
      <c r="C2417" s="2" t="s">
        <v>9903</v>
      </c>
      <c r="D2417" s="2" t="s">
        <v>9908</v>
      </c>
      <c r="E2417" s="2" t="s">
        <v>9909</v>
      </c>
      <c r="F2417" s="2">
        <v>167.0</v>
      </c>
      <c r="G2417" s="2">
        <v>699.0</v>
      </c>
      <c r="H2417" s="2" t="b">
        <v>1</v>
      </c>
      <c r="I2417" s="2">
        <v>-1.0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s">
        <v>33</v>
      </c>
      <c r="O2417" s="2">
        <v>93.0</v>
      </c>
      <c r="P2417" s="2">
        <v>15.0</v>
      </c>
      <c r="Q2417" s="2">
        <v>48.0</v>
      </c>
      <c r="R2417" s="2">
        <v>1.0</v>
      </c>
      <c r="S2417" s="3" t="s">
        <v>9910</v>
      </c>
      <c r="T2417" s="2" t="s">
        <v>9911</v>
      </c>
      <c r="Y2417" s="4" t="str">
        <f>IFERROR(__xludf.DUMMYFUNCTION("""COMPUTED_VALUE"""),"7.0020289")</f>
        <v>7.0020289</v>
      </c>
      <c r="Z2417" s="4" t="str">
        <f>IFERROR(__xludf.DUMMYFUNCTION("""COMPUTED_VALUE"""),"3.6661265")</f>
        <v>3.6661265</v>
      </c>
      <c r="AA2417" s="4" t="str">
        <f t="shared" si="1"/>
        <v>Neighbor</v>
      </c>
      <c r="AC2417" s="4">
        <f>IFERROR(__xludf.DUMMYFUNCTION("IFERROR(ABS(O2417-AVERAGE(FILTER(O2417:O6485,AA2417:AA6485=""Neighbor""))) / STDEV(FILTER(O2417:O6485, AA2417:AA6485 =""Neighbor"")), """")"),1.1416043689003201)</f>
        <v>1.141604369</v>
      </c>
      <c r="AD2417" s="4">
        <f>IFERROR(__xludf.DUMMYFUNCTION("IFERROR(ABS(P2417-AVERAGE(FILTER(O2417:P6485,AA2417:AA6485=""Neighbor""))) / STDEV(FILTER(P2417:P6485, AA2417:AA6485 =""Neighbor"")), """")"),0.8605691332787999)</f>
        <v>0.8605691333</v>
      </c>
      <c r="AE2417" s="2">
        <f>IFERROR(__xludf.DUMMYFUNCTION("IFERROR(ABS(Q2417-AVERAGE(FILTER(Q2417:Q6485,AA2417:AA6485=""Neighbor""))) / STDEV(FILTER(Q2417:Q6485, AA2417:AA6485 =""Neighbor"")), """")"),1.6662134235993078)</f>
        <v>1.666213424</v>
      </c>
      <c r="AF2417" s="2">
        <f>IFERROR(__xludf.DUMMYFUNCTION("IFERROR(ABS(R2417-AVERAGE(FILTER(R2417:R6485,AA2417:AA6485=""Neighbor""))) / STDEV(FILTER(R2417:R6485, AA2417:AA6485 =""Neighbor"")), """")"),0.7686567858578779)</f>
        <v>0.7686567859</v>
      </c>
    </row>
    <row r="2418">
      <c r="A2418" s="2" t="s">
        <v>28</v>
      </c>
      <c r="B2418" s="2" t="s">
        <v>9648</v>
      </c>
      <c r="C2418" s="2" t="s">
        <v>9903</v>
      </c>
      <c r="D2418" s="2" t="s">
        <v>9912</v>
      </c>
      <c r="E2418" s="2" t="s">
        <v>9913</v>
      </c>
      <c r="F2418" s="2">
        <v>195.0</v>
      </c>
      <c r="G2418" s="2">
        <v>800.0</v>
      </c>
      <c r="H2418" s="2" t="b">
        <v>1</v>
      </c>
      <c r="I2418" s="2">
        <v>-1.0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s">
        <v>33</v>
      </c>
      <c r="O2418" s="2">
        <v>88.0</v>
      </c>
      <c r="P2418" s="2">
        <v>27.0</v>
      </c>
      <c r="Q2418" s="2">
        <v>64.0</v>
      </c>
      <c r="R2418" s="2">
        <v>1.0</v>
      </c>
      <c r="S2418" s="3" t="s">
        <v>9914</v>
      </c>
      <c r="T2418" s="2" t="s">
        <v>9915</v>
      </c>
      <c r="Y2418" s="4" t="str">
        <f>IFERROR(__xludf.DUMMYFUNCTION("""COMPUTED_VALUE"""),"7.003894")</f>
        <v>7.003894</v>
      </c>
      <c r="Z2418" s="4" t="str">
        <f>IFERROR(__xludf.DUMMYFUNCTION("""COMPUTED_VALUE"""),"3.665818")</f>
        <v>3.665818</v>
      </c>
      <c r="AA2418" s="4" t="str">
        <f t="shared" si="1"/>
        <v>Neighbor</v>
      </c>
      <c r="AC2418" s="4">
        <f>IFERROR(__xludf.DUMMYFUNCTION("IFERROR(ABS(O2418-AVERAGE(FILTER(O2418:O6486,AA2418:AA6486=""Neighbor""))) / STDEV(FILTER(O2418:O6486, AA2418:AA6486 =""Neighbor"")), """")"),1.0048820908173581)</f>
        <v>1.004882091</v>
      </c>
      <c r="AD2418" s="4">
        <f>IFERROR(__xludf.DUMMYFUNCTION("IFERROR(ABS(P2418-AVERAGE(FILTER(O2418:P6486,AA2418:AA6486=""Neighbor""))) / STDEV(FILTER(P2418:P6486, AA2418:AA6486 =""Neighbor"")), """")"),0.3447737034299264)</f>
        <v>0.3447737034</v>
      </c>
      <c r="AE2418" s="2">
        <f>IFERROR(__xludf.DUMMYFUNCTION("IFERROR(ABS(Q2418-AVERAGE(FILTER(Q2418:Q6486,AA2418:AA6486=""Neighbor""))) / STDEV(FILTER(Q2418:Q6486, AA2418:AA6486 =""Neighbor"")), """")"),2.5367351610465185)</f>
        <v>2.536735161</v>
      </c>
      <c r="AF2418" s="2">
        <f>IFERROR(__xludf.DUMMYFUNCTION("IFERROR(ABS(R2418-AVERAGE(FILTER(R2418:R6486,AA2418:AA6486=""Neighbor""))) / STDEV(FILTER(R2418:R6486, AA2418:AA6486 =""Neighbor"")), """")"),0.7695638252418263)</f>
        <v>0.7695638252</v>
      </c>
    </row>
    <row r="2419">
      <c r="A2419" s="2" t="s">
        <v>28</v>
      </c>
      <c r="B2419" s="2" t="s">
        <v>9648</v>
      </c>
      <c r="C2419" s="2" t="s">
        <v>9903</v>
      </c>
      <c r="D2419" s="2" t="s">
        <v>9916</v>
      </c>
      <c r="E2419" s="2" t="s">
        <v>9917</v>
      </c>
      <c r="F2419" s="2">
        <v>134.0</v>
      </c>
      <c r="G2419" s="2">
        <v>526.0</v>
      </c>
      <c r="H2419" s="2" t="b">
        <v>1</v>
      </c>
      <c r="I2419" s="2">
        <v>-1.0</v>
      </c>
      <c r="J2419" s="2" t="b">
        <v>0</v>
      </c>
      <c r="K2419" s="2" t="b">
        <v>1</v>
      </c>
      <c r="L2419" s="2" t="b">
        <v>0</v>
      </c>
      <c r="M2419" s="2" t="b">
        <v>0</v>
      </c>
      <c r="N2419" s="2" t="s">
        <v>33</v>
      </c>
      <c r="O2419" s="2">
        <v>77.0</v>
      </c>
      <c r="P2419" s="2">
        <v>12.0</v>
      </c>
      <c r="Q2419" s="2">
        <v>40.0</v>
      </c>
      <c r="R2419" s="2">
        <v>0.0</v>
      </c>
      <c r="S2419" s="3" t="s">
        <v>9918</v>
      </c>
      <c r="T2419" s="2" t="s">
        <v>9919</v>
      </c>
      <c r="Y2419" s="4" t="str">
        <f>IFERROR(__xludf.DUMMYFUNCTION("""COMPUTED_VALUE"""),"7.003894")</f>
        <v>7.003894</v>
      </c>
      <c r="Z2419" s="4" t="str">
        <f>IFERROR(__xludf.DUMMYFUNCTION("""COMPUTED_VALUE"""),"3.665818")</f>
        <v>3.665818</v>
      </c>
      <c r="AA2419" s="4" t="str">
        <f t="shared" si="1"/>
        <v>Not Neighbor</v>
      </c>
      <c r="AC2419" s="4">
        <f>IFERROR(__xludf.DUMMYFUNCTION("IFERROR(ABS(O2419-AVERAGE(FILTER(O2419:O6487,AA2419:AA6487=""Neighbor""))) / STDEV(FILTER(O2419:O6487, AA2419:AA6487 =""Neighbor"")), """")"),0.7012952954728826)</f>
        <v>0.7012952955</v>
      </c>
      <c r="AD2419" s="4">
        <f>IFERROR(__xludf.DUMMYFUNCTION("IFERROR(ABS(P2419-AVERAGE(FILTER(O2419:P6487,AA2419:AA6487=""Neighbor""))) / STDEV(FILTER(P2419:P6487, AA2419:AA6487 =""Neighbor"")), """")"),0.9851724871871615)</f>
        <v>0.9851724872</v>
      </c>
      <c r="AE2419" s="2">
        <f>IFERROR(__xludf.DUMMYFUNCTION("IFERROR(ABS(Q2419-AVERAGE(FILTER(Q2419:Q6487,AA2419:AA6487=""Neighbor""))) / STDEV(FILTER(Q2419:Q6487, AA2419:AA6487 =""Neighbor"")), """")"),1.2468085717314088)</f>
        <v>1.246808572</v>
      </c>
      <c r="AF2419" s="2">
        <f>IFERROR(__xludf.DUMMYFUNCTION("IFERROR(ABS(R2419-AVERAGE(FILTER(R2419:R6487,AA2419:AA6487=""Neighbor""))) / STDEV(FILTER(R2419:R6487, AA2419:AA6487 =""Neighbor"")), """")"),0.34704543902386753)</f>
        <v>0.347045439</v>
      </c>
    </row>
    <row r="2420">
      <c r="A2420" s="2" t="s">
        <v>28</v>
      </c>
      <c r="B2420" s="2" t="s">
        <v>9648</v>
      </c>
      <c r="C2420" s="2" t="s">
        <v>9903</v>
      </c>
      <c r="D2420" s="2" t="s">
        <v>9920</v>
      </c>
      <c r="E2420" s="2" t="s">
        <v>9921</v>
      </c>
      <c r="F2420" s="2">
        <v>186.0</v>
      </c>
      <c r="G2420" s="2">
        <v>651.0</v>
      </c>
      <c r="H2420" s="2" t="b">
        <v>1</v>
      </c>
      <c r="I2420" s="2">
        <v>-1.0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s">
        <v>33</v>
      </c>
      <c r="O2420" s="2">
        <v>122.0</v>
      </c>
      <c r="P2420" s="2">
        <v>19.0</v>
      </c>
      <c r="Q2420" s="2">
        <v>35.0</v>
      </c>
      <c r="R2420" s="2">
        <v>0.0</v>
      </c>
      <c r="S2420" s="3" t="s">
        <v>9922</v>
      </c>
      <c r="T2420" s="2" t="s">
        <v>9923</v>
      </c>
      <c r="Y2420" s="4" t="str">
        <f>IFERROR(__xludf.DUMMYFUNCTION("""COMPUTED_VALUE"""),"7.0194542")</f>
        <v>7.0194542</v>
      </c>
      <c r="Z2420" s="4" t="str">
        <f>IFERROR(__xludf.DUMMYFUNCTION("""COMPUTED_VALUE"""),"3.6673942")</f>
        <v>3.6673942</v>
      </c>
      <c r="AA2420" s="4" t="str">
        <f t="shared" si="1"/>
        <v>Neighbor</v>
      </c>
      <c r="AC2420" s="4">
        <f>IFERROR(__xludf.DUMMYFUNCTION("IFERROR(ABS(O2420-AVERAGE(FILTER(O2420:O6488,AA2420:AA6488=""Neighbor""))) / STDEV(FILTER(O2420:O6488, AA2420:AA6488 =""Neighbor"")), """")"),1.9493841491719042)</f>
        <v>1.949384149</v>
      </c>
      <c r="AD2420" s="4">
        <f>IFERROR(__xludf.DUMMYFUNCTION("IFERROR(ABS(P2420-AVERAGE(FILTER(O2420:P6488,AA2420:AA6488=""Neighbor""))) / STDEV(FILTER(P2420:P6488, AA2420:AA6488 =""Neighbor"")), """")"),0.68555030596452)</f>
        <v>0.685550306</v>
      </c>
      <c r="AE2420" s="2">
        <f>IFERROR(__xludf.DUMMYFUNCTION("IFERROR(ABS(Q2420-AVERAGE(FILTER(Q2420:Q6488,AA2420:AA6488=""Neighbor""))) / STDEV(FILTER(Q2420:Q6488, AA2420:AA6488 =""Neighbor"")), """")"),0.9751313818151884)</f>
        <v>0.9751313818</v>
      </c>
      <c r="AF2420" s="2">
        <f>IFERROR(__xludf.DUMMYFUNCTION("IFERROR(ABS(R2420-AVERAGE(FILTER(R2420:R6488,AA2420:AA6488=""Neighbor""))) / STDEV(FILTER(R2420:R6488, AA2420:AA6488 =""Neighbor"")), """")"),0.34704543902386753)</f>
        <v>0.347045439</v>
      </c>
    </row>
    <row r="2421">
      <c r="A2421" s="2" t="s">
        <v>28</v>
      </c>
      <c r="B2421" s="2" t="s">
        <v>9648</v>
      </c>
      <c r="C2421" s="2" t="s">
        <v>9903</v>
      </c>
      <c r="D2421" s="2" t="s">
        <v>9924</v>
      </c>
      <c r="E2421" s="2" t="s">
        <v>9925</v>
      </c>
      <c r="F2421" s="2">
        <v>165.0</v>
      </c>
      <c r="G2421" s="2">
        <v>600.0</v>
      </c>
      <c r="H2421" s="2" t="b">
        <v>1</v>
      </c>
      <c r="I2421" s="2">
        <v>-1.0</v>
      </c>
      <c r="J2421" s="2" t="b">
        <v>0</v>
      </c>
      <c r="K2421" s="2" t="b">
        <v>0</v>
      </c>
      <c r="L2421" s="2" t="b">
        <v>0</v>
      </c>
      <c r="M2421" s="2" t="b">
        <v>0</v>
      </c>
      <c r="N2421" s="2" t="s">
        <v>33</v>
      </c>
      <c r="O2421" s="2">
        <v>99.0</v>
      </c>
      <c r="P2421" s="2">
        <v>19.0</v>
      </c>
      <c r="Q2421" s="2">
        <v>39.0</v>
      </c>
      <c r="R2421" s="2">
        <v>0.0</v>
      </c>
      <c r="S2421" s="3" t="s">
        <v>9926</v>
      </c>
      <c r="T2421" s="2" t="s">
        <v>9927</v>
      </c>
      <c r="Y2421" s="4" t="str">
        <f>IFERROR(__xludf.DUMMYFUNCTION("""COMPUTED_VALUE"""),"7.0194542")</f>
        <v>7.0194542</v>
      </c>
      <c r="Z2421" s="4" t="str">
        <f>IFERROR(__xludf.DUMMYFUNCTION("""COMPUTED_VALUE"""),"3.6673942")</f>
        <v>3.6673942</v>
      </c>
      <c r="AA2421" s="4" t="str">
        <f t="shared" si="1"/>
        <v>Not Neighbor</v>
      </c>
      <c r="AC2421" s="4">
        <f>IFERROR(__xludf.DUMMYFUNCTION("IFERROR(ABS(O2421-AVERAGE(FILTER(O2421:O6489,AA2421:AA6489=""Neighbor""))) / STDEV(FILTER(O2421:O6489, AA2421:AA6489 =""Neighbor"")), """")"),1.3171295786185893)</f>
        <v>1.317129579</v>
      </c>
      <c r="AD2421" s="4">
        <f>IFERROR(__xludf.DUMMYFUNCTION("IFERROR(ABS(P2421-AVERAGE(FILTER(O2421:P6489,AA2421:AA6489=""Neighbor""))) / STDEV(FILTER(P2421:P6489, AA2421:AA6489 =""Neighbor"")), """")"),0.6827820116298152)</f>
        <v>0.6827820116</v>
      </c>
      <c r="AE2421" s="2">
        <f>IFERROR(__xludf.DUMMYFUNCTION("IFERROR(ABS(Q2421-AVERAGE(FILTER(Q2421:Q6489,AA2421:AA6489=""Neighbor""))) / STDEV(FILTER(Q2421:Q6489, AA2421:AA6489 =""Neighbor"")), """")"),1.1938817842082903)</f>
        <v>1.193881784</v>
      </c>
      <c r="AF2421" s="2">
        <f>IFERROR(__xludf.DUMMYFUNCTION("IFERROR(ABS(R2421-AVERAGE(FILTER(R2421:R6489,AA2421:AA6489=""Neighbor""))) / STDEV(FILTER(R2421:R6489, AA2421:AA6489 =""Neighbor"")), """")"),0.34733435038711846)</f>
        <v>0.3473343504</v>
      </c>
    </row>
    <row r="2422">
      <c r="A2422" s="2" t="s">
        <v>28</v>
      </c>
      <c r="B2422" s="2" t="s">
        <v>9648</v>
      </c>
      <c r="C2422" s="2" t="s">
        <v>9903</v>
      </c>
      <c r="D2422" s="2" t="s">
        <v>9928</v>
      </c>
      <c r="E2422" s="2" t="s">
        <v>9929</v>
      </c>
      <c r="F2422" s="2">
        <v>77.0</v>
      </c>
      <c r="G2422" s="2">
        <v>174.0</v>
      </c>
      <c r="H2422" s="2" t="b">
        <v>1</v>
      </c>
      <c r="I2422" s="2">
        <v>-1.0</v>
      </c>
      <c r="J2422" s="2" t="b">
        <v>0</v>
      </c>
      <c r="K2422" s="2" t="b">
        <v>0</v>
      </c>
      <c r="L2422" s="2" t="b">
        <v>0</v>
      </c>
      <c r="M2422" s="2" t="b">
        <v>0</v>
      </c>
      <c r="N2422" s="2" t="s">
        <v>33</v>
      </c>
      <c r="O2422" s="2">
        <v>45.0</v>
      </c>
      <c r="P2422" s="2">
        <v>2.0</v>
      </c>
      <c r="Q2422" s="2">
        <v>29.0</v>
      </c>
      <c r="R2422" s="2">
        <v>0.0</v>
      </c>
      <c r="S2422" s="3" t="s">
        <v>9930</v>
      </c>
      <c r="T2422" s="2" t="s">
        <v>9931</v>
      </c>
      <c r="Y2422" s="4" t="str">
        <f>IFERROR(__xludf.DUMMYFUNCTION("""COMPUTED_VALUE"""),"7.0020289")</f>
        <v>7.0020289</v>
      </c>
      <c r="Z2422" s="4" t="str">
        <f>IFERROR(__xludf.DUMMYFUNCTION("""COMPUTED_VALUE"""),"3.6661265")</f>
        <v>3.6661265</v>
      </c>
      <c r="AA2422" s="4" t="str">
        <f t="shared" si="1"/>
        <v>Neighbor</v>
      </c>
      <c r="AC2422" s="4">
        <f>IFERROR(__xludf.DUMMYFUNCTION("IFERROR(ABS(O2422-AVERAGE(FILTER(O2422:O6490,AA2422:AA6490=""Neighbor""))) / STDEV(FILTER(O2422:O6490, AA2422:AA6490 =""Neighbor"")), """")"),0.18371819343791299)</f>
        <v>0.1837181934</v>
      </c>
      <c r="AD2422" s="4">
        <f>IFERROR(__xludf.DUMMYFUNCTION("IFERROR(ABS(P2422-AVERAGE(FILTER(O2422:P6490,AA2422:AA6490=""Neighbor""))) / STDEV(FILTER(P2422:P6490, AA2422:AA6490 =""Neighbor"")), """")"),1.4098947313556611)</f>
        <v>1.409894731</v>
      </c>
      <c r="AE2422" s="2">
        <f>IFERROR(__xludf.DUMMYFUNCTION("IFERROR(ABS(Q2422-AVERAGE(FILTER(Q2422:Q6490,AA2422:AA6490=""Neighbor""))) / STDEV(FILTER(Q2422:Q6490, AA2422:AA6490 =""Neighbor"")), """")"),0.6505467178477518)</f>
        <v>0.6505467178</v>
      </c>
      <c r="AF2422" s="2">
        <f>IFERROR(__xludf.DUMMYFUNCTION("IFERROR(ABS(R2422-AVERAGE(FILTER(R2422:R6490,AA2422:AA6490=""Neighbor""))) / STDEV(FILTER(R2422:R6490, AA2422:AA6490 =""Neighbor"")), """")"),0.34733435038711846)</f>
        <v>0.3473343504</v>
      </c>
    </row>
    <row r="2423">
      <c r="A2423" s="2" t="s">
        <v>28</v>
      </c>
      <c r="B2423" s="2" t="s">
        <v>9648</v>
      </c>
      <c r="C2423" s="2" t="s">
        <v>9903</v>
      </c>
      <c r="D2423" s="2" t="s">
        <v>9932</v>
      </c>
      <c r="E2423" s="2" t="s">
        <v>9933</v>
      </c>
      <c r="F2423" s="2">
        <v>156.0</v>
      </c>
      <c r="G2423" s="2">
        <v>508.0</v>
      </c>
      <c r="H2423" s="2" t="b">
        <v>1</v>
      </c>
      <c r="I2423" s="2">
        <v>-1.0</v>
      </c>
      <c r="J2423" s="2" t="b">
        <v>0</v>
      </c>
      <c r="K2423" s="2" t="b">
        <v>0</v>
      </c>
      <c r="L2423" s="2" t="b">
        <v>0</v>
      </c>
      <c r="M2423" s="2" t="b">
        <v>0</v>
      </c>
      <c r="N2423" s="2" t="s">
        <v>33</v>
      </c>
      <c r="O2423" s="2">
        <v>94.0</v>
      </c>
      <c r="P2423" s="2">
        <v>11.0</v>
      </c>
      <c r="Q2423" s="2">
        <v>48.0</v>
      </c>
      <c r="R2423" s="2">
        <v>0.0</v>
      </c>
      <c r="S2423" s="3" t="s">
        <v>9934</v>
      </c>
      <c r="T2423" s="2" t="s">
        <v>9935</v>
      </c>
      <c r="Y2423" s="4" t="str">
        <f>IFERROR(__xludf.DUMMYFUNCTION("""COMPUTED_VALUE"""),"7.0020289")</f>
        <v>7.0020289</v>
      </c>
      <c r="Z2423" s="4" t="str">
        <f>IFERROR(__xludf.DUMMYFUNCTION("""COMPUTED_VALUE"""),"3.6661265")</f>
        <v>3.6661265</v>
      </c>
      <c r="AA2423" s="4" t="str">
        <f t="shared" si="1"/>
        <v>Neighbor</v>
      </c>
      <c r="AC2423" s="4">
        <f>IFERROR(__xludf.DUMMYFUNCTION("IFERROR(ABS(O2423-AVERAGE(FILTER(O2423:O6491,AA2423:AA6491=""Neighbor""))) / STDEV(FILTER(O2423:O6491, AA2423:AA6491 =""Neighbor"")), """")"),1.1770400042684344)</f>
        <v>1.177040004</v>
      </c>
      <c r="AD2423" s="4">
        <f>IFERROR(__xludf.DUMMYFUNCTION("IFERROR(ABS(P2423-AVERAGE(FILTER(O2423:P6491,AA2423:AA6491=""Neighbor""))) / STDEV(FILTER(P2423:P6491, AA2423:AA6491 =""Neighbor"")), """")"),1.025291579574237)</f>
        <v>1.02529158</v>
      </c>
      <c r="AE2423" s="2">
        <f>IFERROR(__xludf.DUMMYFUNCTION("IFERROR(ABS(Q2423-AVERAGE(FILTER(Q2423:Q6491,AA2423:AA6491=""Neighbor""))) / STDEV(FILTER(Q2423:Q6491, AA2423:AA6491 =""Neighbor"")), """")"),1.6831293244870766)</f>
        <v>1.683129324</v>
      </c>
      <c r="AF2423" s="2">
        <f>IFERROR(__xludf.DUMMYFUNCTION("IFERROR(ABS(R2423-AVERAGE(FILTER(R2423:R6491,AA2423:AA6491=""Neighbor""))) / STDEV(FILTER(R2423:R6491, AA2423:AA6491 =""Neighbor"")), """")"),0.3476239846371704)</f>
        <v>0.3476239846</v>
      </c>
    </row>
    <row r="2424">
      <c r="A2424" s="2" t="s">
        <v>28</v>
      </c>
      <c r="B2424" s="2" t="s">
        <v>9648</v>
      </c>
      <c r="C2424" s="2" t="s">
        <v>9903</v>
      </c>
      <c r="D2424" s="2" t="s">
        <v>9936</v>
      </c>
      <c r="E2424" s="2" t="s">
        <v>9937</v>
      </c>
      <c r="F2424" s="2">
        <v>131.0</v>
      </c>
      <c r="G2424" s="2">
        <v>448.0</v>
      </c>
      <c r="H2424" s="2" t="b">
        <v>1</v>
      </c>
      <c r="I2424" s="2">
        <v>-1.0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s">
        <v>33</v>
      </c>
      <c r="O2424" s="2">
        <v>80.0</v>
      </c>
      <c r="P2424" s="2">
        <v>8.0</v>
      </c>
      <c r="Q2424" s="2">
        <v>35.0</v>
      </c>
      <c r="R2424" s="2">
        <v>0.0</v>
      </c>
      <c r="S2424" s="3" t="s">
        <v>9938</v>
      </c>
      <c r="T2424" s="2" t="s">
        <v>9939</v>
      </c>
      <c r="Y2424" s="4" t="str">
        <f>IFERROR(__xludf.DUMMYFUNCTION("""COMPUTED_VALUE"""),"7.0020289")</f>
        <v>7.0020289</v>
      </c>
      <c r="Z2424" s="4" t="str">
        <f>IFERROR(__xludf.DUMMYFUNCTION("""COMPUTED_VALUE"""),"3.6661265")</f>
        <v>3.6661265</v>
      </c>
      <c r="AA2424" s="4" t="str">
        <f t="shared" si="1"/>
        <v>Not Neighbor</v>
      </c>
      <c r="AC2424" s="4">
        <f>IFERROR(__xludf.DUMMYFUNCTION("IFERROR(ABS(O2424-AVERAGE(FILTER(O2424:O6492,AA2424:AA6492=""Neighbor""))) / STDEV(FILTER(O2424:O6492, AA2424:AA6492 =""Neighbor"")), """")"),0.7901972375805049)</f>
        <v>0.7901972376</v>
      </c>
      <c r="AD2424" s="4">
        <f>IFERROR(__xludf.DUMMYFUNCTION("IFERROR(ABS(P2424-AVERAGE(FILTER(O2424:P6492,AA2424:AA6492=""Neighbor""))) / STDEV(FILTER(P2424:P6492, AA2424:AA6492 =""Neighbor"")), """")"),1.151663049213688)</f>
        <v>1.151663049</v>
      </c>
      <c r="AE2424" s="2">
        <f>IFERROR(__xludf.DUMMYFUNCTION("IFERROR(ABS(Q2424-AVERAGE(FILTER(Q2424:Q6492,AA2424:AA6492=""Neighbor""))) / STDEV(FILTER(Q2424:Q6492, AA2424:AA6492 =""Neighbor"")), """")"),0.9809572159267854)</f>
        <v>0.9809572159</v>
      </c>
      <c r="AF2424" s="2">
        <f>IFERROR(__xludf.DUMMYFUNCTION("IFERROR(ABS(R2424-AVERAGE(FILTER(R2424:R6492,AA2424:AA6492=""Neighbor""))) / STDEV(FILTER(R2424:R6492, AA2424:AA6492 =""Neighbor"")), """")"),0.3479143447941278)</f>
        <v>0.3479143448</v>
      </c>
    </row>
    <row r="2425">
      <c r="A2425" s="2" t="s">
        <v>28</v>
      </c>
      <c r="B2425" s="2" t="s">
        <v>9648</v>
      </c>
      <c r="C2425" s="2" t="s">
        <v>9940</v>
      </c>
      <c r="D2425" s="2" t="s">
        <v>9941</v>
      </c>
      <c r="E2425" s="2" t="s">
        <v>9942</v>
      </c>
      <c r="F2425" s="2">
        <v>180.0</v>
      </c>
      <c r="G2425" s="2">
        <v>687.0</v>
      </c>
      <c r="H2425" s="2" t="b">
        <v>1</v>
      </c>
      <c r="I2425" s="2">
        <v>-1.0</v>
      </c>
      <c r="J2425" s="2" t="b">
        <v>0</v>
      </c>
      <c r="K2425" s="2" t="b">
        <v>0</v>
      </c>
      <c r="L2425" s="2" t="b">
        <v>0</v>
      </c>
      <c r="M2425" s="2" t="b">
        <v>0</v>
      </c>
      <c r="N2425" s="2" t="s">
        <v>33</v>
      </c>
      <c r="O2425" s="2">
        <v>87.0</v>
      </c>
      <c r="P2425" s="2">
        <v>38.0</v>
      </c>
      <c r="Q2425" s="2">
        <v>49.0</v>
      </c>
      <c r="R2425" s="2">
        <v>2.0</v>
      </c>
      <c r="S2425" s="3" t="s">
        <v>9943</v>
      </c>
      <c r="T2425" s="2" t="s">
        <v>9944</v>
      </c>
      <c r="Y2425" s="4" t="str">
        <f>IFERROR(__xludf.DUMMYFUNCTION("""COMPUTED_VALUE"""),"7.0583901")</f>
        <v>7.0583901</v>
      </c>
      <c r="Z2425" s="4" t="str">
        <f>IFERROR(__xludf.DUMMYFUNCTION("""COMPUTED_VALUE"""),"3.7908211")</f>
        <v>3.7908211</v>
      </c>
      <c r="AA2425" s="4" t="str">
        <f t="shared" si="1"/>
        <v>Not Neighbor</v>
      </c>
      <c r="AC2425" s="4">
        <f>IFERROR(__xludf.DUMMYFUNCTION("IFERROR(ABS(O2425-AVERAGE(FILTER(O2425:O6493,AA2425:AA6493=""Neighbor""))) / STDEV(FILTER(O2425:O6493, AA2425:AA6493 =""Neighbor"")), """")"),0.9846677756637586)</f>
        <v>0.9846677757</v>
      </c>
      <c r="AD2425" s="4">
        <f>IFERROR(__xludf.DUMMYFUNCTION("IFERROR(ABS(P2425-AVERAGE(FILTER(O2425:P6493,AA2425:AA6493=""Neighbor""))) / STDEV(FILTER(P2425:P6493, AA2425:AA6493 =""Neighbor"")), """")"),0.13012367185805424)</f>
        <v>0.1301236719</v>
      </c>
      <c r="AE2425" s="2">
        <f>IFERROR(__xludf.DUMMYFUNCTION("IFERROR(ABS(Q2425-AVERAGE(FILTER(Q2425:Q6493,AA2425:AA6493=""Neighbor""))) / STDEV(FILTER(Q2425:Q6493, AA2425:AA6493 =""Neighbor"")), """")"),1.7423456052849358)</f>
        <v>1.742345605</v>
      </c>
      <c r="AF2425" s="2">
        <f>IFERROR(__xludf.DUMMYFUNCTION("IFERROR(ABS(R2425-AVERAGE(FILTER(R2425:R6493,AA2425:AA6493=""Neighbor""))) / STDEV(FILTER(R2425:R6493, AA2425:AA6493 =""Neighbor"")), """")"),1.882732650536644)</f>
        <v>1.882732651</v>
      </c>
    </row>
    <row r="2426">
      <c r="A2426" s="2" t="s">
        <v>28</v>
      </c>
      <c r="B2426" s="2" t="s">
        <v>9648</v>
      </c>
      <c r="C2426" s="2" t="s">
        <v>9940</v>
      </c>
      <c r="D2426" s="2" t="s">
        <v>9945</v>
      </c>
      <c r="E2426" s="2" t="s">
        <v>9946</v>
      </c>
      <c r="F2426" s="2">
        <v>76.0</v>
      </c>
      <c r="G2426" s="2">
        <v>296.0</v>
      </c>
      <c r="H2426" s="2" t="b">
        <v>1</v>
      </c>
      <c r="I2426" s="2">
        <v>-1.0</v>
      </c>
      <c r="J2426" s="2" t="b">
        <v>1</v>
      </c>
      <c r="K2426" s="2" t="b">
        <v>0</v>
      </c>
      <c r="L2426" s="2" t="b">
        <v>0</v>
      </c>
      <c r="M2426" s="2" t="b">
        <v>0</v>
      </c>
      <c r="N2426" s="2" t="s">
        <v>33</v>
      </c>
      <c r="O2426" s="2">
        <v>43.0</v>
      </c>
      <c r="P2426" s="2">
        <v>15.0</v>
      </c>
      <c r="Q2426" s="2">
        <v>13.0</v>
      </c>
      <c r="R2426" s="2">
        <v>1.0</v>
      </c>
      <c r="S2426" s="3" t="s">
        <v>9947</v>
      </c>
      <c r="T2426" s="2" t="s">
        <v>9948</v>
      </c>
      <c r="Y2426" s="4" t="str">
        <f>IFERROR(__xludf.DUMMYFUNCTION("""COMPUTED_VALUE"""),"7.0672393")</f>
        <v>7.0672393</v>
      </c>
      <c r="Z2426" s="4" t="str">
        <f>IFERROR(__xludf.DUMMYFUNCTION("""COMPUTED_VALUE"""),"3.7333537")</f>
        <v>3.7333537</v>
      </c>
      <c r="AA2426" s="4" t="str">
        <f t="shared" si="1"/>
        <v>Not Neighbor</v>
      </c>
      <c r="AC2426" s="4">
        <f>IFERROR(__xludf.DUMMYFUNCTION("IFERROR(ABS(O2426-AVERAGE(FILTER(O2426:O6494,AA2426:AA6494=""Neighbor""))) / STDEV(FILTER(O2426:O6494, AA2426:AA6494 =""Neighbor"")), """")"),0.23771846371669395)</f>
        <v>0.2377184637</v>
      </c>
      <c r="AD2426" s="4">
        <f>IFERROR(__xludf.DUMMYFUNCTION("IFERROR(ABS(P2426-AVERAGE(FILTER(O2426:P6494,AA2426:AA6494=""Neighbor""))) / STDEV(FILTER(P2426:P6494, AA2426:AA6494 =""Neighbor"")), """")"),0.8525794809636148)</f>
        <v>0.852579481</v>
      </c>
      <c r="AE2426" s="2">
        <f>IFERROR(__xludf.DUMMYFUNCTION("IFERROR(ABS(Q2426-AVERAGE(FILTER(Q2426:Q6494,AA2426:AA6494=""Neighbor""))) / STDEV(FILTER(Q2426:Q6494, AA2426:AA6494 =""Neighbor"")), """")"),0.21551025306459382)</f>
        <v>0.2155102531</v>
      </c>
      <c r="AF2426" s="2">
        <f>IFERROR(__xludf.DUMMYFUNCTION("IFERROR(ABS(R2426-AVERAGE(FILTER(R2426:R6494,AA2426:AA6494=""Neighbor""))) / STDEV(FILTER(R2426:R6494, AA2426:AA6494 =""Neighbor"")), """")"),0.7674091528712581)</f>
        <v>0.7674091529</v>
      </c>
    </row>
    <row r="2427">
      <c r="A2427" s="2" t="s">
        <v>28</v>
      </c>
      <c r="B2427" s="2" t="s">
        <v>9648</v>
      </c>
      <c r="C2427" s="2" t="s">
        <v>9940</v>
      </c>
      <c r="D2427" s="2" t="s">
        <v>9949</v>
      </c>
      <c r="E2427" s="2" t="s">
        <v>9950</v>
      </c>
      <c r="F2427" s="2">
        <v>55.0</v>
      </c>
      <c r="G2427" s="2">
        <v>199.0</v>
      </c>
      <c r="H2427" s="2" t="b">
        <v>1</v>
      </c>
      <c r="I2427" s="2">
        <v>-1.0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s">
        <v>33</v>
      </c>
      <c r="O2427" s="2">
        <v>32.0</v>
      </c>
      <c r="P2427" s="2">
        <v>9.0</v>
      </c>
      <c r="Q2427" s="2">
        <v>12.0</v>
      </c>
      <c r="R2427" s="2">
        <v>0.0</v>
      </c>
      <c r="S2427" s="3" t="s">
        <v>9951</v>
      </c>
      <c r="T2427" s="2" t="s">
        <v>9952</v>
      </c>
      <c r="Y2427" s="4" t="str">
        <f>IFERROR(__xludf.DUMMYFUNCTION("""COMPUTED_VALUE"""),"7.0764791")</f>
        <v>7.0764791</v>
      </c>
      <c r="Z2427" s="4" t="str">
        <f>IFERROR(__xludf.DUMMYFUNCTION("""COMPUTED_VALUE"""),"3.710829")</f>
        <v>3.710829</v>
      </c>
      <c r="AA2427" s="4" t="str">
        <f t="shared" si="1"/>
        <v>Not Neighbor</v>
      </c>
      <c r="AC2427" s="4">
        <f>IFERROR(__xludf.DUMMYFUNCTION("IFERROR(ABS(O2427-AVERAGE(FILTER(O2427:O6495,AA2427:AA6495=""Neighbor""))) / STDEV(FILTER(O2427:O6495, AA2427:AA6495 =""Neighbor"")), """")"),0.543315023561807)</f>
        <v>0.5433150236</v>
      </c>
      <c r="AD2427" s="4">
        <f>IFERROR(__xludf.DUMMYFUNCTION("IFERROR(ABS(P2427-AVERAGE(FILTER(O2427:P6495,AA2427:AA6495=""Neighbor""))) / STDEV(FILTER(P2427:P6495, AA2427:AA6495 =""Neighbor"")), """")"),1.1089368251779632)</f>
        <v>1.108936825</v>
      </c>
      <c r="AE2427" s="2">
        <f>IFERROR(__xludf.DUMMYFUNCTION("IFERROR(ABS(Q2427-AVERAGE(FILTER(Q2427:Q6495,AA2427:AA6495=""Neighbor""))) / STDEV(FILTER(Q2427:Q6495, AA2427:AA6495 =""Neighbor"")), """")"),0.2698951380187474)</f>
        <v>0.269895138</v>
      </c>
      <c r="AF2427" s="2">
        <f>IFERROR(__xludf.DUMMYFUNCTION("IFERROR(ABS(R2427-AVERAGE(FILTER(R2427:R6495,AA2427:AA6495=""Neighbor""))) / STDEV(FILTER(R2427:R6495, AA2427:AA6495 =""Neighbor"")), """")"),0.3479143447941278)</f>
        <v>0.3479143448</v>
      </c>
    </row>
    <row r="2428">
      <c r="A2428" s="2" t="s">
        <v>28</v>
      </c>
      <c r="B2428" s="2" t="s">
        <v>9648</v>
      </c>
      <c r="C2428" s="2" t="s">
        <v>9940</v>
      </c>
      <c r="D2428" s="2" t="s">
        <v>9953</v>
      </c>
      <c r="E2428" s="2" t="s">
        <v>9954</v>
      </c>
      <c r="F2428" s="2">
        <v>97.0</v>
      </c>
      <c r="G2428" s="2">
        <v>221.0</v>
      </c>
      <c r="H2428" s="2" t="b">
        <v>1</v>
      </c>
      <c r="I2428" s="2">
        <v>-1.0</v>
      </c>
      <c r="J2428" s="2" t="b">
        <v>0</v>
      </c>
      <c r="K2428" s="2" t="b">
        <v>0</v>
      </c>
      <c r="L2428" s="2" t="b">
        <v>0</v>
      </c>
      <c r="M2428" s="2" t="b">
        <v>0</v>
      </c>
      <c r="N2428" s="2" t="s">
        <v>33</v>
      </c>
      <c r="O2428" s="2">
        <v>79.0</v>
      </c>
      <c r="P2428" s="2">
        <v>1.0</v>
      </c>
      <c r="Q2428" s="2">
        <v>10.0</v>
      </c>
      <c r="R2428" s="2">
        <v>0.0</v>
      </c>
      <c r="S2428" s="3" t="s">
        <v>9955</v>
      </c>
      <c r="T2428" s="2" t="s">
        <v>9956</v>
      </c>
      <c r="Y2428" s="4" t="str">
        <f>IFERROR(__xludf.DUMMYFUNCTION("""COMPUTED_VALUE"""),"7.0642897")</f>
        <v>7.0642897</v>
      </c>
      <c r="Z2428" s="4" t="str">
        <f>IFERROR(__xludf.DUMMYFUNCTION("""COMPUTED_VALUE"""),"3.745572")</f>
        <v>3.745572</v>
      </c>
      <c r="AA2428" s="4" t="str">
        <f t="shared" si="1"/>
        <v>Not Neighbor</v>
      </c>
      <c r="AC2428" s="4">
        <f>IFERROR(__xludf.DUMMYFUNCTION("IFERROR(ABS(O2428-AVERAGE(FILTER(O2428:O6496,AA2428:AA6496=""Neighbor""))) / STDEV(FILTER(O2428:O6496, AA2428:AA6496 =""Neighbor"")), """")"),0.76241573214004)</f>
        <v>0.7624157321</v>
      </c>
      <c r="AD2428" s="4">
        <f>IFERROR(__xludf.DUMMYFUNCTION("IFERROR(ABS(P2428-AVERAGE(FILTER(O2428:P6496,AA2428:AA6496=""Neighbor""))) / STDEV(FILTER(P2428:P6496, AA2428:AA6496 =""Neighbor"")), """")"),1.450746617463761)</f>
        <v>1.450746617</v>
      </c>
      <c r="AE2428" s="2">
        <f>IFERROR(__xludf.DUMMYFUNCTION("IFERROR(ABS(Q2428-AVERAGE(FILTER(Q2428:Q6496,AA2428:AA6496=""Neighbor""))) / STDEV(FILTER(Q2428:Q6496, AA2428:AA6496 =""Neighbor"")), """")"),0.3786649079270546)</f>
        <v>0.3786649079</v>
      </c>
      <c r="AF2428" s="2">
        <f>IFERROR(__xludf.DUMMYFUNCTION("IFERROR(ABS(R2428-AVERAGE(FILTER(R2428:R6496,AA2428:AA6496=""Neighbor""))) / STDEV(FILTER(R2428:R6496, AA2428:AA6496 =""Neighbor"")), """")"),0.3479143447941278)</f>
        <v>0.3479143448</v>
      </c>
    </row>
    <row r="2429">
      <c r="A2429" s="2" t="s">
        <v>28</v>
      </c>
      <c r="B2429" s="2" t="s">
        <v>9648</v>
      </c>
      <c r="C2429" s="2" t="s">
        <v>9940</v>
      </c>
      <c r="D2429" s="2" t="s">
        <v>9957</v>
      </c>
      <c r="E2429" s="2" t="s">
        <v>9958</v>
      </c>
      <c r="F2429" s="2">
        <v>139.0</v>
      </c>
      <c r="G2429" s="2">
        <v>435.0</v>
      </c>
      <c r="H2429" s="2" t="b">
        <v>1</v>
      </c>
      <c r="I2429" s="2">
        <v>-1.0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s">
        <v>33</v>
      </c>
      <c r="O2429" s="2">
        <v>88.0</v>
      </c>
      <c r="P2429" s="2">
        <v>2.0</v>
      </c>
      <c r="Q2429" s="2">
        <v>47.0</v>
      </c>
      <c r="R2429" s="2">
        <v>0.0</v>
      </c>
      <c r="S2429" s="3" t="s">
        <v>9959</v>
      </c>
      <c r="T2429" s="2" t="s">
        <v>9960</v>
      </c>
      <c r="Y2429" s="4" t="str">
        <f>IFERROR(__xludf.DUMMYFUNCTION("""COMPUTED_VALUE"""),"7.0672393")</f>
        <v>7.0672393</v>
      </c>
      <c r="Z2429" s="4" t="str">
        <f>IFERROR(__xludf.DUMMYFUNCTION("""COMPUTED_VALUE"""),"3.7333537")</f>
        <v>3.7333537</v>
      </c>
      <c r="AA2429" s="4" t="str">
        <f t="shared" si="1"/>
        <v>Neighbor</v>
      </c>
      <c r="AC2429" s="4">
        <f>IFERROR(__xludf.DUMMYFUNCTION("IFERROR(ABS(O2429-AVERAGE(FILTER(O2429:O6497,AA2429:AA6497=""Neighbor""))) / STDEV(FILTER(O2429:O6497, AA2429:AA6497 =""Neighbor"")), """")"),1.0124492811042234)</f>
        <v>1.012449281</v>
      </c>
      <c r="AD2429" s="4">
        <f>IFERROR(__xludf.DUMMYFUNCTION("IFERROR(ABS(P2429-AVERAGE(FILTER(O2429:P6497,AA2429:AA6497=""Neighbor""))) / STDEV(FILTER(P2429:P6497, AA2429:AA6497 =""Neighbor"")), """")"),1.4080203934280364)</f>
        <v>1.408020393</v>
      </c>
      <c r="AE2429" s="2">
        <f>IFERROR(__xludf.DUMMYFUNCTION("IFERROR(ABS(Q2429-AVERAGE(FILTER(Q2429:Q6497,AA2429:AA6497=""Neighbor""))) / STDEV(FILTER(Q2429:Q6497, AA2429:AA6497 =""Neighbor"")), """")"),1.6335758353766288)</f>
        <v>1.633575835</v>
      </c>
      <c r="AF2429" s="2">
        <f>IFERROR(__xludf.DUMMYFUNCTION("IFERROR(ABS(R2429-AVERAGE(FILTER(R2429:R6497,AA2429:AA6497=""Neighbor""))) / STDEV(FILTER(R2429:R6497, AA2429:AA6497 =""Neighbor"")), """")"),0.3479143447941278)</f>
        <v>0.3479143448</v>
      </c>
    </row>
    <row r="2430">
      <c r="A2430" s="2" t="s">
        <v>28</v>
      </c>
      <c r="B2430" s="2" t="s">
        <v>9648</v>
      </c>
      <c r="C2430" s="2" t="s">
        <v>9940</v>
      </c>
      <c r="D2430" s="2" t="s">
        <v>9961</v>
      </c>
      <c r="E2430" s="2" t="s">
        <v>9962</v>
      </c>
      <c r="F2430" s="2">
        <v>109.0</v>
      </c>
      <c r="G2430" s="2">
        <v>432.0</v>
      </c>
      <c r="H2430" s="2" t="b">
        <v>1</v>
      </c>
      <c r="I2430" s="2">
        <v>-1.0</v>
      </c>
      <c r="J2430" s="2" t="b">
        <v>0</v>
      </c>
      <c r="K2430" s="2" t="b">
        <v>0</v>
      </c>
      <c r="L2430" s="2" t="b">
        <v>0</v>
      </c>
      <c r="M2430" s="2" t="b">
        <v>0</v>
      </c>
      <c r="N2430" s="2" t="s">
        <v>33</v>
      </c>
      <c r="O2430" s="2">
        <v>54.0</v>
      </c>
      <c r="P2430" s="2">
        <v>15.0</v>
      </c>
      <c r="Q2430" s="2">
        <v>32.0</v>
      </c>
      <c r="R2430" s="2">
        <v>0.0</v>
      </c>
      <c r="S2430" s="3" t="s">
        <v>9963</v>
      </c>
      <c r="T2430" s="2" t="s">
        <v>9964</v>
      </c>
      <c r="Y2430" s="4" t="str">
        <f>IFERROR(__xludf.DUMMYFUNCTION("""COMPUTED_VALUE"""),"7.0672393")</f>
        <v>7.0672393</v>
      </c>
      <c r="Z2430" s="4" t="str">
        <f>IFERROR(__xludf.DUMMYFUNCTION("""COMPUTED_VALUE"""),"3.7333537")</f>
        <v>3.7333537</v>
      </c>
      <c r="AA2430" s="4" t="str">
        <f t="shared" si="1"/>
        <v>Neighbor</v>
      </c>
      <c r="AC2430" s="4">
        <f>IFERROR(__xludf.DUMMYFUNCTION("IFERROR(ABS(O2430-AVERAGE(FILTER(O2430:O6498,AA2430:AA6498=""Neighbor""))) / STDEV(FILTER(O2430:O6498, AA2430:AA6498 =""Neighbor"")), """")"),0.06939285412874104)</f>
        <v>0.06939285413</v>
      </c>
      <c r="AD2430" s="4">
        <f>IFERROR(__xludf.DUMMYFUNCTION("IFERROR(ABS(P2430-AVERAGE(FILTER(O2430:P6498,AA2430:AA6498=""Neighbor""))) / STDEV(FILTER(P2430:P6498, AA2430:AA6498 =""Neighbor"")), """")"),0.851612165227524)</f>
        <v>0.8516121652</v>
      </c>
      <c r="AE2430" s="2">
        <f>IFERROR(__xludf.DUMMYFUNCTION("IFERROR(ABS(Q2430-AVERAGE(FILTER(Q2430:Q6498,AA2430:AA6498=""Neighbor""))) / STDEV(FILTER(Q2430:Q6498, AA2430:AA6498 =""Neighbor"")), """")"),0.8212731873584302)</f>
        <v>0.8212731874</v>
      </c>
      <c r="AF2430" s="2">
        <f>IFERROR(__xludf.DUMMYFUNCTION("IFERROR(ABS(R2430-AVERAGE(FILTER(R2430:R6498,AA2430:AA6498=""Neighbor""))) / STDEV(FILTER(R2430:R6498, AA2430:AA6498 =""Neighbor"")), """")"),0.3482054338957918)</f>
        <v>0.3482054339</v>
      </c>
    </row>
    <row r="2431">
      <c r="A2431" s="2" t="s">
        <v>28</v>
      </c>
      <c r="B2431" s="2" t="s">
        <v>9648</v>
      </c>
      <c r="C2431" s="2" t="s">
        <v>9940</v>
      </c>
      <c r="D2431" s="2" t="s">
        <v>9965</v>
      </c>
      <c r="E2431" s="2" t="s">
        <v>9966</v>
      </c>
      <c r="F2431" s="2">
        <v>60.0</v>
      </c>
      <c r="G2431" s="2">
        <v>195.0</v>
      </c>
      <c r="H2431" s="2" t="b">
        <v>1</v>
      </c>
      <c r="I2431" s="2">
        <v>-1.0</v>
      </c>
      <c r="J2431" s="2" t="b">
        <v>0</v>
      </c>
      <c r="K2431" s="2" t="b">
        <v>0</v>
      </c>
      <c r="L2431" s="2" t="b">
        <v>0</v>
      </c>
      <c r="M2431" s="2" t="b">
        <v>0</v>
      </c>
      <c r="N2431" s="2" t="s">
        <v>33</v>
      </c>
      <c r="O2431" s="2">
        <v>38.0</v>
      </c>
      <c r="P2431" s="2">
        <v>5.0</v>
      </c>
      <c r="Q2431" s="2">
        <v>14.0</v>
      </c>
      <c r="R2431" s="2">
        <v>0.0</v>
      </c>
      <c r="S2431" s="3" t="s">
        <v>9967</v>
      </c>
      <c r="T2431" s="2" t="s">
        <v>9968</v>
      </c>
      <c r="Y2431" s="4" t="str">
        <f>IFERROR(__xludf.DUMMYFUNCTION("""COMPUTED_VALUE"""),"7.0672393")</f>
        <v>7.0672393</v>
      </c>
      <c r="Z2431" s="4" t="str">
        <f>IFERROR(__xludf.DUMMYFUNCTION("""COMPUTED_VALUE"""),"3.7333537")</f>
        <v>3.7333537</v>
      </c>
      <c r="AA2431" s="4" t="str">
        <f t="shared" si="1"/>
        <v>Neighbor</v>
      </c>
      <c r="AC2431" s="4">
        <f>IFERROR(__xludf.DUMMYFUNCTION("IFERROR(ABS(O2431-AVERAGE(FILTER(O2431:O6499,AA2431:AA6499=""Neighbor""))) / STDEV(FILTER(O2431:O6499, AA2431:AA6499 =""Neighbor"")), """")"),0.37473674390133965)</f>
        <v>0.3747367439</v>
      </c>
      <c r="AD2431" s="4">
        <f>IFERROR(__xludf.DUMMYFUNCTION("IFERROR(ABS(P2431-AVERAGE(FILTER(O2431:P6499,AA2431:AA6499=""Neighbor""))) / STDEV(FILTER(P2431:P6499, AA2431:AA6499 =""Neighbor"")), """")"),1.2778015578568065)</f>
        <v>1.277801558</v>
      </c>
      <c r="AE2431" s="2">
        <f>IFERROR(__xludf.DUMMYFUNCTION("IFERROR(ABS(Q2431-AVERAGE(FILTER(Q2431:Q6499,AA2431:AA6499=""Neighbor""))) / STDEV(FILTER(Q2431:Q6499, AA2431:AA6499 =""Neighbor"")), """")"),0.15761479630273362)</f>
        <v>0.1576147963</v>
      </c>
      <c r="AF2431" s="2">
        <f>IFERROR(__xludf.DUMMYFUNCTION("IFERROR(ABS(R2431-AVERAGE(FILTER(R2431:R6499,AA2431:AA6499=""Neighbor""))) / STDEV(FILTER(R2431:R6499, AA2431:AA6499 =""Neighbor"")), """")"),0.3484972549977936)</f>
        <v>0.348497255</v>
      </c>
    </row>
    <row r="2432">
      <c r="A2432" s="2" t="s">
        <v>28</v>
      </c>
      <c r="B2432" s="2" t="s">
        <v>9648</v>
      </c>
      <c r="C2432" s="2" t="s">
        <v>9940</v>
      </c>
      <c r="D2432" s="2" t="s">
        <v>9969</v>
      </c>
      <c r="E2432" s="2" t="s">
        <v>9970</v>
      </c>
      <c r="F2432" s="2">
        <v>44.0</v>
      </c>
      <c r="G2432" s="2">
        <v>120.0</v>
      </c>
      <c r="H2432" s="2" t="b">
        <v>1</v>
      </c>
      <c r="I2432" s="2">
        <v>-1.0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s">
        <v>33</v>
      </c>
      <c r="O2432" s="2">
        <v>10.0</v>
      </c>
      <c r="P2432" s="2">
        <v>1.0</v>
      </c>
      <c r="Q2432" s="2">
        <v>29.0</v>
      </c>
      <c r="R2432" s="2">
        <v>0.0</v>
      </c>
      <c r="S2432" s="3" t="s">
        <v>9971</v>
      </c>
      <c r="T2432" s="2" t="s">
        <v>9972</v>
      </c>
      <c r="Y2432" s="4" t="str">
        <f>IFERROR(__xludf.DUMMYFUNCTION("""COMPUTED_VALUE"""),"7.0672393")</f>
        <v>7.0672393</v>
      </c>
      <c r="Z2432" s="4" t="str">
        <f>IFERROR(__xludf.DUMMYFUNCTION("""COMPUTED_VALUE"""),"3.7333537")</f>
        <v>3.7333537</v>
      </c>
      <c r="AA2432" s="4" t="str">
        <f t="shared" si="1"/>
        <v>Neighbor</v>
      </c>
      <c r="AC2432" s="4">
        <f>IFERROR(__xludf.DUMMYFUNCTION("IFERROR(ABS(O2432-AVERAGE(FILTER(O2432:O6500,AA2432:AA6500=""Neighbor""))) / STDEV(FILTER(O2432:O6500, AA2432:AA6500 =""Neighbor"")), """")"),1.151873618755226)</f>
        <v>1.151873619</v>
      </c>
      <c r="AD2432" s="4">
        <f>IFERROR(__xludf.DUMMYFUNCTION("IFERROR(ABS(P2432-AVERAGE(FILTER(O2432:P6500,AA2432:AA6500=""Neighbor""))) / STDEV(FILTER(P2432:P6500, AA2432:AA6500 =""Neighbor"")), """")"),1.4486437035523898)</f>
        <v>1.448643704</v>
      </c>
      <c r="AE2432" s="2">
        <f>IFERROR(__xludf.DUMMYFUNCTION("IFERROR(ABS(Q2432-AVERAGE(FILTER(Q2432:Q6500,AA2432:AA6500=""Neighbor""))) / STDEV(FILTER(Q2432:Q6500, AA2432:AA6500 =""Neighbor"")), """")"),0.6582650371221875)</f>
        <v>0.6582650371</v>
      </c>
      <c r="AF2432" s="2">
        <f>IFERROR(__xludf.DUMMYFUNCTION("IFERROR(ABS(R2432-AVERAGE(FILTER(R2432:R6500,AA2432:AA6500=""Neighbor""))) / STDEV(FILTER(R2432:R6500, AA2432:AA6500 =""Neighbor"")), """")"),0.34878981117372965)</f>
        <v>0.3487898112</v>
      </c>
    </row>
    <row r="2433">
      <c r="A2433" s="2" t="s">
        <v>28</v>
      </c>
      <c r="B2433" s="2" t="s">
        <v>9648</v>
      </c>
      <c r="C2433" s="2" t="s">
        <v>9940</v>
      </c>
      <c r="D2433" s="2" t="s">
        <v>9973</v>
      </c>
      <c r="E2433" s="2" t="s">
        <v>9974</v>
      </c>
      <c r="F2433" s="2">
        <v>67.0</v>
      </c>
      <c r="G2433" s="2">
        <v>240.0</v>
      </c>
      <c r="H2433" s="2" t="b">
        <v>1</v>
      </c>
      <c r="I2433" s="2">
        <v>-1.0</v>
      </c>
      <c r="J2433" s="2" t="b">
        <v>0</v>
      </c>
      <c r="K2433" s="2" t="b">
        <v>1</v>
      </c>
      <c r="L2433" s="2" t="b">
        <v>1</v>
      </c>
      <c r="M2433" s="2" t="b">
        <v>0</v>
      </c>
      <c r="N2433" s="2" t="s">
        <v>33</v>
      </c>
      <c r="O2433" s="2">
        <v>44.0</v>
      </c>
      <c r="P2433" s="2">
        <v>3.0</v>
      </c>
      <c r="Q2433" s="2">
        <v>19.0</v>
      </c>
      <c r="R2433" s="2">
        <v>0.0</v>
      </c>
      <c r="S2433" s="3" t="s">
        <v>9975</v>
      </c>
      <c r="T2433" s="2" t="s">
        <v>9976</v>
      </c>
      <c r="Y2433" s="4" t="str">
        <f>IFERROR(__xludf.DUMMYFUNCTION("""COMPUTED_VALUE"""),"7.0672393")</f>
        <v>7.0672393</v>
      </c>
      <c r="Z2433" s="4" t="str">
        <f>IFERROR(__xludf.DUMMYFUNCTION("""COMPUTED_VALUE"""),"3.7333537")</f>
        <v>3.7333537</v>
      </c>
      <c r="AA2433" s="4" t="str">
        <f t="shared" si="1"/>
        <v>Not Neighbor</v>
      </c>
      <c r="AC2433" s="4">
        <f>IFERROR(__xludf.DUMMYFUNCTION("IFERROR(ABS(O2433-AVERAGE(FILTER(O2433:O6501,AA2433:AA6501=""Neighbor""))) / STDEV(FILTER(O2433:O6501, AA2433:AA6501 =""Neighbor"")), """")"),0.21037745410982664)</f>
        <v>0.2103774541</v>
      </c>
      <c r="AD2433" s="4">
        <f>IFERROR(__xludf.DUMMYFUNCTION("IFERROR(ABS(P2433-AVERAGE(FILTER(O2433:P6501,AA2433:AA6501=""Neighbor""))) / STDEV(FILTER(P2433:P6501, AA2433:AA6501 =""Neighbor"")), """")"),1.3647568090495255)</f>
        <v>1.364756809</v>
      </c>
      <c r="AE2433" s="2">
        <f>IFERROR(__xludf.DUMMYFUNCTION("IFERROR(ABS(Q2433-AVERAGE(FILTER(Q2433:Q6501,AA2433:AA6501=""Neighbor""))) / STDEV(FILTER(Q2433:Q6501, AA2433:AA6501 =""Neighbor"")), """")"),0.11520393316833659)</f>
        <v>0.1152039332</v>
      </c>
      <c r="AF2433" s="2">
        <f>IFERROR(__xludf.DUMMYFUNCTION("IFERROR(ABS(R2433-AVERAGE(FILTER(R2433:R6501,AA2433:AA6501=""Neighbor""))) / STDEV(FILTER(R2433:R6501, AA2433:AA6501 =""Neighbor"")), """")"),0.34908310551529714)</f>
        <v>0.3490831055</v>
      </c>
    </row>
    <row r="2434">
      <c r="A2434" s="2" t="s">
        <v>28</v>
      </c>
      <c r="B2434" s="2" t="s">
        <v>9648</v>
      </c>
      <c r="C2434" s="2" t="s">
        <v>9977</v>
      </c>
      <c r="D2434" s="2" t="s">
        <v>9978</v>
      </c>
      <c r="E2434" s="2" t="s">
        <v>9979</v>
      </c>
      <c r="F2434" s="2">
        <v>118.0</v>
      </c>
      <c r="G2434" s="2">
        <v>508.0</v>
      </c>
      <c r="H2434" s="2" t="b">
        <v>1</v>
      </c>
      <c r="I2434" s="2">
        <v>-1.0</v>
      </c>
      <c r="J2434" s="2" t="b">
        <v>0</v>
      </c>
      <c r="K2434" s="2" t="b">
        <v>0</v>
      </c>
      <c r="L2434" s="2" t="b">
        <v>0</v>
      </c>
      <c r="M2434" s="2" t="b">
        <v>0</v>
      </c>
      <c r="N2434" s="2" t="s">
        <v>33</v>
      </c>
      <c r="O2434" s="2">
        <v>69.0</v>
      </c>
      <c r="P2434" s="2">
        <v>12.0</v>
      </c>
      <c r="Q2434" s="2">
        <v>34.0</v>
      </c>
      <c r="R2434" s="2">
        <v>0.0</v>
      </c>
      <c r="S2434" s="3" t="s">
        <v>9980</v>
      </c>
      <c r="T2434" s="2" t="s">
        <v>9981</v>
      </c>
      <c r="Y2434" s="4" t="str">
        <f>IFERROR(__xludf.DUMMYFUNCTION("""COMPUTED_VALUE"""),"7.0136522")</f>
        <v>7.0136522</v>
      </c>
      <c r="Z2434" s="4" t="str">
        <f>IFERROR(__xludf.DUMMYFUNCTION("""COMPUTED_VALUE"""),"3.7232005")</f>
        <v>3.7232005</v>
      </c>
      <c r="AA2434" s="4" t="str">
        <f t="shared" si="1"/>
        <v>Neighbor</v>
      </c>
      <c r="AC2434" s="4">
        <f>IFERROR(__xludf.DUMMYFUNCTION("IFERROR(ABS(O2434-AVERAGE(FILTER(O2434:O6502,AA2434:AA6502=""Neighbor""))) / STDEV(FILTER(O2434:O6502, AA2434:AA6502 =""Neighbor"")), """")"),0.4833806387657158)</f>
        <v>0.4833806388</v>
      </c>
      <c r="AD2434" s="4">
        <f>IFERROR(__xludf.DUMMYFUNCTION("IFERROR(ABS(P2434-AVERAGE(FILTER(O2434:P6502,AA2434:AA6502=""Neighbor""))) / STDEV(FILTER(P2434:P6502, AA2434:AA6502 =""Neighbor"")), """")"),0.9809729801289129)</f>
        <v>0.9809729801</v>
      </c>
      <c r="AE2434" s="2">
        <f>IFERROR(__xludf.DUMMYFUNCTION("IFERROR(ABS(Q2434-AVERAGE(FILTER(Q2434:Q6502,AA2434:AA6502=""Neighbor""))) / STDEV(FILTER(Q2434:Q6502, AA2434:AA6502 =""Neighbor"")), """")"),0.9308575776415345)</f>
        <v>0.9308575776</v>
      </c>
      <c r="AF2434" s="2">
        <f>IFERROR(__xludf.DUMMYFUNCTION("IFERROR(ABS(R2434-AVERAGE(FILTER(R2434:R6502,AA2434:AA6502=""Neighbor""))) / STDEV(FILTER(R2434:R6502, AA2434:AA6502 =""Neighbor"")), """")"),0.34908310551529714)</f>
        <v>0.3490831055</v>
      </c>
    </row>
    <row r="2435">
      <c r="A2435" s="2" t="s">
        <v>28</v>
      </c>
      <c r="B2435" s="2" t="s">
        <v>9648</v>
      </c>
      <c r="C2435" s="2" t="s">
        <v>9977</v>
      </c>
      <c r="D2435" s="2" t="s">
        <v>9982</v>
      </c>
      <c r="E2435" s="2" t="s">
        <v>9983</v>
      </c>
      <c r="F2435" s="2">
        <v>133.0</v>
      </c>
      <c r="G2435" s="2">
        <v>690.0</v>
      </c>
      <c r="H2435" s="2" t="b">
        <v>1</v>
      </c>
      <c r="I2435" s="2">
        <v>-1.0</v>
      </c>
      <c r="J2435" s="2" t="b">
        <v>0</v>
      </c>
      <c r="K2435" s="2" t="b">
        <v>0</v>
      </c>
      <c r="L2435" s="2" t="b">
        <v>0</v>
      </c>
      <c r="M2435" s="2" t="b">
        <v>0</v>
      </c>
      <c r="N2435" s="2" t="s">
        <v>33</v>
      </c>
      <c r="O2435" s="2">
        <v>67.0</v>
      </c>
      <c r="P2435" s="2">
        <v>13.0</v>
      </c>
      <c r="Q2435" s="2">
        <v>50.0</v>
      </c>
      <c r="R2435" s="2">
        <v>0.0</v>
      </c>
      <c r="S2435" s="3" t="s">
        <v>9984</v>
      </c>
      <c r="T2435" s="2" t="s">
        <v>9985</v>
      </c>
      <c r="Y2435" s="4" t="str">
        <f>IFERROR(__xludf.DUMMYFUNCTION("""COMPUTED_VALUE"""),"7.0136522")</f>
        <v>7.0136522</v>
      </c>
      <c r="Z2435" s="4" t="str">
        <f>IFERROR(__xludf.DUMMYFUNCTION("""COMPUTED_VALUE"""),"3.7232005")</f>
        <v>3.7232005</v>
      </c>
      <c r="AA2435" s="4" t="str">
        <f t="shared" si="1"/>
        <v>Not Neighbor</v>
      </c>
      <c r="AC2435" s="4">
        <f>IFERROR(__xludf.DUMMYFUNCTION("IFERROR(ABS(O2435-AVERAGE(FILTER(O2435:O6503,AA2435:AA6503=""Neighbor""))) / STDEV(FILTER(O2435:O6503, AA2435:AA6503 =""Neighbor"")), """")"),0.4283598723066204)</f>
        <v>0.4283598723</v>
      </c>
      <c r="AD2435" s="4">
        <f>IFERROR(__xludf.DUMMYFUNCTION("IFERROR(ABS(P2435-AVERAGE(FILTER(O2435:P6503,AA2435:AA6503=""Neighbor""))) / STDEV(FILTER(P2435:P6503, AA2435:AA6503 =""Neighbor"")), """")"),0.9373254573737894)</f>
        <v>0.9373254574</v>
      </c>
      <c r="AE2435" s="2">
        <f>IFERROR(__xludf.DUMMYFUNCTION("IFERROR(ABS(Q2435-AVERAGE(FILTER(Q2435:Q6503,AA2435:AA6503=""Neighbor""))) / STDEV(FILTER(Q2435:Q6503, AA2435:AA6503 =""Neighbor"")), """")"),1.80210852827252)</f>
        <v>1.802108528</v>
      </c>
      <c r="AF2435" s="2">
        <f>IFERROR(__xludf.DUMMYFUNCTION("IFERROR(ABS(R2435-AVERAGE(FILTER(R2435:R6503,AA2435:AA6503=""Neighbor""))) / STDEV(FILTER(R2435:R6503, AA2435:AA6503 =""Neighbor"")), """")"),0.34937714113243207)</f>
        <v>0.3493771411</v>
      </c>
    </row>
    <row r="2436">
      <c r="A2436" s="2" t="s">
        <v>28</v>
      </c>
      <c r="B2436" s="2" t="s">
        <v>9648</v>
      </c>
      <c r="C2436" s="2" t="s">
        <v>9977</v>
      </c>
      <c r="D2436" s="2" t="s">
        <v>9986</v>
      </c>
      <c r="E2436" s="2" t="s">
        <v>9987</v>
      </c>
      <c r="F2436" s="2">
        <v>136.0</v>
      </c>
      <c r="G2436" s="2">
        <v>562.0</v>
      </c>
      <c r="H2436" s="2" t="b">
        <v>1</v>
      </c>
      <c r="I2436" s="2">
        <v>-1.0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s">
        <v>33</v>
      </c>
      <c r="O2436" s="2">
        <v>63.0</v>
      </c>
      <c r="P2436" s="2">
        <v>10.0</v>
      </c>
      <c r="Q2436" s="2">
        <v>59.0</v>
      </c>
      <c r="R2436" s="2">
        <v>0.0</v>
      </c>
      <c r="S2436" s="3" t="s">
        <v>9988</v>
      </c>
      <c r="T2436" s="2" t="s">
        <v>9989</v>
      </c>
      <c r="Y2436" s="4" t="str">
        <f>IFERROR(__xludf.DUMMYFUNCTION("""COMPUTED_VALUE"""),"6.9694347")</f>
        <v>6.9694347</v>
      </c>
      <c r="Z2436" s="4" t="str">
        <f>IFERROR(__xludf.DUMMYFUNCTION("""COMPUTED_VALUE"""),"3.677903")</f>
        <v>3.677903</v>
      </c>
      <c r="AA2436" s="4" t="str">
        <f t="shared" si="1"/>
        <v>Neighbor</v>
      </c>
      <c r="AC2436" s="4">
        <f>IFERROR(__xludf.DUMMYFUNCTION("IFERROR(ABS(O2436-AVERAGE(FILTER(O2436:O6504,AA2436:AA6504=""Neighbor""))) / STDEV(FILTER(O2436:O6504, AA2436:AA6504 =""Neighbor"")), """")"),0.31742254776805456)</f>
        <v>0.3174225478</v>
      </c>
      <c r="AD2436" s="4">
        <f>IFERROR(__xludf.DUMMYFUNCTION("IFERROR(ABS(P2436-AVERAGE(FILTER(O2436:P6504,AA2436:AA6504=""Neighbor""))) / STDEV(FILTER(P2436:P6504, AA2436:AA6504 =""Neighbor"")), """")"),1.0651644105415015)</f>
        <v>1.065164411</v>
      </c>
      <c r="AE2436" s="2">
        <f>IFERROR(__xludf.DUMMYFUNCTION("IFERROR(ABS(Q2436-AVERAGE(FILTER(Q2436:Q6504,AA2436:AA6504=""Neighbor""))) / STDEV(FILTER(Q2436:Q6504, AA2436:AA6504 =""Neighbor"")), """")"),2.2914520036915587)</f>
        <v>2.291452004</v>
      </c>
      <c r="AF2436" s="2">
        <f>IFERROR(__xludf.DUMMYFUNCTION("IFERROR(ABS(R2436-AVERAGE(FILTER(R2436:R6504,AA2436:AA6504=""Neighbor""))) / STDEV(FILTER(R2436:R6504, AA2436:AA6504 =""Neighbor"")), """")"),0.34937714113243207)</f>
        <v>0.3493771411</v>
      </c>
    </row>
    <row r="2437">
      <c r="A2437" s="2" t="s">
        <v>28</v>
      </c>
      <c r="B2437" s="2" t="s">
        <v>9648</v>
      </c>
      <c r="C2437" s="2" t="s">
        <v>9977</v>
      </c>
      <c r="D2437" s="2" t="s">
        <v>9990</v>
      </c>
      <c r="E2437" s="2" t="s">
        <v>9991</v>
      </c>
      <c r="F2437" s="2">
        <v>122.0</v>
      </c>
      <c r="G2437" s="2">
        <v>517.0</v>
      </c>
      <c r="H2437" s="2" t="b">
        <v>1</v>
      </c>
      <c r="I2437" s="2">
        <v>-1.0</v>
      </c>
      <c r="J2437" s="2" t="b">
        <v>0</v>
      </c>
      <c r="K2437" s="2" t="b">
        <v>0</v>
      </c>
      <c r="L2437" s="2" t="b">
        <v>0</v>
      </c>
      <c r="M2437" s="2" t="b">
        <v>0</v>
      </c>
      <c r="N2437" s="2" t="s">
        <v>33</v>
      </c>
      <c r="O2437" s="2">
        <v>57.0</v>
      </c>
      <c r="P2437" s="2">
        <v>5.0</v>
      </c>
      <c r="Q2437" s="2">
        <v>50.0</v>
      </c>
      <c r="R2437" s="2">
        <v>1.0</v>
      </c>
      <c r="S2437" s="3" t="s">
        <v>9992</v>
      </c>
      <c r="T2437" s="2" t="s">
        <v>9993</v>
      </c>
      <c r="Y2437" s="4" t="str">
        <f>IFERROR(__xludf.DUMMYFUNCTION("""COMPUTED_VALUE"""),"6.9694347")</f>
        <v>6.9694347</v>
      </c>
      <c r="Z2437" s="4" t="str">
        <f>IFERROR(__xludf.DUMMYFUNCTION("""COMPUTED_VALUE"""),"3.677903")</f>
        <v>3.677903</v>
      </c>
      <c r="AA2437" s="4" t="str">
        <f t="shared" si="1"/>
        <v>Not Neighbor</v>
      </c>
      <c r="AC2437" s="4">
        <f>IFERROR(__xludf.DUMMYFUNCTION("IFERROR(ABS(O2437-AVERAGE(FILTER(O2437:O6505,AA2437:AA6505=""Neighbor""))) / STDEV(FILTER(O2437:O6505, AA2437:AA6505 =""Neighbor"")), """")"),0.1513919907599046)</f>
        <v>0.1513919908</v>
      </c>
      <c r="AD2437" s="4">
        <f>IFERROR(__xludf.DUMMYFUNCTION("IFERROR(ABS(P2437-AVERAGE(FILTER(O2437:P6505,AA2437:AA6505=""Neighbor""))) / STDEV(FILTER(P2437:P6505, AA2437:AA6505 =""Neighbor"")), """")"),1.2772945491603407)</f>
        <v>1.277294549</v>
      </c>
      <c r="AE2437" s="2">
        <f>IFERROR(__xludf.DUMMYFUNCTION("IFERROR(ABS(Q2437-AVERAGE(FILTER(Q2437:Q6505,AA2437:AA6505=""Neighbor""))) / STDEV(FILTER(Q2437:Q6505, AA2437:AA6505 =""Neighbor"")), """")"),1.8113864381778324)</f>
        <v>1.811386438</v>
      </c>
      <c r="AF2437" s="2">
        <f>IFERROR(__xludf.DUMMYFUNCTION("IFERROR(ABS(R2437-AVERAGE(FILTER(R2437:R6505,AA2437:AA6505=""Neighbor""))) / STDEV(FILTER(R2437:R6505, AA2437:AA6505 =""Neighbor"")), """")"),0.7612474838508055)</f>
        <v>0.7612474839</v>
      </c>
    </row>
    <row r="2438">
      <c r="A2438" s="2" t="s">
        <v>28</v>
      </c>
      <c r="B2438" s="2" t="s">
        <v>9648</v>
      </c>
      <c r="C2438" s="2" t="s">
        <v>9977</v>
      </c>
      <c r="D2438" s="2" t="s">
        <v>9994</v>
      </c>
      <c r="E2438" s="2" t="s">
        <v>9995</v>
      </c>
      <c r="F2438" s="2">
        <v>108.0</v>
      </c>
      <c r="G2438" s="2">
        <v>363.0</v>
      </c>
      <c r="H2438" s="2" t="b">
        <v>1</v>
      </c>
      <c r="I2438" s="2">
        <v>-1.0</v>
      </c>
      <c r="J2438" s="2" t="b">
        <v>0</v>
      </c>
      <c r="K2438" s="2" t="b">
        <v>0</v>
      </c>
      <c r="L2438" s="2" t="b">
        <v>0</v>
      </c>
      <c r="M2438" s="2" t="b">
        <v>0</v>
      </c>
      <c r="N2438" s="2" t="s">
        <v>33</v>
      </c>
      <c r="O2438" s="2">
        <v>64.0</v>
      </c>
      <c r="P2438" s="2">
        <v>6.0</v>
      </c>
      <c r="Q2438" s="2">
        <v>33.0</v>
      </c>
      <c r="R2438" s="2">
        <v>0.0</v>
      </c>
      <c r="S2438" s="3" t="s">
        <v>9996</v>
      </c>
      <c r="T2438" s="2" t="s">
        <v>9997</v>
      </c>
      <c r="Y2438" s="4" t="str">
        <f>IFERROR(__xludf.DUMMYFUNCTION("""COMPUTED_VALUE"""),"7.0136522")</f>
        <v>7.0136522</v>
      </c>
      <c r="Z2438" s="4" t="str">
        <f>IFERROR(__xludf.DUMMYFUNCTION("""COMPUTED_VALUE"""),"3.7232005")</f>
        <v>3.7232005</v>
      </c>
      <c r="AA2438" s="4" t="str">
        <f t="shared" si="1"/>
        <v>Not Neighbor</v>
      </c>
      <c r="AC2438" s="4">
        <f>IFERROR(__xludf.DUMMYFUNCTION("IFERROR(ABS(O2438-AVERAGE(FILTER(O2438:O6506,AA2438:AA6506=""Neighbor""))) / STDEV(FILTER(O2438:O6506, AA2438:AA6506 =""Neighbor"")), """")"),0.3454008060485831)</f>
        <v>0.345400806</v>
      </c>
      <c r="AD2438" s="4">
        <f>IFERROR(__xludf.DUMMYFUNCTION("IFERROR(ABS(P2438-AVERAGE(FILTER(O2438:P6506,AA2438:AA6506=""Neighbor""))) / STDEV(FILTER(P2438:P6506, AA2438:AA6506 =""Neighbor"")), """")"),1.2347095129762442)</f>
        <v>1.234709513</v>
      </c>
      <c r="AE2438" s="2">
        <f>IFERROR(__xludf.DUMMYFUNCTION("IFERROR(ABS(Q2438-AVERAGE(FILTER(Q2438:Q6506,AA2438:AA6506=""Neighbor""))) / STDEV(FILTER(Q2438:Q6506, AA2438:AA6506 =""Neighbor"")), """")"),0.8840880203024867)</f>
        <v>0.8840880203</v>
      </c>
      <c r="AF2438" s="2">
        <f>IFERROR(__xludf.DUMMYFUNCTION("IFERROR(ABS(R2438-AVERAGE(FILTER(R2438:R6506,AA2438:AA6506=""Neighbor""))) / STDEV(FILTER(R2438:R6506, AA2438:AA6506 =""Neighbor"")), """")"),0.34967192115344686)</f>
        <v>0.3496719212</v>
      </c>
    </row>
    <row r="2439">
      <c r="A2439" s="2" t="s">
        <v>28</v>
      </c>
      <c r="B2439" s="2" t="s">
        <v>9648</v>
      </c>
      <c r="C2439" s="2" t="s">
        <v>9977</v>
      </c>
      <c r="D2439" s="2" t="s">
        <v>9998</v>
      </c>
      <c r="E2439" s="2" t="s">
        <v>9999</v>
      </c>
      <c r="F2439" s="2">
        <v>70.0</v>
      </c>
      <c r="G2439" s="2">
        <v>269.0</v>
      </c>
      <c r="H2439" s="2" t="b">
        <v>1</v>
      </c>
      <c r="I2439" s="2">
        <v>-1.0</v>
      </c>
      <c r="J2439" s="2" t="b">
        <v>0</v>
      </c>
      <c r="K2439" s="2" t="b">
        <v>1</v>
      </c>
      <c r="L2439" s="2" t="b">
        <v>0</v>
      </c>
      <c r="M2439" s="2" t="b">
        <v>0</v>
      </c>
      <c r="N2439" s="2" t="s">
        <v>33</v>
      </c>
      <c r="O2439" s="2">
        <v>39.0</v>
      </c>
      <c r="P2439" s="2">
        <v>5.0</v>
      </c>
      <c r="Q2439" s="2">
        <v>23.0</v>
      </c>
      <c r="R2439" s="2">
        <v>0.0</v>
      </c>
      <c r="S2439" s="3" t="s">
        <v>10000</v>
      </c>
      <c r="T2439" s="2" t="s">
        <v>10001</v>
      </c>
      <c r="Y2439" s="4" t="str">
        <f>IFERROR(__xludf.DUMMYFUNCTION("""COMPUTED_VALUE"""),"6.9656653")</f>
        <v>6.9656653</v>
      </c>
      <c r="Z2439" s="4" t="str">
        <f>IFERROR(__xludf.DUMMYFUNCTION("""COMPUTED_VALUE"""),"3.6876803")</f>
        <v>3.6876803</v>
      </c>
      <c r="AA2439" s="4" t="str">
        <f t="shared" si="1"/>
        <v>Not Neighbor</v>
      </c>
      <c r="AC2439" s="4">
        <f>IFERROR(__xludf.DUMMYFUNCTION("IFERROR(ABS(O2439-AVERAGE(FILTER(O2439:O6507,AA2439:AA6507=""Neighbor""))) / STDEV(FILTER(O2439:O6507, AA2439:AA6507 =""Neighbor"")), """")"),0.3474878199824115)</f>
        <v>0.34748782</v>
      </c>
      <c r="AD2439" s="4">
        <f>IFERROR(__xludf.DUMMYFUNCTION("IFERROR(ABS(P2439-AVERAGE(FILTER(O2439:P6507,AA2439:AA6507=""Neighbor""))) / STDEV(FILTER(P2439:P6507, AA2439:AA6507 =""Neighbor"")), """")"),1.2772945491603407)</f>
        <v>1.277294549</v>
      </c>
      <c r="AE2439" s="2">
        <f>IFERROR(__xludf.DUMMYFUNCTION("IFERROR(ABS(Q2439-AVERAGE(FILTER(Q2439:Q6507,AA2439:AA6507=""Neighbor""))) / STDEV(FILTER(Q2439:Q6507, AA2439:AA6507 =""Neighbor"")), """")"),0.33861836272875395)</f>
        <v>0.3386183627</v>
      </c>
      <c r="AF2439" s="2">
        <f>IFERROR(__xludf.DUMMYFUNCTION("IFERROR(ABS(R2439-AVERAGE(FILTER(R2439:R6507,AA2439:AA6507=""Neighbor""))) / STDEV(FILTER(R2439:R6507, AA2439:AA6507 =""Neighbor"")), """")"),0.34967192115344686)</f>
        <v>0.3496719212</v>
      </c>
    </row>
    <row r="2440">
      <c r="A2440" s="2" t="s">
        <v>28</v>
      </c>
      <c r="B2440" s="2" t="s">
        <v>9648</v>
      </c>
      <c r="C2440" s="2" t="s">
        <v>9977</v>
      </c>
      <c r="D2440" s="2" t="s">
        <v>10002</v>
      </c>
      <c r="E2440" s="2" t="s">
        <v>10003</v>
      </c>
      <c r="F2440" s="2">
        <v>127.0</v>
      </c>
      <c r="G2440" s="2">
        <v>407.0</v>
      </c>
      <c r="H2440" s="2" t="b">
        <v>1</v>
      </c>
      <c r="I2440" s="2">
        <v>-1.0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s">
        <v>33</v>
      </c>
      <c r="O2440" s="2">
        <v>92.0</v>
      </c>
      <c r="P2440" s="2">
        <v>18.0</v>
      </c>
      <c r="Q2440" s="2">
        <v>15.0</v>
      </c>
      <c r="R2440" s="2">
        <v>0.0</v>
      </c>
      <c r="S2440" s="3" t="s">
        <v>10004</v>
      </c>
      <c r="T2440" s="2" t="s">
        <v>10005</v>
      </c>
      <c r="Y2440" s="4" t="str">
        <f>IFERROR(__xludf.DUMMYFUNCTION("""COMPUTED_VALUE"""),"7.0136522")</f>
        <v>7.0136522</v>
      </c>
      <c r="Z2440" s="4" t="str">
        <f>IFERROR(__xludf.DUMMYFUNCTION("""COMPUTED_VALUE"""),"3.7232005")</f>
        <v>3.7232005</v>
      </c>
      <c r="AA2440" s="4" t="str">
        <f t="shared" si="1"/>
        <v>Not Neighbor</v>
      </c>
      <c r="AC2440" s="4">
        <f>IFERROR(__xludf.DUMMYFUNCTION("IFERROR(ABS(O2440-AVERAGE(FILTER(O2440:O6508,AA2440:AA6508=""Neighbor""))) / STDEV(FILTER(O2440:O6508, AA2440:AA6508 =""Neighbor"")), """")"),1.121436067203297)</f>
        <v>1.121436067</v>
      </c>
      <c r="AD2440" s="4">
        <f>IFERROR(__xludf.DUMMYFUNCTION("IFERROR(ABS(P2440-AVERAGE(FILTER(O2440:P6508,AA2440:AA6508=""Neighbor""))) / STDEV(FILTER(P2440:P6508, AA2440:AA6508 =""Neighbor"")), """")"),0.723689078767086)</f>
        <v>0.7236890788</v>
      </c>
      <c r="AE2440" s="2">
        <f>IFERROR(__xludf.DUMMYFUNCTION("IFERROR(ABS(Q2440-AVERAGE(FILTER(Q2440:Q6508,AA2440:AA6508=""Neighbor""))) / STDEV(FILTER(Q2440:Q6508, AA2440:AA6508 =""Neighbor"")), """")"),0.09775736333023231)</f>
        <v>0.09775736333</v>
      </c>
      <c r="AF2440" s="2">
        <f>IFERROR(__xludf.DUMMYFUNCTION("IFERROR(ABS(R2440-AVERAGE(FILTER(R2440:R6508,AA2440:AA6508=""Neighbor""))) / STDEV(FILTER(R2440:R6508, AA2440:AA6508 =""Neighbor"")), """")"),0.34967192115344686)</f>
        <v>0.3496719212</v>
      </c>
    </row>
    <row r="2441">
      <c r="A2441" s="2" t="s">
        <v>28</v>
      </c>
      <c r="B2441" s="2" t="s">
        <v>9648</v>
      </c>
      <c r="C2441" s="2" t="s">
        <v>9977</v>
      </c>
      <c r="D2441" s="2" t="s">
        <v>10006</v>
      </c>
      <c r="E2441" s="2" t="s">
        <v>10007</v>
      </c>
      <c r="F2441" s="2">
        <v>91.0</v>
      </c>
      <c r="G2441" s="2">
        <v>416.0</v>
      </c>
      <c r="H2441" s="2" t="b">
        <v>1</v>
      </c>
      <c r="I2441" s="2">
        <v>-1.0</v>
      </c>
      <c r="J2441" s="2" t="b">
        <v>0</v>
      </c>
      <c r="K2441" s="2" t="b">
        <v>0</v>
      </c>
      <c r="L2441" s="2" t="b">
        <v>0</v>
      </c>
      <c r="M2441" s="2" t="b">
        <v>0</v>
      </c>
      <c r="N2441" s="2" t="s">
        <v>33</v>
      </c>
      <c r="O2441" s="2">
        <v>52.0</v>
      </c>
      <c r="P2441" s="2">
        <v>10.0</v>
      </c>
      <c r="Q2441" s="2">
        <v>27.0</v>
      </c>
      <c r="R2441" s="2">
        <v>0.0</v>
      </c>
      <c r="S2441" s="3" t="s">
        <v>10008</v>
      </c>
      <c r="T2441" s="2" t="s">
        <v>10009</v>
      </c>
      <c r="Y2441" s="4" t="str">
        <f>IFERROR(__xludf.DUMMYFUNCTION("""COMPUTED_VALUE"""),"6.9656653")</f>
        <v>6.9656653</v>
      </c>
      <c r="Z2441" s="4" t="str">
        <f>IFERROR(__xludf.DUMMYFUNCTION("""COMPUTED_VALUE"""),"3.6876803")</f>
        <v>3.6876803</v>
      </c>
      <c r="AA2441" s="4" t="str">
        <f t="shared" si="1"/>
        <v>Neighbor</v>
      </c>
      <c r="AC2441" s="4">
        <f>IFERROR(__xludf.DUMMYFUNCTION("IFERROR(ABS(O2441-AVERAGE(FILTER(O2441:O6509,AA2441:AA6509=""Neighbor""))) / STDEV(FILTER(O2441:O6509, AA2441:AA6509 =""Neighbor"")), """")"),0.012814265553705663)</f>
        <v>0.01281426555</v>
      </c>
      <c r="AD2441" s="4">
        <f>IFERROR(__xludf.DUMMYFUNCTION("IFERROR(ABS(P2441-AVERAGE(FILTER(O2441:P6509,AA2441:AA6509=""Neighbor""))) / STDEV(FILTER(P2441:P6509, AA2441:AA6509 =""Neighbor"")), """")"),1.064369368239858)</f>
        <v>1.064369368</v>
      </c>
      <c r="AE2441" s="2">
        <f>IFERROR(__xludf.DUMMYFUNCTION("IFERROR(ABS(Q2441-AVERAGE(FILTER(Q2441:Q6509,AA2441:AA6509=""Neighbor""))) / STDEV(FILTER(Q2441:Q6509, AA2441:AA6509 =""Neighbor"")), """")"),0.556806225758247)</f>
        <v>0.5568062258</v>
      </c>
      <c r="AF2441" s="2">
        <f>IFERROR(__xludf.DUMMYFUNCTION("IFERROR(ABS(R2441-AVERAGE(FILTER(R2441:R6509,AA2441:AA6509=""Neighbor""))) / STDEV(FILTER(R2441:R6509, AA2441:AA6509 =""Neighbor"")), """")"),0.34967192115344686)</f>
        <v>0.3496719212</v>
      </c>
    </row>
    <row r="2442">
      <c r="A2442" s="2" t="s">
        <v>28</v>
      </c>
      <c r="B2442" s="2" t="s">
        <v>9648</v>
      </c>
      <c r="C2442" s="2" t="s">
        <v>9977</v>
      </c>
      <c r="D2442" s="2" t="s">
        <v>10010</v>
      </c>
      <c r="E2442" s="2" t="s">
        <v>10011</v>
      </c>
      <c r="F2442" s="2">
        <v>49.0</v>
      </c>
      <c r="G2442" s="2">
        <v>178.0</v>
      </c>
      <c r="H2442" s="2" t="b">
        <v>1</v>
      </c>
      <c r="I2442" s="2">
        <v>-1.0</v>
      </c>
      <c r="J2442" s="2" t="b">
        <v>1</v>
      </c>
      <c r="K2442" s="2" t="b">
        <v>0</v>
      </c>
      <c r="L2442" s="2" t="b">
        <v>0</v>
      </c>
      <c r="M2442" s="2" t="b">
        <v>0</v>
      </c>
      <c r="N2442" s="2" t="s">
        <v>33</v>
      </c>
      <c r="O2442" s="2">
        <v>26.0</v>
      </c>
      <c r="P2442" s="2">
        <v>9.0</v>
      </c>
      <c r="Q2442" s="2">
        <v>10.0</v>
      </c>
      <c r="R2442" s="2">
        <v>0.0</v>
      </c>
      <c r="S2442" s="3" t="s">
        <v>10012</v>
      </c>
      <c r="T2442" s="2" t="s">
        <v>10013</v>
      </c>
      <c r="Y2442" s="4" t="str">
        <f>IFERROR(__xludf.DUMMYFUNCTION("""COMPUTED_VALUE"""),"6.9650395")</f>
        <v>6.9650395</v>
      </c>
      <c r="Z2442" s="4" t="str">
        <f>IFERROR(__xludf.DUMMYFUNCTION("""COMPUTED_VALUE"""),"3.681974")</f>
        <v>3.681974</v>
      </c>
      <c r="AA2442" s="4" t="str">
        <f t="shared" si="1"/>
        <v>Neighbor</v>
      </c>
      <c r="AC2442" s="4">
        <f>IFERROR(__xludf.DUMMYFUNCTION("IFERROR(ABS(O2442-AVERAGE(FILTER(O2442:O6510,AA2442:AA6510=""Neighbor""))) / STDEV(FILTER(O2442:O6510, AA2442:AA6510 =""Neighbor"")), """")"),0.7072367004770923)</f>
        <v>0.7072367005</v>
      </c>
      <c r="AD2442" s="4">
        <f>IFERROR(__xludf.DUMMYFUNCTION("IFERROR(ABS(P2442-AVERAGE(FILTER(O2442:P6510,AA2442:AA6510=""Neighbor""))) / STDEV(FILTER(P2442:P6510, AA2442:AA6510 =""Neighbor"")), """")"),1.106483852018965)</f>
        <v>1.106483852</v>
      </c>
      <c r="AE2442" s="2">
        <f>IFERROR(__xludf.DUMMYFUNCTION("IFERROR(ABS(Q2442-AVERAGE(FILTER(Q2442:Q6510,AA2442:AA6510=""Neighbor""))) / STDEV(FILTER(Q2442:Q6510, AA2442:AA6510 =""Neighbor"")), """")"),0.3694600101823695)</f>
        <v>0.3694600102</v>
      </c>
      <c r="AF2442" s="2">
        <f>IFERROR(__xludf.DUMMYFUNCTION("IFERROR(ABS(R2442-AVERAGE(FILTER(R2442:R6510,AA2442:AA6510=""Neighbor""))) / STDEV(FILTER(R2442:R6510, AA2442:AA6510 =""Neighbor"")), """")"),0.34996744872517127)</f>
        <v>0.3499674487</v>
      </c>
    </row>
    <row r="2443">
      <c r="A2443" s="2" t="s">
        <v>28</v>
      </c>
      <c r="B2443" s="2" t="s">
        <v>9648</v>
      </c>
      <c r="C2443" s="2" t="s">
        <v>9977</v>
      </c>
      <c r="D2443" s="2" t="s">
        <v>10014</v>
      </c>
      <c r="E2443" s="2" t="s">
        <v>10015</v>
      </c>
      <c r="F2443" s="2">
        <v>29.0</v>
      </c>
      <c r="G2443" s="2">
        <v>180.0</v>
      </c>
      <c r="H2443" s="2" t="b">
        <v>1</v>
      </c>
      <c r="I2443" s="2">
        <v>-1.0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s">
        <v>33</v>
      </c>
      <c r="O2443" s="2">
        <v>11.0</v>
      </c>
      <c r="P2443" s="2">
        <v>7.0</v>
      </c>
      <c r="Q2443" s="2">
        <v>11.0</v>
      </c>
      <c r="R2443" s="2">
        <v>0.0</v>
      </c>
      <c r="S2443" s="3" t="s">
        <v>10016</v>
      </c>
      <c r="T2443" s="2" t="s">
        <v>10017</v>
      </c>
      <c r="Y2443" s="4" t="str">
        <f>IFERROR(__xludf.DUMMYFUNCTION("""COMPUTED_VALUE"""),"6.971667")</f>
        <v>6.971667</v>
      </c>
      <c r="Z2443" s="4" t="str">
        <f>IFERROR(__xludf.DUMMYFUNCTION("""COMPUTED_VALUE"""),"3.682686")</f>
        <v>3.682686</v>
      </c>
      <c r="AA2443" s="4" t="str">
        <f t="shared" si="1"/>
        <v>Neighbor</v>
      </c>
      <c r="AC2443" s="4">
        <f>IFERROR(__xludf.DUMMYFUNCTION("IFERROR(ABS(O2443-AVERAGE(FILTER(O2443:O6511,AA2443:AA6511=""Neighbor""))) / STDEV(FILTER(O2443:O6511, AA2443:AA6511 =""Neighbor"")), """")"),1.1233006476103684)</f>
        <v>1.123300648</v>
      </c>
      <c r="AD2443" s="4">
        <f>IFERROR(__xludf.DUMMYFUNCTION("IFERROR(ABS(P2443-AVERAGE(FILTER(O2443:P6511,AA2443:AA6511=""Neighbor""))) / STDEV(FILTER(P2443:P6511, AA2443:AA6511 =""Neighbor"")), """")"),1.1919680432989481)</f>
        <v>1.191968043</v>
      </c>
      <c r="AE2443" s="2">
        <f>IFERROR(__xludf.DUMMYFUNCTION("IFERROR(ABS(Q2443-AVERAGE(FILTER(Q2443:Q6511,AA2443:AA6511=""Neighbor""))) / STDEV(FILTER(Q2443:Q6511, AA2443:AA6511 =""Neighbor"")), """")"),0.31529369929052575)</f>
        <v>0.3152936993</v>
      </c>
      <c r="AF2443" s="2">
        <f>IFERROR(__xludf.DUMMYFUNCTION("IFERROR(ABS(R2443-AVERAGE(FILTER(R2443:R6511,AA2443:AA6511=""Neighbor""))) / STDEV(FILTER(R2443:R6511, AA2443:AA6511 =""Neighbor"")), """")"),0.3502637270130927)</f>
        <v>0.350263727</v>
      </c>
    </row>
    <row r="2444">
      <c r="A2444" s="2" t="s">
        <v>28</v>
      </c>
      <c r="B2444" s="2" t="s">
        <v>9648</v>
      </c>
      <c r="C2444" s="2" t="s">
        <v>9977</v>
      </c>
      <c r="D2444" s="2" t="s">
        <v>10018</v>
      </c>
      <c r="E2444" s="2" t="s">
        <v>10019</v>
      </c>
      <c r="F2444" s="2">
        <v>24.0</v>
      </c>
      <c r="G2444" s="2">
        <v>126.0</v>
      </c>
      <c r="H2444" s="2" t="b">
        <v>1</v>
      </c>
      <c r="I2444" s="2">
        <v>-1.0</v>
      </c>
      <c r="J2444" s="2" t="b">
        <v>0</v>
      </c>
      <c r="K2444" s="2" t="b">
        <v>0</v>
      </c>
      <c r="L2444" s="2" t="b">
        <v>0</v>
      </c>
      <c r="M2444" s="2" t="b">
        <v>0</v>
      </c>
      <c r="N2444" s="2" t="s">
        <v>33</v>
      </c>
      <c r="O2444" s="2">
        <v>12.0</v>
      </c>
      <c r="P2444" s="2">
        <v>2.0</v>
      </c>
      <c r="Q2444" s="2">
        <v>9.0</v>
      </c>
      <c r="R2444" s="2">
        <v>0.0</v>
      </c>
      <c r="S2444" s="3" t="s">
        <v>10020</v>
      </c>
      <c r="T2444" s="2" t="s">
        <v>10021</v>
      </c>
      <c r="Y2444" s="4" t="str">
        <f>IFERROR(__xludf.DUMMYFUNCTION("""COMPUTED_VALUE"""),"6.9698036")</f>
        <v>6.9698036</v>
      </c>
      <c r="Z2444" s="4" t="str">
        <f>IFERROR(__xludf.DUMMYFUNCTION("""COMPUTED_VALUE"""),"3.6774625")</f>
        <v>3.6774625</v>
      </c>
      <c r="AA2444" s="4" t="str">
        <f t="shared" si="1"/>
        <v>Neighbor</v>
      </c>
      <c r="AC2444" s="4">
        <f>IFERROR(__xludf.DUMMYFUNCTION("IFERROR(ABS(O2444-AVERAGE(FILTER(O2444:O6512,AA2444:AA6512=""Neighbor""))) / STDEV(FILTER(O2444:O6512, AA2444:AA6512 =""Neighbor"")), """")"),1.09753514394048)</f>
        <v>1.097535144</v>
      </c>
      <c r="AD2444" s="4">
        <f>IFERROR(__xludf.DUMMYFUNCTION("IFERROR(ABS(P2444-AVERAGE(FILTER(O2444:P6512,AA2444:AA6512=""Neighbor""))) / STDEV(FILTER(P2444:P6512, AA2444:AA6512 =""Neighbor"")), """")"),1.4054828719377397)</f>
        <v>1.405482872</v>
      </c>
      <c r="AE2444" s="2">
        <f>IFERROR(__xludf.DUMMYFUNCTION("IFERROR(ABS(Q2444-AVERAGE(FILTER(Q2444:Q6512,AA2444:AA6512=""Neighbor""))) / STDEV(FILTER(Q2444:Q6512, AA2444:AA6512 =""Neighbor"")), """")"),0.4244472849881258)</f>
        <v>0.424447285</v>
      </c>
      <c r="AF2444" s="2">
        <f>IFERROR(__xludf.DUMMYFUNCTION("IFERROR(ABS(R2444-AVERAGE(FILTER(R2444:R6512,AA2444:AA6512=""Neighbor""))) / STDEV(FILTER(R2444:R6512, AA2444:AA6512 =""Neighbor"")), """")"),0.35056075920149904)</f>
        <v>0.3505607592</v>
      </c>
    </row>
    <row r="2445">
      <c r="A2445" s="2" t="s">
        <v>28</v>
      </c>
      <c r="B2445" s="2" t="s">
        <v>9648</v>
      </c>
      <c r="C2445" s="2" t="s">
        <v>9977</v>
      </c>
      <c r="D2445" s="2" t="s">
        <v>10022</v>
      </c>
      <c r="E2445" s="2" t="s">
        <v>10023</v>
      </c>
      <c r="F2445" s="2">
        <v>23.0</v>
      </c>
      <c r="G2445" s="2">
        <v>183.0</v>
      </c>
      <c r="H2445" s="2" t="b">
        <v>1</v>
      </c>
      <c r="I2445" s="2">
        <v>-1.0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s">
        <v>33</v>
      </c>
      <c r="O2445" s="2">
        <v>13.0</v>
      </c>
      <c r="P2445" s="2">
        <v>2.0</v>
      </c>
      <c r="Q2445" s="2">
        <v>7.0</v>
      </c>
      <c r="R2445" s="2">
        <v>0.0</v>
      </c>
      <c r="S2445" s="3" t="s">
        <v>10024</v>
      </c>
      <c r="T2445" s="2" t="s">
        <v>10025</v>
      </c>
      <c r="Y2445" s="4" t="str">
        <f>IFERROR(__xludf.DUMMYFUNCTION("""COMPUTED_VALUE"""),"6.9698036")</f>
        <v>6.9698036</v>
      </c>
      <c r="Z2445" s="4" t="str">
        <f>IFERROR(__xludf.DUMMYFUNCTION("""COMPUTED_VALUE"""),"3.6774625")</f>
        <v>3.6774625</v>
      </c>
      <c r="AA2445" s="4" t="str">
        <f t="shared" si="1"/>
        <v>Not Neighbor</v>
      </c>
      <c r="AC2445" s="4">
        <f>IFERROR(__xludf.DUMMYFUNCTION("IFERROR(ABS(O2445-AVERAGE(FILTER(O2445:O6513,AA2445:AA6513=""Neighbor""))) / STDEV(FILTER(O2445:O6513, AA2445:AA6513 =""Neighbor"")), """")"),1.0716761989910821)</f>
        <v>1.071676199</v>
      </c>
      <c r="AD2445" s="4">
        <f>IFERROR(__xludf.DUMMYFUNCTION("IFERROR(ABS(P2445-AVERAGE(FILTER(O2445:P6513,AA2445:AA6513=""Neighbor""))) / STDEV(FILTER(P2445:P6513, AA2445:AA6513 =""Neighbor"")), """")"),1.4067486086702539)</f>
        <v>1.406748609</v>
      </c>
      <c r="AE2445" s="2">
        <f>IFERROR(__xludf.DUMMYFUNCTION("IFERROR(ABS(Q2445-AVERAGE(FILTER(Q2445:Q6513,AA2445:AA6513=""Neighbor""))) / STDEV(FILTER(Q2445:Q6513, AA2445:AA6513 =""Neighbor"")), """")"),0.533650424234183)</f>
        <v>0.5336504242</v>
      </c>
      <c r="AF2445" s="2">
        <f>IFERROR(__xludf.DUMMYFUNCTION("IFERROR(ABS(R2445-AVERAGE(FILTER(R2445:R6513,AA2445:AA6513=""Neighbor""))) / STDEV(FILTER(R2445:R6513, AA2445:AA6513 =""Neighbor"")), """")"),0.3508585484936229)</f>
        <v>0.3508585485</v>
      </c>
    </row>
    <row r="2446">
      <c r="A2446" s="2" t="s">
        <v>28</v>
      </c>
      <c r="B2446" s="2" t="s">
        <v>9648</v>
      </c>
      <c r="C2446" s="2" t="s">
        <v>9977</v>
      </c>
      <c r="D2446" s="2" t="s">
        <v>10026</v>
      </c>
      <c r="E2446" s="2" t="s">
        <v>10027</v>
      </c>
      <c r="F2446" s="2">
        <v>77.0</v>
      </c>
      <c r="G2446" s="2">
        <v>315.0</v>
      </c>
      <c r="H2446" s="2" t="b">
        <v>1</v>
      </c>
      <c r="I2446" s="2">
        <v>-1.0</v>
      </c>
      <c r="J2446" s="2" t="b">
        <v>0</v>
      </c>
      <c r="K2446" s="2" t="b">
        <v>0</v>
      </c>
      <c r="L2446" s="2" t="b">
        <v>0</v>
      </c>
      <c r="M2446" s="2" t="b">
        <v>0</v>
      </c>
      <c r="N2446" s="2" t="s">
        <v>33</v>
      </c>
      <c r="O2446" s="2">
        <v>38.0</v>
      </c>
      <c r="P2446" s="2">
        <v>4.0</v>
      </c>
      <c r="Q2446" s="2">
        <v>30.0</v>
      </c>
      <c r="R2446" s="2">
        <v>0.0</v>
      </c>
      <c r="S2446" s="3" t="s">
        <v>10028</v>
      </c>
      <c r="T2446" s="2" t="s">
        <v>10029</v>
      </c>
      <c r="Y2446" s="4" t="str">
        <f>IFERROR(__xludf.DUMMYFUNCTION("""COMPUTED_VALUE"""),"7.0136522")</f>
        <v>7.0136522</v>
      </c>
      <c r="Z2446" s="4" t="str">
        <f>IFERROR(__xludf.DUMMYFUNCTION("""COMPUTED_VALUE"""),"3.7232005")</f>
        <v>3.7232005</v>
      </c>
      <c r="AA2446" s="4" t="str">
        <f t="shared" si="1"/>
        <v>Neighbor</v>
      </c>
      <c r="AC2446" s="4">
        <f>IFERROR(__xludf.DUMMYFUNCTION("IFERROR(ABS(O2446-AVERAGE(FILTER(O2446:O6514,AA2446:AA6514=""Neighbor""))) / STDEV(FILTER(O2446:O6514, AA2446:AA6514 =""Neighbor"")), """")"),0.37932470003443153)</f>
        <v>0.3793247</v>
      </c>
      <c r="AD2446" s="4">
        <f>IFERROR(__xludf.DUMMYFUNCTION("IFERROR(ABS(P2446-AVERAGE(FILTER(O2446:P6514,AA2446:AA6514=""Neighbor""))) / STDEV(FILTER(P2446:P6514, AA2446:AA6514 =""Neighbor"")), """")"),1.3217700871296394)</f>
        <v>1.321770087</v>
      </c>
      <c r="AE2446" s="2">
        <f>IFERROR(__xludf.DUMMYFUNCTION("IFERROR(ABS(Q2446-AVERAGE(FILTER(Q2446:Q6514,AA2446:AA6514=""Neighbor""))) / STDEV(FILTER(Q2446:Q6514, AA2446:AA6514 =""Neighbor"")), """")"),0.7178270112478031)</f>
        <v>0.7178270112</v>
      </c>
      <c r="AF2446" s="2">
        <f>IFERROR(__xludf.DUMMYFUNCTION("IFERROR(ABS(R2446-AVERAGE(FILTER(R2446:R6514,AA2446:AA6514=""Neighbor""))) / STDEV(FILTER(R2446:R6514, AA2446:AA6514 =""Neighbor"")), """")"),0.3508585484936229)</f>
        <v>0.3508585485</v>
      </c>
    </row>
    <row r="2447">
      <c r="A2447" s="2" t="s">
        <v>28</v>
      </c>
      <c r="B2447" s="2" t="s">
        <v>9648</v>
      </c>
      <c r="C2447" s="2" t="s">
        <v>9977</v>
      </c>
      <c r="D2447" s="2" t="s">
        <v>10030</v>
      </c>
      <c r="E2447" s="2" t="s">
        <v>10031</v>
      </c>
      <c r="F2447" s="2">
        <v>41.0</v>
      </c>
      <c r="G2447" s="2">
        <v>182.0</v>
      </c>
      <c r="H2447" s="2" t="b">
        <v>1</v>
      </c>
      <c r="I2447" s="2">
        <v>-1.0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s">
        <v>33</v>
      </c>
      <c r="O2447" s="2">
        <v>22.0</v>
      </c>
      <c r="P2447" s="2">
        <v>1.0</v>
      </c>
      <c r="Q2447" s="2">
        <v>15.0</v>
      </c>
      <c r="R2447" s="2">
        <v>0.0</v>
      </c>
      <c r="S2447" s="3" t="s">
        <v>10032</v>
      </c>
      <c r="T2447" s="2" t="s">
        <v>10033</v>
      </c>
      <c r="Y2447" s="4" t="str">
        <f>IFERROR(__xludf.DUMMYFUNCTION("""COMPUTED_VALUE"""),"7.0136522")</f>
        <v>7.0136522</v>
      </c>
      <c r="Z2447" s="4" t="str">
        <f>IFERROR(__xludf.DUMMYFUNCTION("""COMPUTED_VALUE"""),"3.7232005")</f>
        <v>3.7232005</v>
      </c>
      <c r="AA2447" s="4" t="str">
        <f t="shared" si="1"/>
        <v>Not Neighbor</v>
      </c>
      <c r="AC2447" s="4">
        <f>IFERROR(__xludf.DUMMYFUNCTION("IFERROR(ABS(O2447-AVERAGE(FILTER(O2447:O6515,AA2447:AA6515=""Neighbor""))) / STDEV(FILTER(O2447:O6515, AA2447:AA6515 =""Neighbor"")), """")"),0.8224705248775966)</f>
        <v>0.8224705249</v>
      </c>
      <c r="AD2447" s="4">
        <f>IFERROR(__xludf.DUMMYFUNCTION("IFERROR(ABS(P2447-AVERAGE(FILTER(O2447:P6515,AA2447:AA6515=""Neighbor""))) / STDEV(FILTER(P2447:P6515, AA2447:AA6515 =""Neighbor"")), """")"),1.449466091772672)</f>
        <v>1.449466092</v>
      </c>
      <c r="AE2447" s="2">
        <f>IFERROR(__xludf.DUMMYFUNCTION("IFERROR(ABS(Q2447-AVERAGE(FILTER(Q2447:Q6515,AA2447:AA6515=""Neighbor""))) / STDEV(FILTER(Q2447:Q6515, AA2447:AA6515 =""Neighbor"")), """")"),0.09722890970870919)</f>
        <v>0.09722890971</v>
      </c>
      <c r="AF2447" s="2">
        <f>IFERROR(__xludf.DUMMYFUNCTION("IFERROR(ABS(R2447-AVERAGE(FILTER(R2447:R6515,AA2447:AA6515=""Neighbor""))) / STDEV(FILTER(R2447:R6515, AA2447:AA6515 =""Neighbor"")), """")"),0.3511570981117859)</f>
        <v>0.3511570981</v>
      </c>
    </row>
    <row r="2448">
      <c r="A2448" s="2" t="s">
        <v>28</v>
      </c>
      <c r="B2448" s="2" t="s">
        <v>9648</v>
      </c>
      <c r="C2448" s="2" t="s">
        <v>9977</v>
      </c>
      <c r="D2448" s="2" t="s">
        <v>10034</v>
      </c>
      <c r="E2448" s="2" t="s">
        <v>10035</v>
      </c>
      <c r="F2448" s="2">
        <v>59.0</v>
      </c>
      <c r="G2448" s="2">
        <v>304.0</v>
      </c>
      <c r="H2448" s="2" t="b">
        <v>1</v>
      </c>
      <c r="I2448" s="2">
        <v>-1.0</v>
      </c>
      <c r="J2448" s="2" t="b">
        <v>0</v>
      </c>
      <c r="K2448" s="2" t="b">
        <v>0</v>
      </c>
      <c r="L2448" s="2" t="b">
        <v>0</v>
      </c>
      <c r="M2448" s="2" t="b">
        <v>0</v>
      </c>
      <c r="N2448" s="2" t="s">
        <v>33</v>
      </c>
      <c r="O2448" s="2">
        <v>12.0</v>
      </c>
      <c r="P2448" s="2">
        <v>2.0</v>
      </c>
      <c r="Q2448" s="2">
        <v>9.0</v>
      </c>
      <c r="R2448" s="2">
        <v>0.0</v>
      </c>
      <c r="S2448" s="3" t="s">
        <v>10036</v>
      </c>
      <c r="T2448" s="2" t="s">
        <v>10037</v>
      </c>
      <c r="Y2448" s="4" t="str">
        <f>IFERROR(__xludf.DUMMYFUNCTION("""COMPUTED_VALUE"""),"6.9698036")</f>
        <v>6.9698036</v>
      </c>
      <c r="Z2448" s="4" t="str">
        <f>IFERROR(__xludf.DUMMYFUNCTION("""COMPUTED_VALUE"""),"3.6774625")</f>
        <v>3.6774625</v>
      </c>
      <c r="AA2448" s="4" t="str">
        <f t="shared" si="1"/>
        <v>Neighbor</v>
      </c>
      <c r="AC2448" s="4">
        <f>IFERROR(__xludf.DUMMYFUNCTION("IFERROR(ABS(O2448-AVERAGE(FILTER(O2448:O6516,AA2448:AA6516=""Neighbor""))) / STDEV(FILTER(O2448:O6516, AA2448:AA6516 =""Neighbor"")), """")"),1.0992311845458647)</f>
        <v>1.099231185</v>
      </c>
      <c r="AD2448" s="4">
        <f>IFERROR(__xludf.DUMMYFUNCTION("IFERROR(ABS(P2448-AVERAGE(FILTER(O2448:P6516,AA2448:AA6516=""Neighbor""))) / STDEV(FILTER(P2448:P6516, AA2448:AA6516 =""Neighbor"")), """")"),1.4069967965065409)</f>
        <v>1.406996797</v>
      </c>
      <c r="AE2448" s="2">
        <f>IFERROR(__xludf.DUMMYFUNCTION("IFERROR(ABS(Q2448-AVERAGE(FILTER(Q2448:Q6516,AA2448:AA6516=""Neighbor""))) / STDEV(FILTER(Q2448:Q6516, AA2448:AA6516 =""Neighbor"")), """")"),0.42358129424880786)</f>
        <v>0.4235812942</v>
      </c>
      <c r="AF2448" s="2">
        <f>IFERROR(__xludf.DUMMYFUNCTION("IFERROR(ABS(R2448-AVERAGE(FILTER(R2448:R6516,AA2448:AA6516=""Neighbor""))) / STDEV(FILTER(R2448:R6516, AA2448:AA6516 =""Neighbor"")), """")"),0.3511570981117859)</f>
        <v>0.3511570981</v>
      </c>
    </row>
    <row r="2449">
      <c r="A2449" s="2" t="s">
        <v>28</v>
      </c>
      <c r="B2449" s="2" t="s">
        <v>9648</v>
      </c>
      <c r="C2449" s="2" t="s">
        <v>10038</v>
      </c>
      <c r="D2449" s="2" t="s">
        <v>10039</v>
      </c>
      <c r="E2449" s="2" t="s">
        <v>10040</v>
      </c>
      <c r="F2449" s="2">
        <v>118.0</v>
      </c>
      <c r="G2449" s="2">
        <v>581.0</v>
      </c>
      <c r="H2449" s="2" t="b">
        <v>1</v>
      </c>
      <c r="I2449" s="2">
        <v>-1.0</v>
      </c>
      <c r="J2449" s="2" t="b">
        <v>0</v>
      </c>
      <c r="K2449" s="2" t="b">
        <v>0</v>
      </c>
      <c r="L2449" s="2" t="b">
        <v>0</v>
      </c>
      <c r="M2449" s="2" t="b">
        <v>0</v>
      </c>
      <c r="N2449" s="2" t="s">
        <v>33</v>
      </c>
      <c r="O2449" s="2">
        <v>64.0</v>
      </c>
      <c r="P2449" s="2">
        <v>11.0</v>
      </c>
      <c r="Q2449" s="2">
        <v>22.0</v>
      </c>
      <c r="R2449" s="2">
        <v>0.0</v>
      </c>
      <c r="S2449" s="3" t="s">
        <v>10041</v>
      </c>
      <c r="T2449" s="2" t="s">
        <v>10042</v>
      </c>
      <c r="Y2449" s="4" t="str">
        <f>IFERROR(__xludf.DUMMYFUNCTION("""COMPUTED_VALUE"""),"6.9792066")</f>
        <v>6.9792066</v>
      </c>
      <c r="Z2449" s="4" t="str">
        <f>IFERROR(__xludf.DUMMYFUNCTION("""COMPUTED_VALUE"""),"3.6699295")</f>
        <v>3.6699295</v>
      </c>
      <c r="AA2449" s="4" t="str">
        <f t="shared" si="1"/>
        <v>Neighbor</v>
      </c>
      <c r="AC2449" s="4">
        <f>IFERROR(__xludf.DUMMYFUNCTION("IFERROR(ABS(O2449-AVERAGE(FILTER(O2449:O6517,AA2449:AA6517=""Neighbor""))) / STDEV(FILTER(O2449:O6517, AA2449:AA6517 =""Neighbor"")), """")"),0.33830779087076224)</f>
        <v>0.3383077909</v>
      </c>
      <c r="AD2449" s="4">
        <f>IFERROR(__xludf.DUMMYFUNCTION("IFERROR(ABS(P2449-AVERAGE(FILTER(O2449:P6517,AA2449:AA6517=""Neighbor""))) / STDEV(FILTER(P2449:P6517, AA2449:AA6517 =""Neighbor"")), """")"),1.0261938398310522)</f>
        <v>1.02619384</v>
      </c>
      <c r="AE2449" s="2">
        <f>IFERROR(__xludf.DUMMYFUNCTION("IFERROR(ABS(Q2449-AVERAGE(FILTER(Q2449:Q6517,AA2449:AA6517=""Neighbor""))) / STDEV(FILTER(Q2449:Q6517, AA2449:AA6517 =""Neighbor"")), """")"),0.28269537184582416)</f>
        <v>0.2826953718</v>
      </c>
      <c r="AF2449" s="2">
        <f>IFERROR(__xludf.DUMMYFUNCTION("IFERROR(ABS(R2449-AVERAGE(FILTER(R2449:R6517,AA2449:AA6517=""Neighbor""))) / STDEV(FILTER(R2449:R6517, AA2449:AA6517 =""Neighbor"")), """")"),0.3514564112975456)</f>
        <v>0.3514564113</v>
      </c>
    </row>
    <row r="2450">
      <c r="A2450" s="2" t="s">
        <v>28</v>
      </c>
      <c r="B2450" s="2" t="s">
        <v>9648</v>
      </c>
      <c r="C2450" s="2" t="s">
        <v>10038</v>
      </c>
      <c r="D2450" s="2" t="s">
        <v>10043</v>
      </c>
      <c r="E2450" s="2" t="s">
        <v>10044</v>
      </c>
      <c r="F2450" s="2">
        <v>85.0</v>
      </c>
      <c r="G2450" s="2">
        <v>328.0</v>
      </c>
      <c r="H2450" s="2" t="b">
        <v>1</v>
      </c>
      <c r="I2450" s="2">
        <v>-1.0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s">
        <v>33</v>
      </c>
      <c r="O2450" s="2">
        <v>0.0</v>
      </c>
      <c r="P2450" s="2">
        <v>0.0</v>
      </c>
      <c r="Q2450" s="2">
        <v>0.0</v>
      </c>
      <c r="R2450" s="2">
        <v>0.0</v>
      </c>
      <c r="S2450" s="3" t="s">
        <v>10045</v>
      </c>
      <c r="T2450" s="2" t="s">
        <v>10046</v>
      </c>
      <c r="Y2450" s="4" t="str">
        <f>IFERROR(__xludf.DUMMYFUNCTION("""COMPUTED_VALUE"""),"6.9792066")</f>
        <v>6.9792066</v>
      </c>
      <c r="Z2450" s="4" t="str">
        <f>IFERROR(__xludf.DUMMYFUNCTION("""COMPUTED_VALUE"""),"3.6699295")</f>
        <v>3.6699295</v>
      </c>
      <c r="AA2450" s="4" t="str">
        <f t="shared" si="1"/>
        <v>Neighbor</v>
      </c>
      <c r="AC2450" s="4">
        <f>IFERROR(__xludf.DUMMYFUNCTION("IFERROR(ABS(O2450-AVERAGE(FILTER(O2450:O6518,AA2450:AA6518=""Neighbor""))) / STDEV(FILTER(O2450:O6518, AA2450:AA6518 =""Neighbor"")), """")"),1.4317629792148854)</f>
        <v>1.431762979</v>
      </c>
      <c r="AD2450" s="4">
        <f>IFERROR(__xludf.DUMMYFUNCTION("IFERROR(ABS(P2450-AVERAGE(FILTER(O2450:P6518,AA2450:AA6518=""Neighbor""))) / STDEV(FILTER(P2450:P6518, AA2450:AA6518 =""Neighbor"")), """")"),1.4920066759337225)</f>
        <v>1.492006676</v>
      </c>
      <c r="AE2450" s="2">
        <f>IFERROR(__xludf.DUMMYFUNCTION("IFERROR(ABS(Q2450-AVERAGE(FILTER(Q2450:Q6518,AA2450:AA6518=""Neighbor""))) / STDEV(FILTER(Q2450:Q6518, AA2450:AA6518 =""Neighbor"")), """")"),0.9121140819134073)</f>
        <v>0.9121140819</v>
      </c>
      <c r="AF2450" s="2">
        <f>IFERROR(__xludf.DUMMYFUNCTION("IFERROR(ABS(R2450-AVERAGE(FILTER(R2450:R6518,AA2450:AA6518=""Neighbor""))) / STDEV(FILTER(R2450:R6518, AA2450:AA6518 =""Neighbor"")), """")"),0.35175649131184444)</f>
        <v>0.3517564913</v>
      </c>
    </row>
    <row r="2451">
      <c r="A2451" s="2" t="s">
        <v>28</v>
      </c>
      <c r="B2451" s="2" t="s">
        <v>9648</v>
      </c>
      <c r="C2451" s="2" t="s">
        <v>10038</v>
      </c>
      <c r="D2451" s="2" t="s">
        <v>10047</v>
      </c>
      <c r="E2451" s="2" t="s">
        <v>10048</v>
      </c>
      <c r="F2451" s="2">
        <v>107.0</v>
      </c>
      <c r="G2451" s="2">
        <v>418.0</v>
      </c>
      <c r="H2451" s="2" t="b">
        <v>1</v>
      </c>
      <c r="I2451" s="2">
        <v>-1.0</v>
      </c>
      <c r="J2451" s="2" t="b">
        <v>0</v>
      </c>
      <c r="K2451" s="2" t="b">
        <v>0</v>
      </c>
      <c r="L2451" s="2" t="b">
        <v>0</v>
      </c>
      <c r="M2451" s="2" t="b">
        <v>0</v>
      </c>
      <c r="N2451" s="2" t="s">
        <v>33</v>
      </c>
      <c r="O2451" s="2">
        <v>61.0</v>
      </c>
      <c r="P2451" s="2">
        <v>1.0</v>
      </c>
      <c r="Q2451" s="2">
        <v>10.0</v>
      </c>
      <c r="R2451" s="2">
        <v>0.0</v>
      </c>
      <c r="S2451" s="3" t="s">
        <v>10049</v>
      </c>
      <c r="T2451" s="2" t="s">
        <v>10050</v>
      </c>
      <c r="Y2451" s="4" t="str">
        <f>IFERROR(__xludf.DUMMYFUNCTION("""COMPUTED_VALUE"""),"6.9792066")</f>
        <v>6.9792066</v>
      </c>
      <c r="Z2451" s="4" t="str">
        <f>IFERROR(__xludf.DUMMYFUNCTION("""COMPUTED_VALUE"""),"3.6699295")</f>
        <v>3.6699295</v>
      </c>
      <c r="AA2451" s="4" t="str">
        <f t="shared" si="1"/>
        <v>Neighbor</v>
      </c>
      <c r="AC2451" s="4">
        <f>IFERROR(__xludf.DUMMYFUNCTION("IFERROR(ABS(O2451-AVERAGE(FILTER(O2451:O6519,AA2451:AA6519=""Neighbor""))) / STDEV(FILTER(O2451:O6519, AA2451:AA6519 =""Neighbor"")), """")"),0.2536302080044914)</f>
        <v>0.253630208</v>
      </c>
      <c r="AD2451" s="4">
        <f>IFERROR(__xludf.DUMMYFUNCTION("IFERROR(ABS(P2451-AVERAGE(FILTER(O2451:P6519,AA2451:AA6519=""Neighbor""))) / STDEV(FILTER(P2451:P6519, AA2451:AA6519 =""Neighbor"")), """")"),1.4514385231951508)</f>
        <v>1.451438523</v>
      </c>
      <c r="AE2451" s="2">
        <f>IFERROR(__xludf.DUMMYFUNCTION("IFERROR(ABS(Q2451-AVERAGE(FILTER(Q2451:Q6519,AA2451:AA6519=""Neighbor""))) / STDEV(FILTER(Q2451:Q6519, AA2451:AA6519 =""Neighbor"")), """")"),0.3702567190967524)</f>
        <v>0.3702567191</v>
      </c>
      <c r="AF2451" s="2">
        <f>IFERROR(__xludf.DUMMYFUNCTION("IFERROR(ABS(R2451-AVERAGE(FILTER(R2451:R6519,AA2451:AA6519=""Neighbor""))) / STDEV(FILTER(R2451:R6519, AA2451:AA6519 =""Neighbor"")), """")"),0.35205734143515666)</f>
        <v>0.3520573414</v>
      </c>
    </row>
    <row r="2452">
      <c r="A2452" s="2" t="s">
        <v>28</v>
      </c>
      <c r="B2452" s="2" t="s">
        <v>9648</v>
      </c>
      <c r="C2452" s="2" t="s">
        <v>10038</v>
      </c>
      <c r="D2452" s="2" t="s">
        <v>10051</v>
      </c>
      <c r="E2452" s="2" t="s">
        <v>10052</v>
      </c>
      <c r="F2452" s="2">
        <v>63.0</v>
      </c>
      <c r="G2452" s="2">
        <v>498.0</v>
      </c>
      <c r="H2452" s="2" t="b">
        <v>1</v>
      </c>
      <c r="I2452" s="2">
        <v>-1.0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s">
        <v>33</v>
      </c>
      <c r="O2452" s="2">
        <v>31.0</v>
      </c>
      <c r="P2452" s="2">
        <v>6.0</v>
      </c>
      <c r="Q2452" s="2">
        <v>13.0</v>
      </c>
      <c r="R2452" s="2">
        <v>0.0</v>
      </c>
      <c r="S2452" s="3" t="s">
        <v>10053</v>
      </c>
      <c r="T2452" s="2" t="s">
        <v>10054</v>
      </c>
      <c r="Y2452" s="4" t="str">
        <f>IFERROR(__xludf.DUMMYFUNCTION("""COMPUTED_VALUE"""),"6.9792066")</f>
        <v>6.9792066</v>
      </c>
      <c r="Z2452" s="4" t="str">
        <f>IFERROR(__xludf.DUMMYFUNCTION("""COMPUTED_VALUE"""),"3.6699295")</f>
        <v>3.6699295</v>
      </c>
      <c r="AA2452" s="4" t="str">
        <f t="shared" si="1"/>
        <v>Neighbor</v>
      </c>
      <c r="AC2452" s="4">
        <f>IFERROR(__xludf.DUMMYFUNCTION("IFERROR(ABS(O2452-AVERAGE(FILTER(O2452:O6520,AA2452:AA6520=""Neighbor""))) / STDEV(FILTER(O2452:O6520, AA2452:AA6520 =""Neighbor"")), """")"),0.576093532452049)</f>
        <v>0.5760935325</v>
      </c>
      <c r="AD2452" s="4">
        <f>IFERROR(__xludf.DUMMYFUNCTION("IFERROR(ABS(P2452-AVERAGE(FILTER(O2452:P6520,AA2452:AA6520=""Neighbor""))) / STDEV(FILTER(P2452:P6520, AA2452:AA6520 =""Neighbor"")), """")"),1.239234955450632)</f>
        <v>1.239234955</v>
      </c>
      <c r="AE2452" s="2">
        <f>IFERROR(__xludf.DUMMYFUNCTION("IFERROR(ABS(Q2452-AVERAGE(FILTER(Q2452:Q6520,AA2452:AA6520=""Neighbor""))) / STDEV(FILTER(Q2452:Q6520, AA2452:AA6520 =""Neighbor"")), """")"),0.20774557100204383)</f>
        <v>0.207745571</v>
      </c>
      <c r="AF2452" s="2">
        <f>IFERROR(__xludf.DUMMYFUNCTION("IFERROR(ABS(R2452-AVERAGE(FILTER(R2452:R6520,AA2452:AA6520=""Neighbor""))) / STDEV(FILTER(R2452:R6520, AA2452:AA6520 =""Neighbor"")), """")"),0.35235896496764185)</f>
        <v>0.352358965</v>
      </c>
    </row>
    <row r="2453">
      <c r="A2453" s="2" t="s">
        <v>28</v>
      </c>
      <c r="B2453" s="2" t="s">
        <v>9648</v>
      </c>
      <c r="C2453" s="2" t="s">
        <v>10038</v>
      </c>
      <c r="D2453" s="2" t="s">
        <v>10055</v>
      </c>
      <c r="E2453" s="2" t="s">
        <v>10056</v>
      </c>
      <c r="F2453" s="2">
        <v>173.0</v>
      </c>
      <c r="G2453" s="2">
        <v>802.0</v>
      </c>
      <c r="H2453" s="2" t="b">
        <v>1</v>
      </c>
      <c r="I2453" s="2">
        <v>-1.0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s">
        <v>33</v>
      </c>
      <c r="O2453" s="2">
        <v>98.0</v>
      </c>
      <c r="P2453" s="2">
        <v>28.0</v>
      </c>
      <c r="Q2453" s="2">
        <v>37.0</v>
      </c>
      <c r="R2453" s="2">
        <v>3.0</v>
      </c>
      <c r="S2453" s="3" t="s">
        <v>10057</v>
      </c>
      <c r="T2453" s="2" t="s">
        <v>10058</v>
      </c>
      <c r="Y2453" s="4" t="str">
        <f>IFERROR(__xludf.DUMMYFUNCTION("""COMPUTED_VALUE"""),"6.9792066")</f>
        <v>6.9792066</v>
      </c>
      <c r="Z2453" s="4" t="str">
        <f>IFERROR(__xludf.DUMMYFUNCTION("""COMPUTED_VALUE"""),"3.6699295")</f>
        <v>3.6699295</v>
      </c>
      <c r="AA2453" s="4" t="str">
        <f t="shared" si="1"/>
        <v>Neighbor</v>
      </c>
      <c r="AC2453" s="4">
        <f>IFERROR(__xludf.DUMMYFUNCTION("IFERROR(ABS(O2453-AVERAGE(FILTER(O2453:O6521,AA2453:AA6521=""Neighbor""))) / STDEV(FILTER(O2453:O6521, AA2453:AA6521 =""Neighbor"")), """")"),1.275882684126466)</f>
        <v>1.275882684</v>
      </c>
      <c r="AD2453" s="4">
        <f>IFERROR(__xludf.DUMMYFUNCTION("IFERROR(ABS(P2453-AVERAGE(FILTER(O2453:P6521,AA2453:AA6521=""Neighbor""))) / STDEV(FILTER(P2453:P6521, AA2453:AA6521 =""Neighbor"")), """")"),0.3074081872346492)</f>
        <v>0.3074081872</v>
      </c>
      <c r="AE2453" s="2">
        <f>IFERROR(__xludf.DUMMYFUNCTION("IFERROR(ABS(Q2453-AVERAGE(FILTER(Q2453:Q6521,AA2453:AA6521=""Neighbor""))) / STDEV(FILTER(Q2453:Q6521, AA2453:AA6521 =""Neighbor"")), """")"),1.093792467675774)</f>
        <v>1.093792468</v>
      </c>
      <c r="AF2453" s="2">
        <f>IFERROR(__xludf.DUMMYFUNCTION("IFERROR(ABS(R2453-AVERAGE(FILTER(R2453:R6521,AA2453:AA6521=""Neighbor""))) / STDEV(FILTER(R2453:R6521, AA2453:AA6521 =""Neighbor"")), """")"),2.9579682930476254)</f>
        <v>2.957968293</v>
      </c>
    </row>
    <row r="2454">
      <c r="A2454" s="2" t="s">
        <v>28</v>
      </c>
      <c r="B2454" s="2" t="s">
        <v>9648</v>
      </c>
      <c r="C2454" s="2" t="s">
        <v>10038</v>
      </c>
      <c r="D2454" s="2" t="s">
        <v>10059</v>
      </c>
      <c r="E2454" s="2" t="s">
        <v>10060</v>
      </c>
      <c r="F2454" s="2">
        <v>49.0</v>
      </c>
      <c r="G2454" s="2">
        <v>230.0</v>
      </c>
      <c r="H2454" s="2" t="b">
        <v>1</v>
      </c>
      <c r="I2454" s="2">
        <v>-1.0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s">
        <v>33</v>
      </c>
      <c r="O2454" s="2">
        <v>23.0</v>
      </c>
      <c r="P2454" s="2">
        <v>3.0</v>
      </c>
      <c r="Q2454" s="2">
        <v>12.0</v>
      </c>
      <c r="R2454" s="2">
        <v>0.0</v>
      </c>
      <c r="S2454" s="3" t="s">
        <v>10061</v>
      </c>
      <c r="T2454" s="2" t="s">
        <v>10062</v>
      </c>
      <c r="Y2454" s="4" t="str">
        <f>IFERROR(__xludf.DUMMYFUNCTION("""COMPUTED_VALUE"""),"6.9792066")</f>
        <v>6.9792066</v>
      </c>
      <c r="Z2454" s="4" t="str">
        <f>IFERROR(__xludf.DUMMYFUNCTION("""COMPUTED_VALUE"""),"3.6699295")</f>
        <v>3.6699295</v>
      </c>
      <c r="AA2454" s="4" t="str">
        <f t="shared" si="1"/>
        <v>Neighbor</v>
      </c>
      <c r="AC2454" s="4">
        <f>IFERROR(__xludf.DUMMYFUNCTION("IFERROR(ABS(O2454-AVERAGE(FILTER(O2454:O6522,AA2454:AA6522=""Neighbor""))) / STDEV(FILTER(O2454:O6522, AA2454:AA6522 =""Neighbor"")), """")"),0.7963123338773256)</f>
        <v>0.7963123339</v>
      </c>
      <c r="AD2454" s="4">
        <f>IFERROR(__xludf.DUMMYFUNCTION("IFERROR(ABS(P2454-AVERAGE(FILTER(O2454:P6522,AA2454:AA6522=""Neighbor""))) / STDEV(FILTER(P2454:P6522, AA2454:AA6522 =""Neighbor"")), """")"),1.3640842672266262)</f>
        <v>1.364084267</v>
      </c>
      <c r="AE2454" s="2">
        <f>IFERROR(__xludf.DUMMYFUNCTION("IFERROR(ABS(Q2454-AVERAGE(FILTER(Q2454:Q6522,AA2454:AA6522=""Neighbor""))) / STDEV(FILTER(Q2454:Q6522, AA2454:AA6522 =""Neighbor"")), """")"),0.26051318343689445)</f>
        <v>0.2605131834</v>
      </c>
      <c r="AF2454" s="2">
        <f>IFERROR(__xludf.DUMMYFUNCTION("IFERROR(ABS(R2454-AVERAGE(FILTER(R2454:R6522,AA2454:AA6522=""Neighbor""))) / STDEV(FILTER(R2454:R6522, AA2454:AA6522 =""Neighbor"")), """")"),0.3502227416302472)</f>
        <v>0.3502227416</v>
      </c>
    </row>
    <row r="2455">
      <c r="A2455" s="2" t="s">
        <v>28</v>
      </c>
      <c r="B2455" s="2" t="s">
        <v>9648</v>
      </c>
      <c r="C2455" s="2" t="s">
        <v>10038</v>
      </c>
      <c r="D2455" s="2" t="s">
        <v>10063</v>
      </c>
      <c r="E2455" s="2" t="s">
        <v>10064</v>
      </c>
      <c r="F2455" s="2">
        <v>81.0</v>
      </c>
      <c r="G2455" s="2">
        <v>329.0</v>
      </c>
      <c r="H2455" s="2" t="b">
        <v>1</v>
      </c>
      <c r="I2455" s="2">
        <v>-1.0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s">
        <v>33</v>
      </c>
      <c r="O2455" s="2">
        <v>42.0</v>
      </c>
      <c r="P2455" s="2">
        <v>4.0</v>
      </c>
      <c r="Q2455" s="2">
        <v>32.0</v>
      </c>
      <c r="R2455" s="2">
        <v>0.0</v>
      </c>
      <c r="S2455" s="3" t="s">
        <v>10065</v>
      </c>
      <c r="T2455" s="2" t="s">
        <v>10066</v>
      </c>
      <c r="Y2455" s="4" t="str">
        <f>IFERROR(__xludf.DUMMYFUNCTION("""COMPUTED_VALUE"""),"6.9792066")</f>
        <v>6.9792066</v>
      </c>
      <c r="Z2455" s="4" t="str">
        <f>IFERROR(__xludf.DUMMYFUNCTION("""COMPUTED_VALUE"""),"3.6699295")</f>
        <v>3.6699295</v>
      </c>
      <c r="AA2455" s="4" t="str">
        <f t="shared" si="1"/>
        <v>Neighbor</v>
      </c>
      <c r="AC2455" s="4">
        <f>IFERROR(__xludf.DUMMYFUNCTION("IFERROR(ABS(O2455-AVERAGE(FILTER(O2455:O6523,AA2455:AA6523=""Neighbor""))) / STDEV(FILTER(O2455:O6523, AA2455:AA6523 =""Neighbor"")), """")"),0.2718498337171833)</f>
        <v>0.2718498337</v>
      </c>
      <c r="AD2455" s="4">
        <f>IFERROR(__xludf.DUMMYFUNCTION("IFERROR(ABS(P2455-AVERAGE(FILTER(O2455:P6523,AA2455:AA6523=""Neighbor""))) / STDEV(FILTER(P2455:P6523, AA2455:AA6523 =""Neighbor"")), """")"),1.322610462049871)</f>
        <v>1.322610462</v>
      </c>
      <c r="AE2455" s="2">
        <f>IFERROR(__xludf.DUMMYFUNCTION("IFERROR(ABS(Q2455-AVERAGE(FILTER(Q2455:Q6523,AA2455:AA6523=""Neighbor""))) / STDEV(FILTER(Q2455:Q6523, AA2455:AA6523 =""Neighbor"")), """")"),0.8234158156919933)</f>
        <v>0.8234158157</v>
      </c>
      <c r="AF2455" s="2">
        <f>IFERROR(__xludf.DUMMYFUNCTION("IFERROR(ABS(R2455-AVERAGE(FILTER(R2455:R6523,AA2455:AA6523=""Neighbor""))) / STDEV(FILTER(R2455:R6523, AA2455:AA6523 =""Neighbor"")), """")"),0.350523825067638)</f>
        <v>0.3505238251</v>
      </c>
    </row>
    <row r="2456">
      <c r="A2456" s="2" t="s">
        <v>28</v>
      </c>
      <c r="B2456" s="2" t="s">
        <v>9648</v>
      </c>
      <c r="C2456" s="2" t="s">
        <v>10038</v>
      </c>
      <c r="D2456" s="2" t="s">
        <v>10067</v>
      </c>
      <c r="E2456" s="2" t="s">
        <v>10068</v>
      </c>
      <c r="F2456" s="2">
        <v>40.0</v>
      </c>
      <c r="G2456" s="2">
        <v>281.0</v>
      </c>
      <c r="H2456" s="2" t="b">
        <v>1</v>
      </c>
      <c r="I2456" s="2">
        <v>-1.0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s">
        <v>33</v>
      </c>
      <c r="O2456" s="2">
        <v>25.0</v>
      </c>
      <c r="P2456" s="2">
        <v>3.0</v>
      </c>
      <c r="Q2456" s="2">
        <v>12.0</v>
      </c>
      <c r="R2456" s="2">
        <v>0.0</v>
      </c>
      <c r="S2456" s="3" t="s">
        <v>10069</v>
      </c>
      <c r="T2456" s="2" t="s">
        <v>10070</v>
      </c>
      <c r="Y2456" s="4" t="str">
        <f>IFERROR(__xludf.DUMMYFUNCTION("""COMPUTED_VALUE"""),"6.9792066")</f>
        <v>6.9792066</v>
      </c>
      <c r="Z2456" s="4" t="str">
        <f>IFERROR(__xludf.DUMMYFUNCTION("""COMPUTED_VALUE"""),"3.6699295")</f>
        <v>3.6699295</v>
      </c>
      <c r="AA2456" s="4" t="str">
        <f t="shared" si="1"/>
        <v>Not Neighbor</v>
      </c>
      <c r="AC2456" s="4">
        <f>IFERROR(__xludf.DUMMYFUNCTION("IFERROR(ABS(O2456-AVERAGE(FILTER(O2456:O6524,AA2456:AA6524=""Neighbor""))) / STDEV(FILTER(O2456:O6524, AA2456:AA6524 =""Neighbor"")), """")"),0.741887950452099)</f>
        <v>0.7418879505</v>
      </c>
      <c r="AD2456" s="4">
        <f>IFERROR(__xludf.DUMMYFUNCTION("IFERROR(ABS(P2456-AVERAGE(FILTER(O2456:P6524,AA2456:AA6524=""Neighbor""))) / STDEV(FILTER(P2456:P6524, AA2456:AA6524 =""Neighbor"")), """")"),1.365090644754422)</f>
        <v>1.365090645</v>
      </c>
      <c r="AE2456" s="2">
        <f>IFERROR(__xludf.DUMMYFUNCTION("IFERROR(ABS(Q2456-AVERAGE(FILTER(Q2456:Q6524,AA2456:AA6524=""Neighbor""))) / STDEV(FILTER(Q2456:Q6524, AA2456:AA6524 =""Neighbor"")), """")"),0.2593972911204634)</f>
        <v>0.2593972911</v>
      </c>
      <c r="AF2456" s="2">
        <f>IFERROR(__xludf.DUMMYFUNCTION("IFERROR(ABS(R2456-AVERAGE(FILTER(R2456:R6524,AA2456:AA6524=""Neighbor""))) / STDEV(FILTER(R2456:R6524, AA2456:AA6524 =""Neighbor"")), """")"),0.35082568651328677)</f>
        <v>0.3508256865</v>
      </c>
    </row>
    <row r="2457">
      <c r="A2457" s="2" t="s">
        <v>28</v>
      </c>
      <c r="B2457" s="2" t="s">
        <v>10071</v>
      </c>
      <c r="C2457" s="2" t="s">
        <v>10072</v>
      </c>
      <c r="D2457" s="2" t="s">
        <v>10073</v>
      </c>
      <c r="E2457" s="2" t="s">
        <v>10074</v>
      </c>
      <c r="F2457" s="2">
        <v>162.0</v>
      </c>
      <c r="G2457" s="2">
        <v>595.0</v>
      </c>
      <c r="H2457" s="2" t="b">
        <v>1</v>
      </c>
      <c r="I2457" s="2">
        <v>-1.0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s">
        <v>33</v>
      </c>
      <c r="O2457" s="2">
        <v>74.0</v>
      </c>
      <c r="P2457" s="2">
        <v>18.0</v>
      </c>
      <c r="Q2457" s="2">
        <v>31.0</v>
      </c>
      <c r="R2457" s="2">
        <v>2.0</v>
      </c>
      <c r="S2457" s="3" t="s">
        <v>10075</v>
      </c>
      <c r="T2457" s="2" t="s">
        <v>10076</v>
      </c>
      <c r="Y2457" s="4" t="str">
        <f>IFERROR(__xludf.DUMMYFUNCTION("""COMPUTED_VALUE"""),"6.8322014")</f>
        <v>6.8322014</v>
      </c>
      <c r="Z2457" s="4" t="str">
        <f>IFERROR(__xludf.DUMMYFUNCTION("""COMPUTED_VALUE"""),"3.6319131")</f>
        <v>3.6319131</v>
      </c>
      <c r="AA2457" s="4" t="str">
        <f t="shared" si="1"/>
        <v>Neighbor</v>
      </c>
      <c r="AC2457" s="4">
        <f>IFERROR(__xludf.DUMMYFUNCTION("IFERROR(ABS(O2457-AVERAGE(FILTER(O2457:O6525,AA2457:AA6525=""Neighbor""))) / STDEV(FILTER(O2457:O6525, AA2457:AA6525 =""Neighbor"")), """")"),0.6122825537520383)</f>
        <v>0.6122825538</v>
      </c>
      <c r="AD2457" s="4">
        <f>IFERROR(__xludf.DUMMYFUNCTION("IFERROR(ABS(P2457-AVERAGE(FILTER(O2457:P6525,AA2457:AA6525=""Neighbor""))) / STDEV(FILTER(P2457:P6525, AA2457:AA6525 =""Neighbor"")), """")"),0.7304594873344914)</f>
        <v>0.7304594873</v>
      </c>
      <c r="AE2457" s="2">
        <f>IFERROR(__xludf.DUMMYFUNCTION("IFERROR(ABS(Q2457-AVERAGE(FILTER(Q2457:Q6525,AA2457:AA6525=""Neighbor""))) / STDEV(FILTER(Q2457:Q6525, AA2457:AA6525 =""Neighbor"")), """")"),0.7702834193638148)</f>
        <v>0.7702834194</v>
      </c>
      <c r="AF2457" s="2">
        <f>IFERROR(__xludf.DUMMYFUNCTION("IFERROR(ABS(R2457-AVERAGE(FILTER(R2457:R6525,AA2457:AA6525=""Neighbor""))) / STDEV(FILTER(R2457:R6525, AA2457:AA6525 =""Neighbor"")), """")"),1.8665288952357395)</f>
        <v>1.866528895</v>
      </c>
    </row>
    <row r="2458">
      <c r="A2458" s="2" t="s">
        <v>28</v>
      </c>
      <c r="B2458" s="2" t="s">
        <v>10071</v>
      </c>
      <c r="C2458" s="2" t="s">
        <v>10072</v>
      </c>
      <c r="D2458" s="2" t="s">
        <v>10077</v>
      </c>
      <c r="E2458" s="2" t="s">
        <v>10078</v>
      </c>
      <c r="F2458" s="2">
        <v>180.0</v>
      </c>
      <c r="G2458" s="2">
        <v>601.0</v>
      </c>
      <c r="H2458" s="2" t="b">
        <v>1</v>
      </c>
      <c r="I2458" s="2">
        <v>-1.0</v>
      </c>
      <c r="J2458" s="2" t="b">
        <v>0</v>
      </c>
      <c r="K2458" s="2" t="b">
        <v>0</v>
      </c>
      <c r="L2458" s="2" t="b">
        <v>0</v>
      </c>
      <c r="M2458" s="2" t="b">
        <v>0</v>
      </c>
      <c r="N2458" s="2" t="s">
        <v>33</v>
      </c>
      <c r="O2458" s="2">
        <v>113.0</v>
      </c>
      <c r="P2458" s="2">
        <v>21.0</v>
      </c>
      <c r="Q2458" s="2">
        <v>14.0</v>
      </c>
      <c r="R2458" s="2">
        <v>0.0</v>
      </c>
      <c r="S2458" s="3" t="s">
        <v>10079</v>
      </c>
      <c r="T2458" s="2" t="s">
        <v>10080</v>
      </c>
      <c r="Y2458" s="4" t="str">
        <f>IFERROR(__xludf.DUMMYFUNCTION("""COMPUTED_VALUE"""),"6.8322014")</f>
        <v>6.8322014</v>
      </c>
      <c r="Z2458" s="4" t="str">
        <f>IFERROR(__xludf.DUMMYFUNCTION("""COMPUTED_VALUE"""),"3.6319131")</f>
        <v>3.6319131</v>
      </c>
      <c r="AA2458" s="4" t="str">
        <f t="shared" si="1"/>
        <v>Neighbor</v>
      </c>
      <c r="AC2458" s="4">
        <f>IFERROR(__xludf.DUMMYFUNCTION("IFERROR(ABS(O2458-AVERAGE(FILTER(O2458:O6526,AA2458:AA6526=""Neighbor""))) / STDEV(FILTER(O2458:O6526, AA2458:AA6526 =""Neighbor"")), """")"),1.6902206488076883)</f>
        <v>1.690220649</v>
      </c>
      <c r="AD2458" s="4">
        <f>IFERROR(__xludf.DUMMYFUNCTION("IFERROR(ABS(P2458-AVERAGE(FILTER(O2458:P6526,AA2458:AA6526=""Neighbor""))) / STDEV(FILTER(P2458:P6526, AA2458:AA6526 =""Neighbor"")), """")"),0.6023710017327837)</f>
        <v>0.6023710017</v>
      </c>
      <c r="AE2458" s="2">
        <f>IFERROR(__xludf.DUMMYFUNCTION("IFERROR(ABS(Q2458-AVERAGE(FILTER(Q2458:Q6526,AA2458:AA6526=""Neighbor""))) / STDEV(FILTER(Q2458:Q6526, AA2458:AA6526 =""Neighbor"")), """")"),0.14977798369647172)</f>
        <v>0.1497779837</v>
      </c>
      <c r="AF2458" s="2">
        <f>IFERROR(__xludf.DUMMYFUNCTION("IFERROR(ABS(R2458-AVERAGE(FILTER(R2458:R6526,AA2458:AA6526=""Neighbor""))) / STDEV(FILTER(R2458:R6526, AA2458:AA6526 =""Neighbor"")), """")"),0.3486233318941307)</f>
        <v>0.3486233319</v>
      </c>
    </row>
    <row r="2459">
      <c r="A2459" s="2" t="s">
        <v>28</v>
      </c>
      <c r="B2459" s="2" t="s">
        <v>10071</v>
      </c>
      <c r="C2459" s="2" t="s">
        <v>10072</v>
      </c>
      <c r="D2459" s="2" t="s">
        <v>10081</v>
      </c>
      <c r="E2459" s="2" t="s">
        <v>10082</v>
      </c>
      <c r="F2459" s="2">
        <v>164.0</v>
      </c>
      <c r="G2459" s="2">
        <v>452.0</v>
      </c>
      <c r="H2459" s="2" t="b">
        <v>1</v>
      </c>
      <c r="I2459" s="2">
        <v>-1.0</v>
      </c>
      <c r="J2459" s="2" t="b">
        <v>1</v>
      </c>
      <c r="K2459" s="2" t="b">
        <v>0</v>
      </c>
      <c r="L2459" s="2" t="b">
        <v>0</v>
      </c>
      <c r="M2459" s="2" t="b">
        <v>0</v>
      </c>
      <c r="N2459" s="2" t="s">
        <v>33</v>
      </c>
      <c r="O2459" s="2">
        <v>109.0</v>
      </c>
      <c r="P2459" s="2">
        <v>6.0</v>
      </c>
      <c r="Q2459" s="2">
        <v>47.0</v>
      </c>
      <c r="R2459" s="2">
        <v>4.0</v>
      </c>
      <c r="S2459" s="3" t="s">
        <v>10083</v>
      </c>
      <c r="T2459" s="2" t="s">
        <v>10084</v>
      </c>
      <c r="Y2459" s="4" t="str">
        <f>IFERROR(__xludf.DUMMYFUNCTION("""COMPUTED_VALUE"""),"6.8322014")</f>
        <v>6.8322014</v>
      </c>
      <c r="Z2459" s="4" t="str">
        <f>IFERROR(__xludf.DUMMYFUNCTION("""COMPUTED_VALUE"""),"3.6319131")</f>
        <v>3.6319131</v>
      </c>
      <c r="AA2459" s="4" t="str">
        <f t="shared" si="1"/>
        <v>Neighbor</v>
      </c>
      <c r="AC2459" s="4">
        <f>IFERROR(__xludf.DUMMYFUNCTION("IFERROR(ABS(O2459-AVERAGE(FILTER(O2459:O6527,AA2459:AA6527=""Neighbor""))) / STDEV(FILTER(O2459:O6527, AA2459:AA6527 =""Neighbor"")), """")"),1.5846109865352414)</f>
        <v>1.584610987</v>
      </c>
      <c r="AD2459" s="4">
        <f>IFERROR(__xludf.DUMMYFUNCTION("IFERROR(ABS(P2459-AVERAGE(FILTER(O2459:P6527,AA2459:AA6527=""Neighbor""))) / STDEV(FILTER(P2459:P6527, AA2459:AA6527 =""Neighbor"")), """")"),1.2335035953244495)</f>
        <v>1.233503595</v>
      </c>
      <c r="AE2459" s="2">
        <f>IFERROR(__xludf.DUMMYFUNCTION("IFERROR(ABS(Q2459-AVERAGE(FILTER(Q2459:Q6527,AA2459:AA6527=""Neighbor""))) / STDEV(FILTER(Q2459:Q6527, AA2459:AA6527 =""Neighbor"")), """")"),1.6365912985979725)</f>
        <v>1.636591299</v>
      </c>
      <c r="AF2459" s="2">
        <f>IFERROR(__xludf.DUMMYFUNCTION("IFERROR(ABS(R2459-AVERAGE(FILTER(R2459:R6527,AA2459:AA6527=""Neighbor""))) / STDEV(FILTER(R2459:R6527, AA2459:AA6527 =""Neighbor"")), """")"),4.091306380317799)</f>
        <v>4.09130638</v>
      </c>
    </row>
    <row r="2460">
      <c r="A2460" s="2" t="s">
        <v>28</v>
      </c>
      <c r="B2460" s="2" t="s">
        <v>10071</v>
      </c>
      <c r="C2460" s="2" t="s">
        <v>10072</v>
      </c>
      <c r="D2460" s="2" t="s">
        <v>10085</v>
      </c>
      <c r="E2460" s="2" t="s">
        <v>10086</v>
      </c>
      <c r="F2460" s="2">
        <v>236.0</v>
      </c>
      <c r="G2460" s="2">
        <v>769.0</v>
      </c>
      <c r="H2460" s="2" t="b">
        <v>1</v>
      </c>
      <c r="I2460" s="2">
        <v>-1.0</v>
      </c>
      <c r="J2460" s="2" t="b">
        <v>1</v>
      </c>
      <c r="K2460" s="2" t="b">
        <v>0</v>
      </c>
      <c r="L2460" s="2" t="b">
        <v>0</v>
      </c>
      <c r="M2460" s="2" t="b">
        <v>0</v>
      </c>
      <c r="N2460" s="2" t="s">
        <v>33</v>
      </c>
      <c r="O2460" s="2">
        <v>113.0</v>
      </c>
      <c r="P2460" s="2">
        <v>26.0</v>
      </c>
      <c r="Q2460" s="2">
        <v>80.0</v>
      </c>
      <c r="R2460" s="2">
        <v>0.0</v>
      </c>
      <c r="S2460" s="3" t="s">
        <v>10087</v>
      </c>
      <c r="T2460" s="2" t="s">
        <v>10088</v>
      </c>
      <c r="Y2460" s="4" t="str">
        <f>IFERROR(__xludf.DUMMYFUNCTION("""COMPUTED_VALUE"""),"6.8322014")</f>
        <v>6.8322014</v>
      </c>
      <c r="Z2460" s="4" t="str">
        <f>IFERROR(__xludf.DUMMYFUNCTION("""COMPUTED_VALUE"""),"3.6319131")</f>
        <v>3.6319131</v>
      </c>
      <c r="AA2460" s="4" t="str">
        <f t="shared" si="1"/>
        <v>Neighbor</v>
      </c>
      <c r="AC2460" s="4">
        <f>IFERROR(__xludf.DUMMYFUNCTION("IFERROR(ABS(O2460-AVERAGE(FILTER(O2460:O6528,AA2460:AA6528=""Neighbor""))) / STDEV(FILTER(O2460:O6528, AA2460:AA6528 =""Neighbor"")), """")"),1.6996977567588871)</f>
        <v>1.699697757</v>
      </c>
      <c r="AD2460" s="4">
        <f>IFERROR(__xludf.DUMMYFUNCTION("IFERROR(ABS(P2460-AVERAGE(FILTER(O2460:P6528,AA2460:AA6528=""Neighbor""))) / STDEV(FILTER(P2460:P6528, AA2460:AA6528 =""Neighbor"")), """")"),0.38695793669465833)</f>
        <v>0.3869579367</v>
      </c>
      <c r="AE2460" s="2">
        <f>IFERROR(__xludf.DUMMYFUNCTION("IFERROR(ABS(Q2460-AVERAGE(FILTER(Q2460:Q6528,AA2460:AA6528=""Neighbor""))) / STDEV(FILTER(Q2460:Q6528, AA2460:AA6528 =""Neighbor"")), """")"),3.430066904937738)</f>
        <v>3.430066905</v>
      </c>
      <c r="AF2460" s="2">
        <f>IFERROR(__xludf.DUMMYFUNCTION("IFERROR(ABS(R2460-AVERAGE(FILTER(R2460:R6528,AA2460:AA6528=""Neighbor""))) / STDEV(FILTER(R2460:R6528, AA2460:AA6528 =""Neighbor"")), """")"),0.34686221114089605)</f>
        <v>0.3468622111</v>
      </c>
    </row>
    <row r="2461">
      <c r="A2461" s="2" t="s">
        <v>28</v>
      </c>
      <c r="B2461" s="2" t="s">
        <v>10071</v>
      </c>
      <c r="C2461" s="2" t="s">
        <v>10072</v>
      </c>
      <c r="D2461" s="2" t="s">
        <v>10089</v>
      </c>
      <c r="E2461" s="2" t="s">
        <v>10090</v>
      </c>
      <c r="F2461" s="2">
        <v>202.0</v>
      </c>
      <c r="G2461" s="2">
        <v>731.0</v>
      </c>
      <c r="H2461" s="2" t="b">
        <v>1</v>
      </c>
      <c r="I2461" s="2">
        <v>-1.0</v>
      </c>
      <c r="J2461" s="2" t="b">
        <v>0</v>
      </c>
      <c r="K2461" s="2" t="b">
        <v>0</v>
      </c>
      <c r="L2461" s="2" t="b">
        <v>0</v>
      </c>
      <c r="M2461" s="2" t="b">
        <v>0</v>
      </c>
      <c r="N2461" s="2" t="s">
        <v>33</v>
      </c>
      <c r="O2461" s="2">
        <v>120.0</v>
      </c>
      <c r="P2461" s="2">
        <v>40.0</v>
      </c>
      <c r="Q2461" s="2">
        <v>34.0</v>
      </c>
      <c r="R2461" s="2">
        <v>2.0</v>
      </c>
      <c r="S2461" s="3" t="s">
        <v>10091</v>
      </c>
      <c r="T2461" s="2" t="s">
        <v>10092</v>
      </c>
      <c r="Y2461" s="4" t="str">
        <f>IFERROR(__xludf.DUMMYFUNCTION("""COMPUTED_VALUE"""),"6.8322014")</f>
        <v>6.8322014</v>
      </c>
      <c r="Z2461" s="4" t="str">
        <f>IFERROR(__xludf.DUMMYFUNCTION("""COMPUTED_VALUE"""),"3.6319131")</f>
        <v>3.6319131</v>
      </c>
      <c r="AA2461" s="4" t="str">
        <f t="shared" si="1"/>
        <v>Neighbor</v>
      </c>
      <c r="AC2461" s="4">
        <f>IFERROR(__xludf.DUMMYFUNCTION("IFERROR(ABS(O2461-AVERAGE(FILTER(O2461:O6529,AA2461:AA6529=""Neighbor""))) / STDEV(FILTER(O2461:O6529, AA2461:AA6529 =""Neighbor"")), """")"),1.8989751062754785)</f>
        <v>1.898975106</v>
      </c>
      <c r="AD2461" s="4">
        <f>IFERROR(__xludf.DUMMYFUNCTION("IFERROR(ABS(P2461-AVERAGE(FILTER(O2461:P6529,AA2461:AA6529=""Neighbor""))) / STDEV(FILTER(P2461:P6529, AA2461:AA6529 =""Neighbor"")), """")"),0.20622804570306275)</f>
        <v>0.2062280457</v>
      </c>
      <c r="AE2461" s="2">
        <f>IFERROR(__xludf.DUMMYFUNCTION("IFERROR(ABS(Q2461-AVERAGE(FILTER(Q2461:Q6529,AA2461:AA6529=""Neighbor""))) / STDEV(FILTER(Q2461:Q6529, AA2461:AA6529 =""Neighbor"")), """")"),0.9498303907040818)</f>
        <v>0.9498303907</v>
      </c>
      <c r="AF2461" s="2">
        <f>IFERROR(__xludf.DUMMYFUNCTION("IFERROR(ABS(R2461-AVERAGE(FILTER(R2461:R6529,AA2461:AA6529=""Neighbor""))) / STDEV(FILTER(R2461:R6529, AA2461:AA6529 =""Neighbor"")), """")"),1.8989765615922827)</f>
        <v>1.898976562</v>
      </c>
    </row>
    <row r="2462">
      <c r="A2462" s="2" t="s">
        <v>28</v>
      </c>
      <c r="B2462" s="2" t="s">
        <v>10071</v>
      </c>
      <c r="C2462" s="2" t="s">
        <v>10093</v>
      </c>
      <c r="D2462" s="2" t="s">
        <v>10094</v>
      </c>
      <c r="E2462" s="2" t="s">
        <v>10095</v>
      </c>
      <c r="F2462" s="2">
        <v>171.0</v>
      </c>
      <c r="G2462" s="2">
        <v>626.0</v>
      </c>
      <c r="H2462" s="2" t="b">
        <v>1</v>
      </c>
      <c r="I2462" s="2">
        <v>-1.0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s">
        <v>33</v>
      </c>
      <c r="O2462" s="2">
        <v>101.0</v>
      </c>
      <c r="P2462" s="2">
        <v>13.0</v>
      </c>
      <c r="Q2462" s="2">
        <v>56.0</v>
      </c>
      <c r="R2462" s="2">
        <v>0.0</v>
      </c>
      <c r="S2462" s="3" t="s">
        <v>10096</v>
      </c>
      <c r="T2462" s="2" t="s">
        <v>10097</v>
      </c>
      <c r="Y2462" s="4" t="str">
        <f>IFERROR(__xludf.DUMMYFUNCTION("""COMPUTED_VALUE"""),"6.8322014")</f>
        <v>6.8322014</v>
      </c>
      <c r="Z2462" s="4" t="str">
        <f>IFERROR(__xludf.DUMMYFUNCTION("""COMPUTED_VALUE"""),"3.6319131")</f>
        <v>3.6319131</v>
      </c>
      <c r="AA2462" s="4" t="str">
        <f t="shared" si="1"/>
        <v>Not Neighbor</v>
      </c>
      <c r="AC2462" s="4">
        <f>IFERROR(__xludf.DUMMYFUNCTION("IFERROR(ABS(O2462-AVERAGE(FILTER(O2462:O6530,AA2462:AA6530=""Neighbor""))) / STDEV(FILTER(O2462:O6530, AA2462:AA6530 =""Neighbor"")), """")"),1.3777281587333867)</f>
        <v>1.377728159</v>
      </c>
      <c r="AD2462" s="4">
        <f>IFERROR(__xludf.DUMMYFUNCTION("IFERROR(ABS(P2462-AVERAGE(FILTER(O2462:P6530,AA2462:AA6530=""Neighbor""))) / STDEV(FILTER(P2462:P6530, AA2462:AA6530 =""Neighbor"")), """")"),0.9298643294540164)</f>
        <v>0.9298643295</v>
      </c>
      <c r="AE2462" s="2">
        <f>IFERROR(__xludf.DUMMYFUNCTION("IFERROR(ABS(Q2462-AVERAGE(FILTER(Q2462:Q6530,AA2462:AA6530=""Neighbor""))) / STDEV(FILTER(Q2462:Q6530, AA2462:AA6530 =""Neighbor"")), """")"),2.1537625551640325)</f>
        <v>2.153762555</v>
      </c>
      <c r="AF2462" s="2">
        <f>IFERROR(__xludf.DUMMYFUNCTION("IFERROR(ABS(R2462-AVERAGE(FILTER(R2462:R6530,AA2462:AA6530=""Neighbor""))) / STDEV(FILTER(R2462:R6530, AA2462:AA6530 =""Neighbor"")), """")"),0.3449215106519194)</f>
        <v>0.3449215107</v>
      </c>
    </row>
    <row r="2463">
      <c r="A2463" s="2" t="s">
        <v>28</v>
      </c>
      <c r="B2463" s="2" t="s">
        <v>10071</v>
      </c>
      <c r="C2463" s="2" t="s">
        <v>10093</v>
      </c>
      <c r="D2463" s="2" t="s">
        <v>10098</v>
      </c>
      <c r="E2463" s="2" t="s">
        <v>10099</v>
      </c>
      <c r="F2463" s="2">
        <v>157.0</v>
      </c>
      <c r="G2463" s="2">
        <v>636.0</v>
      </c>
      <c r="H2463" s="2" t="b">
        <v>1</v>
      </c>
      <c r="I2463" s="2">
        <v>-1.0</v>
      </c>
      <c r="J2463" s="2" t="b">
        <v>0</v>
      </c>
      <c r="K2463" s="2" t="b">
        <v>0</v>
      </c>
      <c r="L2463" s="2" t="b">
        <v>0</v>
      </c>
      <c r="M2463" s="2" t="b">
        <v>0</v>
      </c>
      <c r="N2463" s="2" t="s">
        <v>33</v>
      </c>
      <c r="O2463" s="2">
        <v>97.0</v>
      </c>
      <c r="P2463" s="2">
        <v>8.0</v>
      </c>
      <c r="Q2463" s="2">
        <v>43.0</v>
      </c>
      <c r="R2463" s="2">
        <v>0.0</v>
      </c>
      <c r="S2463" s="3" t="s">
        <v>10100</v>
      </c>
      <c r="T2463" s="2" t="s">
        <v>10101</v>
      </c>
      <c r="Y2463" s="4" t="str">
        <f>IFERROR(__xludf.DUMMYFUNCTION("""COMPUTED_VALUE"""),"6.8378912")</f>
        <v>6.8378912</v>
      </c>
      <c r="Z2463" s="4" t="str">
        <f>IFERROR(__xludf.DUMMYFUNCTION("""COMPUTED_VALUE"""),"3.6452208")</f>
        <v>3.6452208</v>
      </c>
      <c r="AA2463" s="4" t="str">
        <f t="shared" si="1"/>
        <v>Not Neighbor</v>
      </c>
      <c r="AC2463" s="4">
        <f>IFERROR(__xludf.DUMMYFUNCTION("IFERROR(ABS(O2463-AVERAGE(FILTER(O2463:O6531,AA2463:AA6531=""Neighbor""))) / STDEV(FILTER(O2463:O6531, AA2463:AA6531 =""Neighbor"")), """")"),1.266559986045182)</f>
        <v>1.266559986</v>
      </c>
      <c r="AD2463" s="4">
        <f>IFERROR(__xludf.DUMMYFUNCTION("IFERROR(ABS(P2463-AVERAGE(FILTER(O2463:P6531,AA2463:AA6531=""Neighbor""))) / STDEV(FILTER(P2463:P6531, AA2463:AA6531 =""Neighbor"")), """")"),1.1407889956386768)</f>
        <v>1.140788996</v>
      </c>
      <c r="AE2463" s="2">
        <f>IFERROR(__xludf.DUMMYFUNCTION("IFERROR(ABS(Q2463-AVERAGE(FILTER(Q2463:Q6531,AA2463:AA6531=""Neighbor""))) / STDEV(FILTER(Q2463:Q6531, AA2463:AA6531 =""Neighbor"")), """")"),1.4431749092825388)</f>
        <v>1.443174909</v>
      </c>
      <c r="AF2463" s="2">
        <f>IFERROR(__xludf.DUMMYFUNCTION("IFERROR(ABS(R2463-AVERAGE(FILTER(R2463:R6531,AA2463:AA6531=""Neighbor""))) / STDEV(FILTER(R2463:R6531, AA2463:AA6531 =""Neighbor"")), """")"),0.3449215106519194)</f>
        <v>0.3449215107</v>
      </c>
    </row>
    <row r="2464">
      <c r="A2464" s="2" t="s">
        <v>28</v>
      </c>
      <c r="B2464" s="2" t="s">
        <v>10071</v>
      </c>
      <c r="C2464" s="2" t="s">
        <v>10093</v>
      </c>
      <c r="D2464" s="2" t="s">
        <v>10102</v>
      </c>
      <c r="E2464" s="2" t="s">
        <v>10103</v>
      </c>
      <c r="F2464" s="2">
        <v>194.0</v>
      </c>
      <c r="G2464" s="2">
        <v>750.0</v>
      </c>
      <c r="H2464" s="2" t="b">
        <v>1</v>
      </c>
      <c r="I2464" s="2">
        <v>-1.0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s">
        <v>33</v>
      </c>
      <c r="O2464" s="2">
        <v>123.0</v>
      </c>
      <c r="P2464" s="2">
        <v>30.0</v>
      </c>
      <c r="Q2464" s="2">
        <v>28.0</v>
      </c>
      <c r="R2464" s="2">
        <v>3.0</v>
      </c>
      <c r="S2464" s="3" t="s">
        <v>10104</v>
      </c>
      <c r="T2464" s="2" t="s">
        <v>10105</v>
      </c>
      <c r="Y2464" s="4" t="str">
        <f>IFERROR(__xludf.DUMMYFUNCTION("""COMPUTED_VALUE"""),"6.8322014")</f>
        <v>6.8322014</v>
      </c>
      <c r="Z2464" s="4" t="str">
        <f>IFERROR(__xludf.DUMMYFUNCTION("""COMPUTED_VALUE"""),"3.6319131")</f>
        <v>3.6319131</v>
      </c>
      <c r="AA2464" s="4" t="str">
        <f t="shared" si="1"/>
        <v>Neighbor</v>
      </c>
      <c r="AC2464" s="4">
        <f>IFERROR(__xludf.DUMMYFUNCTION("IFERROR(ABS(O2464-AVERAGE(FILTER(O2464:O6532,AA2464:AA6532=""Neighbor""))) / STDEV(FILTER(O2464:O6532, AA2464:AA6532 =""Neighbor"")), """")"),1.9891531085185132)</f>
        <v>1.989153109</v>
      </c>
      <c r="AD2464" s="4">
        <f>IFERROR(__xludf.DUMMYFUNCTION("IFERROR(ABS(P2464-AVERAGE(FILTER(O2464:P6532,AA2464:AA6532=""Neighbor""))) / STDEV(FILTER(P2464:P6532, AA2464:AA6532 =""Neighbor"")), """")"),0.21272046442617082)</f>
        <v>0.2127204644</v>
      </c>
      <c r="AE2464" s="2">
        <f>IFERROR(__xludf.DUMMYFUNCTION("IFERROR(ABS(Q2464-AVERAGE(FILTER(Q2464:Q6532,AA2464:AA6532=""Neighbor""))) / STDEV(FILTER(Q2464:Q6532, AA2464:AA6532 =""Neighbor"")), """")"),0.6232660871115842)</f>
        <v>0.6232660871</v>
      </c>
      <c r="AF2464" s="2">
        <f>IFERROR(__xludf.DUMMYFUNCTION("IFERROR(ABS(R2464-AVERAGE(FILTER(R2464:R6532,AA2464:AA6532=""Neighbor""))) / STDEV(FILTER(R2464:R6532, AA2464:AA6532 =""Neighbor"")), """")"),3.03112842694111)</f>
        <v>3.031128427</v>
      </c>
    </row>
    <row r="2465">
      <c r="A2465" s="2" t="s">
        <v>28</v>
      </c>
      <c r="B2465" s="2" t="s">
        <v>10071</v>
      </c>
      <c r="C2465" s="2" t="s">
        <v>10093</v>
      </c>
      <c r="D2465" s="2" t="s">
        <v>10106</v>
      </c>
      <c r="E2465" s="2" t="s">
        <v>10107</v>
      </c>
      <c r="F2465" s="2">
        <v>186.0</v>
      </c>
      <c r="G2465" s="2">
        <v>674.0</v>
      </c>
      <c r="H2465" s="2" t="b">
        <v>1</v>
      </c>
      <c r="I2465" s="2">
        <v>-1.0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s">
        <v>33</v>
      </c>
      <c r="O2465" s="2">
        <v>115.0</v>
      </c>
      <c r="P2465" s="2">
        <v>6.0</v>
      </c>
      <c r="Q2465" s="2">
        <v>56.0</v>
      </c>
      <c r="R2465" s="2">
        <v>0.0</v>
      </c>
      <c r="S2465" s="3" t="s">
        <v>10108</v>
      </c>
      <c r="T2465" s="2" t="s">
        <v>10109</v>
      </c>
      <c r="Y2465" s="4" t="str">
        <f>IFERROR(__xludf.DUMMYFUNCTION("""COMPUTED_VALUE"""),"6.8322014")</f>
        <v>6.8322014</v>
      </c>
      <c r="Z2465" s="4" t="str">
        <f>IFERROR(__xludf.DUMMYFUNCTION("""COMPUTED_VALUE"""),"3.6319131")</f>
        <v>3.6319131</v>
      </c>
      <c r="AA2465" s="4" t="str">
        <f t="shared" si="1"/>
        <v>Neighbor</v>
      </c>
      <c r="AC2465" s="4">
        <f>IFERROR(__xludf.DUMMYFUNCTION("IFERROR(ABS(O2465-AVERAGE(FILTER(O2465:O6533,AA2465:AA6533=""Neighbor""))) / STDEV(FILTER(O2465:O6533, AA2465:AA6533 =""Neighbor"")), """")"),1.7739862341213168)</f>
        <v>1.773986234</v>
      </c>
      <c r="AD2465" s="4">
        <f>IFERROR(__xludf.DUMMYFUNCTION("IFERROR(ABS(P2465-AVERAGE(FILTER(O2465:P6533,AA2465:AA6533=""Neighbor""))) / STDEV(FILTER(P2465:P6533, AA2465:AA6533 =""Neighbor"")), """")"),1.221716587869998)</f>
        <v>1.221716588</v>
      </c>
      <c r="AE2465" s="2">
        <f>IFERROR(__xludf.DUMMYFUNCTION("IFERROR(ABS(Q2465-AVERAGE(FILTER(Q2465:Q6533,AA2465:AA6533=""Neighbor""))) / STDEV(FILTER(Q2465:Q6533, AA2465:AA6533 =""Neighbor"")), """")"),2.153707533112284)</f>
        <v>2.153707533</v>
      </c>
      <c r="AF2465" s="2">
        <f>IFERROR(__xludf.DUMMYFUNCTION("IFERROR(ABS(R2465-AVERAGE(FILTER(R2465:R6533,AA2465:AA6533=""Neighbor""))) / STDEV(FILTER(R2465:R6533, AA2465:AA6533 =""Neighbor"")), """")"),0.34240953786022293)</f>
        <v>0.3424095379</v>
      </c>
    </row>
    <row r="2466">
      <c r="A2466" s="2" t="s">
        <v>28</v>
      </c>
      <c r="B2466" s="2" t="s">
        <v>10071</v>
      </c>
      <c r="C2466" s="2" t="s">
        <v>10093</v>
      </c>
      <c r="D2466" s="2" t="s">
        <v>10110</v>
      </c>
      <c r="E2466" s="2" t="s">
        <v>10111</v>
      </c>
      <c r="F2466" s="2">
        <v>199.0</v>
      </c>
      <c r="G2466" s="2">
        <v>665.0</v>
      </c>
      <c r="H2466" s="2" t="b">
        <v>1</v>
      </c>
      <c r="I2466" s="2">
        <v>-1.0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s">
        <v>33</v>
      </c>
      <c r="O2466" s="2">
        <v>106.0</v>
      </c>
      <c r="P2466" s="2">
        <v>12.0</v>
      </c>
      <c r="Q2466" s="2">
        <v>71.0</v>
      </c>
      <c r="R2466" s="2">
        <v>1.0</v>
      </c>
      <c r="S2466" s="3" t="s">
        <v>10112</v>
      </c>
      <c r="T2466" s="2" t="s">
        <v>10113</v>
      </c>
      <c r="Y2466" s="4" t="str">
        <f>IFERROR(__xludf.DUMMYFUNCTION("""COMPUTED_VALUE"""),"6.8322014")</f>
        <v>6.8322014</v>
      </c>
      <c r="Z2466" s="4" t="str">
        <f>IFERROR(__xludf.DUMMYFUNCTION("""COMPUTED_VALUE"""),"3.6319131")</f>
        <v>3.6319131</v>
      </c>
      <c r="AA2466" s="4" t="str">
        <f t="shared" si="1"/>
        <v>Not Neighbor</v>
      </c>
      <c r="AC2466" s="4">
        <f>IFERROR(__xludf.DUMMYFUNCTION("IFERROR(ABS(O2466-AVERAGE(FILTER(O2466:O6534,AA2466:AA6534=""Neighbor""))) / STDEV(FILTER(O2466:O6534, AA2466:AA6534 =""Neighbor"")), """")"),1.5285951053865834)</f>
        <v>1.528595105</v>
      </c>
      <c r="AD2466" s="4">
        <f>IFERROR(__xludf.DUMMYFUNCTION("IFERROR(ABS(P2466-AVERAGE(FILTER(O2466:P6534,AA2466:AA6534=""Neighbor""))) / STDEV(FILTER(P2466:P6534, AA2466:AA6534 =""Neighbor"")), """")"),0.9665498562365991)</f>
        <v>0.9665498562</v>
      </c>
      <c r="AE2466" s="2">
        <f>IFERROR(__xludf.DUMMYFUNCTION("IFERROR(ABS(Q2466-AVERAGE(FILTER(Q2466:Q6534,AA2466:AA6534=""Neighbor""))) / STDEV(FILTER(Q2466:Q6534, AA2466:AA6534 =""Neighbor"")), """")"),2.9850462746126776)</f>
        <v>2.985046275</v>
      </c>
      <c r="AF2466" s="2">
        <f>IFERROR(__xludf.DUMMYFUNCTION("IFERROR(ABS(R2466-AVERAGE(FILTER(R2466:R6534,AA2466:AA6534=""Neighbor""))) / STDEV(FILTER(R2466:R6534, AA2466:AA6534 =""Neighbor"")), """")"),0.7891027942294215)</f>
        <v>0.7891027942</v>
      </c>
    </row>
    <row r="2467">
      <c r="A2467" s="2" t="s">
        <v>28</v>
      </c>
      <c r="B2467" s="2" t="s">
        <v>10071</v>
      </c>
      <c r="C2467" s="2" t="s">
        <v>10093</v>
      </c>
      <c r="D2467" s="2" t="s">
        <v>10114</v>
      </c>
      <c r="E2467" s="2" t="s">
        <v>10115</v>
      </c>
      <c r="F2467" s="2">
        <v>205.0</v>
      </c>
      <c r="G2467" s="2">
        <v>802.0</v>
      </c>
      <c r="H2467" s="2" t="b">
        <v>1</v>
      </c>
      <c r="I2467" s="2">
        <v>-1.0</v>
      </c>
      <c r="J2467" s="2" t="b">
        <v>0</v>
      </c>
      <c r="K2467" s="2" t="b">
        <v>1</v>
      </c>
      <c r="L2467" s="2" t="b">
        <v>0</v>
      </c>
      <c r="M2467" s="2" t="b">
        <v>0</v>
      </c>
      <c r="N2467" s="2" t="s">
        <v>33</v>
      </c>
      <c r="O2467" s="2">
        <v>0.0</v>
      </c>
      <c r="P2467" s="2">
        <v>0.0</v>
      </c>
      <c r="Q2467" s="2">
        <v>0.0</v>
      </c>
      <c r="R2467" s="2">
        <v>0.0</v>
      </c>
      <c r="S2467" s="3" t="s">
        <v>10116</v>
      </c>
      <c r="T2467" s="2" t="s">
        <v>10117</v>
      </c>
      <c r="Y2467" s="4" t="str">
        <f>IFERROR(__xludf.DUMMYFUNCTION("""COMPUTED_VALUE"""),"6.8378912")</f>
        <v>6.8378912</v>
      </c>
      <c r="Z2467" s="4" t="str">
        <f>IFERROR(__xludf.DUMMYFUNCTION("""COMPUTED_VALUE"""),"3.6452208")</f>
        <v>3.6452208</v>
      </c>
      <c r="AA2467" s="4" t="str">
        <f t="shared" si="1"/>
        <v>Not Neighbor</v>
      </c>
      <c r="AC2467" s="4">
        <f>IFERROR(__xludf.DUMMYFUNCTION("IFERROR(ABS(O2467-AVERAGE(FILTER(O2467:O6535,AA2467:AA6535=""Neighbor""))) / STDEV(FILTER(O2467:O6535, AA2467:AA6535 =""Neighbor"")), """")"),1.4291151064645995)</f>
        <v>1.429115106</v>
      </c>
      <c r="AD2467" s="4">
        <f>IFERROR(__xludf.DUMMYFUNCTION("IFERROR(ABS(P2467-AVERAGE(FILTER(O2467:P6535,AA2467:AA6535=""Neighbor""))) / STDEV(FILTER(P2467:P6535, AA2467:AA6535 =""Neighbor"")), """")"),1.4721851440346319)</f>
        <v>1.472185144</v>
      </c>
      <c r="AE2467" s="2">
        <f>IFERROR(__xludf.DUMMYFUNCTION("IFERROR(ABS(Q2467-AVERAGE(FILTER(Q2467:Q6535,AA2467:AA6535=""Neighbor""))) / STDEV(FILTER(Q2467:Q6535, AA2467:AA6535 =""Neighbor"")), """")"),0.9050596325978928)</f>
        <v>0.9050596326</v>
      </c>
      <c r="AF2467" s="2">
        <f>IFERROR(__xludf.DUMMYFUNCTION("IFERROR(ABS(R2467-AVERAGE(FILTER(R2467:R6535,AA2467:AA6535=""Neighbor""))) / STDEV(FILTER(R2467:R6535, AA2467:AA6535 =""Neighbor"")), """")"),0.34270611330676437)</f>
        <v>0.3427061133</v>
      </c>
    </row>
    <row r="2468">
      <c r="A2468" s="2" t="s">
        <v>28</v>
      </c>
      <c r="B2468" s="2" t="s">
        <v>10071</v>
      </c>
      <c r="C2468" s="2" t="s">
        <v>10093</v>
      </c>
      <c r="D2468" s="2" t="s">
        <v>10118</v>
      </c>
      <c r="E2468" s="2" t="s">
        <v>10119</v>
      </c>
      <c r="F2468" s="2">
        <v>144.0</v>
      </c>
      <c r="G2468" s="2">
        <v>493.0</v>
      </c>
      <c r="H2468" s="2" t="b">
        <v>1</v>
      </c>
      <c r="I2468" s="2">
        <v>-1.0</v>
      </c>
      <c r="J2468" s="2" t="b">
        <v>0</v>
      </c>
      <c r="K2468" s="2" t="b">
        <v>0</v>
      </c>
      <c r="L2468" s="2" t="b">
        <v>0</v>
      </c>
      <c r="M2468" s="2" t="b">
        <v>0</v>
      </c>
      <c r="N2468" s="2" t="s">
        <v>33</v>
      </c>
      <c r="O2468" s="2">
        <v>81.0</v>
      </c>
      <c r="P2468" s="2">
        <v>5.0</v>
      </c>
      <c r="Q2468" s="2">
        <v>48.0</v>
      </c>
      <c r="R2468" s="2">
        <v>0.0</v>
      </c>
      <c r="S2468" s="3" t="s">
        <v>10120</v>
      </c>
      <c r="T2468" s="2" t="s">
        <v>10121</v>
      </c>
      <c r="Y2468" s="4" t="str">
        <f>IFERROR(__xludf.DUMMYFUNCTION("""COMPUTED_VALUE"""),"6.8322014")</f>
        <v>6.8322014</v>
      </c>
      <c r="Z2468" s="4" t="str">
        <f>IFERROR(__xludf.DUMMYFUNCTION("""COMPUTED_VALUE"""),"3.6319131")</f>
        <v>3.6319131</v>
      </c>
      <c r="AA2468" s="4" t="str">
        <f t="shared" si="1"/>
        <v>Not Neighbor</v>
      </c>
      <c r="AC2468" s="4">
        <f>IFERROR(__xludf.DUMMYFUNCTION("IFERROR(ABS(O2468-AVERAGE(FILTER(O2468:O6536,AA2468:AA6536=""Neighbor""))) / STDEV(FILTER(O2468:O6536, AA2468:AA6536 =""Neighbor"")), """")"),0.8310219422141346)</f>
        <v>0.8310219422</v>
      </c>
      <c r="AD2468" s="4">
        <f>IFERROR(__xludf.DUMMYFUNCTION("IFERROR(ABS(P2468-AVERAGE(FILTER(O2468:P6536,AA2468:AA6536=""Neighbor""))) / STDEV(FILTER(P2468:P6536, AA2468:AA6536 =""Neighbor"")), """")"),1.261503774118785)</f>
        <v>1.261503774</v>
      </c>
      <c r="AE2468" s="2">
        <f>IFERROR(__xludf.DUMMYFUNCTION("IFERROR(ABS(Q2468-AVERAGE(FILTER(Q2468:Q6536,AA2468:AA6536=""Neighbor""))) / STDEV(FILTER(Q2468:Q6536, AA2468:AA6536 =""Neighbor"")), """")"),1.7248711215726336)</f>
        <v>1.724871122</v>
      </c>
      <c r="AF2468" s="2">
        <f>IFERROR(__xludf.DUMMYFUNCTION("IFERROR(ABS(R2468-AVERAGE(FILTER(R2468:R6536,AA2468:AA6536=""Neighbor""))) / STDEV(FILTER(R2468:R6536, AA2468:AA6536 =""Neighbor"")), """")"),0.34270611330676437)</f>
        <v>0.3427061133</v>
      </c>
    </row>
    <row r="2469">
      <c r="A2469" s="2" t="s">
        <v>28</v>
      </c>
      <c r="B2469" s="2" t="s">
        <v>10071</v>
      </c>
      <c r="C2469" s="2" t="s">
        <v>10093</v>
      </c>
      <c r="D2469" s="2" t="s">
        <v>10122</v>
      </c>
      <c r="E2469" s="2" t="s">
        <v>10123</v>
      </c>
      <c r="F2469" s="2">
        <v>193.0</v>
      </c>
      <c r="G2469" s="2">
        <v>750.0</v>
      </c>
      <c r="H2469" s="2" t="b">
        <v>1</v>
      </c>
      <c r="I2469" s="2">
        <v>-1.0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s">
        <v>33</v>
      </c>
      <c r="O2469" s="2">
        <v>113.0</v>
      </c>
      <c r="P2469" s="2">
        <v>18.0</v>
      </c>
      <c r="Q2469" s="2">
        <v>48.0</v>
      </c>
      <c r="R2469" s="2">
        <v>0.0</v>
      </c>
      <c r="S2469" s="3" t="s">
        <v>10124</v>
      </c>
      <c r="T2469" s="2" t="s">
        <v>10125</v>
      </c>
      <c r="Y2469" s="4" t="str">
        <f>IFERROR(__xludf.DUMMYFUNCTION("""COMPUTED_VALUE"""),"6.8447239")</f>
        <v>6.8447239</v>
      </c>
      <c r="Z2469" s="4" t="str">
        <f>IFERROR(__xludf.DUMMYFUNCTION("""COMPUTED_VALUE"""),"3.6543059")</f>
        <v>3.6543059</v>
      </c>
      <c r="AA2469" s="4" t="str">
        <f t="shared" si="1"/>
        <v>Not Neighbor</v>
      </c>
      <c r="AC2469" s="4">
        <f>IFERROR(__xludf.DUMMYFUNCTION("IFERROR(ABS(O2469-AVERAGE(FILTER(O2469:O6537,AA2469:AA6537=""Neighbor""))) / STDEV(FILTER(O2469:O6537, AA2469:AA6537 =""Neighbor"")), """")"),1.7239155910748691)</f>
        <v>1.723915591</v>
      </c>
      <c r="AD2469" s="4">
        <f>IFERROR(__xludf.DUMMYFUNCTION("IFERROR(ABS(P2469-AVERAGE(FILTER(O2469:P6537,AA2469:AA6537=""Neighbor""))) / STDEV(FILTER(P2469:P6537, AA2469:AA6537 =""Neighbor"")), """")"),0.7137322123375828)</f>
        <v>0.7137322123</v>
      </c>
      <c r="AE2469" s="2">
        <f>IFERROR(__xludf.DUMMYFUNCTION("IFERROR(ABS(Q2469-AVERAGE(FILTER(Q2469:Q6537,AA2469:AA6537=""Neighbor""))) / STDEV(FILTER(Q2469:Q6537, AA2469:AA6537 =""Neighbor"")), """")"),1.7248711215726336)</f>
        <v>1.724871122</v>
      </c>
      <c r="AF2469" s="2">
        <f>IFERROR(__xludf.DUMMYFUNCTION("IFERROR(ABS(R2469-AVERAGE(FILTER(R2469:R6537,AA2469:AA6537=""Neighbor""))) / STDEV(FILTER(R2469:R6537, AA2469:AA6537 =""Neighbor"")), """")"),0.34270611330676437)</f>
        <v>0.3427061133</v>
      </c>
    </row>
    <row r="2470">
      <c r="A2470" s="2" t="s">
        <v>28</v>
      </c>
      <c r="B2470" s="2" t="s">
        <v>10071</v>
      </c>
      <c r="C2470" s="2" t="s">
        <v>10093</v>
      </c>
      <c r="D2470" s="2" t="s">
        <v>10126</v>
      </c>
      <c r="E2470" s="2" t="s">
        <v>10127</v>
      </c>
      <c r="F2470" s="2">
        <v>185.0</v>
      </c>
      <c r="G2470" s="2">
        <v>645.0</v>
      </c>
      <c r="H2470" s="2" t="b">
        <v>1</v>
      </c>
      <c r="I2470" s="2">
        <v>-1.0</v>
      </c>
      <c r="J2470" s="2" t="b">
        <v>0</v>
      </c>
      <c r="K2470" s="2" t="b">
        <v>0</v>
      </c>
      <c r="L2470" s="2" t="b">
        <v>0</v>
      </c>
      <c r="M2470" s="2" t="b">
        <v>0</v>
      </c>
      <c r="N2470" s="2" t="s">
        <v>33</v>
      </c>
      <c r="O2470" s="2">
        <v>121.0</v>
      </c>
      <c r="P2470" s="2">
        <v>13.0</v>
      </c>
      <c r="Q2470" s="2">
        <v>39.0</v>
      </c>
      <c r="R2470" s="2">
        <v>0.0</v>
      </c>
      <c r="S2470" s="3" t="s">
        <v>10128</v>
      </c>
      <c r="T2470" s="2" t="s">
        <v>10129</v>
      </c>
      <c r="Y2470" s="4" t="str">
        <f>IFERROR(__xludf.DUMMYFUNCTION("""COMPUTED_VALUE"""),"6.8322014")</f>
        <v>6.8322014</v>
      </c>
      <c r="Z2470" s="4" t="str">
        <f>IFERROR(__xludf.DUMMYFUNCTION("""COMPUTED_VALUE"""),"3.6319131")</f>
        <v>3.6319131</v>
      </c>
      <c r="AA2470" s="4" t="str">
        <f t="shared" si="1"/>
        <v>Neighbor</v>
      </c>
      <c r="AC2470" s="4">
        <f>IFERROR(__xludf.DUMMYFUNCTION("IFERROR(ABS(O2470-AVERAGE(FILTER(O2470:O6538,AA2470:AA6538=""Neighbor""))) / STDEV(FILTER(O2470:O6538, AA2470:AA6538 =""Neighbor"")), """")"),1.9471390032900528)</f>
        <v>1.947139003</v>
      </c>
      <c r="AD2470" s="4">
        <f>IFERROR(__xludf.DUMMYFUNCTION("IFERROR(ABS(P2470-AVERAGE(FILTER(O2470:P6538,AA2470:AA6538=""Neighbor""))) / STDEV(FILTER(P2470:P6538, AA2470:AA6538 =""Neighbor"")), """")"),0.9244135822534297)</f>
        <v>0.9244135823</v>
      </c>
      <c r="AE2470" s="2">
        <f>IFERROR(__xludf.DUMMYFUNCTION("IFERROR(ABS(Q2470-AVERAGE(FILTER(Q2470:Q6538,AA2470:AA6538=""Neighbor""))) / STDEV(FILTER(Q2470:Q6538, AA2470:AA6538 =""Neighbor"")), """")"),1.23175910516566)</f>
        <v>1.231759105</v>
      </c>
      <c r="AF2470" s="2">
        <f>IFERROR(__xludf.DUMMYFUNCTION("IFERROR(ABS(R2470-AVERAGE(FILTER(R2470:R6538,AA2470:AA6538=""Neighbor""))) / STDEV(FILTER(R2470:R6538, AA2470:AA6538 =""Neighbor"")), """")"),0.34270611330676437)</f>
        <v>0.3427061133</v>
      </c>
    </row>
    <row r="2471">
      <c r="A2471" s="2" t="s">
        <v>28</v>
      </c>
      <c r="B2471" s="2" t="s">
        <v>10071</v>
      </c>
      <c r="C2471" s="2" t="s">
        <v>10093</v>
      </c>
      <c r="D2471" s="2" t="s">
        <v>10130</v>
      </c>
      <c r="E2471" s="2" t="s">
        <v>10131</v>
      </c>
      <c r="F2471" s="2">
        <v>189.0</v>
      </c>
      <c r="G2471" s="2">
        <v>755.0</v>
      </c>
      <c r="H2471" s="2" t="b">
        <v>1</v>
      </c>
      <c r="I2471" s="2">
        <v>-1.0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s">
        <v>33</v>
      </c>
      <c r="O2471" s="2">
        <v>127.0</v>
      </c>
      <c r="P2471" s="2">
        <v>4.0</v>
      </c>
      <c r="Q2471" s="2">
        <v>49.0</v>
      </c>
      <c r="R2471" s="2">
        <v>0.0</v>
      </c>
      <c r="S2471" s="3" t="s">
        <v>10132</v>
      </c>
      <c r="T2471" s="2" t="s">
        <v>10133</v>
      </c>
      <c r="Y2471" s="4" t="str">
        <f>IFERROR(__xludf.DUMMYFUNCTION("""COMPUTED_VALUE"""),"6.8322014")</f>
        <v>6.8322014</v>
      </c>
      <c r="Z2471" s="4" t="str">
        <f>IFERROR(__xludf.DUMMYFUNCTION("""COMPUTED_VALUE"""),"3.6319131")</f>
        <v>3.6319131</v>
      </c>
      <c r="AA2471" s="4" t="str">
        <f t="shared" si="1"/>
        <v>Neighbor</v>
      </c>
      <c r="AC2471" s="4">
        <f>IFERROR(__xludf.DUMMYFUNCTION("IFERROR(ABS(O2471-AVERAGE(FILTER(O2471:O6539,AA2471:AA6539=""Neighbor""))) / STDEV(FILTER(O2471:O6539, AA2471:AA6539 =""Neighbor"")), """")"),2.122213147819329)</f>
        <v>2.122213148</v>
      </c>
      <c r="AD2471" s="4">
        <f>IFERROR(__xludf.DUMMYFUNCTION("IFERROR(ABS(P2471-AVERAGE(FILTER(O2471:P6539,AA2471:AA6539=""Neighbor""))) / STDEV(FILTER(P2471:P6539, AA2471:AA6539 =""Neighbor"")), """")"),1.3005841802320601)</f>
        <v>1.30058418</v>
      </c>
      <c r="AE2471" s="2">
        <f>IFERROR(__xludf.DUMMYFUNCTION("IFERROR(ABS(Q2471-AVERAGE(FILTER(Q2471:Q6539,AA2471:AA6539=""Neighbor""))) / STDEV(FILTER(Q2471:Q6539, AA2471:AA6539 =""Neighbor"")), """")"),1.7822983697366208)</f>
        <v>1.78229837</v>
      </c>
      <c r="AF2471" s="2">
        <f>IFERROR(__xludf.DUMMYFUNCTION("IFERROR(ABS(R2471-AVERAGE(FILTER(R2471:R6539,AA2471:AA6539=""Neighbor""))) / STDEV(FILTER(R2471:R6539, AA2471:AA6539 =""Neighbor"")), """")"),0.3430034608700065)</f>
        <v>0.3430034609</v>
      </c>
    </row>
    <row r="2472">
      <c r="A2472" s="2" t="s">
        <v>28</v>
      </c>
      <c r="B2472" s="2" t="s">
        <v>10071</v>
      </c>
      <c r="C2472" s="2" t="s">
        <v>10093</v>
      </c>
      <c r="D2472" s="2" t="s">
        <v>10134</v>
      </c>
      <c r="E2472" s="2" t="s">
        <v>10135</v>
      </c>
      <c r="F2472" s="2">
        <v>177.0</v>
      </c>
      <c r="G2472" s="2">
        <v>488.0</v>
      </c>
      <c r="H2472" s="2" t="b">
        <v>1</v>
      </c>
      <c r="I2472" s="2">
        <v>-1.0</v>
      </c>
      <c r="J2472" s="2" t="b">
        <v>0</v>
      </c>
      <c r="K2472" s="2" t="b">
        <v>0</v>
      </c>
      <c r="L2472" s="2" t="b">
        <v>0</v>
      </c>
      <c r="M2472" s="2" t="b">
        <v>0</v>
      </c>
      <c r="N2472" s="2" t="s">
        <v>33</v>
      </c>
      <c r="O2472" s="2">
        <v>10.0</v>
      </c>
      <c r="P2472" s="2">
        <v>200.0</v>
      </c>
      <c r="Q2472" s="2">
        <v>5.0</v>
      </c>
      <c r="R2472" s="2">
        <v>0.0</v>
      </c>
      <c r="S2472" s="3" t="s">
        <v>10136</v>
      </c>
      <c r="T2472" s="2" t="s">
        <v>10137</v>
      </c>
      <c r="Y2472" s="4" t="str">
        <f>IFERROR(__xludf.DUMMYFUNCTION("""COMPUTED_VALUE"""),"6.8322014")</f>
        <v>6.8322014</v>
      </c>
      <c r="Z2472" s="4" t="str">
        <f>IFERROR(__xludf.DUMMYFUNCTION("""COMPUTED_VALUE"""),"3.6319131")</f>
        <v>3.6319131</v>
      </c>
      <c r="AA2472" s="4" t="str">
        <f t="shared" si="1"/>
        <v>Not Neighbor</v>
      </c>
      <c r="AC2472" s="4">
        <f>IFERROR(__xludf.DUMMYFUNCTION("IFERROR(ABS(O2472-AVERAGE(FILTER(O2472:O6540,AA2472:AA6540=""Neighbor""))) / STDEV(FILTER(O2472:O6540, AA2472:AA6540 =""Neighbor"")), """")"),1.149411137434596)</f>
        <v>1.149411137</v>
      </c>
      <c r="AD2472" s="4">
        <f>IFERROR(__xludf.DUMMYFUNCTION("IFERROR(ABS(P2472-AVERAGE(FILTER(O2472:P6540,AA2472:AA6540=""Neighbor""))) / STDEV(FILTER(P2472:P6540, AA2472:AA6540 =""Neighbor"")), """")"),6.950724698924391)</f>
        <v>6.950724699</v>
      </c>
      <c r="AE2472" s="2">
        <f>IFERROR(__xludf.DUMMYFUNCTION("IFERROR(ABS(Q2472-AVERAGE(FILTER(Q2472:Q6540,AA2472:AA6540=""Neighbor""))) / STDEV(FILTER(Q2472:Q6540, AA2472:AA6540 =""Neighbor"")), """")"),0.6277405848106004)</f>
        <v>0.6277405848</v>
      </c>
      <c r="AF2472" s="2">
        <f>IFERROR(__xludf.DUMMYFUNCTION("IFERROR(ABS(R2472-AVERAGE(FILTER(R2472:R6540,AA2472:AA6540=""Neighbor""))) / STDEV(FILTER(R2472:R6540, AA2472:AA6540 =""Neighbor"")), """")"),0.34330158390661286)</f>
        <v>0.3433015839</v>
      </c>
    </row>
    <row r="2473">
      <c r="A2473" s="2" t="s">
        <v>28</v>
      </c>
      <c r="B2473" s="2" t="s">
        <v>10071</v>
      </c>
      <c r="C2473" s="2" t="s">
        <v>10138</v>
      </c>
      <c r="D2473" s="2" t="s">
        <v>10139</v>
      </c>
      <c r="E2473" s="2" t="s">
        <v>10140</v>
      </c>
      <c r="F2473" s="2">
        <v>237.0</v>
      </c>
      <c r="G2473" s="2">
        <v>901.0</v>
      </c>
      <c r="H2473" s="2" t="b">
        <v>1</v>
      </c>
      <c r="I2473" s="2">
        <v>-1.0</v>
      </c>
      <c r="J2473" s="2" t="b">
        <v>0</v>
      </c>
      <c r="K2473" s="2" t="b">
        <v>0</v>
      </c>
      <c r="L2473" s="2" t="b">
        <v>0</v>
      </c>
      <c r="M2473" s="2" t="b">
        <v>0</v>
      </c>
      <c r="N2473" s="2" t="s">
        <v>33</v>
      </c>
      <c r="O2473" s="2">
        <v>139.0</v>
      </c>
      <c r="P2473" s="2">
        <v>33.0</v>
      </c>
      <c r="Q2473" s="2">
        <v>41.0</v>
      </c>
      <c r="R2473" s="2">
        <v>0.0</v>
      </c>
      <c r="S2473" s="3" t="s">
        <v>10141</v>
      </c>
      <c r="T2473" s="2" t="s">
        <v>10142</v>
      </c>
      <c r="Y2473" s="4" t="str">
        <f>IFERROR(__xludf.DUMMYFUNCTION("""COMPUTED_VALUE"""),"6.8387466")</f>
        <v>6.8387466</v>
      </c>
      <c r="Z2473" s="4" t="str">
        <f>IFERROR(__xludf.DUMMYFUNCTION("""COMPUTED_VALUE"""),"3.6509177")</f>
        <v>3.6509177</v>
      </c>
      <c r="AA2473" s="4" t="str">
        <f t="shared" si="1"/>
        <v>Not Neighbor</v>
      </c>
      <c r="AC2473" s="4">
        <f>IFERROR(__xludf.DUMMYFUNCTION("IFERROR(ABS(O2473-AVERAGE(FILTER(O2473:O6541,AA2473:AA6541=""Neighbor""))) / STDEV(FILTER(O2473:O6541, AA2473:AA6541 =""Neighbor"")), """")"),2.4678533244919265)</f>
        <v>2.467853324</v>
      </c>
      <c r="AD2473" s="4">
        <f>IFERROR(__xludf.DUMMYFUNCTION("IFERROR(ABS(P2473-AVERAGE(FILTER(O2473:P6541,AA2473:AA6541=""Neighbor""))) / STDEV(FILTER(P2473:P6541, AA2473:AA6541 =""Neighbor"")), """")"),0.07748374636080263)</f>
        <v>0.07748374636</v>
      </c>
      <c r="AE2473" s="2">
        <f>IFERROR(__xludf.DUMMYFUNCTION("IFERROR(ABS(Q2473-AVERAGE(FILTER(Q2473:Q6541,AA2473:AA6541=""Neighbor""))) / STDEV(FILTER(Q2473:Q6541, AA2473:AA6541 =""Neighbor"")), """")"),1.3488725481788544)</f>
        <v>1.348872548</v>
      </c>
      <c r="AF2473" s="2">
        <f>IFERROR(__xludf.DUMMYFUNCTION("IFERROR(ABS(R2473-AVERAGE(FILTER(R2473:R6541,AA2473:AA6541=""Neighbor""))) / STDEV(FILTER(R2473:R6541, AA2473:AA6541 =""Neighbor"")), """")"),0.34330158390661286)</f>
        <v>0.3433015839</v>
      </c>
    </row>
    <row r="2474">
      <c r="A2474" s="2" t="s">
        <v>28</v>
      </c>
      <c r="B2474" s="2" t="s">
        <v>10071</v>
      </c>
      <c r="C2474" s="2" t="s">
        <v>10138</v>
      </c>
      <c r="D2474" s="2" t="s">
        <v>10143</v>
      </c>
      <c r="E2474" s="2" t="s">
        <v>10144</v>
      </c>
      <c r="F2474" s="2">
        <v>235.0</v>
      </c>
      <c r="G2474" s="2">
        <v>888.0</v>
      </c>
      <c r="H2474" s="2" t="b">
        <v>1</v>
      </c>
      <c r="I2474" s="2">
        <v>-1.0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s">
        <v>33</v>
      </c>
      <c r="O2474" s="2">
        <v>92.0</v>
      </c>
      <c r="P2474" s="2">
        <v>14.0</v>
      </c>
      <c r="Q2474" s="2">
        <v>29.0</v>
      </c>
      <c r="R2474" s="2">
        <v>0.0</v>
      </c>
      <c r="S2474" s="3" t="s">
        <v>10145</v>
      </c>
      <c r="T2474" s="2" t="s">
        <v>10146</v>
      </c>
      <c r="Y2474" s="4" t="str">
        <f>IFERROR(__xludf.DUMMYFUNCTION("""COMPUTED_VALUE"""),"6.8322014")</f>
        <v>6.8322014</v>
      </c>
      <c r="Z2474" s="4" t="str">
        <f>IFERROR(__xludf.DUMMYFUNCTION("""COMPUTED_VALUE"""),"3.6319131")</f>
        <v>3.6319131</v>
      </c>
      <c r="AA2474" s="4" t="str">
        <f t="shared" si="1"/>
        <v>Not Neighbor</v>
      </c>
      <c r="AC2474" s="4">
        <f>IFERROR(__xludf.DUMMYFUNCTION("IFERROR(ABS(O2474-AVERAGE(FILTER(O2474:O6542,AA2474:AA6542=""Neighbor""))) / STDEV(FILTER(O2474:O6542, AA2474:AA6542 =""Neighbor"")), """")"),1.1499352647202479)</f>
        <v>1.149935265</v>
      </c>
      <c r="AD2474" s="4">
        <f>IFERROR(__xludf.DUMMYFUNCTION("IFERROR(ABS(P2474-AVERAGE(FILTER(O2474:P6542,AA2474:AA6542=""Neighbor""))) / STDEV(FILTER(P2474:P6542, AA2474:AA6542 =""Neighbor"")), """")"),0.8771002760639086)</f>
        <v>0.8771002761</v>
      </c>
      <c r="AE2474" s="2">
        <f>IFERROR(__xludf.DUMMYFUNCTION("IFERROR(ABS(Q2474-AVERAGE(FILTER(Q2474:Q6542,AA2474:AA6542=""Neighbor""))) / STDEV(FILTER(Q2474:Q6542, AA2474:AA6542 =""Neighbor"")), """")"),0.690001503849036)</f>
        <v>0.6900015038</v>
      </c>
      <c r="AF2474" s="2">
        <f>IFERROR(__xludf.DUMMYFUNCTION("IFERROR(ABS(R2474-AVERAGE(FILTER(R2474:R6542,AA2474:AA6542=""Neighbor""))) / STDEV(FILTER(R2474:R6542, AA2474:AA6542 =""Neighbor"")), """")"),0.34330158390661286)</f>
        <v>0.3433015839</v>
      </c>
    </row>
    <row r="2475">
      <c r="A2475" s="2" t="s">
        <v>28</v>
      </c>
      <c r="B2475" s="2" t="s">
        <v>10071</v>
      </c>
      <c r="C2475" s="2" t="s">
        <v>10138</v>
      </c>
      <c r="D2475" s="2" t="s">
        <v>10147</v>
      </c>
      <c r="E2475" s="2" t="s">
        <v>10148</v>
      </c>
      <c r="F2475" s="2">
        <v>195.0</v>
      </c>
      <c r="G2475" s="2">
        <v>753.0</v>
      </c>
      <c r="H2475" s="2" t="b">
        <v>1</v>
      </c>
      <c r="I2475" s="2">
        <v>-1.0</v>
      </c>
      <c r="J2475" s="2" t="b">
        <v>1</v>
      </c>
      <c r="K2475" s="2" t="b">
        <v>0</v>
      </c>
      <c r="L2475" s="2" t="b">
        <v>0</v>
      </c>
      <c r="M2475" s="2" t="b">
        <v>0</v>
      </c>
      <c r="N2475" s="2" t="s">
        <v>33</v>
      </c>
      <c r="O2475" s="2">
        <v>146.0</v>
      </c>
      <c r="P2475" s="2">
        <v>3.0</v>
      </c>
      <c r="Q2475" s="2">
        <v>39.0</v>
      </c>
      <c r="R2475" s="2">
        <v>0.0</v>
      </c>
      <c r="S2475" s="3" t="s">
        <v>10149</v>
      </c>
      <c r="T2475" s="2" t="s">
        <v>10150</v>
      </c>
      <c r="Y2475" s="4" t="str">
        <f>IFERROR(__xludf.DUMMYFUNCTION("""COMPUTED_VALUE"""),"6.9151512")</f>
        <v>6.9151512</v>
      </c>
      <c r="Z2475" s="4" t="str">
        <f>IFERROR(__xludf.DUMMYFUNCTION("""COMPUTED_VALUE"""),"3.6650491")</f>
        <v>3.6650491</v>
      </c>
      <c r="AA2475" s="4" t="str">
        <f t="shared" si="1"/>
        <v>Not Neighbor</v>
      </c>
      <c r="AC2475" s="4">
        <f>IFERROR(__xludf.DUMMYFUNCTION("IFERROR(ABS(O2475-AVERAGE(FILTER(O2475:O6543,AA2475:AA6543=""Neighbor""))) / STDEV(FILTER(O2475:O6543, AA2475:AA6543 =""Neighbor"")), """")"),2.6641389929685597)</f>
        <v>2.664138993</v>
      </c>
      <c r="AD2475" s="4">
        <f>IFERROR(__xludf.DUMMYFUNCTION("IFERROR(ABS(P2475-AVERAGE(FILTER(O2475:P6543,AA2475:AA6543=""Neighbor""))) / STDEV(FILTER(P2475:P6543, AA2475:AA6543 =""Neighbor"")), """")"),1.3400361616814964)</f>
        <v>1.340036162</v>
      </c>
      <c r="AE2475" s="2">
        <f>IFERROR(__xludf.DUMMYFUNCTION("IFERROR(ABS(Q2475-AVERAGE(FILTER(Q2475:Q6543,AA2475:AA6543=""Neighbor""))) / STDEV(FILTER(Q2475:Q6543, AA2475:AA6543 =""Neighbor"")), """")"),1.239060707457218)</f>
        <v>1.239060707</v>
      </c>
      <c r="AF2475" s="2">
        <f>IFERROR(__xludf.DUMMYFUNCTION("IFERROR(ABS(R2475-AVERAGE(FILTER(R2475:R6543,AA2475:AA6543=""Neighbor""))) / STDEV(FILTER(R2475:R6543, AA2475:AA6543 =""Neighbor"")), """")"),0.34330158390661286)</f>
        <v>0.3433015839</v>
      </c>
    </row>
    <row r="2476">
      <c r="A2476" s="2" t="s">
        <v>28</v>
      </c>
      <c r="B2476" s="2" t="s">
        <v>10071</v>
      </c>
      <c r="C2476" s="2" t="s">
        <v>10138</v>
      </c>
      <c r="D2476" s="2" t="s">
        <v>10151</v>
      </c>
      <c r="E2476" s="2" t="s">
        <v>10152</v>
      </c>
      <c r="F2476" s="2">
        <v>168.0</v>
      </c>
      <c r="G2476" s="2">
        <v>750.0</v>
      </c>
      <c r="H2476" s="2" t="b">
        <v>1</v>
      </c>
      <c r="I2476" s="2">
        <v>-1.0</v>
      </c>
      <c r="J2476" s="2" t="b">
        <v>1</v>
      </c>
      <c r="K2476" s="2" t="b">
        <v>0</v>
      </c>
      <c r="L2476" s="2" t="b">
        <v>0</v>
      </c>
      <c r="M2476" s="2" t="b">
        <v>0</v>
      </c>
      <c r="N2476" s="2" t="s">
        <v>33</v>
      </c>
      <c r="O2476" s="2">
        <v>103.0</v>
      </c>
      <c r="P2476" s="2">
        <v>15.0</v>
      </c>
      <c r="Q2476" s="2">
        <v>9.0</v>
      </c>
      <c r="R2476" s="2">
        <v>0.0</v>
      </c>
      <c r="S2476" s="3" t="s">
        <v>10153</v>
      </c>
      <c r="T2476" s="2" t="s">
        <v>10154</v>
      </c>
      <c r="Y2476" s="4" t="str">
        <f>IFERROR(__xludf.DUMMYFUNCTION("""COMPUTED_VALUE"""),"6.8379993")</f>
        <v>6.8379993</v>
      </c>
      <c r="Z2476" s="4" t="str">
        <f>IFERROR(__xludf.DUMMYFUNCTION("""COMPUTED_VALUE"""),"3.6533577")</f>
        <v>3.6533577</v>
      </c>
      <c r="AA2476" s="4" t="str">
        <f t="shared" si="1"/>
        <v>Not Neighbor</v>
      </c>
      <c r="AC2476" s="4">
        <f>IFERROR(__xludf.DUMMYFUNCTION("IFERROR(ABS(O2476-AVERAGE(FILTER(O2476:O6544,AA2476:AA6544=""Neighbor""))) / STDEV(FILTER(O2476:O6544, AA2476:AA6544 =""Neighbor"")), """")"),1.4583841723263855)</f>
        <v>1.458384172</v>
      </c>
      <c r="AD2476" s="4">
        <f>IFERROR(__xludf.DUMMYFUNCTION("IFERROR(ABS(P2476-AVERAGE(FILTER(O2476:P6544,AA2476:AA6544=""Neighbor""))) / STDEV(FILTER(P2476:P6544, AA2476:AA6544 =""Neighbor"")), """")"),0.8350151955532188)</f>
        <v>0.8350151956</v>
      </c>
      <c r="AE2476" s="2">
        <f>IFERROR(__xludf.DUMMYFUNCTION("IFERROR(ABS(Q2476-AVERAGE(FILTER(Q2476:Q6544,AA2476:AA6544=""Neighbor""))) / STDEV(FILTER(Q2476:Q6544, AA2476:AA6544 =""Neighbor"")), """")"),0.40811690336732764)</f>
        <v>0.4081169034</v>
      </c>
      <c r="AF2476" s="2">
        <f>IFERROR(__xludf.DUMMYFUNCTION("IFERROR(ABS(R2476-AVERAGE(FILTER(R2476:R6544,AA2476:AA6544=""Neighbor""))) / STDEV(FILTER(R2476:R6544, AA2476:AA6544 =""Neighbor"")), """")"),0.34330158390661286)</f>
        <v>0.3433015839</v>
      </c>
    </row>
    <row r="2477">
      <c r="A2477" s="2" t="s">
        <v>28</v>
      </c>
      <c r="B2477" s="2" t="s">
        <v>10071</v>
      </c>
      <c r="C2477" s="2" t="s">
        <v>10138</v>
      </c>
      <c r="D2477" s="2" t="s">
        <v>10155</v>
      </c>
      <c r="E2477" s="2" t="s">
        <v>10156</v>
      </c>
      <c r="F2477" s="2">
        <v>193.0</v>
      </c>
      <c r="G2477" s="2">
        <v>989.0</v>
      </c>
      <c r="H2477" s="2" t="b">
        <v>1</v>
      </c>
      <c r="I2477" s="2">
        <v>-1.0</v>
      </c>
      <c r="J2477" s="2" t="b">
        <v>0</v>
      </c>
      <c r="K2477" s="2" t="b">
        <v>1</v>
      </c>
      <c r="L2477" s="2" t="b">
        <v>0</v>
      </c>
      <c r="M2477" s="2" t="b">
        <v>0</v>
      </c>
      <c r="N2477" s="2" t="s">
        <v>33</v>
      </c>
      <c r="O2477" s="2">
        <v>129.0</v>
      </c>
      <c r="P2477" s="2">
        <v>19.0</v>
      </c>
      <c r="Q2477" s="2">
        <v>35.0</v>
      </c>
      <c r="R2477" s="2">
        <v>0.0</v>
      </c>
      <c r="S2477" s="3" t="s">
        <v>10157</v>
      </c>
      <c r="T2477" s="2" t="s">
        <v>10158</v>
      </c>
      <c r="Y2477" s="4" t="str">
        <f>IFERROR(__xludf.DUMMYFUNCTION("""COMPUTED_VALUE"""),"6.9151512")</f>
        <v>6.9151512</v>
      </c>
      <c r="Z2477" s="4" t="str">
        <f>IFERROR(__xludf.DUMMYFUNCTION("""COMPUTED_VALUE"""),"3.6650491")</f>
        <v>3.6650491</v>
      </c>
      <c r="AA2477" s="4" t="str">
        <f t="shared" si="1"/>
        <v>Not Neighbor</v>
      </c>
      <c r="AC2477" s="4">
        <f>IFERROR(__xludf.DUMMYFUNCTION("IFERROR(ABS(O2477-AVERAGE(FILTER(O2477:O6545,AA2477:AA6545=""Neighbor""))) / STDEV(FILTER(O2477:O6545, AA2477:AA6545 =""Neighbor"")), """")"),2.187445226668165)</f>
        <v>2.187445227</v>
      </c>
      <c r="AD2477" s="4">
        <f>IFERROR(__xludf.DUMMYFUNCTION("IFERROR(ABS(P2477-AVERAGE(FILTER(O2477:P6545,AA2477:AA6545=""Neighbor""))) / STDEV(FILTER(P2477:P6545, AA2477:AA6545 =""Neighbor"")), """")"),0.6666748735104597)</f>
        <v>0.6666748735</v>
      </c>
      <c r="AE2477" s="2">
        <f>IFERROR(__xludf.DUMMYFUNCTION("IFERROR(ABS(Q2477-AVERAGE(FILTER(Q2477:Q6545,AA2477:AA6545=""Neighbor""))) / STDEV(FILTER(Q2477:Q6545, AA2477:AA6545 =""Neighbor"")), """")"),1.0194370260139451)</f>
        <v>1.019437026</v>
      </c>
      <c r="AF2477" s="2">
        <f>IFERROR(__xludf.DUMMYFUNCTION("IFERROR(ABS(R2477-AVERAGE(FILTER(R2477:R6545,AA2477:AA6545=""Neighbor""))) / STDEV(FILTER(R2477:R6545, AA2477:AA6545 =""Neighbor"")), """")"),0.34330158390661286)</f>
        <v>0.3433015839</v>
      </c>
    </row>
    <row r="2478">
      <c r="A2478" s="2" t="s">
        <v>28</v>
      </c>
      <c r="B2478" s="2" t="s">
        <v>10071</v>
      </c>
      <c r="C2478" s="2" t="s">
        <v>10138</v>
      </c>
      <c r="D2478" s="2" t="s">
        <v>10159</v>
      </c>
      <c r="E2478" s="2" t="s">
        <v>10160</v>
      </c>
      <c r="F2478" s="2">
        <v>204.0</v>
      </c>
      <c r="G2478" s="2">
        <v>881.0</v>
      </c>
      <c r="H2478" s="2" t="b">
        <v>1</v>
      </c>
      <c r="I2478" s="2">
        <v>-1.0</v>
      </c>
      <c r="J2478" s="2" t="b">
        <v>0</v>
      </c>
      <c r="K2478" s="2" t="b">
        <v>0</v>
      </c>
      <c r="L2478" s="2" t="b">
        <v>0</v>
      </c>
      <c r="M2478" s="2" t="b">
        <v>0</v>
      </c>
      <c r="N2478" s="2" t="s">
        <v>33</v>
      </c>
      <c r="O2478" s="2">
        <v>114.0</v>
      </c>
      <c r="P2478" s="2">
        <v>26.0</v>
      </c>
      <c r="Q2478" s="2">
        <v>50.0</v>
      </c>
      <c r="R2478" s="2">
        <v>0.0</v>
      </c>
      <c r="S2478" s="3" t="s">
        <v>10161</v>
      </c>
      <c r="T2478" s="2" t="s">
        <v>10162</v>
      </c>
      <c r="Y2478" s="4" t="str">
        <f>IFERROR(__xludf.DUMMYFUNCTION("""COMPUTED_VALUE"""),"6.8352439")</f>
        <v>6.8352439</v>
      </c>
      <c r="Z2478" s="4" t="str">
        <f>IFERROR(__xludf.DUMMYFUNCTION("""COMPUTED_VALUE"""),"3.6509419")</f>
        <v>3.6509419</v>
      </c>
      <c r="AA2478" s="4" t="str">
        <f t="shared" si="1"/>
        <v>Neighbor</v>
      </c>
      <c r="AC2478" s="4">
        <f>IFERROR(__xludf.DUMMYFUNCTION("IFERROR(ABS(O2478-AVERAGE(FILTER(O2478:O6546,AA2478:AA6546=""Neighbor""))) / STDEV(FILTER(O2478:O6546, AA2478:AA6546 =""Neighbor"")), """")"),1.7668330799325231)</f>
        <v>1.76683308</v>
      </c>
      <c r="AD2478" s="4">
        <f>IFERROR(__xludf.DUMMYFUNCTION("IFERROR(ABS(P2478-AVERAGE(FILTER(O2478:P6546,AA2478:AA6546=""Neighbor""))) / STDEV(FILTER(P2478:P6546, AA2478:AA6546 =""Neighbor"")), """")"),0.37207930993563115)</f>
        <v>0.3720793099</v>
      </c>
      <c r="AE2478" s="2">
        <f>IFERROR(__xludf.DUMMYFUNCTION("IFERROR(ABS(Q2478-AVERAGE(FILTER(Q2478:Q6546,AA2478:AA6546=""Neighbor""))) / STDEV(FILTER(Q2478:Q6546, AA2478:AA6546 =""Neighbor"")), """")"),1.843025831426218)</f>
        <v>1.843025831</v>
      </c>
      <c r="AF2478" s="2">
        <f>IFERROR(__xludf.DUMMYFUNCTION("IFERROR(ABS(R2478-AVERAGE(FILTER(R2478:R6546,AA2478:AA6546=""Neighbor""))) / STDEV(FILTER(R2478:R6546, AA2478:AA6546 =""Neighbor"")), """")"),0.34330158390661286)</f>
        <v>0.3433015839</v>
      </c>
    </row>
    <row r="2479">
      <c r="A2479" s="2" t="s">
        <v>28</v>
      </c>
      <c r="B2479" s="2" t="s">
        <v>10071</v>
      </c>
      <c r="C2479" s="2" t="s">
        <v>10138</v>
      </c>
      <c r="D2479" s="2" t="s">
        <v>10163</v>
      </c>
      <c r="E2479" s="2" t="s">
        <v>10164</v>
      </c>
      <c r="F2479" s="2">
        <v>152.0</v>
      </c>
      <c r="G2479" s="2">
        <v>558.0</v>
      </c>
      <c r="H2479" s="2" t="b">
        <v>1</v>
      </c>
      <c r="I2479" s="2">
        <v>-1.0</v>
      </c>
      <c r="J2479" s="2" t="b">
        <v>0</v>
      </c>
      <c r="K2479" s="2" t="b">
        <v>0</v>
      </c>
      <c r="L2479" s="2" t="b">
        <v>0</v>
      </c>
      <c r="M2479" s="2" t="b">
        <v>0</v>
      </c>
      <c r="N2479" s="2" t="s">
        <v>33</v>
      </c>
      <c r="O2479" s="2">
        <v>102.0</v>
      </c>
      <c r="P2479" s="2">
        <v>18.0</v>
      </c>
      <c r="Q2479" s="2">
        <v>27.0</v>
      </c>
      <c r="R2479" s="2">
        <v>0.0</v>
      </c>
      <c r="S2479" s="3" t="s">
        <v>10165</v>
      </c>
      <c r="T2479" s="2" t="s">
        <v>10166</v>
      </c>
      <c r="Y2479" s="4" t="str">
        <f>IFERROR(__xludf.DUMMYFUNCTION("""COMPUTED_VALUE"""),"6.8387466")</f>
        <v>6.8387466</v>
      </c>
      <c r="Z2479" s="4" t="str">
        <f>IFERROR(__xludf.DUMMYFUNCTION("""COMPUTED_VALUE"""),"3.6509177")</f>
        <v>3.6509177</v>
      </c>
      <c r="AA2479" s="4" t="str">
        <f t="shared" si="1"/>
        <v>Neighbor</v>
      </c>
      <c r="AC2479" s="4">
        <f>IFERROR(__xludf.DUMMYFUNCTION("IFERROR(ABS(O2479-AVERAGE(FILTER(O2479:O6547,AA2479:AA6547=""Neighbor""))) / STDEV(FILTER(O2479:O6547, AA2479:AA6547 =""Neighbor"")), """")"),1.4354866086672606)</f>
        <v>1.435486609</v>
      </c>
      <c r="AD2479" s="4">
        <f>IFERROR(__xludf.DUMMYFUNCTION("IFERROR(ABS(P2479-AVERAGE(FILTER(O2479:P6547,AA2479:AA6547=""Neighbor""))) / STDEV(FILTER(P2479:P6547, AA2479:AA6547 =""Neighbor"")), """")"),0.7059524935581722)</f>
        <v>0.7059524936</v>
      </c>
      <c r="AE2479" s="2">
        <f>IFERROR(__xludf.DUMMYFUNCTION("IFERROR(ABS(Q2479-AVERAGE(FILTER(Q2479:Q6547,AA2479:AA6547=""Neighbor""))) / STDEV(FILTER(Q2479:Q6547, AA2479:AA6547 =""Neighbor"")), """")"),0.5841621655623865)</f>
        <v>0.5841621656</v>
      </c>
      <c r="AF2479" s="2">
        <f>IFERROR(__xludf.DUMMYFUNCTION("IFERROR(ABS(R2479-AVERAGE(FILTER(R2479:R6547,AA2479:AA6547=""Neighbor""))) / STDEV(FILTER(R2479:R6547, AA2479:AA6547 =""Neighbor"")), """")"),0.34360048579371627)</f>
        <v>0.3436004858</v>
      </c>
    </row>
    <row r="2480">
      <c r="A2480" s="2" t="s">
        <v>28</v>
      </c>
      <c r="B2480" s="2" t="s">
        <v>10071</v>
      </c>
      <c r="C2480" s="2" t="s">
        <v>10167</v>
      </c>
      <c r="D2480" s="2" t="s">
        <v>10168</v>
      </c>
      <c r="E2480" s="2" t="s">
        <v>10169</v>
      </c>
      <c r="F2480" s="2">
        <v>146.0</v>
      </c>
      <c r="G2480" s="2">
        <v>730.0</v>
      </c>
      <c r="H2480" s="2" t="b">
        <v>1</v>
      </c>
      <c r="I2480" s="2">
        <v>-1.0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s">
        <v>33</v>
      </c>
      <c r="O2480" s="2">
        <v>95.0</v>
      </c>
      <c r="P2480" s="2">
        <v>18.0</v>
      </c>
      <c r="Q2480" s="2">
        <v>20.0</v>
      </c>
      <c r="R2480" s="2">
        <v>0.0</v>
      </c>
      <c r="S2480" s="3" t="s">
        <v>10170</v>
      </c>
      <c r="T2480" s="2" t="s">
        <v>10171</v>
      </c>
      <c r="Y2480" s="4" t="str">
        <f>IFERROR(__xludf.DUMMYFUNCTION("""COMPUTED_VALUE"""),"6.8356592")</f>
        <v>6.8356592</v>
      </c>
      <c r="Z2480" s="4" t="str">
        <f>IFERROR(__xludf.DUMMYFUNCTION("""COMPUTED_VALUE"""),"3.6421543")</f>
        <v>3.6421543</v>
      </c>
      <c r="AA2480" s="4" t="str">
        <f t="shared" si="1"/>
        <v>Not Neighbor</v>
      </c>
      <c r="AC2480" s="4">
        <f>IFERROR(__xludf.DUMMYFUNCTION("IFERROR(ABS(O2480-AVERAGE(FILTER(O2480:O6548,AA2480:AA6548=""Neighbor""))) / STDEV(FILTER(O2480:O6548, AA2480:AA6548 =""Neighbor"")), """")"),1.2421513984810117)</f>
        <v>1.242151398</v>
      </c>
      <c r="AD2480" s="4">
        <f>IFERROR(__xludf.DUMMYFUNCTION("IFERROR(ABS(P2480-AVERAGE(FILTER(O2480:P6548,AA2480:AA6548=""Neighbor""))) / STDEV(FILTER(P2480:P6548, AA2480:AA6548 =""Neighbor"")), """")"),0.7037456665969228)</f>
        <v>0.7037456666</v>
      </c>
      <c r="AE2480" s="2">
        <f>IFERROR(__xludf.DUMMYFUNCTION("IFERROR(ABS(Q2480-AVERAGE(FILTER(Q2480:Q6548,AA2480:AA6548=""Neighbor""))) / STDEV(FILTER(Q2480:Q6548, AA2480:AA6548 =""Neighbor"")), """")"),0.19990725227258196)</f>
        <v>0.1999072523</v>
      </c>
      <c r="AF2480" s="2">
        <f>IFERROR(__xludf.DUMMYFUNCTION("IFERROR(ABS(R2480-AVERAGE(FILTER(R2480:R6548,AA2480:AA6548=""Neighbor""))) / STDEV(FILTER(R2480:R6548, AA2480:AA6548 =""Neighbor"")), """")"),0.3439001699290779)</f>
        <v>0.3439001699</v>
      </c>
    </row>
    <row r="2481">
      <c r="A2481" s="2" t="s">
        <v>28</v>
      </c>
      <c r="B2481" s="2" t="s">
        <v>10071</v>
      </c>
      <c r="C2481" s="2" t="s">
        <v>10167</v>
      </c>
      <c r="D2481" s="2" t="s">
        <v>10172</v>
      </c>
      <c r="E2481" s="2" t="s">
        <v>10173</v>
      </c>
      <c r="F2481" s="2">
        <v>111.0</v>
      </c>
      <c r="G2481" s="2">
        <v>847.0</v>
      </c>
      <c r="H2481" s="2" t="b">
        <v>1</v>
      </c>
      <c r="I2481" s="2">
        <v>-1.0</v>
      </c>
      <c r="J2481" s="2" t="b">
        <v>0</v>
      </c>
      <c r="K2481" s="2" t="b">
        <v>0</v>
      </c>
      <c r="L2481" s="2" t="b">
        <v>0</v>
      </c>
      <c r="M2481" s="2" t="b">
        <v>0</v>
      </c>
      <c r="N2481" s="2" t="s">
        <v>33</v>
      </c>
      <c r="O2481" s="2">
        <v>66.0</v>
      </c>
      <c r="P2481" s="2">
        <v>15.0</v>
      </c>
      <c r="Q2481" s="2">
        <v>16.0</v>
      </c>
      <c r="R2481" s="2">
        <v>4.0</v>
      </c>
      <c r="S2481" s="3" t="s">
        <v>10174</v>
      </c>
      <c r="T2481" s="2" t="s">
        <v>10175</v>
      </c>
      <c r="Y2481" s="4" t="str">
        <f>IFERROR(__xludf.DUMMYFUNCTION("""COMPUTED_VALUE"""),"6.8348956")</f>
        <v>6.8348956</v>
      </c>
      <c r="Z2481" s="4" t="str">
        <f>IFERROR(__xludf.DUMMYFUNCTION("""COMPUTED_VALUE"""),"3.6293797")</f>
        <v>3.6293797</v>
      </c>
      <c r="AA2481" s="4" t="str">
        <f t="shared" si="1"/>
        <v>Neighbor</v>
      </c>
      <c r="AC2481" s="4">
        <f>IFERROR(__xludf.DUMMYFUNCTION("IFERROR(ABS(O2481-AVERAGE(FILTER(O2481:O6549,AA2481:AA6549=""Neighbor""))) / STDEV(FILTER(O2481:O6549, AA2481:AA6549 =""Neighbor"")), """")"),0.42693463908187534)</f>
        <v>0.4269346391</v>
      </c>
      <c r="AD2481" s="4">
        <f>IFERROR(__xludf.DUMMYFUNCTION("IFERROR(ABS(P2481-AVERAGE(FILTER(O2481:P6549,AA2481:AA6549=""Neighbor""))) / STDEV(FILTER(P2481:P6549, AA2481:AA6549 =""Neighbor"")), """")"),0.8298131866441416)</f>
        <v>0.8298131866</v>
      </c>
      <c r="AE2481" s="2">
        <f>IFERROR(__xludf.DUMMYFUNCTION("IFERROR(ABS(Q2481-AVERAGE(FILTER(Q2481:Q6549,AA2481:AA6549=""Neighbor""))) / STDEV(FILTER(Q2481:Q6549, AA2481:AA6549 =""Neighbor"")), """")"),0.020016497541689514)</f>
        <v>0.02001649754</v>
      </c>
      <c r="AF2481" s="2">
        <f>IFERROR(__xludf.DUMMYFUNCTION("IFERROR(ABS(R2481-AVERAGE(FILTER(R2481:R6549,AA2481:AA6549=""Neighbor""))) / STDEV(FILTER(R2481:R6549, AA2481:AA6549 =""Neighbor"")), """")"),4.170891804524458)</f>
        <v>4.170891805</v>
      </c>
    </row>
    <row r="2482">
      <c r="A2482" s="2" t="s">
        <v>28</v>
      </c>
      <c r="B2482" s="2" t="s">
        <v>10071</v>
      </c>
      <c r="C2482" s="2" t="s">
        <v>10167</v>
      </c>
      <c r="D2482" s="2" t="s">
        <v>10176</v>
      </c>
      <c r="E2482" s="2" t="s">
        <v>10177</v>
      </c>
      <c r="F2482" s="2">
        <v>131.0</v>
      </c>
      <c r="G2482" s="2">
        <v>750.0</v>
      </c>
      <c r="H2482" s="2" t="b">
        <v>1</v>
      </c>
      <c r="I2482" s="2">
        <v>-1.0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s">
        <v>33</v>
      </c>
      <c r="O2482" s="2">
        <v>69.0</v>
      </c>
      <c r="P2482" s="2">
        <v>28.0</v>
      </c>
      <c r="Q2482" s="2">
        <v>23.0</v>
      </c>
      <c r="R2482" s="2">
        <v>2.0</v>
      </c>
      <c r="S2482" s="3" t="s">
        <v>10178</v>
      </c>
      <c r="T2482" s="2" t="s">
        <v>10179</v>
      </c>
      <c r="Y2482" s="4" t="str">
        <f>IFERROR(__xludf.DUMMYFUNCTION("""COMPUTED_VALUE"""),"6.8348956")</f>
        <v>6.8348956</v>
      </c>
      <c r="Z2482" s="4" t="str">
        <f>IFERROR(__xludf.DUMMYFUNCTION("""COMPUTED_VALUE"""),"3.6293797")</f>
        <v>3.6293797</v>
      </c>
      <c r="AA2482" s="4" t="str">
        <f t="shared" si="1"/>
        <v>Neighbor</v>
      </c>
      <c r="AC2482" s="4">
        <f>IFERROR(__xludf.DUMMYFUNCTION("IFERROR(ABS(O2482-AVERAGE(FILTER(O2482:O6550,AA2482:AA6550=""Neighbor""))) / STDEV(FILTER(O2482:O6550, AA2482:AA6550 =""Neighbor"")), """")"),0.5116078911014523)</f>
        <v>0.5116078911</v>
      </c>
      <c r="AD2482" s="4">
        <f>IFERROR(__xludf.DUMMYFUNCTION("IFERROR(ABS(P2482-AVERAGE(FILTER(O2482:P6550,AA2482:AA6550=""Neighbor""))) / STDEV(FILTER(P2482:P6550, AA2482:AA6550 =""Neighbor"")), """")"),0.28292592580873727)</f>
        <v>0.2829259258</v>
      </c>
      <c r="AE2482" s="2">
        <f>IFERROR(__xludf.DUMMYFUNCTION("IFERROR(ABS(Q2482-AVERAGE(FILTER(Q2482:Q6550,AA2482:AA6550=""Neighbor""))) / STDEV(FILTER(Q2482:Q6550, AA2482:AA6550 =""Neighbor"")), """")"),0.3645332819301833)</f>
        <v>0.3645332819</v>
      </c>
      <c r="AF2482" s="2">
        <f>IFERROR(__xludf.DUMMYFUNCTION("IFERROR(ABS(R2482-AVERAGE(FILTER(R2482:R6550,AA2482:AA6550=""Neighbor""))) / STDEV(FILTER(R2482:R6550, AA2482:AA6550 =""Neighbor"")), """")"),1.9452234969637041)</f>
        <v>1.945223497</v>
      </c>
    </row>
    <row r="2483">
      <c r="A2483" s="2" t="s">
        <v>28</v>
      </c>
      <c r="B2483" s="2" t="s">
        <v>10071</v>
      </c>
      <c r="C2483" s="2" t="s">
        <v>10167</v>
      </c>
      <c r="D2483" s="2" t="s">
        <v>10180</v>
      </c>
      <c r="E2483" s="2" t="s">
        <v>10181</v>
      </c>
      <c r="F2483" s="2">
        <v>112.0</v>
      </c>
      <c r="G2483" s="2">
        <v>750.0</v>
      </c>
      <c r="H2483" s="2" t="b">
        <v>1</v>
      </c>
      <c r="I2483" s="2">
        <v>-1.0</v>
      </c>
      <c r="J2483" s="2" t="b">
        <v>0</v>
      </c>
      <c r="K2483" s="2" t="b">
        <v>0</v>
      </c>
      <c r="L2483" s="2" t="b">
        <v>0</v>
      </c>
      <c r="M2483" s="2" t="b">
        <v>0</v>
      </c>
      <c r="N2483" s="2" t="s">
        <v>33</v>
      </c>
      <c r="O2483" s="2">
        <v>55.0</v>
      </c>
      <c r="P2483" s="2">
        <v>24.0</v>
      </c>
      <c r="Q2483" s="2">
        <v>25.0</v>
      </c>
      <c r="R2483" s="2">
        <v>3.0</v>
      </c>
      <c r="S2483" s="3" t="s">
        <v>10182</v>
      </c>
      <c r="T2483" s="2" t="s">
        <v>10183</v>
      </c>
      <c r="Y2483" s="4" t="str">
        <f>IFERROR(__xludf.DUMMYFUNCTION("""COMPUTED_VALUE"""),"6.8322014")</f>
        <v>6.8322014</v>
      </c>
      <c r="Z2483" s="4" t="str">
        <f>IFERROR(__xludf.DUMMYFUNCTION("""COMPUTED_VALUE"""),"3.6319131")</f>
        <v>3.6319131</v>
      </c>
      <c r="AA2483" s="4" t="str">
        <f t="shared" si="1"/>
        <v>Not Neighbor</v>
      </c>
      <c r="AC2483" s="4">
        <f>IFERROR(__xludf.DUMMYFUNCTION("IFERROR(ABS(O2483-AVERAGE(FILTER(O2483:O6551,AA2483:AA6551=""Neighbor""))) / STDEV(FILTER(O2483:O6551, AA2483:AA6551 =""Neighbor"")), """")"),0.11903982219856346)</f>
        <v>0.1190398222</v>
      </c>
      <c r="AD2483" s="4">
        <f>IFERROR(__xludf.DUMMYFUNCTION("IFERROR(ABS(P2483-AVERAGE(FILTER(O2483:P6551,AA2483:AA6551=""Neighbor""))) / STDEV(FILTER(P2483:P6551, AA2483:AA6551 =""Neighbor"")), """")"),0.4496829538281271)</f>
        <v>0.4496829538</v>
      </c>
      <c r="AE2483" s="2">
        <f>IFERROR(__xludf.DUMMYFUNCTION("IFERROR(ABS(Q2483-AVERAGE(FILTER(Q2483:Q6551,AA2483:AA6551=""Neighbor""))) / STDEV(FILTER(Q2483:Q6551, AA2483:AA6551 =""Neighbor"")), """")"),0.4746576081390049)</f>
        <v>0.4746576081</v>
      </c>
      <c r="AF2483" s="2">
        <f>IFERROR(__xludf.DUMMYFUNCTION("IFERROR(ABS(R2483-AVERAGE(FILTER(R2483:R6551,AA2483:AA6551=""Neighbor""))) / STDEV(FILTER(R2483:R6551, AA2483:AA6551 =""Neighbor"")), """")"),3.098577444955769)</f>
        <v>3.098577445</v>
      </c>
    </row>
    <row r="2484">
      <c r="A2484" s="2" t="s">
        <v>28</v>
      </c>
      <c r="B2484" s="2" t="s">
        <v>10071</v>
      </c>
      <c r="C2484" s="2" t="s">
        <v>10167</v>
      </c>
      <c r="D2484" s="2" t="s">
        <v>10184</v>
      </c>
      <c r="E2484" s="2" t="s">
        <v>10185</v>
      </c>
      <c r="F2484" s="2">
        <v>330.0</v>
      </c>
      <c r="G2484" s="2">
        <v>2209.0</v>
      </c>
      <c r="H2484" s="2" t="b">
        <v>1</v>
      </c>
      <c r="I2484" s="2">
        <v>-1.0</v>
      </c>
      <c r="J2484" s="2" t="b">
        <v>0</v>
      </c>
      <c r="K2484" s="2" t="b">
        <v>0</v>
      </c>
      <c r="L2484" s="2" t="b">
        <v>0</v>
      </c>
      <c r="M2484" s="2" t="b">
        <v>0</v>
      </c>
      <c r="N2484" s="2" t="s">
        <v>33</v>
      </c>
      <c r="O2484" s="2">
        <v>169.0</v>
      </c>
      <c r="P2484" s="2">
        <v>59.0</v>
      </c>
      <c r="Q2484" s="2">
        <v>74.0</v>
      </c>
      <c r="R2484" s="2">
        <v>6.0</v>
      </c>
      <c r="S2484" s="3" t="s">
        <v>10186</v>
      </c>
      <c r="T2484" s="2" t="s">
        <v>10187</v>
      </c>
      <c r="Y2484" s="4" t="str">
        <f>IFERROR(__xludf.DUMMYFUNCTION("""COMPUTED_VALUE"""),"6.6072201")</f>
        <v>6.6072201</v>
      </c>
      <c r="Z2484" s="4" t="str">
        <f>IFERROR(__xludf.DUMMYFUNCTION("""COMPUTED_VALUE"""),"3.5053956")</f>
        <v>3.5053956</v>
      </c>
      <c r="AA2484" s="4" t="str">
        <f t="shared" si="1"/>
        <v>Not Neighbor</v>
      </c>
      <c r="AC2484" s="4">
        <f>IFERROR(__xludf.DUMMYFUNCTION("IFERROR(ABS(O2484-AVERAGE(FILTER(O2484:O6552,AA2484:AA6552=""Neighbor""))) / STDEV(FILTER(O2484:O6552, AA2484:AA6552 =""Neighbor"")), """")"),3.319780801180419)</f>
        <v>3.319780801</v>
      </c>
      <c r="AD2484" s="4">
        <f>IFERROR(__xludf.DUMMYFUNCTION("IFERROR(ABS(P2484-AVERAGE(FILTER(O2484:P6552,AA2484:AA6552=""Neighbor""))) / STDEV(FILTER(P2484:P6552, AA2484:AA6552 =""Neighbor"")), """")"),1.0190051197395311)</f>
        <v>1.01900512</v>
      </c>
      <c r="AE2484" s="2">
        <f>IFERROR(__xludf.DUMMYFUNCTION("IFERROR(ABS(Q2484-AVERAGE(FILTER(Q2484:Q6552,AA2484:AA6552=""Neighbor""))) / STDEV(FILTER(Q2484:Q6552, AA2484:AA6552 =""Neighbor"")), """")"),3.164785625840523)</f>
        <v>3.164785626</v>
      </c>
      <c r="AF2484" s="2">
        <f>IFERROR(__xludf.DUMMYFUNCTION("IFERROR(ABS(R2484-AVERAGE(FILTER(R2484:R6552,AA2484:AA6552=""Neighbor""))) / STDEV(FILTER(R2484:R6552, AA2484:AA6552 =""Neighbor"")), """")"),6.5366512012719085)</f>
        <v>6.536651201</v>
      </c>
    </row>
    <row r="2485">
      <c r="A2485" s="2" t="s">
        <v>28</v>
      </c>
      <c r="B2485" s="2" t="s">
        <v>10071</v>
      </c>
      <c r="C2485" s="2" t="s">
        <v>10167</v>
      </c>
      <c r="D2485" s="2" t="s">
        <v>10188</v>
      </c>
      <c r="E2485" s="2" t="s">
        <v>10189</v>
      </c>
      <c r="F2485" s="2">
        <v>161.0</v>
      </c>
      <c r="G2485" s="2">
        <v>736.0</v>
      </c>
      <c r="H2485" s="2" t="b">
        <v>1</v>
      </c>
      <c r="I2485" s="2">
        <v>-1.0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s">
        <v>33</v>
      </c>
      <c r="O2485" s="2">
        <v>88.0</v>
      </c>
      <c r="P2485" s="2">
        <v>19.0</v>
      </c>
      <c r="Q2485" s="2">
        <v>48.0</v>
      </c>
      <c r="R2485" s="2">
        <v>2.0</v>
      </c>
      <c r="S2485" s="3" t="s">
        <v>10190</v>
      </c>
      <c r="T2485" s="2" t="s">
        <v>10191</v>
      </c>
      <c r="Y2485" s="4" t="str">
        <f>IFERROR(__xludf.DUMMYFUNCTION("""COMPUTED_VALUE"""),"6.8348956")</f>
        <v>6.8348956</v>
      </c>
      <c r="Z2485" s="4" t="str">
        <f>IFERROR(__xludf.DUMMYFUNCTION("""COMPUTED_VALUE"""),"3.6293797")</f>
        <v>3.6293797</v>
      </c>
      <c r="AA2485" s="4" t="str">
        <f t="shared" si="1"/>
        <v>Neighbor</v>
      </c>
      <c r="AC2485" s="4">
        <f>IFERROR(__xludf.DUMMYFUNCTION("IFERROR(ABS(O2485-AVERAGE(FILTER(O2485:O6553,AA2485:AA6553=""Neighbor""))) / STDEV(FILTER(O2485:O6553, AA2485:AA6553 =""Neighbor"")), """")"),1.045570105588048)</f>
        <v>1.045570106</v>
      </c>
      <c r="AD2485" s="4">
        <f>IFERROR(__xludf.DUMMYFUNCTION("IFERROR(ABS(P2485-AVERAGE(FILTER(O2485:P6553,AA2485:AA6553=""Neighbor""))) / STDEV(FILTER(P2485:P6553, AA2485:AA6553 =""Neighbor"")), """")"),0.659495535766364)</f>
        <v>0.6594955358</v>
      </c>
      <c r="AE2485" s="2">
        <f>IFERROR(__xludf.DUMMYFUNCTION("IFERROR(ABS(Q2485-AVERAGE(FILTER(Q2485:Q6553,AA2485:AA6553=""Neighbor""))) / STDEV(FILTER(Q2485:Q6553, AA2485:AA6553 =""Neighbor"")), """")"),1.7373707593050238)</f>
        <v>1.737370759</v>
      </c>
      <c r="AF2485" s="2">
        <f>IFERROR(__xludf.DUMMYFUNCTION("IFERROR(ABS(R2485-AVERAGE(FILTER(R2485:R6553,AA2485:AA6553=""Neighbor""))) / STDEV(FILTER(R2485:R6553, AA2485:AA6553 =""Neighbor"")), """")"),1.9525528595170554)</f>
        <v>1.95255286</v>
      </c>
    </row>
    <row r="2486">
      <c r="A2486" s="2" t="s">
        <v>28</v>
      </c>
      <c r="B2486" s="2" t="s">
        <v>10071</v>
      </c>
      <c r="C2486" s="2" t="s">
        <v>10167</v>
      </c>
      <c r="D2486" s="2" t="s">
        <v>10192</v>
      </c>
      <c r="E2486" s="2" t="s">
        <v>10193</v>
      </c>
      <c r="F2486" s="2">
        <v>166.0</v>
      </c>
      <c r="G2486" s="2">
        <v>888.0</v>
      </c>
      <c r="H2486" s="2" t="b">
        <v>1</v>
      </c>
      <c r="I2486" s="2">
        <v>-1.0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s">
        <v>33</v>
      </c>
      <c r="O2486" s="2">
        <v>71.0</v>
      </c>
      <c r="P2486" s="2">
        <v>43.0</v>
      </c>
      <c r="Q2486" s="2">
        <v>35.0</v>
      </c>
      <c r="R2486" s="2">
        <v>1.0</v>
      </c>
      <c r="S2486" s="3" t="s">
        <v>10194</v>
      </c>
      <c r="T2486" s="2" t="s">
        <v>10195</v>
      </c>
      <c r="Y2486" s="4" t="str">
        <f>IFERROR(__xludf.DUMMYFUNCTION("""COMPUTED_VALUE"""),"6.8364639")</f>
        <v>6.8364639</v>
      </c>
      <c r="Z2486" s="4" t="str">
        <f>IFERROR(__xludf.DUMMYFUNCTION("""COMPUTED_VALUE"""),"3.6357665")</f>
        <v>3.6357665</v>
      </c>
      <c r="AA2486" s="4" t="str">
        <f t="shared" si="1"/>
        <v>Neighbor</v>
      </c>
      <c r="AC2486" s="4">
        <f>IFERROR(__xludf.DUMMYFUNCTION("IFERROR(ABS(O2486-AVERAGE(FILTER(O2486:O6554,AA2486:AA6554=""Neighbor""))) / STDEV(FILTER(O2486:O6554, AA2486:AA6554 =""Neighbor"")), """")"),0.5699505622537875)</f>
        <v>0.5699505623</v>
      </c>
      <c r="AD2486" s="4">
        <f>IFERROR(__xludf.DUMMYFUNCTION("IFERROR(ABS(P2486-AVERAGE(FILTER(O2486:P6554,AA2486:AA6554=""Neighbor""))) / STDEV(FILTER(P2486:P6554, AA2486:AA6554 =""Neighbor"")), """")"),0.34856836560236604)</f>
        <v>0.3485683656</v>
      </c>
      <c r="AE2486" s="2">
        <f>IFERROR(__xludf.DUMMYFUNCTION("IFERROR(ABS(Q2486-AVERAGE(FILTER(Q2486:Q6554,AA2486:AA6554=""Neighbor""))) / STDEV(FILTER(Q2486:Q6554, AA2486:AA6554 =""Neighbor"")), """")"),1.0280271968062762)</f>
        <v>1.028027197</v>
      </c>
      <c r="AF2486" s="2">
        <f>IFERROR(__xludf.DUMMYFUNCTION("IFERROR(ABS(R2486-AVERAGE(FILTER(R2486:R6554,AA2486:AA6554=""Neighbor""))) / STDEV(FILTER(R2486:R6554, AA2486:AA6554 =""Neighbor"")), """")"),0.811393355994882)</f>
        <v>0.811393356</v>
      </c>
    </row>
    <row r="2487">
      <c r="A2487" s="2" t="s">
        <v>28</v>
      </c>
      <c r="B2487" s="2" t="s">
        <v>10071</v>
      </c>
      <c r="C2487" s="2" t="s">
        <v>10167</v>
      </c>
      <c r="D2487" s="2" t="s">
        <v>10196</v>
      </c>
      <c r="E2487" s="2" t="s">
        <v>10197</v>
      </c>
      <c r="F2487" s="2">
        <v>167.0</v>
      </c>
      <c r="G2487" s="2">
        <v>925.0</v>
      </c>
      <c r="H2487" s="2" t="b">
        <v>1</v>
      </c>
      <c r="I2487" s="2">
        <v>-1.0</v>
      </c>
      <c r="J2487" s="2" t="b">
        <v>0</v>
      </c>
      <c r="K2487" s="2" t="b">
        <v>0</v>
      </c>
      <c r="L2487" s="2" t="b">
        <v>0</v>
      </c>
      <c r="M2487" s="2" t="b">
        <v>0</v>
      </c>
      <c r="N2487" s="2" t="s">
        <v>33</v>
      </c>
      <c r="O2487" s="2">
        <v>87.0</v>
      </c>
      <c r="P2487" s="2">
        <v>21.0</v>
      </c>
      <c r="Q2487" s="2">
        <v>47.0</v>
      </c>
      <c r="R2487" s="2">
        <v>2.0</v>
      </c>
      <c r="S2487" s="3" t="s">
        <v>10198</v>
      </c>
      <c r="T2487" s="2" t="s">
        <v>10199</v>
      </c>
      <c r="Y2487" s="4" t="str">
        <f>IFERROR(__xludf.DUMMYFUNCTION("""COMPUTED_VALUE"""),"6.8348956")</f>
        <v>6.8348956</v>
      </c>
      <c r="Z2487" s="4" t="str">
        <f>IFERROR(__xludf.DUMMYFUNCTION("""COMPUTED_VALUE"""),"3.6293797")</f>
        <v>3.6293797</v>
      </c>
      <c r="AA2487" s="4" t="str">
        <f t="shared" si="1"/>
        <v>Neighbor</v>
      </c>
      <c r="AC2487" s="4">
        <f>IFERROR(__xludf.DUMMYFUNCTION("IFERROR(ABS(O2487-AVERAGE(FILTER(O2487:O6555,AA2487:AA6555=""Neighbor""))) / STDEV(FILTER(O2487:O6555, AA2487:AA6555 =""Neighbor"")), """")"),1.0195655790615055)</f>
        <v>1.019565579</v>
      </c>
      <c r="AD2487" s="4">
        <f>IFERROR(__xludf.DUMMYFUNCTION("IFERROR(ABS(P2487-AVERAGE(FILTER(O2487:P6555,AA2487:AA6555=""Neighbor""))) / STDEV(FILTER(P2487:P6555, AA2487:AA6555 =""Neighbor"")), """")"),0.572430187230568)</f>
        <v>0.5724301872</v>
      </c>
      <c r="AE2487" s="2">
        <f>IFERROR(__xludf.DUMMYFUNCTION("IFERROR(ABS(Q2487-AVERAGE(FILTER(Q2487:Q6555,AA2487:AA6555=""Neighbor""))) / STDEV(FILTER(Q2487:Q6555, AA2487:AA6555 =""Neighbor"")), """")"),1.689578664542666)</f>
        <v>1.689578665</v>
      </c>
      <c r="AF2487" s="2">
        <f>IFERROR(__xludf.DUMMYFUNCTION("IFERROR(ABS(R2487-AVERAGE(FILTER(R2487:R6555,AA2487:AA6555=""Neighbor""))) / STDEV(FILTER(R2487:R6555, AA2487:AA6555 =""Neighbor"")), """")"),1.9607157239368809)</f>
        <v>1.960715724</v>
      </c>
    </row>
    <row r="2488">
      <c r="A2488" s="2" t="s">
        <v>28</v>
      </c>
      <c r="B2488" s="2" t="s">
        <v>10071</v>
      </c>
      <c r="C2488" s="2" t="s">
        <v>10167</v>
      </c>
      <c r="D2488" s="2" t="s">
        <v>10200</v>
      </c>
      <c r="E2488" s="2" t="s">
        <v>10201</v>
      </c>
      <c r="F2488" s="2">
        <v>318.0</v>
      </c>
      <c r="G2488" s="2">
        <v>1760.0</v>
      </c>
      <c r="H2488" s="2" t="b">
        <v>1</v>
      </c>
      <c r="I2488" s="2">
        <v>-1.0</v>
      </c>
      <c r="J2488" s="2" t="b">
        <v>0</v>
      </c>
      <c r="K2488" s="2" t="b">
        <v>0</v>
      </c>
      <c r="L2488" s="2" t="b">
        <v>0</v>
      </c>
      <c r="M2488" s="2" t="b">
        <v>0</v>
      </c>
      <c r="N2488" s="2" t="s">
        <v>33</v>
      </c>
      <c r="O2488" s="2">
        <v>0.0</v>
      </c>
      <c r="P2488" s="2">
        <v>0.0</v>
      </c>
      <c r="Q2488" s="2">
        <v>0.0</v>
      </c>
      <c r="R2488" s="2">
        <v>0.0</v>
      </c>
      <c r="S2488" s="3" t="s">
        <v>10202</v>
      </c>
      <c r="T2488" s="2" t="s">
        <v>10203</v>
      </c>
      <c r="Y2488" s="4" t="str">
        <f>IFERROR(__xludf.DUMMYFUNCTION("""COMPUTED_VALUE"""),"6.8364639")</f>
        <v>6.8364639</v>
      </c>
      <c r="Z2488" s="4" t="str">
        <f>IFERROR(__xludf.DUMMYFUNCTION("""COMPUTED_VALUE"""),"3.6357665")</f>
        <v>3.6357665</v>
      </c>
      <c r="AA2488" s="4" t="str">
        <f t="shared" si="1"/>
        <v>Neighbor</v>
      </c>
      <c r="AC2488" s="4">
        <f>IFERROR(__xludf.DUMMYFUNCTION("IFERROR(ABS(O2488-AVERAGE(FILTER(O2488:O6556,AA2488:AA6556=""Neighbor""))) / STDEV(FILTER(O2488:O6556, AA2488:AA6556 =""Neighbor"")), """")"),1.4204313236658992)</f>
        <v>1.420431324</v>
      </c>
      <c r="AD2488" s="4">
        <f>IFERROR(__xludf.DUMMYFUNCTION("IFERROR(ABS(P2488-AVERAGE(FILTER(O2488:P6556,AA2488:AA6556=""Neighbor""))) / STDEV(FILTER(P2488:P6556, AA2488:AA6556 =""Neighbor"")), """")"),1.4505705560265063)</f>
        <v>1.450570556</v>
      </c>
      <c r="AE2488" s="2">
        <f>IFERROR(__xludf.DUMMYFUNCTION("IFERROR(ABS(Q2488-AVERAGE(FILTER(Q2488:Q6556,AA2488:AA6556=""Neighbor""))) / STDEV(FILTER(Q2488:Q6556, AA2488:AA6556 =""Neighbor"")), """")"),0.8936317298735422)</f>
        <v>0.8936317299</v>
      </c>
      <c r="AF2488" s="2">
        <f>IFERROR(__xludf.DUMMYFUNCTION("IFERROR(ABS(R2488-AVERAGE(FILTER(R2488:R6556,AA2488:AA6556=""Neighbor""))) / STDEV(FILTER(R2488:R6556, AA2488:AA6556 =""Neighbor"")), """")"),0.3334759464616117)</f>
        <v>0.3334759465</v>
      </c>
    </row>
    <row r="2489">
      <c r="A2489" s="2" t="s">
        <v>28</v>
      </c>
      <c r="B2489" s="2" t="s">
        <v>10071</v>
      </c>
      <c r="C2489" s="2" t="s">
        <v>10167</v>
      </c>
      <c r="D2489" s="2" t="s">
        <v>10204</v>
      </c>
      <c r="E2489" s="2" t="s">
        <v>10205</v>
      </c>
      <c r="F2489" s="2">
        <v>183.0</v>
      </c>
      <c r="G2489" s="2">
        <v>988.0</v>
      </c>
      <c r="H2489" s="2" t="b">
        <v>1</v>
      </c>
      <c r="I2489" s="2">
        <v>-1.0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s">
        <v>33</v>
      </c>
      <c r="O2489" s="2">
        <v>89.0</v>
      </c>
      <c r="P2489" s="2">
        <v>52.0</v>
      </c>
      <c r="Q2489" s="2">
        <v>29.0</v>
      </c>
      <c r="R2489" s="2">
        <v>0.0</v>
      </c>
      <c r="S2489" s="3" t="s">
        <v>10206</v>
      </c>
      <c r="T2489" s="2" t="s">
        <v>10207</v>
      </c>
      <c r="Y2489" s="4" t="str">
        <f>IFERROR(__xludf.DUMMYFUNCTION("""COMPUTED_VALUE"""),"6.8348956")</f>
        <v>6.8348956</v>
      </c>
      <c r="Z2489" s="4" t="str">
        <f>IFERROR(__xludf.DUMMYFUNCTION("""COMPUTED_VALUE"""),"3.6293797")</f>
        <v>3.6293797</v>
      </c>
      <c r="AA2489" s="4" t="str">
        <f t="shared" si="1"/>
        <v>Neighbor</v>
      </c>
      <c r="AC2489" s="4">
        <f>IFERROR(__xludf.DUMMYFUNCTION("IFERROR(ABS(O2489-AVERAGE(FILTER(O2489:O6557,AA2489:AA6557=""Neighbor""))) / STDEV(FILTER(O2489:O6557, AA2489:AA6557 =""Neighbor"")), """")"),1.0759613884363939)</f>
        <v>1.075961388</v>
      </c>
      <c r="AD2489" s="4">
        <f>IFERROR(__xludf.DUMMYFUNCTION("IFERROR(ABS(P2489-AVERAGE(FILTER(O2489:P6557,AA2489:AA6557=""Neighbor""))) / STDEV(FILTER(P2489:P6557, AA2489:AA6557 =""Neighbor"")), """")"),0.7256276478364365)</f>
        <v>0.7256276478</v>
      </c>
      <c r="AE2489" s="2">
        <f>IFERROR(__xludf.DUMMYFUNCTION("IFERROR(ABS(Q2489-AVERAGE(FILTER(Q2489:Q6557,AA2489:AA6557=""Neighbor""))) / STDEV(FILTER(Q2489:Q6557, AA2489:AA6557 =""Neighbor"")), """")"),0.7019196335493163)</f>
        <v>0.7019196335</v>
      </c>
      <c r="AF2489" s="2">
        <f>IFERROR(__xludf.DUMMYFUNCTION("IFERROR(ABS(R2489-AVERAGE(FILTER(R2489:R6557,AA2489:AA6557=""Neighbor""))) / STDEV(FILTER(R2489:R6557, AA2489:AA6557 =""Neighbor"")), """")"),0.3337677409194515)</f>
        <v>0.3337677409</v>
      </c>
    </row>
    <row r="2490">
      <c r="A2490" s="2" t="s">
        <v>28</v>
      </c>
      <c r="B2490" s="2" t="s">
        <v>10071</v>
      </c>
      <c r="C2490" s="2" t="s">
        <v>10167</v>
      </c>
      <c r="D2490" s="2" t="s">
        <v>10208</v>
      </c>
      <c r="E2490" s="2" t="s">
        <v>10209</v>
      </c>
      <c r="F2490" s="2">
        <v>111.0</v>
      </c>
      <c r="G2490" s="2">
        <v>750.0</v>
      </c>
      <c r="H2490" s="2" t="b">
        <v>1</v>
      </c>
      <c r="I2490" s="2">
        <v>-1.0</v>
      </c>
      <c r="J2490" s="2" t="b">
        <v>0</v>
      </c>
      <c r="K2490" s="2" t="b">
        <v>0</v>
      </c>
      <c r="L2490" s="2" t="b">
        <v>0</v>
      </c>
      <c r="M2490" s="2" t="b">
        <v>0</v>
      </c>
      <c r="N2490" s="2" t="s">
        <v>33</v>
      </c>
      <c r="O2490" s="2">
        <v>45.0</v>
      </c>
      <c r="P2490" s="2">
        <v>20.0</v>
      </c>
      <c r="Q2490" s="2">
        <v>26.0</v>
      </c>
      <c r="R2490" s="2">
        <v>4.0</v>
      </c>
      <c r="S2490" s="3" t="s">
        <v>10210</v>
      </c>
      <c r="T2490" s="2" t="s">
        <v>10211</v>
      </c>
      <c r="Y2490" s="4" t="str">
        <f>IFERROR(__xludf.DUMMYFUNCTION("""COMPUTED_VALUE"""),"6.8348956")</f>
        <v>6.8348956</v>
      </c>
      <c r="Z2490" s="4" t="str">
        <f>IFERROR(__xludf.DUMMYFUNCTION("""COMPUTED_VALUE"""),"3.6293797")</f>
        <v>3.6293797</v>
      </c>
      <c r="AA2490" s="4" t="str">
        <f t="shared" si="1"/>
        <v>Neighbor</v>
      </c>
      <c r="AC2490" s="4">
        <f>IFERROR(__xludf.DUMMYFUNCTION("IFERROR(ABS(O2490-AVERAGE(FILTER(O2490:O6558,AA2490:AA6558=""Neighbor""))) / STDEV(FILTER(O2490:O6558, AA2490:AA6558 =""Neighbor"")), """")"),0.15820591341658877)</f>
        <v>0.1582059134</v>
      </c>
      <c r="AD2490" s="4">
        <f>IFERROR(__xludf.DUMMYFUNCTION("IFERROR(ABS(P2490-AVERAGE(FILTER(O2490:P6558,AA2490:AA6558=""Neighbor""))) / STDEV(FILTER(P2490:P6558, AA2490:AA6558 =""Neighbor"")), """")"),0.6127959480583095)</f>
        <v>0.6127959481</v>
      </c>
      <c r="AE2490" s="2">
        <f>IFERROR(__xludf.DUMMYFUNCTION("IFERROR(ABS(Q2490-AVERAGE(FILTER(Q2490:Q6558,AA2490:AA6558=""Neighbor""))) / STDEV(FILTER(Q2490:Q6558, AA2490:AA6558 =""Neighbor"")), """")"),0.5376248950656065)</f>
        <v>0.5376248951</v>
      </c>
      <c r="AF2490" s="2">
        <f>IFERROR(__xludf.DUMMYFUNCTION("IFERROR(ABS(R2490-AVERAGE(FILTER(R2490:R6558,AA2490:AA6558=""Neighbor""))) / STDEV(FILTER(R2490:R6558, AA2490:AA6558 =""Neighbor"")), """")"),4.262899951371611)</f>
        <v>4.262899951</v>
      </c>
    </row>
    <row r="2491">
      <c r="A2491" s="2" t="s">
        <v>28</v>
      </c>
      <c r="B2491" s="2" t="s">
        <v>10071</v>
      </c>
      <c r="C2491" s="2" t="s">
        <v>10167</v>
      </c>
      <c r="D2491" s="2" t="s">
        <v>10212</v>
      </c>
      <c r="E2491" s="2" t="s">
        <v>10213</v>
      </c>
      <c r="F2491" s="2">
        <v>140.0</v>
      </c>
      <c r="G2491" s="2">
        <v>750.0</v>
      </c>
      <c r="H2491" s="2" t="b">
        <v>1</v>
      </c>
      <c r="I2491" s="2">
        <v>-1.0</v>
      </c>
      <c r="J2491" s="2" t="b">
        <v>0</v>
      </c>
      <c r="K2491" s="2" t="b">
        <v>1</v>
      </c>
      <c r="L2491" s="2" t="b">
        <v>0</v>
      </c>
      <c r="M2491" s="2" t="b">
        <v>0</v>
      </c>
      <c r="N2491" s="2" t="s">
        <v>33</v>
      </c>
      <c r="O2491" s="2">
        <v>57.0</v>
      </c>
      <c r="P2491" s="2">
        <v>48.0</v>
      </c>
      <c r="Q2491" s="2">
        <v>16.0</v>
      </c>
      <c r="R2491" s="2">
        <v>0.0</v>
      </c>
      <c r="S2491" s="3" t="s">
        <v>10214</v>
      </c>
      <c r="T2491" s="2" t="s">
        <v>10215</v>
      </c>
      <c r="Y2491" s="4" t="str">
        <f>IFERROR(__xludf.DUMMYFUNCTION("""COMPUTED_VALUE"""),"6.8348956")</f>
        <v>6.8348956</v>
      </c>
      <c r="Z2491" s="4" t="str">
        <f>IFERROR(__xludf.DUMMYFUNCTION("""COMPUTED_VALUE"""),"3.6293797")</f>
        <v>3.6293797</v>
      </c>
      <c r="AA2491" s="4" t="str">
        <f t="shared" si="1"/>
        <v>Neighbor</v>
      </c>
      <c r="AC2491" s="4">
        <f>IFERROR(__xludf.DUMMYFUNCTION("IFERROR(ABS(O2491-AVERAGE(FILTER(O2491:O6559,AA2491:AA6559=""Neighbor""))) / STDEV(FILTER(O2491:O6559, AA2491:AA6559 =""Neighbor"")), """")"),0.17849767769778713)</f>
        <v>0.1784976777</v>
      </c>
      <c r="AD2491" s="4">
        <f>IFERROR(__xludf.DUMMYFUNCTION("IFERROR(ABS(P2491-AVERAGE(FILTER(O2491:P6559,AA2491:AA6559=""Neighbor""))) / STDEV(FILTER(P2491:P6559, AA2491:AA6559 =""Neighbor"")), """")"),0.5602969577987758)</f>
        <v>0.5602969578</v>
      </c>
      <c r="AE2491" s="2">
        <f>IFERROR(__xludf.DUMMYFUNCTION("IFERROR(ABS(Q2491-AVERAGE(FILTER(Q2491:Q6559,AA2491:AA6559=""Neighbor""))) / STDEV(FILTER(Q2491:Q6559, AA2491:AA6559 =""Neighbor"")), """")"),0.011924576231304896)</f>
        <v>0.01192457623</v>
      </c>
      <c r="AF2491" s="2">
        <f>IFERROR(__xludf.DUMMYFUNCTION("IFERROR(ABS(R2491-AVERAGE(FILTER(R2491:R6559,AA2491:AA6559=""Neighbor""))) / STDEV(FILTER(R2491:R6559, AA2491:AA6559 =""Neighbor"")), """")"),0.33186985096218413)</f>
        <v>0.331869851</v>
      </c>
    </row>
    <row r="2492">
      <c r="A2492" s="2" t="s">
        <v>28</v>
      </c>
      <c r="B2492" s="2" t="s">
        <v>10071</v>
      </c>
      <c r="C2492" s="2" t="s">
        <v>10167</v>
      </c>
      <c r="D2492" s="2" t="s">
        <v>10216</v>
      </c>
      <c r="E2492" s="2" t="s">
        <v>10217</v>
      </c>
      <c r="F2492" s="2">
        <v>137.0</v>
      </c>
      <c r="G2492" s="2">
        <v>822.0</v>
      </c>
      <c r="H2492" s="2" t="b">
        <v>1</v>
      </c>
      <c r="I2492" s="2">
        <v>-1.0</v>
      </c>
      <c r="J2492" s="2" t="b">
        <v>0</v>
      </c>
      <c r="K2492" s="2" t="b">
        <v>1</v>
      </c>
      <c r="L2492" s="2" t="b">
        <v>0</v>
      </c>
      <c r="M2492" s="2" t="b">
        <v>0</v>
      </c>
      <c r="N2492" s="2" t="s">
        <v>33</v>
      </c>
      <c r="O2492" s="2">
        <v>84.0</v>
      </c>
      <c r="P2492" s="2">
        <v>18.0</v>
      </c>
      <c r="Q2492" s="2">
        <v>23.0</v>
      </c>
      <c r="R2492" s="2">
        <v>0.0</v>
      </c>
      <c r="S2492" s="3" t="s">
        <v>10218</v>
      </c>
      <c r="T2492" s="2" t="s">
        <v>10219</v>
      </c>
      <c r="Y2492" s="4" t="str">
        <f>IFERROR(__xludf.DUMMYFUNCTION("""COMPUTED_VALUE"""),"6.8322014")</f>
        <v>6.8322014</v>
      </c>
      <c r="Z2492" s="4" t="str">
        <f>IFERROR(__xludf.DUMMYFUNCTION("""COMPUTED_VALUE"""),"3.6319131")</f>
        <v>3.6319131</v>
      </c>
      <c r="AA2492" s="4" t="str">
        <f t="shared" si="1"/>
        <v>Neighbor</v>
      </c>
      <c r="AC2492" s="4">
        <f>IFERROR(__xludf.DUMMYFUNCTION("IFERROR(ABS(O2492-AVERAGE(FILTER(O2492:O6560,AA2492:AA6560=""Neighbor""))) / STDEV(FILTER(O2492:O6560, AA2492:AA6560 =""Neighbor"")), """")"),0.9359329395773819)</f>
        <v>0.9359329396</v>
      </c>
      <c r="AD2492" s="4">
        <f>IFERROR(__xludf.DUMMYFUNCTION("IFERROR(ABS(P2492-AVERAGE(FILTER(O2492:P6560,AA2492:AA6560=""Neighbor""))) / STDEV(FILTER(P2492:P6560, AA2492:AA6560 =""Neighbor"")), """")"),0.6953203197064871)</f>
        <v>0.6953203197</v>
      </c>
      <c r="AE2492" s="2">
        <f>IFERROR(__xludf.DUMMYFUNCTION("IFERROR(ABS(Q2492-AVERAGE(FILTER(Q2492:Q6560,AA2492:AA6560=""Neighbor""))) / STDEV(FILTER(Q2492:Q6560, AA2492:AA6560 =""Neighbor"")), """")"),0.37282885688118067)</f>
        <v>0.3728288569</v>
      </c>
      <c r="AF2492" s="2">
        <f>IFERROR(__xludf.DUMMYFUNCTION("IFERROR(ABS(R2492-AVERAGE(FILTER(R2492:R6560,AA2492:AA6560=""Neighbor""))) / STDEV(FILTER(R2492:R6560, AA2492:AA6560 =""Neighbor"")), """")"),0.3321613368100645)</f>
        <v>0.3321613368</v>
      </c>
    </row>
    <row r="2493">
      <c r="A2493" s="2" t="s">
        <v>28</v>
      </c>
      <c r="B2493" s="2" t="s">
        <v>10071</v>
      </c>
      <c r="C2493" s="2" t="s">
        <v>10220</v>
      </c>
      <c r="D2493" s="2" t="s">
        <v>10221</v>
      </c>
      <c r="E2493" s="2" t="s">
        <v>10222</v>
      </c>
      <c r="F2493" s="2">
        <v>194.0</v>
      </c>
      <c r="G2493" s="2">
        <v>799.0</v>
      </c>
      <c r="H2493" s="2" t="b">
        <v>1</v>
      </c>
      <c r="I2493" s="2">
        <v>-1.0</v>
      </c>
      <c r="J2493" s="2" t="b">
        <v>1</v>
      </c>
      <c r="K2493" s="2" t="b">
        <v>0</v>
      </c>
      <c r="L2493" s="2" t="b">
        <v>0</v>
      </c>
      <c r="M2493" s="2" t="b">
        <v>0</v>
      </c>
      <c r="N2493" s="2" t="s">
        <v>33</v>
      </c>
      <c r="O2493" s="2">
        <v>121.0</v>
      </c>
      <c r="P2493" s="2">
        <v>22.0</v>
      </c>
      <c r="Q2493" s="2">
        <v>40.0</v>
      </c>
      <c r="R2493" s="2">
        <v>4.0</v>
      </c>
      <c r="S2493" s="3" t="s">
        <v>10223</v>
      </c>
      <c r="T2493" s="2" t="s">
        <v>10224</v>
      </c>
      <c r="Y2493" s="4" t="str">
        <f>IFERROR(__xludf.DUMMYFUNCTION("""COMPUTED_VALUE"""),"6.8322014")</f>
        <v>6.8322014</v>
      </c>
      <c r="Z2493" s="4" t="str">
        <f>IFERROR(__xludf.DUMMYFUNCTION("""COMPUTED_VALUE"""),"3.6319131")</f>
        <v>3.6319131</v>
      </c>
      <c r="AA2493" s="4" t="str">
        <f t="shared" si="1"/>
        <v>Not Neighbor</v>
      </c>
      <c r="AC2493" s="4">
        <f>IFERROR(__xludf.DUMMYFUNCTION("IFERROR(ABS(O2493-AVERAGE(FILTER(O2493:O6561,AA2493:AA6561=""Neighbor""))) / STDEV(FILTER(O2493:O6561, AA2493:AA6561 =""Neighbor"")), """")"),1.9749932283307625)</f>
        <v>1.974993228</v>
      </c>
      <c r="AD2493" s="4">
        <f>IFERROR(__xludf.DUMMYFUNCTION("IFERROR(ABS(P2493-AVERAGE(FILTER(O2493:P6561,AA2493:AA6561=""Neighbor""))) / STDEV(FILTER(P2493:P6561, AA2493:AA6561 =""Neighbor"")), """")"),0.5262066175032509)</f>
        <v>0.5262066175</v>
      </c>
      <c r="AE2493" s="2">
        <f>IFERROR(__xludf.DUMMYFUNCTION("IFERROR(ABS(Q2493-AVERAGE(FILTER(Q2493:Q6561,AA2493:AA6561=""Neighbor""))) / STDEV(FILTER(Q2493:Q6561, AA2493:AA6561 =""Neighbor"")), """")"),1.3069507821545763)</f>
        <v>1.306950782</v>
      </c>
      <c r="AF2493" s="2">
        <f>IFERROR(__xludf.DUMMYFUNCTION("IFERROR(ABS(R2493-AVERAGE(FILTER(R2493:R6561,AA2493:AA6561=""Neighbor""))) / STDEV(FILTER(R2493:R6561, AA2493:AA6561 =""Neighbor"")), """")"),4.32189669862955)</f>
        <v>4.321896699</v>
      </c>
    </row>
    <row r="2494">
      <c r="A2494" s="2" t="s">
        <v>28</v>
      </c>
      <c r="B2494" s="2" t="s">
        <v>10071</v>
      </c>
      <c r="C2494" s="2" t="s">
        <v>10220</v>
      </c>
      <c r="D2494" s="2" t="s">
        <v>10225</v>
      </c>
      <c r="E2494" s="2" t="s">
        <v>10226</v>
      </c>
      <c r="F2494" s="2">
        <v>249.0</v>
      </c>
      <c r="G2494" s="2">
        <v>909.0</v>
      </c>
      <c r="H2494" s="2" t="b">
        <v>1</v>
      </c>
      <c r="I2494" s="2">
        <v>-1.0</v>
      </c>
      <c r="J2494" s="2" t="b">
        <v>1</v>
      </c>
      <c r="K2494" s="2" t="b">
        <v>0</v>
      </c>
      <c r="L2494" s="2" t="b">
        <v>0</v>
      </c>
      <c r="M2494" s="2" t="b">
        <v>0</v>
      </c>
      <c r="N2494" s="2" t="s">
        <v>33</v>
      </c>
      <c r="O2494" s="2">
        <v>107.0</v>
      </c>
      <c r="P2494" s="2">
        <v>13.0</v>
      </c>
      <c r="Q2494" s="2">
        <v>68.0</v>
      </c>
      <c r="R2494" s="2">
        <v>22.0</v>
      </c>
      <c r="S2494" s="3" t="s">
        <v>10227</v>
      </c>
      <c r="T2494" s="2" t="s">
        <v>10228</v>
      </c>
      <c r="Y2494" s="4" t="str">
        <f>IFERROR(__xludf.DUMMYFUNCTION("""COMPUTED_VALUE"""),"6.828811")</f>
        <v>6.828811</v>
      </c>
      <c r="Z2494" s="4" t="str">
        <f>IFERROR(__xludf.DUMMYFUNCTION("""COMPUTED_VALUE"""),"3.6531761")</f>
        <v>3.6531761</v>
      </c>
      <c r="AA2494" s="4" t="str">
        <f t="shared" si="1"/>
        <v>Not Neighbor</v>
      </c>
      <c r="AC2494" s="4">
        <f>IFERROR(__xludf.DUMMYFUNCTION("IFERROR(ABS(O2494-AVERAGE(FILTER(O2494:O6562,AA2494:AA6562=""Neighbor""))) / STDEV(FILTER(O2494:O6562, AA2494:AA6562 =""Neighbor"")), """")"),1.5823628295146124)</f>
        <v>1.58236283</v>
      </c>
      <c r="AD2494" s="4">
        <f>IFERROR(__xludf.DUMMYFUNCTION("IFERROR(ABS(P2494-AVERAGE(FILTER(O2494:P6562,AA2494:AA6562=""Neighbor""))) / STDEV(FILTER(P2494:P6562, AA2494:AA6562 =""Neighbor"")), """")"),0.9030178730278067)</f>
        <v>0.903017873</v>
      </c>
      <c r="AE2494" s="2">
        <f>IFERROR(__xludf.DUMMYFUNCTION("IFERROR(ABS(Q2494-AVERAGE(FILTER(Q2494:Q6562,AA2494:AA6562=""Neighbor""))) / STDEV(FILTER(Q2494:Q6562, AA2494:AA6562 =""Neighbor"")), """")"),2.84495023493688)</f>
        <v>2.844950235</v>
      </c>
      <c r="AF2494" s="2">
        <f>IFERROR(__xludf.DUMMYFUNCTION("IFERROR(ABS(R2494-AVERAGE(FILTER(R2494:R6562,AA2494:AA6562=""Neighbor""))) / STDEV(FILTER(R2494:R6562, AA2494:AA6562 =""Neighbor"")), """")"),25.266473007372756)</f>
        <v>25.26647301</v>
      </c>
    </row>
    <row r="2495">
      <c r="A2495" s="2" t="s">
        <v>28</v>
      </c>
      <c r="B2495" s="2" t="s">
        <v>10071</v>
      </c>
      <c r="C2495" s="2" t="s">
        <v>10220</v>
      </c>
      <c r="D2495" s="2" t="s">
        <v>10229</v>
      </c>
      <c r="E2495" s="2" t="s">
        <v>10230</v>
      </c>
      <c r="F2495" s="2">
        <v>278.0</v>
      </c>
      <c r="G2495" s="2">
        <v>1283.0</v>
      </c>
      <c r="H2495" s="2" t="b">
        <v>1</v>
      </c>
      <c r="I2495" s="2">
        <v>-1.0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s">
        <v>33</v>
      </c>
      <c r="O2495" s="2">
        <v>46.0</v>
      </c>
      <c r="P2495" s="2">
        <v>36.0</v>
      </c>
      <c r="Q2495" s="2">
        <v>19.0</v>
      </c>
      <c r="R2495" s="2">
        <v>0.0</v>
      </c>
      <c r="S2495" s="3" t="s">
        <v>10231</v>
      </c>
      <c r="T2495" s="2" t="s">
        <v>10232</v>
      </c>
      <c r="Y2495" s="4" t="str">
        <f>IFERROR(__xludf.DUMMYFUNCTION("""COMPUTED_VALUE"""),"6.8322014")</f>
        <v>6.8322014</v>
      </c>
      <c r="Z2495" s="4" t="str">
        <f>IFERROR(__xludf.DUMMYFUNCTION("""COMPUTED_VALUE"""),"3.6319131")</f>
        <v>3.6319131</v>
      </c>
      <c r="AA2495" s="4" t="str">
        <f t="shared" si="1"/>
        <v>Not Neighbor</v>
      </c>
      <c r="AC2495" s="4">
        <f>IFERROR(__xludf.DUMMYFUNCTION("IFERROR(ABS(O2495-AVERAGE(FILTER(O2495:O6563,AA2495:AA6563=""Neighbor""))) / STDEV(FILTER(O2495:O6563, AA2495:AA6563 =""Neighbor"")), """")"),0.12838390818432846)</f>
        <v>0.1283839082</v>
      </c>
      <c r="AD2495" s="4">
        <f>IFERROR(__xludf.DUMMYFUNCTION("IFERROR(ABS(P2495-AVERAGE(FILTER(O2495:P6563,AA2495:AA6563=""Neighbor""))) / STDEV(FILTER(P2495:P6563, AA2495:AA6563 =""Neighbor"")), """")"),0.05994422442383578)</f>
        <v>0.05994422442</v>
      </c>
      <c r="AE2495" s="2">
        <f>IFERROR(__xludf.DUMMYFUNCTION("IFERROR(ABS(Q2495-AVERAGE(FILTER(Q2495:Q6563,AA2495:AA6563=""Neighbor""))) / STDEV(FILTER(Q2495:Q6563, AA2495:AA6563 =""Neighbor"")), """")"),0.1534511925678489)</f>
        <v>0.1534511926</v>
      </c>
      <c r="AF2495" s="2">
        <f>IFERROR(__xludf.DUMMYFUNCTION("IFERROR(ABS(R2495-AVERAGE(FILTER(R2495:R6563,AA2495:AA6563=""Neighbor""))) / STDEV(FILTER(R2495:R6563, AA2495:AA6563 =""Neighbor"")), """")"),0.33245359220227305)</f>
        <v>0.3324535922</v>
      </c>
    </row>
    <row r="2496">
      <c r="A2496" s="2" t="s">
        <v>28</v>
      </c>
      <c r="B2496" s="2" t="s">
        <v>10071</v>
      </c>
      <c r="C2496" s="2" t="s">
        <v>10220</v>
      </c>
      <c r="D2496" s="2" t="s">
        <v>10233</v>
      </c>
      <c r="E2496" s="2" t="s">
        <v>10234</v>
      </c>
      <c r="F2496" s="2">
        <v>261.0</v>
      </c>
      <c r="G2496" s="2">
        <v>1459.0</v>
      </c>
      <c r="H2496" s="2" t="b">
        <v>1</v>
      </c>
      <c r="I2496" s="2">
        <v>-1.0</v>
      </c>
      <c r="J2496" s="2" t="b">
        <v>0</v>
      </c>
      <c r="K2496" s="2" t="b">
        <v>0</v>
      </c>
      <c r="L2496" s="2" t="b">
        <v>0</v>
      </c>
      <c r="M2496" s="2" t="b">
        <v>0</v>
      </c>
      <c r="N2496" s="2" t="s">
        <v>33</v>
      </c>
      <c r="O2496" s="2">
        <v>147.0</v>
      </c>
      <c r="P2496" s="2">
        <v>67.0</v>
      </c>
      <c r="Q2496" s="2">
        <v>32.0</v>
      </c>
      <c r="R2496" s="2">
        <v>3.0</v>
      </c>
      <c r="S2496" s="3" t="s">
        <v>10235</v>
      </c>
      <c r="T2496" s="2" t="s">
        <v>10236</v>
      </c>
      <c r="Y2496" s="4" t="str">
        <f>IFERROR(__xludf.DUMMYFUNCTION("""COMPUTED_VALUE"""),"6.8230435")</f>
        <v>6.8230435</v>
      </c>
      <c r="Z2496" s="4" t="str">
        <f>IFERROR(__xludf.DUMMYFUNCTION("""COMPUTED_VALUE"""),"3.6499578")</f>
        <v>3.6499578</v>
      </c>
      <c r="AA2496" s="4" t="str">
        <f t="shared" si="1"/>
        <v>Neighbor</v>
      </c>
      <c r="AC2496" s="4">
        <f>IFERROR(__xludf.DUMMYFUNCTION("IFERROR(ABS(O2496-AVERAGE(FILTER(O2496:O6564,AA2496:AA6564=""Neighbor""))) / STDEV(FILTER(O2496:O6564, AA2496:AA6564 =""Neighbor"")), """")"),2.7041639689893273)</f>
        <v>2.704163969</v>
      </c>
      <c r="AD2496" s="4">
        <f>IFERROR(__xludf.DUMMYFUNCTION("IFERROR(ABS(P2496-AVERAGE(FILTER(O2496:P6564,AA2496:AA6564=""Neighbor""))) / STDEV(FILTER(P2496:P6564, AA2496:AA6564 =""Neighbor"")), """")"),1.3578496601195278)</f>
        <v>1.35784966</v>
      </c>
      <c r="AE2496" s="2">
        <f>IFERROR(__xludf.DUMMYFUNCTION("IFERROR(ABS(Q2496-AVERAGE(FILTER(Q2496:Q6564,AA2496:AA6564=""Neighbor""))) / STDEV(FILTER(Q2496:Q6564, AA2496:AA6564 =""Neighbor"")), """")"),0.8675223670739183)</f>
        <v>0.8675223671</v>
      </c>
      <c r="AF2496" s="2">
        <f>IFERROR(__xludf.DUMMYFUNCTION("IFERROR(ABS(R2496-AVERAGE(FILTER(R2496:R6564,AA2496:AA6564=""Neighbor""))) / STDEV(FILTER(R2496:R6564, AA2496:AA6564 =""Neighbor"")), """")"),3.1583091259215945)</f>
        <v>3.158309126</v>
      </c>
    </row>
    <row r="2497">
      <c r="A2497" s="2" t="s">
        <v>28</v>
      </c>
      <c r="B2497" s="2" t="s">
        <v>10071</v>
      </c>
      <c r="C2497" s="2" t="s">
        <v>10220</v>
      </c>
      <c r="D2497" s="2" t="s">
        <v>10237</v>
      </c>
      <c r="E2497" s="2" t="s">
        <v>10238</v>
      </c>
      <c r="F2497" s="2">
        <v>217.0</v>
      </c>
      <c r="G2497" s="2">
        <v>916.0</v>
      </c>
      <c r="H2497" s="2" t="b">
        <v>1</v>
      </c>
      <c r="I2497" s="2">
        <v>-1.0</v>
      </c>
      <c r="J2497" s="2" t="b">
        <v>1</v>
      </c>
      <c r="K2497" s="2" t="b">
        <v>0</v>
      </c>
      <c r="L2497" s="2" t="b">
        <v>0</v>
      </c>
      <c r="M2497" s="2" t="b">
        <v>0</v>
      </c>
      <c r="N2497" s="2" t="s">
        <v>33</v>
      </c>
      <c r="O2497" s="2">
        <v>108.0</v>
      </c>
      <c r="P2497" s="2">
        <v>50.0</v>
      </c>
      <c r="Q2497" s="2">
        <v>41.0</v>
      </c>
      <c r="R2497" s="2">
        <v>0.0</v>
      </c>
      <c r="S2497" s="3" t="s">
        <v>10239</v>
      </c>
      <c r="T2497" s="2" t="s">
        <v>10240</v>
      </c>
      <c r="Y2497" s="4" t="str">
        <f>IFERROR(__xludf.DUMMYFUNCTION("""COMPUTED_VALUE"""),"6.8230435")</f>
        <v>6.8230435</v>
      </c>
      <c r="Z2497" s="4" t="str">
        <f>IFERROR(__xludf.DUMMYFUNCTION("""COMPUTED_VALUE"""),"3.6499578")</f>
        <v>3.6499578</v>
      </c>
      <c r="AA2497" s="4" t="str">
        <f t="shared" si="1"/>
        <v>Not Neighbor</v>
      </c>
      <c r="AC2497" s="4">
        <f>IFERROR(__xludf.DUMMYFUNCTION("IFERROR(ABS(O2497-AVERAGE(FILTER(O2497:O6565,AA2497:AA6565=""Neighbor""))) / STDEV(FILTER(O2497:O6565, AA2497:AA6565 =""Neighbor"")), """")"),1.622899197398694)</f>
        <v>1.622899197</v>
      </c>
      <c r="AD2497" s="4">
        <f>IFERROR(__xludf.DUMMYFUNCTION("IFERROR(ABS(P2497-AVERAGE(FILTER(O2497:P6565,AA2497:AA6565=""Neighbor""))) / STDEV(FILTER(P2497:P6565, AA2497:AA6565 =""Neighbor"")), """")"),0.6525392251388102)</f>
        <v>0.6525392251</v>
      </c>
      <c r="AE2497" s="2">
        <f>IFERROR(__xludf.DUMMYFUNCTION("IFERROR(ABS(Q2497-AVERAGE(FILTER(Q2497:Q6565,AA2497:AA6565=""Neighbor""))) / STDEV(FILTER(Q2497:Q6565, AA2497:AA6565 =""Neighbor"")), """")"),1.362991387548315)</f>
        <v>1.362991388</v>
      </c>
      <c r="AF2497" s="2">
        <f>IFERROR(__xludf.DUMMYFUNCTION("IFERROR(ABS(R2497-AVERAGE(FILTER(R2497:R6565,AA2497:AA6565=""Neighbor""))) / STDEV(FILTER(R2497:R6565, AA2497:AA6565 =""Neighbor"")), """")"),0.3298017504551263)</f>
        <v>0.3298017505</v>
      </c>
    </row>
    <row r="2498">
      <c r="A2498" s="2" t="s">
        <v>28</v>
      </c>
      <c r="B2498" s="2" t="s">
        <v>10071</v>
      </c>
      <c r="C2498" s="2" t="s">
        <v>10220</v>
      </c>
      <c r="D2498" s="2" t="s">
        <v>10241</v>
      </c>
      <c r="E2498" s="2" t="s">
        <v>10242</v>
      </c>
      <c r="F2498" s="2">
        <v>144.0</v>
      </c>
      <c r="G2498" s="2">
        <v>611.0</v>
      </c>
      <c r="H2498" s="2" t="b">
        <v>1</v>
      </c>
      <c r="I2498" s="2">
        <v>-1.0</v>
      </c>
      <c r="J2498" s="2" t="b">
        <v>0</v>
      </c>
      <c r="K2498" s="2" t="b">
        <v>1</v>
      </c>
      <c r="L2498" s="2" t="b">
        <v>0</v>
      </c>
      <c r="M2498" s="2" t="b">
        <v>0</v>
      </c>
      <c r="N2498" s="2" t="s">
        <v>33</v>
      </c>
      <c r="O2498" s="2">
        <v>104.0</v>
      </c>
      <c r="P2498" s="2">
        <v>17.0</v>
      </c>
      <c r="Q2498" s="2">
        <v>15.0</v>
      </c>
      <c r="R2498" s="2">
        <v>0.0</v>
      </c>
      <c r="S2498" s="3" t="s">
        <v>10243</v>
      </c>
      <c r="T2498" s="2" t="s">
        <v>10244</v>
      </c>
      <c r="Y2498" s="4" t="str">
        <f>IFERROR(__xludf.DUMMYFUNCTION("""COMPUTED_VALUE"""),"6.8322014")</f>
        <v>6.8322014</v>
      </c>
      <c r="Z2498" s="4" t="str">
        <f>IFERROR(__xludf.DUMMYFUNCTION("""COMPUTED_VALUE"""),"3.6319131")</f>
        <v>3.6319131</v>
      </c>
      <c r="AA2498" s="4" t="str">
        <f t="shared" si="1"/>
        <v>Neighbor</v>
      </c>
      <c r="AC2498" s="4">
        <f>IFERROR(__xludf.DUMMYFUNCTION("IFERROR(ABS(O2498-AVERAGE(FILTER(O2498:O6566,AA2498:AA6566=""Neighbor""))) / STDEV(FILTER(O2498:O6566, AA2498:AA6566 =""Neighbor"")), """")"),1.5101499393383566)</f>
        <v>1.510149939</v>
      </c>
      <c r="AD2498" s="4">
        <f>IFERROR(__xludf.DUMMYFUNCTION("IFERROR(ABS(P2498-AVERAGE(FILTER(O2498:P6566,AA2498:AA6566=""Neighbor""))) / STDEV(FILTER(P2498:P6566, AA2498:AA6566 =""Neighbor"")), """")"),0.7325468466687659)</f>
        <v>0.7325468467</v>
      </c>
      <c r="AE2498" s="2">
        <f>IFERROR(__xludf.DUMMYFUNCTION("IFERROR(ABS(Q2498-AVERAGE(FILTER(Q2498:Q6566,AA2498:AA6566=""Neighbor""))) / STDEV(FILTER(Q2498:Q6566, AA2498:AA6566 =""Neighbor"")), """")"),0.06487109095819606)</f>
        <v>0.06487109096</v>
      </c>
      <c r="AF2498" s="2">
        <f>IFERROR(__xludf.DUMMYFUNCTION("IFERROR(ABS(R2498-AVERAGE(FILTER(R2498:R6566,AA2498:AA6566=""Neighbor""))) / STDEV(FILTER(R2498:R6566, AA2498:AA6566 =""Neighbor"")), """")"),0.3298017504551263)</f>
        <v>0.3298017505</v>
      </c>
    </row>
    <row r="2499">
      <c r="A2499" s="2" t="s">
        <v>28</v>
      </c>
      <c r="B2499" s="2" t="s">
        <v>10071</v>
      </c>
      <c r="C2499" s="2" t="s">
        <v>10220</v>
      </c>
      <c r="D2499" s="2" t="s">
        <v>10245</v>
      </c>
      <c r="E2499" s="2" t="s">
        <v>10246</v>
      </c>
      <c r="F2499" s="2">
        <v>164.0</v>
      </c>
      <c r="G2499" s="2">
        <v>750.0</v>
      </c>
      <c r="H2499" s="2" t="b">
        <v>1</v>
      </c>
      <c r="I2499" s="2">
        <v>-1.0</v>
      </c>
      <c r="J2499" s="2" t="b">
        <v>1</v>
      </c>
      <c r="K2499" s="2" t="b">
        <v>0</v>
      </c>
      <c r="L2499" s="2" t="b">
        <v>0</v>
      </c>
      <c r="M2499" s="2" t="b">
        <v>0</v>
      </c>
      <c r="N2499" s="2" t="s">
        <v>33</v>
      </c>
      <c r="O2499" s="2">
        <v>129.0</v>
      </c>
      <c r="P2499" s="2">
        <v>12.0</v>
      </c>
      <c r="Q2499" s="2">
        <v>13.0</v>
      </c>
      <c r="R2499" s="2">
        <v>3.0</v>
      </c>
      <c r="S2499" s="3" t="s">
        <v>10247</v>
      </c>
      <c r="T2499" s="2" t="s">
        <v>10248</v>
      </c>
      <c r="Y2499" s="4" t="str">
        <f>IFERROR(__xludf.DUMMYFUNCTION("""COMPUTED_VALUE"""),"6.8300502")</f>
        <v>6.8300502</v>
      </c>
      <c r="Z2499" s="4" t="str">
        <f>IFERROR(__xludf.DUMMYFUNCTION("""COMPUTED_VALUE"""),"3.6417952")</f>
        <v>3.6417952</v>
      </c>
      <c r="AA2499" s="4" t="str">
        <f t="shared" si="1"/>
        <v>Not Neighbor</v>
      </c>
      <c r="AC2499" s="4">
        <f>IFERROR(__xludf.DUMMYFUNCTION("IFERROR(ABS(O2499-AVERAGE(FILTER(O2499:O6567,AA2499:AA6567=""Neighbor""))) / STDEV(FILTER(O2499:O6567, AA2499:AA6567 =""Neighbor"")), """")"),2.2195116007404785)</f>
        <v>2.219511601</v>
      </c>
      <c r="AD2499" s="4">
        <f>IFERROR(__xludf.DUMMYFUNCTION("IFERROR(ABS(P2499-AVERAGE(FILTER(O2499:P6567,AA2499:AA6567=""Neighbor""))) / STDEV(FILTER(P2499:P6567, AA2499:AA6567 =""Neighbor"")), """")"),0.9399211927616702)</f>
        <v>0.9399211928</v>
      </c>
      <c r="AE2499" s="2">
        <f>IFERROR(__xludf.DUMMYFUNCTION("IFERROR(ABS(Q2499-AVERAGE(FILTER(Q2499:Q6567,AA2499:AA6567=""Neighbor""))) / STDEV(FILTER(Q2499:Q6567, AA2499:AA6567 =""Neighbor"")), """")"),0.17467131495890698)</f>
        <v>0.174671315</v>
      </c>
      <c r="AF2499" s="2">
        <f>IFERROR(__xludf.DUMMYFUNCTION("IFERROR(ABS(R2499-AVERAGE(FILTER(R2499:R6567,AA2499:AA6567=""Neighbor""))) / STDEV(FILTER(R2499:R6567, AA2499:AA6567 =""Neighbor"")), """")"),3.1834338823040245)</f>
        <v>3.183433882</v>
      </c>
    </row>
    <row r="2500">
      <c r="A2500" s="2" t="s">
        <v>28</v>
      </c>
      <c r="B2500" s="2" t="s">
        <v>10071</v>
      </c>
      <c r="C2500" s="2" t="s">
        <v>10220</v>
      </c>
      <c r="D2500" s="2" t="s">
        <v>10249</v>
      </c>
      <c r="E2500" s="2" t="s">
        <v>10250</v>
      </c>
      <c r="F2500" s="2">
        <v>111.0</v>
      </c>
      <c r="G2500" s="2">
        <v>457.0</v>
      </c>
      <c r="H2500" s="2" t="b">
        <v>1</v>
      </c>
      <c r="I2500" s="2">
        <v>-1.0</v>
      </c>
      <c r="J2500" s="2" t="b">
        <v>1</v>
      </c>
      <c r="K2500" s="2" t="b">
        <v>0</v>
      </c>
      <c r="L2500" s="2" t="b">
        <v>0</v>
      </c>
      <c r="M2500" s="2" t="b">
        <v>0</v>
      </c>
      <c r="N2500" s="2" t="s">
        <v>33</v>
      </c>
      <c r="O2500" s="2">
        <v>63.0</v>
      </c>
      <c r="P2500" s="2">
        <v>21.0</v>
      </c>
      <c r="Q2500" s="2">
        <v>16.0</v>
      </c>
      <c r="R2500" s="2">
        <v>0.0</v>
      </c>
      <c r="S2500" s="3" t="s">
        <v>10251</v>
      </c>
      <c r="T2500" s="2" t="s">
        <v>10252</v>
      </c>
      <c r="Y2500" s="4" t="str">
        <f>IFERROR(__xludf.DUMMYFUNCTION("""COMPUTED_VALUE"""),"6.821141")</f>
        <v>6.821141</v>
      </c>
      <c r="Z2500" s="4" t="str">
        <f>IFERROR(__xludf.DUMMYFUNCTION("""COMPUTED_VALUE"""),"3.6224825")</f>
        <v>3.6224825</v>
      </c>
      <c r="AA2500" s="4" t="str">
        <f t="shared" si="1"/>
        <v>Not Neighbor</v>
      </c>
      <c r="AC2500" s="4">
        <f>IFERROR(__xludf.DUMMYFUNCTION("IFERROR(ABS(O2500-AVERAGE(FILTER(O2500:O6568,AA2500:AA6568=""Neighbor""))) / STDEV(FILTER(O2500:O6568, AA2500:AA6568 =""Neighbor"")), """")"),0.357240768790614)</f>
        <v>0.3572407688</v>
      </c>
      <c r="AD2500" s="4">
        <f>IFERROR(__xludf.DUMMYFUNCTION("IFERROR(ABS(P2500-AVERAGE(FILTER(O2500:P6568,AA2500:AA6568=""Neighbor""))) / STDEV(FILTER(P2500:P6568, AA2500:AA6568 =""Neighbor"")), """")"),0.5624701585161225)</f>
        <v>0.5624701585</v>
      </c>
      <c r="AE2500" s="2">
        <f>IFERROR(__xludf.DUMMYFUNCTION("IFERROR(ABS(Q2500-AVERAGE(FILTER(Q2500:Q6568,AA2500:AA6568=""Neighbor""))) / STDEV(FILTER(Q2500:Q6568, AA2500:AA6568 =""Neighbor"")), """")"),0.010048624922598491)</f>
        <v>0.01004862492</v>
      </c>
      <c r="AF2500" s="2">
        <f>IFERROR(__xludf.DUMMYFUNCTION("IFERROR(ABS(R2500-AVERAGE(FILTER(R2500:R6568,AA2500:AA6568=""Neighbor""))) / STDEV(FILTER(R2500:R6568, AA2500:AA6568 =""Neighbor"")), """")"),0.3300924412230887)</f>
        <v>0.3300924412</v>
      </c>
    </row>
    <row r="2501">
      <c r="A2501" s="2" t="s">
        <v>28</v>
      </c>
      <c r="B2501" s="2" t="s">
        <v>10071</v>
      </c>
      <c r="C2501" s="2" t="s">
        <v>10220</v>
      </c>
      <c r="D2501" s="2" t="s">
        <v>10253</v>
      </c>
      <c r="E2501" s="2" t="s">
        <v>10254</v>
      </c>
      <c r="F2501" s="2">
        <v>153.0</v>
      </c>
      <c r="G2501" s="2">
        <v>825.0</v>
      </c>
      <c r="H2501" s="2" t="b">
        <v>1</v>
      </c>
      <c r="I2501" s="2">
        <v>-1.0</v>
      </c>
      <c r="J2501" s="2" t="b">
        <v>1</v>
      </c>
      <c r="K2501" s="2" t="b">
        <v>0</v>
      </c>
      <c r="L2501" s="2" t="b">
        <v>0</v>
      </c>
      <c r="M2501" s="2" t="b">
        <v>0</v>
      </c>
      <c r="N2501" s="2" t="s">
        <v>33</v>
      </c>
      <c r="O2501" s="2">
        <v>76.0</v>
      </c>
      <c r="P2501" s="2">
        <v>31.0</v>
      </c>
      <c r="Q2501" s="2">
        <v>2.0</v>
      </c>
      <c r="R2501" s="2">
        <v>14.0</v>
      </c>
      <c r="S2501" s="3" t="s">
        <v>10255</v>
      </c>
      <c r="T2501" s="2" t="s">
        <v>10256</v>
      </c>
      <c r="Y2501" s="4" t="str">
        <f>IFERROR(__xludf.DUMMYFUNCTION("""COMPUTED_VALUE"""),"6.8326838")</f>
        <v>6.8326838</v>
      </c>
      <c r="Z2501" s="4" t="str">
        <f>IFERROR(__xludf.DUMMYFUNCTION("""COMPUTED_VALUE"""),"3.6355516")</f>
        <v>3.6355516</v>
      </c>
      <c r="AA2501" s="4" t="str">
        <f t="shared" si="1"/>
        <v>Not Neighbor</v>
      </c>
      <c r="AC2501" s="4">
        <f>IFERROR(__xludf.DUMMYFUNCTION("IFERROR(ABS(O2501-AVERAGE(FILTER(O2501:O6569,AA2501:AA6569=""Neighbor""))) / STDEV(FILTER(O2501:O6569, AA2501:AA6569 =""Neighbor"")), """")"),0.7240516902352843)</f>
        <v>0.7240516902</v>
      </c>
      <c r="AD2501" s="4">
        <f>IFERROR(__xludf.DUMMYFUNCTION("IFERROR(ABS(P2501-AVERAGE(FILTER(O2501:P6569,AA2501:AA6569=""Neighbor""))) / STDEV(FILTER(P2501:P6569, AA2501:AA6569 =""Neighbor"")), """")"),0.143080120465514)</f>
        <v>0.1430801205</v>
      </c>
      <c r="AE2501" s="2">
        <f>IFERROR(__xludf.DUMMYFUNCTION("IFERROR(ABS(Q2501-AVERAGE(FILTER(Q2501:Q6569,AA2501:AA6569=""Neighbor""))) / STDEV(FILTER(Q2501:Q6569, AA2501:AA6569 =""Neighbor"")), """")"),0.7782878450920381)</f>
        <v>0.7782878451</v>
      </c>
      <c r="AF2501" s="2">
        <f>IFERROR(__xludf.DUMMYFUNCTION("IFERROR(ABS(R2501-AVERAGE(FILTER(R2501:R6569,AA2501:AA6569=""Neighbor""))) / STDEV(FILTER(R2501:R6569, AA2501:AA6569 =""Neighbor"")), """")"),16.066363735236774)</f>
        <v>16.06636374</v>
      </c>
    </row>
    <row r="2502">
      <c r="A2502" s="2" t="s">
        <v>28</v>
      </c>
      <c r="B2502" s="2" t="s">
        <v>10071</v>
      </c>
      <c r="C2502" s="2" t="s">
        <v>10220</v>
      </c>
      <c r="D2502" s="2" t="s">
        <v>10257</v>
      </c>
      <c r="E2502" s="2" t="s">
        <v>10258</v>
      </c>
      <c r="F2502" s="2">
        <v>159.0</v>
      </c>
      <c r="G2502" s="2">
        <v>750.0</v>
      </c>
      <c r="H2502" s="2" t="b">
        <v>1</v>
      </c>
      <c r="I2502" s="2">
        <v>-1.0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s">
        <v>33</v>
      </c>
      <c r="O2502" s="2">
        <v>77.0</v>
      </c>
      <c r="P2502" s="2">
        <v>47.0</v>
      </c>
      <c r="Q2502" s="2">
        <v>31.0</v>
      </c>
      <c r="R2502" s="2">
        <v>0.0</v>
      </c>
      <c r="S2502" s="3" t="s">
        <v>10259</v>
      </c>
      <c r="T2502" s="2" t="s">
        <v>10260</v>
      </c>
      <c r="Y2502" s="4" t="str">
        <f>IFERROR(__xludf.DUMMYFUNCTION("""COMPUTED_VALUE"""),"6.8176045")</f>
        <v>6.8176045</v>
      </c>
      <c r="Z2502" s="4" t="str">
        <f>IFERROR(__xludf.DUMMYFUNCTION("""COMPUTED_VALUE"""),"3.6172412")</f>
        <v>3.6172412</v>
      </c>
      <c r="AA2502" s="4" t="str">
        <f t="shared" si="1"/>
        <v>Not Neighbor</v>
      </c>
      <c r="AC2502" s="4">
        <f>IFERROR(__xludf.DUMMYFUNCTION("IFERROR(ABS(O2502-AVERAGE(FILTER(O2502:O6570,AA2502:AA6570=""Neighbor""))) / STDEV(FILTER(O2502:O6570, AA2502:AA6570 =""Neighbor"")), """")"),0.7522679149617973)</f>
        <v>0.752267915</v>
      </c>
      <c r="AD2502" s="4">
        <f>IFERROR(__xludf.DUMMYFUNCTION("IFERROR(ABS(P2502-AVERAGE(FILTER(O2502:P6570,AA2502:AA6570=""Neighbor""))) / STDEV(FILTER(P2502:P6570, AA2502:AA6570 =""Neighbor"")), """")"),0.5279439404154597)</f>
        <v>0.5279439404</v>
      </c>
      <c r="AE2502" s="2">
        <f>IFERROR(__xludf.DUMMYFUNCTION("IFERROR(ABS(Q2502-AVERAGE(FILTER(Q2502:Q6570,AA2502:AA6570=""Neighbor""))) / STDEV(FILTER(Q2502:Q6570, AA2502:AA6570 =""Neighbor"")), """")"),0.813064825258944)</f>
        <v>0.8130648253</v>
      </c>
      <c r="AF2502" s="2">
        <f>IFERROR(__xludf.DUMMYFUNCTION("IFERROR(ABS(R2502-AVERAGE(FILTER(R2502:R6570,AA2502:AA6570=""Neighbor""))) / STDEV(FILTER(R2502:R6570, AA2502:AA6570 =""Neighbor"")), """")"),0.3300924412230887)</f>
        <v>0.3300924412</v>
      </c>
    </row>
    <row r="2503">
      <c r="A2503" s="2" t="s">
        <v>28</v>
      </c>
      <c r="B2503" s="2" t="s">
        <v>10071</v>
      </c>
      <c r="C2503" s="2" t="s">
        <v>10220</v>
      </c>
      <c r="D2503" s="2" t="s">
        <v>10261</v>
      </c>
      <c r="E2503" s="2" t="s">
        <v>10262</v>
      </c>
      <c r="F2503" s="2">
        <v>109.0</v>
      </c>
      <c r="G2503" s="2">
        <v>472.0</v>
      </c>
      <c r="H2503" s="2" t="b">
        <v>1</v>
      </c>
      <c r="I2503" s="2">
        <v>-1.0</v>
      </c>
      <c r="J2503" s="2" t="b">
        <v>0</v>
      </c>
      <c r="K2503" s="2" t="b">
        <v>0</v>
      </c>
      <c r="L2503" s="2" t="b">
        <v>0</v>
      </c>
      <c r="M2503" s="2" t="b">
        <v>0</v>
      </c>
      <c r="N2503" s="2" t="s">
        <v>33</v>
      </c>
      <c r="O2503" s="2">
        <v>0.0</v>
      </c>
      <c r="P2503" s="2">
        <v>0.0</v>
      </c>
      <c r="Q2503" s="2">
        <v>0.0</v>
      </c>
      <c r="R2503" s="2">
        <v>0.0</v>
      </c>
      <c r="S2503" s="3" t="s">
        <v>10263</v>
      </c>
      <c r="T2503" s="2" t="s">
        <v>10264</v>
      </c>
      <c r="Y2503" s="4" t="str">
        <f>IFERROR(__xludf.DUMMYFUNCTION("""COMPUTED_VALUE"""),"6.8322014")</f>
        <v>6.8322014</v>
      </c>
      <c r="Z2503" s="4" t="str">
        <f>IFERROR(__xludf.DUMMYFUNCTION("""COMPUTED_VALUE"""),"3.6319131")</f>
        <v>3.6319131</v>
      </c>
      <c r="AA2503" s="4" t="str">
        <f t="shared" si="1"/>
        <v>Neighbor</v>
      </c>
      <c r="AC2503" s="4">
        <f>IFERROR(__xludf.DUMMYFUNCTION("IFERROR(ABS(O2503-AVERAGE(FILTER(O2503:O6571,AA2503:AA6571=""Neighbor""))) / STDEV(FILTER(O2503:O6571, AA2503:AA6571 =""Neighbor"")), """")"),1.420381388979711)</f>
        <v>1.420381389</v>
      </c>
      <c r="AD2503" s="4">
        <f>IFERROR(__xludf.DUMMYFUNCTION("IFERROR(ABS(P2503-AVERAGE(FILTER(O2503:P6571,AA2503:AA6571=""Neighbor""))) / STDEV(FILTER(P2503:P6571, AA2503:AA6571 =""Neighbor"")), """")"),1.4431892384224003)</f>
        <v>1.443189238</v>
      </c>
      <c r="AE2503" s="2">
        <f>IFERROR(__xludf.DUMMYFUNCTION("IFERROR(ABS(Q2503-AVERAGE(FILTER(Q2503:Q6571,AA2503:AA6571=""Neighbor""))) / STDEV(FILTER(Q2503:Q6571, AA2503:AA6571 =""Neighbor"")), """")"),0.8880363051162438)</f>
        <v>0.8880363051</v>
      </c>
      <c r="AF2503" s="2">
        <f>IFERROR(__xludf.DUMMYFUNCTION("IFERROR(ABS(R2503-AVERAGE(FILTER(R2503:R6571,AA2503:AA6571=""Neighbor""))) / STDEV(FILTER(R2503:R6571, AA2503:AA6571 =""Neighbor"")), """")"),0.3300924412230887)</f>
        <v>0.3300924412</v>
      </c>
    </row>
    <row r="2504">
      <c r="A2504" s="2" t="s">
        <v>28</v>
      </c>
      <c r="B2504" s="2" t="s">
        <v>10071</v>
      </c>
      <c r="C2504" s="2" t="s">
        <v>10220</v>
      </c>
      <c r="D2504" s="2" t="s">
        <v>10265</v>
      </c>
      <c r="E2504" s="2" t="s">
        <v>10266</v>
      </c>
      <c r="F2504" s="2">
        <v>121.0</v>
      </c>
      <c r="G2504" s="2">
        <v>511.0</v>
      </c>
      <c r="H2504" s="2" t="b">
        <v>1</v>
      </c>
      <c r="I2504" s="2">
        <v>-1.0</v>
      </c>
      <c r="J2504" s="2" t="b">
        <v>0</v>
      </c>
      <c r="K2504" s="2" t="b">
        <v>1</v>
      </c>
      <c r="L2504" s="2" t="b">
        <v>0</v>
      </c>
      <c r="M2504" s="2" t="b">
        <v>0</v>
      </c>
      <c r="N2504" s="2" t="s">
        <v>33</v>
      </c>
      <c r="O2504" s="2">
        <v>73.0</v>
      </c>
      <c r="P2504" s="2">
        <v>2.0</v>
      </c>
      <c r="Q2504" s="2">
        <v>24.0</v>
      </c>
      <c r="R2504" s="2">
        <v>1.0</v>
      </c>
      <c r="S2504" s="3" t="s">
        <v>10267</v>
      </c>
      <c r="T2504" s="2" t="s">
        <v>10268</v>
      </c>
      <c r="Y2504" s="4" t="str">
        <f>IFERROR(__xludf.DUMMYFUNCTION("""COMPUTED_VALUE"""),"6.8322014")</f>
        <v>6.8322014</v>
      </c>
      <c r="Z2504" s="4" t="str">
        <f>IFERROR(__xludf.DUMMYFUNCTION("""COMPUTED_VALUE"""),"3.6319131")</f>
        <v>3.6319131</v>
      </c>
      <c r="AA2504" s="4" t="str">
        <f t="shared" si="1"/>
        <v>Not Neighbor</v>
      </c>
      <c r="AC2504" s="4">
        <f>IFERROR(__xludf.DUMMYFUNCTION("IFERROR(ABS(O2504-AVERAGE(FILTER(O2504:O6572,AA2504:AA6572=""Neighbor""))) / STDEV(FILTER(O2504:O6572, AA2504:AA6572 =""Neighbor"")), """")"),0.6376577215842103)</f>
        <v>0.6376577216</v>
      </c>
      <c r="AD2504" s="4">
        <f>IFERROR(__xludf.DUMMYFUNCTION("IFERROR(ABS(P2504-AVERAGE(FILTER(O2504:P6572,AA2504:AA6572=""Neighbor""))) / STDEV(FILTER(P2504:P6572, AA2504:AA6572 =""Neighbor"")), """")"),1.3611802198878185)</f>
        <v>1.36118022</v>
      </c>
      <c r="AE2504" s="2">
        <f>IFERROR(__xludf.DUMMYFUNCTION("IFERROR(ABS(Q2504-AVERAGE(FILTER(Q2504:Q6572,AA2504:AA6572=""Neighbor""))) / STDEV(FILTER(Q2504:Q6572, AA2504:AA6572 =""Neighbor"")), """")"),0.4274571515915113)</f>
        <v>0.4274571516</v>
      </c>
      <c r="AF2504" s="2">
        <f>IFERROR(__xludf.DUMMYFUNCTION("IFERROR(ABS(R2504-AVERAGE(FILTER(R2504:R6572,AA2504:AA6572=""Neighbor""))) / STDEV(FILTER(R2504:R6572, AA2504:AA6572 =""Neighbor"")), """")"),0.839959073253244)</f>
        <v>0.8399590733</v>
      </c>
    </row>
    <row r="2505">
      <c r="A2505" s="2" t="s">
        <v>28</v>
      </c>
      <c r="B2505" s="2" t="s">
        <v>10071</v>
      </c>
      <c r="C2505" s="2" t="s">
        <v>10220</v>
      </c>
      <c r="D2505" s="2" t="s">
        <v>10269</v>
      </c>
      <c r="E2505" s="2" t="s">
        <v>10270</v>
      </c>
      <c r="F2505" s="2">
        <v>120.0</v>
      </c>
      <c r="G2505" s="2">
        <v>680.0</v>
      </c>
      <c r="H2505" s="2" t="b">
        <v>1</v>
      </c>
      <c r="I2505" s="2">
        <v>-1.0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s">
        <v>33</v>
      </c>
      <c r="O2505" s="2">
        <v>78.0</v>
      </c>
      <c r="P2505" s="2">
        <v>20.0</v>
      </c>
      <c r="Q2505" s="2">
        <v>13.0</v>
      </c>
      <c r="R2505" s="2">
        <v>4.0</v>
      </c>
      <c r="S2505" s="3" t="s">
        <v>10271</v>
      </c>
      <c r="T2505" s="2" t="s">
        <v>10272</v>
      </c>
      <c r="Y2505" s="4" t="str">
        <f>IFERROR(__xludf.DUMMYFUNCTION("""COMPUTED_VALUE"""),"6.8230435")</f>
        <v>6.8230435</v>
      </c>
      <c r="Z2505" s="4" t="str">
        <f>IFERROR(__xludf.DUMMYFUNCTION("""COMPUTED_VALUE"""),"3.6499578")</f>
        <v>3.6499578</v>
      </c>
      <c r="AA2505" s="4" t="str">
        <f t="shared" si="1"/>
        <v>Not Neighbor</v>
      </c>
      <c r="AC2505" s="4">
        <f>IFERROR(__xludf.DUMMYFUNCTION("IFERROR(ABS(O2505-AVERAGE(FILTER(O2505:O6573,AA2505:AA6573=""Neighbor""))) / STDEV(FILTER(O2505:O6573, AA2505:AA6573 =""Neighbor"")), """")"),0.7788540033448049)</f>
        <v>0.7788540033</v>
      </c>
      <c r="AD2505" s="4">
        <f>IFERROR(__xludf.DUMMYFUNCTION("IFERROR(ABS(P2505-AVERAGE(FILTER(O2505:P6573,AA2505:AA6573=""Neighbor""))) / STDEV(FILTER(P2505:P6573, AA2505:AA6573 =""Neighbor"")), """")"),0.6065180745458432)</f>
        <v>0.6065180745</v>
      </c>
      <c r="AE2505" s="2">
        <f>IFERROR(__xludf.DUMMYFUNCTION("IFERROR(ABS(Q2505-AVERAGE(FILTER(Q2505:Q6573,AA2505:AA6573=""Neighbor""))) / STDEV(FILTER(Q2505:Q6573, AA2505:AA6573 =""Neighbor"")), """")"),0.17605809396153946)</f>
        <v>0.176058094</v>
      </c>
      <c r="AF2505" s="2">
        <f>IFERROR(__xludf.DUMMYFUNCTION("IFERROR(ABS(R2505-AVERAGE(FILTER(R2505:R6573,AA2505:AA6573=""Neighbor""))) / STDEV(FILTER(R2505:R6573, AA2505:AA6573 =""Neighbor"")), """")"),4.350987999451805)</f>
        <v>4.350987999</v>
      </c>
    </row>
    <row r="2506">
      <c r="A2506" s="2" t="s">
        <v>28</v>
      </c>
      <c r="B2506" s="2" t="s">
        <v>10071</v>
      </c>
      <c r="C2506" s="2" t="s">
        <v>10273</v>
      </c>
      <c r="D2506" s="2" t="s">
        <v>10274</v>
      </c>
      <c r="E2506" s="2" t="s">
        <v>10275</v>
      </c>
      <c r="F2506" s="2">
        <v>127.0</v>
      </c>
      <c r="G2506" s="2">
        <v>750.0</v>
      </c>
      <c r="H2506" s="2" t="b">
        <v>1</v>
      </c>
      <c r="I2506" s="2">
        <v>-1.0</v>
      </c>
      <c r="J2506" s="2" t="b">
        <v>0</v>
      </c>
      <c r="K2506" s="2" t="b">
        <v>0</v>
      </c>
      <c r="L2506" s="2" t="b">
        <v>0</v>
      </c>
      <c r="M2506" s="2" t="b">
        <v>0</v>
      </c>
      <c r="N2506" s="2" t="s">
        <v>33</v>
      </c>
      <c r="O2506" s="2">
        <v>71.0</v>
      </c>
      <c r="P2506" s="2">
        <v>4.0</v>
      </c>
      <c r="Q2506" s="2">
        <v>45.0</v>
      </c>
      <c r="R2506" s="2">
        <v>0.0</v>
      </c>
      <c r="S2506" s="3" t="s">
        <v>10276</v>
      </c>
      <c r="T2506" s="2" t="s">
        <v>10277</v>
      </c>
      <c r="Y2506" s="4" t="str">
        <f>IFERROR(__xludf.DUMMYFUNCTION("""COMPUTED_VALUE"""),"6.8394584")</f>
        <v>6.8394584</v>
      </c>
      <c r="Z2506" s="4" t="str">
        <f>IFERROR(__xludf.DUMMYFUNCTION("""COMPUTED_VALUE"""),"3.6452156")</f>
        <v>3.6452156</v>
      </c>
      <c r="AA2506" s="4" t="str">
        <f t="shared" si="1"/>
        <v>Neighbor</v>
      </c>
      <c r="AC2506" s="4">
        <f>IFERROR(__xludf.DUMMYFUNCTION("IFERROR(ABS(O2506-AVERAGE(FILTER(O2506:O6574,AA2506:AA6574=""Neighbor""))) / STDEV(FILTER(O2506:O6574, AA2506:AA6574 =""Neighbor"")), """")"),0.5811792088799724)</f>
        <v>0.5811792089</v>
      </c>
      <c r="AD2506" s="4">
        <f>IFERROR(__xludf.DUMMYFUNCTION("IFERROR(ABS(P2506-AVERAGE(FILTER(O2506:P6574,AA2506:AA6574=""Neighbor""))) / STDEV(FILTER(P2506:P6574, AA2506:AA6574 =""Neighbor"")), """")"),1.2773288704053767)</f>
        <v>1.27732887</v>
      </c>
      <c r="AE2506" s="2">
        <f>IFERROR(__xludf.DUMMYFUNCTION("IFERROR(ABS(Q2506-AVERAGE(FILTER(Q2506:Q6574,AA2506:AA6574=""Neighbor""))) / STDEV(FILTER(Q2506:Q6574, AA2506:AA6574 =""Neighbor"")), """")"),1.5796226203746082)</f>
        <v>1.57962262</v>
      </c>
      <c r="AF2506" s="2">
        <f>IFERROR(__xludf.DUMMYFUNCTION("IFERROR(ABS(R2506-AVERAGE(FILTER(R2506:R6574,AA2506:AA6574=""Neighbor""))) / STDEV(FILTER(R2506:R6574, AA2506:AA6574 =""Neighbor"")), """")"),0.330383902146276)</f>
        <v>0.3303839021</v>
      </c>
    </row>
    <row r="2507">
      <c r="A2507" s="2" t="s">
        <v>28</v>
      </c>
      <c r="B2507" s="2" t="s">
        <v>10071</v>
      </c>
      <c r="C2507" s="2" t="s">
        <v>10273</v>
      </c>
      <c r="D2507" s="2" t="s">
        <v>10278</v>
      </c>
      <c r="E2507" s="2" t="s">
        <v>10279</v>
      </c>
      <c r="F2507" s="2">
        <v>216.0</v>
      </c>
      <c r="G2507" s="2">
        <v>682.0</v>
      </c>
      <c r="H2507" s="2" t="b">
        <v>1</v>
      </c>
      <c r="I2507" s="2">
        <v>-1.0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s">
        <v>33</v>
      </c>
      <c r="O2507" s="2">
        <v>95.0</v>
      </c>
      <c r="P2507" s="2">
        <v>2.0</v>
      </c>
      <c r="Q2507" s="2">
        <v>45.0</v>
      </c>
      <c r="R2507" s="2">
        <v>0.0</v>
      </c>
      <c r="S2507" s="3" t="s">
        <v>10280</v>
      </c>
      <c r="T2507" s="2" t="s">
        <v>10281</v>
      </c>
      <c r="Y2507" s="4" t="str">
        <f>IFERROR(__xludf.DUMMYFUNCTION("""COMPUTED_VALUE"""),"6.8394584")</f>
        <v>6.8394584</v>
      </c>
      <c r="Z2507" s="4" t="str">
        <f>IFERROR(__xludf.DUMMYFUNCTION("""COMPUTED_VALUE"""),"3.6452156")</f>
        <v>3.6452156</v>
      </c>
      <c r="AA2507" s="4" t="str">
        <f t="shared" si="1"/>
        <v>Neighbor</v>
      </c>
      <c r="AC2507" s="4">
        <f>IFERROR(__xludf.DUMMYFUNCTION("IFERROR(ABS(O2507-AVERAGE(FILTER(O2507:O6575,AA2507:AA6575=""Neighbor""))) / STDEV(FILTER(O2507:O6575, AA2507:AA6575 =""Neighbor"")), """")"),1.259183386538188)</f>
        <v>1.259183387</v>
      </c>
      <c r="AD2507" s="4">
        <f>IFERROR(__xludf.DUMMYFUNCTION("IFERROR(ABS(P2507-AVERAGE(FILTER(O2507:P6575,AA2507:AA6575=""Neighbor""))) / STDEV(FILTER(P2507:P6575, AA2507:AA6575 =""Neighbor"")), """")"),1.3602925672917514)</f>
        <v>1.360292567</v>
      </c>
      <c r="AE2507" s="2">
        <f>IFERROR(__xludf.DUMMYFUNCTION("IFERROR(ABS(Q2507-AVERAGE(FILTER(Q2507:Q6575,AA2507:AA6575=""Neighbor""))) / STDEV(FILTER(Q2507:Q6575, AA2507:AA6575 =""Neighbor"")), """")"),1.5840469542655766)</f>
        <v>1.584046954</v>
      </c>
      <c r="AF2507" s="2">
        <f>IFERROR(__xludf.DUMMYFUNCTION("IFERROR(ABS(R2507-AVERAGE(FILTER(R2507:R6575,AA2507:AA6575=""Neighbor""))) / STDEV(FILTER(R2507:R6575, AA2507:AA6575 =""Neighbor"")), """")"),0.3306761366320163)</f>
        <v>0.3306761366</v>
      </c>
    </row>
    <row r="2508">
      <c r="A2508" s="2" t="s">
        <v>28</v>
      </c>
      <c r="B2508" s="2" t="s">
        <v>10071</v>
      </c>
      <c r="C2508" s="2" t="s">
        <v>10273</v>
      </c>
      <c r="D2508" s="2" t="s">
        <v>10282</v>
      </c>
      <c r="E2508" s="2" t="s">
        <v>10283</v>
      </c>
      <c r="F2508" s="2">
        <v>226.0</v>
      </c>
      <c r="G2508" s="2">
        <v>1003.0</v>
      </c>
      <c r="H2508" s="2" t="b">
        <v>1</v>
      </c>
      <c r="I2508" s="2">
        <v>-1.0</v>
      </c>
      <c r="J2508" s="2" t="b">
        <v>0</v>
      </c>
      <c r="K2508" s="2" t="b">
        <v>0</v>
      </c>
      <c r="L2508" s="2" t="b">
        <v>0</v>
      </c>
      <c r="M2508" s="2" t="b">
        <v>0</v>
      </c>
      <c r="N2508" s="2" t="s">
        <v>33</v>
      </c>
      <c r="O2508" s="2">
        <v>163.0</v>
      </c>
      <c r="P2508" s="2">
        <v>15.0</v>
      </c>
      <c r="Q2508" s="2">
        <v>40.0</v>
      </c>
      <c r="R2508" s="2">
        <v>0.0</v>
      </c>
      <c r="S2508" s="3" t="s">
        <v>10284</v>
      </c>
      <c r="T2508" s="2" t="s">
        <v>10285</v>
      </c>
      <c r="Y2508" s="4" t="str">
        <f>IFERROR(__xludf.DUMMYFUNCTION("""COMPUTED_VALUE"""),"6.8394584")</f>
        <v>6.8394584</v>
      </c>
      <c r="Z2508" s="4" t="str">
        <f>IFERROR(__xludf.DUMMYFUNCTION("""COMPUTED_VALUE"""),"3.6452156")</f>
        <v>3.6452156</v>
      </c>
      <c r="AA2508" s="4" t="str">
        <f t="shared" si="1"/>
        <v>Neighbor</v>
      </c>
      <c r="AC2508" s="4">
        <f>IFERROR(__xludf.DUMMYFUNCTION("IFERROR(ABS(O2508-AVERAGE(FILTER(O2508:O6576,AA2508:AA6576=""Neighbor""))) / STDEV(FILTER(O2508:O6576, AA2508:AA6576 =""Neighbor"")), """")"),3.1819515633568543)</f>
        <v>3.181951563</v>
      </c>
      <c r="AD2508" s="4">
        <f>IFERROR(__xludf.DUMMYFUNCTION("IFERROR(ABS(P2508-AVERAGE(FILTER(O2508:P6576,AA2508:AA6576=""Neighbor""))) / STDEV(FILTER(P2508:P6576, AA2508:AA6576 =""Neighbor"")), """")"),0.814253111466838)</f>
        <v>0.8142531115</v>
      </c>
      <c r="AE2508" s="2">
        <f>IFERROR(__xludf.DUMMYFUNCTION("IFERROR(ABS(Q2508-AVERAGE(FILTER(Q2508:Q6576,AA2508:AA6576=""Neighbor""))) / STDEV(FILTER(Q2508:Q6576, AA2508:AA6576 =""Neighbor"")), """")"),1.3135203421860953)</f>
        <v>1.313520342</v>
      </c>
      <c r="AF2508" s="2">
        <f>IFERROR(__xludf.DUMMYFUNCTION("IFERROR(ABS(R2508-AVERAGE(FILTER(R2508:R6576,AA2508:AA6576=""Neighbor""))) / STDEV(FILTER(R2508:R6576, AA2508:AA6576 =""Neighbor"")), """")"),0.33096914810878203)</f>
        <v>0.3309691481</v>
      </c>
    </row>
    <row r="2509">
      <c r="A2509" s="2" t="s">
        <v>28</v>
      </c>
      <c r="B2509" s="2" t="s">
        <v>10071</v>
      </c>
      <c r="C2509" s="2" t="s">
        <v>10273</v>
      </c>
      <c r="D2509" s="2" t="s">
        <v>10286</v>
      </c>
      <c r="E2509" s="2" t="s">
        <v>10287</v>
      </c>
      <c r="F2509" s="2">
        <v>216.0</v>
      </c>
      <c r="G2509" s="2">
        <v>1163.0</v>
      </c>
      <c r="H2509" s="2" t="b">
        <v>1</v>
      </c>
      <c r="I2509" s="2">
        <v>-1.0</v>
      </c>
      <c r="J2509" s="2" t="b">
        <v>0</v>
      </c>
      <c r="K2509" s="2" t="b">
        <v>0</v>
      </c>
      <c r="L2509" s="2" t="b">
        <v>0</v>
      </c>
      <c r="M2509" s="2" t="b">
        <v>0</v>
      </c>
      <c r="N2509" s="2" t="s">
        <v>33</v>
      </c>
      <c r="O2509" s="2">
        <v>126.0</v>
      </c>
      <c r="P2509" s="2">
        <v>35.0</v>
      </c>
      <c r="Q2509" s="2">
        <v>42.0</v>
      </c>
      <c r="R2509" s="2">
        <v>0.0</v>
      </c>
      <c r="S2509" s="3" t="s">
        <v>10288</v>
      </c>
      <c r="T2509" s="2" t="s">
        <v>10289</v>
      </c>
      <c r="Y2509" s="4" t="str">
        <f>IFERROR(__xludf.DUMMYFUNCTION("""COMPUTED_VALUE"""),"6.8380191")</f>
        <v>6.8380191</v>
      </c>
      <c r="Z2509" s="4" t="str">
        <f>IFERROR(__xludf.DUMMYFUNCTION("""COMPUTED_VALUE"""),"3.6435798")</f>
        <v>3.6435798</v>
      </c>
      <c r="AA2509" s="4" t="str">
        <f t="shared" si="1"/>
        <v>Neighbor</v>
      </c>
      <c r="AC2509" s="4">
        <f>IFERROR(__xludf.DUMMYFUNCTION("IFERROR(ABS(O2509-AVERAGE(FILTER(O2509:O6577,AA2509:AA6577=""Neighbor""))) / STDEV(FILTER(O2509:O6577, AA2509:AA6577 =""Neighbor"")), """")"),2.1581499388746073)</f>
        <v>2.158149939</v>
      </c>
      <c r="AD2509" s="4">
        <f>IFERROR(__xludf.DUMMYFUNCTION("IFERROR(ABS(P2509-AVERAGE(FILTER(O2509:P6577,AA2509:AA6577=""Neighbor""))) / STDEV(FILTER(P2509:P6577, AA2509:AA6577 =""Neighbor"")), """")"),0.027131541425557217)</f>
        <v>0.02713154143</v>
      </c>
      <c r="AE2509" s="2">
        <f>IFERROR(__xludf.DUMMYFUNCTION("IFERROR(ABS(Q2509-AVERAGE(FILTER(Q2509:Q6577,AA2509:AA6577=""Neighbor""))) / STDEV(FILTER(Q2509:Q6577, AA2509:AA6577 =""Neighbor"")), """")"),1.4264544748879442)</f>
        <v>1.426454475</v>
      </c>
      <c r="AF2509" s="2">
        <f>IFERROR(__xludf.DUMMYFUNCTION("IFERROR(ABS(R2509-AVERAGE(FILTER(R2509:R6577,AA2509:AA6577=""Neighbor""))) / STDEV(FILTER(R2509:R6577, AA2509:AA6577 =""Neighbor"")), """")"),0.3312629400263604)</f>
        <v>0.33126294</v>
      </c>
    </row>
    <row r="2510">
      <c r="A2510" s="2" t="s">
        <v>28</v>
      </c>
      <c r="B2510" s="2" t="s">
        <v>10071</v>
      </c>
      <c r="C2510" s="2" t="s">
        <v>10290</v>
      </c>
      <c r="D2510" s="2" t="s">
        <v>10291</v>
      </c>
      <c r="E2510" s="2" t="s">
        <v>10292</v>
      </c>
      <c r="F2510" s="2">
        <v>233.0</v>
      </c>
      <c r="G2510" s="2">
        <v>935.0</v>
      </c>
      <c r="H2510" s="2" t="b">
        <v>1</v>
      </c>
      <c r="I2510" s="2">
        <v>-1.0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s">
        <v>33</v>
      </c>
      <c r="O2510" s="2">
        <v>96.0</v>
      </c>
      <c r="P2510" s="2">
        <v>20.0</v>
      </c>
      <c r="Q2510" s="2">
        <v>109.0</v>
      </c>
      <c r="R2510" s="2">
        <v>0.0</v>
      </c>
      <c r="S2510" s="3" t="s">
        <v>10293</v>
      </c>
      <c r="T2510" s="2" t="s">
        <v>10294</v>
      </c>
      <c r="Y2510" s="4" t="str">
        <f>IFERROR(__xludf.DUMMYFUNCTION("""COMPUTED_VALUE"""),"6.8448475")</f>
        <v>6.8448475</v>
      </c>
      <c r="Z2510" s="4" t="str">
        <f>IFERROR(__xludf.DUMMYFUNCTION("""COMPUTED_VALUE"""),"3.6401475")</f>
        <v>3.6401475</v>
      </c>
      <c r="AA2510" s="4" t="str">
        <f t="shared" si="1"/>
        <v>Neighbor</v>
      </c>
      <c r="AC2510" s="4">
        <f>IFERROR(__xludf.DUMMYFUNCTION("IFERROR(ABS(O2510-AVERAGE(FILTER(O2510:O6578,AA2510:AA6578=""Neighbor""))) / STDEV(FILTER(O2510:O6578, AA2510:AA6578 =""Neighbor"")), """")"),1.3120725150276749)</f>
        <v>1.312072515</v>
      </c>
      <c r="AD2510" s="4">
        <f>IFERROR(__xludf.DUMMYFUNCTION("IFERROR(ABS(P2510-AVERAGE(FILTER(O2510:P6578,AA2510:AA6578=""Neighbor""))) / STDEV(FILTER(P2510:P6578, AA2510:AA6578 =""Neighbor"")), """")"),0.5973306237712322)</f>
        <v>0.5973306238</v>
      </c>
      <c r="AE2510" s="2">
        <f>IFERROR(__xludf.DUMMYFUNCTION("IFERROR(ABS(Q2510-AVERAGE(FILTER(Q2510:Q6578,AA2510:AA6578=""Neighbor""))) / STDEV(FILTER(Q2510:Q6578, AA2510:AA6578 =""Neighbor"")), """")"),5.120017231330709)</f>
        <v>5.120017231</v>
      </c>
      <c r="AF2510" s="2">
        <f>IFERROR(__xludf.DUMMYFUNCTION("IFERROR(ABS(R2510-AVERAGE(FILTER(R2510:R6578,AA2510:AA6578=""Neighbor""))) / STDEV(FILTER(R2510:R6578, AA2510:AA6578 =""Neighbor"")), """")"),0.3315575158560232)</f>
        <v>0.3315575159</v>
      </c>
    </row>
    <row r="2511">
      <c r="A2511" s="2" t="s">
        <v>28</v>
      </c>
      <c r="B2511" s="2" t="s">
        <v>10071</v>
      </c>
      <c r="C2511" s="2" t="s">
        <v>10290</v>
      </c>
      <c r="D2511" s="2" t="s">
        <v>10295</v>
      </c>
      <c r="E2511" s="2" t="s">
        <v>10296</v>
      </c>
      <c r="F2511" s="2">
        <v>192.0</v>
      </c>
      <c r="G2511" s="2">
        <v>723.0</v>
      </c>
      <c r="H2511" s="2" t="b">
        <v>1</v>
      </c>
      <c r="I2511" s="2">
        <v>-1.0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s">
        <v>33</v>
      </c>
      <c r="O2511" s="2">
        <v>14.0</v>
      </c>
      <c r="P2511" s="2">
        <v>13.0</v>
      </c>
      <c r="Q2511" s="2">
        <v>26.0</v>
      </c>
      <c r="R2511" s="2">
        <v>0.0</v>
      </c>
      <c r="S2511" s="3" t="s">
        <v>10297</v>
      </c>
      <c r="T2511" s="2" t="s">
        <v>10298</v>
      </c>
      <c r="Y2511" s="4" t="str">
        <f>IFERROR(__xludf.DUMMYFUNCTION("""COMPUTED_VALUE"""),"6.8448475")</f>
        <v>6.8448475</v>
      </c>
      <c r="Z2511" s="4" t="str">
        <f>IFERROR(__xludf.DUMMYFUNCTION("""COMPUTED_VALUE"""),"3.6401475")</f>
        <v>3.6401475</v>
      </c>
      <c r="AA2511" s="4" t="str">
        <f t="shared" si="1"/>
        <v>Neighbor</v>
      </c>
      <c r="AC2511" s="4">
        <f>IFERROR(__xludf.DUMMYFUNCTION("IFERROR(ABS(O2511-AVERAGE(FILTER(O2511:O6579,AA2511:AA6579=""Neighbor""))) / STDEV(FILTER(O2511:O6579, AA2511:AA6579 =""Neighbor"")), """")"),1.0259815177888276)</f>
        <v>1.025981518</v>
      </c>
      <c r="AD2511" s="4">
        <f>IFERROR(__xludf.DUMMYFUNCTION("IFERROR(ABS(P2511-AVERAGE(FILTER(O2511:P6579,AA2511:AA6579=""Neighbor""))) / STDEV(FILTER(P2511:P6579, AA2511:AA6579 =""Neighbor"")), """")"),0.8878796262180227)</f>
        <v>0.8878796262</v>
      </c>
      <c r="AE2511" s="2">
        <f>IFERROR(__xludf.DUMMYFUNCTION("IFERROR(ABS(Q2511-AVERAGE(FILTER(Q2511:Q6579,AA2511:AA6579=""Neighbor""))) / STDEV(FILTER(Q2511:Q6579, AA2511:AA6579 =""Neighbor"")), """")"),0.5686399858373267)</f>
        <v>0.5686399858</v>
      </c>
      <c r="AF2511" s="2">
        <f>IFERROR(__xludf.DUMMYFUNCTION("IFERROR(ABS(R2511-AVERAGE(FILTER(R2511:R6579,AA2511:AA6579=""Neighbor""))) / STDEV(FILTER(R2511:R6579, AA2511:AA6579 =""Neighbor"")), """")"),0.3318528790906996)</f>
        <v>0.3318528791</v>
      </c>
    </row>
    <row r="2512">
      <c r="A2512" s="2" t="s">
        <v>28</v>
      </c>
      <c r="B2512" s="2" t="s">
        <v>10071</v>
      </c>
      <c r="C2512" s="2" t="s">
        <v>10290</v>
      </c>
      <c r="D2512" s="2" t="s">
        <v>10299</v>
      </c>
      <c r="E2512" s="2" t="s">
        <v>10300</v>
      </c>
      <c r="F2512" s="2">
        <v>182.0</v>
      </c>
      <c r="G2512" s="2">
        <v>638.0</v>
      </c>
      <c r="H2512" s="2" t="b">
        <v>1</v>
      </c>
      <c r="I2512" s="2">
        <v>-1.0</v>
      </c>
      <c r="J2512" s="2" t="b">
        <v>0</v>
      </c>
      <c r="K2512" s="2" t="b">
        <v>0</v>
      </c>
      <c r="L2512" s="2" t="b">
        <v>0</v>
      </c>
      <c r="M2512" s="2" t="b">
        <v>0</v>
      </c>
      <c r="N2512" s="2" t="s">
        <v>33</v>
      </c>
      <c r="O2512" s="2">
        <v>103.0</v>
      </c>
      <c r="P2512" s="2">
        <v>3.0</v>
      </c>
      <c r="Q2512" s="2">
        <v>66.0</v>
      </c>
      <c r="R2512" s="2">
        <v>0.0</v>
      </c>
      <c r="S2512" s="3" t="s">
        <v>10301</v>
      </c>
      <c r="T2512" s="2" t="s">
        <v>10302</v>
      </c>
      <c r="Y2512" s="4" t="str">
        <f>IFERROR(__xludf.DUMMYFUNCTION("""COMPUTED_VALUE"""),"6.8448475")</f>
        <v>6.8448475</v>
      </c>
      <c r="Z2512" s="4" t="str">
        <f>IFERROR(__xludf.DUMMYFUNCTION("""COMPUTED_VALUE"""),"3.6401475")</f>
        <v>3.6401475</v>
      </c>
      <c r="AA2512" s="4" t="str">
        <f t="shared" si="1"/>
        <v>Neighbor</v>
      </c>
      <c r="AC2512" s="4">
        <f>IFERROR(__xludf.DUMMYFUNCTION("IFERROR(ABS(O2512-AVERAGE(FILTER(O2512:O6580,AA2512:AA6580=""Neighbor""))) / STDEV(FILTER(O2512:O6580, AA2512:AA6580 =""Neighbor"")), """")"),1.513198719368021)</f>
        <v>1.513198719</v>
      </c>
      <c r="AD2512" s="4">
        <f>IFERROR(__xludf.DUMMYFUNCTION("IFERROR(ABS(P2512-AVERAGE(FILTER(O2512:P6580,AA2512:AA6580=""Neighbor""))) / STDEV(FILTER(P2512:P6580, AA2512:AA6580 =""Neighbor"")), """")"),1.3063105093389429)</f>
        <v>1.306310509</v>
      </c>
      <c r="AE2512" s="2">
        <f>IFERROR(__xludf.DUMMYFUNCTION("IFERROR(ABS(Q2512-AVERAGE(FILTER(Q2512:Q6580,AA2512:AA6580=""Neighbor""))) / STDEV(FILTER(Q2512:Q6580, AA2512:AA6580 =""Neighbor"")), """")"),2.817266809056943)</f>
        <v>2.817266809</v>
      </c>
      <c r="AF2512" s="2">
        <f>IFERROR(__xludf.DUMMYFUNCTION("IFERROR(ABS(R2512-AVERAGE(FILTER(R2512:R6580,AA2512:AA6580=""Neighbor""))) / STDEV(FILTER(R2512:R6580, AA2512:AA6580 =""Neighbor"")), """")"),0.33214903324515016)</f>
        <v>0.3321490332</v>
      </c>
    </row>
    <row r="2513">
      <c r="A2513" s="2" t="s">
        <v>28</v>
      </c>
      <c r="B2513" s="2" t="s">
        <v>10071</v>
      </c>
      <c r="C2513" s="2" t="s">
        <v>10290</v>
      </c>
      <c r="D2513" s="2" t="s">
        <v>10303</v>
      </c>
      <c r="E2513" s="2" t="s">
        <v>10304</v>
      </c>
      <c r="F2513" s="2">
        <v>232.0</v>
      </c>
      <c r="G2513" s="2">
        <v>764.0</v>
      </c>
      <c r="H2513" s="2" t="b">
        <v>1</v>
      </c>
      <c r="I2513" s="2">
        <v>-1.0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s">
        <v>33</v>
      </c>
      <c r="O2513" s="2">
        <v>120.0</v>
      </c>
      <c r="P2513" s="2">
        <v>5.0</v>
      </c>
      <c r="Q2513" s="2">
        <v>84.0</v>
      </c>
      <c r="R2513" s="2">
        <v>1.0</v>
      </c>
      <c r="S2513" s="3" t="s">
        <v>10305</v>
      </c>
      <c r="T2513" s="2" t="s">
        <v>10306</v>
      </c>
      <c r="Y2513" s="4" t="str">
        <f>IFERROR(__xludf.DUMMYFUNCTION("""COMPUTED_VALUE"""),"6.8448475")</f>
        <v>6.8448475</v>
      </c>
      <c r="Z2513" s="4" t="str">
        <f>IFERROR(__xludf.DUMMYFUNCTION("""COMPUTED_VALUE"""),"3.6401475")</f>
        <v>3.6401475</v>
      </c>
      <c r="AA2513" s="4" t="str">
        <f t="shared" si="1"/>
        <v>Neighbor</v>
      </c>
      <c r="AC2513" s="4">
        <f>IFERROR(__xludf.DUMMYFUNCTION("IFERROR(ABS(O2513-AVERAGE(FILTER(O2513:O6581,AA2513:AA6581=""Neighbor""))) / STDEV(FILTER(O2513:O6581, AA2513:AA6581 =""Neighbor"")), """")"),2.0030694005538194)</f>
        <v>2.003069401</v>
      </c>
      <c r="AD2513" s="4">
        <f>IFERROR(__xludf.DUMMYFUNCTION("IFERROR(ABS(P2513-AVERAGE(FILTER(O2513:P6581,AA2513:AA6581=""Neighbor""))) / STDEV(FILTER(P2513:P6581, AA2513:AA6581 =""Neighbor"")), """")"),1.2209369145616924)</f>
        <v>1.220936915</v>
      </c>
      <c r="AE2513" s="2">
        <f>IFERROR(__xludf.DUMMYFUNCTION("IFERROR(ABS(Q2513-AVERAGE(FILTER(Q2513:Q6581,AA2513:AA6581=""Neighbor""))) / STDEV(FILTER(Q2513:Q6581, AA2513:AA6581 =""Neighbor"")), """")"),3.85512313417811)</f>
        <v>3.855123134</v>
      </c>
      <c r="AF2513" s="2">
        <f>IFERROR(__xludf.DUMMYFUNCTION("IFERROR(ABS(R2513-AVERAGE(FILTER(R2513:R6581,AA2513:AA6581=""Neighbor""))) / STDEV(FILTER(R2513:R6581, AA2513:AA6581 =""Neighbor"")), """")"),0.832054067583452)</f>
        <v>0.8320540676</v>
      </c>
    </row>
    <row r="2514">
      <c r="A2514" s="2" t="s">
        <v>28</v>
      </c>
      <c r="B2514" s="2" t="s">
        <v>10071</v>
      </c>
      <c r="C2514" s="2" t="s">
        <v>10290</v>
      </c>
      <c r="D2514" s="2" t="s">
        <v>10307</v>
      </c>
      <c r="E2514" s="2" t="s">
        <v>10308</v>
      </c>
      <c r="F2514" s="2">
        <v>188.0</v>
      </c>
      <c r="G2514" s="2">
        <v>624.0</v>
      </c>
      <c r="H2514" s="2" t="b">
        <v>1</v>
      </c>
      <c r="I2514" s="2">
        <v>-1.0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s">
        <v>33</v>
      </c>
      <c r="O2514" s="2">
        <v>87.0</v>
      </c>
      <c r="P2514" s="2">
        <v>5.0</v>
      </c>
      <c r="Q2514" s="2">
        <v>92.0</v>
      </c>
      <c r="R2514" s="2">
        <v>1.0</v>
      </c>
      <c r="S2514" s="3" t="s">
        <v>10309</v>
      </c>
      <c r="T2514" s="2" t="s">
        <v>10310</v>
      </c>
      <c r="Y2514" s="4" t="str">
        <f>IFERROR(__xludf.DUMMYFUNCTION("""COMPUTED_VALUE"""),"6.8448475")</f>
        <v>6.8448475</v>
      </c>
      <c r="Z2514" s="4" t="str">
        <f>IFERROR(__xludf.DUMMYFUNCTION("""COMPUTED_VALUE"""),"3.6401475")</f>
        <v>3.6401475</v>
      </c>
      <c r="AA2514" s="4" t="str">
        <f t="shared" si="1"/>
        <v>Neighbor</v>
      </c>
      <c r="AC2514" s="4">
        <f>IFERROR(__xludf.DUMMYFUNCTION("IFERROR(ABS(O2514-AVERAGE(FILTER(O2514:O6582,AA2514:AA6582=""Neighbor""))) / STDEV(FILTER(O2514:O6582, AA2514:AA6582 =""Neighbor"")), """")"),1.0658026859471657)</f>
        <v>1.065802686</v>
      </c>
      <c r="AD2514" s="4">
        <f>IFERROR(__xludf.DUMMYFUNCTION("IFERROR(ABS(P2514-AVERAGE(FILTER(O2514:P6582,AA2514:AA6582=""Neighbor""))) / STDEV(FILTER(P2514:P6582, AA2514:AA6582 =""Neighbor"")), """")"),1.2183625346357259)</f>
        <v>1.218362535</v>
      </c>
      <c r="AE2514" s="2">
        <f>IFERROR(__xludf.DUMMYFUNCTION("IFERROR(ABS(Q2514-AVERAGE(FILTER(Q2514:Q6582,AA2514:AA6582=""Neighbor""))) / STDEV(FILTER(Q2514:Q6582, AA2514:AA6582 =""Neighbor"")), """")"),4.362793589952434)</f>
        <v>4.36279359</v>
      </c>
      <c r="AF2514" s="2">
        <f>IFERROR(__xludf.DUMMYFUNCTION("IFERROR(ABS(R2514-AVERAGE(FILTER(R2514:R6582,AA2514:AA6582=""Neighbor""))) / STDEV(FILTER(R2514:R6582, AA2514:AA6582 =""Neighbor"")), """")"),0.833191625734833)</f>
        <v>0.8331916257</v>
      </c>
    </row>
    <row r="2515">
      <c r="A2515" s="2" t="s">
        <v>28</v>
      </c>
      <c r="B2515" s="2" t="s">
        <v>10071</v>
      </c>
      <c r="C2515" s="2" t="s">
        <v>10290</v>
      </c>
      <c r="D2515" s="2" t="s">
        <v>10311</v>
      </c>
      <c r="E2515" s="2" t="s">
        <v>10312</v>
      </c>
      <c r="F2515" s="2">
        <v>209.0</v>
      </c>
      <c r="G2515" s="2">
        <v>574.0</v>
      </c>
      <c r="H2515" s="2" t="b">
        <v>1</v>
      </c>
      <c r="I2515" s="2">
        <v>-1.0</v>
      </c>
      <c r="J2515" s="2" t="b">
        <v>0</v>
      </c>
      <c r="K2515" s="2" t="b">
        <v>0</v>
      </c>
      <c r="L2515" s="2" t="b">
        <v>0</v>
      </c>
      <c r="M2515" s="2" t="b">
        <v>0</v>
      </c>
      <c r="N2515" s="2" t="s">
        <v>33</v>
      </c>
      <c r="O2515" s="2">
        <v>145.0</v>
      </c>
      <c r="P2515" s="2">
        <v>4.0</v>
      </c>
      <c r="Q2515" s="2">
        <v>54.0</v>
      </c>
      <c r="R2515" s="2">
        <v>0.0</v>
      </c>
      <c r="S2515" s="3" t="s">
        <v>10313</v>
      </c>
      <c r="T2515" s="2" t="s">
        <v>10314</v>
      </c>
      <c r="Y2515" s="4" t="str">
        <f>IFERROR(__xludf.DUMMYFUNCTION("""COMPUTED_VALUE"""),"6.8448475")</f>
        <v>6.8448475</v>
      </c>
      <c r="Z2515" s="4" t="str">
        <f>IFERROR(__xludf.DUMMYFUNCTION("""COMPUTED_VALUE"""),"3.6401475")</f>
        <v>3.6401475</v>
      </c>
      <c r="AA2515" s="4" t="str">
        <f t="shared" si="1"/>
        <v>Neighbor</v>
      </c>
      <c r="AC2515" s="4">
        <f>IFERROR(__xludf.DUMMYFUNCTION("IFERROR(ABS(O2515-AVERAGE(FILTER(O2515:O6583,AA2515:AA6583=""Neighbor""))) / STDEV(FILTER(O2515:O6583, AA2515:AA6583 =""Neighbor"")), """")"),2.7294808201896577)</f>
        <v>2.72948082</v>
      </c>
      <c r="AD2515" s="4">
        <f>IFERROR(__xludf.DUMMYFUNCTION("IFERROR(ABS(P2515-AVERAGE(FILTER(O2515:P6583,AA2515:AA6583=""Neighbor""))) / STDEV(FILTER(P2515:P6583, AA2515:AA6583 =""Neighbor"")), """")"),1.2586035609085369)</f>
        <v>1.258603561</v>
      </c>
      <c r="AE2515" s="2">
        <f>IFERROR(__xludf.DUMMYFUNCTION("IFERROR(ABS(Q2515-AVERAGE(FILTER(Q2515:Q6583,AA2515:AA6583=""Neighbor""))) / STDEV(FILTER(Q2515:Q6583, AA2515:AA6583 =""Neighbor"")), """")"),2.2304941794958557)</f>
        <v>2.230494179</v>
      </c>
      <c r="AF2515" s="2">
        <f>IFERROR(__xludf.DUMMYFUNCTION("IFERROR(ABS(R2515-AVERAGE(FILTER(R2515:R6583,AA2515:AA6583=""Neighbor""))) / STDEV(FILTER(R2515:R6583, AA2515:AA6583 =""Neighbor"")), """")"),0.3295901271911389)</f>
        <v>0.3295901272</v>
      </c>
    </row>
    <row r="2516">
      <c r="A2516" s="2" t="s">
        <v>28</v>
      </c>
      <c r="B2516" s="2" t="s">
        <v>10071</v>
      </c>
      <c r="C2516" s="2" t="s">
        <v>10315</v>
      </c>
      <c r="D2516" s="2" t="s">
        <v>10316</v>
      </c>
      <c r="E2516" s="2" t="s">
        <v>10317</v>
      </c>
      <c r="F2516" s="2">
        <v>208.0</v>
      </c>
      <c r="G2516" s="2">
        <v>905.0</v>
      </c>
      <c r="H2516" s="2" t="b">
        <v>1</v>
      </c>
      <c r="I2516" s="2">
        <v>-1.0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s">
        <v>33</v>
      </c>
      <c r="O2516" s="2">
        <v>116.0</v>
      </c>
      <c r="P2516" s="2">
        <v>20.0</v>
      </c>
      <c r="Q2516" s="2">
        <v>64.0</v>
      </c>
      <c r="R2516" s="2">
        <v>0.0</v>
      </c>
      <c r="S2516" s="3" t="s">
        <v>10318</v>
      </c>
      <c r="T2516" s="2" t="s">
        <v>10319</v>
      </c>
      <c r="Y2516" s="4" t="str">
        <f>IFERROR(__xludf.DUMMYFUNCTION("""COMPUTED_VALUE"""),"6.8449432")</f>
        <v>6.8449432</v>
      </c>
      <c r="Z2516" s="4" t="str">
        <f>IFERROR(__xludf.DUMMYFUNCTION("""COMPUTED_VALUE"""),"3.6450899")</f>
        <v>3.6450899</v>
      </c>
      <c r="AA2516" s="4" t="str">
        <f t="shared" si="1"/>
        <v>Neighbor</v>
      </c>
      <c r="AC2516" s="4">
        <f>IFERROR(__xludf.DUMMYFUNCTION("IFERROR(ABS(O2516-AVERAGE(FILTER(O2516:O6584,AA2516:AA6584=""Neighbor""))) / STDEV(FILTER(O2516:O6584, AA2516:AA6584 =""Neighbor"")), """")"),1.9130483103432812)</f>
        <v>1.91304831</v>
      </c>
      <c r="AD2516" s="4">
        <f>IFERROR(__xludf.DUMMYFUNCTION("IFERROR(ABS(P2516-AVERAGE(FILTER(O2516:P6584,AA2516:AA6584=""Neighbor""))) / STDEV(FILTER(P2516:P6584, AA2516:AA6584 =""Neighbor"")), """")"),0.5882822603072215)</f>
        <v>0.5882822603</v>
      </c>
      <c r="AE2516" s="2">
        <f>IFERROR(__xludf.DUMMYFUNCTION("IFERROR(ABS(Q2516-AVERAGE(FILTER(Q2516:Q6584,AA2516:AA6584=""Neighbor""))) / STDEV(FILTER(Q2516:Q6584, AA2516:AA6584 =""Neighbor"")), """")"),2.8234551616701173)</f>
        <v>2.823455162</v>
      </c>
      <c r="AF2516" s="2">
        <f>IFERROR(__xludf.DUMMYFUNCTION("IFERROR(ABS(R2516-AVERAGE(FILTER(R2516:R6584,AA2516:AA6584=""Neighbor""))) / STDEV(FILTER(R2516:R6584, AA2516:AA6584 =""Neighbor"")), """")"),0.329885765046489)</f>
        <v>0.329885765</v>
      </c>
    </row>
    <row r="2517">
      <c r="A2517" s="2" t="s">
        <v>28</v>
      </c>
      <c r="B2517" s="2" t="s">
        <v>10071</v>
      </c>
      <c r="C2517" s="2" t="s">
        <v>10315</v>
      </c>
      <c r="D2517" s="2" t="s">
        <v>10320</v>
      </c>
      <c r="E2517" s="2" t="s">
        <v>10321</v>
      </c>
      <c r="F2517" s="2">
        <v>150.0</v>
      </c>
      <c r="G2517" s="2">
        <v>569.0</v>
      </c>
      <c r="H2517" s="2" t="b">
        <v>1</v>
      </c>
      <c r="I2517" s="2">
        <v>-1.0</v>
      </c>
      <c r="J2517" s="2" t="b">
        <v>0</v>
      </c>
      <c r="K2517" s="2" t="b">
        <v>0</v>
      </c>
      <c r="L2517" s="2" t="b">
        <v>0</v>
      </c>
      <c r="M2517" s="2" t="b">
        <v>0</v>
      </c>
      <c r="N2517" s="2" t="s">
        <v>33</v>
      </c>
      <c r="O2517" s="2">
        <v>112.0</v>
      </c>
      <c r="P2517" s="2">
        <v>1.0</v>
      </c>
      <c r="Q2517" s="2">
        <v>31.0</v>
      </c>
      <c r="R2517" s="2">
        <v>0.0</v>
      </c>
      <c r="S2517" s="3" t="s">
        <v>10322</v>
      </c>
      <c r="T2517" s="2" t="s">
        <v>10323</v>
      </c>
      <c r="Y2517" s="4" t="str">
        <f>IFERROR(__xludf.DUMMYFUNCTION("""COMPUTED_VALUE"""),"6.8421529")</f>
        <v>6.8421529</v>
      </c>
      <c r="Z2517" s="4" t="str">
        <f>IFERROR(__xludf.DUMMYFUNCTION("""COMPUTED_VALUE"""),"3.6426815")</f>
        <v>3.6426815</v>
      </c>
      <c r="AA2517" s="4" t="str">
        <f t="shared" si="1"/>
        <v>Neighbor</v>
      </c>
      <c r="AC2517" s="4">
        <f>IFERROR(__xludf.DUMMYFUNCTION("IFERROR(ABS(O2517-AVERAGE(FILTER(O2517:O6585,AA2517:AA6585=""Neighbor""))) / STDEV(FILTER(O2517:O6585, AA2517:AA6585 =""Neighbor"")), """")"),1.8048545049728826)</f>
        <v>1.804854505</v>
      </c>
      <c r="AD2517" s="4">
        <f>IFERROR(__xludf.DUMMYFUNCTION("IFERROR(ABS(P2517-AVERAGE(FILTER(O2517:P6585,AA2517:AA6585=""Neighbor""))) / STDEV(FILTER(P2517:P6585, AA2517:AA6585 =""Neighbor"")), """")"),1.3768844006635754)</f>
        <v>1.376884401</v>
      </c>
      <c r="AE2517" s="2">
        <f>IFERROR(__xludf.DUMMYFUNCTION("IFERROR(ABS(Q2517-AVERAGE(FILTER(Q2517:Q6585,AA2517:AA6585=""Neighbor""))) / STDEV(FILTER(Q2517:Q6585, AA2517:AA6585 =""Neighbor"")), """")"),0.9123452998884477)</f>
        <v>0.9123452999</v>
      </c>
      <c r="AF2517" s="2">
        <f>IFERROR(__xludf.DUMMYFUNCTION("IFERROR(ABS(R2517-AVERAGE(FILTER(R2517:R6585,AA2517:AA6585=""Neighbor""))) / STDEV(FILTER(R2517:R6585, AA2517:AA6585 =""Neighbor"")), """")"),0.33018220003255516)</f>
        <v>0.3301822</v>
      </c>
    </row>
    <row r="2518">
      <c r="A2518" s="2" t="s">
        <v>28</v>
      </c>
      <c r="B2518" s="2" t="s">
        <v>10071</v>
      </c>
      <c r="C2518" s="2" t="s">
        <v>10315</v>
      </c>
      <c r="D2518" s="2" t="s">
        <v>10324</v>
      </c>
      <c r="E2518" s="2" t="s">
        <v>10325</v>
      </c>
      <c r="F2518" s="2">
        <v>117.0</v>
      </c>
      <c r="G2518" s="2">
        <v>545.0</v>
      </c>
      <c r="H2518" s="2" t="b">
        <v>1</v>
      </c>
      <c r="I2518" s="2">
        <v>-1.0</v>
      </c>
      <c r="J2518" s="2" t="b">
        <v>0</v>
      </c>
      <c r="K2518" s="2" t="b">
        <v>1</v>
      </c>
      <c r="L2518" s="2" t="b">
        <v>0</v>
      </c>
      <c r="M2518" s="2" t="b">
        <v>0</v>
      </c>
      <c r="N2518" s="2" t="s">
        <v>33</v>
      </c>
      <c r="O2518" s="2">
        <v>61.0</v>
      </c>
      <c r="P2518" s="2">
        <v>9.0</v>
      </c>
      <c r="Q2518" s="2">
        <v>41.0</v>
      </c>
      <c r="R2518" s="2">
        <v>0.0</v>
      </c>
      <c r="S2518" s="3" t="s">
        <v>10326</v>
      </c>
      <c r="T2518" s="2" t="s">
        <v>10327</v>
      </c>
      <c r="Y2518" s="4" t="str">
        <f>IFERROR(__xludf.DUMMYFUNCTION("""COMPUTED_VALUE"""),"6.8421529")</f>
        <v>6.8421529</v>
      </c>
      <c r="Z2518" s="4" t="str">
        <f>IFERROR(__xludf.DUMMYFUNCTION("""COMPUTED_VALUE"""),"3.6426815")</f>
        <v>3.6426815</v>
      </c>
      <c r="AA2518" s="4" t="str">
        <f t="shared" si="1"/>
        <v>Neighbor</v>
      </c>
      <c r="AC2518" s="4">
        <f>IFERROR(__xludf.DUMMYFUNCTION("IFERROR(ABS(O2518-AVERAGE(FILTER(O2518:O6586,AA2518:AA6586=""Neighbor""))) / STDEV(FILTER(O2518:O6586, AA2518:AA6586 =""Neighbor"")), """")"),0.3362216481056457)</f>
        <v>0.3362216481</v>
      </c>
      <c r="AD2518" s="4">
        <f>IFERROR(__xludf.DUMMYFUNCTION("IFERROR(ABS(P2518-AVERAGE(FILTER(O2518:P6586,AA2518:AA6586=""Neighbor""))) / STDEV(FILTER(P2518:P6586, AA2518:AA6586 =""Neighbor"")), """")"),1.0417666350675359)</f>
        <v>1.041766635</v>
      </c>
      <c r="AE2518" s="2">
        <f>IFERROR(__xludf.DUMMYFUNCTION("IFERROR(ABS(Q2518-AVERAGE(FILTER(Q2518:Q6586,AA2518:AA6586=""Neighbor""))) / STDEV(FILTER(Q2518:Q6586, AA2518:AA6586 =""Neighbor"")), """")"),1.4990473966221192)</f>
        <v>1.499047397</v>
      </c>
      <c r="AF2518" s="2">
        <f>IFERROR(__xludf.DUMMYFUNCTION("IFERROR(ABS(R2518-AVERAGE(FILTER(R2518:R6586,AA2518:AA6586=""Neighbor""))) / STDEV(FILTER(R2518:R6586, AA2518:AA6586 =""Neighbor"")), """")"),0.33047943573857747)</f>
        <v>0.3304794357</v>
      </c>
    </row>
    <row r="2519">
      <c r="A2519" s="2" t="s">
        <v>28</v>
      </c>
      <c r="B2519" s="2" t="s">
        <v>10071</v>
      </c>
      <c r="C2519" s="2" t="s">
        <v>10315</v>
      </c>
      <c r="D2519" s="2" t="s">
        <v>10328</v>
      </c>
      <c r="E2519" s="2" t="s">
        <v>10329</v>
      </c>
      <c r="F2519" s="2">
        <v>124.0</v>
      </c>
      <c r="G2519" s="2">
        <v>336.0</v>
      </c>
      <c r="H2519" s="2" t="b">
        <v>1</v>
      </c>
      <c r="I2519" s="2">
        <v>-1.0</v>
      </c>
      <c r="J2519" s="2" t="b">
        <v>0</v>
      </c>
      <c r="K2519" s="2" t="b">
        <v>0</v>
      </c>
      <c r="L2519" s="2" t="b">
        <v>0</v>
      </c>
      <c r="M2519" s="2" t="b">
        <v>0</v>
      </c>
      <c r="N2519" s="2" t="s">
        <v>33</v>
      </c>
      <c r="O2519" s="2">
        <v>86.0</v>
      </c>
      <c r="P2519" s="2">
        <v>10.0</v>
      </c>
      <c r="Q2519" s="2">
        <v>13.0</v>
      </c>
      <c r="R2519" s="2">
        <v>0.0</v>
      </c>
      <c r="S2519" s="3" t="s">
        <v>10330</v>
      </c>
      <c r="T2519" s="2" t="s">
        <v>10331</v>
      </c>
      <c r="Y2519" s="4" t="str">
        <f>IFERROR(__xludf.DUMMYFUNCTION("""COMPUTED_VALUE"""),"6.8421529")</f>
        <v>6.8421529</v>
      </c>
      <c r="Z2519" s="4" t="str">
        <f>IFERROR(__xludf.DUMMYFUNCTION("""COMPUTED_VALUE"""),"3.6426815")</f>
        <v>3.6426815</v>
      </c>
      <c r="AA2519" s="4" t="str">
        <f t="shared" si="1"/>
        <v>Not Neighbor</v>
      </c>
      <c r="AC2519" s="4">
        <f>IFERROR(__xludf.DUMMYFUNCTION("IFERROR(ABS(O2519-AVERAGE(FILTER(O2519:O6587,AA2519:AA6587=""Neighbor""))) / STDEV(FILTER(O2519:O6587, AA2519:AA6587 =""Neighbor"")), """")"),1.0589976432346435)</f>
        <v>1.058997643</v>
      </c>
      <c r="AD2519" s="4">
        <f>IFERROR(__xludf.DUMMYFUNCTION("IFERROR(ABS(P2519-AVERAGE(FILTER(O2519:P6587,AA2519:AA6587=""Neighbor""))) / STDEV(FILTER(P2519:P6587, AA2519:AA6587 =""Neighbor"")), """")"),0.9993821775761634)</f>
        <v>0.9993821776</v>
      </c>
      <c r="AE2519" s="2">
        <f>IFERROR(__xludf.DUMMYFUNCTION("IFERROR(ABS(Q2519-AVERAGE(FILTER(Q2519:Q6587,AA2519:AA6587=""Neighbor""))) / STDEV(FILTER(Q2519:Q6587, AA2519:AA6587 =""Neighbor"")), """")"),0.13761011084144298)</f>
        <v>0.1376101108</v>
      </c>
      <c r="AF2519" s="2">
        <f>IFERROR(__xludf.DUMMYFUNCTION("IFERROR(ABS(R2519-AVERAGE(FILTER(R2519:R6587,AA2519:AA6587=""Neighbor""))) / STDEV(FILTER(R2519:R6587, AA2519:AA6587 =""Neighbor"")), """")"),0.3307774757764658)</f>
        <v>0.3307774758</v>
      </c>
    </row>
    <row r="2520">
      <c r="A2520" s="2" t="s">
        <v>28</v>
      </c>
      <c r="B2520" s="2" t="s">
        <v>10071</v>
      </c>
      <c r="C2520" s="2" t="s">
        <v>10315</v>
      </c>
      <c r="D2520" s="2" t="s">
        <v>10332</v>
      </c>
      <c r="E2520" s="2" t="s">
        <v>10333</v>
      </c>
      <c r="F2520" s="2">
        <v>210.0</v>
      </c>
      <c r="G2520" s="2">
        <v>547.0</v>
      </c>
      <c r="H2520" s="2" t="b">
        <v>1</v>
      </c>
      <c r="I2520" s="2">
        <v>-1.0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s">
        <v>33</v>
      </c>
      <c r="O2520" s="2">
        <v>135.0</v>
      </c>
      <c r="P2520" s="2">
        <v>3.0</v>
      </c>
      <c r="Q2520" s="2">
        <v>66.0</v>
      </c>
      <c r="R2520" s="2">
        <v>1.0</v>
      </c>
      <c r="S2520" s="3" t="s">
        <v>10334</v>
      </c>
      <c r="T2520" s="2" t="s">
        <v>10335</v>
      </c>
      <c r="Y2520" s="4" t="str">
        <f>IFERROR(__xludf.DUMMYFUNCTION("""COMPUTED_VALUE"""),"6.8528605")</f>
        <v>6.8528605</v>
      </c>
      <c r="Z2520" s="4" t="str">
        <f>IFERROR(__xludf.DUMMYFUNCTION("""COMPUTED_VALUE"""),"3.6380786")</f>
        <v>3.6380786</v>
      </c>
      <c r="AA2520" s="4" t="str">
        <f t="shared" si="1"/>
        <v>Not Neighbor</v>
      </c>
      <c r="AC2520" s="4">
        <f>IFERROR(__xludf.DUMMYFUNCTION("IFERROR(ABS(O2520-AVERAGE(FILTER(O2520:O6588,AA2520:AA6588=""Neighbor""))) / STDEV(FILTER(O2520:O6588, AA2520:AA6588 =""Neighbor"")), """")"),2.4750422252060873)</f>
        <v>2.475042225</v>
      </c>
      <c r="AD2520" s="4">
        <f>IFERROR(__xludf.DUMMYFUNCTION("IFERROR(ABS(P2520-AVERAGE(FILTER(O2520:P6588,AA2520:AA6588=""Neighbor""))) / STDEV(FILTER(P2520:P6588, AA2520:AA6588 =""Neighbor"")), """")"),1.290631472343071)</f>
        <v>1.290631472</v>
      </c>
      <c r="AE2520" s="2">
        <f>IFERROR(__xludf.DUMMYFUNCTION("IFERROR(ABS(Q2520-AVERAGE(FILTER(Q2520:Q6588,AA2520:AA6588=""Neighbor""))) / STDEV(FILTER(Q2520:Q6588, AA2520:AA6588 =""Neighbor"")), """")"),2.9678740965110104)</f>
        <v>2.967874097</v>
      </c>
      <c r="AF2520" s="2">
        <f>IFERROR(__xludf.DUMMYFUNCTION("IFERROR(ABS(R2520-AVERAGE(FILTER(R2520:R6588,AA2520:AA6588=""Neighbor""))) / STDEV(FILTER(R2520:R6588, AA2520:AA6588 =""Neighbor"")), """")"),0.8297789249478199)</f>
        <v>0.8297789249</v>
      </c>
    </row>
    <row r="2521">
      <c r="A2521" s="2" t="s">
        <v>28</v>
      </c>
      <c r="B2521" s="2" t="s">
        <v>10071</v>
      </c>
      <c r="C2521" s="2" t="s">
        <v>10315</v>
      </c>
      <c r="D2521" s="2" t="s">
        <v>10336</v>
      </c>
      <c r="E2521" s="2" t="s">
        <v>10337</v>
      </c>
      <c r="F2521" s="2">
        <v>159.0</v>
      </c>
      <c r="G2521" s="2">
        <v>672.0</v>
      </c>
      <c r="H2521" s="2" t="b">
        <v>1</v>
      </c>
      <c r="I2521" s="2">
        <v>-1.0</v>
      </c>
      <c r="J2521" s="2" t="b">
        <v>0</v>
      </c>
      <c r="K2521" s="2" t="b">
        <v>0</v>
      </c>
      <c r="L2521" s="2" t="b">
        <v>0</v>
      </c>
      <c r="M2521" s="2" t="b">
        <v>0</v>
      </c>
      <c r="N2521" s="2" t="s">
        <v>33</v>
      </c>
      <c r="O2521" s="2">
        <v>81.0</v>
      </c>
      <c r="P2521" s="2">
        <v>16.0</v>
      </c>
      <c r="Q2521" s="2">
        <v>54.0</v>
      </c>
      <c r="R2521" s="2">
        <v>0.0</v>
      </c>
      <c r="S2521" s="3" t="s">
        <v>10338</v>
      </c>
      <c r="T2521" s="2" t="s">
        <v>10339</v>
      </c>
      <c r="Y2521" s="4" t="str">
        <f>IFERROR(__xludf.DUMMYFUNCTION("""COMPUTED_VALUE"""),"6.8412061")</f>
        <v>6.8412061</v>
      </c>
      <c r="Z2521" s="4" t="str">
        <f>IFERROR(__xludf.DUMMYFUNCTION("""COMPUTED_VALUE"""),"3.6421575")</f>
        <v>3.6421575</v>
      </c>
      <c r="AA2521" s="4" t="str">
        <f t="shared" si="1"/>
        <v>Not Neighbor</v>
      </c>
      <c r="AC2521" s="4">
        <f>IFERROR(__xludf.DUMMYFUNCTION("IFERROR(ABS(O2521-AVERAGE(FILTER(O2521:O6589,AA2521:AA6589=""Neighbor""))) / STDEV(FILTER(O2521:O6589, AA2521:AA6589 =""Neighbor"")), """")"),0.9145032981355166)</f>
        <v>0.9145032981</v>
      </c>
      <c r="AD2521" s="4">
        <f>IFERROR(__xludf.DUMMYFUNCTION("IFERROR(ABS(P2521-AVERAGE(FILTER(O2521:P6589,AA2521:AA6589=""Neighbor""))) / STDEV(FILTER(P2521:P6589, AA2521:AA6589 =""Neighbor"")), """")"),0.7497399249188142)</f>
        <v>0.7497399249</v>
      </c>
      <c r="AE2521" s="2">
        <f>IFERROR(__xludf.DUMMYFUNCTION("IFERROR(ABS(Q2521-AVERAGE(FILTER(Q2521:Q6589,AA2521:AA6589=""Neighbor""))) / STDEV(FILTER(Q2521:Q6589, AA2521:AA6589 =""Neighbor"")), """")"),2.2647455967330967)</f>
        <v>2.264745597</v>
      </c>
      <c r="AF2521" s="2">
        <f>IFERROR(__xludf.DUMMYFUNCTION("IFERROR(ABS(R2521-AVERAGE(FILTER(R2521:R6589,AA2521:AA6589=""Neighbor""))) / STDEV(FILTER(R2521:R6589, AA2521:AA6589 =""Neighbor"")), """")"),0.3307774757764658)</f>
        <v>0.3307774758</v>
      </c>
    </row>
    <row r="2522">
      <c r="A2522" s="2" t="s">
        <v>28</v>
      </c>
      <c r="B2522" s="2" t="s">
        <v>10071</v>
      </c>
      <c r="C2522" s="2" t="s">
        <v>10340</v>
      </c>
      <c r="D2522" s="2" t="s">
        <v>10341</v>
      </c>
      <c r="E2522" s="2" t="s">
        <v>10342</v>
      </c>
      <c r="F2522" s="2">
        <v>99.0</v>
      </c>
      <c r="G2522" s="2">
        <v>446.0</v>
      </c>
      <c r="H2522" s="2" t="b">
        <v>1</v>
      </c>
      <c r="I2522" s="2">
        <v>-1.0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s">
        <v>33</v>
      </c>
      <c r="O2522" s="2">
        <v>48.0</v>
      </c>
      <c r="P2522" s="2">
        <v>9.0</v>
      </c>
      <c r="Q2522" s="2">
        <v>32.0</v>
      </c>
      <c r="R2522" s="2">
        <v>0.0</v>
      </c>
      <c r="S2522" s="3" t="s">
        <v>10343</v>
      </c>
      <c r="T2522" s="2" t="s">
        <v>10344</v>
      </c>
      <c r="Y2522" s="4" t="str">
        <f>IFERROR(__xludf.DUMMYFUNCTION("""COMPUTED_VALUE"""),"6.7437374")</f>
        <v>6.7437374</v>
      </c>
      <c r="Z2522" s="4" t="str">
        <f>IFERROR(__xludf.DUMMYFUNCTION("""COMPUTED_VALUE"""),"3.664859")</f>
        <v>3.664859</v>
      </c>
      <c r="AA2522" s="4" t="str">
        <f t="shared" si="1"/>
        <v>Neighbor</v>
      </c>
      <c r="AC2522" s="4">
        <f>IFERROR(__xludf.DUMMYFUNCTION("IFERROR(ABS(O2522-AVERAGE(FILTER(O2522:O6590,AA2522:AA6590=""Neighbor""))) / STDEV(FILTER(O2522:O6590, AA2522:AA6590 =""Neighbor"")), """")"),0.03915937951872105)</f>
        <v>0.03915937952</v>
      </c>
      <c r="AD2522" s="4">
        <f>IFERROR(__xludf.DUMMYFUNCTION("IFERROR(ABS(P2522-AVERAGE(FILTER(O2522:P6590,AA2522:AA6590=""Neighbor""))) / STDEV(FILTER(P2522:P6590, AA2522:AA6590 =""Neighbor"")), """")"),1.0409892196857218)</f>
        <v>1.04098922</v>
      </c>
      <c r="AE2522" s="2">
        <f>IFERROR(__xludf.DUMMYFUNCTION("IFERROR(ABS(Q2522-AVERAGE(FILTER(Q2522:Q6590,AA2522:AA6590=""Neighbor""))) / STDEV(FILTER(Q2522:Q6590, AA2522:AA6590 =""Neighbor"")), """")"),0.9756766804735875)</f>
        <v>0.9756766805</v>
      </c>
      <c r="AF2522" s="2">
        <f>IFERROR(__xludf.DUMMYFUNCTION("IFERROR(ABS(R2522-AVERAGE(FILTER(R2522:R6590,AA2522:AA6590=""Neighbor""))) / STDEV(FILTER(R2522:R6590, AA2522:AA6590 =""Neighbor"")), """")"),0.3307774757764658)</f>
        <v>0.3307774758</v>
      </c>
    </row>
    <row r="2523">
      <c r="A2523" s="2" t="s">
        <v>28</v>
      </c>
      <c r="B2523" s="2" t="s">
        <v>10071</v>
      </c>
      <c r="C2523" s="2" t="s">
        <v>10340</v>
      </c>
      <c r="D2523" s="2" t="s">
        <v>10345</v>
      </c>
      <c r="E2523" s="2" t="s">
        <v>10346</v>
      </c>
      <c r="F2523" s="2">
        <v>149.0</v>
      </c>
      <c r="G2523" s="2">
        <v>746.0</v>
      </c>
      <c r="H2523" s="2" t="b">
        <v>1</v>
      </c>
      <c r="I2523" s="2">
        <v>-1.0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s">
        <v>33</v>
      </c>
      <c r="O2523" s="2">
        <v>89.0</v>
      </c>
      <c r="P2523" s="2">
        <v>1.0</v>
      </c>
      <c r="Q2523" s="2">
        <v>54.0</v>
      </c>
      <c r="R2523" s="2">
        <v>0.0</v>
      </c>
      <c r="S2523" s="3" t="s">
        <v>10347</v>
      </c>
      <c r="T2523" s="2" t="s">
        <v>10348</v>
      </c>
      <c r="Y2523" s="4" t="str">
        <f>IFERROR(__xludf.DUMMYFUNCTION("""COMPUTED_VALUE"""),"6.7437374")</f>
        <v>6.7437374</v>
      </c>
      <c r="Z2523" s="4" t="str">
        <f>IFERROR(__xludf.DUMMYFUNCTION("""COMPUTED_VALUE"""),"3.664859")</f>
        <v>3.664859</v>
      </c>
      <c r="AA2523" s="4" t="str">
        <f t="shared" si="1"/>
        <v>Neighbor</v>
      </c>
      <c r="AC2523" s="4">
        <f>IFERROR(__xludf.DUMMYFUNCTION("IFERROR(ABS(O2523-AVERAGE(FILTER(O2523:O6591,AA2523:AA6591=""Neighbor""))) / STDEV(FILTER(O2523:O6591, AA2523:AA6591 =""Neighbor"")), """")"),1.1446969758048193)</f>
        <v>1.144696976</v>
      </c>
      <c r="AD2523" s="4">
        <f>IFERROR(__xludf.DUMMYFUNCTION("IFERROR(ABS(P2523-AVERAGE(FILTER(O2523:P6591,AA2523:AA6591=""Neighbor""))) / STDEV(FILTER(P2523:P6591, AA2523:AA6591 =""Neighbor"")), """")"),1.3732809974573632)</f>
        <v>1.373280997</v>
      </c>
      <c r="AE2523" s="2">
        <f>IFERROR(__xludf.DUMMYFUNCTION("IFERROR(ABS(Q2523-AVERAGE(FILTER(Q2523:Q6591,AA2523:AA6591=""Neighbor""))) / STDEV(FILTER(Q2523:Q6591, AA2523:AA6591 =""Neighbor"")), """")"),2.266251141398642)</f>
        <v>2.266251141</v>
      </c>
      <c r="AF2523" s="2">
        <f>IFERROR(__xludf.DUMMYFUNCTION("IFERROR(ABS(R2523-AVERAGE(FILTER(R2523:R6591,AA2523:AA6591=""Neighbor""))) / STDEV(FILTER(R2523:R6591, AA2523:AA6591 =""Neighbor"")), """")"),0.33107632378098395)</f>
        <v>0.3310763238</v>
      </c>
    </row>
    <row r="2524">
      <c r="A2524" s="2" t="s">
        <v>28</v>
      </c>
      <c r="B2524" s="2" t="s">
        <v>10071</v>
      </c>
      <c r="C2524" s="2" t="s">
        <v>10340</v>
      </c>
      <c r="D2524" s="2" t="s">
        <v>10349</v>
      </c>
      <c r="E2524" s="2" t="s">
        <v>10350</v>
      </c>
      <c r="F2524" s="2">
        <v>108.0</v>
      </c>
      <c r="G2524" s="2">
        <v>682.0</v>
      </c>
      <c r="H2524" s="2" t="b">
        <v>1</v>
      </c>
      <c r="I2524" s="2">
        <v>-1.0</v>
      </c>
      <c r="J2524" s="2" t="b">
        <v>0</v>
      </c>
      <c r="K2524" s="2" t="b">
        <v>0</v>
      </c>
      <c r="L2524" s="2" t="b">
        <v>0</v>
      </c>
      <c r="M2524" s="2" t="b">
        <v>0</v>
      </c>
      <c r="N2524" s="2" t="s">
        <v>33</v>
      </c>
      <c r="O2524" s="2">
        <v>80.0</v>
      </c>
      <c r="P2524" s="2">
        <v>3.0</v>
      </c>
      <c r="Q2524" s="2">
        <v>22.0</v>
      </c>
      <c r="R2524" s="2">
        <v>0.0</v>
      </c>
      <c r="S2524" s="3" t="s">
        <v>10351</v>
      </c>
      <c r="T2524" s="2" t="s">
        <v>10352</v>
      </c>
      <c r="Y2524" s="4" t="str">
        <f>IFERROR(__xludf.DUMMYFUNCTION("""COMPUTED_VALUE"""),"6.7437374")</f>
        <v>6.7437374</v>
      </c>
      <c r="Z2524" s="4" t="str">
        <f>IFERROR(__xludf.DUMMYFUNCTION("""COMPUTED_VALUE"""),"3.664859")</f>
        <v>3.664859</v>
      </c>
      <c r="AA2524" s="4" t="str">
        <f t="shared" si="1"/>
        <v>Neighbor</v>
      </c>
      <c r="AC2524" s="4">
        <f>IFERROR(__xludf.DUMMYFUNCTION("IFERROR(ABS(O2524-AVERAGE(FILTER(O2524:O6592,AA2524:AA6592=""Neighbor""))) / STDEV(FILTER(O2524:O6592, AA2524:AA6592 =""Neighbor"")), """")"),0.8869162990305458)</f>
        <v>0.886916299</v>
      </c>
      <c r="AD2524" s="4">
        <f>IFERROR(__xludf.DUMMYFUNCTION("IFERROR(ABS(P2524-AVERAGE(FILTER(O2524:P6592,AA2524:AA6592=""Neighbor""))) / STDEV(FILTER(P2524:P6592, AA2524:AA6592 =""Neighbor"")), """")"),1.2888959257655086)</f>
        <v>1.288895926</v>
      </c>
      <c r="AE2524" s="2">
        <f>IFERROR(__xludf.DUMMYFUNCTION("IFERROR(ABS(Q2524-AVERAGE(FILTER(Q2524:Q6592,AA2524:AA6592=""Neighbor""))) / STDEV(FILTER(Q2524:Q6592, AA2524:AA6592 =""Neighbor"")), """")"),0.39636257421583254)</f>
        <v>0.3963625742</v>
      </c>
      <c r="AF2524" s="2">
        <f>IFERROR(__xludf.DUMMYFUNCTION("IFERROR(ABS(R2524-AVERAGE(FILTER(R2524:R6592,AA2524:AA6592=""Neighbor""))) / STDEV(FILTER(R2524:R6592, AA2524:AA6592 =""Neighbor"")), """")"),0.3313759834099375)</f>
        <v>0.3313759834</v>
      </c>
    </row>
    <row r="2525">
      <c r="A2525" s="2" t="s">
        <v>28</v>
      </c>
      <c r="B2525" s="2" t="s">
        <v>10071</v>
      </c>
      <c r="C2525" s="2" t="s">
        <v>10340</v>
      </c>
      <c r="D2525" s="2" t="s">
        <v>10353</v>
      </c>
      <c r="E2525" s="2" t="s">
        <v>10354</v>
      </c>
      <c r="F2525" s="2">
        <v>121.0</v>
      </c>
      <c r="G2525" s="2">
        <v>862.0</v>
      </c>
      <c r="H2525" s="2" t="b">
        <v>1</v>
      </c>
      <c r="I2525" s="2">
        <v>-1.0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s">
        <v>33</v>
      </c>
      <c r="O2525" s="2">
        <v>74.0</v>
      </c>
      <c r="P2525" s="2">
        <v>5.0</v>
      </c>
      <c r="Q2525" s="2">
        <v>32.0</v>
      </c>
      <c r="R2525" s="2">
        <v>0.0</v>
      </c>
      <c r="S2525" s="3" t="s">
        <v>10355</v>
      </c>
      <c r="T2525" s="2" t="s">
        <v>10356</v>
      </c>
      <c r="Y2525" s="4" t="str">
        <f>IFERROR(__xludf.DUMMYFUNCTION("""COMPUTED_VALUE"""),"6.7437374")</f>
        <v>6.7437374</v>
      </c>
      <c r="Z2525" s="4" t="str">
        <f>IFERROR(__xludf.DUMMYFUNCTION("""COMPUTED_VALUE"""),"3.664859")</f>
        <v>3.664859</v>
      </c>
      <c r="AA2525" s="4" t="str">
        <f t="shared" si="1"/>
        <v>Neighbor</v>
      </c>
      <c r="AC2525" s="4">
        <f>IFERROR(__xludf.DUMMYFUNCTION("IFERROR(ABS(O2525-AVERAGE(FILTER(O2525:O6593,AA2525:AA6593=""Neighbor""))) / STDEV(FILTER(O2525:O6593, AA2525:AA6593 =""Neighbor"")), """")"),0.7149473387359618)</f>
        <v>0.7149473387</v>
      </c>
      <c r="AD2525" s="4">
        <f>IFERROR(__xludf.DUMMYFUNCTION("IFERROR(ABS(P2525-AVERAGE(FILTER(O2525:P6593,AA2525:AA6593=""Neighbor""))) / STDEV(FILTER(P2525:P6593, AA2525:AA6593 =""Neighbor"")), """")"),1.2046957434931043)</f>
        <v>1.204695743</v>
      </c>
      <c r="AE2525" s="2">
        <f>IFERROR(__xludf.DUMMYFUNCTION("IFERROR(ABS(Q2525-AVERAGE(FILTER(Q2525:Q6593,AA2525:AA6593=""Neighbor""))) / STDEV(FILTER(Q2525:Q6593, AA2525:AA6593 =""Neighbor"")), """")"),0.9842471155638755)</f>
        <v>0.9842471156</v>
      </c>
      <c r="AF2525" s="2">
        <f>IFERROR(__xludf.DUMMYFUNCTION("IFERROR(ABS(R2525-AVERAGE(FILTER(R2525:R6593,AA2525:AA6593=""Neighbor""))) / STDEV(FILTER(R2525:R6593, AA2525:AA6593 =""Neighbor"")), """")"),0.3316764583443601)</f>
        <v>0.3316764583</v>
      </c>
    </row>
    <row r="2526">
      <c r="A2526" s="2" t="s">
        <v>28</v>
      </c>
      <c r="B2526" s="2" t="s">
        <v>10071</v>
      </c>
      <c r="C2526" s="2" t="s">
        <v>10340</v>
      </c>
      <c r="D2526" s="2" t="s">
        <v>10357</v>
      </c>
      <c r="E2526" s="2" t="s">
        <v>10358</v>
      </c>
      <c r="F2526" s="2">
        <v>61.0</v>
      </c>
      <c r="G2526" s="2">
        <v>410.0</v>
      </c>
      <c r="H2526" s="2" t="b">
        <v>1</v>
      </c>
      <c r="I2526" s="2">
        <v>-1.0</v>
      </c>
      <c r="J2526" s="2" t="b">
        <v>0</v>
      </c>
      <c r="K2526" s="2" t="b">
        <v>0</v>
      </c>
      <c r="L2526" s="2" t="b">
        <v>0</v>
      </c>
      <c r="M2526" s="2" t="b">
        <v>0</v>
      </c>
      <c r="N2526" s="2" t="s">
        <v>33</v>
      </c>
      <c r="O2526" s="2">
        <v>29.0</v>
      </c>
      <c r="P2526" s="2">
        <v>5.0</v>
      </c>
      <c r="Q2526" s="2">
        <v>25.0</v>
      </c>
      <c r="R2526" s="2">
        <v>0.0</v>
      </c>
      <c r="S2526" s="3" t="s">
        <v>10359</v>
      </c>
      <c r="T2526" s="2" t="s">
        <v>10360</v>
      </c>
      <c r="Y2526" s="4" t="str">
        <f>IFERROR(__xludf.DUMMYFUNCTION("""COMPUTED_VALUE"""),"6.7437374")</f>
        <v>6.7437374</v>
      </c>
      <c r="Z2526" s="4" t="str">
        <f>IFERROR(__xludf.DUMMYFUNCTION("""COMPUTED_VALUE"""),"3.664859")</f>
        <v>3.664859</v>
      </c>
      <c r="AA2526" s="4" t="str">
        <f t="shared" si="1"/>
        <v>Neighbor</v>
      </c>
      <c r="AC2526" s="4">
        <f>IFERROR(__xludf.DUMMYFUNCTION("IFERROR(ABS(O2526-AVERAGE(FILTER(O2526:O6594,AA2526:AA6594=""Neighbor""))) / STDEV(FILTER(O2526:O6594, AA2526:AA6594 =""Neighbor"")), """")"),0.5831430888966587)</f>
        <v>0.5831430889</v>
      </c>
      <c r="AD2526" s="4">
        <f>IFERROR(__xludf.DUMMYFUNCTION("IFERROR(ABS(P2526-AVERAGE(FILTER(O2526:P6594,AA2526:AA6594=""Neighbor""))) / STDEV(FILTER(P2526:P6594, AA2526:AA6594 =""Neighbor"")), """")"),1.2036562134402449)</f>
        <v>1.203656213</v>
      </c>
      <c r="AE2526" s="2">
        <f>IFERROR(__xludf.DUMMYFUNCTION("IFERROR(ABS(Q2526-AVERAGE(FILTER(Q2526:Q6594,AA2526:AA6594=""Neighbor""))) / STDEV(FILTER(Q2526:Q6594, AA2526:AA6594 =""Neighbor"")), """")"),0.5745898089087766)</f>
        <v>0.5745898089</v>
      </c>
      <c r="AF2526" s="2">
        <f>IFERROR(__xludf.DUMMYFUNCTION("IFERROR(ABS(R2526-AVERAGE(FILTER(R2526:R6594,AA2526:AA6594=""Neighbor""))) / STDEV(FILTER(R2526:R6594, AA2526:AA6594 =""Neighbor"")), """")"),0.3319777522887047)</f>
        <v>0.3319777523</v>
      </c>
    </row>
    <row r="2527">
      <c r="A2527" s="2" t="s">
        <v>28</v>
      </c>
      <c r="B2527" s="2" t="s">
        <v>10071</v>
      </c>
      <c r="C2527" s="2" t="s">
        <v>10340</v>
      </c>
      <c r="D2527" s="2" t="s">
        <v>10361</v>
      </c>
      <c r="E2527" s="2" t="s">
        <v>10362</v>
      </c>
      <c r="F2527" s="2">
        <v>70.0</v>
      </c>
      <c r="G2527" s="2">
        <v>324.0</v>
      </c>
      <c r="H2527" s="2" t="b">
        <v>1</v>
      </c>
      <c r="I2527" s="2">
        <v>-1.0</v>
      </c>
      <c r="J2527" s="2" t="b">
        <v>0</v>
      </c>
      <c r="K2527" s="2" t="b">
        <v>0</v>
      </c>
      <c r="L2527" s="2" t="b">
        <v>0</v>
      </c>
      <c r="M2527" s="2" t="b">
        <v>0</v>
      </c>
      <c r="N2527" s="2" t="s">
        <v>33</v>
      </c>
      <c r="O2527" s="2">
        <v>36.0</v>
      </c>
      <c r="P2527" s="2">
        <v>1.0</v>
      </c>
      <c r="Q2527" s="2">
        <v>28.0</v>
      </c>
      <c r="R2527" s="2">
        <v>0.0</v>
      </c>
      <c r="S2527" s="3" t="s">
        <v>10363</v>
      </c>
      <c r="T2527" s="2" t="s">
        <v>10364</v>
      </c>
      <c r="Y2527" s="4" t="str">
        <f>IFERROR(__xludf.DUMMYFUNCTION("""COMPUTED_VALUE"""),"6.7437374")</f>
        <v>6.7437374</v>
      </c>
      <c r="Z2527" s="4" t="str">
        <f>IFERROR(__xludf.DUMMYFUNCTION("""COMPUTED_VALUE"""),"3.664859")</f>
        <v>3.664859</v>
      </c>
      <c r="AA2527" s="4" t="str">
        <f t="shared" si="1"/>
        <v>Neighbor</v>
      </c>
      <c r="AC2527" s="4">
        <f>IFERROR(__xludf.DUMMYFUNCTION("IFERROR(ABS(O2527-AVERAGE(FILTER(O2527:O6595,AA2527:AA6595=""Neighbor""))) / STDEV(FILTER(O2527:O6595, AA2527:AA6595 =""Neighbor"")), """")"),0.3818307465514824)</f>
        <v>0.3818307466</v>
      </c>
      <c r="AD2527" s="4">
        <f>IFERROR(__xludf.DUMMYFUNCTION("IFERROR(ABS(P2527-AVERAGE(FILTER(O2527:P6595,AA2527:AA6595=""Neighbor""))) / STDEV(FILTER(P2527:P6595, AA2527:AA6595 =""Neighbor"")), """")"),1.3701398454742568)</f>
        <v>1.370139845</v>
      </c>
      <c r="AE2527" s="2">
        <f>IFERROR(__xludf.DUMMYFUNCTION("IFERROR(ABS(Q2527-AVERAGE(FILTER(Q2527:Q6595,AA2527:AA6595=""Neighbor""))) / STDEV(FILTER(Q2527:Q6595, AA2527:AA6595 =""Neighbor"")), """")"),0.7513684895057793)</f>
        <v>0.7513684895</v>
      </c>
      <c r="AF2527" s="2">
        <f>IFERROR(__xludf.DUMMYFUNCTION("IFERROR(ABS(R2527-AVERAGE(FILTER(R2527:R6595,AA2527:AA6595=""Neighbor""))) / STDEV(FILTER(R2527:R6595, AA2527:AA6595 =""Neighbor"")), """")"),0.33227986897103473)</f>
        <v>0.332279869</v>
      </c>
    </row>
    <row r="2528">
      <c r="A2528" s="2" t="s">
        <v>28</v>
      </c>
      <c r="B2528" s="2" t="s">
        <v>10071</v>
      </c>
      <c r="C2528" s="2" t="s">
        <v>10340</v>
      </c>
      <c r="D2528" s="2" t="s">
        <v>10365</v>
      </c>
      <c r="E2528" s="2" t="s">
        <v>10366</v>
      </c>
      <c r="F2528" s="2">
        <v>93.0</v>
      </c>
      <c r="G2528" s="2">
        <v>707.0</v>
      </c>
      <c r="H2528" s="2" t="b">
        <v>1</v>
      </c>
      <c r="I2528" s="2">
        <v>-1.0</v>
      </c>
      <c r="J2528" s="2" t="b">
        <v>0</v>
      </c>
      <c r="K2528" s="2" t="b">
        <v>0</v>
      </c>
      <c r="L2528" s="2" t="b">
        <v>0</v>
      </c>
      <c r="M2528" s="2" t="b">
        <v>0</v>
      </c>
      <c r="N2528" s="2" t="s">
        <v>33</v>
      </c>
      <c r="O2528" s="2">
        <v>54.0</v>
      </c>
      <c r="P2528" s="2">
        <v>5.0</v>
      </c>
      <c r="Q2528" s="2">
        <v>32.0</v>
      </c>
      <c r="R2528" s="2">
        <v>0.0</v>
      </c>
      <c r="S2528" s="3" t="s">
        <v>10367</v>
      </c>
      <c r="T2528" s="2" t="s">
        <v>10368</v>
      </c>
      <c r="Y2528" s="4" t="str">
        <f>IFERROR(__xludf.DUMMYFUNCTION("""COMPUTED_VALUE"""),"6.7437374")</f>
        <v>6.7437374</v>
      </c>
      <c r="Z2528" s="4" t="str">
        <f>IFERROR(__xludf.DUMMYFUNCTION("""COMPUTED_VALUE"""),"3.664859")</f>
        <v>3.664859</v>
      </c>
      <c r="AA2528" s="4" t="str">
        <f t="shared" si="1"/>
        <v>Neighbor</v>
      </c>
      <c r="AC2528" s="4">
        <f>IFERROR(__xludf.DUMMYFUNCTION("IFERROR(ABS(O2528-AVERAGE(FILTER(O2528:O6596,AA2528:AA6596=""Neighbor""))) / STDEV(FILTER(O2528:O6596, AA2528:AA6596 =""Neighbor"")), """")"),0.1367538439673934)</f>
        <v>0.136753844</v>
      </c>
      <c r="AD2528" s="4">
        <f>IFERROR(__xludf.DUMMYFUNCTION("IFERROR(ABS(P2528-AVERAGE(FILTER(O2528:P6596,AA2528:AA6596=""Neighbor""))) / STDEV(FILTER(P2528:P6596, AA2528:AA6596 =""Neighbor"")), """")"),1.2047581394357711)</f>
        <v>1.204758139</v>
      </c>
      <c r="AE2528" s="2">
        <f>IFERROR(__xludf.DUMMYFUNCTION("IFERROR(ABS(Q2528-AVERAGE(FILTER(Q2528:Q6596,AA2528:AA6596=""Neighbor""))) / STDEV(FILTER(Q2528:Q6596, AA2528:AA6596 =""Neighbor"")), """")"),0.9871199834102947)</f>
        <v>0.9871199834</v>
      </c>
      <c r="AF2528" s="2">
        <f>IFERROR(__xludf.DUMMYFUNCTION("IFERROR(ABS(R2528-AVERAGE(FILTER(R2528:R6596,AA2528:AA6596=""Neighbor""))) / STDEV(FILTER(R2528:R6596, AA2528:AA6596 =""Neighbor"")), """")"),0.3325828121432188)</f>
        <v>0.3325828121</v>
      </c>
    </row>
    <row r="2529">
      <c r="A2529" s="2" t="s">
        <v>28</v>
      </c>
      <c r="B2529" s="2" t="s">
        <v>10071</v>
      </c>
      <c r="C2529" s="2" t="s">
        <v>10340</v>
      </c>
      <c r="D2529" s="2" t="s">
        <v>10369</v>
      </c>
      <c r="E2529" s="2" t="s">
        <v>10370</v>
      </c>
      <c r="F2529" s="2">
        <v>165.0</v>
      </c>
      <c r="G2529" s="2">
        <v>923.0</v>
      </c>
      <c r="H2529" s="2" t="b">
        <v>1</v>
      </c>
      <c r="I2529" s="2">
        <v>-1.0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s">
        <v>33</v>
      </c>
      <c r="O2529" s="2">
        <v>78.0</v>
      </c>
      <c r="P2529" s="2">
        <v>4.0</v>
      </c>
      <c r="Q2529" s="2">
        <v>78.0</v>
      </c>
      <c r="R2529" s="2">
        <v>0.0</v>
      </c>
      <c r="S2529" s="3" t="s">
        <v>10371</v>
      </c>
      <c r="T2529" s="2" t="s">
        <v>10372</v>
      </c>
      <c r="Y2529" s="4" t="str">
        <f>IFERROR(__xludf.DUMMYFUNCTION("""COMPUTED_VALUE"""),"6.7437374")</f>
        <v>6.7437374</v>
      </c>
      <c r="Z2529" s="4" t="str">
        <f>IFERROR(__xludf.DUMMYFUNCTION("""COMPUTED_VALUE"""),"3.664859")</f>
        <v>3.664859</v>
      </c>
      <c r="AA2529" s="4" t="str">
        <f t="shared" si="1"/>
        <v>Not Neighbor</v>
      </c>
      <c r="AC2529" s="4">
        <f>IFERROR(__xludf.DUMMYFUNCTION("IFERROR(ABS(O2529-AVERAGE(FILTER(O2529:O6597,AA2529:AA6597=""Neighbor""))) / STDEV(FILTER(O2529:O6597, AA2529:AA6597 =""Neighbor"")), """")"),0.8282339851117634)</f>
        <v>0.8282339851</v>
      </c>
      <c r="AD2529" s="4">
        <f>IFERROR(__xludf.DUMMYFUNCTION("IFERROR(ABS(P2529-AVERAGE(FILTER(O2529:P6597,AA2529:AA6597=""Neighbor""))) / STDEV(FILTER(P2529:P6597, AA2529:AA6597 =""Neighbor"")), """")"),1.245861888943114)</f>
        <v>1.245861889</v>
      </c>
      <c r="AE2529" s="2">
        <f>IFERROR(__xludf.DUMMYFUNCTION("IFERROR(ABS(Q2529-AVERAGE(FILTER(Q2529:Q6597,AA2529:AA6597=""Neighbor""))) / STDEV(FILTER(Q2529:Q6597, AA2529:AA6597 =""Neighbor"")), """")"),3.6886997735449567)</f>
        <v>3.688699774</v>
      </c>
      <c r="AF2529" s="2">
        <f>IFERROR(__xludf.DUMMYFUNCTION("IFERROR(ABS(R2529-AVERAGE(FILTER(R2529:R6597,AA2529:AA6597=""Neighbor""))) / STDEV(FILTER(R2529:R6597, AA2529:AA6597 =""Neighbor"")), """")"),0.33288658558112594)</f>
        <v>0.3328865856</v>
      </c>
    </row>
    <row r="2530">
      <c r="A2530" s="2" t="s">
        <v>28</v>
      </c>
      <c r="B2530" s="2" t="s">
        <v>10071</v>
      </c>
      <c r="C2530" s="2" t="s">
        <v>10340</v>
      </c>
      <c r="D2530" s="2" t="s">
        <v>10373</v>
      </c>
      <c r="E2530" s="2" t="s">
        <v>10374</v>
      </c>
      <c r="F2530" s="2">
        <v>105.0</v>
      </c>
      <c r="G2530" s="2">
        <v>738.0</v>
      </c>
      <c r="H2530" s="2" t="b">
        <v>1</v>
      </c>
      <c r="I2530" s="2">
        <v>-1.0</v>
      </c>
      <c r="J2530" s="2" t="b">
        <v>0</v>
      </c>
      <c r="K2530" s="2" t="b">
        <v>0</v>
      </c>
      <c r="L2530" s="2" t="b">
        <v>0</v>
      </c>
      <c r="M2530" s="2" t="b">
        <v>0</v>
      </c>
      <c r="N2530" s="2" t="s">
        <v>33</v>
      </c>
      <c r="O2530" s="2">
        <v>46.0</v>
      </c>
      <c r="P2530" s="2">
        <v>0.0</v>
      </c>
      <c r="Q2530" s="2">
        <v>52.0</v>
      </c>
      <c r="R2530" s="2">
        <v>0.0</v>
      </c>
      <c r="S2530" s="3" t="s">
        <v>10375</v>
      </c>
      <c r="T2530" s="2" t="s">
        <v>10376</v>
      </c>
      <c r="Y2530" s="4" t="str">
        <f>IFERROR(__xludf.DUMMYFUNCTION("""COMPUTED_VALUE"""),"6.7000389")</f>
        <v>6.7000389</v>
      </c>
      <c r="Z2530" s="4" t="str">
        <f>IFERROR(__xludf.DUMMYFUNCTION("""COMPUTED_VALUE"""),"3.6154482")</f>
        <v>3.6154482</v>
      </c>
      <c r="AA2530" s="4" t="str">
        <f t="shared" si="1"/>
        <v>Not Neighbor</v>
      </c>
      <c r="AC2530" s="4">
        <f>IFERROR(__xludf.DUMMYFUNCTION("IFERROR(ABS(O2530-AVERAGE(FILTER(O2530:O6598,AA2530:AA6598=""Neighbor""))) / STDEV(FILTER(O2530:O6598, AA2530:AA6598 =""Neighbor"")), """")"),0.09358683352282819)</f>
        <v>0.09358683352</v>
      </c>
      <c r="AD2530" s="4">
        <f>IFERROR(__xludf.DUMMYFUNCTION("IFERROR(ABS(P2530-AVERAGE(FILTER(O2530:P6598,AA2530:AA6598=""Neighbor""))) / STDEV(FILTER(P2530:P6598, AA2530:AA6598 =""Neighbor"")), """")"),1.411699046167635)</f>
        <v>1.411699046</v>
      </c>
      <c r="AE2530" s="2">
        <f>IFERROR(__xludf.DUMMYFUNCTION("IFERROR(ABS(Q2530-AVERAGE(FILTER(Q2530:Q6598,AA2530:AA6598=""Neighbor""))) / STDEV(FILTER(Q2530:Q6598, AA2530:AA6598 =""Neighbor"")), """")"),2.1626280031282397)</f>
        <v>2.162628003</v>
      </c>
      <c r="AF2530" s="2">
        <f>IFERROR(__xludf.DUMMYFUNCTION("IFERROR(ABS(R2530-AVERAGE(FILTER(R2530:R6598,AA2530:AA6598=""Neighbor""))) / STDEV(FILTER(R2530:R6598, AA2530:AA6598 =""Neighbor"")), """")"),0.33288658558112594)</f>
        <v>0.3328865856</v>
      </c>
    </row>
    <row r="2531">
      <c r="A2531" s="2" t="s">
        <v>28</v>
      </c>
      <c r="B2531" s="2" t="s">
        <v>10071</v>
      </c>
      <c r="C2531" s="2" t="s">
        <v>10377</v>
      </c>
      <c r="D2531" s="2" t="s">
        <v>10378</v>
      </c>
      <c r="E2531" s="2" t="s">
        <v>10379</v>
      </c>
      <c r="F2531" s="2">
        <v>186.0</v>
      </c>
      <c r="G2531" s="2">
        <v>622.0</v>
      </c>
      <c r="H2531" s="2" t="b">
        <v>1</v>
      </c>
      <c r="I2531" s="2">
        <v>-1.0</v>
      </c>
      <c r="J2531" s="2" t="b">
        <v>0</v>
      </c>
      <c r="K2531" s="2" t="b">
        <v>0</v>
      </c>
      <c r="L2531" s="2" t="b">
        <v>0</v>
      </c>
      <c r="M2531" s="2" t="b">
        <v>0</v>
      </c>
      <c r="N2531" s="2" t="s">
        <v>33</v>
      </c>
      <c r="O2531" s="2">
        <v>110.0</v>
      </c>
      <c r="P2531" s="2">
        <v>27.0</v>
      </c>
      <c r="Q2531" s="2">
        <v>40.0</v>
      </c>
      <c r="R2531" s="2">
        <v>0.0</v>
      </c>
      <c r="S2531" s="3" t="s">
        <v>10380</v>
      </c>
      <c r="T2531" s="2" t="s">
        <v>10381</v>
      </c>
      <c r="Y2531" s="4" t="str">
        <f>IFERROR(__xludf.DUMMYFUNCTION("""COMPUTED_VALUE"""),"6.8322014")</f>
        <v>6.8322014</v>
      </c>
      <c r="Z2531" s="4" t="str">
        <f>IFERROR(__xludf.DUMMYFUNCTION("""COMPUTED_VALUE"""),"3.6319131")</f>
        <v>3.6319131</v>
      </c>
      <c r="AA2531" s="4" t="str">
        <f t="shared" si="1"/>
        <v>Neighbor</v>
      </c>
      <c r="AC2531" s="4">
        <f>IFERROR(__xludf.DUMMYFUNCTION("IFERROR(ABS(O2531-AVERAGE(FILTER(O2531:O6599,AA2531:AA6599=""Neighbor""))) / STDEV(FILTER(O2531:O6599, AA2531:AA6599 =""Neighbor"")), """")"),1.750054803746355)</f>
        <v>1.750054804</v>
      </c>
      <c r="AD2531" s="4">
        <f>IFERROR(__xludf.DUMMYFUNCTION("IFERROR(ABS(P2531-AVERAGE(FILTER(O2531:P6599,AA2531:AA6599=""Neighbor""))) / STDEV(FILTER(P2531:P6599, AA2531:AA6599 =""Neighbor"")), """")"),0.2922982349021165)</f>
        <v>0.2922982349</v>
      </c>
      <c r="AE2531" s="2">
        <f>IFERROR(__xludf.DUMMYFUNCTION("IFERROR(ABS(Q2531-AVERAGE(FILTER(Q2531:Q6599,AA2531:AA6599=""Neighbor""))) / STDEV(FILTER(Q2531:Q6599, AA2531:AA6599 =""Neighbor"")), """")"),1.4582871860128317)</f>
        <v>1.458287186</v>
      </c>
      <c r="AF2531" s="2">
        <f>IFERROR(__xludf.DUMMYFUNCTION("IFERROR(ABS(R2531-AVERAGE(FILTER(R2531:R6599,AA2531:AA6599=""Neighbor""))) / STDEV(FILTER(R2531:R6599, AA2531:AA6599 =""Neighbor"")), """")"),0.33288658558112594)</f>
        <v>0.3328865856</v>
      </c>
    </row>
    <row r="2532">
      <c r="A2532" s="2" t="s">
        <v>28</v>
      </c>
      <c r="B2532" s="2" t="s">
        <v>10071</v>
      </c>
      <c r="C2532" s="2" t="s">
        <v>10377</v>
      </c>
      <c r="D2532" s="2" t="s">
        <v>10382</v>
      </c>
      <c r="E2532" s="2" t="s">
        <v>10383</v>
      </c>
      <c r="F2532" s="2">
        <v>67.0</v>
      </c>
      <c r="G2532" s="2">
        <v>582.0</v>
      </c>
      <c r="H2532" s="2" t="b">
        <v>1</v>
      </c>
      <c r="I2532" s="2">
        <v>-1.0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s">
        <v>33</v>
      </c>
      <c r="O2532" s="2">
        <v>45.0</v>
      </c>
      <c r="P2532" s="2">
        <v>4.0</v>
      </c>
      <c r="Q2532" s="2">
        <v>12.0</v>
      </c>
      <c r="R2532" s="2">
        <v>2.0</v>
      </c>
      <c r="S2532" s="3" t="s">
        <v>10384</v>
      </c>
      <c r="T2532" s="2" t="s">
        <v>10385</v>
      </c>
      <c r="Y2532" s="4" t="str">
        <f>IFERROR(__xludf.DUMMYFUNCTION("""COMPUTED_VALUE"""),"6.8322014")</f>
        <v>6.8322014</v>
      </c>
      <c r="Z2532" s="4" t="str">
        <f>IFERROR(__xludf.DUMMYFUNCTION("""COMPUTED_VALUE"""),"3.6319131")</f>
        <v>3.6319131</v>
      </c>
      <c r="AA2532" s="4" t="str">
        <f t="shared" si="1"/>
        <v>Not Neighbor</v>
      </c>
      <c r="AC2532" s="4">
        <f>IFERROR(__xludf.DUMMYFUNCTION("IFERROR(ABS(O2532-AVERAGE(FILTER(O2532:O6600,AA2532:AA6600=""Neighbor""))) / STDEV(FILTER(O2532:O6600, AA2532:AA6600 =""Neighbor"")), """")"),0.11971060113158648)</f>
        <v>0.1197106011</v>
      </c>
      <c r="AD2532" s="4">
        <f>IFERROR(__xludf.DUMMYFUNCTION("IFERROR(ABS(P2532-AVERAGE(FILTER(O2532:P6600,AA2532:AA6600=""Neighbor""))) / STDEV(FILTER(P2532:P6600, AA2532:AA6600 =""Neighbor"")), """")"),1.2425958055535151)</f>
        <v>1.242595806</v>
      </c>
      <c r="AE2532" s="2">
        <f>IFERROR(__xludf.DUMMYFUNCTION("IFERROR(ABS(Q2532-AVERAGE(FILTER(Q2532:Q6600,AA2532:AA6600=""Neighbor""))) / STDEV(FILTER(Q2532:Q6600, AA2532:AA6600 =""Neighbor"")), """")"),0.18293924679174228)</f>
        <v>0.1829392468</v>
      </c>
      <c r="AF2532" s="2">
        <f>IFERROR(__xludf.DUMMYFUNCTION("IFERROR(ABS(R2532-AVERAGE(FILTER(R2532:R6600,AA2532:AA6600=""Neighbor""))) / STDEV(FILTER(R2532:R6600, AA2532:AA6600 =""Neighbor"")), """")"),1.9743958127369237)</f>
        <v>1.974395813</v>
      </c>
    </row>
    <row r="2533">
      <c r="A2533" s="2" t="s">
        <v>28</v>
      </c>
      <c r="B2533" s="2" t="s">
        <v>10071</v>
      </c>
      <c r="C2533" s="2" t="s">
        <v>10377</v>
      </c>
      <c r="D2533" s="2" t="s">
        <v>10386</v>
      </c>
      <c r="E2533" s="2" t="s">
        <v>10387</v>
      </c>
      <c r="F2533" s="2">
        <v>181.0</v>
      </c>
      <c r="G2533" s="2">
        <v>668.0</v>
      </c>
      <c r="H2533" s="2" t="b">
        <v>1</v>
      </c>
      <c r="I2533" s="2">
        <v>-1.0</v>
      </c>
      <c r="J2533" s="2" t="b">
        <v>0</v>
      </c>
      <c r="K2533" s="2" t="b">
        <v>0</v>
      </c>
      <c r="L2533" s="2" t="b">
        <v>0</v>
      </c>
      <c r="M2533" s="2" t="b">
        <v>0</v>
      </c>
      <c r="N2533" s="2" t="s">
        <v>33</v>
      </c>
      <c r="O2533" s="2">
        <v>117.0</v>
      </c>
      <c r="P2533" s="2">
        <v>41.0</v>
      </c>
      <c r="Q2533" s="2">
        <v>12.0</v>
      </c>
      <c r="R2533" s="2">
        <v>0.0</v>
      </c>
      <c r="S2533" s="3" t="s">
        <v>10388</v>
      </c>
      <c r="T2533" s="2" t="s">
        <v>10389</v>
      </c>
      <c r="Y2533" s="4" t="str">
        <f>IFERROR(__xludf.DUMMYFUNCTION("""COMPUTED_VALUE"""),"6.7092547")</f>
        <v>6.7092547</v>
      </c>
      <c r="Z2533" s="4" t="str">
        <f>IFERROR(__xludf.DUMMYFUNCTION("""COMPUTED_VALUE"""),"3.5665095")</f>
        <v>3.5665095</v>
      </c>
      <c r="AA2533" s="4" t="str">
        <f t="shared" si="1"/>
        <v>Not Neighbor</v>
      </c>
      <c r="AC2533" s="4">
        <f>IFERROR(__xludf.DUMMYFUNCTION("IFERROR(ABS(O2533-AVERAGE(FILTER(O2533:O6601,AA2533:AA6601=""Neighbor""))) / STDEV(FILTER(O2533:O6601, AA2533:AA6601 =""Neighbor"")), """")"),1.9579397364075481)</f>
        <v>1.957939736</v>
      </c>
      <c r="AD2533" s="4">
        <f>IFERROR(__xludf.DUMMYFUNCTION("IFERROR(ABS(P2533-AVERAGE(FILTER(O2533:P6601,AA2533:AA6601=""Neighbor""))) / STDEV(FILTER(P2533:P6601, AA2533:AA6601 =""Neighbor"")), """")"),0.29027628688271484)</f>
        <v>0.2902762869</v>
      </c>
      <c r="AE2533" s="2">
        <f>IFERROR(__xludf.DUMMYFUNCTION("IFERROR(ABS(Q2533-AVERAGE(FILTER(Q2533:Q6601,AA2533:AA6601=""Neighbor""))) / STDEV(FILTER(Q2533:Q6601, AA2533:AA6601 =""Neighbor"")), """")"),0.18293924679174228)</f>
        <v>0.1829392468</v>
      </c>
      <c r="AF2533" s="2">
        <f>IFERROR(__xludf.DUMMYFUNCTION("IFERROR(ABS(R2533-AVERAGE(FILTER(R2533:R6601,AA2533:AA6601=""Neighbor""))) / STDEV(FILTER(R2533:R6601, AA2533:AA6601 =""Neighbor"")), """")"),0.3331911930848232)</f>
        <v>0.3331911931</v>
      </c>
    </row>
    <row r="2534">
      <c r="A2534" s="2" t="s">
        <v>28</v>
      </c>
      <c r="B2534" s="2" t="s">
        <v>10071</v>
      </c>
      <c r="C2534" s="2" t="s">
        <v>10377</v>
      </c>
      <c r="D2534" s="2" t="s">
        <v>10390</v>
      </c>
      <c r="E2534" s="2" t="s">
        <v>10391</v>
      </c>
      <c r="F2534" s="2">
        <v>181.0</v>
      </c>
      <c r="G2534" s="2">
        <v>1252.0</v>
      </c>
      <c r="H2534" s="2" t="b">
        <v>1</v>
      </c>
      <c r="I2534" s="2">
        <v>-1.0</v>
      </c>
      <c r="J2534" s="2" t="b">
        <v>0</v>
      </c>
      <c r="K2534" s="2" t="b">
        <v>0</v>
      </c>
      <c r="L2534" s="2" t="b">
        <v>0</v>
      </c>
      <c r="M2534" s="2" t="b">
        <v>0</v>
      </c>
      <c r="N2534" s="2" t="s">
        <v>33</v>
      </c>
      <c r="O2534" s="2">
        <v>120.0</v>
      </c>
      <c r="P2534" s="2">
        <v>54.0</v>
      </c>
      <c r="Q2534" s="2">
        <v>5.0</v>
      </c>
      <c r="R2534" s="2">
        <v>0.0</v>
      </c>
      <c r="S2534" s="3" t="s">
        <v>10392</v>
      </c>
      <c r="T2534" s="2" t="s">
        <v>10393</v>
      </c>
      <c r="Y2534" s="4" t="str">
        <f>IFERROR(__xludf.DUMMYFUNCTION("""COMPUTED_VALUE"""),"6.6971108")</f>
        <v>6.6971108</v>
      </c>
      <c r="Z2534" s="4" t="str">
        <f>IFERROR(__xludf.DUMMYFUNCTION("""COMPUTED_VALUE"""),"3.5591286")</f>
        <v>3.5591286</v>
      </c>
      <c r="AA2534" s="4" t="str">
        <f t="shared" si="1"/>
        <v>Not Neighbor</v>
      </c>
      <c r="AC2534" s="4">
        <f>IFERROR(__xludf.DUMMYFUNCTION("IFERROR(ABS(O2534-AVERAGE(FILTER(O2534:O6602,AA2534:AA6602=""Neighbor""))) / STDEV(FILTER(O2534:O6602, AA2534:AA6602 =""Neighbor"")), """")"),2.0445085004716788)</f>
        <v>2.0445085</v>
      </c>
      <c r="AD2534" s="4">
        <f>IFERROR(__xludf.DUMMYFUNCTION("IFERROR(ABS(P2534-AVERAGE(FILTER(O2534:P6602,AA2534:AA6602=""Neighbor""))) / STDEV(FILTER(P2534:P6602, AA2534:AA6602 =""Neighbor"")), """")"),0.8288529680089578)</f>
        <v>0.828852968</v>
      </c>
      <c r="AE2534" s="2">
        <f>IFERROR(__xludf.DUMMYFUNCTION("IFERROR(ABS(Q2534-AVERAGE(FILTER(Q2534:Q6602,AA2534:AA6602=""Neighbor""))) / STDEV(FILTER(Q2534:Q6602, AA2534:AA6602 =""Neighbor"")), """")"),0.5941890003108576)</f>
        <v>0.5941890003</v>
      </c>
      <c r="AF2534" s="2">
        <f>IFERROR(__xludf.DUMMYFUNCTION("IFERROR(ABS(R2534-AVERAGE(FILTER(R2534:R6602,AA2534:AA6602=""Neighbor""))) / STDEV(FILTER(R2534:R6602, AA2534:AA6602 =""Neighbor"")), """")"),0.3331911930848232)</f>
        <v>0.3331911931</v>
      </c>
    </row>
    <row r="2535">
      <c r="A2535" s="2" t="s">
        <v>28</v>
      </c>
      <c r="B2535" s="2" t="s">
        <v>10071</v>
      </c>
      <c r="C2535" s="2" t="s">
        <v>10377</v>
      </c>
      <c r="D2535" s="2" t="s">
        <v>10394</v>
      </c>
      <c r="E2535" s="2" t="s">
        <v>10395</v>
      </c>
      <c r="F2535" s="2">
        <v>364.0</v>
      </c>
      <c r="G2535" s="2">
        <v>2949.0</v>
      </c>
      <c r="H2535" s="2" t="b">
        <v>1</v>
      </c>
      <c r="I2535" s="2">
        <v>-1.0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s">
        <v>33</v>
      </c>
      <c r="O2535" s="2">
        <v>199.0</v>
      </c>
      <c r="P2535" s="2">
        <v>86.0</v>
      </c>
      <c r="Q2535" s="2">
        <v>27.0</v>
      </c>
      <c r="R2535" s="2">
        <v>0.0</v>
      </c>
      <c r="S2535" s="3" t="s">
        <v>10396</v>
      </c>
      <c r="T2535" s="2" t="s">
        <v>10397</v>
      </c>
      <c r="Y2535" s="4" t="str">
        <f>IFERROR(__xludf.DUMMYFUNCTION("""COMPUTED_VALUE"""),"6.6994255")</f>
        <v>6.6994255</v>
      </c>
      <c r="Z2535" s="4" t="str">
        <f>IFERROR(__xludf.DUMMYFUNCTION("""COMPUTED_VALUE"""),"3.5155086")</f>
        <v>3.5155086</v>
      </c>
      <c r="AA2535" s="4" t="str">
        <f t="shared" si="1"/>
        <v>Not Neighbor</v>
      </c>
      <c r="AC2535" s="4">
        <f>IFERROR(__xludf.DUMMYFUNCTION("IFERROR(ABS(O2535-AVERAGE(FILTER(O2535:O6603,AA2535:AA6603=""Neighbor""))) / STDEV(FILTER(O2535:O6603, AA2535:AA6603 =""Neighbor"")), """")"),4.324152620827118)</f>
        <v>4.324152621</v>
      </c>
      <c r="AD2535" s="4">
        <f>IFERROR(__xludf.DUMMYFUNCTION("IFERROR(ABS(P2535-AVERAGE(FILTER(O2535:P6603,AA2535:AA6603=""Neighbor""))) / STDEV(FILTER(P2535:P6603, AA2535:AA6603 =""Neighbor"")), """")"),2.1545801830889406)</f>
        <v>2.154580183</v>
      </c>
      <c r="AE2535" s="2">
        <f>IFERROR(__xludf.DUMMYFUNCTION("IFERROR(ABS(Q2535-AVERAGE(FILTER(Q2535:Q6603,AA2535:AA6603=""Neighbor""))) / STDEV(FILTER(Q2535:Q6603, AA2535:AA6603 =""Neighbor"")), """")"),0.6983102250349335)</f>
        <v>0.698310225</v>
      </c>
      <c r="AF2535" s="2">
        <f>IFERROR(__xludf.DUMMYFUNCTION("IFERROR(ABS(R2535-AVERAGE(FILTER(R2535:R6603,AA2535:AA6603=""Neighbor""))) / STDEV(FILTER(R2535:R6603, AA2535:AA6603 =""Neighbor"")), """")"),0.3331911930848232)</f>
        <v>0.3331911931</v>
      </c>
    </row>
    <row r="2536">
      <c r="A2536" s="2" t="s">
        <v>28</v>
      </c>
      <c r="B2536" s="2" t="s">
        <v>10071</v>
      </c>
      <c r="C2536" s="2" t="s">
        <v>10377</v>
      </c>
      <c r="D2536" s="2" t="s">
        <v>10398</v>
      </c>
      <c r="E2536" s="2" t="s">
        <v>10399</v>
      </c>
      <c r="F2536" s="2">
        <v>251.0</v>
      </c>
      <c r="G2536" s="2">
        <v>1799.0</v>
      </c>
      <c r="H2536" s="2" t="b">
        <v>1</v>
      </c>
      <c r="I2536" s="2">
        <v>-1.0</v>
      </c>
      <c r="J2536" s="2" t="b">
        <v>0</v>
      </c>
      <c r="K2536" s="2" t="b">
        <v>0</v>
      </c>
      <c r="L2536" s="2" t="b">
        <v>0</v>
      </c>
      <c r="M2536" s="2" t="b">
        <v>0</v>
      </c>
      <c r="N2536" s="2" t="s">
        <v>33</v>
      </c>
      <c r="O2536" s="2">
        <v>200.0</v>
      </c>
      <c r="P2536" s="2">
        <v>26.0</v>
      </c>
      <c r="Q2536" s="2">
        <v>13.0</v>
      </c>
      <c r="R2536" s="2">
        <v>0.0</v>
      </c>
      <c r="S2536" s="3" t="s">
        <v>10400</v>
      </c>
      <c r="T2536" s="2" t="s">
        <v>10401</v>
      </c>
      <c r="Y2536" s="4" t="str">
        <f>IFERROR(__xludf.DUMMYFUNCTION("""COMPUTED_VALUE"""),"6.8322014")</f>
        <v>6.8322014</v>
      </c>
      <c r="Z2536" s="4" t="str">
        <f>IFERROR(__xludf.DUMMYFUNCTION("""COMPUTED_VALUE"""),"3.6319131")</f>
        <v>3.6319131</v>
      </c>
      <c r="AA2536" s="4" t="str">
        <f t="shared" si="1"/>
        <v>Not Neighbor</v>
      </c>
      <c r="AC2536" s="4">
        <f>IFERROR(__xludf.DUMMYFUNCTION("IFERROR(ABS(O2536-AVERAGE(FILTER(O2536:O6604,AA2536:AA6604=""Neighbor""))) / STDEV(FILTER(O2536:O6604, AA2536:AA6604 =""Neighbor"")), """")"),4.353008875515162)</f>
        <v>4.353008876</v>
      </c>
      <c r="AD2536" s="4">
        <f>IFERROR(__xludf.DUMMYFUNCTION("IFERROR(ABS(P2536-AVERAGE(FILTER(O2536:P6604,AA2536:AA6604=""Neighbor""))) / STDEV(FILTER(P2536:P6604, AA2536:AA6604 =""Neighbor"")), """")"),0.33115834518602705)</f>
        <v>0.3311583452</v>
      </c>
      <c r="AE2536" s="2">
        <f>IFERROR(__xludf.DUMMYFUNCTION("IFERROR(ABS(Q2536-AVERAGE(FILTER(Q2536:Q6604,AA2536:AA6604=""Neighbor""))) / STDEV(FILTER(Q2536:Q6604, AA2536:AA6604 =""Neighbor"")), """")"),0.12418928200329724)</f>
        <v>0.124189282</v>
      </c>
      <c r="AF2536" s="2">
        <f>IFERROR(__xludf.DUMMYFUNCTION("IFERROR(ABS(R2536-AVERAGE(FILTER(R2536:R6604,AA2536:AA6604=""Neighbor""))) / STDEV(FILTER(R2536:R6604, AA2536:AA6604 =""Neighbor"")), """")"),0.3331911930848232)</f>
        <v>0.3331911931</v>
      </c>
    </row>
    <row r="2537">
      <c r="A2537" s="2" t="s">
        <v>28</v>
      </c>
      <c r="B2537" s="2" t="s">
        <v>10071</v>
      </c>
      <c r="C2537" s="2" t="s">
        <v>10377</v>
      </c>
      <c r="D2537" s="2" t="s">
        <v>10402</v>
      </c>
      <c r="E2537" s="2" t="s">
        <v>10403</v>
      </c>
      <c r="F2537" s="2">
        <v>118.0</v>
      </c>
      <c r="G2537" s="2">
        <v>1046.0</v>
      </c>
      <c r="H2537" s="2" t="b">
        <v>1</v>
      </c>
      <c r="I2537" s="2">
        <v>-1.0</v>
      </c>
      <c r="J2537" s="2" t="b">
        <v>1</v>
      </c>
      <c r="K2537" s="2" t="b">
        <v>0</v>
      </c>
      <c r="L2537" s="2" t="b">
        <v>0</v>
      </c>
      <c r="M2537" s="2" t="b">
        <v>0</v>
      </c>
      <c r="N2537" s="2" t="s">
        <v>33</v>
      </c>
      <c r="O2537" s="2">
        <v>60.0</v>
      </c>
      <c r="P2537" s="2">
        <v>34.0</v>
      </c>
      <c r="Q2537" s="2">
        <v>10.0</v>
      </c>
      <c r="R2537" s="2">
        <v>0.0</v>
      </c>
      <c r="S2537" s="3" t="s">
        <v>10404</v>
      </c>
      <c r="T2537" s="2" t="s">
        <v>10405</v>
      </c>
      <c r="Y2537" s="4" t="str">
        <f>IFERROR(__xludf.DUMMYFUNCTION("""COMPUTED_VALUE"""),"6.725073")</f>
        <v>6.725073</v>
      </c>
      <c r="Z2537" s="4" t="str">
        <f>IFERROR(__xludf.DUMMYFUNCTION("""COMPUTED_VALUE"""),"3.4763463")</f>
        <v>3.4763463</v>
      </c>
      <c r="AA2537" s="4" t="str">
        <f t="shared" si="1"/>
        <v>Not Neighbor</v>
      </c>
      <c r="AC2537" s="4">
        <f>IFERROR(__xludf.DUMMYFUNCTION("IFERROR(ABS(O2537-AVERAGE(FILTER(O2537:O6605,AA2537:AA6605=""Neighbor""))) / STDEV(FILTER(O2537:O6605, AA2537:AA6605 =""Neighbor"")), """")"),0.31313321918906656)</f>
        <v>0.3131332192</v>
      </c>
      <c r="AD2537" s="4">
        <f>IFERROR(__xludf.DUMMYFUNCTION("IFERROR(ABS(P2537-AVERAGE(FILTER(O2537:P6605,AA2537:AA6605=""Neighbor""))) / STDEV(FILTER(P2537:P6605, AA2537:AA6605 =""Neighbor"")), """")"),2.7345858396861904E-4)</f>
        <v>0.000273458584</v>
      </c>
      <c r="AE2537" s="2">
        <f>IFERROR(__xludf.DUMMYFUNCTION("IFERROR(ABS(Q2537-AVERAGE(FILTER(Q2537:Q6605,AA2537:AA6605=""Neighbor""))) / STDEV(FILTER(Q2537:Q6605, AA2537:AA6605 =""Neighbor"")), """")"),0.3004391763686324)</f>
        <v>0.3004391764</v>
      </c>
      <c r="AF2537" s="2">
        <f>IFERROR(__xludf.DUMMYFUNCTION("IFERROR(ABS(R2537-AVERAGE(FILTER(R2537:R6605,AA2537:AA6605=""Neighbor""))) / STDEV(FILTER(R2537:R6605, AA2537:AA6605 =""Neighbor"")), """")"),0.3331911930848232)</f>
        <v>0.3331911931</v>
      </c>
    </row>
    <row r="2538">
      <c r="A2538" s="2" t="s">
        <v>28</v>
      </c>
      <c r="B2538" s="2" t="s">
        <v>10071</v>
      </c>
      <c r="C2538" s="2" t="s">
        <v>10377</v>
      </c>
      <c r="D2538" s="2" t="s">
        <v>10406</v>
      </c>
      <c r="E2538" s="2" t="s">
        <v>10407</v>
      </c>
      <c r="F2538" s="2">
        <v>331.0</v>
      </c>
      <c r="G2538" s="2">
        <v>2585.0</v>
      </c>
      <c r="H2538" s="2" t="b">
        <v>1</v>
      </c>
      <c r="I2538" s="2">
        <v>-1.0</v>
      </c>
      <c r="J2538" s="2" t="b">
        <v>1</v>
      </c>
      <c r="K2538" s="2" t="b">
        <v>0</v>
      </c>
      <c r="L2538" s="2" t="b">
        <v>0</v>
      </c>
      <c r="M2538" s="2" t="b">
        <v>0</v>
      </c>
      <c r="N2538" s="2" t="s">
        <v>33</v>
      </c>
      <c r="O2538" s="2">
        <v>185.0</v>
      </c>
      <c r="P2538" s="2">
        <v>81.0</v>
      </c>
      <c r="Q2538" s="2">
        <v>40.0</v>
      </c>
      <c r="R2538" s="2">
        <v>2.0</v>
      </c>
      <c r="S2538" s="3" t="s">
        <v>10408</v>
      </c>
      <c r="T2538" s="2" t="s">
        <v>10409</v>
      </c>
      <c r="Y2538" s="4" t="str">
        <f>IFERROR(__xludf.DUMMYFUNCTION("""COMPUTED_VALUE"""),"6.677562")</f>
        <v>6.677562</v>
      </c>
      <c r="Z2538" s="4" t="str">
        <f>IFERROR(__xludf.DUMMYFUNCTION("""COMPUTED_VALUE"""),"3.5863313")</f>
        <v>3.5863313</v>
      </c>
      <c r="AA2538" s="4" t="str">
        <f t="shared" si="1"/>
        <v>Not Neighbor</v>
      </c>
      <c r="AC2538" s="4">
        <f>IFERROR(__xludf.DUMMYFUNCTION("IFERROR(ABS(O2538-AVERAGE(FILTER(O2538:O6606,AA2538:AA6606=""Neighbor""))) / STDEV(FILTER(O2538:O6606, AA2538:AA6606 =""Neighbor"")), """")"),3.920165055194509)</f>
        <v>3.920165055</v>
      </c>
      <c r="AD2538" s="4">
        <f>IFERROR(__xludf.DUMMYFUNCTION("IFERROR(ABS(P2538-AVERAGE(FILTER(O2538:P6606,AA2538:AA6606=""Neighbor""))) / STDEV(FILTER(P2538:P6606, AA2538:AA6606 =""Neighbor"")), """")"),1.9474353057326932)</f>
        <v>1.947435306</v>
      </c>
      <c r="AE2538" s="2">
        <f>IFERROR(__xludf.DUMMYFUNCTION("IFERROR(ABS(Q2538-AVERAGE(FILTER(Q2538:Q6606,AA2538:AA6606=""Neighbor""))) / STDEV(FILTER(Q2538:Q6606, AA2538:AA6606 =""Neighbor"")), """")"),1.4620597672847189)</f>
        <v>1.462059767</v>
      </c>
      <c r="AF2538" s="2">
        <f>IFERROR(__xludf.DUMMYFUNCTION("IFERROR(ABS(R2538-AVERAGE(FILTER(R2538:R6606,AA2538:AA6606=""Neighbor""))) / STDEV(FILTER(R2538:R6606, AA2538:AA6606 =""Neighbor"")), """")"),1.9743958127369237)</f>
        <v>1.974395813</v>
      </c>
    </row>
    <row r="2539">
      <c r="A2539" s="2" t="s">
        <v>28</v>
      </c>
      <c r="B2539" s="2" t="s">
        <v>10071</v>
      </c>
      <c r="C2539" s="2" t="s">
        <v>10377</v>
      </c>
      <c r="D2539" s="2" t="s">
        <v>10410</v>
      </c>
      <c r="E2539" s="2" t="s">
        <v>10411</v>
      </c>
      <c r="F2539" s="2">
        <v>158.0</v>
      </c>
      <c r="G2539" s="2">
        <v>902.0</v>
      </c>
      <c r="H2539" s="2" t="b">
        <v>1</v>
      </c>
      <c r="I2539" s="2">
        <v>-1.0</v>
      </c>
      <c r="J2539" s="2" t="b">
        <v>0</v>
      </c>
      <c r="K2539" s="2" t="b">
        <v>0</v>
      </c>
      <c r="L2539" s="2" t="b">
        <v>0</v>
      </c>
      <c r="M2539" s="2" t="b">
        <v>0</v>
      </c>
      <c r="N2539" s="2" t="s">
        <v>33</v>
      </c>
      <c r="O2539" s="2">
        <v>67.0</v>
      </c>
      <c r="P2539" s="2">
        <v>47.0</v>
      </c>
      <c r="Q2539" s="2">
        <v>31.0</v>
      </c>
      <c r="R2539" s="2">
        <v>1.0</v>
      </c>
      <c r="S2539" s="3" t="s">
        <v>10412</v>
      </c>
      <c r="T2539" s="2" t="s">
        <v>10413</v>
      </c>
      <c r="Y2539" s="4" t="str">
        <f>IFERROR(__xludf.DUMMYFUNCTION("""COMPUTED_VALUE"""),"6.8322014")</f>
        <v>6.8322014</v>
      </c>
      <c r="Z2539" s="4" t="str">
        <f>IFERROR(__xludf.DUMMYFUNCTION("""COMPUTED_VALUE"""),"3.6319131")</f>
        <v>3.6319131</v>
      </c>
      <c r="AA2539" s="4" t="str">
        <f t="shared" si="1"/>
        <v>Neighbor</v>
      </c>
      <c r="AC2539" s="4">
        <f>IFERROR(__xludf.DUMMYFUNCTION("IFERROR(ABS(O2539-AVERAGE(FILTER(O2539:O6607,AA2539:AA6607=""Neighbor""))) / STDEV(FILTER(O2539:O6607, AA2539:AA6607 =""Neighbor"")), """")"),0.5151270020053713)</f>
        <v>0.515127002</v>
      </c>
      <c r="AD2539" s="4">
        <f>IFERROR(__xludf.DUMMYFUNCTION("IFERROR(ABS(P2539-AVERAGE(FILTER(O2539:P6607,AA2539:AA6607=""Neighbor""))) / STDEV(FILTER(P2539:P6607, AA2539:AA6607 =""Neighbor"")), """")"),0.5388501397102116)</f>
        <v>0.5388501397</v>
      </c>
      <c r="AE2539" s="2">
        <f>IFERROR(__xludf.DUMMYFUNCTION("IFERROR(ABS(Q2539-AVERAGE(FILTER(Q2539:Q6607,AA2539:AA6607=""Neighbor""))) / STDEV(FILTER(Q2539:Q6607, AA2539:AA6607 =""Neighbor"")), """")"),0.9333100841887136)</f>
        <v>0.9333100842</v>
      </c>
      <c r="AF2539" s="2">
        <f>IFERROR(__xludf.DUMMYFUNCTION("IFERROR(ABS(R2539-AVERAGE(FILTER(R2539:R6607,AA2539:AA6607=""Neighbor""))) / STDEV(FILTER(R2539:R6607, AA2539:AA6607 =""Neighbor"")), """")"),0.8206023098260503)</f>
        <v>0.8206023098</v>
      </c>
    </row>
    <row r="2540">
      <c r="A2540" s="2" t="s">
        <v>28</v>
      </c>
      <c r="B2540" s="2" t="s">
        <v>10071</v>
      </c>
      <c r="C2540" s="2" t="s">
        <v>10377</v>
      </c>
      <c r="D2540" s="2" t="s">
        <v>10414</v>
      </c>
      <c r="E2540" s="2" t="s">
        <v>10415</v>
      </c>
      <c r="F2540" s="2">
        <v>38.0</v>
      </c>
      <c r="G2540" s="2">
        <v>351.0</v>
      </c>
      <c r="H2540" s="2" t="b">
        <v>1</v>
      </c>
      <c r="I2540" s="2">
        <v>-1.0</v>
      </c>
      <c r="J2540" s="2" t="b">
        <v>0</v>
      </c>
      <c r="K2540" s="2" t="b">
        <v>0</v>
      </c>
      <c r="L2540" s="2" t="b">
        <v>0</v>
      </c>
      <c r="M2540" s="2" t="b">
        <v>0</v>
      </c>
      <c r="N2540" s="2" t="s">
        <v>33</v>
      </c>
      <c r="O2540" s="2">
        <v>6.0</v>
      </c>
      <c r="P2540" s="2">
        <v>13.0</v>
      </c>
      <c r="Q2540" s="2">
        <v>6.0</v>
      </c>
      <c r="R2540" s="2">
        <v>0.0</v>
      </c>
      <c r="S2540" s="3" t="s">
        <v>10416</v>
      </c>
      <c r="T2540" s="2" t="s">
        <v>10417</v>
      </c>
      <c r="Y2540" s="4" t="str">
        <f>IFERROR(__xludf.DUMMYFUNCTION("""COMPUTED_VALUE"""),"6.8322014")</f>
        <v>6.8322014</v>
      </c>
      <c r="Z2540" s="4" t="str">
        <f>IFERROR(__xludf.DUMMYFUNCTION("""COMPUTED_VALUE"""),"3.6319131")</f>
        <v>3.6319131</v>
      </c>
      <c r="AA2540" s="4" t="str">
        <f t="shared" si="1"/>
        <v>Neighbor</v>
      </c>
      <c r="AC2540" s="4">
        <f>IFERROR(__xludf.DUMMYFUNCTION("IFERROR(ABS(O2540-AVERAGE(FILTER(O2540:O6608,AA2540:AA6608=""Neighbor""))) / STDEV(FILTER(O2540:O6608, AA2540:AA6608 =""Neighbor"")), """")"),1.2434975334388112)</f>
        <v>1.243497533</v>
      </c>
      <c r="AD2540" s="4">
        <f>IFERROR(__xludf.DUMMYFUNCTION("IFERROR(ABS(P2540-AVERAGE(FILTER(O2540:P6608,AA2540:AA6608=""Neighbor""))) / STDEV(FILTER(P2540:P6608, AA2540:AA6608 =""Neighbor"")), """")"),0.8684209194075071)</f>
        <v>0.8684209194</v>
      </c>
      <c r="AE2540" s="2">
        <f>IFERROR(__xludf.DUMMYFUNCTION("IFERROR(ABS(Q2540-AVERAGE(FILTER(Q2540:Q6608,AA2540:AA6608=""Neighbor""))) / STDEV(FILTER(Q2540:Q6608, AA2540:AA6608 =""Neighbor"")), """")"),0.5338400356397699)</f>
        <v>0.5338400356</v>
      </c>
      <c r="AF2540" s="2">
        <f>IFERROR(__xludf.DUMMYFUNCTION("IFERROR(ABS(R2540-AVERAGE(FILTER(R2540:R6608,AA2540:AA6608=""Neighbor""))) / STDEV(FILTER(R2540:R6608, AA2540:AA6608 =""Neighbor"")), """")"),0.33174544797773536)</f>
        <v>0.331745448</v>
      </c>
    </row>
    <row r="2541">
      <c r="A2541" s="2" t="s">
        <v>28</v>
      </c>
      <c r="B2541" s="2" t="s">
        <v>10071</v>
      </c>
      <c r="C2541" s="2" t="s">
        <v>10377</v>
      </c>
      <c r="D2541" s="2" t="s">
        <v>10418</v>
      </c>
      <c r="E2541" s="2" t="s">
        <v>10419</v>
      </c>
      <c r="F2541" s="2">
        <v>96.0</v>
      </c>
      <c r="G2541" s="2">
        <v>520.0</v>
      </c>
      <c r="H2541" s="2" t="b">
        <v>1</v>
      </c>
      <c r="I2541" s="2">
        <v>-1.0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s">
        <v>33</v>
      </c>
      <c r="O2541" s="2">
        <v>61.0</v>
      </c>
      <c r="P2541" s="2">
        <v>9.0</v>
      </c>
      <c r="Q2541" s="2">
        <v>23.0</v>
      </c>
      <c r="R2541" s="2">
        <v>0.0</v>
      </c>
      <c r="S2541" s="3" t="s">
        <v>10420</v>
      </c>
      <c r="T2541" s="2" t="s">
        <v>10421</v>
      </c>
      <c r="Y2541" s="4" t="str">
        <f>IFERROR(__xludf.DUMMYFUNCTION("""COMPUTED_VALUE"""),"6.8322014")</f>
        <v>6.8322014</v>
      </c>
      <c r="Z2541" s="4" t="str">
        <f>IFERROR(__xludf.DUMMYFUNCTION("""COMPUTED_VALUE"""),"3.6319131")</f>
        <v>3.6319131</v>
      </c>
      <c r="AA2541" s="4" t="str">
        <f t="shared" si="1"/>
        <v>Neighbor</v>
      </c>
      <c r="AC2541" s="4">
        <f>IFERROR(__xludf.DUMMYFUNCTION("IFERROR(ABS(O2541-AVERAGE(FILTER(O2541:O6609,AA2541:AA6609=""Neighbor""))) / STDEV(FILTER(O2541:O6609, AA2541:AA6609 =""Neighbor"")), """")"),0.34072906841281614)</f>
        <v>0.3407290684</v>
      </c>
      <c r="AD2541" s="4">
        <f>IFERROR(__xludf.DUMMYFUNCTION("IFERROR(ABS(P2541-AVERAGE(FILTER(O2541:P6609,AA2541:AA6609=""Neighbor""))) / STDEV(FILTER(P2541:P6609, AA2541:AA6609 =""Neighbor"")), """")"),1.0350562133203676)</f>
        <v>1.035056213</v>
      </c>
      <c r="AE2541" s="2">
        <f>IFERROR(__xludf.DUMMYFUNCTION("IFERROR(ABS(Q2541-AVERAGE(FILTER(Q2541:Q6609,AA2541:AA6609=""Neighbor""))) / STDEV(FILTER(Q2541:Q6609, AA2541:AA6609 =""Neighbor"")), """")"),0.4636455091506141)</f>
        <v>0.4636455092</v>
      </c>
      <c r="AF2541" s="2">
        <f>IFERROR(__xludf.DUMMYFUNCTION("IFERROR(ABS(R2541-AVERAGE(FILTER(R2541:R6609,AA2541:AA6609=""Neighbor""))) / STDEV(FILTER(R2541:R6609, AA2541:AA6609 =""Neighbor"")), """")"),0.3320498059877052)</f>
        <v>0.332049806</v>
      </c>
    </row>
    <row r="2542">
      <c r="A2542" s="2" t="s">
        <v>28</v>
      </c>
      <c r="B2542" s="2" t="s">
        <v>10071</v>
      </c>
      <c r="C2542" s="2" t="s">
        <v>10377</v>
      </c>
      <c r="D2542" s="2" t="s">
        <v>10422</v>
      </c>
      <c r="E2542" s="2" t="s">
        <v>10423</v>
      </c>
      <c r="F2542" s="2">
        <v>166.0</v>
      </c>
      <c r="G2542" s="2">
        <v>750.0</v>
      </c>
      <c r="H2542" s="2" t="b">
        <v>1</v>
      </c>
      <c r="I2542" s="2">
        <v>-1.0</v>
      </c>
      <c r="J2542" s="2" t="b">
        <v>0</v>
      </c>
      <c r="K2542" s="2" t="b">
        <v>0</v>
      </c>
      <c r="L2542" s="2" t="b">
        <v>0</v>
      </c>
      <c r="M2542" s="2" t="b">
        <v>0</v>
      </c>
      <c r="N2542" s="2" t="s">
        <v>33</v>
      </c>
      <c r="O2542" s="2">
        <v>101.0</v>
      </c>
      <c r="P2542" s="2">
        <v>34.0</v>
      </c>
      <c r="Q2542" s="2">
        <v>11.0</v>
      </c>
      <c r="R2542" s="2">
        <v>0.0</v>
      </c>
      <c r="S2542" s="3" t="s">
        <v>10424</v>
      </c>
      <c r="T2542" s="2" t="s">
        <v>10425</v>
      </c>
      <c r="Y2542" s="4" t="str">
        <f>IFERROR(__xludf.DUMMYFUNCTION("""COMPUTED_VALUE"""),"6.8322014")</f>
        <v>6.8322014</v>
      </c>
      <c r="Z2542" s="4" t="str">
        <f>IFERROR(__xludf.DUMMYFUNCTION("""COMPUTED_VALUE"""),"3.6319131")</f>
        <v>3.6319131</v>
      </c>
      <c r="AA2542" s="4" t="str">
        <f t="shared" si="1"/>
        <v>Neighbor</v>
      </c>
      <c r="AC2542" s="4">
        <f>IFERROR(__xludf.DUMMYFUNCTION("IFERROR(ABS(O2542-AVERAGE(FILTER(O2542:O6610,AA2542:AA6610=""Neighbor""))) / STDEV(FILTER(O2542:O6610, AA2542:AA6610 =""Neighbor"")), """")"),1.4942723859819524)</f>
        <v>1.494272386</v>
      </c>
      <c r="AD2542" s="4">
        <f>IFERROR(__xludf.DUMMYFUNCTION("IFERROR(ABS(P2542-AVERAGE(FILTER(O2542:P6610,AA2542:AA6610=""Neighbor""))) / STDEV(FILTER(P2542:P6610, AA2542:AA6610 =""Neighbor"")), """")"),2.4018483603362802E-4)</f>
        <v>0.000240184836</v>
      </c>
      <c r="AE2542" s="2">
        <f>IFERROR(__xludf.DUMMYFUNCTION("IFERROR(ABS(Q2542-AVERAGE(FILTER(Q2542:Q6610,AA2542:AA6610=""Neighbor""))) / STDEV(FILTER(Q2542:Q6610, AA2542:AA6610 =""Neighbor"")), """")"),0.2399371639590068)</f>
        <v>0.239937164</v>
      </c>
      <c r="AF2542" s="2">
        <f>IFERROR(__xludf.DUMMYFUNCTION("IFERROR(ABS(R2542-AVERAGE(FILTER(R2542:R6610,AA2542:AA6610=""Neighbor""))) / STDEV(FILTER(R2542:R6610, AA2542:AA6610 =""Neighbor"")), """")"),0.33235500339702034)</f>
        <v>0.3323550034</v>
      </c>
    </row>
    <row r="2543">
      <c r="A2543" s="2" t="s">
        <v>28</v>
      </c>
      <c r="B2543" s="2" t="s">
        <v>10071</v>
      </c>
      <c r="C2543" s="2" t="s">
        <v>10377</v>
      </c>
      <c r="D2543" s="2" t="s">
        <v>10426</v>
      </c>
      <c r="E2543" s="2" t="s">
        <v>10427</v>
      </c>
      <c r="F2543" s="2">
        <v>331.0</v>
      </c>
      <c r="G2543" s="2">
        <v>2324.0</v>
      </c>
      <c r="H2543" s="2" t="b">
        <v>1</v>
      </c>
      <c r="I2543" s="2">
        <v>-1.0</v>
      </c>
      <c r="J2543" s="2" t="b">
        <v>0</v>
      </c>
      <c r="K2543" s="2" t="b">
        <v>0</v>
      </c>
      <c r="L2543" s="2" t="b">
        <v>0</v>
      </c>
      <c r="M2543" s="2" t="b">
        <v>0</v>
      </c>
      <c r="N2543" s="2" t="s">
        <v>33</v>
      </c>
      <c r="O2543" s="2">
        <v>204.0</v>
      </c>
      <c r="P2543" s="2">
        <v>67.0</v>
      </c>
      <c r="Q2543" s="2">
        <v>28.0</v>
      </c>
      <c r="R2543" s="2">
        <v>3.0</v>
      </c>
      <c r="S2543" s="3" t="s">
        <v>10428</v>
      </c>
      <c r="T2543" s="2" t="s">
        <v>10429</v>
      </c>
      <c r="Y2543" s="4" t="str">
        <f>IFERROR(__xludf.DUMMYFUNCTION("""COMPUTED_VALUE"""),"6.8322014")</f>
        <v>6.8322014</v>
      </c>
      <c r="Z2543" s="4" t="str">
        <f>IFERROR(__xludf.DUMMYFUNCTION("""COMPUTED_VALUE"""),"3.6319131")</f>
        <v>3.6319131</v>
      </c>
      <c r="AA2543" s="4" t="str">
        <f t="shared" si="1"/>
        <v>Neighbor</v>
      </c>
      <c r="AC2543" s="4">
        <f>IFERROR(__xludf.DUMMYFUNCTION("IFERROR(ABS(O2543-AVERAGE(FILTER(O2543:O6611,AA2543:AA6611=""Neighbor""))) / STDEV(FILTER(O2543:O6611, AA2543:AA6611 =""Neighbor"")), """")"),4.470919756443199)</f>
        <v>4.470919756</v>
      </c>
      <c r="AD2543" s="4">
        <f>IFERROR(__xludf.DUMMYFUNCTION("IFERROR(ABS(P2543-AVERAGE(FILTER(O2543:P6611,AA2543:AA6611=""Neighbor""))) / STDEV(FILTER(P2543:P6611, AA2543:AA6611 =""Neighbor"")), """")"),1.3674093710064763)</f>
        <v>1.367409371</v>
      </c>
      <c r="AE2543" s="2">
        <f>IFERROR(__xludf.DUMMYFUNCTION("IFERROR(ABS(Q2543-AVERAGE(FILTER(Q2543:Q6611,AA2543:AA6611=""Neighbor""))) / STDEV(FILTER(Q2543:Q6611, AA2543:AA6611 =""Neighbor"")), """")"),0.7564744749709286)</f>
        <v>0.756474475</v>
      </c>
      <c r="AF2543" s="2">
        <f>IFERROR(__xludf.DUMMYFUNCTION("IFERROR(ABS(R2543-AVERAGE(FILTER(R2543:R6611,AA2543:AA6611=""Neighbor""))) / STDEV(FILTER(R2543:R6611, AA2543:AA6611 =""Neighbor"")), """")"),3.1201311719838474)</f>
        <v>3.120131172</v>
      </c>
    </row>
    <row r="2544">
      <c r="A2544" s="2" t="s">
        <v>28</v>
      </c>
      <c r="B2544" s="2" t="s">
        <v>10071</v>
      </c>
      <c r="C2544" s="2" t="s">
        <v>10377</v>
      </c>
      <c r="D2544" s="2" t="s">
        <v>10430</v>
      </c>
      <c r="E2544" s="2" t="s">
        <v>10431</v>
      </c>
      <c r="F2544" s="2">
        <v>238.0</v>
      </c>
      <c r="G2544" s="2">
        <v>1257.0</v>
      </c>
      <c r="H2544" s="2" t="b">
        <v>1</v>
      </c>
      <c r="I2544" s="2">
        <v>-1.0</v>
      </c>
      <c r="J2544" s="2" t="b">
        <v>0</v>
      </c>
      <c r="K2544" s="2" t="b">
        <v>0</v>
      </c>
      <c r="L2544" s="2" t="b">
        <v>0</v>
      </c>
      <c r="M2544" s="2" t="b">
        <v>0</v>
      </c>
      <c r="N2544" s="2" t="s">
        <v>33</v>
      </c>
      <c r="O2544" s="2">
        <v>154.0</v>
      </c>
      <c r="P2544" s="2">
        <v>54.0</v>
      </c>
      <c r="Q2544" s="2">
        <v>21.0</v>
      </c>
      <c r="R2544" s="2">
        <v>0.0</v>
      </c>
      <c r="S2544" s="3" t="s">
        <v>10432</v>
      </c>
      <c r="T2544" s="2" t="s">
        <v>10433</v>
      </c>
      <c r="Y2544" s="4" t="str">
        <f>IFERROR(__xludf.DUMMYFUNCTION("""COMPUTED_VALUE"""),"6.8322014")</f>
        <v>6.8322014</v>
      </c>
      <c r="Z2544" s="4" t="str">
        <f>IFERROR(__xludf.DUMMYFUNCTION("""COMPUTED_VALUE"""),"3.6319131")</f>
        <v>3.6319131</v>
      </c>
      <c r="AA2544" s="4" t="str">
        <f t="shared" si="1"/>
        <v>Neighbor</v>
      </c>
      <c r="AC2544" s="4">
        <f>IFERROR(__xludf.DUMMYFUNCTION("IFERROR(ABS(O2544-AVERAGE(FILTER(O2544:O6612,AA2544:AA6612=""Neighbor""))) / STDEV(FILTER(O2544:O6612, AA2544:AA6612 =""Neighbor"")), """")"),3.0846293368394946)</f>
        <v>3.084629337</v>
      </c>
      <c r="AD2544" s="4">
        <f>IFERROR(__xludf.DUMMYFUNCTION("IFERROR(ABS(P2544-AVERAGE(FILTER(O2544:P6612,AA2544:AA6612=""Neighbor""))) / STDEV(FILTER(P2544:P6612, AA2544:AA6612 =""Neighbor"")), """")"),0.8388106931712704)</f>
        <v>0.8388106932</v>
      </c>
      <c r="AE2544" s="2">
        <f>IFERROR(__xludf.DUMMYFUNCTION("IFERROR(ABS(Q2544-AVERAGE(FILTER(Q2544:Q6612,AA2544:AA6612=""Neighbor""))) / STDEV(FILTER(Q2544:Q6612, AA2544:AA6612 =""Neighbor"")), """")"),0.34723592233866324)</f>
        <v>0.3472359223</v>
      </c>
      <c r="AF2544" s="2">
        <f>IFERROR(__xludf.DUMMYFUNCTION("IFERROR(ABS(R2544-AVERAGE(FILTER(R2544:R6612,AA2544:AA6612=""Neighbor""))) / STDEV(FILTER(R2544:R6612, AA2544:AA6612 =""Neighbor"")), """")"),0.3298841096500652)</f>
        <v>0.3298841097</v>
      </c>
    </row>
    <row r="2545">
      <c r="A2545" s="2" t="s">
        <v>28</v>
      </c>
      <c r="B2545" s="2" t="s">
        <v>10071</v>
      </c>
      <c r="C2545" s="2" t="s">
        <v>10377</v>
      </c>
      <c r="D2545" s="2" t="s">
        <v>10434</v>
      </c>
      <c r="E2545" s="2" t="s">
        <v>10435</v>
      </c>
      <c r="F2545" s="2">
        <v>228.0</v>
      </c>
      <c r="G2545" s="2">
        <v>2130.0</v>
      </c>
      <c r="H2545" s="2" t="b">
        <v>1</v>
      </c>
      <c r="I2545" s="2">
        <v>-1.0</v>
      </c>
      <c r="J2545" s="2" t="b">
        <v>1</v>
      </c>
      <c r="K2545" s="2" t="b">
        <v>0</v>
      </c>
      <c r="L2545" s="2" t="b">
        <v>0</v>
      </c>
      <c r="M2545" s="2" t="b">
        <v>0</v>
      </c>
      <c r="N2545" s="2" t="s">
        <v>33</v>
      </c>
      <c r="O2545" s="2">
        <v>165.0</v>
      </c>
      <c r="P2545" s="2">
        <v>43.0</v>
      </c>
      <c r="Q2545" s="2">
        <v>14.0</v>
      </c>
      <c r="R2545" s="2">
        <v>0.0</v>
      </c>
      <c r="S2545" s="3" t="s">
        <v>10436</v>
      </c>
      <c r="T2545" s="2" t="s">
        <v>10437</v>
      </c>
      <c r="Y2545" s="4" t="str">
        <f>IFERROR(__xludf.DUMMYFUNCTION("""COMPUTED_VALUE"""),"6.8322014")</f>
        <v>6.8322014</v>
      </c>
      <c r="Z2545" s="4" t="str">
        <f>IFERROR(__xludf.DUMMYFUNCTION("""COMPUTED_VALUE"""),"3.6319131")</f>
        <v>3.6319131</v>
      </c>
      <c r="AA2545" s="4" t="str">
        <f t="shared" si="1"/>
        <v>Not Neighbor</v>
      </c>
      <c r="AC2545" s="4">
        <f>IFERROR(__xludf.DUMMYFUNCTION("IFERROR(ABS(O2545-AVERAGE(FILTER(O2545:O6613,AA2545:AA6613=""Neighbor""))) / STDEV(FILTER(O2545:O6613, AA2545:AA6613 =""Neighbor"")), """")"),3.436952174848627)</f>
        <v>3.436952175</v>
      </c>
      <c r="AD2545" s="4">
        <f>IFERROR(__xludf.DUMMYFUNCTION("IFERROR(ABS(P2545-AVERAGE(FILTER(O2545:P6613,AA2545:AA6613=""Neighbor""))) / STDEV(FILTER(P2545:P6613, AA2545:AA6613 =""Neighbor"")), """")"),0.3879440881138653)</f>
        <v>0.3879440881</v>
      </c>
      <c r="AE2545" s="2">
        <f>IFERROR(__xludf.DUMMYFUNCTION("IFERROR(ABS(Q2545-AVERAGE(FILTER(Q2545:Q6613,AA2545:AA6613=""Neighbor""))) / STDEV(FILTER(Q2545:Q6613, AA2545:AA6613 =""Neighbor"")), """")"),0.06236748820087279)</f>
        <v>0.0623674882</v>
      </c>
      <c r="AF2545" s="2">
        <f>IFERROR(__xludf.DUMMYFUNCTION("IFERROR(ABS(R2545-AVERAGE(FILTER(R2545:R6613,AA2545:AA6613=""Neighbor""))) / STDEV(FILTER(R2545:R6613, AA2545:AA6613 =""Neighbor"")), """")"),0.33018843489906036)</f>
        <v>0.3301884349</v>
      </c>
    </row>
    <row r="2546">
      <c r="A2546" s="2" t="s">
        <v>28</v>
      </c>
      <c r="B2546" s="2" t="s">
        <v>10071</v>
      </c>
      <c r="C2546" s="2" t="s">
        <v>10438</v>
      </c>
      <c r="D2546" s="2" t="s">
        <v>10439</v>
      </c>
      <c r="E2546" s="2" t="s">
        <v>10440</v>
      </c>
      <c r="F2546" s="2">
        <v>143.0</v>
      </c>
      <c r="G2546" s="2">
        <v>750.0</v>
      </c>
      <c r="H2546" s="2" t="b">
        <v>1</v>
      </c>
      <c r="I2546" s="2">
        <v>-1.0</v>
      </c>
      <c r="J2546" s="2" t="b">
        <v>0</v>
      </c>
      <c r="K2546" s="2" t="b">
        <v>0</v>
      </c>
      <c r="L2546" s="2" t="b">
        <v>0</v>
      </c>
      <c r="M2546" s="2" t="b">
        <v>0</v>
      </c>
      <c r="N2546" s="2" t="s">
        <v>33</v>
      </c>
      <c r="O2546" s="2">
        <v>77.0</v>
      </c>
      <c r="P2546" s="2">
        <v>23.0</v>
      </c>
      <c r="Q2546" s="2">
        <v>34.0</v>
      </c>
      <c r="R2546" s="2">
        <v>0.0</v>
      </c>
      <c r="S2546" s="3" t="s">
        <v>10441</v>
      </c>
      <c r="T2546" s="2" t="s">
        <v>10442</v>
      </c>
      <c r="Y2546" s="4" t="str">
        <f>IFERROR(__xludf.DUMMYFUNCTION("""COMPUTED_VALUE"""),"6.498293")</f>
        <v>6.498293</v>
      </c>
      <c r="Z2546" s="4" t="str">
        <f>IFERROR(__xludf.DUMMYFUNCTION("""COMPUTED_VALUE"""),"3.348572")</f>
        <v>3.348572</v>
      </c>
      <c r="AA2546" s="4" t="str">
        <f t="shared" si="1"/>
        <v>Not Neighbor</v>
      </c>
      <c r="AC2546" s="4">
        <f>IFERROR(__xludf.DUMMYFUNCTION("IFERROR(ABS(O2546-AVERAGE(FILTER(O2546:O6614,AA2546:AA6614=""Neighbor""))) / STDEV(FILTER(O2546:O6614, AA2546:AA6614 =""Neighbor"")), """")"),0.8374152264321263)</f>
        <v>0.8374152264</v>
      </c>
      <c r="AD2546" s="4">
        <f>IFERROR(__xludf.DUMMYFUNCTION("IFERROR(ABS(P2546-AVERAGE(FILTER(O2546:P6614,AA2546:AA6614=""Neighbor""))) / STDEV(FILTER(P2546:P6614, AA2546:AA6614 =""Neighbor"")), """")"),0.4421047765320089)</f>
        <v>0.4421047765</v>
      </c>
      <c r="AE2546" s="2">
        <f>IFERROR(__xludf.DUMMYFUNCTION("IFERROR(ABS(Q2546-AVERAGE(FILTER(Q2546:Q6614,AA2546:AA6614=""Neighbor""))) / STDEV(FILTER(Q2546:Q6614, AA2546:AA6614 =""Neighbor"")), """")"),1.1088529474962694)</f>
        <v>1.108852947</v>
      </c>
      <c r="AF2546" s="2">
        <f>IFERROR(__xludf.DUMMYFUNCTION("IFERROR(ABS(R2546-AVERAGE(FILTER(R2546:R6614,AA2546:AA6614=""Neighbor""))) / STDEV(FILTER(R2546:R6614, AA2546:AA6614 =""Neighbor"")), """")"),0.33018843489906036)</f>
        <v>0.3301884349</v>
      </c>
    </row>
    <row r="2547">
      <c r="A2547" s="2" t="s">
        <v>28</v>
      </c>
      <c r="B2547" s="2" t="s">
        <v>10071</v>
      </c>
      <c r="C2547" s="2" t="s">
        <v>10438</v>
      </c>
      <c r="D2547" s="2" t="s">
        <v>10443</v>
      </c>
      <c r="E2547" s="2" t="s">
        <v>10444</v>
      </c>
      <c r="F2547" s="2">
        <v>160.0</v>
      </c>
      <c r="G2547" s="2">
        <v>750.0</v>
      </c>
      <c r="H2547" s="2" t="b">
        <v>1</v>
      </c>
      <c r="I2547" s="2">
        <v>-1.0</v>
      </c>
      <c r="J2547" s="2" t="b">
        <v>0</v>
      </c>
      <c r="K2547" s="2" t="b">
        <v>0</v>
      </c>
      <c r="L2547" s="2" t="b">
        <v>0</v>
      </c>
      <c r="M2547" s="2" t="b">
        <v>0</v>
      </c>
      <c r="N2547" s="2" t="s">
        <v>33</v>
      </c>
      <c r="O2547" s="2">
        <v>75.0</v>
      </c>
      <c r="P2547" s="2">
        <v>8.0</v>
      </c>
      <c r="Q2547" s="2">
        <v>74.0</v>
      </c>
      <c r="R2547" s="2">
        <v>0.0</v>
      </c>
      <c r="S2547" s="3" t="s">
        <v>10445</v>
      </c>
      <c r="T2547" s="2" t="s">
        <v>10446</v>
      </c>
      <c r="Y2547" s="4" t="str">
        <f>IFERROR(__xludf.DUMMYFUNCTION("""COMPUTED_VALUE"""),"6.8322014")</f>
        <v>6.8322014</v>
      </c>
      <c r="Z2547" s="4" t="str">
        <f>IFERROR(__xludf.DUMMYFUNCTION("""COMPUTED_VALUE"""),"3.6319131")</f>
        <v>3.6319131</v>
      </c>
      <c r="AA2547" s="4" t="str">
        <f t="shared" si="1"/>
        <v>Neighbor</v>
      </c>
      <c r="AC2547" s="4">
        <f>IFERROR(__xludf.DUMMYFUNCTION("IFERROR(ABS(O2547-AVERAGE(FILTER(O2547:O6615,AA2547:AA6615=""Neighbor""))) / STDEV(FILTER(O2547:O6615, AA2547:AA6615 =""Neighbor"")), """")"),0.7783348412408422)</f>
        <v>0.7783348412</v>
      </c>
      <c r="AD2547" s="4">
        <f>IFERROR(__xludf.DUMMYFUNCTION("IFERROR(ABS(P2547-AVERAGE(FILTER(O2547:P6615,AA2547:AA6615=""Neighbor""))) / STDEV(FILTER(P2547:P6615, AA2547:AA6615 =""Neighbor"")), """")"),1.0646414250164147)</f>
        <v>1.064641425</v>
      </c>
      <c r="AE2547" s="2">
        <f>IFERROR(__xludf.DUMMYFUNCTION("IFERROR(ABS(Q2547-AVERAGE(FILTER(Q2547:Q6615,AA2547:AA6615=""Neighbor""))) / STDEV(FILTER(Q2547:Q6615, AA2547:AA6615 =""Neighbor"")), """")"),3.4512938188905538)</f>
        <v>3.451293819</v>
      </c>
      <c r="AF2547" s="2">
        <f>IFERROR(__xludf.DUMMYFUNCTION("IFERROR(ABS(R2547-AVERAGE(FILTER(R2547:R6615,AA2547:AA6615=""Neighbor""))) / STDEV(FILTER(R2547:R6615, AA2547:AA6615 =""Neighbor"")), """")"),0.33018843489906036)</f>
        <v>0.3301884349</v>
      </c>
    </row>
    <row r="2548">
      <c r="A2548" s="2" t="s">
        <v>28</v>
      </c>
      <c r="B2548" s="2" t="s">
        <v>10071</v>
      </c>
      <c r="C2548" s="2" t="s">
        <v>10438</v>
      </c>
      <c r="D2548" s="2" t="s">
        <v>10447</v>
      </c>
      <c r="E2548" s="2" t="s">
        <v>10448</v>
      </c>
      <c r="F2548" s="2">
        <v>199.0</v>
      </c>
      <c r="G2548" s="2">
        <v>995.0</v>
      </c>
      <c r="H2548" s="2" t="b">
        <v>1</v>
      </c>
      <c r="I2548" s="2">
        <v>-1.0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s">
        <v>33</v>
      </c>
      <c r="O2548" s="2">
        <v>126.0</v>
      </c>
      <c r="P2548" s="2">
        <v>16.0</v>
      </c>
      <c r="Q2548" s="2">
        <v>49.0</v>
      </c>
      <c r="R2548" s="2">
        <v>0.0</v>
      </c>
      <c r="S2548" s="3" t="s">
        <v>10449</v>
      </c>
      <c r="T2548" s="2" t="s">
        <v>10450</v>
      </c>
      <c r="Y2548" s="4" t="str">
        <f>IFERROR(__xludf.DUMMYFUNCTION("""COMPUTED_VALUE"""),"6.8322014")</f>
        <v>6.8322014</v>
      </c>
      <c r="Z2548" s="4" t="str">
        <f>IFERROR(__xludf.DUMMYFUNCTION("""COMPUTED_VALUE"""),"3.6319131")</f>
        <v>3.6319131</v>
      </c>
      <c r="AA2548" s="4" t="str">
        <f t="shared" si="1"/>
        <v>Not Neighbor</v>
      </c>
      <c r="AC2548" s="4">
        <f>IFERROR(__xludf.DUMMYFUNCTION("IFERROR(ABS(O2548-AVERAGE(FILTER(O2548:O6616,AA2548:AA6616=""Neighbor""))) / STDEV(FILTER(O2548:O6616, AA2548:AA6616 =""Neighbor"")), """")"),2.2854328442558294)</f>
        <v>2.285432844</v>
      </c>
      <c r="AD2548" s="4">
        <f>IFERROR(__xludf.DUMMYFUNCTION("IFERROR(ABS(P2548-AVERAGE(FILTER(O2548:P6616,AA2548:AA6616=""Neighbor""))) / STDEV(FILTER(P2548:P6616, AA2548:AA6616 =""Neighbor"")), """")"),0.7315864045810951)</f>
        <v>0.7315864046</v>
      </c>
      <c r="AE2548" s="2">
        <f>IFERROR(__xludf.DUMMYFUNCTION("IFERROR(ABS(Q2548-AVERAGE(FILTER(Q2548:Q6616,AA2548:AA6616=""Neighbor""))) / STDEV(FILTER(Q2548:Q6616, AA2548:AA6616 =""Neighbor"")), """")"),2.0114997248759625)</f>
        <v>2.011499725</v>
      </c>
      <c r="AF2548" s="2">
        <f>IFERROR(__xludf.DUMMYFUNCTION("IFERROR(ABS(R2548-AVERAGE(FILTER(R2548:R6616,AA2548:AA6616=""Neighbor""))) / STDEV(FILTER(R2548:R6616, AA2548:AA6616 =""Neighbor"")), """")"),0.3304936041100721)</f>
        <v>0.3304936041</v>
      </c>
    </row>
    <row r="2549">
      <c r="A2549" s="2" t="s">
        <v>28</v>
      </c>
      <c r="B2549" s="2" t="s">
        <v>10071</v>
      </c>
      <c r="C2549" s="2" t="s">
        <v>10438</v>
      </c>
      <c r="D2549" s="2" t="s">
        <v>10451</v>
      </c>
      <c r="E2549" s="2" t="s">
        <v>10452</v>
      </c>
      <c r="F2549" s="2">
        <v>331.0</v>
      </c>
      <c r="G2549" s="2">
        <v>1539.0</v>
      </c>
      <c r="H2549" s="2" t="b">
        <v>1</v>
      </c>
      <c r="I2549" s="2">
        <v>-1.0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s">
        <v>33</v>
      </c>
      <c r="O2549" s="2">
        <v>183.0</v>
      </c>
      <c r="P2549" s="2">
        <v>82.0</v>
      </c>
      <c r="Q2549" s="2">
        <v>39.0</v>
      </c>
      <c r="R2549" s="2">
        <v>0.0</v>
      </c>
      <c r="S2549" s="3" t="s">
        <v>10453</v>
      </c>
      <c r="T2549" s="2" t="s">
        <v>10454</v>
      </c>
      <c r="Y2549" s="4" t="str">
        <f>IFERROR(__xludf.DUMMYFUNCTION("""COMPUTED_VALUE"""),"6.8502125")</f>
        <v>6.8502125</v>
      </c>
      <c r="Z2549" s="4" t="str">
        <f>IFERROR(__xludf.DUMMYFUNCTION("""COMPUTED_VALUE"""),"3.634202")</f>
        <v>3.634202</v>
      </c>
      <c r="AA2549" s="4" t="str">
        <f t="shared" si="1"/>
        <v>Not Neighbor</v>
      </c>
      <c r="AC2549" s="4">
        <f>IFERROR(__xludf.DUMMYFUNCTION("IFERROR(ABS(O2549-AVERAGE(FILTER(O2549:O6617,AA2549:AA6617=""Neighbor""))) / STDEV(FILTER(O2549:O6617, AA2549:AA6617 =""Neighbor"")), """")"),3.968670550831324)</f>
        <v>3.968670551</v>
      </c>
      <c r="AD2549" s="4">
        <f>IFERROR(__xludf.DUMMYFUNCTION("IFERROR(ABS(P2549-AVERAGE(FILTER(O2549:P6617,AA2549:AA6617=""Neighbor""))) / STDEV(FILTER(P2549:P6617, AA2549:AA6617 =""Neighbor"")), """")"),2.0057349013728154)</f>
        <v>2.005734901</v>
      </c>
      <c r="AE2549" s="2">
        <f>IFERROR(__xludf.DUMMYFUNCTION("IFERROR(ABS(Q2549-AVERAGE(FILTER(Q2549:Q6617,AA2549:AA6617=""Neighbor""))) / STDEV(FILTER(Q2549:Q6617, AA2549:AA6617 =""Neighbor"")), """")"),1.4204625742820738)</f>
        <v>1.420462574</v>
      </c>
      <c r="AF2549" s="2">
        <f>IFERROR(__xludf.DUMMYFUNCTION("IFERROR(ABS(R2549-AVERAGE(FILTER(R2549:R6617,AA2549:AA6617=""Neighbor""))) / STDEV(FILTER(R2549:R6617, AA2549:AA6617 =""Neighbor"")), """")"),0.3304936041100721)</f>
        <v>0.3304936041</v>
      </c>
    </row>
    <row r="2550">
      <c r="A2550" s="2" t="s">
        <v>28</v>
      </c>
      <c r="B2550" s="2" t="s">
        <v>10071</v>
      </c>
      <c r="C2550" s="2" t="s">
        <v>10438</v>
      </c>
      <c r="D2550" s="2" t="s">
        <v>10455</v>
      </c>
      <c r="E2550" s="2" t="s">
        <v>10456</v>
      </c>
      <c r="F2550" s="2">
        <v>158.0</v>
      </c>
      <c r="G2550" s="2">
        <v>775.0</v>
      </c>
      <c r="H2550" s="2" t="b">
        <v>1</v>
      </c>
      <c r="I2550" s="2">
        <v>-1.0</v>
      </c>
      <c r="J2550" s="2" t="b">
        <v>0</v>
      </c>
      <c r="K2550" s="2" t="b">
        <v>1</v>
      </c>
      <c r="L2550" s="2" t="b">
        <v>0</v>
      </c>
      <c r="M2550" s="2" t="b">
        <v>0</v>
      </c>
      <c r="N2550" s="2" t="s">
        <v>33</v>
      </c>
      <c r="O2550" s="2">
        <v>78.0</v>
      </c>
      <c r="P2550" s="2">
        <v>52.0</v>
      </c>
      <c r="Q2550" s="2">
        <v>17.0</v>
      </c>
      <c r="R2550" s="2">
        <v>0.0</v>
      </c>
      <c r="S2550" s="3" t="s">
        <v>10457</v>
      </c>
      <c r="T2550" s="2" t="s">
        <v>10458</v>
      </c>
      <c r="Y2550" s="4" t="str">
        <f>IFERROR(__xludf.DUMMYFUNCTION("""COMPUTED_VALUE"""),"6.8322014")</f>
        <v>6.8322014</v>
      </c>
      <c r="Z2550" s="4" t="str">
        <f>IFERROR(__xludf.DUMMYFUNCTION("""COMPUTED_VALUE"""),"3.6319131")</f>
        <v>3.6319131</v>
      </c>
      <c r="AA2550" s="4" t="str">
        <f t="shared" si="1"/>
        <v>Neighbor</v>
      </c>
      <c r="AC2550" s="4">
        <f>IFERROR(__xludf.DUMMYFUNCTION("IFERROR(ABS(O2550-AVERAGE(FILTER(O2550:O6618,AA2550:AA6618=""Neighbor""))) / STDEV(FILTER(O2550:O6618, AA2550:AA6618 =""Neighbor"")), """")"),0.8679695124027813)</f>
        <v>0.8679695124</v>
      </c>
      <c r="AD2550" s="4">
        <f>IFERROR(__xludf.DUMMYFUNCTION("IFERROR(ABS(P2550-AVERAGE(FILTER(O2550:P6618,AA2550:AA6618=""Neighbor""))) / STDEV(FILTER(P2550:P6618, AA2550:AA6618 =""Neighbor"")), """")"),0.7614979441210379)</f>
        <v>0.7614979441</v>
      </c>
      <c r="AE2550" s="2">
        <f>IFERROR(__xludf.DUMMYFUNCTION("IFERROR(ABS(Q2550-AVERAGE(FILTER(Q2550:Q6618,AA2550:AA6618=""Neighbor""))) / STDEV(FILTER(Q2550:Q6618, AA2550:AA6618 =""Neighbor"")), """")"),0.1201808429755186)</f>
        <v>0.120180843</v>
      </c>
      <c r="AF2550" s="2">
        <f>IFERROR(__xludf.DUMMYFUNCTION("IFERROR(ABS(R2550-AVERAGE(FILTER(R2550:R6618,AA2550:AA6618=""Neighbor""))) / STDEV(FILTER(R2550:R6618, AA2550:AA6618 =""Neighbor"")), """")"),0.3304936041100721)</f>
        <v>0.3304936041</v>
      </c>
    </row>
    <row r="2551">
      <c r="A2551" s="2" t="s">
        <v>28</v>
      </c>
      <c r="B2551" s="2" t="s">
        <v>10071</v>
      </c>
      <c r="C2551" s="2" t="s">
        <v>10438</v>
      </c>
      <c r="D2551" s="2" t="s">
        <v>10459</v>
      </c>
      <c r="E2551" s="2" t="s">
        <v>10460</v>
      </c>
      <c r="F2551" s="2">
        <v>126.0</v>
      </c>
      <c r="G2551" s="2">
        <v>831.0</v>
      </c>
      <c r="H2551" s="2" t="b">
        <v>1</v>
      </c>
      <c r="I2551" s="2">
        <v>-1.0</v>
      </c>
      <c r="J2551" s="2" t="b">
        <v>0</v>
      </c>
      <c r="K2551" s="2" t="b">
        <v>0</v>
      </c>
      <c r="L2551" s="2" t="b">
        <v>0</v>
      </c>
      <c r="M2551" s="2" t="b">
        <v>0</v>
      </c>
      <c r="N2551" s="2" t="s">
        <v>33</v>
      </c>
      <c r="O2551" s="2">
        <v>65.0</v>
      </c>
      <c r="P2551" s="2">
        <v>34.0</v>
      </c>
      <c r="Q2551" s="2">
        <v>17.0</v>
      </c>
      <c r="R2551" s="2">
        <v>1.0</v>
      </c>
      <c r="S2551" s="3" t="s">
        <v>10461</v>
      </c>
      <c r="T2551" s="2" t="s">
        <v>10462</v>
      </c>
      <c r="Y2551" s="4" t="str">
        <f>IFERROR(__xludf.DUMMYFUNCTION("""COMPUTED_VALUE"""),"6.8322014")</f>
        <v>6.8322014</v>
      </c>
      <c r="Z2551" s="4" t="str">
        <f>IFERROR(__xludf.DUMMYFUNCTION("""COMPUTED_VALUE"""),"3.6319131")</f>
        <v>3.6319131</v>
      </c>
      <c r="AA2551" s="4" t="str">
        <f t="shared" si="1"/>
        <v>Neighbor</v>
      </c>
      <c r="AC2551" s="4">
        <f>IFERROR(__xludf.DUMMYFUNCTION("IFERROR(ABS(O2551-AVERAGE(FILTER(O2551:O6619,AA2551:AA6619=""Neighbor""))) / STDEV(FILTER(O2551:O6619, AA2551:AA6619 =""Neighbor"")), """")"),0.4854249019670012)</f>
        <v>0.485424902</v>
      </c>
      <c r="AD2551" s="4">
        <f>IFERROR(__xludf.DUMMYFUNCTION("IFERROR(ABS(P2551-AVERAGE(FILTER(O2551:P6619,AA2551:AA6619=""Neighbor""))) / STDEV(FILTER(P2551:P6619, AA2551:AA6619 =""Neighbor"")), """")"),0.017143926583927424)</f>
        <v>0.01714392658</v>
      </c>
      <c r="AE2551" s="2">
        <f>IFERROR(__xludf.DUMMYFUNCTION("IFERROR(ABS(Q2551-AVERAGE(FILTER(Q2551:Q6619,AA2551:AA6619=""Neighbor""))) / STDEV(FILTER(Q2551:Q6619, AA2551:AA6619 =""Neighbor"")), """")"),0.12028257350388843)</f>
        <v>0.1202825735</v>
      </c>
      <c r="AF2551" s="2">
        <f>IFERROR(__xludf.DUMMYFUNCTION("IFERROR(ABS(R2551-AVERAGE(FILTER(R2551:R6619,AA2551:AA6619=""Neighbor""))) / STDEV(FILTER(R2551:R6619, AA2551:AA6619 =""Neighbor"")), """")"),0.8260318026252151)</f>
        <v>0.8260318026</v>
      </c>
    </row>
    <row r="2552">
      <c r="A2552" s="2" t="s">
        <v>28</v>
      </c>
      <c r="B2552" s="2" t="s">
        <v>10071</v>
      </c>
      <c r="C2552" s="2" t="s">
        <v>10438</v>
      </c>
      <c r="D2552" s="2" t="s">
        <v>10463</v>
      </c>
      <c r="E2552" s="2" t="s">
        <v>10464</v>
      </c>
      <c r="F2552" s="2">
        <v>169.0</v>
      </c>
      <c r="G2552" s="2">
        <v>929.0</v>
      </c>
      <c r="H2552" s="2" t="b">
        <v>1</v>
      </c>
      <c r="I2552" s="2">
        <v>-1.0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s">
        <v>33</v>
      </c>
      <c r="O2552" s="2">
        <v>106.0</v>
      </c>
      <c r="P2552" s="2">
        <v>24.0</v>
      </c>
      <c r="Q2552" s="2">
        <v>32.0</v>
      </c>
      <c r="R2552" s="2">
        <v>0.0</v>
      </c>
      <c r="S2552" s="3" t="s">
        <v>10465</v>
      </c>
      <c r="T2552" s="2" t="s">
        <v>10466</v>
      </c>
      <c r="Y2552" s="4" t="str">
        <f>IFERROR(__xludf.DUMMYFUNCTION("""COMPUTED_VALUE"""),"6.8322014")</f>
        <v>6.8322014</v>
      </c>
      <c r="Z2552" s="4" t="str">
        <f>IFERROR(__xludf.DUMMYFUNCTION("""COMPUTED_VALUE"""),"3.6319131")</f>
        <v>3.6319131</v>
      </c>
      <c r="AA2552" s="4" t="str">
        <f t="shared" si="1"/>
        <v>Not Neighbor</v>
      </c>
      <c r="AC2552" s="4">
        <f>IFERROR(__xludf.DUMMYFUNCTION("IFERROR(ABS(O2552-AVERAGE(FILTER(O2552:O6620,AA2552:AA6620=""Neighbor""))) / STDEV(FILTER(O2552:O6620, AA2552:AA6620 =""Neighbor"")), """")"),1.695652786317909)</f>
        <v>1.695652786</v>
      </c>
      <c r="AD2552" s="4">
        <f>IFERROR(__xludf.DUMMYFUNCTION("IFERROR(ABS(P2552-AVERAGE(FILTER(O2552:P6620,AA2552:AA6620=""Neighbor""))) / STDEV(FILTER(P2552:P6620, AA2552:AA6620 =""Neighbor"")), """")"),0.39661642504648914)</f>
        <v>0.396616425</v>
      </c>
      <c r="AE2552" s="2">
        <f>IFERROR(__xludf.DUMMYFUNCTION("IFERROR(ABS(Q2552-AVERAGE(FILTER(Q2552:Q6620,AA2552:AA6620=""Neighbor""))) / STDEV(FILTER(Q2552:Q6620, AA2552:AA6620 =""Neighbor"")), """")"),1.0054779618434129)</f>
        <v>1.005477962</v>
      </c>
      <c r="AF2552" s="2">
        <f>IFERROR(__xludf.DUMMYFUNCTION("IFERROR(ABS(R2552-AVERAGE(FILTER(R2552:R6620,AA2552:AA6620=""Neighbor""))) / STDEV(FILTER(R2552:R6620, AA2552:AA6620 =""Neighbor"")), """")"),0.32932854369742054)</f>
        <v>0.3293285437</v>
      </c>
    </row>
    <row r="2553">
      <c r="A2553" s="2" t="s">
        <v>28</v>
      </c>
      <c r="B2553" s="2" t="s">
        <v>10071</v>
      </c>
      <c r="C2553" s="2" t="s">
        <v>10467</v>
      </c>
      <c r="D2553" s="2" t="s">
        <v>10468</v>
      </c>
      <c r="E2553" s="2" t="s">
        <v>10469</v>
      </c>
      <c r="F2553" s="2">
        <v>217.0</v>
      </c>
      <c r="G2553" s="2">
        <v>617.0</v>
      </c>
      <c r="H2553" s="2" t="b">
        <v>1</v>
      </c>
      <c r="I2553" s="2">
        <v>-1.0</v>
      </c>
      <c r="J2553" s="2" t="b">
        <v>0</v>
      </c>
      <c r="K2553" s="2" t="b">
        <v>0</v>
      </c>
      <c r="L2553" s="2" t="b">
        <v>0</v>
      </c>
      <c r="M2553" s="2" t="b">
        <v>0</v>
      </c>
      <c r="N2553" s="2" t="s">
        <v>33</v>
      </c>
      <c r="O2553" s="2">
        <v>109.0</v>
      </c>
      <c r="P2553" s="2">
        <v>15.0</v>
      </c>
      <c r="Q2553" s="2">
        <v>82.0</v>
      </c>
      <c r="R2553" s="2">
        <v>0.0</v>
      </c>
      <c r="S2553" s="3" t="s">
        <v>10470</v>
      </c>
      <c r="T2553" s="2" t="s">
        <v>10471</v>
      </c>
      <c r="Y2553" s="4" t="str">
        <f>IFERROR(__xludf.DUMMYFUNCTION("""COMPUTED_VALUE"""),"6.8488611")</f>
        <v>6.8488611</v>
      </c>
      <c r="Z2553" s="4" t="str">
        <f>IFERROR(__xludf.DUMMYFUNCTION("""COMPUTED_VALUE"""),"3.6401475")</f>
        <v>3.6401475</v>
      </c>
      <c r="AA2553" s="4" t="str">
        <f t="shared" si="1"/>
        <v>Neighbor</v>
      </c>
      <c r="AC2553" s="4">
        <f>IFERROR(__xludf.DUMMYFUNCTION("IFERROR(ABS(O2553-AVERAGE(FILTER(O2553:O6621,AA2553:AA6621=""Neighbor""))) / STDEV(FILTER(O2553:O6621, AA2553:AA6621 =""Neighbor"")), """")"),1.78416933125642)</f>
        <v>1.784169331</v>
      </c>
      <c r="AD2553" s="4">
        <f>IFERROR(__xludf.DUMMYFUNCTION("IFERROR(ABS(P2553-AVERAGE(FILTER(O2553:P6621,AA2553:AA6621=""Neighbor""))) / STDEV(FILTER(P2553:P6621, AA2553:AA6621 =""Neighbor"")), """")"),0.769988313224288)</f>
        <v>0.7699883132</v>
      </c>
      <c r="AE2553" s="2">
        <f>IFERROR(__xludf.DUMMYFUNCTION("IFERROR(ABS(Q2553-AVERAGE(FILTER(Q2553:Q6621,AA2553:AA6621=""Neighbor""))) / STDEV(FILTER(Q2553:Q6621, AA2553:AA6621 =""Neighbor"")), """")"),3.9557892919354094)</f>
        <v>3.955789292</v>
      </c>
      <c r="AF2553" s="2">
        <f>IFERROR(__xludf.DUMMYFUNCTION("IFERROR(ABS(R2553-AVERAGE(FILTER(R2553:R6621,AA2553:AA6621=""Neighbor""))) / STDEV(FILTER(R2553:R6621, AA2553:AA6621 =""Neighbor"")), """")"),0.32932854369742054)</f>
        <v>0.3293285437</v>
      </c>
    </row>
    <row r="2554">
      <c r="A2554" s="2" t="s">
        <v>28</v>
      </c>
      <c r="B2554" s="2" t="s">
        <v>10071</v>
      </c>
      <c r="C2554" s="2" t="s">
        <v>10467</v>
      </c>
      <c r="D2554" s="2" t="s">
        <v>10472</v>
      </c>
      <c r="E2554" s="2" t="s">
        <v>10473</v>
      </c>
      <c r="F2554" s="2">
        <v>161.0</v>
      </c>
      <c r="G2554" s="2">
        <v>468.0</v>
      </c>
      <c r="H2554" s="2" t="b">
        <v>1</v>
      </c>
      <c r="I2554" s="2">
        <v>-1.0</v>
      </c>
      <c r="J2554" s="2" t="b">
        <v>1</v>
      </c>
      <c r="K2554" s="2" t="b">
        <v>0</v>
      </c>
      <c r="L2554" s="2" t="b">
        <v>0</v>
      </c>
      <c r="M2554" s="2" t="b">
        <v>0</v>
      </c>
      <c r="N2554" s="2" t="s">
        <v>33</v>
      </c>
      <c r="O2554" s="2">
        <v>80.0</v>
      </c>
      <c r="P2554" s="2">
        <v>10.0</v>
      </c>
      <c r="Q2554" s="2">
        <v>61.0</v>
      </c>
      <c r="R2554" s="2">
        <v>0.0</v>
      </c>
      <c r="S2554" s="3" t="s">
        <v>10474</v>
      </c>
      <c r="T2554" s="2" t="s">
        <v>10475</v>
      </c>
      <c r="Y2554" s="4" t="str">
        <f>IFERROR(__xludf.DUMMYFUNCTION("""COMPUTED_VALUE"""),"6.8488611")</f>
        <v>6.8488611</v>
      </c>
      <c r="Z2554" s="4" t="str">
        <f>IFERROR(__xludf.DUMMYFUNCTION("""COMPUTED_VALUE"""),"3.6401475")</f>
        <v>3.6401475</v>
      </c>
      <c r="AA2554" s="4" t="str">
        <f t="shared" si="1"/>
        <v>Neighbor</v>
      </c>
      <c r="AC2554" s="4">
        <f>IFERROR(__xludf.DUMMYFUNCTION("IFERROR(ABS(O2554-AVERAGE(FILTER(O2554:O6622,AA2554:AA6622=""Neighbor""))) / STDEV(FILTER(O2554:O6622, AA2554:AA6622 =""Neighbor"")), """")"),0.9332208939798474)</f>
        <v>0.933220894</v>
      </c>
      <c r="AD2554" s="4">
        <f>IFERROR(__xludf.DUMMYFUNCTION("IFERROR(ABS(P2554-AVERAGE(FILTER(O2554:P6622,AA2554:AA6622=""Neighbor""))) / STDEV(FILTER(P2554:P6622, AA2554:AA6622 =""Neighbor"")), """")"),0.9746370378008391)</f>
        <v>0.9746370378</v>
      </c>
      <c r="AE2554" s="2">
        <f>IFERROR(__xludf.DUMMYFUNCTION("IFERROR(ABS(Q2554-AVERAGE(FILTER(Q2554:Q6622,AA2554:AA6622=""Neighbor""))) / STDEV(FILTER(Q2554:Q6622, AA2554:AA6622 =""Neighbor"")), """")"),2.757512408167056)</f>
        <v>2.757512408</v>
      </c>
      <c r="AF2554" s="2">
        <f>IFERROR(__xludf.DUMMYFUNCTION("IFERROR(ABS(R2554-AVERAGE(FILTER(R2554:R6622,AA2554:AA6622=""Neighbor""))) / STDEV(FILTER(R2554:R6622, AA2554:AA6622 =""Neighbor"")), """")"),0.3296342906345023)</f>
        <v>0.3296342906</v>
      </c>
    </row>
    <row r="2555">
      <c r="A2555" s="2" t="s">
        <v>28</v>
      </c>
      <c r="B2555" s="2" t="s">
        <v>10071</v>
      </c>
      <c r="C2555" s="2" t="s">
        <v>10467</v>
      </c>
      <c r="D2555" s="2" t="s">
        <v>10476</v>
      </c>
      <c r="E2555" s="2" t="s">
        <v>10477</v>
      </c>
      <c r="F2555" s="2">
        <v>231.0</v>
      </c>
      <c r="G2555" s="2">
        <v>915.0</v>
      </c>
      <c r="H2555" s="2" t="b">
        <v>1</v>
      </c>
      <c r="I2555" s="2">
        <v>-1.0</v>
      </c>
      <c r="J2555" s="2" t="b">
        <v>0</v>
      </c>
      <c r="K2555" s="2" t="b">
        <v>0</v>
      </c>
      <c r="L2555" s="2" t="b">
        <v>0</v>
      </c>
      <c r="M2555" s="2" t="b">
        <v>0</v>
      </c>
      <c r="N2555" s="2" t="s">
        <v>33</v>
      </c>
      <c r="O2555" s="2">
        <v>95.0</v>
      </c>
      <c r="P2555" s="2">
        <v>20.0</v>
      </c>
      <c r="Q2555" s="2">
        <v>74.0</v>
      </c>
      <c r="R2555" s="2">
        <v>0.0</v>
      </c>
      <c r="S2555" s="3" t="s">
        <v>10478</v>
      </c>
      <c r="T2555" s="2" t="s">
        <v>10479</v>
      </c>
      <c r="Y2555" s="4" t="str">
        <f>IFERROR(__xludf.DUMMYFUNCTION("""COMPUTED_VALUE"""),"6.8488611")</f>
        <v>6.8488611</v>
      </c>
      <c r="Z2555" s="4" t="str">
        <f>IFERROR(__xludf.DUMMYFUNCTION("""COMPUTED_VALUE"""),"3.6401475")</f>
        <v>3.6401475</v>
      </c>
      <c r="AA2555" s="4" t="str">
        <f t="shared" si="1"/>
        <v>Neighbor</v>
      </c>
      <c r="AC2555" s="4">
        <f>IFERROR(__xludf.DUMMYFUNCTION("IFERROR(ABS(O2555-AVERAGE(FILTER(O2555:O6623,AA2555:AA6623=""Neighbor""))) / STDEV(FILTER(O2555:O6623, AA2555:AA6623 =""Neighbor"")), """")"),1.3780402459245538)</f>
        <v>1.378040246</v>
      </c>
      <c r="AD2555" s="4">
        <f>IFERROR(__xludf.DUMMYFUNCTION("IFERROR(ABS(P2555-AVERAGE(FILTER(O2555:P6623,AA2555:AA6623=""Neighbor""))) / STDEV(FILTER(P2555:P6623, AA2555:AA6623 =""Neighbor"")), """")"),0.5589090647188503)</f>
        <v>0.5589090647</v>
      </c>
      <c r="AE2555" s="2">
        <f>IFERROR(__xludf.DUMMYFUNCTION("IFERROR(ABS(Q2555-AVERAGE(FILTER(Q2555:Q6623,AA2555:AA6623=""Neighbor""))) / STDEV(FILTER(Q2555:Q6623, AA2555:AA6623 =""Neighbor"")), """")"),3.5587419431121505)</f>
        <v>3.558741943</v>
      </c>
      <c r="AF2555" s="2">
        <f>IFERROR(__xludf.DUMMYFUNCTION("IFERROR(ABS(R2555-AVERAGE(FILTER(R2555:R6623,AA2555:AA6623=""Neighbor""))) / STDEV(FILTER(R2555:R6623, AA2555:AA6623 =""Neighbor"")), """")"),0.3299408908851004)</f>
        <v>0.3299408909</v>
      </c>
    </row>
    <row r="2556">
      <c r="A2556" s="2" t="s">
        <v>28</v>
      </c>
      <c r="B2556" s="2" t="s">
        <v>10071</v>
      </c>
      <c r="C2556" s="2" t="s">
        <v>10467</v>
      </c>
      <c r="D2556" s="2" t="s">
        <v>10480</v>
      </c>
      <c r="E2556" s="2" t="s">
        <v>10481</v>
      </c>
      <c r="F2556" s="2">
        <v>198.0</v>
      </c>
      <c r="G2556" s="2">
        <v>837.0</v>
      </c>
      <c r="H2556" s="2" t="b">
        <v>1</v>
      </c>
      <c r="I2556" s="2">
        <v>-1.0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s">
        <v>33</v>
      </c>
      <c r="O2556" s="2">
        <v>127.0</v>
      </c>
      <c r="P2556" s="2">
        <v>14.0</v>
      </c>
      <c r="Q2556" s="2">
        <v>48.0</v>
      </c>
      <c r="R2556" s="2">
        <v>0.0</v>
      </c>
      <c r="S2556" s="3" t="s">
        <v>10482</v>
      </c>
      <c r="T2556" s="2" t="s">
        <v>10483</v>
      </c>
      <c r="Y2556" s="4" t="str">
        <f>IFERROR(__xludf.DUMMYFUNCTION("""COMPUTED_VALUE"""),"6.8488611")</f>
        <v>6.8488611</v>
      </c>
      <c r="Z2556" s="4" t="str">
        <f>IFERROR(__xludf.DUMMYFUNCTION("""COMPUTED_VALUE"""),"3.6401475")</f>
        <v>3.6401475</v>
      </c>
      <c r="AA2556" s="4" t="str">
        <f t="shared" si="1"/>
        <v>Neighbor</v>
      </c>
      <c r="AC2556" s="4">
        <f>IFERROR(__xludf.DUMMYFUNCTION("IFERROR(ABS(O2556-AVERAGE(FILTER(O2556:O6624,AA2556:AA6624=""Neighbor""))) / STDEV(FILTER(O2556:O6624, AA2556:AA6624 =""Neighbor"")), """")"),2.3279478930965145)</f>
        <v>2.327947893</v>
      </c>
      <c r="AD2556" s="4">
        <f>IFERROR(__xludf.DUMMYFUNCTION("IFERROR(ABS(P2556-AVERAGE(FILTER(O2556:P6624,AA2556:AA6624=""Neighbor""))) / STDEV(FILTER(P2556:P6624, AA2556:AA6624 =""Neighbor"")), """")"),0.8050865107780241)</f>
        <v>0.8050865108</v>
      </c>
      <c r="AE2556" s="2">
        <f>IFERROR(__xludf.DUMMYFUNCTION("IFERROR(ABS(Q2556-AVERAGE(FILTER(Q2556:Q6624,AA2556:AA6624=""Neighbor""))) / STDEV(FILTER(Q2556:Q6624, AA2556:AA6624 =""Neighbor"")), """")"),2.022598744057244)</f>
        <v>2.022598744</v>
      </c>
      <c r="AF2556" s="2">
        <f>IFERROR(__xludf.DUMMYFUNCTION("IFERROR(ABS(R2556-AVERAGE(FILTER(R2556:R6624,AA2556:AA6624=""Neighbor""))) / STDEV(FILTER(R2556:R6624, AA2556:AA6624 =""Neighbor"")), """")"),0.3302483484265162)</f>
        <v>0.3302483484</v>
      </c>
    </row>
    <row r="2557">
      <c r="A2557" s="2" t="s">
        <v>28</v>
      </c>
      <c r="B2557" s="2" t="s">
        <v>10071</v>
      </c>
      <c r="C2557" s="2" t="s">
        <v>10467</v>
      </c>
      <c r="D2557" s="2" t="s">
        <v>10484</v>
      </c>
      <c r="E2557" s="2" t="s">
        <v>10485</v>
      </c>
      <c r="F2557" s="2">
        <v>142.0</v>
      </c>
      <c r="G2557" s="2">
        <v>624.0</v>
      </c>
      <c r="H2557" s="2" t="b">
        <v>1</v>
      </c>
      <c r="I2557" s="2">
        <v>-1.0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s">
        <v>33</v>
      </c>
      <c r="O2557" s="2">
        <v>80.0</v>
      </c>
      <c r="P2557" s="2">
        <v>5.0</v>
      </c>
      <c r="Q2557" s="2">
        <v>47.0</v>
      </c>
      <c r="R2557" s="2">
        <v>1.0</v>
      </c>
      <c r="S2557" s="3" t="s">
        <v>10486</v>
      </c>
      <c r="T2557" s="2" t="s">
        <v>10487</v>
      </c>
      <c r="Y2557" s="4" t="str">
        <f>IFERROR(__xludf.DUMMYFUNCTION("""COMPUTED_VALUE"""),"6.8488611")</f>
        <v>6.8488611</v>
      </c>
      <c r="Z2557" s="4" t="str">
        <f>IFERROR(__xludf.DUMMYFUNCTION("""COMPUTED_VALUE"""),"3.6401475")</f>
        <v>3.6401475</v>
      </c>
      <c r="AA2557" s="4" t="str">
        <f t="shared" si="1"/>
        <v>Neighbor</v>
      </c>
      <c r="AC2557" s="4">
        <f>IFERROR(__xludf.DUMMYFUNCTION("IFERROR(ABS(O2557-AVERAGE(FILTER(O2557:O6625,AA2557:AA6625=""Neighbor""))) / STDEV(FILTER(O2557:O6625, AA2557:AA6625 =""Neighbor"")), """")"),0.9451900650527292)</f>
        <v>0.9451900651</v>
      </c>
      <c r="AD2557" s="4">
        <f>IFERROR(__xludf.DUMMYFUNCTION("IFERROR(ABS(P2557-AVERAGE(FILTER(O2557:P6625,AA2557:AA6625=""Neighbor""))) / STDEV(FILTER(P2557:P6625, AA2557:AA6625 =""Neighbor"")), """")"),1.1740246544650574)</f>
        <v>1.174024654</v>
      </c>
      <c r="AE2557" s="2">
        <f>IFERROR(__xludf.DUMMYFUNCTION("IFERROR(ABS(Q2557-AVERAGE(FILTER(Q2557:Q6625,AA2557:AA6625=""Neighbor""))) / STDEV(FILTER(Q2557:Q6625, AA2557:AA6625 =""Neighbor"")), """")"),1.9704877667978808)</f>
        <v>1.970487767</v>
      </c>
      <c r="AF2557" s="2">
        <f>IFERROR(__xludf.DUMMYFUNCTION("IFERROR(ABS(R2557-AVERAGE(FILTER(R2557:R6625,AA2557:AA6625=""Neighbor""))) / STDEV(FILTER(R2557:R6625, AA2557:AA6625 =""Neighbor"")), """")"),0.8225027661873544)</f>
        <v>0.8225027662</v>
      </c>
    </row>
    <row r="2558">
      <c r="A2558" s="2" t="s">
        <v>28</v>
      </c>
      <c r="B2558" s="2" t="s">
        <v>10071</v>
      </c>
      <c r="C2558" s="2" t="s">
        <v>10467</v>
      </c>
      <c r="D2558" s="2" t="s">
        <v>10488</v>
      </c>
      <c r="E2558" s="2" t="s">
        <v>10489</v>
      </c>
      <c r="F2558" s="2">
        <v>201.0</v>
      </c>
      <c r="G2558" s="2">
        <v>684.0</v>
      </c>
      <c r="H2558" s="2" t="b">
        <v>1</v>
      </c>
      <c r="I2558" s="2">
        <v>-1.0</v>
      </c>
      <c r="J2558" s="2" t="b">
        <v>0</v>
      </c>
      <c r="K2558" s="2" t="b">
        <v>0</v>
      </c>
      <c r="L2558" s="2" t="b">
        <v>0</v>
      </c>
      <c r="M2558" s="2" t="b">
        <v>0</v>
      </c>
      <c r="N2558" s="2" t="s">
        <v>33</v>
      </c>
      <c r="O2558" s="2">
        <v>124.0</v>
      </c>
      <c r="P2558" s="2">
        <v>11.0</v>
      </c>
      <c r="Q2558" s="2">
        <v>55.0</v>
      </c>
      <c r="R2558" s="2">
        <v>0.0</v>
      </c>
      <c r="S2558" s="3" t="s">
        <v>10490</v>
      </c>
      <c r="T2558" s="2" t="s">
        <v>10491</v>
      </c>
      <c r="Y2558" s="4" t="str">
        <f>IFERROR(__xludf.DUMMYFUNCTION("""COMPUTED_VALUE"""),"6.8488611")</f>
        <v>6.8488611</v>
      </c>
      <c r="Z2558" s="4" t="str">
        <f>IFERROR(__xludf.DUMMYFUNCTION("""COMPUTED_VALUE"""),"3.6401475")</f>
        <v>3.6401475</v>
      </c>
      <c r="AA2558" s="4" t="str">
        <f t="shared" si="1"/>
        <v>Neighbor</v>
      </c>
      <c r="AC2558" s="4">
        <f>IFERROR(__xludf.DUMMYFUNCTION("IFERROR(ABS(O2558-AVERAGE(FILTER(O2558:O6626,AA2558:AA6626=""Neighbor""))) / STDEV(FILTER(O2558:O6626, AA2558:AA6626 =""Neighbor"")), """")"),2.2529693865027625)</f>
        <v>2.252969387</v>
      </c>
      <c r="AD2558" s="4">
        <f>IFERROR(__xludf.DUMMYFUNCTION("IFERROR(ABS(P2558-AVERAGE(FILTER(O2558:P6626,AA2558:AA6626=""Neighbor""))) / STDEV(FILTER(P2558:P6626, AA2558:AA6626 =""Neighbor"")), """")"),0.9247372075825063)</f>
        <v>0.9247372076</v>
      </c>
      <c r="AE2558" s="2">
        <f>IFERROR(__xludf.DUMMYFUNCTION("IFERROR(ABS(Q2558-AVERAGE(FILTER(Q2558:Q6626,AA2558:AA6626=""Neighbor""))) / STDEV(FILTER(Q2558:Q6626, AA2558:AA6626 =""Neighbor"")), """")"),2.466601178261019)</f>
        <v>2.466601178</v>
      </c>
      <c r="AF2558" s="2">
        <f>IFERROR(__xludf.DUMMYFUNCTION("IFERROR(ABS(R2558-AVERAGE(FILTER(R2558:R6626,AA2558:AA6626=""Neighbor""))) / STDEV(FILTER(R2558:R6626, AA2558:AA6626 =""Neighbor"")), """")"),0.32907757307233226)</f>
        <v>0.3290775731</v>
      </c>
    </row>
    <row r="2559">
      <c r="A2559" s="2" t="s">
        <v>28</v>
      </c>
      <c r="B2559" s="2" t="s">
        <v>10071</v>
      </c>
      <c r="C2559" s="2" t="s">
        <v>10467</v>
      </c>
      <c r="D2559" s="2" t="s">
        <v>10492</v>
      </c>
      <c r="E2559" s="2" t="s">
        <v>10493</v>
      </c>
      <c r="F2559" s="2">
        <v>109.0</v>
      </c>
      <c r="G2559" s="2">
        <v>479.0</v>
      </c>
      <c r="H2559" s="2" t="b">
        <v>1</v>
      </c>
      <c r="I2559" s="2">
        <v>-1.0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s">
        <v>33</v>
      </c>
      <c r="O2559" s="2">
        <v>64.0</v>
      </c>
      <c r="P2559" s="2">
        <v>8.0</v>
      </c>
      <c r="Q2559" s="2">
        <v>32.0</v>
      </c>
      <c r="R2559" s="2">
        <v>0.0</v>
      </c>
      <c r="S2559" s="3" t="s">
        <v>10494</v>
      </c>
      <c r="T2559" s="2" t="s">
        <v>10495</v>
      </c>
      <c r="Y2559" s="4" t="str">
        <f>IFERROR(__xludf.DUMMYFUNCTION("""COMPUTED_VALUE"""),"6.8488611")</f>
        <v>6.8488611</v>
      </c>
      <c r="Z2559" s="4" t="str">
        <f>IFERROR(__xludf.DUMMYFUNCTION("""COMPUTED_VALUE"""),"3.6401475")</f>
        <v>3.6401475</v>
      </c>
      <c r="AA2559" s="4" t="str">
        <f t="shared" si="1"/>
        <v>Not Neighbor</v>
      </c>
      <c r="AC2559" s="4">
        <f>IFERROR(__xludf.DUMMYFUNCTION("IFERROR(ABS(O2559-AVERAGE(FILTER(O2559:O6627,AA2559:AA6627=""Neighbor""))) / STDEV(FILTER(O2559:O6627, AA2559:AA6627 =""Neighbor"")), """")"),0.4771630007180366)</f>
        <v>0.4771630007</v>
      </c>
      <c r="AD2559" s="4">
        <f>IFERROR(__xludf.DUMMYFUNCTION("IFERROR(ABS(P2559-AVERAGE(FILTER(O2559:P6627,AA2559:AA6627=""Neighbor""))) / STDEV(FILTER(P2559:P6627, AA2559:AA6627 =""Neighbor"")), """")"),1.0455406418555793)</f>
        <v>1.045540642</v>
      </c>
      <c r="AE2559" s="2">
        <f>IFERROR(__xludf.DUMMYFUNCTION("IFERROR(ABS(Q2559-AVERAGE(FILTER(Q2559:Q6627,AA2559:AA6627=""Neighbor""))) / STDEV(FILTER(Q2559:Q6627, AA2559:AA6627 =""Neighbor"")), """")"),1.0725817815039638)</f>
        <v>1.072581782</v>
      </c>
      <c r="AF2559" s="2">
        <f>IFERROR(__xludf.DUMMYFUNCTION("IFERROR(ABS(R2559-AVERAGE(FILTER(R2559:R6627,AA2559:AA6627=""Neighbor""))) / STDEV(FILTER(R2559:R6627, AA2559:AA6627 =""Neighbor"")), """")"),0.3293856213291046)</f>
        <v>0.3293856213</v>
      </c>
    </row>
    <row r="2560">
      <c r="A2560" s="2" t="s">
        <v>28</v>
      </c>
      <c r="B2560" s="2" t="s">
        <v>10071</v>
      </c>
      <c r="C2560" s="2" t="s">
        <v>10496</v>
      </c>
      <c r="D2560" s="2" t="s">
        <v>10497</v>
      </c>
      <c r="E2560" s="2" t="s">
        <v>10498</v>
      </c>
      <c r="F2560" s="2">
        <v>294.0</v>
      </c>
      <c r="G2560" s="2">
        <v>1570.0</v>
      </c>
      <c r="H2560" s="2" t="b">
        <v>1</v>
      </c>
      <c r="I2560" s="2">
        <v>-1.0</v>
      </c>
      <c r="J2560" s="2" t="b">
        <v>0</v>
      </c>
      <c r="K2560" s="2" t="b">
        <v>0</v>
      </c>
      <c r="L2560" s="2" t="b">
        <v>0</v>
      </c>
      <c r="M2560" s="2" t="b">
        <v>0</v>
      </c>
      <c r="N2560" s="2" t="s">
        <v>33</v>
      </c>
      <c r="O2560" s="2">
        <v>128.0</v>
      </c>
      <c r="P2560" s="2">
        <v>117.0</v>
      </c>
      <c r="Q2560" s="2">
        <v>35.0</v>
      </c>
      <c r="R2560" s="2">
        <v>0.0</v>
      </c>
      <c r="S2560" s="3" t="s">
        <v>10499</v>
      </c>
      <c r="T2560" s="2" t="s">
        <v>10500</v>
      </c>
      <c r="Y2560" s="4" t="str">
        <f>IFERROR(__xludf.DUMMYFUNCTION("""COMPUTED_VALUE"""),"6.8322014")</f>
        <v>6.8322014</v>
      </c>
      <c r="Z2560" s="4" t="str">
        <f>IFERROR(__xludf.DUMMYFUNCTION("""COMPUTED_VALUE"""),"3.6319131")</f>
        <v>3.6319131</v>
      </c>
      <c r="AA2560" s="4" t="str">
        <f t="shared" si="1"/>
        <v>Neighbor</v>
      </c>
      <c r="AC2560" s="4">
        <f>IFERROR(__xludf.DUMMYFUNCTION("IFERROR(ABS(O2560-AVERAGE(FILTER(O2560:O6628,AA2560:AA6628=""Neighbor""))) / STDEV(FILTER(O2560:O6628, AA2560:AA6628 =""Neighbor"")), """")"),2.383798679902382)</f>
        <v>2.38379868</v>
      </c>
      <c r="AD2560" s="4">
        <f>IFERROR(__xludf.DUMMYFUNCTION("IFERROR(ABS(P2560-AVERAGE(FILTER(O2560:P6628,AA2560:AA6628=""Neighbor""))) / STDEV(FILTER(P2560:P6628, AA2560:AA6628 =""Neighbor"")), """")"),3.455891779711308)</f>
        <v>3.45589178</v>
      </c>
      <c r="AE2560" s="2">
        <f>IFERROR(__xludf.DUMMYFUNCTION("IFERROR(ABS(Q2560-AVERAGE(FILTER(Q2560:Q6628,AA2560:AA6628=""Neighbor""))) / STDEV(FILTER(Q2560:Q6628, AA2560:AA6628 =""Neighbor"")), """")"),1.2563552158493956)</f>
        <v>1.256355216</v>
      </c>
      <c r="AF2560" s="2">
        <f>IFERROR(__xludf.DUMMYFUNCTION("IFERROR(ABS(R2560-AVERAGE(FILTER(R2560:R6628,AA2560:AA6628=""Neighbor""))) / STDEV(FILTER(R2560:R6628, AA2560:AA6628 =""Neighbor"")), """")"),0.3293856213291046)</f>
        <v>0.3293856213</v>
      </c>
    </row>
    <row r="2561">
      <c r="A2561" s="2" t="s">
        <v>28</v>
      </c>
      <c r="B2561" s="2" t="s">
        <v>10071</v>
      </c>
      <c r="C2561" s="2" t="s">
        <v>10496</v>
      </c>
      <c r="D2561" s="2" t="s">
        <v>10501</v>
      </c>
      <c r="E2561" s="2" t="s">
        <v>10502</v>
      </c>
      <c r="F2561" s="2">
        <v>93.0</v>
      </c>
      <c r="G2561" s="2">
        <v>1059.0</v>
      </c>
      <c r="H2561" s="2" t="b">
        <v>1</v>
      </c>
      <c r="I2561" s="2">
        <v>-1.0</v>
      </c>
      <c r="J2561" s="2" t="b">
        <v>0</v>
      </c>
      <c r="K2561" s="2" t="b">
        <v>0</v>
      </c>
      <c r="L2561" s="2" t="b">
        <v>0</v>
      </c>
      <c r="M2561" s="2" t="b">
        <v>0</v>
      </c>
      <c r="N2561" s="2" t="s">
        <v>33</v>
      </c>
      <c r="O2561" s="2">
        <v>27.0</v>
      </c>
      <c r="P2561" s="2">
        <v>57.0</v>
      </c>
      <c r="Q2561" s="2">
        <v>1.0</v>
      </c>
      <c r="R2561" s="2">
        <v>0.0</v>
      </c>
      <c r="S2561" s="3" t="s">
        <v>10503</v>
      </c>
      <c r="T2561" s="2" t="s">
        <v>10504</v>
      </c>
      <c r="Y2561" s="4" t="str">
        <f>IFERROR(__xludf.DUMMYFUNCTION("""COMPUTED_VALUE"""),"6.8322014")</f>
        <v>6.8322014</v>
      </c>
      <c r="Z2561" s="4" t="str">
        <f>IFERROR(__xludf.DUMMYFUNCTION("""COMPUTED_VALUE"""),"3.6319131")</f>
        <v>3.6319131</v>
      </c>
      <c r="AA2561" s="4" t="str">
        <f t="shared" si="1"/>
        <v>Neighbor</v>
      </c>
      <c r="AC2561" s="4">
        <f>IFERROR(__xludf.DUMMYFUNCTION("IFERROR(ABS(O2561-AVERAGE(FILTER(O2561:O6629,AA2561:AA6629=""Neighbor""))) / STDEV(FILTER(O2561:O6629, AA2561:AA6629 =""Neighbor"")), """")"),0.6235590979887121)</f>
        <v>0.623559098</v>
      </c>
      <c r="AD2561" s="4">
        <f>IFERROR(__xludf.DUMMYFUNCTION("IFERROR(ABS(P2561-AVERAGE(FILTER(O2561:P6629,AA2561:AA6629=""Neighbor""))) / STDEV(FILTER(P2561:P6629, AA2561:AA6629 =""Neighbor"")), """")"),0.9975149453194231)</f>
        <v>0.9975149453</v>
      </c>
      <c r="AE2561" s="2">
        <f>IFERROR(__xludf.DUMMYFUNCTION("IFERROR(ABS(Q2561-AVERAGE(FILTER(Q2561:Q6629,AA2561:AA6629=""Neighbor""))) / STDEV(FILTER(Q2561:Q6629, AA2561:AA6629 =""Neighbor"")), """")"),0.8246878741284012)</f>
        <v>0.8246878741</v>
      </c>
      <c r="AF2561" s="2">
        <f>IFERROR(__xludf.DUMMYFUNCTION("IFERROR(ABS(R2561-AVERAGE(FILTER(R2561:R6629,AA2561:AA6629=""Neighbor""))) / STDEV(FILTER(R2561:R6629, AA2561:AA6629 =""Neighbor"")), """")"),0.32969453646851893)</f>
        <v>0.3296945365</v>
      </c>
    </row>
    <row r="2562">
      <c r="A2562" s="2" t="s">
        <v>28</v>
      </c>
      <c r="B2562" s="2" t="s">
        <v>10071</v>
      </c>
      <c r="C2562" s="2" t="s">
        <v>10496</v>
      </c>
      <c r="D2562" s="2" t="s">
        <v>10505</v>
      </c>
      <c r="E2562" s="2" t="s">
        <v>10506</v>
      </c>
      <c r="F2562" s="2">
        <v>90.0</v>
      </c>
      <c r="G2562" s="2">
        <v>882.0</v>
      </c>
      <c r="H2562" s="2" t="b">
        <v>1</v>
      </c>
      <c r="I2562" s="2">
        <v>-1.0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s">
        <v>33</v>
      </c>
      <c r="O2562" s="2">
        <v>39.0</v>
      </c>
      <c r="P2562" s="2">
        <v>40.0</v>
      </c>
      <c r="Q2562" s="2">
        <v>0.0</v>
      </c>
      <c r="R2562" s="2">
        <v>1.0</v>
      </c>
      <c r="S2562" s="3" t="s">
        <v>10507</v>
      </c>
      <c r="T2562" s="2" t="s">
        <v>10508</v>
      </c>
      <c r="Y2562" s="4" t="str">
        <f>IFERROR(__xludf.DUMMYFUNCTION("""COMPUTED_VALUE"""),"6.8322014")</f>
        <v>6.8322014</v>
      </c>
      <c r="Z2562" s="4" t="str">
        <f>IFERROR(__xludf.DUMMYFUNCTION("""COMPUTED_VALUE"""),"3.6319131")</f>
        <v>3.6319131</v>
      </c>
      <c r="AA2562" s="4" t="str">
        <f t="shared" si="1"/>
        <v>Neighbor</v>
      </c>
      <c r="AC2562" s="4">
        <f>IFERROR(__xludf.DUMMYFUNCTION("IFERROR(ABS(O2562-AVERAGE(FILTER(O2562:O6630,AA2562:AA6630=""Neighbor""))) / STDEV(FILTER(O2562:O6630, AA2562:AA6630 =""Neighbor"")), """")"),0.26555324713764134)</f>
        <v>0.2655532471</v>
      </c>
      <c r="AD2562" s="4">
        <f>IFERROR(__xludf.DUMMYFUNCTION("IFERROR(ABS(P2562-AVERAGE(FILTER(O2562:P6630,AA2562:AA6630=""Neighbor""))) / STDEV(FILTER(P2562:P6630, AA2562:AA6630 =""Neighbor"")), """")"),0.28703685961873987)</f>
        <v>0.2870368596</v>
      </c>
      <c r="AE2562" s="2">
        <f>IFERROR(__xludf.DUMMYFUNCTION("IFERROR(ABS(Q2562-AVERAGE(FILTER(Q2562:Q6630,AA2562:AA6630=""Neighbor""))) / STDEV(FILTER(Q2562:Q6630, AA2562:AA6630 =""Neighbor"")), """")"),0.8871356646554985)</f>
        <v>0.8871356647</v>
      </c>
      <c r="AF2562" s="2">
        <f>IFERROR(__xludf.DUMMYFUNCTION("IFERROR(ABS(R2562-AVERAGE(FILTER(R2562:R6630,AA2562:AA6630=""Neighbor""))) / STDEV(FILTER(R2562:R6630, AA2562:AA6630 =""Neighbor"")), """")"),0.8201290856639415)</f>
        <v>0.8201290857</v>
      </c>
    </row>
    <row r="2563">
      <c r="A2563" s="2" t="s">
        <v>28</v>
      </c>
      <c r="B2563" s="2" t="s">
        <v>10071</v>
      </c>
      <c r="C2563" s="2" t="s">
        <v>10496</v>
      </c>
      <c r="D2563" s="2" t="s">
        <v>10509</v>
      </c>
      <c r="E2563" s="2" t="s">
        <v>10510</v>
      </c>
      <c r="F2563" s="2">
        <v>158.0</v>
      </c>
      <c r="G2563" s="2">
        <v>720.0</v>
      </c>
      <c r="H2563" s="2" t="b">
        <v>1</v>
      </c>
      <c r="I2563" s="2">
        <v>-1.0</v>
      </c>
      <c r="J2563" s="2" t="b">
        <v>0</v>
      </c>
      <c r="K2563" s="2" t="b">
        <v>0</v>
      </c>
      <c r="L2563" s="2" t="b">
        <v>0</v>
      </c>
      <c r="M2563" s="2" t="b">
        <v>0</v>
      </c>
      <c r="N2563" s="2" t="s">
        <v>33</v>
      </c>
      <c r="O2563" s="2">
        <v>81.0</v>
      </c>
      <c r="P2563" s="2">
        <v>43.0</v>
      </c>
      <c r="Q2563" s="2">
        <v>23.0</v>
      </c>
      <c r="R2563" s="2">
        <v>0.0</v>
      </c>
      <c r="S2563" s="3" t="s">
        <v>10511</v>
      </c>
      <c r="T2563" s="2" t="s">
        <v>10512</v>
      </c>
      <c r="Y2563" s="4" t="str">
        <f>IFERROR(__xludf.DUMMYFUNCTION("""COMPUTED_VALUE"""),"6.8322014")</f>
        <v>6.8322014</v>
      </c>
      <c r="Z2563" s="4" t="str">
        <f>IFERROR(__xludf.DUMMYFUNCTION("""COMPUTED_VALUE"""),"3.6319131")</f>
        <v>3.6319131</v>
      </c>
      <c r="AA2563" s="4" t="str">
        <f t="shared" si="1"/>
        <v>Neighbor</v>
      </c>
      <c r="AC2563" s="4">
        <f>IFERROR(__xludf.DUMMYFUNCTION("IFERROR(ABS(O2563-AVERAGE(FILTER(O2563:O6631,AA2563:AA6631=""Neighbor""))) / STDEV(FILTER(O2563:O6631, AA2563:AA6631 =""Neighbor"")), """")"),0.9888044707981738)</f>
        <v>0.9888044708</v>
      </c>
      <c r="AD2563" s="4">
        <f>IFERROR(__xludf.DUMMYFUNCTION("IFERROR(ABS(P2563-AVERAGE(FILTER(O2563:P6631,AA2563:AA6631=""Neighbor""))) / STDEV(FILTER(P2563:P6631, AA2563:AA6631 =""Neighbor"")), """")"),0.4131556602362864)</f>
        <v>0.4131556602</v>
      </c>
      <c r="AE2563" s="2">
        <f>IFERROR(__xludf.DUMMYFUNCTION("IFERROR(ABS(Q2563-AVERAGE(FILTER(Q2563:Q6631,AA2563:AA6631=""Neighbor""))) / STDEV(FILTER(Q2563:Q6631, AA2563:AA6631 =""Neighbor"")), """")"),0.5205050700706577)</f>
        <v>0.5205050701</v>
      </c>
      <c r="AF2563" s="2">
        <f>IFERROR(__xludf.DUMMYFUNCTION("IFERROR(ABS(R2563-AVERAGE(FILTER(R2563:R6631,AA2563:AA6631=""Neighbor""))) / STDEV(FILTER(R2563:R6631, AA2563:AA6631 =""Neighbor"")), """")"),0.32851826552171143)</f>
        <v>0.3285182655</v>
      </c>
    </row>
    <row r="2564">
      <c r="A2564" s="2" t="s">
        <v>28</v>
      </c>
      <c r="B2564" s="2" t="s">
        <v>10071</v>
      </c>
      <c r="C2564" s="2" t="s">
        <v>10496</v>
      </c>
      <c r="D2564" s="2" t="s">
        <v>10513</v>
      </c>
      <c r="E2564" s="2" t="s">
        <v>10514</v>
      </c>
      <c r="F2564" s="2">
        <v>82.0</v>
      </c>
      <c r="G2564" s="2">
        <v>680.0</v>
      </c>
      <c r="H2564" s="2" t="b">
        <v>1</v>
      </c>
      <c r="I2564" s="2">
        <v>-1.0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s">
        <v>33</v>
      </c>
      <c r="O2564" s="2">
        <v>56.0</v>
      </c>
      <c r="P2564" s="2">
        <v>12.0</v>
      </c>
      <c r="Q2564" s="2">
        <v>11.0</v>
      </c>
      <c r="R2564" s="2">
        <v>0.0</v>
      </c>
      <c r="S2564" s="3" t="s">
        <v>10515</v>
      </c>
      <c r="T2564" s="2" t="s">
        <v>10516</v>
      </c>
      <c r="Y2564" s="4" t="str">
        <f>IFERROR(__xludf.DUMMYFUNCTION("""COMPUTED_VALUE"""),"6.8322014")</f>
        <v>6.8322014</v>
      </c>
      <c r="Z2564" s="4" t="str">
        <f>IFERROR(__xludf.DUMMYFUNCTION("""COMPUTED_VALUE"""),"3.6319131")</f>
        <v>3.6319131</v>
      </c>
      <c r="AA2564" s="4" t="str">
        <f t="shared" si="1"/>
        <v>Neighbor</v>
      </c>
      <c r="AC2564" s="4">
        <f>IFERROR(__xludf.DUMMYFUNCTION("IFERROR(ABS(O2564-AVERAGE(FILTER(O2564:O6632,AA2564:AA6632=""Neighbor""))) / STDEV(FILTER(O2564:O6632, AA2564:AA6632 =""Neighbor"")), """")"),0.2436995649728509)</f>
        <v>0.243699565</v>
      </c>
      <c r="AD2564" s="4">
        <f>IFERROR(__xludf.DUMMYFUNCTION("IFERROR(ABS(P2564-AVERAGE(FILTER(O2564:P6632,AA2564:AA6632=""Neighbor""))) / STDEV(FILTER(P2564:P6632, AA2564:AA6632 =""Neighbor"")), """")"),0.8838423055417279)</f>
        <v>0.8838423055</v>
      </c>
      <c r="AE2564" s="2">
        <f>IFERROR(__xludf.DUMMYFUNCTION("IFERROR(ABS(Q2564-AVERAGE(FILTER(Q2564:Q6632,AA2564:AA6632=""Neighbor""))) / STDEV(FILTER(Q2564:Q6632, AA2564:AA6632 =""Neighbor"")), """")"),0.21360031344948757)</f>
        <v>0.2136003134</v>
      </c>
      <c r="AF2564" s="2">
        <f>IFERROR(__xludf.DUMMYFUNCTION("IFERROR(ABS(R2564-AVERAGE(FILTER(R2564:R6632,AA2564:AA6632=""Neighbor""))) / STDEV(FILTER(R2564:R6632, AA2564:AA6632 =""Neighbor"")), """")"),0.3288277790849618)</f>
        <v>0.3288277791</v>
      </c>
    </row>
    <row r="2565">
      <c r="A2565" s="2" t="s">
        <v>28</v>
      </c>
      <c r="B2565" s="2" t="s">
        <v>10071</v>
      </c>
      <c r="C2565" s="2" t="s">
        <v>10496</v>
      </c>
      <c r="D2565" s="2" t="s">
        <v>10517</v>
      </c>
      <c r="E2565" s="2" t="s">
        <v>10518</v>
      </c>
      <c r="F2565" s="2">
        <v>84.0</v>
      </c>
      <c r="G2565" s="2">
        <v>555.0</v>
      </c>
      <c r="H2565" s="2" t="b">
        <v>1</v>
      </c>
      <c r="I2565" s="2">
        <v>-1.0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s">
        <v>33</v>
      </c>
      <c r="O2565" s="2">
        <v>28.0</v>
      </c>
      <c r="P2565" s="2">
        <v>30.0</v>
      </c>
      <c r="Q2565" s="2">
        <v>23.0</v>
      </c>
      <c r="R2565" s="2">
        <v>0.0</v>
      </c>
      <c r="S2565" s="3" t="s">
        <v>10519</v>
      </c>
      <c r="T2565" s="2" t="s">
        <v>10520</v>
      </c>
      <c r="Y2565" s="4" t="str">
        <f>IFERROR(__xludf.DUMMYFUNCTION("""COMPUTED_VALUE"""),"6.8322014")</f>
        <v>6.8322014</v>
      </c>
      <c r="Z2565" s="4" t="str">
        <f>IFERROR(__xludf.DUMMYFUNCTION("""COMPUTED_VALUE"""),"3.6319131")</f>
        <v>3.6319131</v>
      </c>
      <c r="AA2565" s="4" t="str">
        <f t="shared" si="1"/>
        <v>Not Neighbor</v>
      </c>
      <c r="AC2565" s="4">
        <f>IFERROR(__xludf.DUMMYFUNCTION("IFERROR(ABS(O2565-AVERAGE(FILTER(O2565:O6633,AA2565:AA6633=""Neighbor""))) / STDEV(FILTER(O2565:O6633, AA2565:AA6633 =""Neighbor"")), """")"),0.59179368266092)</f>
        <v>0.5917936827</v>
      </c>
      <c r="AD2565" s="4">
        <f>IFERROR(__xludf.DUMMYFUNCTION("IFERROR(ABS(P2565-AVERAGE(FILTER(O2565:P6633,AA2565:AA6633=""Neighbor""))) / STDEV(FILTER(P2565:P6633, AA2565:AA6633 =""Neighbor"")), """")"),0.12936921690442557)</f>
        <v>0.1293692169</v>
      </c>
      <c r="AE2565" s="2">
        <f>IFERROR(__xludf.DUMMYFUNCTION("IFERROR(ABS(Q2565-AVERAGE(FILTER(Q2565:Q6633,AA2565:AA6633=""Neighbor""))) / STDEV(FILTER(Q2565:Q6633, AA2565:AA6633 =""Neighbor"")), """")"),0.5202792596160247)</f>
        <v>0.5202792596</v>
      </c>
      <c r="AF2565" s="2">
        <f>IFERROR(__xludf.DUMMYFUNCTION("IFERROR(ABS(R2565-AVERAGE(FILTER(R2565:R6633,AA2565:AA6633=""Neighbor""))) / STDEV(FILTER(R2565:R6633, AA2565:AA6633 =""Neighbor"")), """")"),0.3291381692988251)</f>
        <v>0.3291381693</v>
      </c>
    </row>
    <row r="2566">
      <c r="A2566" s="2" t="s">
        <v>28</v>
      </c>
      <c r="B2566" s="2" t="s">
        <v>10071</v>
      </c>
      <c r="C2566" s="2" t="s">
        <v>10496</v>
      </c>
      <c r="D2566" s="2" t="s">
        <v>10521</v>
      </c>
      <c r="E2566" s="2" t="s">
        <v>10522</v>
      </c>
      <c r="F2566" s="2">
        <v>115.0</v>
      </c>
      <c r="G2566" s="2">
        <v>629.0</v>
      </c>
      <c r="H2566" s="2" t="b">
        <v>1</v>
      </c>
      <c r="I2566" s="2">
        <v>-1.0</v>
      </c>
      <c r="J2566" s="2" t="b">
        <v>0</v>
      </c>
      <c r="K2566" s="2" t="b">
        <v>0</v>
      </c>
      <c r="L2566" s="2" t="b">
        <v>0</v>
      </c>
      <c r="M2566" s="2" t="b">
        <v>0</v>
      </c>
      <c r="N2566" s="2" t="s">
        <v>33</v>
      </c>
      <c r="O2566" s="2">
        <v>48.0</v>
      </c>
      <c r="P2566" s="2">
        <v>38.0</v>
      </c>
      <c r="Q2566" s="2">
        <v>14.0</v>
      </c>
      <c r="R2566" s="2">
        <v>2.0</v>
      </c>
      <c r="S2566" s="3" t="s">
        <v>10523</v>
      </c>
      <c r="T2566" s="2" t="s">
        <v>10524</v>
      </c>
      <c r="Y2566" s="4" t="str">
        <f>IFERROR(__xludf.DUMMYFUNCTION("""COMPUTED_VALUE"""),"7.2390599")</f>
        <v>7.2390599</v>
      </c>
      <c r="Z2566" s="4" t="str">
        <f>IFERROR(__xludf.DUMMYFUNCTION("""COMPUTED_VALUE"""),"3.0325855")</f>
        <v>3.0325855</v>
      </c>
      <c r="AA2566" s="4" t="str">
        <f t="shared" si="1"/>
        <v>Not Neighbor</v>
      </c>
      <c r="AC2566" s="4">
        <f>IFERROR(__xludf.DUMMYFUNCTION("IFERROR(ABS(O2566-AVERAGE(FILTER(O2566:O6634,AA2566:AA6634=""Neighbor""))) / STDEV(FILTER(O2566:O6634, AA2566:AA6634 =""Neighbor"")), """")"),0.005144260431083028)</f>
        <v>0.005144260431</v>
      </c>
      <c r="AD2566" s="4">
        <f>IFERROR(__xludf.DUMMYFUNCTION("IFERROR(ABS(P2566-AVERAGE(FILTER(O2566:P6634,AA2566:AA6634=""Neighbor""))) / STDEV(FILTER(P2566:P6634, AA2566:AA6634 =""Neighbor"")), """")"),0.20561166619303212)</f>
        <v>0.2056116662</v>
      </c>
      <c r="AE2566" s="2">
        <f>IFERROR(__xludf.DUMMYFUNCTION("IFERROR(ABS(Q2566-AVERAGE(FILTER(Q2566:Q6634,AA2566:AA6634=""Neighbor""))) / STDEV(FILTER(Q2566:Q6634, AA2566:AA6634 =""Neighbor"")), """")"),0.030273070884560056)</f>
        <v>0.03027307088</v>
      </c>
      <c r="AF2566" s="2">
        <f>IFERROR(__xludf.DUMMYFUNCTION("IFERROR(ABS(R2566-AVERAGE(FILTER(R2566:R6634,AA2566:AA6634=""Neighbor""))) / STDEV(FILTER(R2566:R6634, AA2566:AA6634 =""Neighbor"")), """")"),1.966992392714407)</f>
        <v>1.966992393</v>
      </c>
    </row>
    <row r="2567">
      <c r="A2567" s="2" t="s">
        <v>28</v>
      </c>
      <c r="B2567" s="2" t="s">
        <v>10071</v>
      </c>
      <c r="C2567" s="2" t="s">
        <v>10496</v>
      </c>
      <c r="D2567" s="2" t="s">
        <v>10525</v>
      </c>
      <c r="E2567" s="2" t="s">
        <v>10526</v>
      </c>
      <c r="F2567" s="2">
        <v>62.0</v>
      </c>
      <c r="G2567" s="2">
        <v>521.0</v>
      </c>
      <c r="H2567" s="2" t="b">
        <v>1</v>
      </c>
      <c r="I2567" s="2">
        <v>-1.0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s">
        <v>33</v>
      </c>
      <c r="O2567" s="2">
        <v>30.0</v>
      </c>
      <c r="P2567" s="2">
        <v>4.0</v>
      </c>
      <c r="Q2567" s="2">
        <v>22.0</v>
      </c>
      <c r="R2567" s="2">
        <v>0.0</v>
      </c>
      <c r="S2567" s="3" t="s">
        <v>10527</v>
      </c>
      <c r="T2567" s="2" t="s">
        <v>10528</v>
      </c>
      <c r="Y2567" s="4" t="str">
        <f>IFERROR(__xludf.DUMMYFUNCTION("""COMPUTED_VALUE"""),"6.8320203")</f>
        <v>6.8320203</v>
      </c>
      <c r="Z2567" s="4" t="str">
        <f>IFERROR(__xludf.DUMMYFUNCTION("""COMPUTED_VALUE"""),"3.5434779")</f>
        <v>3.5434779</v>
      </c>
      <c r="AA2567" s="4" t="str">
        <f t="shared" si="1"/>
        <v>Not Neighbor</v>
      </c>
      <c r="AC2567" s="4">
        <f>IFERROR(__xludf.DUMMYFUNCTION("IFERROR(ABS(O2567-AVERAGE(FILTER(O2567:O6635,AA2567:AA6635=""Neighbor""))) / STDEV(FILTER(O2567:O6635, AA2567:AA6635 =""Neighbor"")), """")"),0.5320998883517197)</f>
        <v>0.5320998884</v>
      </c>
      <c r="AD2567" s="4">
        <f>IFERROR(__xludf.DUMMYFUNCTION("IFERROR(ABS(P2567-AVERAGE(FILTER(O2567:P6635,AA2567:AA6635=""Neighbor""))) / STDEV(FILTER(P2567:P6635, AA2567:AA6635 =""Neighbor"")), """")"),1.218057086971163)</f>
        <v>1.218057087</v>
      </c>
      <c r="AE2567" s="2">
        <f>IFERROR(__xludf.DUMMYFUNCTION("IFERROR(ABS(Q2567-AVERAGE(FILTER(Q2567:Q6635,AA2567:AA6635=""Neighbor""))) / STDEV(FILTER(Q2567:Q6635, AA2567:AA6635 =""Neighbor"")), """")"),0.45910677844929304)</f>
        <v>0.4591067784</v>
      </c>
      <c r="AF2567" s="2">
        <f>IFERROR(__xludf.DUMMYFUNCTION("IFERROR(ABS(R2567-AVERAGE(FILTER(R2567:R6635,AA2567:AA6635=""Neighbor""))) / STDEV(FILTER(R2567:R6635, AA2567:AA6635 =""Neighbor"")), """")"),0.3291381692988251)</f>
        <v>0.3291381693</v>
      </c>
    </row>
    <row r="2568">
      <c r="A2568" s="2" t="s">
        <v>28</v>
      </c>
      <c r="B2568" s="2" t="s">
        <v>10071</v>
      </c>
      <c r="C2568" s="2" t="s">
        <v>10496</v>
      </c>
      <c r="D2568" s="2" t="s">
        <v>10529</v>
      </c>
      <c r="E2568" s="2" t="s">
        <v>10530</v>
      </c>
      <c r="F2568" s="2">
        <v>44.0</v>
      </c>
      <c r="G2568" s="2">
        <v>291.0</v>
      </c>
      <c r="H2568" s="2" t="b">
        <v>1</v>
      </c>
      <c r="I2568" s="2">
        <v>-1.0</v>
      </c>
      <c r="J2568" s="2" t="b">
        <v>0</v>
      </c>
      <c r="K2568" s="2" t="b">
        <v>0</v>
      </c>
      <c r="L2568" s="2" t="b">
        <v>0</v>
      </c>
      <c r="M2568" s="2" t="b">
        <v>0</v>
      </c>
      <c r="N2568" s="2" t="s">
        <v>33</v>
      </c>
      <c r="O2568" s="2">
        <v>22.0</v>
      </c>
      <c r="P2568" s="2">
        <v>11.0</v>
      </c>
      <c r="Q2568" s="2">
        <v>5.0</v>
      </c>
      <c r="R2568" s="2">
        <v>1.0</v>
      </c>
      <c r="S2568" s="3" t="s">
        <v>10531</v>
      </c>
      <c r="T2568" s="2" t="s">
        <v>10532</v>
      </c>
      <c r="Y2568" s="4" t="str">
        <f>IFERROR(__xludf.DUMMYFUNCTION("""COMPUTED_VALUE"""),"6.8605216")</f>
        <v>6.8605216</v>
      </c>
      <c r="Z2568" s="4" t="str">
        <f>IFERROR(__xludf.DUMMYFUNCTION("""COMPUTED_VALUE"""),"3.5339951")</f>
        <v>3.5339951</v>
      </c>
      <c r="AA2568" s="4" t="str">
        <f t="shared" si="1"/>
        <v>Not Neighbor</v>
      </c>
      <c r="AC2568" s="4">
        <f>IFERROR(__xludf.DUMMYFUNCTION("IFERROR(ABS(O2568-AVERAGE(FILTER(O2568:O6636,AA2568:AA6636=""Neighbor""))) / STDEV(FILTER(O2568:O6636, AA2568:AA6636 =""Neighbor"")), """")"),0.7708750655885209)</f>
        <v>0.7708750656</v>
      </c>
      <c r="AD2568" s="4">
        <f>IFERROR(__xludf.DUMMYFUNCTION("IFERROR(ABS(P2568-AVERAGE(FILTER(O2568:P6636,AA2568:AA6636=""Neighbor""))) / STDEV(FILTER(P2568:P6636, AA2568:AA6636 =""Neighbor"")), """")"),0.9249488142608876)</f>
        <v>0.9249488143</v>
      </c>
      <c r="AE2568" s="2">
        <f>IFERROR(__xludf.DUMMYFUNCTION("IFERROR(ABS(Q2568-AVERAGE(FILTER(Q2568:Q6636,AA2568:AA6636=""Neighbor""))) / STDEV(FILTER(Q2568:Q6636, AA2568:AA6636 =""Neighbor"")), """")"),0.5808254013851448)</f>
        <v>0.5808254014</v>
      </c>
      <c r="AF2568" s="2">
        <f>IFERROR(__xludf.DUMMYFUNCTION("IFERROR(ABS(R2568-AVERAGE(FILTER(R2568:R6636,AA2568:AA6636=""Neighbor""))) / STDEV(FILTER(R2568:R6636, AA2568:AA6636 =""Neighbor"")), """")"),0.818927111707791)</f>
        <v>0.8189271117</v>
      </c>
    </row>
    <row r="2569">
      <c r="A2569" s="2" t="s">
        <v>28</v>
      </c>
      <c r="B2569" s="2" t="s">
        <v>10071</v>
      </c>
      <c r="C2569" s="2" t="s">
        <v>10496</v>
      </c>
      <c r="D2569" s="2" t="s">
        <v>10533</v>
      </c>
      <c r="E2569" s="2" t="s">
        <v>10534</v>
      </c>
      <c r="F2569" s="2">
        <v>32.0</v>
      </c>
      <c r="G2569" s="2">
        <v>437.0</v>
      </c>
      <c r="H2569" s="2" t="b">
        <v>1</v>
      </c>
      <c r="I2569" s="2">
        <v>-1.0</v>
      </c>
      <c r="J2569" s="2" t="b">
        <v>0</v>
      </c>
      <c r="K2569" s="2" t="b">
        <v>1</v>
      </c>
      <c r="L2569" s="2" t="b">
        <v>0</v>
      </c>
      <c r="M2569" s="2" t="b">
        <v>0</v>
      </c>
      <c r="N2569" s="2" t="s">
        <v>33</v>
      </c>
      <c r="O2569" s="2">
        <v>11.0</v>
      </c>
      <c r="P2569" s="2">
        <v>2.0</v>
      </c>
      <c r="Q2569" s="2">
        <v>16.0</v>
      </c>
      <c r="R2569" s="2">
        <v>0.0</v>
      </c>
      <c r="S2569" s="3" t="s">
        <v>10535</v>
      </c>
      <c r="T2569" s="2" t="s">
        <v>10536</v>
      </c>
      <c r="Y2569" s="4" t="str">
        <f>IFERROR(__xludf.DUMMYFUNCTION("""COMPUTED_VALUE"""),"6.8322014")</f>
        <v>6.8322014</v>
      </c>
      <c r="Z2569" s="4" t="str">
        <f>IFERROR(__xludf.DUMMYFUNCTION("""COMPUTED_VALUE"""),"3.6319131")</f>
        <v>3.6319131</v>
      </c>
      <c r="AA2569" s="4" t="str">
        <f t="shared" si="1"/>
        <v>Neighbor</v>
      </c>
      <c r="AC2569" s="4">
        <f>IFERROR(__xludf.DUMMYFUNCTION("IFERROR(ABS(O2569-AVERAGE(FILTER(O2569:O6637,AA2569:AA6637=""Neighbor""))) / STDEV(FILTER(O2569:O6637, AA2569:AA6637 =""Neighbor"")), """")"),1.0991909342891226)</f>
        <v>1.099190934</v>
      </c>
      <c r="AD2569" s="4">
        <f>IFERROR(__xludf.DUMMYFUNCTION("IFERROR(ABS(P2569-AVERAGE(FILTER(O2569:P6637,AA2569:AA6637=""Neighbor""))) / STDEV(FILTER(P2569:P6637, AA2569:AA6637 =""Neighbor"")), """")"),1.3018023077455274)</f>
        <v>1.301802308</v>
      </c>
      <c r="AE2569" s="2">
        <f>IFERROR(__xludf.DUMMYFUNCTION("IFERROR(ABS(Q2569-AVERAGE(FILTER(Q2569:Q6637,AA2569:AA6637=""Neighbor""))) / STDEV(FILTER(Q2569:Q6637, AA2569:AA6637 =""Neighbor"")), """")"),0.09207189144890322)</f>
        <v>0.09207189145</v>
      </c>
      <c r="AF2569" s="2">
        <f>IFERROR(__xludf.DUMMYFUNCTION("IFERROR(ABS(R2569-AVERAGE(FILTER(R2569:R6637,AA2569:AA6637=""Neighbor""))) / STDEV(FILTER(R2569:R6637, AA2569:AA6637 =""Neighbor"")), """")"),0.3291381692988251)</f>
        <v>0.3291381693</v>
      </c>
    </row>
    <row r="2570">
      <c r="A2570" s="2" t="s">
        <v>28</v>
      </c>
      <c r="B2570" s="2" t="s">
        <v>10071</v>
      </c>
      <c r="C2570" s="2" t="s">
        <v>10496</v>
      </c>
      <c r="D2570" s="2" t="s">
        <v>10537</v>
      </c>
      <c r="E2570" s="2" t="s">
        <v>10538</v>
      </c>
      <c r="F2570" s="2">
        <v>87.0</v>
      </c>
      <c r="G2570" s="2">
        <v>728.0</v>
      </c>
      <c r="H2570" s="2" t="b">
        <v>1</v>
      </c>
      <c r="I2570" s="2">
        <v>-1.0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s">
        <v>33</v>
      </c>
      <c r="O2570" s="2">
        <v>55.0</v>
      </c>
      <c r="P2570" s="2">
        <v>23.0</v>
      </c>
      <c r="Q2570" s="2">
        <v>6.0</v>
      </c>
      <c r="R2570" s="2">
        <v>0.0</v>
      </c>
      <c r="S2570" s="3" t="s">
        <v>10539</v>
      </c>
      <c r="T2570" s="2" t="s">
        <v>10540</v>
      </c>
      <c r="Y2570" s="4" t="str">
        <f>IFERROR(__xludf.DUMMYFUNCTION("""COMPUTED_VALUE"""),"6.8322014")</f>
        <v>6.8322014</v>
      </c>
      <c r="Z2570" s="4" t="str">
        <f>IFERROR(__xludf.DUMMYFUNCTION("""COMPUTED_VALUE"""),"3.6319131")</f>
        <v>3.6319131</v>
      </c>
      <c r="AA2570" s="4" t="str">
        <f t="shared" si="1"/>
        <v>Neighbor</v>
      </c>
      <c r="AC2570" s="4">
        <f>IFERROR(__xludf.DUMMYFUNCTION("IFERROR(ABS(O2570-AVERAGE(FILTER(O2570:O6638,AA2570:AA6638=""Neighbor""))) / STDEV(FILTER(O2570:O6638, AA2570:AA6638 =""Neighbor"")), """")"),0.21223179518120716)</f>
        <v>0.2122317952</v>
      </c>
      <c r="AD2570" s="4">
        <f>IFERROR(__xludf.DUMMYFUNCTION("IFERROR(ABS(P2570-AVERAGE(FILTER(O2570:P6638,AA2570:AA6638=""Neighbor""))) / STDEV(FILTER(P2570:P6638, AA2570:AA6638 =""Neighbor"")), """")"),0.42418810793434714)</f>
        <v>0.4241881079</v>
      </c>
      <c r="AE2570" s="2">
        <f>IFERROR(__xludf.DUMMYFUNCTION("IFERROR(ABS(Q2570-AVERAGE(FILTER(Q2570:Q6638,AA2570:AA6638=""Neighbor""))) / STDEV(FILTER(Q2570:Q6638, AA2570:AA6638 =""Neighbor"")), """")"),0.5190550964379488)</f>
        <v>0.5190550964</v>
      </c>
      <c r="AF2570" s="2">
        <f>IFERROR(__xludf.DUMMYFUNCTION("IFERROR(ABS(R2570-AVERAGE(FILTER(R2570:R6638,AA2570:AA6638=""Neighbor""))) / STDEV(FILTER(R2570:R6638, AA2570:AA6638 =""Neighbor"")), """")"),0.3294494403101646)</f>
        <v>0.3294494403</v>
      </c>
    </row>
    <row r="2571">
      <c r="A2571" s="2" t="s">
        <v>28</v>
      </c>
      <c r="B2571" s="2" t="s">
        <v>10071</v>
      </c>
      <c r="C2571" s="2" t="s">
        <v>10496</v>
      </c>
      <c r="D2571" s="2" t="s">
        <v>10541</v>
      </c>
      <c r="E2571" s="2" t="s">
        <v>10542</v>
      </c>
      <c r="F2571" s="2">
        <v>41.0</v>
      </c>
      <c r="G2571" s="2">
        <v>241.0</v>
      </c>
      <c r="H2571" s="2" t="b">
        <v>1</v>
      </c>
      <c r="I2571" s="2">
        <v>-1.0</v>
      </c>
      <c r="J2571" s="2" t="b">
        <v>0</v>
      </c>
      <c r="K2571" s="2" t="b">
        <v>0</v>
      </c>
      <c r="L2571" s="2" t="b">
        <v>0</v>
      </c>
      <c r="M2571" s="2" t="b">
        <v>0</v>
      </c>
      <c r="N2571" s="2" t="s">
        <v>33</v>
      </c>
      <c r="O2571" s="2">
        <v>27.0</v>
      </c>
      <c r="P2571" s="2">
        <v>2.0</v>
      </c>
      <c r="Q2571" s="2">
        <v>9.0</v>
      </c>
      <c r="R2571" s="2">
        <v>0.0</v>
      </c>
      <c r="S2571" s="3" t="s">
        <v>10543</v>
      </c>
      <c r="T2571" s="2" t="s">
        <v>10544</v>
      </c>
      <c r="Y2571" s="4" t="str">
        <f>IFERROR(__xludf.DUMMYFUNCTION("""COMPUTED_VALUE"""),"6.8322014")</f>
        <v>6.8322014</v>
      </c>
      <c r="Z2571" s="4" t="str">
        <f>IFERROR(__xludf.DUMMYFUNCTION("""COMPUTED_VALUE"""),"3.6319131")</f>
        <v>3.6319131</v>
      </c>
      <c r="AA2571" s="4" t="str">
        <f t="shared" si="1"/>
        <v>Neighbor</v>
      </c>
      <c r="AC2571" s="4">
        <f>IFERROR(__xludf.DUMMYFUNCTION("IFERROR(ABS(O2571-AVERAGE(FILTER(O2571:O6639,AA2571:AA6639=""Neighbor""))) / STDEV(FILTER(O2571:O6639, AA2571:AA6639 =""Neighbor"")), """")"),0.6227586250721758)</f>
        <v>0.6227586251</v>
      </c>
      <c r="AD2571" s="4">
        <f>IFERROR(__xludf.DUMMYFUNCTION("IFERROR(ABS(P2571-AVERAGE(FILTER(O2571:P6639,AA2571:AA6639=""Neighbor""))) / STDEV(FILTER(P2571:P6639, AA2571:AA6639 =""Neighbor"")), """")"),1.3016195063536722)</f>
        <v>1.301619506</v>
      </c>
      <c r="AE2571" s="2">
        <f>IFERROR(__xludf.DUMMYFUNCTION("IFERROR(ABS(Q2571-AVERAGE(FILTER(Q2571:Q6639,AA2571:AA6639=""Neighbor""))) / STDEV(FILTER(Q2571:Q6639, AA2571:AA6639 =""Neighbor"")), """")"),0.33637147306543674)</f>
        <v>0.3363714731</v>
      </c>
      <c r="AF2571" s="2">
        <f>IFERROR(__xludf.DUMMYFUNCTION("IFERROR(ABS(R2571-AVERAGE(FILTER(R2571:R6639,AA2571:AA6639=""Neighbor""))) / STDEV(FILTER(R2571:R6639, AA2571:AA6639 =""Neighbor"")), """")"),0.3297615962933624)</f>
        <v>0.3297615963</v>
      </c>
    </row>
    <row r="2572">
      <c r="A2572" s="2" t="s">
        <v>28</v>
      </c>
      <c r="B2572" s="2" t="s">
        <v>10071</v>
      </c>
      <c r="C2572" s="2" t="s">
        <v>10496</v>
      </c>
      <c r="D2572" s="2" t="s">
        <v>10545</v>
      </c>
      <c r="E2572" s="2" t="s">
        <v>10546</v>
      </c>
      <c r="F2572" s="2">
        <v>55.0</v>
      </c>
      <c r="G2572" s="2">
        <v>378.0</v>
      </c>
      <c r="H2572" s="2" t="b">
        <v>1</v>
      </c>
      <c r="I2572" s="2">
        <v>-1.0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s">
        <v>33</v>
      </c>
      <c r="O2572" s="2">
        <v>24.0</v>
      </c>
      <c r="P2572" s="2">
        <v>10.0</v>
      </c>
      <c r="Q2572" s="2">
        <v>9.0</v>
      </c>
      <c r="R2572" s="2">
        <v>0.0</v>
      </c>
      <c r="S2572" s="3" t="s">
        <v>10547</v>
      </c>
      <c r="T2572" s="2" t="s">
        <v>10548</v>
      </c>
      <c r="Y2572" s="4" t="str">
        <f>IFERROR(__xludf.DUMMYFUNCTION("""COMPUTED_VALUE"""),"6.8322014")</f>
        <v>6.8322014</v>
      </c>
      <c r="Z2572" s="4" t="str">
        <f>IFERROR(__xludf.DUMMYFUNCTION("""COMPUTED_VALUE"""),"3.6319131")</f>
        <v>3.6319131</v>
      </c>
      <c r="AA2572" s="4" t="str">
        <f t="shared" si="1"/>
        <v>Neighbor</v>
      </c>
      <c r="AC2572" s="4">
        <f>IFERROR(__xludf.DUMMYFUNCTION("IFERROR(ABS(O2572-AVERAGE(FILTER(O2572:O6640,AA2572:AA6640=""Neighbor""))) / STDEV(FILTER(O2572:O6640, AA2572:AA6640 =""Neighbor"")), """")"),0.7129359449411907)</f>
        <v>0.7129359449</v>
      </c>
      <c r="AD2572" s="4">
        <f>IFERROR(__xludf.DUMMYFUNCTION("IFERROR(ABS(P2572-AVERAGE(FILTER(O2572:P6640,AA2572:AA6640=""Neighbor""))) / STDEV(FILTER(P2572:P6640, AA2572:AA6640 =""Neighbor"")), """")"),0.9679616702606673)</f>
        <v>0.9679616703</v>
      </c>
      <c r="AE2572" s="2">
        <f>IFERROR(__xludf.DUMMYFUNCTION("IFERROR(ABS(Q2572-AVERAGE(FILTER(Q2572:Q6640,AA2572:AA6640=""Neighbor""))) / STDEV(FILTER(Q2572:Q6640, AA2572:AA6640 =""Neighbor"")), """")"),0.33669206686845415)</f>
        <v>0.3366920669</v>
      </c>
      <c r="AF2572" s="2">
        <f>IFERROR(__xludf.DUMMYFUNCTION("IFERROR(ABS(R2572-AVERAGE(FILTER(R2572:R6640,AA2572:AA6640=""Neighbor""))) / STDEV(FILTER(R2572:R6640, AA2572:AA6640 =""Neighbor"")), """")"),0.3300746414505546)</f>
        <v>0.3300746415</v>
      </c>
    </row>
    <row r="2573">
      <c r="A2573" s="2" t="s">
        <v>28</v>
      </c>
      <c r="B2573" s="2" t="s">
        <v>10071</v>
      </c>
      <c r="C2573" s="2" t="s">
        <v>10496</v>
      </c>
      <c r="D2573" s="2" t="s">
        <v>10549</v>
      </c>
      <c r="E2573" s="2" t="s">
        <v>10550</v>
      </c>
      <c r="F2573" s="2">
        <v>51.0</v>
      </c>
      <c r="G2573" s="2">
        <v>339.0</v>
      </c>
      <c r="H2573" s="2" t="b">
        <v>1</v>
      </c>
      <c r="I2573" s="2">
        <v>-1.0</v>
      </c>
      <c r="J2573" s="2" t="b">
        <v>0</v>
      </c>
      <c r="K2573" s="2" t="b">
        <v>0</v>
      </c>
      <c r="L2573" s="2" t="b">
        <v>0</v>
      </c>
      <c r="M2573" s="2" t="b">
        <v>0</v>
      </c>
      <c r="N2573" s="2" t="s">
        <v>33</v>
      </c>
      <c r="O2573" s="2">
        <v>26.0</v>
      </c>
      <c r="P2573" s="2">
        <v>10.0</v>
      </c>
      <c r="Q2573" s="2">
        <v>14.0</v>
      </c>
      <c r="R2573" s="2">
        <v>0.0</v>
      </c>
      <c r="S2573" s="3" t="s">
        <v>10551</v>
      </c>
      <c r="T2573" s="2" t="s">
        <v>10552</v>
      </c>
      <c r="Y2573" s="4" t="str">
        <f>IFERROR(__xludf.DUMMYFUNCTION("""COMPUTED_VALUE"""),"6.8322014")</f>
        <v>6.8322014</v>
      </c>
      <c r="Z2573" s="4" t="str">
        <f>IFERROR(__xludf.DUMMYFUNCTION("""COMPUTED_VALUE"""),"3.6319131")</f>
        <v>3.6319131</v>
      </c>
      <c r="AA2573" s="4" t="str">
        <f t="shared" si="1"/>
        <v>Neighbor</v>
      </c>
      <c r="AC2573" s="4">
        <f>IFERROR(__xludf.DUMMYFUNCTION("IFERROR(ABS(O2573-AVERAGE(FILTER(O2573:O6641,AA2573:AA6641=""Neighbor""))) / STDEV(FILTER(O2573:O6641, AA2573:AA6641 =""Neighbor"")), """")"),0.6542602134819334)</f>
        <v>0.6542602135</v>
      </c>
      <c r="AD2573" s="4">
        <f>IFERROR(__xludf.DUMMYFUNCTION("IFERROR(ABS(P2573-AVERAGE(FILTER(O2573:P6641,AA2573:AA6641=""Neighbor""))) / STDEV(FILTER(P2573:P6641, AA2573:AA6641 =""Neighbor"")), """")"),0.9683918887287718)</f>
        <v>0.9683918887</v>
      </c>
      <c r="AE2573" s="2">
        <f>IFERROR(__xludf.DUMMYFUNCTION("IFERROR(ABS(Q2573-AVERAGE(FILTER(Q2573:Q6641,AA2573:AA6641=""Neighbor""))) / STDEV(FILTER(Q2573:Q6641, AA2573:AA6641 =""Neighbor"")), """")"),0.03206659056598921)</f>
        <v>0.03206659057</v>
      </c>
      <c r="AF2573" s="2">
        <f>IFERROR(__xludf.DUMMYFUNCTION("IFERROR(ABS(R2573-AVERAGE(FILTER(R2573:R6641,AA2573:AA6641=""Neighbor""))) / STDEV(FILTER(R2573:R6641, AA2573:AA6641 =""Neighbor"")), """")"),0.33038858001186916)</f>
        <v>0.33038858</v>
      </c>
    </row>
    <row r="2574">
      <c r="A2574" s="2" t="s">
        <v>28</v>
      </c>
      <c r="B2574" s="2" t="s">
        <v>10071</v>
      </c>
      <c r="C2574" s="2" t="s">
        <v>10496</v>
      </c>
      <c r="D2574" s="2" t="s">
        <v>10553</v>
      </c>
      <c r="E2574" s="2" t="s">
        <v>10554</v>
      </c>
      <c r="F2574" s="2">
        <v>183.0</v>
      </c>
      <c r="G2574" s="2">
        <v>1057.0</v>
      </c>
      <c r="H2574" s="2" t="b">
        <v>1</v>
      </c>
      <c r="I2574" s="2">
        <v>-1.0</v>
      </c>
      <c r="J2574" s="2" t="b">
        <v>0</v>
      </c>
      <c r="K2574" s="2" t="b">
        <v>0</v>
      </c>
      <c r="L2574" s="2" t="b">
        <v>0</v>
      </c>
      <c r="M2574" s="2" t="b">
        <v>0</v>
      </c>
      <c r="N2574" s="2" t="s">
        <v>33</v>
      </c>
      <c r="O2574" s="2">
        <v>113.0</v>
      </c>
      <c r="P2574" s="2">
        <v>39.0</v>
      </c>
      <c r="Q2574" s="2">
        <v>22.0</v>
      </c>
      <c r="R2574" s="2">
        <v>0.0</v>
      </c>
      <c r="S2574" s="3" t="s">
        <v>10555</v>
      </c>
      <c r="T2574" s="2" t="s">
        <v>10556</v>
      </c>
      <c r="Y2574" s="4" t="str">
        <f>IFERROR(__xludf.DUMMYFUNCTION("""COMPUTED_VALUE"""),"6.8322014")</f>
        <v>6.8322014</v>
      </c>
      <c r="Z2574" s="4" t="str">
        <f>IFERROR(__xludf.DUMMYFUNCTION("""COMPUTED_VALUE"""),"3.6319131")</f>
        <v>3.6319131</v>
      </c>
      <c r="AA2574" s="4" t="str">
        <f t="shared" si="1"/>
        <v>Neighbor</v>
      </c>
      <c r="AC2574" s="4">
        <f>IFERROR(__xludf.DUMMYFUNCTION("IFERROR(ABS(O2574-AVERAGE(FILTER(O2574:O6642,AA2574:AA6642=""Neighbor""))) / STDEV(FILTER(O2574:O6642, AA2574:AA6642 =""Neighbor"")), """")"),1.9362267500730064)</f>
        <v>1.93622675</v>
      </c>
      <c r="AD2574" s="4">
        <f>IFERROR(__xludf.DUMMYFUNCTION("IFERROR(ABS(P2574-AVERAGE(FILTER(O2574:P6642,AA2574:AA6642=""Neighbor""))) / STDEV(FILTER(P2574:P6642, AA2574:AA6642 =""Neighbor"")), """")"),0.24162228756604412)</f>
        <v>0.2416222876</v>
      </c>
      <c r="AE2574" s="2">
        <f>IFERROR(__xludf.DUMMYFUNCTION("IFERROR(ABS(Q2574-AVERAGE(FILTER(Q2574:Q6642,AA2574:AA6642=""Neighbor""))) / STDEV(FILTER(Q2574:Q6642, AA2574:AA6642 =""Neighbor"")), """")"),0.45540138501619276)</f>
        <v>0.455401385</v>
      </c>
      <c r="AF2574" s="2">
        <f>IFERROR(__xludf.DUMMYFUNCTION("IFERROR(ABS(R2574-AVERAGE(FILTER(R2574:R6642,AA2574:AA6642=""Neighbor""))) / STDEV(FILTER(R2574:R6642, AA2574:AA6642 =""Neighbor"")), """")"),0.33070341623566674)</f>
        <v>0.3307034162</v>
      </c>
    </row>
    <row r="2575">
      <c r="A2575" s="2" t="s">
        <v>28</v>
      </c>
      <c r="B2575" s="2" t="s">
        <v>10071</v>
      </c>
      <c r="C2575" s="2" t="s">
        <v>10496</v>
      </c>
      <c r="D2575" s="2" t="s">
        <v>10557</v>
      </c>
      <c r="E2575" s="2" t="s">
        <v>10558</v>
      </c>
      <c r="F2575" s="2">
        <v>77.0</v>
      </c>
      <c r="G2575" s="2">
        <v>750.0</v>
      </c>
      <c r="H2575" s="2" t="b">
        <v>1</v>
      </c>
      <c r="I2575" s="2">
        <v>-1.0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s">
        <v>33</v>
      </c>
      <c r="O2575" s="2">
        <v>24.0</v>
      </c>
      <c r="P2575" s="2">
        <v>46.0</v>
      </c>
      <c r="Q2575" s="2">
        <v>3.0</v>
      </c>
      <c r="R2575" s="2">
        <v>0.0</v>
      </c>
      <c r="S2575" s="3" t="s">
        <v>10559</v>
      </c>
      <c r="T2575" s="2" t="s">
        <v>10560</v>
      </c>
      <c r="Y2575" s="4" t="str">
        <f>IFERROR(__xludf.DUMMYFUNCTION("""COMPUTED_VALUE"""),"6.8322014")</f>
        <v>6.8322014</v>
      </c>
      <c r="Z2575" s="4" t="str">
        <f>IFERROR(__xludf.DUMMYFUNCTION("""COMPUTED_VALUE"""),"3.6319131")</f>
        <v>3.6319131</v>
      </c>
      <c r="AA2575" s="4" t="str">
        <f t="shared" si="1"/>
        <v>Neighbor</v>
      </c>
      <c r="AC2575" s="4">
        <f>IFERROR(__xludf.DUMMYFUNCTION("IFERROR(ABS(O2575-AVERAGE(FILTER(O2575:O6643,AA2575:AA6643=""Neighbor""))) / STDEV(FILTER(O2575:O6643, AA2575:AA6643 =""Neighbor"")), """")"),0.71299397417894)</f>
        <v>0.7129939742</v>
      </c>
      <c r="AD2575" s="4">
        <f>IFERROR(__xludf.DUMMYFUNCTION("IFERROR(ABS(P2575-AVERAGE(FILTER(O2575:P6643,AA2575:AA6643=""Neighbor""))) / STDEV(FILTER(P2575:P6643, AA2575:AA6643 =""Neighbor"")), """")"),0.5367395078713066)</f>
        <v>0.5367395079</v>
      </c>
      <c r="AE2575" s="2">
        <f>IFERROR(__xludf.DUMMYFUNCTION("IFERROR(ABS(Q2575-AVERAGE(FILTER(Q2575:Q6643,AA2575:AA6643=""Neighbor""))) / STDEV(FILTER(Q2575:Q6643, AA2575:AA6643 =""Neighbor"")), """")"),0.7011358273363777)</f>
        <v>0.7011358273</v>
      </c>
      <c r="AF2575" s="2">
        <f>IFERROR(__xludf.DUMMYFUNCTION("IFERROR(ABS(R2575-AVERAGE(FILTER(R2575:R6643,AA2575:AA6643=""Neighbor""))) / STDEV(FILTER(R2575:R6643, AA2575:AA6643 =""Neighbor"")), """")"),0.33101915440878227)</f>
        <v>0.3310191544</v>
      </c>
    </row>
    <row r="2576">
      <c r="A2576" s="2" t="s">
        <v>28</v>
      </c>
      <c r="B2576" s="2" t="s">
        <v>10071</v>
      </c>
      <c r="C2576" s="2" t="s">
        <v>10561</v>
      </c>
      <c r="D2576" s="2" t="s">
        <v>10562</v>
      </c>
      <c r="E2576" s="2" t="s">
        <v>10563</v>
      </c>
      <c r="F2576" s="2">
        <v>158.0</v>
      </c>
      <c r="G2576" s="2">
        <v>663.0</v>
      </c>
      <c r="H2576" s="2" t="b">
        <v>1</v>
      </c>
      <c r="I2576" s="2">
        <v>-1.0</v>
      </c>
      <c r="J2576" s="2" t="b">
        <v>0</v>
      </c>
      <c r="K2576" s="2" t="b">
        <v>0</v>
      </c>
      <c r="L2576" s="2" t="b">
        <v>0</v>
      </c>
      <c r="M2576" s="2" t="b">
        <v>0</v>
      </c>
      <c r="N2576" s="2" t="s">
        <v>33</v>
      </c>
      <c r="O2576" s="2">
        <v>100.0</v>
      </c>
      <c r="P2576" s="2">
        <v>7.0</v>
      </c>
      <c r="Q2576" s="2">
        <v>39.0</v>
      </c>
      <c r="R2576" s="2">
        <v>0.0</v>
      </c>
      <c r="S2576" s="3" t="s">
        <v>10564</v>
      </c>
      <c r="T2576" s="2" t="s">
        <v>10565</v>
      </c>
      <c r="Y2576" s="4" t="str">
        <f>IFERROR(__xludf.DUMMYFUNCTION("""COMPUTED_VALUE"""),"6.8322014")</f>
        <v>6.8322014</v>
      </c>
      <c r="Z2576" s="4" t="str">
        <f>IFERROR(__xludf.DUMMYFUNCTION("""COMPUTED_VALUE"""),"3.6319131")</f>
        <v>3.6319131</v>
      </c>
      <c r="AA2576" s="4" t="str">
        <f t="shared" si="1"/>
        <v>Not Neighbor</v>
      </c>
      <c r="AC2576" s="4">
        <f>IFERROR(__xludf.DUMMYFUNCTION("IFERROR(ABS(O2576-AVERAGE(FILTER(O2576:O6644,AA2576:AA6644=""Neighbor""))) / STDEV(FILTER(O2576:O6644, AA2576:AA6644 =""Neighbor"")), """")"),1.5541766974353841)</f>
        <v>1.554176697</v>
      </c>
      <c r="AD2576" s="4">
        <f>IFERROR(__xludf.DUMMYFUNCTION("IFERROR(ABS(P2576-AVERAGE(FILTER(O2576:P6644,AA2576:AA6644=""Neighbor""))) / STDEV(FILTER(P2576:P6644, AA2576:AA6644 =""Neighbor"")), """")"),1.0908142435636607)</f>
        <v>1.090814244</v>
      </c>
      <c r="AE2576" s="2">
        <f>IFERROR(__xludf.DUMMYFUNCTION("IFERROR(ABS(Q2576-AVERAGE(FILTER(Q2576:Q6644,AA2576:AA6644=""Neighbor""))) / STDEV(FILTER(Q2576:Q6644, AA2576:AA6644 =""Neighbor"")), """")"),1.4892301232954173)</f>
        <v>1.489230123</v>
      </c>
      <c r="AF2576" s="2">
        <f>IFERROR(__xludf.DUMMYFUNCTION("IFERROR(ABS(R2576-AVERAGE(FILTER(R2576:R6644,AA2576:AA6644=""Neighbor""))) / STDEV(FILTER(R2576:R6644, AA2576:AA6644 =""Neighbor"")), """")"),0.3313357988467714)</f>
        <v>0.3313357988</v>
      </c>
    </row>
    <row r="2577">
      <c r="A2577" s="2" t="s">
        <v>28</v>
      </c>
      <c r="B2577" s="2" t="s">
        <v>10071</v>
      </c>
      <c r="C2577" s="2" t="s">
        <v>10561</v>
      </c>
      <c r="D2577" s="2" t="s">
        <v>10566</v>
      </c>
      <c r="E2577" s="2" t="s">
        <v>10567</v>
      </c>
      <c r="F2577" s="2">
        <v>110.0</v>
      </c>
      <c r="G2577" s="2">
        <v>542.0</v>
      </c>
      <c r="H2577" s="2" t="b">
        <v>1</v>
      </c>
      <c r="I2577" s="2">
        <v>-1.0</v>
      </c>
      <c r="J2577" s="2" t="b">
        <v>0</v>
      </c>
      <c r="K2577" s="2" t="b">
        <v>0</v>
      </c>
      <c r="L2577" s="2" t="b">
        <v>0</v>
      </c>
      <c r="M2577" s="2" t="b">
        <v>0</v>
      </c>
      <c r="N2577" s="2" t="s">
        <v>33</v>
      </c>
      <c r="O2577" s="2">
        <v>69.0</v>
      </c>
      <c r="P2577" s="2">
        <v>7.0</v>
      </c>
      <c r="Q2577" s="2">
        <v>28.0</v>
      </c>
      <c r="R2577" s="2">
        <v>0.0</v>
      </c>
      <c r="S2577" s="3" t="s">
        <v>10568</v>
      </c>
      <c r="T2577" s="2" t="s">
        <v>10569</v>
      </c>
      <c r="Y2577" s="4" t="str">
        <f>IFERROR(__xludf.DUMMYFUNCTION("""COMPUTED_VALUE"""),"6.8681714")</f>
        <v>6.8681714</v>
      </c>
      <c r="Z2577" s="4" t="str">
        <f>IFERROR(__xludf.DUMMYFUNCTION("""COMPUTED_VALUE"""),"3.5629234")</f>
        <v>3.5629234</v>
      </c>
      <c r="AA2577" s="4" t="str">
        <f t="shared" si="1"/>
        <v>Not Neighbor</v>
      </c>
      <c r="AC2577" s="4">
        <f>IFERROR(__xludf.DUMMYFUNCTION("IFERROR(ABS(O2577-AVERAGE(FILTER(O2577:O6645,AA2577:AA6645=""Neighbor""))) / STDEV(FILTER(O2577:O6645, AA2577:AA6645 =""Neighbor"")), """")"),0.629031022302969)</f>
        <v>0.6290310223</v>
      </c>
      <c r="AD2577" s="4">
        <f>IFERROR(__xludf.DUMMYFUNCTION("IFERROR(ABS(P2577-AVERAGE(FILTER(O2577:P6645,AA2577:AA6645=""Neighbor""))) / STDEV(FILTER(P2577:P6645, AA2577:AA6645 =""Neighbor"")), """")"),1.0908142435636607)</f>
        <v>1.090814244</v>
      </c>
      <c r="AE2577" s="2">
        <f>IFERROR(__xludf.DUMMYFUNCTION("IFERROR(ABS(Q2577-AVERAGE(FILTER(Q2577:Q6645,AA2577:AA6645=""Neighbor""))) / STDEV(FILTER(Q2577:Q6645, AA2577:AA6645 =""Neighbor"")), """")"),0.8196757921314674)</f>
        <v>0.8196757921</v>
      </c>
      <c r="AF2577" s="2">
        <f>IFERROR(__xludf.DUMMYFUNCTION("IFERROR(ABS(R2577-AVERAGE(FILTER(R2577:R6645,AA2577:AA6645=""Neighbor""))) / STDEV(FILTER(R2577:R6645, AA2577:AA6645 =""Neighbor"")), """")"),0.3313357988467714)</f>
        <v>0.3313357988</v>
      </c>
    </row>
    <row r="2578">
      <c r="A2578" s="2" t="s">
        <v>28</v>
      </c>
      <c r="B2578" s="2" t="s">
        <v>10071</v>
      </c>
      <c r="C2578" s="2" t="s">
        <v>10561</v>
      </c>
      <c r="D2578" s="2" t="s">
        <v>10570</v>
      </c>
      <c r="E2578" s="2" t="s">
        <v>10571</v>
      </c>
      <c r="F2578" s="2">
        <v>152.0</v>
      </c>
      <c r="G2578" s="2">
        <v>836.0</v>
      </c>
      <c r="H2578" s="2" t="b">
        <v>1</v>
      </c>
      <c r="I2578" s="2">
        <v>-1.0</v>
      </c>
      <c r="J2578" s="2" t="b">
        <v>0</v>
      </c>
      <c r="K2578" s="2" t="b">
        <v>1</v>
      </c>
      <c r="L2578" s="2" t="b">
        <v>0</v>
      </c>
      <c r="M2578" s="2" t="b">
        <v>0</v>
      </c>
      <c r="N2578" s="2" t="s">
        <v>33</v>
      </c>
      <c r="O2578" s="2">
        <v>67.0</v>
      </c>
      <c r="P2578" s="2">
        <v>12.0</v>
      </c>
      <c r="Q2578" s="2">
        <v>42.0</v>
      </c>
      <c r="R2578" s="2">
        <v>2.0</v>
      </c>
      <c r="S2578" s="3" t="s">
        <v>10572</v>
      </c>
      <c r="T2578" s="2" t="s">
        <v>10573</v>
      </c>
      <c r="Y2578" s="4" t="str">
        <f>IFERROR(__xludf.DUMMYFUNCTION("""COMPUTED_VALUE"""),"6.8322014")</f>
        <v>6.8322014</v>
      </c>
      <c r="Z2578" s="4" t="str">
        <f>IFERROR(__xludf.DUMMYFUNCTION("""COMPUTED_VALUE"""),"3.6319131")</f>
        <v>3.6319131</v>
      </c>
      <c r="AA2578" s="4" t="str">
        <f t="shared" si="1"/>
        <v>Not Neighbor</v>
      </c>
      <c r="AC2578" s="4">
        <f>IFERROR(__xludf.DUMMYFUNCTION("IFERROR(ABS(O2578-AVERAGE(FILTER(O2578:O6646,AA2578:AA6646=""Neighbor""))) / STDEV(FILTER(O2578:O6646, AA2578:AA6646 =""Neighbor"")), """")"),0.5693442045524907)</f>
        <v>0.5693442046</v>
      </c>
      <c r="AD2578" s="4">
        <f>IFERROR(__xludf.DUMMYFUNCTION("IFERROR(ABS(P2578-AVERAGE(FILTER(O2578:P6646,AA2578:AA6646=""Neighbor""))) / STDEV(FILTER(P2578:P6646, AA2578:AA6646 =""Neighbor"")), """")"),0.8821166765599402)</f>
        <v>0.8821166766</v>
      </c>
      <c r="AE2578" s="2">
        <f>IFERROR(__xludf.DUMMYFUNCTION("IFERROR(ABS(Q2578-AVERAGE(FILTER(Q2578:Q6646,AA2578:AA6646=""Neighbor""))) / STDEV(FILTER(Q2578:Q6646, AA2578:AA6646 =""Neighbor"")), """")"),1.6718358499764945)</f>
        <v>1.67183585</v>
      </c>
      <c r="AF2578" s="2">
        <f>IFERROR(__xludf.DUMMYFUNCTION("IFERROR(ABS(R2578-AVERAGE(FILTER(R2578:R6646,AA2578:AA6646=""Neighbor""))) / STDEV(FILTER(R2578:R6646, AA2578:AA6646 =""Neighbor"")), """")"),1.9525145289184747)</f>
        <v>1.952514529</v>
      </c>
    </row>
    <row r="2579">
      <c r="A2579" s="2" t="s">
        <v>28</v>
      </c>
      <c r="B2579" s="2" t="s">
        <v>10071</v>
      </c>
      <c r="C2579" s="2" t="s">
        <v>10561</v>
      </c>
      <c r="D2579" s="2" t="s">
        <v>10574</v>
      </c>
      <c r="E2579" s="2" t="s">
        <v>10575</v>
      </c>
      <c r="F2579" s="2">
        <v>160.0</v>
      </c>
      <c r="G2579" s="2">
        <v>750.0</v>
      </c>
      <c r="H2579" s="2" t="b">
        <v>1</v>
      </c>
      <c r="I2579" s="2">
        <v>-1.0</v>
      </c>
      <c r="J2579" s="2" t="b">
        <v>0</v>
      </c>
      <c r="K2579" s="2" t="b">
        <v>0</v>
      </c>
      <c r="L2579" s="2" t="b">
        <v>0</v>
      </c>
      <c r="M2579" s="2" t="b">
        <v>0</v>
      </c>
      <c r="N2579" s="2" t="s">
        <v>33</v>
      </c>
      <c r="O2579" s="2">
        <v>67.0</v>
      </c>
      <c r="P2579" s="2">
        <v>12.0</v>
      </c>
      <c r="Q2579" s="2">
        <v>42.0</v>
      </c>
      <c r="R2579" s="2">
        <v>2.0</v>
      </c>
      <c r="S2579" s="3" t="s">
        <v>10576</v>
      </c>
      <c r="T2579" s="2" t="s">
        <v>10577</v>
      </c>
      <c r="Y2579" s="4" t="str">
        <f>IFERROR(__xludf.DUMMYFUNCTION("""COMPUTED_VALUE"""),"6.8618055")</f>
        <v>6.8618055</v>
      </c>
      <c r="Z2579" s="4" t="str">
        <f>IFERROR(__xludf.DUMMYFUNCTION("""COMPUTED_VALUE"""),"3.609117")</f>
        <v>3.609117</v>
      </c>
      <c r="AA2579" s="4" t="str">
        <f t="shared" si="1"/>
        <v>Not Neighbor</v>
      </c>
      <c r="AC2579" s="4">
        <f>IFERROR(__xludf.DUMMYFUNCTION("IFERROR(ABS(O2579-AVERAGE(FILTER(O2579:O6647,AA2579:AA6647=""Neighbor""))) / STDEV(FILTER(O2579:O6647, AA2579:AA6647 =""Neighbor"")), """")"),0.5693442045524907)</f>
        <v>0.5693442046</v>
      </c>
      <c r="AD2579" s="4">
        <f>IFERROR(__xludf.DUMMYFUNCTION("IFERROR(ABS(P2579-AVERAGE(FILTER(O2579:P6647,AA2579:AA6647=""Neighbor""))) / STDEV(FILTER(P2579:P6647, AA2579:AA6647 =""Neighbor"")), """")"),0.8821166765599402)</f>
        <v>0.8821166766</v>
      </c>
      <c r="AE2579" s="2">
        <f>IFERROR(__xludf.DUMMYFUNCTION("IFERROR(ABS(Q2579-AVERAGE(FILTER(Q2579:Q6647,AA2579:AA6647=""Neighbor""))) / STDEV(FILTER(Q2579:Q6647, AA2579:AA6647 =""Neighbor"")), """")"),1.6718358499764945)</f>
        <v>1.67183585</v>
      </c>
      <c r="AF2579" s="2">
        <f>IFERROR(__xludf.DUMMYFUNCTION("IFERROR(ABS(R2579-AVERAGE(FILTER(R2579:R6647,AA2579:AA6647=""Neighbor""))) / STDEV(FILTER(R2579:R6647, AA2579:AA6647 =""Neighbor"")), """")"),1.9525145289184747)</f>
        <v>1.952514529</v>
      </c>
    </row>
    <row r="2580">
      <c r="A2580" s="2" t="s">
        <v>28</v>
      </c>
      <c r="B2580" s="2" t="s">
        <v>10071</v>
      </c>
      <c r="C2580" s="2" t="s">
        <v>10561</v>
      </c>
      <c r="D2580" s="2" t="s">
        <v>10578</v>
      </c>
      <c r="E2580" s="2" t="s">
        <v>10579</v>
      </c>
      <c r="F2580" s="2">
        <v>94.0</v>
      </c>
      <c r="G2580" s="2">
        <v>531.0</v>
      </c>
      <c r="H2580" s="2" t="b">
        <v>1</v>
      </c>
      <c r="I2580" s="2">
        <v>-1.0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s">
        <v>33</v>
      </c>
      <c r="O2580" s="2">
        <v>72.0</v>
      </c>
      <c r="P2580" s="2">
        <v>15.0</v>
      </c>
      <c r="Q2580" s="2">
        <v>56.0</v>
      </c>
      <c r="R2580" s="2">
        <v>0.0</v>
      </c>
      <c r="S2580" s="3" t="s">
        <v>10580</v>
      </c>
      <c r="T2580" s="2" t="s">
        <v>10581</v>
      </c>
      <c r="Y2580" s="4" t="str">
        <f>IFERROR(__xludf.DUMMYFUNCTION("""COMPUTED_VALUE"""),"6.8322014")</f>
        <v>6.8322014</v>
      </c>
      <c r="Z2580" s="4" t="str">
        <f>IFERROR(__xludf.DUMMYFUNCTION("""COMPUTED_VALUE"""),"3.6319131")</f>
        <v>3.6319131</v>
      </c>
      <c r="AA2580" s="4" t="str">
        <f t="shared" si="1"/>
        <v>Not Neighbor</v>
      </c>
      <c r="AC2580" s="4">
        <f>IFERROR(__xludf.DUMMYFUNCTION("IFERROR(ABS(O2580-AVERAGE(FILTER(O2580:O6648,AA2580:AA6648=""Neighbor""))) / STDEV(FILTER(O2580:O6648, AA2580:AA6648 =""Neighbor"")), """")"),0.7185612489286867)</f>
        <v>0.7185612489</v>
      </c>
      <c r="AD2580" s="4">
        <f>IFERROR(__xludf.DUMMYFUNCTION("IFERROR(ABS(P2580-AVERAGE(FILTER(O2580:P6648,AA2580:AA6648=""Neighbor""))) / STDEV(FILTER(P2580:P6648, AA2580:AA6648 =""Neighbor"")), """")"),0.7568981363577079)</f>
        <v>0.7568981364</v>
      </c>
      <c r="AE2580" s="2">
        <f>IFERROR(__xludf.DUMMYFUNCTION("IFERROR(ABS(Q2580-AVERAGE(FILTER(Q2580:Q6648,AA2580:AA6648=""Neighbor""))) / STDEV(FILTER(Q2580:Q6648, AA2580:AA6648 =""Neighbor"")), """")"),2.5239959078215213)</f>
        <v>2.523995908</v>
      </c>
      <c r="AF2580" s="2">
        <f>IFERROR(__xludf.DUMMYFUNCTION("IFERROR(ABS(R2580-AVERAGE(FILTER(R2580:R6648,AA2580:AA6648=""Neighbor""))) / STDEV(FILTER(R2580:R6648, AA2580:AA6648 =""Neighbor"")), """")"),0.3313357988467714)</f>
        <v>0.3313357988</v>
      </c>
    </row>
    <row r="2581">
      <c r="A2581" s="2" t="s">
        <v>28</v>
      </c>
      <c r="B2581" s="2" t="s">
        <v>10071</v>
      </c>
      <c r="C2581" s="2" t="s">
        <v>10561</v>
      </c>
      <c r="D2581" s="2" t="s">
        <v>10582</v>
      </c>
      <c r="E2581" s="2" t="s">
        <v>10583</v>
      </c>
      <c r="F2581" s="2">
        <v>186.0</v>
      </c>
      <c r="G2581" s="2">
        <v>900.0</v>
      </c>
      <c r="H2581" s="2" t="b">
        <v>1</v>
      </c>
      <c r="I2581" s="2">
        <v>-1.0</v>
      </c>
      <c r="J2581" s="2" t="b">
        <v>0</v>
      </c>
      <c r="K2581" s="2" t="b">
        <v>0</v>
      </c>
      <c r="L2581" s="2" t="b">
        <v>0</v>
      </c>
      <c r="M2581" s="2" t="b">
        <v>0</v>
      </c>
      <c r="N2581" s="2" t="s">
        <v>33</v>
      </c>
      <c r="O2581" s="2">
        <v>37.0</v>
      </c>
      <c r="P2581" s="2">
        <v>3.0</v>
      </c>
      <c r="Q2581" s="2">
        <v>37.0</v>
      </c>
      <c r="R2581" s="2">
        <v>0.0</v>
      </c>
      <c r="S2581" s="3" t="s">
        <v>10584</v>
      </c>
      <c r="T2581" s="2" t="s">
        <v>10585</v>
      </c>
      <c r="Y2581" s="4" t="str">
        <f>IFERROR(__xludf.DUMMYFUNCTION("""COMPUTED_VALUE"""),"6.8535394")</f>
        <v>6.8535394</v>
      </c>
      <c r="Z2581" s="4" t="str">
        <f>IFERROR(__xludf.DUMMYFUNCTION("""COMPUTED_VALUE"""),"3.6380874")</f>
        <v>3.6380874</v>
      </c>
      <c r="AA2581" s="4" t="str">
        <f t="shared" si="1"/>
        <v>Not Neighbor</v>
      </c>
      <c r="AC2581" s="4">
        <f>IFERROR(__xludf.DUMMYFUNCTION("IFERROR(ABS(O2581-AVERAGE(FILTER(O2581:O6649,AA2581:AA6649=""Neighbor""))) / STDEV(FILTER(O2581:O6649, AA2581:AA6649 =""Neighbor"")), """")"),0.32595806170468516)</f>
        <v>0.3259580617</v>
      </c>
      <c r="AD2581" s="4">
        <f>IFERROR(__xludf.DUMMYFUNCTION("IFERROR(ABS(P2581-AVERAGE(FILTER(O2581:P6649,AA2581:AA6649=""Neighbor""))) / STDEV(FILTER(P2581:P6649, AA2581:AA6649 =""Neighbor"")), """")"),1.2577722971666372)</f>
        <v>1.257772297</v>
      </c>
      <c r="AE2581" s="2">
        <f>IFERROR(__xludf.DUMMYFUNCTION("IFERROR(ABS(Q2581-AVERAGE(FILTER(Q2581:Q6649,AA2581:AA6649=""Neighbor""))) / STDEV(FILTER(Q2581:Q6649, AA2581:AA6649 =""Neighbor"")), """")"),1.3674929721746991)</f>
        <v>1.367492972</v>
      </c>
      <c r="AF2581" s="2">
        <f>IFERROR(__xludf.DUMMYFUNCTION("IFERROR(ABS(R2581-AVERAGE(FILTER(R2581:R6649,AA2581:AA6649=""Neighbor""))) / STDEV(FILTER(R2581:R6649, AA2581:AA6649 =""Neighbor"")), """")"),0.3313357988467714)</f>
        <v>0.3313357988</v>
      </c>
    </row>
    <row r="2582">
      <c r="A2582" s="2" t="s">
        <v>28</v>
      </c>
      <c r="B2582" s="2" t="s">
        <v>10071</v>
      </c>
      <c r="C2582" s="2" t="s">
        <v>10561</v>
      </c>
      <c r="D2582" s="2" t="s">
        <v>10586</v>
      </c>
      <c r="E2582" s="2" t="s">
        <v>10587</v>
      </c>
      <c r="F2582" s="2">
        <v>145.0</v>
      </c>
      <c r="G2582" s="2">
        <v>750.0</v>
      </c>
      <c r="H2582" s="2" t="b">
        <v>1</v>
      </c>
      <c r="I2582" s="2">
        <v>-1.0</v>
      </c>
      <c r="J2582" s="2" t="b">
        <v>0</v>
      </c>
      <c r="K2582" s="2" t="b">
        <v>1</v>
      </c>
      <c r="L2582" s="2" t="b">
        <v>0</v>
      </c>
      <c r="M2582" s="2" t="b">
        <v>0</v>
      </c>
      <c r="N2582" s="2" t="s">
        <v>33</v>
      </c>
      <c r="O2582" s="2">
        <v>58.0</v>
      </c>
      <c r="P2582" s="2">
        <v>10.0</v>
      </c>
      <c r="Q2582" s="2">
        <v>48.0</v>
      </c>
      <c r="R2582" s="2">
        <v>0.0</v>
      </c>
      <c r="S2582" s="3" t="s">
        <v>10588</v>
      </c>
      <c r="T2582" s="2" t="s">
        <v>10589</v>
      </c>
      <c r="Y2582" s="4" t="str">
        <f>IFERROR(__xludf.DUMMYFUNCTION("""COMPUTED_VALUE"""),"6.8322014")</f>
        <v>6.8322014</v>
      </c>
      <c r="Z2582" s="4" t="str">
        <f>IFERROR(__xludf.DUMMYFUNCTION("""COMPUTED_VALUE"""),"3.6319131")</f>
        <v>3.6319131</v>
      </c>
      <c r="AA2582" s="4" t="str">
        <f t="shared" si="1"/>
        <v>Neighbor</v>
      </c>
      <c r="AC2582" s="4">
        <f>IFERROR(__xludf.DUMMYFUNCTION("IFERROR(ABS(O2582-AVERAGE(FILTER(O2582:O6650,AA2582:AA6650=""Neighbor""))) / STDEV(FILTER(O2582:O6650, AA2582:AA6650 =""Neighbor"")), """")"),0.3007535246753379)</f>
        <v>0.3007535247</v>
      </c>
      <c r="AD2582" s="4">
        <f>IFERROR(__xludf.DUMMYFUNCTION("IFERROR(ABS(P2582-AVERAGE(FILTER(O2582:P6650,AA2582:AA6650=""Neighbor""))) / STDEV(FILTER(P2582:P6650, AA2582:AA6650 =""Neighbor"")), """")"),0.9655957033614284)</f>
        <v>0.9655957034</v>
      </c>
      <c r="AE2582" s="2">
        <f>IFERROR(__xludf.DUMMYFUNCTION("IFERROR(ABS(Q2582-AVERAGE(FILTER(Q2582:Q6650,AA2582:AA6650=""Neighbor""))) / STDEV(FILTER(Q2582:Q6650, AA2582:AA6650 =""Neighbor"")), """")"),2.0370473033386487)</f>
        <v>2.037047303</v>
      </c>
      <c r="AF2582" s="2">
        <f>IFERROR(__xludf.DUMMYFUNCTION("IFERROR(ABS(R2582-AVERAGE(FILTER(R2582:R6650,AA2582:AA6650=""Neighbor""))) / STDEV(FILTER(R2582:R6650, AA2582:AA6650 =""Neighbor"")), """")"),0.3313357988467714)</f>
        <v>0.3313357988</v>
      </c>
    </row>
    <row r="2583">
      <c r="A2583" s="2" t="s">
        <v>28</v>
      </c>
      <c r="B2583" s="2" t="s">
        <v>10071</v>
      </c>
      <c r="C2583" s="2" t="s">
        <v>10561</v>
      </c>
      <c r="D2583" s="2" t="s">
        <v>10590</v>
      </c>
      <c r="E2583" s="2" t="s">
        <v>10591</v>
      </c>
      <c r="F2583" s="2">
        <v>117.0</v>
      </c>
      <c r="G2583" s="2">
        <v>518.0</v>
      </c>
      <c r="H2583" s="2" t="b">
        <v>1</v>
      </c>
      <c r="I2583" s="2">
        <v>-1.0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s">
        <v>33</v>
      </c>
      <c r="O2583" s="2">
        <v>84.0</v>
      </c>
      <c r="P2583" s="2">
        <v>25.0</v>
      </c>
      <c r="Q2583" s="2">
        <v>25.0</v>
      </c>
      <c r="R2583" s="2">
        <v>0.0</v>
      </c>
      <c r="S2583" s="3" t="s">
        <v>10592</v>
      </c>
      <c r="T2583" s="2" t="s">
        <v>10593</v>
      </c>
      <c r="Y2583" s="4" t="str">
        <f>IFERROR(__xludf.DUMMYFUNCTION("""COMPUTED_VALUE"""),"6.8322014")</f>
        <v>6.8322014</v>
      </c>
      <c r="Z2583" s="4" t="str">
        <f>IFERROR(__xludf.DUMMYFUNCTION("""COMPUTED_VALUE"""),"3.6319131")</f>
        <v>3.6319131</v>
      </c>
      <c r="AA2583" s="4" t="str">
        <f t="shared" si="1"/>
        <v>Neighbor</v>
      </c>
      <c r="AC2583" s="4">
        <f>IFERROR(__xludf.DUMMYFUNCTION("IFERROR(ABS(O2583-AVERAGE(FILTER(O2583:O6651,AA2583:AA6651=""Neighbor""))) / STDEV(FILTER(O2583:O6651, AA2583:AA6651 =""Neighbor"")), """")"),1.076354620539166)</f>
        <v>1.076354621</v>
      </c>
      <c r="AD2583" s="4">
        <f>IFERROR(__xludf.DUMMYFUNCTION("IFERROR(ABS(P2583-AVERAGE(FILTER(O2583:P6651,AA2583:AA6651=""Neighbor""))) / STDEV(FILTER(P2583:P6651, AA2583:AA6651 =""Neighbor"")), """")"),0.33918235869789326)</f>
        <v>0.3391823587</v>
      </c>
      <c r="AE2583" s="2">
        <f>IFERROR(__xludf.DUMMYFUNCTION("IFERROR(ABS(Q2583-AVERAGE(FILTER(Q2583:Q6651,AA2583:AA6651=""Neighbor""))) / STDEV(FILTER(Q2583:Q6651, AA2583:AA6651 =""Neighbor"")), """")"),0.6423539232774685)</f>
        <v>0.6423539233</v>
      </c>
      <c r="AF2583" s="2">
        <f>IFERROR(__xludf.DUMMYFUNCTION("IFERROR(ABS(R2583-AVERAGE(FILTER(R2583:R6651,AA2583:AA6651=""Neighbor""))) / STDEV(FILTER(R2583:R6651, AA2583:AA6651 =""Neighbor"")), """")"),0.33165335389415773)</f>
        <v>0.3316533539</v>
      </c>
    </row>
    <row r="2584">
      <c r="A2584" s="2" t="s">
        <v>28</v>
      </c>
      <c r="B2584" s="2" t="s">
        <v>10071</v>
      </c>
      <c r="C2584" s="2" t="s">
        <v>10561</v>
      </c>
      <c r="D2584" s="2" t="s">
        <v>10594</v>
      </c>
      <c r="E2584" s="2" t="s">
        <v>10595</v>
      </c>
      <c r="F2584" s="2">
        <v>134.0</v>
      </c>
      <c r="G2584" s="2">
        <v>750.0</v>
      </c>
      <c r="H2584" s="2" t="b">
        <v>1</v>
      </c>
      <c r="I2584" s="2">
        <v>-1.0</v>
      </c>
      <c r="J2584" s="2" t="b">
        <v>0</v>
      </c>
      <c r="K2584" s="2" t="b">
        <v>0</v>
      </c>
      <c r="L2584" s="2" t="b">
        <v>0</v>
      </c>
      <c r="M2584" s="2" t="b">
        <v>0</v>
      </c>
      <c r="N2584" s="2" t="s">
        <v>33</v>
      </c>
      <c r="O2584" s="2">
        <v>83.0</v>
      </c>
      <c r="P2584" s="2">
        <v>36.0</v>
      </c>
      <c r="Q2584" s="2">
        <v>14.0</v>
      </c>
      <c r="R2584" s="2">
        <v>0.0</v>
      </c>
      <c r="S2584" s="3" t="s">
        <v>10596</v>
      </c>
      <c r="T2584" s="2" t="s">
        <v>10597</v>
      </c>
      <c r="Y2584" s="4" t="str">
        <f>IFERROR(__xludf.DUMMYFUNCTION("""COMPUTED_VALUE"""),"6.8322014")</f>
        <v>6.8322014</v>
      </c>
      <c r="Z2584" s="4" t="str">
        <f>IFERROR(__xludf.DUMMYFUNCTION("""COMPUTED_VALUE"""),"3.6319131")</f>
        <v>3.6319131</v>
      </c>
      <c r="AA2584" s="4" t="str">
        <f t="shared" si="1"/>
        <v>Neighbor</v>
      </c>
      <c r="AC2584" s="4">
        <f>IFERROR(__xludf.DUMMYFUNCTION("IFERROR(ABS(O2584-AVERAGE(FILTER(O2584:O6652,AA2584:AA6652=""Neighbor""))) / STDEV(FILTER(O2584:O6652, AA2584:AA6652 =""Neighbor"")), """")"),1.048546273741832)</f>
        <v>1.048546274</v>
      </c>
      <c r="AD2584" s="4">
        <f>IFERROR(__xludf.DUMMYFUNCTION("IFERROR(ABS(P2584-AVERAGE(FILTER(O2584:P6652,AA2584:AA6652=""Neighbor""))) / STDEV(FILTER(P2584:P6652, AA2584:AA6652 =""Neighbor"")), """")"),0.12105075159261698)</f>
        <v>0.1210507516</v>
      </c>
      <c r="AE2584" s="2">
        <f>IFERROR(__xludf.DUMMYFUNCTION("IFERROR(ABS(Q2584-AVERAGE(FILTER(Q2584:Q6652,AA2584:AA6652=""Neighbor""))) / STDEV(FILTER(Q2584:Q6652, AA2584:AA6652 =""Neighbor"")), """")"),0.027912032418773478)</f>
        <v>0.02791203242</v>
      </c>
      <c r="AF2584" s="2">
        <f>IFERROR(__xludf.DUMMYFUNCTION("IFERROR(ABS(R2584-AVERAGE(FILTER(R2584:R6652,AA2584:AA6652=""Neighbor""))) / STDEV(FILTER(R2584:R6652, AA2584:AA6652 =""Neighbor"")), """")"),0.3319718239246833)</f>
        <v>0.3319718239</v>
      </c>
    </row>
    <row r="2585">
      <c r="A2585" s="2" t="s">
        <v>28</v>
      </c>
      <c r="B2585" s="2" t="s">
        <v>10071</v>
      </c>
      <c r="C2585" s="2" t="s">
        <v>10561</v>
      </c>
      <c r="D2585" s="2" t="s">
        <v>10598</v>
      </c>
      <c r="E2585" s="2" t="s">
        <v>10599</v>
      </c>
      <c r="F2585" s="2">
        <v>207.0</v>
      </c>
      <c r="G2585" s="2">
        <v>750.0</v>
      </c>
      <c r="H2585" s="2" t="b">
        <v>1</v>
      </c>
      <c r="I2585" s="2">
        <v>-1.0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s">
        <v>33</v>
      </c>
      <c r="O2585" s="2">
        <v>56.0</v>
      </c>
      <c r="P2585" s="2">
        <v>94.0</v>
      </c>
      <c r="Q2585" s="2">
        <v>36.0</v>
      </c>
      <c r="R2585" s="2">
        <v>0.0</v>
      </c>
      <c r="S2585" s="3" t="s">
        <v>10600</v>
      </c>
      <c r="T2585" s="2" t="s">
        <v>10601</v>
      </c>
      <c r="Y2585" s="4" t="str">
        <f>IFERROR(__xludf.DUMMYFUNCTION("""COMPUTED_VALUE"""),"6.8322014")</f>
        <v>6.8322014</v>
      </c>
      <c r="Z2585" s="4" t="str">
        <f>IFERROR(__xludf.DUMMYFUNCTION("""COMPUTED_VALUE"""),"3.6319131")</f>
        <v>3.6319131</v>
      </c>
      <c r="AA2585" s="4" t="str">
        <f t="shared" si="1"/>
        <v>Neighbor</v>
      </c>
      <c r="AC2585" s="4">
        <f>IFERROR(__xludf.DUMMYFUNCTION("IFERROR(ABS(O2585-AVERAGE(FILTER(O2585:O6653,AA2585:AA6653=""Neighbor""))) / STDEV(FILTER(O2585:O6653, AA2585:AA6653 =""Neighbor"")), """")"),0.24513822908826982)</f>
        <v>0.2451382291</v>
      </c>
      <c r="AD2585" s="4">
        <f>IFERROR(__xludf.DUMMYFUNCTION("IFERROR(ABS(P2585-AVERAGE(FILTER(O2585:P6653,AA2585:AA6653=""Neighbor""))) / STDEV(FILTER(P2585:P6653, AA2585:AA6653 =""Neighbor"")), """")"),2.539065159854581)</f>
        <v>2.53906516</v>
      </c>
      <c r="AE2585" s="2">
        <f>IFERROR(__xludf.DUMMYFUNCTION("IFERROR(ABS(Q2585-AVERAGE(FILTER(Q2585:Q6653,AA2585:AA6653=""Neighbor""))) / STDEV(FILTER(Q2585:Q6653, AA2585:AA6653 =""Neighbor"")), """")"),1.3130027127635977)</f>
        <v>1.313002713</v>
      </c>
      <c r="AF2585" s="2">
        <f>IFERROR(__xludf.DUMMYFUNCTION("IFERROR(ABS(R2585-AVERAGE(FILTER(R2585:R6653,AA2585:AA6653=""Neighbor""))) / STDEV(FILTER(R2585:R6653, AA2585:AA6653 =""Neighbor"")), """")"),0.3322912133415628)</f>
        <v>0.3322912133</v>
      </c>
    </row>
    <row r="2586">
      <c r="A2586" s="2" t="s">
        <v>28</v>
      </c>
      <c r="B2586" s="2" t="s">
        <v>10071</v>
      </c>
      <c r="C2586" s="2" t="s">
        <v>10561</v>
      </c>
      <c r="D2586" s="2" t="s">
        <v>10602</v>
      </c>
      <c r="E2586" s="2" t="s">
        <v>10603</v>
      </c>
      <c r="F2586" s="2">
        <v>139.0</v>
      </c>
      <c r="G2586" s="2">
        <v>750.0</v>
      </c>
      <c r="H2586" s="2" t="b">
        <v>1</v>
      </c>
      <c r="I2586" s="2">
        <v>-1.0</v>
      </c>
      <c r="J2586" s="2" t="b">
        <v>0</v>
      </c>
      <c r="K2586" s="2" t="b">
        <v>1</v>
      </c>
      <c r="L2586" s="2" t="b">
        <v>0</v>
      </c>
      <c r="M2586" s="2" t="b">
        <v>0</v>
      </c>
      <c r="N2586" s="2" t="s">
        <v>33</v>
      </c>
      <c r="O2586" s="2">
        <v>65.0</v>
      </c>
      <c r="P2586" s="2">
        <v>42.0</v>
      </c>
      <c r="Q2586" s="2">
        <v>13.0</v>
      </c>
      <c r="R2586" s="2">
        <v>1.0</v>
      </c>
      <c r="S2586" s="3" t="s">
        <v>10604</v>
      </c>
      <c r="T2586" s="2" t="s">
        <v>10605</v>
      </c>
      <c r="Y2586" s="4" t="str">
        <f>IFERROR(__xludf.DUMMYFUNCTION("""COMPUTED_VALUE"""),"6.8322014")</f>
        <v>6.8322014</v>
      </c>
      <c r="Z2586" s="4" t="str">
        <f>IFERROR(__xludf.DUMMYFUNCTION("""COMPUTED_VALUE"""),"3.6319131")</f>
        <v>3.6319131</v>
      </c>
      <c r="AA2586" s="4" t="str">
        <f t="shared" si="1"/>
        <v>Not Neighbor</v>
      </c>
      <c r="AC2586" s="4">
        <f>IFERROR(__xludf.DUMMYFUNCTION("IFERROR(ABS(O2586-AVERAGE(FILTER(O2586:O6654,AA2586:AA6654=""Neighbor""))) / STDEV(FILTER(O2586:O6654, AA2586:AA6654 =""Neighbor"")), """")"),0.5135846278003651)</f>
        <v>0.5135846278</v>
      </c>
      <c r="AD2586" s="4">
        <f>IFERROR(__xludf.DUMMYFUNCTION("IFERROR(ABS(P2586-AVERAGE(FILTER(O2586:P6654,AA2586:AA6654=""Neighbor""))) / STDEV(FILTER(P2586:P6654, AA2586:AA6654 =""Neighbor"")), """")"),0.37886602773858724)</f>
        <v>0.3788660277</v>
      </c>
      <c r="AE2586" s="2">
        <f>IFERROR(__xludf.DUMMYFUNCTION("IFERROR(ABS(Q2586-AVERAGE(FILTER(Q2586:Q6654,AA2586:AA6654=""Neighbor""))) / STDEV(FILTER(Q2586:Q6654, AA2586:AA6654 =""Neighbor"")), """")"),0.08665940969417252)</f>
        <v>0.08665940969</v>
      </c>
      <c r="AF2586" s="2">
        <f>IFERROR(__xludf.DUMMYFUNCTION("IFERROR(ABS(R2586-AVERAGE(FILTER(R2586:R6654,AA2586:AA6654=""Neighbor""))) / STDEV(FILTER(R2586:R6654, AA2586:AA6654 =""Neighbor"")), """")"),0.8057910197448754)</f>
        <v>0.8057910197</v>
      </c>
    </row>
    <row r="2587">
      <c r="A2587" s="2" t="s">
        <v>28</v>
      </c>
      <c r="B2587" s="2" t="s">
        <v>10071</v>
      </c>
      <c r="C2587" s="2" t="s">
        <v>10606</v>
      </c>
      <c r="D2587" s="2" t="s">
        <v>10607</v>
      </c>
      <c r="E2587" s="2" t="s">
        <v>10608</v>
      </c>
      <c r="F2587" s="2">
        <v>159.0</v>
      </c>
      <c r="G2587" s="2">
        <v>797.0</v>
      </c>
      <c r="H2587" s="2" t="b">
        <v>1</v>
      </c>
      <c r="I2587" s="2">
        <v>-1.0</v>
      </c>
      <c r="J2587" s="2" t="b">
        <v>0</v>
      </c>
      <c r="K2587" s="2" t="b">
        <v>1</v>
      </c>
      <c r="L2587" s="2" t="b">
        <v>0</v>
      </c>
      <c r="M2587" s="2" t="b">
        <v>0</v>
      </c>
      <c r="N2587" s="2" t="s">
        <v>33</v>
      </c>
      <c r="O2587" s="2">
        <v>105.0</v>
      </c>
      <c r="P2587" s="2">
        <v>9.0</v>
      </c>
      <c r="Q2587" s="2">
        <v>40.0</v>
      </c>
      <c r="R2587" s="2">
        <v>0.0</v>
      </c>
      <c r="S2587" s="3" t="s">
        <v>10609</v>
      </c>
      <c r="T2587" s="2" t="s">
        <v>10610</v>
      </c>
      <c r="Y2587" s="4" t="str">
        <f>IFERROR(__xludf.DUMMYFUNCTION("""COMPUTED_VALUE"""),"6.8228751")</f>
        <v>6.8228751</v>
      </c>
      <c r="Z2587" s="4" t="str">
        <f>IFERROR(__xludf.DUMMYFUNCTION("""COMPUTED_VALUE"""),"3.6742508")</f>
        <v>3.6742508</v>
      </c>
      <c r="AA2587" s="4" t="str">
        <f t="shared" si="1"/>
        <v>Not Neighbor</v>
      </c>
      <c r="AC2587" s="4">
        <f>IFERROR(__xludf.DUMMYFUNCTION("IFERROR(ABS(O2587-AVERAGE(FILTER(O2587:O6655,AA2587:AA6655=""Neighbor""))) / STDEV(FILTER(O2587:O6655, AA2587:AA6655 =""Neighbor"")), """")"),1.7056773151965097)</f>
        <v>1.705677315</v>
      </c>
      <c r="AD2587" s="4">
        <f>IFERROR(__xludf.DUMMYFUNCTION("IFERROR(ABS(P2587-AVERAGE(FILTER(O2587:P6655,AA2587:AA6655=""Neighbor""))) / STDEV(FILTER(P2587:P6655, AA2587:AA6655 =""Neighbor"")), """")"),1.0066949005334935)</f>
        <v>1.006694901</v>
      </c>
      <c r="AE2587" s="2">
        <f>IFERROR(__xludf.DUMMYFUNCTION("IFERROR(ABS(Q2587-AVERAGE(FILTER(Q2587:Q6655,AA2587:AA6655=""Neighbor""))) / STDEV(FILTER(Q2587:Q6655, AA2587:AA6655 =""Neighbor"")), """")"),1.560081515032913)</f>
        <v>1.560081515</v>
      </c>
      <c r="AF2587" s="2">
        <f>IFERROR(__xludf.DUMMYFUNCTION("IFERROR(ABS(R2587-AVERAGE(FILTER(R2587:R6655,AA2587:AA6655=""Neighbor""))) / STDEV(FILTER(R2587:R6655, AA2587:AA6655 =""Neighbor"")), """")"),0.33261152657773735)</f>
        <v>0.3326115266</v>
      </c>
    </row>
    <row r="2588">
      <c r="A2588" s="2" t="s">
        <v>28</v>
      </c>
      <c r="B2588" s="2" t="s">
        <v>10071</v>
      </c>
      <c r="C2588" s="2" t="s">
        <v>10606</v>
      </c>
      <c r="D2588" s="2" t="s">
        <v>10611</v>
      </c>
      <c r="E2588" s="2" t="s">
        <v>10612</v>
      </c>
      <c r="F2588" s="2">
        <v>132.0</v>
      </c>
      <c r="G2588" s="2">
        <v>579.0</v>
      </c>
      <c r="H2588" s="2" t="b">
        <v>1</v>
      </c>
      <c r="I2588" s="2">
        <v>-1.0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s">
        <v>33</v>
      </c>
      <c r="O2588" s="2">
        <v>93.0</v>
      </c>
      <c r="P2588" s="2">
        <v>3.0</v>
      </c>
      <c r="Q2588" s="2">
        <v>34.0</v>
      </c>
      <c r="R2588" s="2">
        <v>0.0</v>
      </c>
      <c r="S2588" s="3" t="s">
        <v>10613</v>
      </c>
      <c r="T2588" s="2" t="s">
        <v>10614</v>
      </c>
      <c r="Y2588" s="4" t="str">
        <f>IFERROR(__xludf.DUMMYFUNCTION("""COMPUTED_VALUE"""),"6.8541842")</f>
        <v>6.8541842</v>
      </c>
      <c r="Z2588" s="4" t="str">
        <f>IFERROR(__xludf.DUMMYFUNCTION("""COMPUTED_VALUE"""),"3.6439485")</f>
        <v>3.6439485</v>
      </c>
      <c r="AA2588" s="4" t="str">
        <f t="shared" si="1"/>
        <v>Neighbor</v>
      </c>
      <c r="AC2588" s="4">
        <f>IFERROR(__xludf.DUMMYFUNCTION("IFERROR(ABS(O2588-AVERAGE(FILTER(O2588:O6656,AA2588:AA6656=""Neighbor""))) / STDEV(FILTER(O2588:O6656, AA2588:AA6656 =""Neighbor"")), """")"),1.3480495089776663)</f>
        <v>1.348049509</v>
      </c>
      <c r="AD2588" s="4">
        <f>IFERROR(__xludf.DUMMYFUNCTION("IFERROR(ABS(P2588-AVERAGE(FILTER(O2588:P6656,AA2588:AA6656=""Neighbor""))) / STDEV(FILTER(P2588:P6656, AA2588:AA6656 =""Neighbor"")), """")"),1.2586150693102356)</f>
        <v>1.258615069</v>
      </c>
      <c r="AE2588" s="2">
        <f>IFERROR(__xludf.DUMMYFUNCTION("IFERROR(ABS(Q2588-AVERAGE(FILTER(Q2588:Q6656,AA2588:AA6656=""Neighbor""))) / STDEV(FILTER(Q2588:Q6656, AA2588:AA6656 =""Neighbor"")), """")"),1.1941390873157829)</f>
        <v>1.194139087</v>
      </c>
      <c r="AF2588" s="2">
        <f>IFERROR(__xludf.DUMMYFUNCTION("IFERROR(ABS(R2588-AVERAGE(FILTER(R2588:R6656,AA2588:AA6656=""Neighbor""))) / STDEV(FILTER(R2588:R6656, AA2588:AA6656 =""Neighbor"")), """")"),0.33261152657773735)</f>
        <v>0.3326115266</v>
      </c>
    </row>
    <row r="2589">
      <c r="A2589" s="2" t="s">
        <v>28</v>
      </c>
      <c r="B2589" s="2" t="s">
        <v>10071</v>
      </c>
      <c r="C2589" s="2" t="s">
        <v>10606</v>
      </c>
      <c r="D2589" s="2" t="s">
        <v>10615</v>
      </c>
      <c r="E2589" s="2" t="s">
        <v>10616</v>
      </c>
      <c r="F2589" s="2">
        <v>164.0</v>
      </c>
      <c r="G2589" s="2">
        <v>823.0</v>
      </c>
      <c r="H2589" s="2" t="b">
        <v>1</v>
      </c>
      <c r="I2589" s="2">
        <v>-1.0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s">
        <v>33</v>
      </c>
      <c r="O2589" s="2">
        <v>100.0</v>
      </c>
      <c r="P2589" s="2">
        <v>14.0</v>
      </c>
      <c r="Q2589" s="2">
        <v>49.0</v>
      </c>
      <c r="R2589" s="2">
        <v>0.0</v>
      </c>
      <c r="S2589" s="3" t="s">
        <v>10617</v>
      </c>
      <c r="T2589" s="2" t="s">
        <v>10618</v>
      </c>
      <c r="Y2589" s="4" t="str">
        <f>IFERROR(__xludf.DUMMYFUNCTION("""COMPUTED_VALUE"""),"6.8522933")</f>
        <v>6.8522933</v>
      </c>
      <c r="Z2589" s="4" t="str">
        <f>IFERROR(__xludf.DUMMYFUNCTION("""COMPUTED_VALUE"""),"3.6474395")</f>
        <v>3.6474395</v>
      </c>
      <c r="AA2589" s="4" t="str">
        <f t="shared" si="1"/>
        <v>Neighbor</v>
      </c>
      <c r="AC2589" s="4">
        <f>IFERROR(__xludf.DUMMYFUNCTION("IFERROR(ABS(O2589-AVERAGE(FILTER(O2589:O6657,AA2589:AA6657=""Neighbor""))) / STDEV(FILTER(O2589:O6657, AA2589:AA6657 =""Neighbor"")), """")"),1.5601315212910651)</f>
        <v>1.560131521</v>
      </c>
      <c r="AD2589" s="4">
        <f>IFERROR(__xludf.DUMMYFUNCTION("IFERROR(ABS(P2589-AVERAGE(FILTER(O2589:P6657,AA2589:AA6657=""Neighbor""))) / STDEV(FILTER(P2589:P6657, AA2589:AA6657 =""Neighbor"")), """")"),0.7952512778376519)</f>
        <v>0.7952512778</v>
      </c>
      <c r="AE2589" s="2">
        <f>IFERROR(__xludf.DUMMYFUNCTION("IFERROR(ABS(Q2589-AVERAGE(FILTER(Q2589:Q6657,AA2589:AA6657=""Neighbor""))) / STDEV(FILTER(Q2589:Q6657, AA2589:AA6657 =""Neighbor"")), """")"),2.111865244220865)</f>
        <v>2.111865244</v>
      </c>
      <c r="AF2589" s="2">
        <f>IFERROR(__xludf.DUMMYFUNCTION("IFERROR(ABS(R2589-AVERAGE(FILTER(R2589:R6657,AA2589:AA6657=""Neighbor""))) / STDEV(FILTER(R2589:R6657, AA2589:AA6657 =""Neighbor"")), """")"),0.33293276809613537)</f>
        <v>0.3329327681</v>
      </c>
    </row>
    <row r="2590">
      <c r="A2590" s="2" t="s">
        <v>28</v>
      </c>
      <c r="B2590" s="2" t="s">
        <v>10071</v>
      </c>
      <c r="C2590" s="2" t="s">
        <v>10606</v>
      </c>
      <c r="D2590" s="2" t="s">
        <v>10619</v>
      </c>
      <c r="E2590" s="2" t="s">
        <v>10620</v>
      </c>
      <c r="F2590" s="2">
        <v>100.0</v>
      </c>
      <c r="G2590" s="2">
        <v>507.0</v>
      </c>
      <c r="H2590" s="2" t="b">
        <v>1</v>
      </c>
      <c r="I2590" s="2">
        <v>-1.0</v>
      </c>
      <c r="J2590" s="2" t="b">
        <v>0</v>
      </c>
      <c r="K2590" s="2" t="b">
        <v>0</v>
      </c>
      <c r="L2590" s="2" t="b">
        <v>0</v>
      </c>
      <c r="M2590" s="2" t="b">
        <v>0</v>
      </c>
      <c r="N2590" s="2" t="s">
        <v>33</v>
      </c>
      <c r="O2590" s="2">
        <v>67.0</v>
      </c>
      <c r="P2590" s="2">
        <v>0.0</v>
      </c>
      <c r="Q2590" s="2">
        <v>24.0</v>
      </c>
      <c r="R2590" s="2">
        <v>0.0</v>
      </c>
      <c r="S2590" s="3" t="s">
        <v>10621</v>
      </c>
      <c r="T2590" s="2" t="s">
        <v>10622</v>
      </c>
      <c r="Y2590" s="4" t="str">
        <f>IFERROR(__xludf.DUMMYFUNCTION("""COMPUTED_VALUE"""),"6.8541842")</f>
        <v>6.8541842</v>
      </c>
      <c r="Z2590" s="4" t="str">
        <f>IFERROR(__xludf.DUMMYFUNCTION("""COMPUTED_VALUE"""),"3.6439485")</f>
        <v>3.6439485</v>
      </c>
      <c r="AA2590" s="4" t="str">
        <f t="shared" si="1"/>
        <v>Neighbor</v>
      </c>
      <c r="AC2590" s="4">
        <f>IFERROR(__xludf.DUMMYFUNCTION("IFERROR(ABS(O2590-AVERAGE(FILTER(O2590:O6658,AA2590:AA6658=""Neighbor""))) / STDEV(FILTER(O2590:O6658, AA2590:AA6658 =""Neighbor"")), """")"),0.5794018778764466)</f>
        <v>0.5794018779</v>
      </c>
      <c r="AD2590" s="4">
        <f>IFERROR(__xludf.DUMMYFUNCTION("IFERROR(ABS(P2590-AVERAGE(FILTER(O2590:P6658,AA2590:AA6658=""Neighbor""))) / STDEV(FILTER(P2590:P6658, AA2590:AA6658 =""Neighbor"")), """")"),1.3798319822611167)</f>
        <v>1.379831982</v>
      </c>
      <c r="AE2590" s="2">
        <f>IFERROR(__xludf.DUMMYFUNCTION("IFERROR(ABS(Q2590-AVERAGE(FILTER(Q2590:Q6658,AA2590:AA6658=""Neighbor""))) / STDEV(FILTER(Q2590:Q6658, AA2590:AA6658 =""Neighbor"")), """")"),0.5920176649635771)</f>
        <v>0.592017665</v>
      </c>
      <c r="AF2590" s="2">
        <f>IFERROR(__xludf.DUMMYFUNCTION("IFERROR(ABS(R2590-AVERAGE(FILTER(R2590:R6658,AA2590:AA6658=""Neighbor""))) / STDEV(FILTER(R2590:R6658, AA2590:AA6658 =""Neighbor"")), """")"),0.3332549423899325)</f>
        <v>0.3332549424</v>
      </c>
    </row>
    <row r="2591">
      <c r="A2591" s="2" t="s">
        <v>28</v>
      </c>
      <c r="B2591" s="2" t="s">
        <v>10071</v>
      </c>
      <c r="C2591" s="2" t="s">
        <v>10606</v>
      </c>
      <c r="D2591" s="2" t="s">
        <v>10623</v>
      </c>
      <c r="E2591" s="2" t="s">
        <v>10624</v>
      </c>
      <c r="F2591" s="2">
        <v>122.0</v>
      </c>
      <c r="G2591" s="2">
        <v>576.0</v>
      </c>
      <c r="H2591" s="2" t="b">
        <v>1</v>
      </c>
      <c r="I2591" s="2">
        <v>-1.0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s">
        <v>33</v>
      </c>
      <c r="O2591" s="2">
        <v>67.0</v>
      </c>
      <c r="P2591" s="2">
        <v>4.0</v>
      </c>
      <c r="Q2591" s="2">
        <v>49.0</v>
      </c>
      <c r="R2591" s="2">
        <v>0.0</v>
      </c>
      <c r="S2591" s="3" t="s">
        <v>10625</v>
      </c>
      <c r="T2591" s="2" t="s">
        <v>10626</v>
      </c>
      <c r="Y2591" s="4" t="str">
        <f>IFERROR(__xludf.DUMMYFUNCTION("""COMPUTED_VALUE"""),"6.8541842")</f>
        <v>6.8541842</v>
      </c>
      <c r="Z2591" s="4" t="str">
        <f>IFERROR(__xludf.DUMMYFUNCTION("""COMPUTED_VALUE"""),"3.6439485")</f>
        <v>3.6439485</v>
      </c>
      <c r="AA2591" s="4" t="str">
        <f t="shared" si="1"/>
        <v>Neighbor</v>
      </c>
      <c r="AC2591" s="4">
        <f>IFERROR(__xludf.DUMMYFUNCTION("IFERROR(ABS(O2591-AVERAGE(FILTER(O2591:O6659,AA2591:AA6659=""Neighbor""))) / STDEV(FILTER(O2591:O6659, AA2591:AA6659 =""Neighbor"")), """")"),0.5800777870291498)</f>
        <v>0.580077787</v>
      </c>
      <c r="AD2591" s="4">
        <f>IFERROR(__xludf.DUMMYFUNCTION("IFERROR(ABS(P2591-AVERAGE(FILTER(O2591:P6659,AA2591:AA6659=""Neighbor""))) / STDEV(FILTER(P2591:P6659, AA2591:AA6659 =""Neighbor"")), """")"),1.2116299878440562)</f>
        <v>1.211629988</v>
      </c>
      <c r="AE2591" s="2">
        <f>IFERROR(__xludf.DUMMYFUNCTION("IFERROR(ABS(Q2591-AVERAGE(FILTER(Q2591:Q6659,AA2591:AA6659=""Neighbor""))) / STDEV(FILTER(Q2591:Q6659, AA2591:AA6659 =""Neighbor"")), """")"),2.1218226435195517)</f>
        <v>2.121822644</v>
      </c>
      <c r="AF2591" s="2">
        <f>IFERROR(__xludf.DUMMYFUNCTION("IFERROR(ABS(R2591-AVERAGE(FILTER(R2591:R6659,AA2591:AA6659=""Neighbor""))) / STDEV(FILTER(R2591:R6659, AA2591:AA6659 =""Neighbor"")), """")"),0.33357805398281615)</f>
        <v>0.333578054</v>
      </c>
    </row>
    <row r="2592">
      <c r="A2592" s="2" t="s">
        <v>28</v>
      </c>
      <c r="B2592" s="2" t="s">
        <v>10071</v>
      </c>
      <c r="C2592" s="2" t="s">
        <v>10606</v>
      </c>
      <c r="D2592" s="2" t="s">
        <v>10627</v>
      </c>
      <c r="E2592" s="2" t="s">
        <v>10628</v>
      </c>
      <c r="F2592" s="2">
        <v>132.0</v>
      </c>
      <c r="G2592" s="2">
        <v>506.0</v>
      </c>
      <c r="H2592" s="2" t="b">
        <v>1</v>
      </c>
      <c r="I2592" s="2">
        <v>-1.0</v>
      </c>
      <c r="J2592" s="2" t="b">
        <v>0</v>
      </c>
      <c r="K2592" s="2" t="b">
        <v>0</v>
      </c>
      <c r="L2592" s="2" t="b">
        <v>0</v>
      </c>
      <c r="M2592" s="2" t="b">
        <v>0</v>
      </c>
      <c r="N2592" s="2" t="s">
        <v>33</v>
      </c>
      <c r="O2592" s="2">
        <v>83.0</v>
      </c>
      <c r="P2592" s="2">
        <v>4.0</v>
      </c>
      <c r="Q2592" s="2">
        <v>44.0</v>
      </c>
      <c r="R2592" s="2">
        <v>0.0</v>
      </c>
      <c r="S2592" s="3" t="s">
        <v>10629</v>
      </c>
      <c r="T2592" s="2" t="s">
        <v>10630</v>
      </c>
      <c r="Y2592" s="4" t="str">
        <f>IFERROR(__xludf.DUMMYFUNCTION("""COMPUTED_VALUE"""),"6.8541842")</f>
        <v>6.8541842</v>
      </c>
      <c r="Z2592" s="4" t="str">
        <f>IFERROR(__xludf.DUMMYFUNCTION("""COMPUTED_VALUE"""),"3.6439485")</f>
        <v>3.6439485</v>
      </c>
      <c r="AA2592" s="4" t="str">
        <f t="shared" si="1"/>
        <v>Neighbor</v>
      </c>
      <c r="AC2592" s="4">
        <f>IFERROR(__xludf.DUMMYFUNCTION("IFERROR(ABS(O2592-AVERAGE(FILTER(O2592:O6660,AA2592:AA6660=""Neighbor""))) / STDEV(FILTER(O2592:O6660, AA2592:AA6660 =""Neighbor"")), """")"),1.0579810582815794)</f>
        <v>1.057981058</v>
      </c>
      <c r="AD2592" s="4">
        <f>IFERROR(__xludf.DUMMYFUNCTION("IFERROR(ABS(P2592-AVERAGE(FILTER(O2592:P6660,AA2592:AA6660=""Neighbor""))) / STDEV(FILTER(P2592:P6660, AA2592:AA6660 =""Neighbor"")), """")"),1.2107574382688504)</f>
        <v>1.210757438</v>
      </c>
      <c r="AE2592" s="2">
        <f>IFERROR(__xludf.DUMMYFUNCTION("IFERROR(ABS(Q2592-AVERAGE(FILTER(Q2592:Q6660,AA2592:AA6660=""Neighbor""))) / STDEV(FILTER(Q2592:Q6660, AA2592:AA6660 =""Neighbor"")), """")"),1.8253461337593473)</f>
        <v>1.825346134</v>
      </c>
      <c r="AF2592" s="2">
        <f>IFERROR(__xludf.DUMMYFUNCTION("IFERROR(ABS(R2592-AVERAGE(FILTER(R2592:R6660,AA2592:AA6660=""Neighbor""))) / STDEV(FILTER(R2592:R6660, AA2592:AA6660 =""Neighbor"")), """")"),0.3339021074292523)</f>
        <v>0.3339021074</v>
      </c>
    </row>
    <row r="2593">
      <c r="A2593" s="2" t="s">
        <v>28</v>
      </c>
      <c r="B2593" s="2" t="s">
        <v>10071</v>
      </c>
      <c r="C2593" s="2" t="s">
        <v>10606</v>
      </c>
      <c r="D2593" s="2" t="s">
        <v>10631</v>
      </c>
      <c r="E2593" s="2" t="s">
        <v>10628</v>
      </c>
      <c r="F2593" s="2">
        <v>132.0</v>
      </c>
      <c r="G2593" s="2">
        <v>506.0</v>
      </c>
      <c r="H2593" s="2" t="b">
        <v>1</v>
      </c>
      <c r="I2593" s="2">
        <v>-1.0</v>
      </c>
      <c r="J2593" s="2" t="b">
        <v>0</v>
      </c>
      <c r="K2593" s="2" t="b">
        <v>0</v>
      </c>
      <c r="L2593" s="2" t="b">
        <v>0</v>
      </c>
      <c r="M2593" s="2" t="b">
        <v>0</v>
      </c>
      <c r="N2593" s="2" t="s">
        <v>33</v>
      </c>
      <c r="O2593" s="2">
        <v>77.0</v>
      </c>
      <c r="P2593" s="2">
        <v>3.0</v>
      </c>
      <c r="Q2593" s="2">
        <v>70.0</v>
      </c>
      <c r="R2593" s="2">
        <v>0.0</v>
      </c>
      <c r="S2593" s="3" t="s">
        <v>10629</v>
      </c>
      <c r="T2593" s="2" t="s">
        <v>10630</v>
      </c>
      <c r="Y2593" s="4" t="str">
        <f>IFERROR(__xludf.DUMMYFUNCTION("""COMPUTED_VALUE"""),"6.8541842")</f>
        <v>6.8541842</v>
      </c>
      <c r="Z2593" s="4" t="str">
        <f>IFERROR(__xludf.DUMMYFUNCTION("""COMPUTED_VALUE"""),"3.6439485")</f>
        <v>3.6439485</v>
      </c>
      <c r="AA2593" s="4" t="str">
        <f t="shared" si="1"/>
        <v>Not Neighbor</v>
      </c>
      <c r="AC2593" s="4">
        <f>IFERROR(__xludf.DUMMYFUNCTION("IFERROR(ABS(O2593-AVERAGE(FILTER(O2593:O6661,AA2593:AA6661=""Neighbor""))) / STDEV(FILTER(O2593:O6661, AA2593:AA6661 =""Neighbor"")), """")"),0.8809716927948545)</f>
        <v>0.8809716928</v>
      </c>
      <c r="AD2593" s="4">
        <f>IFERROR(__xludf.DUMMYFUNCTION("IFERROR(ABS(P2593-AVERAGE(FILTER(O2593:P6661,AA2593:AA6661=""Neighbor""))) / STDEV(FILTER(P2593:P6661, AA2593:AA6661 =""Neighbor"")), """")"),1.2511639762566256)</f>
        <v>1.251163976</v>
      </c>
      <c r="AE2593" s="2">
        <f>IFERROR(__xludf.DUMMYFUNCTION("IFERROR(ABS(Q2593-AVERAGE(FILTER(Q2593:Q6661,AA2593:AA6661=""Neighbor""))) / STDEV(FILTER(Q2593:Q6661, AA2593:AA6661 =""Neighbor"")), """")"),3.430793506762829)</f>
        <v>3.430793507</v>
      </c>
      <c r="AF2593" s="2">
        <f>IFERROR(__xludf.DUMMYFUNCTION("IFERROR(ABS(R2593-AVERAGE(FILTER(R2593:R6661,AA2593:AA6661=""Neighbor""))) / STDEV(FILTER(R2593:R6661, AA2593:AA6661 =""Neighbor"")), """")"),0.3342271073147555)</f>
        <v>0.3342271073</v>
      </c>
    </row>
    <row r="2594">
      <c r="A2594" s="2" t="s">
        <v>28</v>
      </c>
      <c r="B2594" s="2" t="s">
        <v>29</v>
      </c>
      <c r="C2594" s="2" t="s">
        <v>99</v>
      </c>
      <c r="D2594" s="2" t="s">
        <v>10632</v>
      </c>
      <c r="E2594" s="2" t="s">
        <v>10633</v>
      </c>
      <c r="F2594" s="2">
        <v>36.0</v>
      </c>
      <c r="G2594" s="2">
        <v>50.0</v>
      </c>
      <c r="H2594" s="2" t="b">
        <v>1</v>
      </c>
      <c r="I2594" s="2">
        <v>-1.0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s">
        <v>33</v>
      </c>
      <c r="O2594" s="2">
        <v>21.0</v>
      </c>
      <c r="P2594" s="2">
        <v>4.0</v>
      </c>
      <c r="Q2594" s="2">
        <v>2.0</v>
      </c>
      <c r="R2594" s="2">
        <v>0.0</v>
      </c>
      <c r="S2594" s="3" t="s">
        <v>10634</v>
      </c>
      <c r="T2594" s="2" t="s">
        <v>10635</v>
      </c>
      <c r="Y2594" s="4" t="str">
        <f>IFERROR(__xludf.DUMMYFUNCTION("""COMPUTED_VALUE"""),"7.1562333")</f>
        <v>7.1562333</v>
      </c>
      <c r="Z2594" s="4" t="str">
        <f>IFERROR(__xludf.DUMMYFUNCTION("""COMPUTED_VALUE"""),"3.3466901")</f>
        <v>3.3466901</v>
      </c>
      <c r="AA2594" s="4" t="str">
        <f t="shared" si="1"/>
        <v>Neighbor</v>
      </c>
      <c r="AC2594" s="4">
        <f>IFERROR(__xludf.DUMMYFUNCTION("IFERROR(ABS(O2594-AVERAGE(FILTER(O2594:O6662,AA2594:AA6662=""Neighbor""))) / STDEV(FILTER(O2594:O6662, AA2594:AA6662 =""Neighbor"")), """")"),0.7894938195023867)</f>
        <v>0.7894938195</v>
      </c>
      <c r="AD2594" s="4">
        <f>IFERROR(__xludf.DUMMYFUNCTION("IFERROR(ABS(P2594-AVERAGE(FILTER(O2594:P6662,AA2594:AA6662=""Neighbor""))) / STDEV(FILTER(P2594:P6662, AA2594:AA6662 =""Neighbor"")), """")"),1.2092969182276085)</f>
        <v>1.209296918</v>
      </c>
      <c r="AE2594" s="2">
        <f>IFERROR(__xludf.DUMMYFUNCTION("IFERROR(ABS(Q2594-AVERAGE(FILTER(Q2594:Q6662,AA2594:AA6662=""Neighbor""))) / STDEV(FILTER(Q2594:Q6662, AA2594:AA6662 =""Neighbor"")), """")"),0.7498389228815137)</f>
        <v>0.7498389229</v>
      </c>
      <c r="AF2594" s="2">
        <f>IFERROR(__xludf.DUMMYFUNCTION("IFERROR(ABS(R2594-AVERAGE(FILTER(R2594:R6662,AA2594:AA6662=""Neighbor""))) / STDEV(FILTER(R2594:R6662, AA2594:AA6662 =""Neighbor"")), """")"),0.3342271073147555)</f>
        <v>0.3342271073</v>
      </c>
    </row>
    <row r="2595">
      <c r="A2595" s="2" t="s">
        <v>28</v>
      </c>
      <c r="B2595" s="2" t="s">
        <v>29</v>
      </c>
      <c r="C2595" s="2" t="s">
        <v>99</v>
      </c>
      <c r="D2595" s="2" t="s">
        <v>10636</v>
      </c>
      <c r="E2595" s="2" t="s">
        <v>10637</v>
      </c>
      <c r="F2595" s="2">
        <v>40.0</v>
      </c>
      <c r="G2595" s="2">
        <v>73.0</v>
      </c>
      <c r="H2595" s="2" t="b">
        <v>1</v>
      </c>
      <c r="I2595" s="2">
        <v>-1.0</v>
      </c>
      <c r="J2595" s="2" t="b">
        <v>0</v>
      </c>
      <c r="K2595" s="2" t="b">
        <v>1</v>
      </c>
      <c r="L2595" s="2" t="b">
        <v>0</v>
      </c>
      <c r="M2595" s="2" t="b">
        <v>0</v>
      </c>
      <c r="N2595" s="2" t="s">
        <v>33</v>
      </c>
      <c r="O2595" s="2">
        <v>33.0</v>
      </c>
      <c r="P2595" s="2">
        <v>2.0</v>
      </c>
      <c r="Q2595" s="2">
        <v>3.0</v>
      </c>
      <c r="R2595" s="2">
        <v>0.0</v>
      </c>
      <c r="S2595" s="3" t="s">
        <v>10638</v>
      </c>
      <c r="T2595" s="2" t="s">
        <v>10639</v>
      </c>
      <c r="Y2595" s="4" t="str">
        <f>IFERROR(__xludf.DUMMYFUNCTION("""COMPUTED_VALUE"""),"7.1562333")</f>
        <v>7.1562333</v>
      </c>
      <c r="Z2595" s="4" t="str">
        <f>IFERROR(__xludf.DUMMYFUNCTION("""COMPUTED_VALUE"""),"3.3466901")</f>
        <v>3.3466901</v>
      </c>
      <c r="AA2595" s="4" t="str">
        <f t="shared" si="1"/>
        <v>Neighbor</v>
      </c>
      <c r="AC2595" s="4">
        <f>IFERROR(__xludf.DUMMYFUNCTION("IFERROR(ABS(O2595-AVERAGE(FILTER(O2595:O6663,AA2595:AA6663=""Neighbor""))) / STDEV(FILTER(O2595:O6663, AA2595:AA6663 =""Neighbor"")), """")"),0.4327813650627658)</f>
        <v>0.4327813651</v>
      </c>
      <c r="AD2595" s="4">
        <f>IFERROR(__xludf.DUMMYFUNCTION("IFERROR(ABS(P2595-AVERAGE(FILTER(O2595:P6663,AA2595:AA6663=""Neighbor""))) / STDEV(FILTER(P2595:P6663, AA2595:AA6663 =""Neighbor"")), """")"),1.293801251063616)</f>
        <v>1.293801251</v>
      </c>
      <c r="AE2595" s="2">
        <f>IFERROR(__xludf.DUMMYFUNCTION("IFERROR(ABS(Q2595-AVERAGE(FILTER(Q2595:Q6663,AA2595:AA6663=""Neighbor""))) / STDEV(FILTER(Q2595:Q6663, AA2595:AA6663 =""Neighbor"")), """")"),0.689411848534935)</f>
        <v>0.6894118485</v>
      </c>
      <c r="AF2595" s="2">
        <f>IFERROR(__xludf.DUMMYFUNCTION("IFERROR(ABS(R2595-AVERAGE(FILTER(R2595:R6663,AA2595:AA6663=""Neighbor""))) / STDEV(FILTER(R2595:R6663, AA2595:AA6663 =""Neighbor"")), """")"),0.33455305825616205)</f>
        <v>0.3345530583</v>
      </c>
    </row>
    <row r="2596">
      <c r="A2596" s="2" t="s">
        <v>28</v>
      </c>
      <c r="B2596" s="2" t="s">
        <v>29</v>
      </c>
      <c r="C2596" s="2" t="s">
        <v>99</v>
      </c>
      <c r="D2596" s="2" t="s">
        <v>10640</v>
      </c>
      <c r="E2596" s="2" t="s">
        <v>10641</v>
      </c>
      <c r="F2596" s="2">
        <v>33.0</v>
      </c>
      <c r="G2596" s="2">
        <v>59.0</v>
      </c>
      <c r="H2596" s="2" t="b">
        <v>1</v>
      </c>
      <c r="I2596" s="2">
        <v>-1.0</v>
      </c>
      <c r="J2596" s="2" t="b">
        <v>0</v>
      </c>
      <c r="K2596" s="2" t="b">
        <v>0</v>
      </c>
      <c r="L2596" s="2" t="b">
        <v>0</v>
      </c>
      <c r="M2596" s="2" t="b">
        <v>0</v>
      </c>
      <c r="N2596" s="2" t="s">
        <v>33</v>
      </c>
      <c r="O2596" s="2">
        <v>18.0</v>
      </c>
      <c r="P2596" s="2">
        <v>1.0</v>
      </c>
      <c r="Q2596" s="2">
        <v>12.0</v>
      </c>
      <c r="R2596" s="2">
        <v>0.0</v>
      </c>
      <c r="S2596" s="3" t="s">
        <v>10642</v>
      </c>
      <c r="T2596" s="2" t="s">
        <v>10643</v>
      </c>
      <c r="Y2596" s="4" t="str">
        <f>IFERROR(__xludf.DUMMYFUNCTION("""COMPUTED_VALUE"""),"7.1562333")</f>
        <v>7.1562333</v>
      </c>
      <c r="Z2596" s="4" t="str">
        <f>IFERROR(__xludf.DUMMYFUNCTION("""COMPUTED_VALUE"""),"3.3466901")</f>
        <v>3.3466901</v>
      </c>
      <c r="AA2596" s="4" t="str">
        <f t="shared" si="1"/>
        <v>Neighbor</v>
      </c>
      <c r="AC2596" s="4">
        <f>IFERROR(__xludf.DUMMYFUNCTION("IFERROR(ABS(O2596-AVERAGE(FILTER(O2596:O6664,AA2596:AA6664=""Neighbor""))) / STDEV(FILTER(O2596:O6664, AA2596:AA6664 =""Neighbor"")), """")"),0.8802112177536962)</f>
        <v>0.8802112178</v>
      </c>
      <c r="AD2596" s="4">
        <f>IFERROR(__xludf.DUMMYFUNCTION("IFERROR(ABS(P2596-AVERAGE(FILTER(O2596:P6664,AA2596:AA6664=""Neighbor""))) / STDEV(FILTER(P2596:P6664, AA2596:AA6664 =""Neighbor"")), """")"),1.336153452056166)</f>
        <v>1.336153452</v>
      </c>
      <c r="AE2596" s="2">
        <f>IFERROR(__xludf.DUMMYFUNCTION("IFERROR(ABS(Q2596-AVERAGE(FILTER(Q2596:Q6664,AA2596:AA6664=""Neighbor""))) / STDEV(FILTER(Q2596:Q6664, AA2596:AA6664 =""Neighbor"")), """")"),0.13745572768831835)</f>
        <v>0.1374557277</v>
      </c>
      <c r="AF2596" s="2">
        <f>IFERROR(__xludf.DUMMYFUNCTION("IFERROR(ABS(R2596-AVERAGE(FILTER(R2596:R6664,AA2596:AA6664=""Neighbor""))) / STDEV(FILTER(R2596:R6664, AA2596:AA6664 =""Neighbor"")), """")"),0.33487996490190397)</f>
        <v>0.3348799649</v>
      </c>
    </row>
    <row r="2597">
      <c r="A2597" s="2" t="s">
        <v>28</v>
      </c>
      <c r="B2597" s="2" t="s">
        <v>29</v>
      </c>
      <c r="C2597" s="2" t="s">
        <v>99</v>
      </c>
      <c r="D2597" s="2" t="s">
        <v>10644</v>
      </c>
      <c r="E2597" s="2" t="s">
        <v>10645</v>
      </c>
      <c r="F2597" s="2">
        <v>20.0</v>
      </c>
      <c r="G2597" s="2">
        <v>43.0</v>
      </c>
      <c r="H2597" s="2" t="b">
        <v>1</v>
      </c>
      <c r="I2597" s="2">
        <v>-1.0</v>
      </c>
      <c r="J2597" s="2" t="b">
        <v>0</v>
      </c>
      <c r="K2597" s="2" t="b">
        <v>0</v>
      </c>
      <c r="L2597" s="2" t="b">
        <v>0</v>
      </c>
      <c r="M2597" s="2" t="b">
        <v>0</v>
      </c>
      <c r="N2597" s="2" t="s">
        <v>33</v>
      </c>
      <c r="O2597" s="2">
        <v>12.0</v>
      </c>
      <c r="P2597" s="2">
        <v>2.0</v>
      </c>
      <c r="Q2597" s="2">
        <v>7.0</v>
      </c>
      <c r="R2597" s="2">
        <v>0.0</v>
      </c>
      <c r="S2597" s="3" t="s">
        <v>10646</v>
      </c>
      <c r="T2597" s="2" t="s">
        <v>10647</v>
      </c>
      <c r="Y2597" s="4" t="str">
        <f>IFERROR(__xludf.DUMMYFUNCTION("""COMPUTED_VALUE"""),"7.1562333")</f>
        <v>7.1562333</v>
      </c>
      <c r="Z2597" s="4" t="str">
        <f>IFERROR(__xludf.DUMMYFUNCTION("""COMPUTED_VALUE"""),"3.3466901")</f>
        <v>3.3466901</v>
      </c>
      <c r="AA2597" s="4" t="str">
        <f t="shared" si="1"/>
        <v>Not Neighbor</v>
      </c>
      <c r="AC2597" s="4">
        <f>IFERROR(__xludf.DUMMYFUNCTION("IFERROR(ABS(O2597-AVERAGE(FILTER(O2597:O6665,AA2597:AA6665=""Neighbor""))) / STDEV(FILTER(O2597:O6665, AA2597:AA6665 =""Neighbor"")), """")"),1.060345211900093)</f>
        <v>1.060345212</v>
      </c>
      <c r="AD2597" s="4">
        <f>IFERROR(__xludf.DUMMYFUNCTION("IFERROR(ABS(P2597-AVERAGE(FILTER(O2597:P6665,AA2597:AA6665=""Neighbor""))) / STDEV(FILTER(P2597:P6665, AA2597:AA6665 =""Neighbor"")), """")"),1.2955189049977678)</f>
        <v>1.295518905</v>
      </c>
      <c r="AE2597" s="2">
        <f>IFERROR(__xludf.DUMMYFUNCTION("IFERROR(ABS(Q2597-AVERAGE(FILTER(Q2597:Q6665,AA2597:AA6665=""Neighbor""))) / STDEV(FILTER(Q2597:Q6665, AA2597:AA6665 =""Neighbor"")), """")"),0.44445259641849805)</f>
        <v>0.4444525964</v>
      </c>
      <c r="AF2597" s="2">
        <f>IFERROR(__xludf.DUMMYFUNCTION("IFERROR(ABS(R2597-AVERAGE(FILTER(R2597:R6665,AA2597:AA6665=""Neighbor""))) / STDEV(FILTER(R2597:R6665, AA2597:AA6665 =""Neighbor"")), """")"),0.33520783193228976)</f>
        <v>0.3352078319</v>
      </c>
    </row>
    <row r="2598">
      <c r="A2598" s="2" t="s">
        <v>28</v>
      </c>
      <c r="B2598" s="2" t="s">
        <v>29</v>
      </c>
      <c r="C2598" s="2" t="s">
        <v>99</v>
      </c>
      <c r="D2598" s="2" t="s">
        <v>10648</v>
      </c>
      <c r="E2598" s="2" t="s">
        <v>10649</v>
      </c>
      <c r="F2598" s="2">
        <v>34.0</v>
      </c>
      <c r="G2598" s="2">
        <v>47.0</v>
      </c>
      <c r="H2598" s="2" t="b">
        <v>1</v>
      </c>
      <c r="I2598" s="2">
        <v>-1.0</v>
      </c>
      <c r="J2598" s="2" t="b">
        <v>0</v>
      </c>
      <c r="K2598" s="2" t="b">
        <v>0</v>
      </c>
      <c r="L2598" s="2" t="b">
        <v>0</v>
      </c>
      <c r="M2598" s="2" t="b">
        <v>0</v>
      </c>
      <c r="N2598" s="2" t="s">
        <v>33</v>
      </c>
      <c r="O2598" s="2">
        <v>17.0</v>
      </c>
      <c r="P2598" s="2">
        <v>6.0</v>
      </c>
      <c r="Q2598" s="2">
        <v>0.0</v>
      </c>
      <c r="R2598" s="2">
        <v>0.0</v>
      </c>
      <c r="S2598" s="3" t="s">
        <v>10650</v>
      </c>
      <c r="T2598" s="2" t="s">
        <v>10651</v>
      </c>
      <c r="Y2598" s="4" t="str">
        <f>IFERROR(__xludf.DUMMYFUNCTION("""COMPUTED_VALUE"""),"7.1980145")</f>
        <v>7.1980145</v>
      </c>
      <c r="Z2598" s="4" t="str">
        <f>IFERROR(__xludf.DUMMYFUNCTION("""COMPUTED_VALUE"""),"3.2048024")</f>
        <v>3.2048024</v>
      </c>
      <c r="AA2598" s="4" t="str">
        <f t="shared" si="1"/>
        <v>Not Neighbor</v>
      </c>
      <c r="AC2598" s="4">
        <f>IFERROR(__xludf.DUMMYFUNCTION("IFERROR(ABS(O2598-AVERAGE(FILTER(O2598:O6666,AA2598:AA6666=""Neighbor""))) / STDEV(FILTER(O2598:O6666, AA2598:AA6666 =""Neighbor"")), """")"),0.9113819474929193)</f>
        <v>0.9113819475</v>
      </c>
      <c r="AD2598" s="4">
        <f>IFERROR(__xludf.DUMMYFUNCTION("IFERROR(ABS(P2598-AVERAGE(FILTER(O2598:P6666,AA2598:AA6666=""Neighbor""))) / STDEV(FILTER(P2598:P6666, AA2598:AA6666 =""Neighbor"")), """")"),1.128293335063222)</f>
        <v>1.128293335</v>
      </c>
      <c r="AE2598" s="2">
        <f>IFERROR(__xludf.DUMMYFUNCTION("IFERROR(ABS(Q2598-AVERAGE(FILTER(Q2598:Q6666,AA2598:AA6666=""Neighbor""))) / STDEV(FILTER(Q2598:Q6666, AA2598:AA6666 =""Neighbor"")), """")"),0.8740756736676502)</f>
        <v>0.8740756737</v>
      </c>
      <c r="AF2598" s="2">
        <f>IFERROR(__xludf.DUMMYFUNCTION("IFERROR(ABS(R2598-AVERAGE(FILTER(R2598:R6666,AA2598:AA6666=""Neighbor""))) / STDEV(FILTER(R2598:R6666, AA2598:AA6666 =""Neighbor"")), """")"),0.33520783193228976)</f>
        <v>0.3352078319</v>
      </c>
    </row>
    <row r="2599">
      <c r="A2599" s="2" t="s">
        <v>28</v>
      </c>
      <c r="B2599" s="2" t="s">
        <v>29</v>
      </c>
      <c r="C2599" s="2" t="s">
        <v>99</v>
      </c>
      <c r="D2599" s="2" t="s">
        <v>10652</v>
      </c>
      <c r="E2599" s="2" t="s">
        <v>10653</v>
      </c>
      <c r="F2599" s="2">
        <v>36.0</v>
      </c>
      <c r="G2599" s="2">
        <v>61.0</v>
      </c>
      <c r="H2599" s="2" t="b">
        <v>1</v>
      </c>
      <c r="I2599" s="2">
        <v>-1.0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s">
        <v>33</v>
      </c>
      <c r="O2599" s="2">
        <v>18.0</v>
      </c>
      <c r="P2599" s="2">
        <v>2.0</v>
      </c>
      <c r="Q2599" s="2">
        <v>8.0</v>
      </c>
      <c r="R2599" s="2">
        <v>0.0</v>
      </c>
      <c r="S2599" s="3" t="s">
        <v>10654</v>
      </c>
      <c r="T2599" s="2" t="s">
        <v>10655</v>
      </c>
      <c r="Y2599" s="4" t="str">
        <f>IFERROR(__xludf.DUMMYFUNCTION("""COMPUTED_VALUE"""),"7.1562333")</f>
        <v>7.1562333</v>
      </c>
      <c r="Z2599" s="4" t="str">
        <f>IFERROR(__xludf.DUMMYFUNCTION("""COMPUTED_VALUE"""),"3.3466901")</f>
        <v>3.3466901</v>
      </c>
      <c r="AA2599" s="4" t="str">
        <f t="shared" si="1"/>
        <v>Not Neighbor</v>
      </c>
      <c r="AC2599" s="4">
        <f>IFERROR(__xludf.DUMMYFUNCTION("IFERROR(ABS(O2599-AVERAGE(FILTER(O2599:O6667,AA2599:AA6667=""Neighbor""))) / STDEV(FILTER(O2599:O6667, AA2599:AA6667 =""Neighbor"")), """")"),0.8815892946114847)</f>
        <v>0.8815892946</v>
      </c>
      <c r="AD2599" s="4">
        <f>IFERROR(__xludf.DUMMYFUNCTION("IFERROR(ABS(P2599-AVERAGE(FILTER(O2599:P6667,AA2599:AA6667=""Neighbor""))) / STDEV(FILTER(P2599:P6667, AA2599:AA6667 =""Neighbor"")), """")"),1.2955189049977678)</f>
        <v>1.295518905</v>
      </c>
      <c r="AE2599" s="2">
        <f>IFERROR(__xludf.DUMMYFUNCTION("IFERROR(ABS(Q2599-AVERAGE(FILTER(Q2599:Q6667,AA2599:AA6667=""Neighbor""))) / STDEV(FILTER(Q2599:Q6667, AA2599:AA6667 =""Neighbor"")), """")"),0.3830778710971906)</f>
        <v>0.3830778711</v>
      </c>
      <c r="AF2599" s="2">
        <f>IFERROR(__xludf.DUMMYFUNCTION("IFERROR(ABS(R2599-AVERAGE(FILTER(R2599:R6667,AA2599:AA6667=""Neighbor""))) / STDEV(FILTER(R2599:R6667, AA2599:AA6667 =""Neighbor"")), """")"),0.33520783193228976)</f>
        <v>0.3352078319</v>
      </c>
    </row>
    <row r="2600">
      <c r="A2600" s="2" t="s">
        <v>28</v>
      </c>
      <c r="B2600" s="2" t="s">
        <v>29</v>
      </c>
      <c r="C2600" s="2" t="s">
        <v>142</v>
      </c>
      <c r="D2600" s="2" t="s">
        <v>10656</v>
      </c>
      <c r="E2600" s="2" t="s">
        <v>10657</v>
      </c>
      <c r="F2600" s="2">
        <v>154.0</v>
      </c>
      <c r="G2600" s="2">
        <v>534.0</v>
      </c>
      <c r="H2600" s="2" t="b">
        <v>1</v>
      </c>
      <c r="I2600" s="2">
        <v>-1.0</v>
      </c>
      <c r="J2600" s="2" t="b">
        <v>1</v>
      </c>
      <c r="K2600" s="2" t="b">
        <v>1</v>
      </c>
      <c r="L2600" s="2" t="b">
        <v>0</v>
      </c>
      <c r="M2600" s="2" t="b">
        <v>0</v>
      </c>
      <c r="N2600" s="2" t="s">
        <v>33</v>
      </c>
      <c r="O2600" s="2">
        <v>109.0</v>
      </c>
      <c r="P2600" s="2">
        <v>15.0</v>
      </c>
      <c r="Q2600" s="2">
        <v>15.0</v>
      </c>
      <c r="R2600" s="2">
        <v>0.0</v>
      </c>
      <c r="S2600" s="3" t="s">
        <v>10658</v>
      </c>
      <c r="T2600" s="2" t="s">
        <v>10659</v>
      </c>
      <c r="Y2600" s="4" t="str">
        <f>IFERROR(__xludf.DUMMYFUNCTION("""COMPUTED_VALUE"""),"7.1866778")</f>
        <v>7.1866778</v>
      </c>
      <c r="Z2600" s="4" t="str">
        <f>IFERROR(__xludf.DUMMYFUNCTION("""COMPUTED_VALUE"""),"3.3489287")</f>
        <v>3.3489287</v>
      </c>
      <c r="AA2600" s="4" t="str">
        <f t="shared" si="1"/>
        <v>Not Neighbor</v>
      </c>
      <c r="AC2600" s="4">
        <f>IFERROR(__xludf.DUMMYFUNCTION("IFERROR(ABS(O2600-AVERAGE(FILTER(O2600:O6668,AA2600:AA6668=""Neighbor""))) / STDEV(FILTER(O2600:O6668, AA2600:AA6668 =""Neighbor"")), """")"),1.8295421175990751)</f>
        <v>1.829542118</v>
      </c>
      <c r="AD2600" s="4">
        <f>IFERROR(__xludf.DUMMYFUNCTION("IFERROR(ABS(P2600-AVERAGE(FILTER(O2600:P6668,AA2600:AA6668=""Neighbor""))) / STDEV(FILTER(P2600:P6668, AA2600:AA6668 =""Neighbor"")), """")"),0.7520358027104939)</f>
        <v>0.7520358027</v>
      </c>
      <c r="AE2600" s="2">
        <f>IFERROR(__xludf.DUMMYFUNCTION("IFERROR(ABS(Q2600-AVERAGE(FILTER(Q2600:Q6668,AA2600:AA6668=""Neighbor""))) / STDEV(FILTER(Q2600:Q6668, AA2600:AA6668 =""Neighbor"")), """")"),0.04654520615196156)</f>
        <v>0.04654520615</v>
      </c>
      <c r="AF2600" s="2">
        <f>IFERROR(__xludf.DUMMYFUNCTION("IFERROR(ABS(R2600-AVERAGE(FILTER(R2600:R6668,AA2600:AA6668=""Neighbor""))) / STDEV(FILTER(R2600:R6668, AA2600:AA6668 =""Neighbor"")), """")"),0.33520783193228976)</f>
        <v>0.3352078319</v>
      </c>
    </row>
    <row r="2601">
      <c r="A2601" s="2" t="s">
        <v>28</v>
      </c>
      <c r="B2601" s="2" t="s">
        <v>29</v>
      </c>
      <c r="C2601" s="2" t="s">
        <v>142</v>
      </c>
      <c r="D2601" s="2" t="s">
        <v>10660</v>
      </c>
      <c r="E2601" s="2" t="s">
        <v>10661</v>
      </c>
      <c r="F2601" s="2">
        <v>203.0</v>
      </c>
      <c r="G2601" s="2">
        <v>385.0</v>
      </c>
      <c r="H2601" s="2" t="b">
        <v>1</v>
      </c>
      <c r="I2601" s="2">
        <v>-1.0</v>
      </c>
      <c r="J2601" s="2" t="b">
        <v>1</v>
      </c>
      <c r="K2601" s="2" t="b">
        <v>1</v>
      </c>
      <c r="L2601" s="2" t="b">
        <v>0</v>
      </c>
      <c r="M2601" s="2" t="b">
        <v>0</v>
      </c>
      <c r="N2601" s="2" t="s">
        <v>33</v>
      </c>
      <c r="O2601" s="2">
        <v>113.0</v>
      </c>
      <c r="P2601" s="2">
        <v>65.0</v>
      </c>
      <c r="Q2601" s="2">
        <v>17.0</v>
      </c>
      <c r="R2601" s="2">
        <v>0.0</v>
      </c>
      <c r="S2601" s="3" t="s">
        <v>10662</v>
      </c>
      <c r="T2601" s="2" t="s">
        <v>10663</v>
      </c>
      <c r="Y2601" s="4" t="str">
        <f>IFERROR(__xludf.DUMMYFUNCTION("""COMPUTED_VALUE"""),"7.1707477")</f>
        <v>7.1707477</v>
      </c>
      <c r="Z2601" s="4" t="str">
        <f>IFERROR(__xludf.DUMMYFUNCTION("""COMPUTED_VALUE"""),"3.2693202")</f>
        <v>3.2693202</v>
      </c>
      <c r="AA2601" s="4" t="str">
        <f t="shared" si="1"/>
        <v>Not Neighbor</v>
      </c>
      <c r="AC2601" s="4">
        <f>IFERROR(__xludf.DUMMYFUNCTION("IFERROR(ABS(O2601-AVERAGE(FILTER(O2601:O6669,AA2601:AA6669=""Neighbor""))) / STDEV(FILTER(O2601:O6669, AA2601:AA6669 =""Neighbor"")), """")"),1.948712729124814)</f>
        <v>1.948712729</v>
      </c>
      <c r="AD2601" s="4">
        <f>IFERROR(__xludf.DUMMYFUNCTION("IFERROR(ABS(P2601-AVERAGE(FILTER(O2601:P6669,AA2601:AA6669=""Neighbor""))) / STDEV(FILTER(P2601:P6669, AA2601:AA6669 =""Neighbor"")), """")"),1.3382838214713288)</f>
        <v>1.338283821</v>
      </c>
      <c r="AE2601" s="2">
        <f>IFERROR(__xludf.DUMMYFUNCTION("IFERROR(ABS(Q2601-AVERAGE(FILTER(Q2601:Q6669,AA2601:AA6669=""Neighbor""))) / STDEV(FILTER(Q2601:Q6669, AA2601:AA6669 =""Neighbor"")), """")"),0.16929465679457648)</f>
        <v>0.1692946568</v>
      </c>
      <c r="AF2601" s="2">
        <f>IFERROR(__xludf.DUMMYFUNCTION("IFERROR(ABS(R2601-AVERAGE(FILTER(R2601:R6669,AA2601:AA6669=""Neighbor""))) / STDEV(FILTER(R2601:R6669, AA2601:AA6669 =""Neighbor"")), """")"),0.33520783193228976)</f>
        <v>0.3352078319</v>
      </c>
    </row>
    <row r="2602">
      <c r="A2602" s="2" t="s">
        <v>28</v>
      </c>
      <c r="B2602" s="2" t="s">
        <v>29</v>
      </c>
      <c r="C2602" s="2" t="s">
        <v>142</v>
      </c>
      <c r="D2602" s="2" t="s">
        <v>10664</v>
      </c>
      <c r="E2602" s="2" t="s">
        <v>10665</v>
      </c>
      <c r="F2602" s="2">
        <v>80.0</v>
      </c>
      <c r="G2602" s="2">
        <v>140.0</v>
      </c>
      <c r="H2602" s="2" t="b">
        <v>1</v>
      </c>
      <c r="I2602" s="2">
        <v>-1.0</v>
      </c>
      <c r="J2602" s="2" t="b">
        <v>0</v>
      </c>
      <c r="K2602" s="2" t="b">
        <v>1</v>
      </c>
      <c r="L2602" s="2" t="b">
        <v>0</v>
      </c>
      <c r="M2602" s="2" t="b">
        <v>0</v>
      </c>
      <c r="N2602" s="2" t="s">
        <v>33</v>
      </c>
      <c r="O2602" s="2">
        <v>39.0</v>
      </c>
      <c r="P2602" s="2">
        <v>32.0</v>
      </c>
      <c r="Q2602" s="2">
        <v>4.0</v>
      </c>
      <c r="R2602" s="2">
        <v>1.0</v>
      </c>
      <c r="S2602" s="3" t="s">
        <v>10666</v>
      </c>
      <c r="T2602" s="2" t="s">
        <v>10667</v>
      </c>
      <c r="Y2602" s="4" t="str">
        <f>IFERROR(__xludf.DUMMYFUNCTION("""COMPUTED_VALUE"""),"7.1897669")</f>
        <v>7.1897669</v>
      </c>
      <c r="Z2602" s="4" t="str">
        <f>IFERROR(__xludf.DUMMYFUNCTION("""COMPUTED_VALUE"""),"3.3477076")</f>
        <v>3.3477076</v>
      </c>
      <c r="AA2602" s="4" t="str">
        <f t="shared" si="1"/>
        <v>Neighbor</v>
      </c>
      <c r="AC2602" s="4">
        <f>IFERROR(__xludf.DUMMYFUNCTION("IFERROR(ABS(O2602-AVERAGE(FILTER(O2602:O6670,AA2602:AA6670=""Neighbor""))) / STDEV(FILTER(O2602:O6670, AA2602:AA6670 =""Neighbor"")), """")"),0.2559435841013555)</f>
        <v>0.2559435841</v>
      </c>
      <c r="AD2602" s="4">
        <f>IFERROR(__xludf.DUMMYFUNCTION("IFERROR(ABS(P2602-AVERAGE(FILTER(O2602:P6670,AA2602:AA6670=""Neighbor""))) / STDEV(FILTER(P2602:P6670, AA2602:AA6670 =""Neighbor"")), """")"),0.041327130488674174)</f>
        <v>0.04132713049</v>
      </c>
      <c r="AE2602" s="2">
        <f>IFERROR(__xludf.DUMMYFUNCTION("IFERROR(ABS(Q2602-AVERAGE(FILTER(Q2602:Q6670,AA2602:AA6670=""Neighbor""))) / STDEV(FILTER(Q2602:Q6670, AA2602:AA6670 =""Neighbor"")), """")"),0.6285767723824204)</f>
        <v>0.6285767724</v>
      </c>
      <c r="AF2602" s="2">
        <f>IFERROR(__xludf.DUMMYFUNCTION("IFERROR(ABS(R2602-AVERAGE(FILTER(R2602:R6670,AA2602:AA6670=""Neighbor""))) / STDEV(FILTER(R2602:R6670, AA2602:AA6670 =""Neighbor"")), """")"),0.7961186008391882)</f>
        <v>0.7961186008</v>
      </c>
    </row>
    <row r="2603">
      <c r="A2603" s="2" t="s">
        <v>28</v>
      </c>
      <c r="B2603" s="2" t="s">
        <v>29</v>
      </c>
      <c r="C2603" s="2" t="s">
        <v>142</v>
      </c>
      <c r="D2603" s="2" t="s">
        <v>10668</v>
      </c>
      <c r="E2603" s="2" t="s">
        <v>10669</v>
      </c>
      <c r="F2603" s="2">
        <v>179.0</v>
      </c>
      <c r="G2603" s="2">
        <v>750.0</v>
      </c>
      <c r="H2603" s="2" t="b">
        <v>1</v>
      </c>
      <c r="I2603" s="2">
        <v>-1.0</v>
      </c>
      <c r="J2603" s="2" t="b">
        <v>1</v>
      </c>
      <c r="K2603" s="2" t="b">
        <v>0</v>
      </c>
      <c r="L2603" s="2" t="b">
        <v>0</v>
      </c>
      <c r="M2603" s="2" t="b">
        <v>0</v>
      </c>
      <c r="N2603" s="2" t="s">
        <v>33</v>
      </c>
      <c r="O2603" s="2">
        <v>100.0</v>
      </c>
      <c r="P2603" s="2">
        <v>62.0</v>
      </c>
      <c r="Q2603" s="2">
        <v>12.0</v>
      </c>
      <c r="R2603" s="2">
        <v>0.0</v>
      </c>
      <c r="S2603" s="3" t="s">
        <v>10670</v>
      </c>
      <c r="T2603" s="2" t="s">
        <v>10671</v>
      </c>
      <c r="Y2603" s="4" t="str">
        <f>IFERROR(__xludf.DUMMYFUNCTION("""COMPUTED_VALUE"""),"7.1897669")</f>
        <v>7.1897669</v>
      </c>
      <c r="Z2603" s="4" t="str">
        <f>IFERROR(__xludf.DUMMYFUNCTION("""COMPUTED_VALUE"""),"3.3477076")</f>
        <v>3.3477076</v>
      </c>
      <c r="AA2603" s="4" t="str">
        <f t="shared" si="1"/>
        <v>Neighbor</v>
      </c>
      <c r="AC2603" s="4">
        <f>IFERROR(__xludf.DUMMYFUNCTION("IFERROR(ABS(O2603-AVERAGE(FILTER(O2603:O6671,AA2603:AA6671=""Neighbor""))) / STDEV(FILTER(O2603:O6671, AA2603:AA6671 =""Neighbor"")), """")"),1.5596669161116845)</f>
        <v>1.559666916</v>
      </c>
      <c r="AD2603" s="4">
        <f>IFERROR(__xludf.DUMMYFUNCTION("IFERROR(ABS(P2603-AVERAGE(FILTER(O2603:P6671,AA2603:AA6671=""Neighbor""))) / STDEV(FILTER(P2603:P6671, AA2603:AA6671 =""Neighbor"")), """")"),1.2123256458298484)</f>
        <v>1.212325646</v>
      </c>
      <c r="AE2603" s="2">
        <f>IFERROR(__xludf.DUMMYFUNCTION("IFERROR(ABS(Q2603-AVERAGE(FILTER(Q2603:Q6671,AA2603:AA6671=""Neighbor""))) / STDEV(FILTER(Q2603:Q6671, AA2603:AA6671 =""Neighbor"")), """")"),0.1386154337989085)</f>
        <v>0.1386154338</v>
      </c>
      <c r="AF2603" s="2">
        <f>IFERROR(__xludf.DUMMYFUNCTION("IFERROR(ABS(R2603-AVERAGE(FILTER(R2603:R6671,AA2603:AA6671=""Neighbor""))) / STDEV(FILTER(R2603:R6671, AA2603:AA6671 =""Neighbor"")), """")"),0.3336934711722957)</f>
        <v>0.3336934712</v>
      </c>
    </row>
    <row r="2604">
      <c r="A2604" s="2" t="s">
        <v>28</v>
      </c>
      <c r="B2604" s="2" t="s">
        <v>29</v>
      </c>
      <c r="C2604" s="2" t="s">
        <v>142</v>
      </c>
      <c r="D2604" s="2" t="s">
        <v>10672</v>
      </c>
      <c r="E2604" s="2" t="s">
        <v>10673</v>
      </c>
      <c r="F2604" s="2">
        <v>75.0</v>
      </c>
      <c r="G2604" s="2">
        <v>184.0</v>
      </c>
      <c r="H2604" s="2" t="b">
        <v>1</v>
      </c>
      <c r="I2604" s="2">
        <v>-1.0</v>
      </c>
      <c r="J2604" s="2" t="b">
        <v>0</v>
      </c>
      <c r="K2604" s="2" t="b">
        <v>0</v>
      </c>
      <c r="L2604" s="2" t="b">
        <v>0</v>
      </c>
      <c r="M2604" s="2" t="b">
        <v>0</v>
      </c>
      <c r="N2604" s="2" t="s">
        <v>33</v>
      </c>
      <c r="O2604" s="2">
        <v>45.0</v>
      </c>
      <c r="P2604" s="2">
        <v>24.0</v>
      </c>
      <c r="Q2604" s="2">
        <v>2.0</v>
      </c>
      <c r="R2604" s="2">
        <v>1.0</v>
      </c>
      <c r="S2604" s="3" t="s">
        <v>10674</v>
      </c>
      <c r="T2604" s="2" t="s">
        <v>10675</v>
      </c>
      <c r="Y2604" s="4" t="str">
        <f>IFERROR(__xludf.DUMMYFUNCTION("""COMPUTED_VALUE"""),"7.1897669")</f>
        <v>7.1897669</v>
      </c>
      <c r="Z2604" s="4" t="str">
        <f>IFERROR(__xludf.DUMMYFUNCTION("""COMPUTED_VALUE"""),"3.3477076")</f>
        <v>3.3477076</v>
      </c>
      <c r="AA2604" s="4" t="str">
        <f t="shared" si="1"/>
        <v>Neighbor</v>
      </c>
      <c r="AC2604" s="4">
        <f>IFERROR(__xludf.DUMMYFUNCTION("IFERROR(ABS(O2604-AVERAGE(FILTER(O2604:O6672,AA2604:AA6672=""Neighbor""))) / STDEV(FILTER(O2604:O6672, AA2604:AA6672 =""Neighbor"")), """")"),0.07491075551406137)</f>
        <v>0.07491075551</v>
      </c>
      <c r="AD2604" s="4">
        <f>IFERROR(__xludf.DUMMYFUNCTION("IFERROR(ABS(P2604-AVERAGE(FILTER(O2604:P6672,AA2604:AA6672=""Neighbor""))) / STDEV(FILTER(P2604:P6672, AA2604:AA6672 =""Neighbor"")), """")"),0.3725881495121132)</f>
        <v>0.3725881495</v>
      </c>
      <c r="AE2604" s="2">
        <f>IFERROR(__xludf.DUMMYFUNCTION("IFERROR(ABS(Q2604-AVERAGE(FILTER(Q2604:Q6672,AA2604:AA6672=""Neighbor""))) / STDEV(FILTER(Q2604:Q6672, AA2604:AA6672 =""Neighbor"")), """")"),0.7516268997979512)</f>
        <v>0.7516268998</v>
      </c>
      <c r="AF2604" s="2">
        <f>IFERROR(__xludf.DUMMYFUNCTION("IFERROR(ABS(R2604-AVERAGE(FILTER(R2604:R6672,AA2604:AA6672=""Neighbor""))) / STDEV(FILTER(R2604:R6672, AA2604:AA6672 =""Neighbor"")), """")"),0.7960502769615718)</f>
        <v>0.796050277</v>
      </c>
    </row>
    <row r="2605">
      <c r="A2605" s="2" t="s">
        <v>28</v>
      </c>
      <c r="B2605" s="2" t="s">
        <v>29</v>
      </c>
      <c r="C2605" s="2" t="s">
        <v>142</v>
      </c>
      <c r="D2605" s="2" t="s">
        <v>10676</v>
      </c>
      <c r="E2605" s="2" t="s">
        <v>10677</v>
      </c>
      <c r="F2605" s="2">
        <v>130.0</v>
      </c>
      <c r="G2605" s="2">
        <v>280.0</v>
      </c>
      <c r="H2605" s="2" t="b">
        <v>1</v>
      </c>
      <c r="I2605" s="2">
        <v>-1.0</v>
      </c>
      <c r="J2605" s="2" t="b">
        <v>0</v>
      </c>
      <c r="K2605" s="2" t="b">
        <v>0</v>
      </c>
      <c r="L2605" s="2" t="b">
        <v>0</v>
      </c>
      <c r="M2605" s="2" t="b">
        <v>0</v>
      </c>
      <c r="N2605" s="2" t="s">
        <v>33</v>
      </c>
      <c r="O2605" s="2">
        <v>84.0</v>
      </c>
      <c r="P2605" s="2">
        <v>29.0</v>
      </c>
      <c r="Q2605" s="2">
        <v>8.0</v>
      </c>
      <c r="R2605" s="2">
        <v>0.0</v>
      </c>
      <c r="S2605" s="3" t="s">
        <v>10678</v>
      </c>
      <c r="T2605" s="2" t="s">
        <v>10679</v>
      </c>
      <c r="Y2605" s="4" t="str">
        <f>IFERROR(__xludf.DUMMYFUNCTION("""COMPUTED_VALUE"""),"7.1993759")</f>
        <v>7.1993759</v>
      </c>
      <c r="Z2605" s="4" t="str">
        <f>IFERROR(__xludf.DUMMYFUNCTION("""COMPUTED_VALUE"""),"3.3484305")</f>
        <v>3.3484305</v>
      </c>
      <c r="AA2605" s="4" t="str">
        <f t="shared" si="1"/>
        <v>Neighbor</v>
      </c>
      <c r="AC2605" s="4">
        <f>IFERROR(__xludf.DUMMYFUNCTION("IFERROR(ABS(O2605-AVERAGE(FILTER(O2605:O6673,AA2605:AA6673=""Neighbor""))) / STDEV(FILTER(O2605:O6673, AA2605:AA6673 =""Neighbor"")), """")"),1.0864329725517017)</f>
        <v>1.086432973</v>
      </c>
      <c r="AD2605" s="4">
        <f>IFERROR(__xludf.DUMMYFUNCTION("IFERROR(ABS(P2605-AVERAGE(FILTER(O2605:P6673,AA2605:AA6673=""Neighbor""))) / STDEV(FILTER(P2605:P6673, AA2605:AA6673 =""Neighbor"")), """")"),0.16299291441940386)</f>
        <v>0.1629929144</v>
      </c>
      <c r="AE2605" s="2">
        <f>IFERROR(__xludf.DUMMYFUNCTION("IFERROR(ABS(Q2605-AVERAGE(FILTER(Q2605:Q6673,AA2605:AA6673=""Neighbor""))) / STDEV(FILTER(Q2605:Q6673, AA2605:AA6673 =""Neighbor"")), """")"),0.3850791348165842)</f>
        <v>0.3850791348</v>
      </c>
      <c r="AF2605" s="2">
        <f>IFERROR(__xludf.DUMMYFUNCTION("IFERROR(ABS(R2605-AVERAGE(FILTER(R2605:R6673,AA2605:AA6673=""Neighbor""))) / STDEV(FILTER(R2605:R6673, AA2605:AA6673 =""Neighbor"")), """")"),0.33250184109730274)</f>
        <v>0.3325018411</v>
      </c>
    </row>
    <row r="2606">
      <c r="A2606" s="2" t="s">
        <v>28</v>
      </c>
      <c r="B2606" s="2" t="s">
        <v>29</v>
      </c>
      <c r="C2606" s="2" t="s">
        <v>142</v>
      </c>
      <c r="D2606" s="2" t="s">
        <v>10680</v>
      </c>
      <c r="E2606" s="2" t="s">
        <v>10681</v>
      </c>
      <c r="F2606" s="2">
        <v>138.0</v>
      </c>
      <c r="G2606" s="2">
        <v>750.0</v>
      </c>
      <c r="H2606" s="2" t="b">
        <v>1</v>
      </c>
      <c r="I2606" s="2">
        <v>-1.0</v>
      </c>
      <c r="J2606" s="2" t="b">
        <v>0</v>
      </c>
      <c r="K2606" s="2" t="b">
        <v>0</v>
      </c>
      <c r="L2606" s="2" t="b">
        <v>0</v>
      </c>
      <c r="M2606" s="2" t="b">
        <v>0</v>
      </c>
      <c r="N2606" s="2" t="s">
        <v>33</v>
      </c>
      <c r="O2606" s="2">
        <v>70.0</v>
      </c>
      <c r="P2606" s="2">
        <v>47.0</v>
      </c>
      <c r="Q2606" s="2">
        <v>10.0</v>
      </c>
      <c r="R2606" s="2">
        <v>2.0</v>
      </c>
      <c r="S2606" s="3" t="s">
        <v>10682</v>
      </c>
      <c r="T2606" s="2" t="s">
        <v>10683</v>
      </c>
      <c r="Y2606" s="4" t="str">
        <f>IFERROR(__xludf.DUMMYFUNCTION("""COMPUTED_VALUE"""),"7.1914037")</f>
        <v>7.1914037</v>
      </c>
      <c r="Z2606" s="4" t="str">
        <f>IFERROR(__xludf.DUMMYFUNCTION("""COMPUTED_VALUE"""),"3.3571856")</f>
        <v>3.3571856</v>
      </c>
      <c r="AA2606" s="4" t="str">
        <f t="shared" si="1"/>
        <v>Not Neighbor</v>
      </c>
      <c r="AC2606" s="4">
        <f>IFERROR(__xludf.DUMMYFUNCTION("IFERROR(ABS(O2606-AVERAGE(FILTER(O2606:O6674,AA2606:AA6674=""Neighbor""))) / STDEV(FILTER(O2606:O6674, AA2606:AA6674 =""Neighbor"")), """")"),0.6715551594414538)</f>
        <v>0.6715551594</v>
      </c>
      <c r="AD2606" s="4">
        <f>IFERROR(__xludf.DUMMYFUNCTION("IFERROR(ABS(P2606-AVERAGE(FILTER(O2606:P6674,AA2606:AA6674=""Neighbor""))) / STDEV(FILTER(P2606:P6674, AA2606:AA6674 =""Neighbor"")), """")"),0.59133496010168)</f>
        <v>0.5913349601</v>
      </c>
      <c r="AE2606" s="2">
        <f>IFERROR(__xludf.DUMMYFUNCTION("IFERROR(ABS(Q2606-AVERAGE(FILTER(Q2606:Q6674,AA2606:AA6674=""Neighbor""))) / STDEV(FILTER(Q2606:Q6674, AA2606:AA6674 =""Neighbor"")), """")"),0.2630338176173783)</f>
        <v>0.2630338176</v>
      </c>
      <c r="AF2606" s="2">
        <f>IFERROR(__xludf.DUMMYFUNCTION("IFERROR(ABS(R2606-AVERAGE(FILTER(R2606:R6674,AA2606:AA6674=""Neighbor""))) / STDEV(FILTER(R2606:R6674, AA2606:AA6674 =""Neighbor"")), """")"),1.9247954814288095)</f>
        <v>1.924795481</v>
      </c>
    </row>
    <row r="2607">
      <c r="A2607" s="2" t="s">
        <v>28</v>
      </c>
      <c r="B2607" s="2" t="s">
        <v>29</v>
      </c>
      <c r="C2607" s="2" t="s">
        <v>142</v>
      </c>
      <c r="D2607" s="2" t="s">
        <v>10684</v>
      </c>
      <c r="E2607" s="2" t="s">
        <v>10685</v>
      </c>
      <c r="F2607" s="2">
        <v>59.0</v>
      </c>
      <c r="G2607" s="2">
        <v>158.0</v>
      </c>
      <c r="H2607" s="2" t="b">
        <v>1</v>
      </c>
      <c r="I2607" s="2">
        <v>-1.0</v>
      </c>
      <c r="J2607" s="2" t="b">
        <v>0</v>
      </c>
      <c r="K2607" s="2" t="b">
        <v>0</v>
      </c>
      <c r="L2607" s="2" t="b">
        <v>0</v>
      </c>
      <c r="M2607" s="2" t="b">
        <v>0</v>
      </c>
      <c r="N2607" s="2" t="s">
        <v>33</v>
      </c>
      <c r="O2607" s="2">
        <v>50.0</v>
      </c>
      <c r="P2607" s="2">
        <v>6.0</v>
      </c>
      <c r="Q2607" s="2">
        <v>0.0</v>
      </c>
      <c r="R2607" s="2">
        <v>0.0</v>
      </c>
      <c r="S2607" s="3" t="s">
        <v>10686</v>
      </c>
      <c r="T2607" s="2" t="s">
        <v>10687</v>
      </c>
      <c r="Y2607" s="4" t="str">
        <f>IFERROR(__xludf.DUMMYFUNCTION("""COMPUTED_VALUE"""),"7.2214628")</f>
        <v>7.2214628</v>
      </c>
      <c r="Z2607" s="4" t="str">
        <f>IFERROR(__xludf.DUMMYFUNCTION("""COMPUTED_VALUE"""),"3.3833919")</f>
        <v>3.3833919</v>
      </c>
      <c r="AA2607" s="4" t="str">
        <f t="shared" si="1"/>
        <v>Not Neighbor</v>
      </c>
      <c r="AC2607" s="4">
        <f>IFERROR(__xludf.DUMMYFUNCTION("IFERROR(ABS(O2607-AVERAGE(FILTER(O2607:O6675,AA2607:AA6675=""Neighbor""))) / STDEV(FILTER(O2607:O6675, AA2607:AA6675 =""Neighbor"")), """")"),0.07586340780203603)</f>
        <v>0.0758634078</v>
      </c>
      <c r="AD2607" s="4">
        <f>IFERROR(__xludf.DUMMYFUNCTION("IFERROR(ABS(P2607-AVERAGE(FILTER(O2607:P6675,AA2607:AA6675=""Neighbor""))) / STDEV(FILTER(P2607:P6675, AA2607:AA6675 =""Neighbor"")), """")"),1.122600861599359)</f>
        <v>1.122600862</v>
      </c>
      <c r="AE2607" s="2">
        <f>IFERROR(__xludf.DUMMYFUNCTION("IFERROR(ABS(Q2607-AVERAGE(FILTER(Q2607:Q6675,AA2607:AA6675=""Neighbor""))) / STDEV(FILTER(Q2607:Q6675, AA2607:AA6675 =""Neighbor"")), """")"),0.875220834229962)</f>
        <v>0.8752208342</v>
      </c>
      <c r="AF2607" s="2">
        <f>IFERROR(__xludf.DUMMYFUNCTION("IFERROR(ABS(R2607-AVERAGE(FILTER(R2607:R6675,AA2607:AA6675=""Neighbor""))) / STDEV(FILTER(R2607:R6675, AA2607:AA6675 =""Neighbor"")), """")"),0.3328292186637316)</f>
        <v>0.3328292187</v>
      </c>
    </row>
    <row r="2608">
      <c r="A2608" s="2" t="s">
        <v>28</v>
      </c>
      <c r="B2608" s="2" t="s">
        <v>29</v>
      </c>
      <c r="C2608" s="2" t="s">
        <v>256</v>
      </c>
      <c r="D2608" s="2" t="s">
        <v>10688</v>
      </c>
      <c r="E2608" s="2" t="s">
        <v>10689</v>
      </c>
      <c r="F2608" s="2">
        <v>68.0</v>
      </c>
      <c r="G2608" s="2">
        <v>103.0</v>
      </c>
      <c r="H2608" s="2" t="b">
        <v>1</v>
      </c>
      <c r="I2608" s="2">
        <v>-1.0</v>
      </c>
      <c r="J2608" s="2" t="b">
        <v>0</v>
      </c>
      <c r="K2608" s="2" t="b">
        <v>0</v>
      </c>
      <c r="L2608" s="2" t="b">
        <v>0</v>
      </c>
      <c r="M2608" s="2" t="b">
        <v>0</v>
      </c>
      <c r="N2608" s="2" t="s">
        <v>33</v>
      </c>
      <c r="O2608" s="2">
        <v>52.0</v>
      </c>
      <c r="P2608" s="2">
        <v>1.0</v>
      </c>
      <c r="Q2608" s="2">
        <v>13.0</v>
      </c>
      <c r="R2608" s="2">
        <v>0.0</v>
      </c>
      <c r="S2608" s="3" t="s">
        <v>10690</v>
      </c>
      <c r="T2608" s="2" t="s">
        <v>10691</v>
      </c>
      <c r="Y2608" s="4" t="str">
        <f>IFERROR(__xludf.DUMMYFUNCTION("""COMPUTED_VALUE"""),"7.1635384")</f>
        <v>7.1635384</v>
      </c>
      <c r="Z2608" s="4" t="str">
        <f>IFERROR(__xludf.DUMMYFUNCTION("""COMPUTED_VALUE"""),"3.3364518")</f>
        <v>3.3364518</v>
      </c>
      <c r="AA2608" s="4" t="str">
        <f t="shared" si="1"/>
        <v>Neighbor</v>
      </c>
      <c r="AC2608" s="4">
        <f>IFERROR(__xludf.DUMMYFUNCTION("IFERROR(ABS(O2608-AVERAGE(FILTER(O2608:O6676,AA2608:AA6676=""Neighbor""))) / STDEV(FILTER(O2608:O6676, AA2608:AA6676 =""Neighbor"")), """")"),0.1354325829659778)</f>
        <v>0.135432583</v>
      </c>
      <c r="AD2608" s="4">
        <f>IFERROR(__xludf.DUMMYFUNCTION("IFERROR(ABS(P2608-AVERAGE(FILTER(O2608:P6676,AA2608:AA6676=""Neighbor""))) / STDEV(FILTER(P2608:P6676, AA2608:AA6676 =""Neighbor"")), """")"),1.331617425221437)</f>
        <v>1.331617425</v>
      </c>
      <c r="AE2608" s="2">
        <f>IFERROR(__xludf.DUMMYFUNCTION("IFERROR(ABS(Q2608-AVERAGE(FILTER(Q2608:Q6676,AA2608:AA6676=""Neighbor""))) / STDEV(FILTER(Q2608:Q6676, AA2608:AA6676 =""Neighbor"")), """")"),0.0793777126336032)</f>
        <v>0.07937771263</v>
      </c>
      <c r="AF2608" s="2">
        <f>IFERROR(__xludf.DUMMYFUNCTION("IFERROR(ABS(R2608-AVERAGE(FILTER(R2608:R6676,AA2608:AA6676=""Neighbor""))) / STDEV(FILTER(R2608:R6676, AA2608:AA6676 =""Neighbor"")), """")"),0.3328292186637316)</f>
        <v>0.3328292187</v>
      </c>
    </row>
    <row r="2609">
      <c r="A2609" s="2" t="s">
        <v>28</v>
      </c>
      <c r="B2609" s="2" t="s">
        <v>29</v>
      </c>
      <c r="C2609" s="2" t="s">
        <v>256</v>
      </c>
      <c r="D2609" s="2" t="s">
        <v>10692</v>
      </c>
      <c r="E2609" s="2" t="s">
        <v>10693</v>
      </c>
      <c r="F2609" s="2">
        <v>49.0</v>
      </c>
      <c r="G2609" s="2">
        <v>96.0</v>
      </c>
      <c r="H2609" s="2" t="b">
        <v>1</v>
      </c>
      <c r="I2609" s="2">
        <v>-1.0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s">
        <v>33</v>
      </c>
      <c r="O2609" s="2">
        <v>44.0</v>
      </c>
      <c r="P2609" s="2">
        <v>0.0</v>
      </c>
      <c r="Q2609" s="2">
        <v>3.0</v>
      </c>
      <c r="R2609" s="2">
        <v>0.0</v>
      </c>
      <c r="S2609" s="3" t="s">
        <v>10694</v>
      </c>
      <c r="T2609" s="2" t="s">
        <v>10695</v>
      </c>
      <c r="Y2609" s="4" t="str">
        <f>IFERROR(__xludf.DUMMYFUNCTION("""COMPUTED_VALUE"""),"7.1703148")</f>
        <v>7.1703148</v>
      </c>
      <c r="Z2609" s="4" t="str">
        <f>IFERROR(__xludf.DUMMYFUNCTION("""COMPUTED_VALUE"""),"3.3407807")</f>
        <v>3.3407807</v>
      </c>
      <c r="AA2609" s="4" t="str">
        <f t="shared" si="1"/>
        <v>Not Neighbor</v>
      </c>
      <c r="AC2609" s="4">
        <f>IFERROR(__xludf.DUMMYFUNCTION("IFERROR(ABS(O2609-AVERAGE(FILTER(O2609:O6677,AA2609:AA6677=""Neighbor""))) / STDEV(FILTER(O2609:O6677, AA2609:AA6677 =""Neighbor"")), """")"),0.10251348573151821)</f>
        <v>0.1025134857</v>
      </c>
      <c r="AD2609" s="4">
        <f>IFERROR(__xludf.DUMMYFUNCTION("IFERROR(ABS(P2609-AVERAGE(FILTER(O2609:P6677,AA2609:AA6677=""Neighbor""))) / STDEV(FILTER(P2609:P6677, AA2609:AA6677 =""Neighbor"")), """")"),1.3733075619587356)</f>
        <v>1.373307562</v>
      </c>
      <c r="AE2609" s="2">
        <f>IFERROR(__xludf.DUMMYFUNCTION("IFERROR(ABS(Q2609-AVERAGE(FILTER(Q2609:Q6677,AA2609:AA6677=""Neighbor""))) / STDEV(FILTER(Q2609:Q6677, AA2609:AA6677 =""Neighbor"")), """")"),0.6910941809396083)</f>
        <v>0.6910941809</v>
      </c>
      <c r="AF2609" s="2">
        <f>IFERROR(__xludf.DUMMYFUNCTION("IFERROR(ABS(R2609-AVERAGE(FILTER(R2609:R6677,AA2609:AA6677=""Neighbor""))) / STDEV(FILTER(R2609:R6677, AA2609:AA6677 =""Neighbor"")), """")"),0.3331575653396737)</f>
        <v>0.3331575653</v>
      </c>
    </row>
    <row r="2610">
      <c r="A2610" s="2" t="s">
        <v>28</v>
      </c>
      <c r="B2610" s="2" t="s">
        <v>29</v>
      </c>
      <c r="C2610" s="2" t="s">
        <v>823</v>
      </c>
      <c r="D2610" s="2" t="s">
        <v>10696</v>
      </c>
      <c r="E2610" s="2" t="s">
        <v>10697</v>
      </c>
      <c r="F2610" s="2">
        <v>18.0</v>
      </c>
      <c r="G2610" s="2">
        <v>61.0</v>
      </c>
      <c r="H2610" s="2" t="b">
        <v>1</v>
      </c>
      <c r="I2610" s="2">
        <v>-1.0</v>
      </c>
      <c r="J2610" s="2" t="b">
        <v>1</v>
      </c>
      <c r="K2610" s="2" t="b">
        <v>0</v>
      </c>
      <c r="L2610" s="2" t="b">
        <v>0</v>
      </c>
      <c r="M2610" s="2" t="b">
        <v>0</v>
      </c>
      <c r="N2610" s="2" t="s">
        <v>33</v>
      </c>
      <c r="O2610" s="2">
        <v>8.0</v>
      </c>
      <c r="P2610" s="2">
        <v>5.0</v>
      </c>
      <c r="Q2610" s="2">
        <v>5.0</v>
      </c>
      <c r="R2610" s="2">
        <v>0.0</v>
      </c>
      <c r="S2610" s="3" t="s">
        <v>10698</v>
      </c>
      <c r="T2610" s="2" t="s">
        <v>10699</v>
      </c>
      <c r="Y2610" s="4" t="str">
        <f>IFERROR(__xludf.DUMMYFUNCTION("""COMPUTED_VALUE"""),"7.1363398")</f>
        <v>7.1363398</v>
      </c>
      <c r="Z2610" s="4" t="str">
        <f>IFERROR(__xludf.DUMMYFUNCTION("""COMPUTED_VALUE"""),"3.2920464")</f>
        <v>3.2920464</v>
      </c>
      <c r="AA2610" s="4" t="str">
        <f t="shared" si="1"/>
        <v>Not Neighbor</v>
      </c>
      <c r="AC2610" s="4">
        <f>IFERROR(__xludf.DUMMYFUNCTION("IFERROR(ABS(O2610-AVERAGE(FILTER(O2610:O6678,AA2610:AA6678=""Neighbor""))) / STDEV(FILTER(O2610:O6678, AA2610:AA6678 =""Neighbor"")), """")"),1.1738217725704005)</f>
        <v>1.173821773</v>
      </c>
      <c r="AD2610" s="4">
        <f>IFERROR(__xludf.DUMMYFUNCTION("IFERROR(ABS(P2610-AVERAGE(FILTER(O2610:P6678,AA2610:AA6678=""Neighbor""))) / STDEV(FILTER(P2610:P6678, AA2610:AA6678 =""Neighbor"")), """")"),1.1643801236596074)</f>
        <v>1.164380124</v>
      </c>
      <c r="AE2610" s="2">
        <f>IFERROR(__xludf.DUMMYFUNCTION("IFERROR(ABS(Q2610-AVERAGE(FILTER(Q2610:Q6678,AA2610:AA6678=""Neighbor""))) / STDEV(FILTER(Q2610:Q6678, AA2610:AA6678 =""Neighbor"")), """")"),0.5687650692268336)</f>
        <v>0.5687650692</v>
      </c>
      <c r="AF2610" s="2">
        <f>IFERROR(__xludf.DUMMYFUNCTION("IFERROR(ABS(R2610-AVERAGE(FILTER(R2610:R6678,AA2610:AA6678=""Neighbor""))) / STDEV(FILTER(R2610:R6678, AA2610:AA6678 =""Neighbor"")), """")"),0.3331575653396737)</f>
        <v>0.3331575653</v>
      </c>
    </row>
    <row r="2611">
      <c r="A2611" s="2" t="s">
        <v>28</v>
      </c>
      <c r="B2611" s="2" t="s">
        <v>29</v>
      </c>
      <c r="C2611" s="2" t="s">
        <v>823</v>
      </c>
      <c r="D2611" s="2" t="s">
        <v>10700</v>
      </c>
      <c r="E2611" s="2" t="s">
        <v>10701</v>
      </c>
      <c r="F2611" s="2">
        <v>105.0</v>
      </c>
      <c r="G2611" s="2">
        <v>237.0</v>
      </c>
      <c r="H2611" s="2" t="b">
        <v>1</v>
      </c>
      <c r="I2611" s="2">
        <v>-1.0</v>
      </c>
      <c r="J2611" s="2" t="b">
        <v>0</v>
      </c>
      <c r="K2611" s="2" t="b">
        <v>0</v>
      </c>
      <c r="L2611" s="2" t="b">
        <v>0</v>
      </c>
      <c r="M2611" s="2" t="b">
        <v>0</v>
      </c>
      <c r="N2611" s="2" t="s">
        <v>33</v>
      </c>
      <c r="O2611" s="2">
        <v>0.0</v>
      </c>
      <c r="P2611" s="2">
        <v>0.0</v>
      </c>
      <c r="Q2611" s="2">
        <v>0.0</v>
      </c>
      <c r="R2611" s="2">
        <v>0.0</v>
      </c>
      <c r="S2611" s="3" t="s">
        <v>10702</v>
      </c>
      <c r="T2611" s="2" t="s">
        <v>10703</v>
      </c>
      <c r="Y2611" s="4" t="str">
        <f>IFERROR(__xludf.DUMMYFUNCTION("""COMPUTED_VALUE"""),"7.11447")</f>
        <v>7.11447</v>
      </c>
      <c r="Z2611" s="4" t="str">
        <f>IFERROR(__xludf.DUMMYFUNCTION("""COMPUTED_VALUE"""),"3.2764332")</f>
        <v>3.2764332</v>
      </c>
      <c r="AA2611" s="4" t="str">
        <f t="shared" si="1"/>
        <v>Not Neighbor</v>
      </c>
      <c r="AC2611" s="4">
        <f>IFERROR(__xludf.DUMMYFUNCTION("IFERROR(ABS(O2611-AVERAGE(FILTER(O2611:O6679,AA2611:AA6679=""Neighbor""))) / STDEV(FILTER(O2611:O6679, AA2611:AA6679 =""Neighbor"")), """")"),1.4118902807568188)</f>
        <v>1.411890281</v>
      </c>
      <c r="AD2611" s="4">
        <f>IFERROR(__xludf.DUMMYFUNCTION("IFERROR(ABS(P2611-AVERAGE(FILTER(O2611:P6679,AA2611:AA6679=""Neighbor""))) / STDEV(FILTER(P2611:P6679, AA2611:AA6679 =""Neighbor"")), """")"),1.3733075619587356)</f>
        <v>1.373307562</v>
      </c>
      <c r="AE2611" s="2">
        <f>IFERROR(__xludf.DUMMYFUNCTION("IFERROR(ABS(Q2611-AVERAGE(FILTER(Q2611:Q6679,AA2611:AA6679=""Neighbor""))) / STDEV(FILTER(Q2611:Q6679, AA2611:AA6679 =""Neighbor"")), """")"),0.8745878485087705)</f>
        <v>0.8745878485</v>
      </c>
      <c r="AF2611" s="2">
        <f>IFERROR(__xludf.DUMMYFUNCTION("IFERROR(ABS(R2611-AVERAGE(FILTER(R2611:R6679,AA2611:AA6679=""Neighbor""))) / STDEV(FILTER(R2611:R6679, AA2611:AA6679 =""Neighbor"")), """")"),0.3331575653396737)</f>
        <v>0.3331575653</v>
      </c>
    </row>
    <row r="2612">
      <c r="A2612" s="2" t="s">
        <v>28</v>
      </c>
      <c r="B2612" s="2" t="s">
        <v>29</v>
      </c>
      <c r="C2612" s="2" t="s">
        <v>823</v>
      </c>
      <c r="D2612" s="2" t="s">
        <v>10704</v>
      </c>
      <c r="E2612" s="2" t="s">
        <v>10705</v>
      </c>
      <c r="F2612" s="2">
        <v>118.0</v>
      </c>
      <c r="G2612" s="2">
        <v>219.0</v>
      </c>
      <c r="H2612" s="2" t="b">
        <v>1</v>
      </c>
      <c r="I2612" s="2">
        <v>-1.0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s">
        <v>33</v>
      </c>
      <c r="O2612" s="2">
        <v>76.0</v>
      </c>
      <c r="P2612" s="2">
        <v>20.0</v>
      </c>
      <c r="Q2612" s="2">
        <v>8.0</v>
      </c>
      <c r="R2612" s="2">
        <v>0.0</v>
      </c>
      <c r="S2612" s="3" t="s">
        <v>10706</v>
      </c>
      <c r="T2612" s="2" t="s">
        <v>10707</v>
      </c>
      <c r="Y2612" s="4" t="str">
        <f>IFERROR(__xludf.DUMMYFUNCTION("""COMPUTED_VALUE"""),"7.165977")</f>
        <v>7.165977</v>
      </c>
      <c r="Z2612" s="4" t="str">
        <f>IFERROR(__xludf.DUMMYFUNCTION("""COMPUTED_VALUE"""),"3.2700859")</f>
        <v>3.2700859</v>
      </c>
      <c r="AA2612" s="4" t="str">
        <f t="shared" si="1"/>
        <v>Not Neighbor</v>
      </c>
      <c r="AC2612" s="4">
        <f>IFERROR(__xludf.DUMMYFUNCTION("IFERROR(ABS(O2612-AVERAGE(FILTER(O2612:O6680,AA2612:AA6680=""Neighbor""))) / STDEV(FILTER(O2612:O6680, AA2612:AA6680 =""Neighbor"")), """")"),0.8497605470141549)</f>
        <v>0.849760547</v>
      </c>
      <c r="AD2612" s="4">
        <f>IFERROR(__xludf.DUMMYFUNCTION("IFERROR(ABS(P2612-AVERAGE(FILTER(O2612:P6680,AA2612:AA6680=""Neighbor""))) / STDEV(FILTER(P2612:P6680, AA2612:AA6680 =""Neighbor"")), """")"),0.5375978087622229)</f>
        <v>0.5375978088</v>
      </c>
      <c r="AE2612" s="2">
        <f>IFERROR(__xludf.DUMMYFUNCTION("IFERROR(ABS(Q2612-AVERAGE(FILTER(Q2612:Q6680,AA2612:AA6680=""Neighbor""))) / STDEV(FILTER(Q2612:Q6680, AA2612:AA6680 =""Neighbor"")), """")"),0.3852714016576714)</f>
        <v>0.3852714017</v>
      </c>
      <c r="AF2612" s="2">
        <f>IFERROR(__xludf.DUMMYFUNCTION("IFERROR(ABS(R2612-AVERAGE(FILTER(R2612:R6680,AA2612:AA6680=""Neighbor""))) / STDEV(FILTER(R2612:R6680, AA2612:AA6680 =""Neighbor"")), """")"),0.3331575653396737)</f>
        <v>0.3331575653</v>
      </c>
    </row>
    <row r="2613">
      <c r="A2613" s="2" t="s">
        <v>28</v>
      </c>
      <c r="B2613" s="2" t="s">
        <v>29</v>
      </c>
      <c r="C2613" s="2" t="s">
        <v>823</v>
      </c>
      <c r="D2613" s="2" t="s">
        <v>10708</v>
      </c>
      <c r="E2613" s="2" t="s">
        <v>10709</v>
      </c>
      <c r="F2613" s="2">
        <v>158.0</v>
      </c>
      <c r="G2613" s="2">
        <v>750.0</v>
      </c>
      <c r="H2613" s="2" t="b">
        <v>1</v>
      </c>
      <c r="I2613" s="2">
        <v>-1.0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s">
        <v>33</v>
      </c>
      <c r="O2613" s="2">
        <v>83.0</v>
      </c>
      <c r="P2613" s="2">
        <v>42.0</v>
      </c>
      <c r="Q2613" s="2">
        <v>16.0</v>
      </c>
      <c r="R2613" s="2">
        <v>1.0</v>
      </c>
      <c r="S2613" s="3" t="s">
        <v>10710</v>
      </c>
      <c r="T2613" s="2" t="s">
        <v>10711</v>
      </c>
      <c r="Y2613" s="4" t="str">
        <f>IFERROR(__xludf.DUMMYFUNCTION("""COMPUTED_VALUE"""),"7.1820157")</f>
        <v>7.1820157</v>
      </c>
      <c r="Z2613" s="4" t="str">
        <f>IFERROR(__xludf.DUMMYFUNCTION("""COMPUTED_VALUE"""),"3.2823636")</f>
        <v>3.2823636</v>
      </c>
      <c r="AA2613" s="4" t="str">
        <f t="shared" si="1"/>
        <v>Not Neighbor</v>
      </c>
      <c r="AC2613" s="4">
        <f>IFERROR(__xludf.DUMMYFUNCTION("IFERROR(ABS(O2613-AVERAGE(FILTER(O2613:O6681,AA2613:AA6681=""Neighbor""))) / STDEV(FILTER(O2613:O6681, AA2613:AA6681 =""Neighbor"")), """")"),1.058070491677271)</f>
        <v>1.058070492</v>
      </c>
      <c r="AD2613" s="4">
        <f>IFERROR(__xludf.DUMMYFUNCTION("IFERROR(ABS(P2613-AVERAGE(FILTER(O2613:P6681,AA2613:AA6681=""Neighbor""))) / STDEV(FILTER(P2613:P6681, AA2613:AA6681 =""Neighbor"")), """")"),0.38168291975394125)</f>
        <v>0.3816829198</v>
      </c>
      <c r="AE2613" s="2">
        <f>IFERROR(__xludf.DUMMYFUNCTION("IFERROR(ABS(Q2613-AVERAGE(FILTER(Q2613:Q6681,AA2613:AA6681=""Neighbor""))) / STDEV(FILTER(Q2613:Q6681, AA2613:AA6681 =""Neighbor"")), """")"),0.10404504519342768)</f>
        <v>0.1040450452</v>
      </c>
      <c r="AF2613" s="2">
        <f>IFERROR(__xludf.DUMMYFUNCTION("IFERROR(ABS(R2613-AVERAGE(FILTER(R2613:R6681,AA2613:AA6681=""Neighbor""))) / STDEV(FILTER(R2613:R6681, AA2613:AA6681 =""Neighbor"")), """")"),0.7947614209307879)</f>
        <v>0.7947614209</v>
      </c>
    </row>
    <row r="2614">
      <c r="A2614" s="2" t="s">
        <v>28</v>
      </c>
      <c r="B2614" s="2" t="s">
        <v>29</v>
      </c>
      <c r="C2614" s="2" t="s">
        <v>823</v>
      </c>
      <c r="D2614" s="2" t="s">
        <v>10712</v>
      </c>
      <c r="E2614" s="2" t="s">
        <v>10713</v>
      </c>
      <c r="F2614" s="2">
        <v>151.0</v>
      </c>
      <c r="G2614" s="2">
        <v>295.0</v>
      </c>
      <c r="H2614" s="2" t="b">
        <v>1</v>
      </c>
      <c r="I2614" s="2">
        <v>-1.0</v>
      </c>
      <c r="J2614" s="2" t="b">
        <v>0</v>
      </c>
      <c r="K2614" s="2" t="b">
        <v>0</v>
      </c>
      <c r="L2614" s="2" t="b">
        <v>0</v>
      </c>
      <c r="M2614" s="2" t="b">
        <v>0</v>
      </c>
      <c r="N2614" s="2" t="s">
        <v>33</v>
      </c>
      <c r="O2614" s="2">
        <v>64.0</v>
      </c>
      <c r="P2614" s="2">
        <v>45.0</v>
      </c>
      <c r="Q2614" s="2">
        <v>24.0</v>
      </c>
      <c r="R2614" s="2">
        <v>0.0</v>
      </c>
      <c r="S2614" s="3" t="s">
        <v>10714</v>
      </c>
      <c r="T2614" s="2" t="s">
        <v>10715</v>
      </c>
      <c r="Y2614" s="4" t="str">
        <f>IFERROR(__xludf.DUMMYFUNCTION("""COMPUTED_VALUE"""),"7.8720018")</f>
        <v>7.8720018</v>
      </c>
      <c r="Z2614" s="4" t="str">
        <f>IFERROR(__xludf.DUMMYFUNCTION("""COMPUTED_VALUE"""),"3.2325969")</f>
        <v>3.2325969</v>
      </c>
      <c r="AA2614" s="4" t="str">
        <f t="shared" si="1"/>
        <v>Not Neighbor</v>
      </c>
      <c r="AC2614" s="4">
        <f>IFERROR(__xludf.DUMMYFUNCTION("IFERROR(ABS(O2614-AVERAGE(FILTER(O2614:O6682,AA2614:AA6682=""Neighbor""))) / STDEV(FILTER(O2614:O6682, AA2614:AA6682 =""Neighbor"")), """")"),0.4926577847345275)</f>
        <v>0.4926577847</v>
      </c>
      <c r="AD2614" s="4">
        <f>IFERROR(__xludf.DUMMYFUNCTION("IFERROR(ABS(P2614-AVERAGE(FILTER(O2614:P6682,AA2614:AA6682=""Neighbor""))) / STDEV(FILTER(P2614:P6682, AA2614:AA6682 =""Neighbor"")), """")"),0.5070393827334182)</f>
        <v>0.5070393827</v>
      </c>
      <c r="AE2614" s="2">
        <f>IFERROR(__xludf.DUMMYFUNCTION("IFERROR(ABS(Q2614-AVERAGE(FILTER(Q2614:Q6682,AA2614:AA6682=""Neighbor""))) / STDEV(FILTER(Q2614:Q6682, AA2614:AA6682 =""Neighbor"")), """")"),0.5933614920445267)</f>
        <v>0.593361492</v>
      </c>
      <c r="AF2614" s="2">
        <f>IFERROR(__xludf.DUMMYFUNCTION("IFERROR(ABS(R2614-AVERAGE(FILTER(R2614:R6682,AA2614:AA6682=""Neighbor""))) / STDEV(FILTER(R2614:R6682, AA2614:AA6682 =""Neighbor"")), """")"),0.3331575653396737)</f>
        <v>0.3331575653</v>
      </c>
    </row>
    <row r="2615">
      <c r="A2615" s="2" t="s">
        <v>28</v>
      </c>
      <c r="B2615" s="2" t="s">
        <v>29</v>
      </c>
      <c r="C2615" s="2" t="s">
        <v>823</v>
      </c>
      <c r="D2615" s="2" t="s">
        <v>10716</v>
      </c>
      <c r="E2615" s="2" t="s">
        <v>10717</v>
      </c>
      <c r="F2615" s="2">
        <v>82.0</v>
      </c>
      <c r="G2615" s="2">
        <v>163.0</v>
      </c>
      <c r="H2615" s="2" t="b">
        <v>1</v>
      </c>
      <c r="I2615" s="2">
        <v>-1.0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s">
        <v>33</v>
      </c>
      <c r="O2615" s="2">
        <v>42.0</v>
      </c>
      <c r="P2615" s="2">
        <v>13.0</v>
      </c>
      <c r="Q2615" s="2">
        <v>8.0</v>
      </c>
      <c r="R2615" s="2">
        <v>0.0</v>
      </c>
      <c r="S2615" s="3" t="s">
        <v>10718</v>
      </c>
      <c r="T2615" s="2" t="s">
        <v>10719</v>
      </c>
      <c r="Y2615" s="4" t="str">
        <f>IFERROR(__xludf.DUMMYFUNCTION("""COMPUTED_VALUE"""),"7.1783715")</f>
        <v>7.1783715</v>
      </c>
      <c r="Z2615" s="4" t="str">
        <f>IFERROR(__xludf.DUMMYFUNCTION("""COMPUTED_VALUE"""),"3.2483058")</f>
        <v>3.2483058</v>
      </c>
      <c r="AA2615" s="4" t="str">
        <f t="shared" si="1"/>
        <v>Not Neighbor</v>
      </c>
      <c r="AC2615" s="4">
        <f>IFERROR(__xludf.DUMMYFUNCTION("IFERROR(ABS(O2615-AVERAGE(FILTER(O2615:O6683,AA2615:AA6683=""Neighbor""))) / STDEV(FILTER(O2615:O6683, AA2615:AA6683 =""Neighbor"")), """")"),0.16203061277812278)</f>
        <v>0.1620306128</v>
      </c>
      <c r="AD2615" s="4">
        <f>IFERROR(__xludf.DUMMYFUNCTION("IFERROR(ABS(P2615-AVERAGE(FILTER(O2615:P6683,AA2615:AA6683=""Neighbor""))) / STDEV(FILTER(P2615:P6683, AA2615:AA6683 =""Neighbor"")), """")"),0.8300962223810023)</f>
        <v>0.8300962224</v>
      </c>
      <c r="AE2615" s="2">
        <f>IFERROR(__xludf.DUMMYFUNCTION("IFERROR(ABS(Q2615-AVERAGE(FILTER(Q2615:Q6683,AA2615:AA6683=""Neighbor""))) / STDEV(FILTER(Q2615:Q6683, AA2615:AA6683 =""Neighbor"")), """")"),0.3852714016576714)</f>
        <v>0.3852714017</v>
      </c>
      <c r="AF2615" s="2">
        <f>IFERROR(__xludf.DUMMYFUNCTION("IFERROR(ABS(R2615-AVERAGE(FILTER(R2615:R6683,AA2615:AA6683=""Neighbor""))) / STDEV(FILTER(R2615:R6683, AA2615:AA6683 =""Neighbor"")), """")"),0.3331575653396737)</f>
        <v>0.3331575653</v>
      </c>
    </row>
    <row r="2616">
      <c r="A2616" s="2" t="s">
        <v>28</v>
      </c>
      <c r="B2616" s="2" t="s">
        <v>29</v>
      </c>
      <c r="C2616" s="2" t="s">
        <v>823</v>
      </c>
      <c r="D2616" s="2" t="s">
        <v>10720</v>
      </c>
      <c r="E2616" s="2" t="s">
        <v>10721</v>
      </c>
      <c r="F2616" s="2">
        <v>91.0</v>
      </c>
      <c r="G2616" s="2">
        <v>166.0</v>
      </c>
      <c r="H2616" s="2" t="b">
        <v>1</v>
      </c>
      <c r="I2616" s="2">
        <v>-1.0</v>
      </c>
      <c r="J2616" s="2" t="b">
        <v>0</v>
      </c>
      <c r="K2616" s="2" t="b">
        <v>1</v>
      </c>
      <c r="L2616" s="2" t="b">
        <v>0</v>
      </c>
      <c r="M2616" s="2" t="b">
        <v>0</v>
      </c>
      <c r="N2616" s="2" t="s">
        <v>33</v>
      </c>
      <c r="O2616" s="2">
        <v>63.0</v>
      </c>
      <c r="P2616" s="2">
        <v>7.0</v>
      </c>
      <c r="Q2616" s="2">
        <v>10.0</v>
      </c>
      <c r="R2616" s="2">
        <v>0.0</v>
      </c>
      <c r="S2616" s="3" t="s">
        <v>10722</v>
      </c>
      <c r="T2616" s="2" t="s">
        <v>10723</v>
      </c>
      <c r="Y2616" s="4" t="str">
        <f>IFERROR(__xludf.DUMMYFUNCTION("""COMPUTED_VALUE"""),"7.165977")</f>
        <v>7.165977</v>
      </c>
      <c r="Z2616" s="4" t="str">
        <f>IFERROR(__xludf.DUMMYFUNCTION("""COMPUTED_VALUE"""),"3.2700859")</f>
        <v>3.2700859</v>
      </c>
      <c r="AA2616" s="4" t="str">
        <f t="shared" si="1"/>
        <v>Neighbor</v>
      </c>
      <c r="AC2616" s="4">
        <f>IFERROR(__xludf.DUMMYFUNCTION("IFERROR(ABS(O2616-AVERAGE(FILTER(O2616:O6684,AA2616:AA6684=""Neighbor""))) / STDEV(FILTER(O2616:O6684, AA2616:AA6684 =""Neighbor"")), """")"),0.46289922121122523)</f>
        <v>0.4628992212</v>
      </c>
      <c r="AD2616" s="4">
        <f>IFERROR(__xludf.DUMMYFUNCTION("IFERROR(ABS(P2616-AVERAGE(FILTER(O2616:P6684,AA2616:AA6684=""Neighbor""))) / STDEV(FILTER(P2616:P6684, AA2616:AA6684 =""Neighbor"")), """")"),1.0808091483399562)</f>
        <v>1.080809148</v>
      </c>
      <c r="AE2616" s="2">
        <f>IFERROR(__xludf.DUMMYFUNCTION("IFERROR(ABS(Q2616-AVERAGE(FILTER(Q2616:Q6684,AA2616:AA6684=""Neighbor""))) / STDEV(FILTER(Q2616:Q6684, AA2616:AA6684 =""Neighbor"")), """")"),0.2629422899448966)</f>
        <v>0.2629422899</v>
      </c>
      <c r="AF2616" s="2">
        <f>IFERROR(__xludf.DUMMYFUNCTION("IFERROR(ABS(R2616-AVERAGE(FILTER(R2616:R6684,AA2616:AA6684=""Neighbor""))) / STDEV(FILTER(R2616:R6684, AA2616:AA6684 =""Neighbor"")), """")"),0.3331575653396737)</f>
        <v>0.3331575653</v>
      </c>
    </row>
    <row r="2617">
      <c r="A2617" s="2" t="s">
        <v>28</v>
      </c>
      <c r="B2617" s="2" t="s">
        <v>29</v>
      </c>
      <c r="C2617" s="2" t="s">
        <v>823</v>
      </c>
      <c r="D2617" s="2" t="s">
        <v>10724</v>
      </c>
      <c r="E2617" s="2" t="s">
        <v>10725</v>
      </c>
      <c r="F2617" s="2">
        <v>121.0</v>
      </c>
      <c r="G2617" s="2">
        <v>227.0</v>
      </c>
      <c r="H2617" s="2" t="b">
        <v>1</v>
      </c>
      <c r="I2617" s="2">
        <v>-1.0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s">
        <v>33</v>
      </c>
      <c r="O2617" s="2">
        <v>55.0</v>
      </c>
      <c r="P2617" s="2">
        <v>17.0</v>
      </c>
      <c r="Q2617" s="2">
        <v>15.0</v>
      </c>
      <c r="R2617" s="2">
        <v>0.0</v>
      </c>
      <c r="S2617" s="3" t="s">
        <v>10726</v>
      </c>
      <c r="T2617" s="2" t="s">
        <v>10727</v>
      </c>
      <c r="Y2617" s="4" t="str">
        <f>IFERROR(__xludf.DUMMYFUNCTION("""COMPUTED_VALUE"""),"7.165977")</f>
        <v>7.165977</v>
      </c>
      <c r="Z2617" s="4" t="str">
        <f>IFERROR(__xludf.DUMMYFUNCTION("""COMPUTED_VALUE"""),"3.2700859")</f>
        <v>3.2700859</v>
      </c>
      <c r="AA2617" s="4" t="str">
        <f t="shared" si="1"/>
        <v>Not Neighbor</v>
      </c>
      <c r="AC2617" s="4">
        <f>IFERROR(__xludf.DUMMYFUNCTION("IFERROR(ABS(O2617-AVERAGE(FILTER(O2617:O6685,AA2617:AA6685=""Neighbor""))) / STDEV(FILTER(O2617:O6685, AA2617:AA6685 =""Neighbor"")), """")"),0.22549778200976903)</f>
        <v>0.225497782</v>
      </c>
      <c r="AD2617" s="4">
        <f>IFERROR(__xludf.DUMMYFUNCTION("IFERROR(ABS(P2617-AVERAGE(FILTER(O2617:P6685,AA2617:AA6685=""Neighbor""))) / STDEV(FILTER(P2617:P6685, AA2617:AA6685 =""Neighbor"")), """")"),0.6623358510511284)</f>
        <v>0.6623358511</v>
      </c>
      <c r="AE2617" s="2">
        <f>IFERROR(__xludf.DUMMYFUNCTION("IFERROR(ABS(Q2617-AVERAGE(FILTER(Q2617:Q6685,AA2617:AA6685=""Neighbor""))) / STDEV(FILTER(Q2617:Q6685, AA2617:AA6685 =""Neighbor"")), """")"),0.042376585495370205)</f>
        <v>0.0423765855</v>
      </c>
      <c r="AF2617" s="2">
        <f>IFERROR(__xludf.DUMMYFUNCTION("IFERROR(ABS(R2617-AVERAGE(FILTER(R2617:R6685,AA2617:AA6685=""Neighbor""))) / STDEV(FILTER(R2617:R6685, AA2617:AA6685 =""Neighbor"")), """")"),0.3334868859167759)</f>
        <v>0.3334868859</v>
      </c>
    </row>
    <row r="2618">
      <c r="A2618" s="2" t="s">
        <v>28</v>
      </c>
      <c r="B2618" s="2" t="s">
        <v>29</v>
      </c>
      <c r="C2618" s="2" t="s">
        <v>823</v>
      </c>
      <c r="D2618" s="2" t="s">
        <v>10728</v>
      </c>
      <c r="E2618" s="2" t="s">
        <v>10729</v>
      </c>
      <c r="F2618" s="2">
        <v>136.0</v>
      </c>
      <c r="G2618" s="2">
        <v>220.0</v>
      </c>
      <c r="H2618" s="2" t="b">
        <v>1</v>
      </c>
      <c r="I2618" s="2">
        <v>-1.0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s">
        <v>33</v>
      </c>
      <c r="O2618" s="2">
        <v>79.0</v>
      </c>
      <c r="P2618" s="2">
        <v>37.0</v>
      </c>
      <c r="Q2618" s="2">
        <v>8.0</v>
      </c>
      <c r="R2618" s="2">
        <v>2.0</v>
      </c>
      <c r="S2618" s="3" t="s">
        <v>10730</v>
      </c>
      <c r="T2618" s="2" t="s">
        <v>10731</v>
      </c>
      <c r="Y2618" s="4" t="str">
        <f>IFERROR(__xludf.DUMMYFUNCTION("""COMPUTED_VALUE"""),"7.1114694")</f>
        <v>7.1114694</v>
      </c>
      <c r="Z2618" s="4" t="str">
        <f>IFERROR(__xludf.DUMMYFUNCTION("""COMPUTED_VALUE"""),"3.2726146")</f>
        <v>3.2726146</v>
      </c>
      <c r="AA2618" s="4" t="str">
        <f t="shared" si="1"/>
        <v>Not Neighbor</v>
      </c>
      <c r="AC2618" s="4">
        <f>IFERROR(__xludf.DUMMYFUNCTION("IFERROR(ABS(O2618-AVERAGE(FILTER(O2618:O6686,AA2618:AA6686=""Neighbor""))) / STDEV(FILTER(O2618:O6686, AA2618:AA6686 =""Neighbor"")), """")"),0.9392030328277119)</f>
        <v>0.9392030328</v>
      </c>
      <c r="AD2618" s="4">
        <f>IFERROR(__xludf.DUMMYFUNCTION("IFERROR(ABS(P2618-AVERAGE(FILTER(O2618:P6686,AA2618:AA6686=""Neighbor""))) / STDEV(FILTER(P2618:P6686, AA2618:AA6686 =""Neighbor"")), """")"),0.17279459214645115)</f>
        <v>0.1727945921</v>
      </c>
      <c r="AE2618" s="2">
        <f>IFERROR(__xludf.DUMMYFUNCTION("IFERROR(ABS(Q2618-AVERAGE(FILTER(Q2618:Q6686,AA2618:AA6686=""Neighbor""))) / STDEV(FILTER(Q2618:Q6686, AA2618:AA6686 =""Neighbor"")), """")"),0.385419947256092)</f>
        <v>0.3854199473</v>
      </c>
      <c r="AF2618" s="2">
        <f>IFERROR(__xludf.DUMMYFUNCTION("IFERROR(ABS(R2618-AVERAGE(FILTER(R2618:R6686,AA2618:AA6686=""Neighbor""))) / STDEV(FILTER(R2618:R6686, AA2618:AA6686 =""Neighbor"")), """")"),1.9205630297375766)</f>
        <v>1.92056303</v>
      </c>
    </row>
    <row r="2619">
      <c r="A2619" s="2" t="s">
        <v>28</v>
      </c>
      <c r="B2619" s="2" t="s">
        <v>29</v>
      </c>
      <c r="C2619" s="2" t="s">
        <v>823</v>
      </c>
      <c r="D2619" s="2" t="s">
        <v>10732</v>
      </c>
      <c r="E2619" s="2" t="s">
        <v>10733</v>
      </c>
      <c r="F2619" s="2">
        <v>173.0</v>
      </c>
      <c r="G2619" s="2">
        <v>354.0</v>
      </c>
      <c r="H2619" s="2" t="b">
        <v>1</v>
      </c>
      <c r="I2619" s="2">
        <v>-1.0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s">
        <v>33</v>
      </c>
      <c r="O2619" s="2">
        <v>98.0</v>
      </c>
      <c r="P2619" s="2">
        <v>55.0</v>
      </c>
      <c r="Q2619" s="2">
        <v>5.0</v>
      </c>
      <c r="R2619" s="2">
        <v>0.0</v>
      </c>
      <c r="S2619" s="3" t="s">
        <v>10734</v>
      </c>
      <c r="T2619" s="2" t="s">
        <v>10735</v>
      </c>
      <c r="Y2619" s="4" t="str">
        <f>IFERROR(__xludf.DUMMYFUNCTION("""COMPUTED_VALUE"""),"7.1747611")</f>
        <v>7.1747611</v>
      </c>
      <c r="Z2619" s="4" t="str">
        <f>IFERROR(__xludf.DUMMYFUNCTION("""COMPUTED_VALUE"""),"3.2901052")</f>
        <v>3.2901052</v>
      </c>
      <c r="AA2619" s="4" t="str">
        <f t="shared" si="1"/>
        <v>Neighbor</v>
      </c>
      <c r="AC2619" s="4">
        <f>IFERROR(__xludf.DUMMYFUNCTION("IFERROR(ABS(O2619-AVERAGE(FILTER(O2619:O6687,AA2619:AA6687=""Neighbor""))) / STDEV(FILTER(O2619:O6687, AA2619:AA6687 =""Neighbor"")), """")"),1.50421968972525)</f>
        <v>1.50421969</v>
      </c>
      <c r="AD2619" s="4">
        <f>IFERROR(__xludf.DUMMYFUNCTION("IFERROR(ABS(P2619-AVERAGE(FILTER(O2619:P6687,AA2619:AA6687=""Neighbor""))) / STDEV(FILTER(P2619:P6687, AA2619:AA6687 =""Neighbor"")), """")"),0.9244119910242727)</f>
        <v>0.924411991</v>
      </c>
      <c r="AE2619" s="2">
        <f>IFERROR(__xludf.DUMMYFUNCTION("IFERROR(ABS(Q2619-AVERAGE(FILTER(Q2619:Q6687,AA2619:AA6687=""Neighbor""))) / STDEV(FILTER(Q2619:Q6687, AA2619:AA6687 =""Neighbor"")), """")"),0.5687613184352901)</f>
        <v>0.5687613184</v>
      </c>
      <c r="AF2619" s="2">
        <f>IFERROR(__xludf.DUMMYFUNCTION("IFERROR(ABS(R2619-AVERAGE(FILTER(R2619:R6687,AA2619:AA6687=""Neighbor""))) / STDEV(FILTER(R2619:R6687, AA2619:AA6687 =""Neighbor"")), """")"),0.3334868859167759)</f>
        <v>0.3334868859</v>
      </c>
    </row>
    <row r="2620">
      <c r="A2620" s="2" t="s">
        <v>28</v>
      </c>
      <c r="B2620" s="2" t="s">
        <v>29</v>
      </c>
      <c r="C2620" s="2" t="s">
        <v>823</v>
      </c>
      <c r="D2620" s="2" t="s">
        <v>10736</v>
      </c>
      <c r="E2620" s="2" t="s">
        <v>10737</v>
      </c>
      <c r="F2620" s="2">
        <v>120.0</v>
      </c>
      <c r="G2620" s="2">
        <v>188.0</v>
      </c>
      <c r="H2620" s="2" t="b">
        <v>1</v>
      </c>
      <c r="I2620" s="2">
        <v>-1.0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s">
        <v>33</v>
      </c>
      <c r="O2620" s="2">
        <v>76.0</v>
      </c>
      <c r="P2620" s="2">
        <v>28.0</v>
      </c>
      <c r="Q2620" s="2">
        <v>6.0</v>
      </c>
      <c r="R2620" s="2">
        <v>0.0</v>
      </c>
      <c r="S2620" s="3" t="s">
        <v>10738</v>
      </c>
      <c r="T2620" s="2" t="s">
        <v>10739</v>
      </c>
      <c r="Y2620" s="4" t="str">
        <f>IFERROR(__xludf.DUMMYFUNCTION("""COMPUTED_VALUE"""),"7.1749669")</f>
        <v>7.1749669</v>
      </c>
      <c r="Z2620" s="4" t="str">
        <f>IFERROR(__xludf.DUMMYFUNCTION("""COMPUTED_VALUE"""),"3.2898822")</f>
        <v>3.2898822</v>
      </c>
      <c r="AA2620" s="4" t="str">
        <f t="shared" si="1"/>
        <v>Not Neighbor</v>
      </c>
      <c r="AC2620" s="4">
        <f>IFERROR(__xludf.DUMMYFUNCTION("IFERROR(ABS(O2620-AVERAGE(FILTER(O2620:O6688,AA2620:AA6688=""Neighbor""))) / STDEV(FILTER(O2620:O6688, AA2620:AA6688 =""Neighbor"")), """")"),0.8536437277998826)</f>
        <v>0.8536437278</v>
      </c>
      <c r="AD2620" s="4">
        <f>IFERROR(__xludf.DUMMYFUNCTION("IFERROR(ABS(P2620-AVERAGE(FILTER(O2620:P6688,AA2620:AA6688=""Neighbor""))) / STDEV(FILTER(P2620:P6688, AA2620:AA6688 =""Neighbor"")), """")"),0.2000021922530713)</f>
        <v>0.2000021923</v>
      </c>
      <c r="AE2620" s="2">
        <f>IFERROR(__xludf.DUMMYFUNCTION("IFERROR(ABS(Q2620-AVERAGE(FILTER(Q2620:Q6688,AA2620:AA6688=""Neighbor""))) / STDEV(FILTER(Q2620:Q6688, AA2620:AA6688 =""Neighbor"")), """")"),0.5083559186191777)</f>
        <v>0.5083559186</v>
      </c>
      <c r="AF2620" s="2">
        <f>IFERROR(__xludf.DUMMYFUNCTION("IFERROR(ABS(R2620-AVERAGE(FILTER(R2620:R6688,AA2620:AA6688=""Neighbor""))) / STDEV(FILTER(R2620:R6688, AA2620:AA6688 =""Neighbor"")), """")"),0.33381718521992493)</f>
        <v>0.3338171852</v>
      </c>
    </row>
    <row r="2621">
      <c r="A2621" s="2" t="s">
        <v>28</v>
      </c>
      <c r="B2621" s="2" t="s">
        <v>29</v>
      </c>
      <c r="C2621" s="2" t="s">
        <v>290</v>
      </c>
      <c r="D2621" s="2" t="s">
        <v>10740</v>
      </c>
      <c r="E2621" s="2" t="s">
        <v>10741</v>
      </c>
      <c r="F2621" s="2">
        <v>63.0</v>
      </c>
      <c r="G2621" s="2">
        <v>124.0</v>
      </c>
      <c r="H2621" s="2" t="b">
        <v>1</v>
      </c>
      <c r="I2621" s="2">
        <v>-1.0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s">
        <v>33</v>
      </c>
      <c r="O2621" s="2">
        <v>29.0</v>
      </c>
      <c r="P2621" s="2">
        <v>0.0</v>
      </c>
      <c r="Q2621" s="2">
        <v>16.0</v>
      </c>
      <c r="R2621" s="2">
        <v>0.0</v>
      </c>
      <c r="S2621" s="3" t="s">
        <v>10742</v>
      </c>
      <c r="T2621" s="2" t="s">
        <v>10743</v>
      </c>
      <c r="Y2621" s="4" t="str">
        <f>IFERROR(__xludf.DUMMYFUNCTION("""COMPUTED_VALUE"""),"7.149198")</f>
        <v>7.149198</v>
      </c>
      <c r="Z2621" s="4" t="str">
        <f>IFERROR(__xludf.DUMMYFUNCTION("""COMPUTED_VALUE"""),"3.3576839")</f>
        <v>3.3576839</v>
      </c>
      <c r="AA2621" s="4" t="str">
        <f t="shared" si="1"/>
        <v>Not Neighbor</v>
      </c>
      <c r="AC2621" s="4">
        <f>IFERROR(__xludf.DUMMYFUNCTION("IFERROR(ABS(O2621-AVERAGE(FILTER(O2621:O6689,AA2621:AA6689=""Neighbor""))) / STDEV(FILTER(O2621:O6689, AA2621:AA6689 =""Neighbor"")), """")"),0.545615343987681)</f>
        <v>0.545615344</v>
      </c>
      <c r="AD2621" s="4">
        <f>IFERROR(__xludf.DUMMYFUNCTION("IFERROR(ABS(P2621-AVERAGE(FILTER(O2621:P6689,AA2621:AA6689=""Neighbor""))) / STDEV(FILTER(P2621:P6689, AA2621:AA6689 =""Neighbor"")), """")"),1.370601062924277)</f>
        <v>1.370601063</v>
      </c>
      <c r="AE2621" s="2">
        <f>IFERROR(__xludf.DUMMYFUNCTION("IFERROR(ABS(Q2621-AVERAGE(FILTER(Q2621:Q6689,AA2621:AA6689=""Neighbor""))) / STDEV(FILTER(Q2621:Q6689, AA2621:AA6689 =""Neighbor"")), """")"),0.10241283149182745)</f>
        <v>0.1024128315</v>
      </c>
      <c r="AF2621" s="2">
        <f>IFERROR(__xludf.DUMMYFUNCTION("IFERROR(ABS(R2621-AVERAGE(FILTER(R2621:R6689,AA2621:AA6689=""Neighbor""))) / STDEV(FILTER(R2621:R6689, AA2621:AA6689 =""Neighbor"")), """")"),0.33381718521992493)</f>
        <v>0.3338171852</v>
      </c>
    </row>
    <row r="2622">
      <c r="A2622" s="2" t="s">
        <v>28</v>
      </c>
      <c r="B2622" s="2" t="s">
        <v>29</v>
      </c>
      <c r="C2622" s="2" t="s">
        <v>290</v>
      </c>
      <c r="D2622" s="2" t="s">
        <v>10744</v>
      </c>
      <c r="E2622" s="2" t="s">
        <v>10745</v>
      </c>
      <c r="F2622" s="2">
        <v>94.0</v>
      </c>
      <c r="G2622" s="2">
        <v>410.0</v>
      </c>
      <c r="H2622" s="2" t="b">
        <v>1</v>
      </c>
      <c r="I2622" s="2">
        <v>-1.0</v>
      </c>
      <c r="J2622" s="2" t="b">
        <v>1</v>
      </c>
      <c r="K2622" s="2" t="b">
        <v>0</v>
      </c>
      <c r="L2622" s="2" t="b">
        <v>0</v>
      </c>
      <c r="M2622" s="2" t="b">
        <v>0</v>
      </c>
      <c r="N2622" s="2" t="s">
        <v>33</v>
      </c>
      <c r="O2622" s="2">
        <v>52.0</v>
      </c>
      <c r="P2622" s="2">
        <v>0.0</v>
      </c>
      <c r="Q2622" s="2">
        <v>22.0</v>
      </c>
      <c r="R2622" s="2">
        <v>0.0</v>
      </c>
      <c r="S2622" s="3" t="s">
        <v>10746</v>
      </c>
      <c r="T2622" s="2" t="s">
        <v>10747</v>
      </c>
      <c r="Y2622" s="4" t="str">
        <f>IFERROR(__xludf.DUMMYFUNCTION("""COMPUTED_VALUE"""),"7.1634243")</f>
        <v>7.1634243</v>
      </c>
      <c r="Z2622" s="4" t="str">
        <f>IFERROR(__xludf.DUMMYFUNCTION("""COMPUTED_VALUE"""),"3.3332085")</f>
        <v>3.3332085</v>
      </c>
      <c r="AA2622" s="4" t="str">
        <f t="shared" si="1"/>
        <v>Neighbor</v>
      </c>
      <c r="AC2622" s="4">
        <f>IFERROR(__xludf.DUMMYFUNCTION("IFERROR(ABS(O2622-AVERAGE(FILTER(O2622:O6690,AA2622:AA6690=""Neighbor""))) / STDEV(FILTER(O2622:O6690, AA2622:AA6690 =""Neighbor"")), """")"),0.1391284570998501)</f>
        <v>0.1391284571</v>
      </c>
      <c r="AD2622" s="4">
        <f>IFERROR(__xludf.DUMMYFUNCTION("IFERROR(ABS(P2622-AVERAGE(FILTER(O2622:P6690,AA2622:AA6690=""Neighbor""))) / STDEV(FILTER(P2622:P6690, AA2622:AA6690 =""Neighbor"")), """")"),1.370601062924277)</f>
        <v>1.370601063</v>
      </c>
      <c r="AE2622" s="2">
        <f>IFERROR(__xludf.DUMMYFUNCTION("IFERROR(ABS(Q2622-AVERAGE(FILTER(Q2622:Q6690,AA2622:AA6690=""Neighbor""))) / STDEV(FILTER(Q2622:Q6690, AA2622:AA6690 =""Neighbor"")), """")"),0.4688740815584306)</f>
        <v>0.4688740816</v>
      </c>
      <c r="AF2622" s="2">
        <f>IFERROR(__xludf.DUMMYFUNCTION("IFERROR(ABS(R2622-AVERAGE(FILTER(R2622:R6690,AA2622:AA6690=""Neighbor""))) / STDEV(FILTER(R2622:R6690, AA2622:AA6690 =""Neighbor"")), """")"),0.33381718521992493)</f>
        <v>0.3338171852</v>
      </c>
    </row>
    <row r="2623">
      <c r="A2623" s="2" t="s">
        <v>28</v>
      </c>
      <c r="B2623" s="2" t="s">
        <v>29</v>
      </c>
      <c r="C2623" s="2" t="s">
        <v>290</v>
      </c>
      <c r="D2623" s="2" t="s">
        <v>10748</v>
      </c>
      <c r="E2623" s="2" t="s">
        <v>10749</v>
      </c>
      <c r="F2623" s="2">
        <v>68.0</v>
      </c>
      <c r="G2623" s="2">
        <v>142.0</v>
      </c>
      <c r="H2623" s="2" t="b">
        <v>1</v>
      </c>
      <c r="I2623" s="2">
        <v>-1.0</v>
      </c>
      <c r="J2623" s="2" t="b">
        <v>1</v>
      </c>
      <c r="K2623" s="2" t="b">
        <v>0</v>
      </c>
      <c r="L2623" s="2" t="b">
        <v>0</v>
      </c>
      <c r="M2623" s="2" t="b">
        <v>0</v>
      </c>
      <c r="N2623" s="2" t="s">
        <v>33</v>
      </c>
      <c r="O2623" s="2">
        <v>47.0</v>
      </c>
      <c r="P2623" s="2">
        <v>0.0</v>
      </c>
      <c r="Q2623" s="2">
        <v>7.0</v>
      </c>
      <c r="R2623" s="2">
        <v>0.0</v>
      </c>
      <c r="S2623" s="3" t="s">
        <v>10750</v>
      </c>
      <c r="T2623" s="2" t="s">
        <v>10751</v>
      </c>
      <c r="Y2623" s="4" t="str">
        <f>IFERROR(__xludf.DUMMYFUNCTION("""COMPUTED_VALUE"""),"7.1634243")</f>
        <v>7.1634243</v>
      </c>
      <c r="Z2623" s="4" t="str">
        <f>IFERROR(__xludf.DUMMYFUNCTION("""COMPUTED_VALUE"""),"3.3332085")</f>
        <v>3.3332085</v>
      </c>
      <c r="AA2623" s="4" t="str">
        <f t="shared" si="1"/>
        <v>Neighbor</v>
      </c>
      <c r="AC2623" s="4">
        <f>IFERROR(__xludf.DUMMYFUNCTION("IFERROR(ABS(O2623-AVERAGE(FILTER(O2623:O6691,AA2623:AA6691=""Neighbor""))) / STDEV(FILTER(O2623:O6691, AA2623:AA6691 =""Neighbor"")), """")"),0.009471683905250982)</f>
        <v>0.009471683905</v>
      </c>
      <c r="AD2623" s="4">
        <f>IFERROR(__xludf.DUMMYFUNCTION("IFERROR(ABS(P2623-AVERAGE(FILTER(O2623:P6691,AA2623:AA6691=""Neighbor""))) / STDEV(FILTER(P2623:P6691, AA2623:AA6691 =""Neighbor"")), """")"),1.3705959109040509)</f>
        <v>1.370595911</v>
      </c>
      <c r="AE2623" s="2">
        <f>IFERROR(__xludf.DUMMYFUNCTION("IFERROR(ABS(Q2623-AVERAGE(FILTER(Q2623:Q6691,AA2623:AA6691=""Neighbor""))) / STDEV(FILTER(Q2623:Q6691, AA2623:AA6691 =""Neighbor"")), """")"),0.44612866353721414)</f>
        <v>0.4461286635</v>
      </c>
      <c r="AF2623" s="2">
        <f>IFERROR(__xludf.DUMMYFUNCTION("IFERROR(ABS(R2623-AVERAGE(FILTER(R2623:R6691,AA2623:AA6691=""Neighbor""))) / STDEV(FILTER(R2623:R6691, AA2623:AA6691 =""Neighbor"")), """")"),0.33414846810754456)</f>
        <v>0.3341484681</v>
      </c>
    </row>
    <row r="2624">
      <c r="A2624" s="2" t="s">
        <v>28</v>
      </c>
      <c r="B2624" s="2" t="s">
        <v>29</v>
      </c>
      <c r="C2624" s="2" t="s">
        <v>290</v>
      </c>
      <c r="D2624" s="2" t="s">
        <v>10752</v>
      </c>
      <c r="E2624" s="2" t="s">
        <v>10753</v>
      </c>
      <c r="F2624" s="2">
        <v>65.0</v>
      </c>
      <c r="G2624" s="2">
        <v>125.0</v>
      </c>
      <c r="H2624" s="2" t="b">
        <v>1</v>
      </c>
      <c r="I2624" s="2">
        <v>-1.0</v>
      </c>
      <c r="J2624" s="2" t="b">
        <v>1</v>
      </c>
      <c r="K2624" s="2" t="b">
        <v>0</v>
      </c>
      <c r="L2624" s="2" t="b">
        <v>0</v>
      </c>
      <c r="M2624" s="2" t="b">
        <v>0</v>
      </c>
      <c r="N2624" s="2" t="s">
        <v>33</v>
      </c>
      <c r="O2624" s="2">
        <v>48.0</v>
      </c>
      <c r="P2624" s="2">
        <v>0.0</v>
      </c>
      <c r="Q2624" s="2">
        <v>8.0</v>
      </c>
      <c r="R2624" s="2">
        <v>0.0</v>
      </c>
      <c r="S2624" s="3" t="s">
        <v>10754</v>
      </c>
      <c r="T2624" s="2" t="s">
        <v>10755</v>
      </c>
      <c r="Y2624" s="4" t="str">
        <f>IFERROR(__xludf.DUMMYFUNCTION("""COMPUTED_VALUE"""),"7.1634243")</f>
        <v>7.1634243</v>
      </c>
      <c r="Z2624" s="4" t="str">
        <f>IFERROR(__xludf.DUMMYFUNCTION("""COMPUTED_VALUE"""),"3.3332085")</f>
        <v>3.3332085</v>
      </c>
      <c r="AA2624" s="4" t="str">
        <f t="shared" si="1"/>
        <v>Not Neighbor</v>
      </c>
      <c r="AC2624" s="4">
        <f>IFERROR(__xludf.DUMMYFUNCTION("IFERROR(ABS(O2624-AVERAGE(FILTER(O2624:O6692,AA2624:AA6692=""Neighbor""))) / STDEV(FILTER(O2624:O6692, AA2624:AA6692 =""Neighbor"")), """")"),0.0202385284877584)</f>
        <v>0.02023852849</v>
      </c>
      <c r="AD2624" s="4">
        <f>IFERROR(__xludf.DUMMYFUNCTION("IFERROR(ABS(P2624-AVERAGE(FILTER(O2624:P6692,AA2624:AA6692=""Neighbor""))) / STDEV(FILTER(P2624:P6692, AA2624:AA6692 =""Neighbor"")), """")"),1.3707806666889482)</f>
        <v>1.370780667</v>
      </c>
      <c r="AE2624" s="2">
        <f>IFERROR(__xludf.DUMMYFUNCTION("IFERROR(ABS(Q2624-AVERAGE(FILTER(Q2624:Q6692,AA2624:AA6692=""Neighbor""))) / STDEV(FILTER(Q2624:Q6692, AA2624:AA6692 =""Neighbor"")), """")"),0.38561689612030137)</f>
        <v>0.3856168961</v>
      </c>
      <c r="AF2624" s="2">
        <f>IFERROR(__xludf.DUMMYFUNCTION("IFERROR(ABS(R2624-AVERAGE(FILTER(R2624:R6692,AA2624:AA6692=""Neighbor""))) / STDEV(FILTER(R2624:R6692, AA2624:AA6692 =""Neighbor"")), """")"),0.334480739471895)</f>
        <v>0.3344807395</v>
      </c>
    </row>
    <row r="2625">
      <c r="A2625" s="2" t="s">
        <v>28</v>
      </c>
      <c r="B2625" s="2" t="s">
        <v>29</v>
      </c>
      <c r="C2625" s="2" t="s">
        <v>290</v>
      </c>
      <c r="D2625" s="2" t="s">
        <v>10756</v>
      </c>
      <c r="E2625" s="2" t="s">
        <v>10757</v>
      </c>
      <c r="F2625" s="2">
        <v>103.0</v>
      </c>
      <c r="G2625" s="2">
        <v>394.0</v>
      </c>
      <c r="H2625" s="2" t="b">
        <v>1</v>
      </c>
      <c r="I2625" s="2">
        <v>-1.0</v>
      </c>
      <c r="J2625" s="2" t="b">
        <v>1</v>
      </c>
      <c r="K2625" s="2" t="b">
        <v>0</v>
      </c>
      <c r="L2625" s="2" t="b">
        <v>0</v>
      </c>
      <c r="M2625" s="2" t="b">
        <v>0</v>
      </c>
      <c r="N2625" s="2" t="s">
        <v>33</v>
      </c>
      <c r="O2625" s="2">
        <v>73.0</v>
      </c>
      <c r="P2625" s="2">
        <v>1.0</v>
      </c>
      <c r="Q2625" s="2">
        <v>15.0</v>
      </c>
      <c r="R2625" s="2">
        <v>0.0</v>
      </c>
      <c r="S2625" s="3" t="s">
        <v>10758</v>
      </c>
      <c r="T2625" s="2" t="s">
        <v>10759</v>
      </c>
      <c r="Y2625" s="4" t="str">
        <f>IFERROR(__xludf.DUMMYFUNCTION("""COMPUTED_VALUE"""),"7.1817693")</f>
        <v>7.1817693</v>
      </c>
      <c r="Z2625" s="4" t="str">
        <f>IFERROR(__xludf.DUMMYFUNCTION("""COMPUTED_VALUE"""),"3.3376324")</f>
        <v>3.3376324</v>
      </c>
      <c r="AA2625" s="4" t="str">
        <f t="shared" si="1"/>
        <v>Not Neighbor</v>
      </c>
      <c r="AC2625" s="4">
        <f>IFERROR(__xludf.DUMMYFUNCTION("IFERROR(ABS(O2625-AVERAGE(FILTER(O2625:O6693,AA2625:AA6693=""Neighbor""))) / STDEV(FILTER(O2625:O6693, AA2625:AA6693 =""Neighbor"")), """")"),0.7632055611304641)</f>
        <v>0.7632055611</v>
      </c>
      <c r="AD2625" s="4">
        <f>IFERROR(__xludf.DUMMYFUNCTION("IFERROR(ABS(P2625-AVERAGE(FILTER(O2625:P6693,AA2625:AA6693=""Neighbor""))) / STDEV(FILTER(P2625:P6693, AA2625:AA6693 =""Neighbor"")), """")"),1.3290047791981683)</f>
        <v>1.329004779</v>
      </c>
      <c r="AE2625" s="2">
        <f>IFERROR(__xludf.DUMMYFUNCTION("IFERROR(ABS(Q2625-AVERAGE(FILTER(Q2625:Q6693,AA2625:AA6693=""Neighbor""))) / STDEV(FILTER(Q2625:Q6693, AA2625:AA6693 =""Neighbor"")), """")"),0.04131609601288945)</f>
        <v>0.04131609601</v>
      </c>
      <c r="AF2625" s="2">
        <f>IFERROR(__xludf.DUMMYFUNCTION("IFERROR(ABS(R2625-AVERAGE(FILTER(R2625:R6693,AA2625:AA6693=""Neighbor""))) / STDEV(FILTER(R2625:R6693, AA2625:AA6693 =""Neighbor"")), """")"),0.334480739471895)</f>
        <v>0.3344807395</v>
      </c>
    </row>
    <row r="2626">
      <c r="A2626" s="2" t="s">
        <v>28</v>
      </c>
      <c r="B2626" s="2" t="s">
        <v>29</v>
      </c>
      <c r="C2626" s="2" t="s">
        <v>290</v>
      </c>
      <c r="D2626" s="2" t="s">
        <v>10760</v>
      </c>
      <c r="E2626" s="2" t="s">
        <v>10761</v>
      </c>
      <c r="F2626" s="2">
        <v>127.0</v>
      </c>
      <c r="G2626" s="2">
        <v>735.0</v>
      </c>
      <c r="H2626" s="2" t="b">
        <v>1</v>
      </c>
      <c r="I2626" s="2">
        <v>-1.0</v>
      </c>
      <c r="J2626" s="2" t="b">
        <v>0</v>
      </c>
      <c r="K2626" s="2" t="b">
        <v>0</v>
      </c>
      <c r="L2626" s="2" t="b">
        <v>0</v>
      </c>
      <c r="M2626" s="2" t="b">
        <v>0</v>
      </c>
      <c r="N2626" s="2" t="s">
        <v>33</v>
      </c>
      <c r="O2626" s="2">
        <v>70.0</v>
      </c>
      <c r="P2626" s="2">
        <v>6.0</v>
      </c>
      <c r="Q2626" s="2">
        <v>18.0</v>
      </c>
      <c r="R2626" s="2">
        <v>1.0</v>
      </c>
      <c r="S2626" s="3" t="s">
        <v>10762</v>
      </c>
      <c r="T2626" s="2" t="s">
        <v>10763</v>
      </c>
      <c r="Y2626" s="4" t="str">
        <f>IFERROR(__xludf.DUMMYFUNCTION("""COMPUTED_VALUE"""),"7.1634243")</f>
        <v>7.1634243</v>
      </c>
      <c r="Z2626" s="4" t="str">
        <f>IFERROR(__xludf.DUMMYFUNCTION("""COMPUTED_VALUE"""),"3.3332085")</f>
        <v>3.3332085</v>
      </c>
      <c r="AA2626" s="4" t="str">
        <f t="shared" si="1"/>
        <v>Not Neighbor</v>
      </c>
      <c r="AC2626" s="4">
        <f>IFERROR(__xludf.DUMMYFUNCTION("IFERROR(ABS(O2626-AVERAGE(FILTER(O2626:O6694,AA2626:AA6694=""Neighbor""))) / STDEV(FILTER(O2626:O6694, AA2626:AA6694 =""Neighbor"")), """")"),0.6740495172133394)</f>
        <v>0.6740495172</v>
      </c>
      <c r="AD2626" s="4">
        <f>IFERROR(__xludf.DUMMYFUNCTION("IFERROR(ABS(P2626-AVERAGE(FILTER(O2626:P6694,AA2626:AA6694=""Neighbor""))) / STDEV(FILTER(P2626:P6694, AA2626:AA6694 =""Neighbor"")), """")"),1.1201253417442691)</f>
        <v>1.120125342</v>
      </c>
      <c r="AE2626" s="2">
        <f>IFERROR(__xludf.DUMMYFUNCTION("IFERROR(ABS(Q2626-AVERAGE(FILTER(Q2626:Q6694,AA2626:AA6694=""Neighbor""))) / STDEV(FILTER(Q2626:Q6694, AA2626:AA6694 =""Neighbor"")), """")"),0.22428737835568552)</f>
        <v>0.2242873784</v>
      </c>
      <c r="AF2626" s="2">
        <f>IFERROR(__xludf.DUMMYFUNCTION("IFERROR(ABS(R2626-AVERAGE(FILTER(R2626:R6694,AA2626:AA6694=""Neighbor""))) / STDEV(FILTER(R2626:R6694, AA2626:AA6694 =""Neighbor"")), """")"),0.7898581317649569)</f>
        <v>0.7898581318</v>
      </c>
    </row>
    <row r="2627">
      <c r="A2627" s="2" t="s">
        <v>28</v>
      </c>
      <c r="B2627" s="2" t="s">
        <v>29</v>
      </c>
      <c r="C2627" s="2" t="s">
        <v>30</v>
      </c>
      <c r="D2627" s="2" t="s">
        <v>10764</v>
      </c>
      <c r="E2627" s="2" t="s">
        <v>10765</v>
      </c>
      <c r="F2627" s="2">
        <v>69.0</v>
      </c>
      <c r="G2627" s="2">
        <v>132.0</v>
      </c>
      <c r="H2627" s="2" t="b">
        <v>1</v>
      </c>
      <c r="I2627" s="2">
        <v>-1.0</v>
      </c>
      <c r="J2627" s="2" t="b">
        <v>0</v>
      </c>
      <c r="K2627" s="2" t="b">
        <v>0</v>
      </c>
      <c r="L2627" s="2" t="b">
        <v>0</v>
      </c>
      <c r="M2627" s="2" t="b">
        <v>0</v>
      </c>
      <c r="N2627" s="2" t="s">
        <v>33</v>
      </c>
      <c r="O2627" s="2">
        <v>46.0</v>
      </c>
      <c r="P2627" s="2">
        <v>2.0</v>
      </c>
      <c r="Q2627" s="2">
        <v>7.0</v>
      </c>
      <c r="R2627" s="2">
        <v>0.0</v>
      </c>
      <c r="S2627" s="3" t="s">
        <v>10766</v>
      </c>
      <c r="T2627" s="2" t="s">
        <v>10767</v>
      </c>
      <c r="Y2627" s="4" t="str">
        <f>IFERROR(__xludf.DUMMYFUNCTION("""COMPUTED_VALUE"""),"7.1301138")</f>
        <v>7.1301138</v>
      </c>
      <c r="Z2627" s="4" t="str">
        <f>IFERROR(__xludf.DUMMYFUNCTION("""COMPUTED_VALUE"""),"3.2029187")</f>
        <v>3.2029187</v>
      </c>
      <c r="AA2627" s="4" t="str">
        <f t="shared" si="1"/>
        <v>Not Neighbor</v>
      </c>
      <c r="AC2627" s="4">
        <f>IFERROR(__xludf.DUMMYFUNCTION("IFERROR(ABS(O2627-AVERAGE(FILTER(O2627:O6695,AA2627:AA6695=""Neighbor""))) / STDEV(FILTER(O2627:O6695, AA2627:AA6695 =""Neighbor"")), """")"),0.03919883412365806)</f>
        <v>0.03919883412</v>
      </c>
      <c r="AD2627" s="4">
        <f>IFERROR(__xludf.DUMMYFUNCTION("IFERROR(ABS(P2627-AVERAGE(FILTER(O2627:P6695,AA2627:AA6695=""Neighbor""))) / STDEV(FILTER(P2627:P6695, AA2627:AA6695 =""Neighbor"")), """")"),1.2872288917073884)</f>
        <v>1.287228892</v>
      </c>
      <c r="AE2627" s="2">
        <f>IFERROR(__xludf.DUMMYFUNCTION("IFERROR(ABS(Q2627-AVERAGE(FILTER(Q2627:Q6695,AA2627:AA6695=""Neighbor""))) / STDEV(FILTER(Q2627:Q6695, AA2627:AA6695 =""Neighbor"")), """")"),0.44660732356790006)</f>
        <v>0.4466073236</v>
      </c>
      <c r="AF2627" s="2">
        <f>IFERROR(__xludf.DUMMYFUNCTION("IFERROR(ABS(R2627-AVERAGE(FILTER(R2627:R6695,AA2627:AA6695=""Neighbor""))) / STDEV(FILTER(R2627:R6695, AA2627:AA6695 =""Neighbor"")), """")"),0.334480739471895)</f>
        <v>0.3344807395</v>
      </c>
    </row>
    <row r="2628">
      <c r="A2628" s="2" t="s">
        <v>28</v>
      </c>
      <c r="B2628" s="2" t="s">
        <v>29</v>
      </c>
      <c r="C2628" s="2" t="s">
        <v>30</v>
      </c>
      <c r="D2628" s="2" t="s">
        <v>10768</v>
      </c>
      <c r="E2628" s="2" t="s">
        <v>10769</v>
      </c>
      <c r="F2628" s="2">
        <v>97.0</v>
      </c>
      <c r="G2628" s="2">
        <v>136.0</v>
      </c>
      <c r="H2628" s="2" t="b">
        <v>1</v>
      </c>
      <c r="I2628" s="2">
        <v>-1.0</v>
      </c>
      <c r="J2628" s="2" t="b">
        <v>0</v>
      </c>
      <c r="K2628" s="2" t="b">
        <v>0</v>
      </c>
      <c r="L2628" s="2" t="b">
        <v>0</v>
      </c>
      <c r="M2628" s="2" t="b">
        <v>0</v>
      </c>
      <c r="N2628" s="2" t="s">
        <v>33</v>
      </c>
      <c r="O2628" s="2">
        <v>58.0</v>
      </c>
      <c r="P2628" s="2">
        <v>1.0</v>
      </c>
      <c r="Q2628" s="2">
        <v>23.0</v>
      </c>
      <c r="R2628" s="2">
        <v>0.0</v>
      </c>
      <c r="S2628" s="3" t="s">
        <v>10770</v>
      </c>
      <c r="T2628" s="2" t="s">
        <v>10771</v>
      </c>
      <c r="Y2628" s="4" t="str">
        <f>IFERROR(__xludf.DUMMYFUNCTION("""COMPUTED_VALUE"""),"7.1730027")</f>
        <v>7.1730027</v>
      </c>
      <c r="Z2628" s="4" t="str">
        <f>IFERROR(__xludf.DUMMYFUNCTION("""COMPUTED_VALUE"""),"3.3423048")</f>
        <v>3.3423048</v>
      </c>
      <c r="AA2628" s="4" t="str">
        <f t="shared" si="1"/>
        <v>Neighbor</v>
      </c>
      <c r="AC2628" s="4">
        <f>IFERROR(__xludf.DUMMYFUNCTION("IFERROR(ABS(O2628-AVERAGE(FILTER(O2628:O6696,AA2628:AA6696=""Neighbor""))) / STDEV(FILTER(O2628:O6696, AA2628:AA6696 =""Neighbor"")), """")"),0.3174253415448407)</f>
        <v>0.3174253415</v>
      </c>
      <c r="AD2628" s="4">
        <f>IFERROR(__xludf.DUMMYFUNCTION("IFERROR(ABS(P2628-AVERAGE(FILTER(O2628:P6696,AA2628:AA6696=""Neighbor""))) / STDEV(FILTER(P2628:P6696, AA2628:AA6696 =""Neighbor"")), """")"),1.3290047791981683)</f>
        <v>1.329004779</v>
      </c>
      <c r="AE2628" s="2">
        <f>IFERROR(__xludf.DUMMYFUNCTION("IFERROR(ABS(Q2628-AVERAGE(FILTER(Q2628:Q6696,AA2628:AA6696=""Neighbor""))) / STDEV(FILTER(Q2628:Q6696, AA2628:AA6696 =""Neighbor"")), """")"),0.529239515593679)</f>
        <v>0.5292395156</v>
      </c>
      <c r="AF2628" s="2">
        <f>IFERROR(__xludf.DUMMYFUNCTION("IFERROR(ABS(R2628-AVERAGE(FILTER(R2628:R6696,AA2628:AA6696=""Neighbor""))) / STDEV(FILTER(R2628:R6696, AA2628:AA6696 =""Neighbor"")), """")"),0.334480739471895)</f>
        <v>0.3344807395</v>
      </c>
    </row>
    <row r="2629">
      <c r="A2629" s="2" t="s">
        <v>28</v>
      </c>
      <c r="B2629" s="2" t="s">
        <v>29</v>
      </c>
      <c r="C2629" s="2" t="s">
        <v>30</v>
      </c>
      <c r="D2629" s="2" t="s">
        <v>10772</v>
      </c>
      <c r="E2629" s="2" t="s">
        <v>10769</v>
      </c>
      <c r="F2629" s="2">
        <v>97.0</v>
      </c>
      <c r="G2629" s="2">
        <v>136.0</v>
      </c>
      <c r="H2629" s="2" t="b">
        <v>1</v>
      </c>
      <c r="I2629" s="2">
        <v>-1.0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s">
        <v>33</v>
      </c>
      <c r="O2629" s="2">
        <v>50.0</v>
      </c>
      <c r="P2629" s="2">
        <v>2.0</v>
      </c>
      <c r="Q2629" s="2">
        <v>21.0</v>
      </c>
      <c r="R2629" s="2">
        <v>0.0</v>
      </c>
      <c r="S2629" s="3" t="s">
        <v>10770</v>
      </c>
      <c r="T2629" s="2" t="s">
        <v>10771</v>
      </c>
      <c r="Y2629" s="4" t="str">
        <f>IFERROR(__xludf.DUMMYFUNCTION("""COMPUTED_VALUE"""),"7.1730027")</f>
        <v>7.1730027</v>
      </c>
      <c r="Z2629" s="4" t="str">
        <f>IFERROR(__xludf.DUMMYFUNCTION("""COMPUTED_VALUE"""),"3.3423048")</f>
        <v>3.3423048</v>
      </c>
      <c r="AA2629" s="4" t="str">
        <f t="shared" si="1"/>
        <v>Neighbor</v>
      </c>
      <c r="AC2629" s="4">
        <f>IFERROR(__xludf.DUMMYFUNCTION("IFERROR(ABS(O2629-AVERAGE(FILTER(O2629:O6697,AA2629:AA6697=""Neighbor""))) / STDEV(FILTER(O2629:O6697, AA2629:AA6697 =""Neighbor"")), """")"),0.08018097428804505)</f>
        <v>0.08018097429</v>
      </c>
      <c r="AD2629" s="4">
        <f>IFERROR(__xludf.DUMMYFUNCTION("IFERROR(ABS(P2629-AVERAGE(FILTER(O2629:P6697,AA2629:AA6697=""Neighbor""))) / STDEV(FILTER(P2629:P6697, AA2629:AA6697 =""Neighbor"")), """")"),1.286926193212628)</f>
        <v>1.286926193</v>
      </c>
      <c r="AE2629" s="2">
        <f>IFERROR(__xludf.DUMMYFUNCTION("IFERROR(ABS(Q2629-AVERAGE(FILTER(Q2629:Q6697,AA2629:AA6697=""Neighbor""))) / STDEV(FILTER(Q2629:Q6697, AA2629:AA6697 =""Neighbor"")), """")"),0.4079449888143298)</f>
        <v>0.4079449888</v>
      </c>
      <c r="AF2629" s="2">
        <f>IFERROR(__xludf.DUMMYFUNCTION("IFERROR(ABS(R2629-AVERAGE(FILTER(R2629:R6697,AA2629:AA6697=""Neighbor""))) / STDEV(FILTER(R2629:R6697, AA2629:AA6697 =""Neighbor"")), """")"),0.33481400423937785)</f>
        <v>0.3348140042</v>
      </c>
    </row>
    <row r="2630">
      <c r="A2630" s="2" t="s">
        <v>28</v>
      </c>
      <c r="B2630" s="2" t="s">
        <v>29</v>
      </c>
      <c r="C2630" s="2" t="s">
        <v>81</v>
      </c>
      <c r="D2630" s="2" t="s">
        <v>10773</v>
      </c>
      <c r="E2630" s="2" t="s">
        <v>10774</v>
      </c>
      <c r="F2630" s="2">
        <v>96.0</v>
      </c>
      <c r="G2630" s="2">
        <v>152.0</v>
      </c>
      <c r="H2630" s="2" t="b">
        <v>1</v>
      </c>
      <c r="I2630" s="2">
        <v>-1.0</v>
      </c>
      <c r="J2630" s="2" t="b">
        <v>0</v>
      </c>
      <c r="K2630" s="2" t="b">
        <v>0</v>
      </c>
      <c r="L2630" s="2" t="b">
        <v>0</v>
      </c>
      <c r="M2630" s="2" t="b">
        <v>0</v>
      </c>
      <c r="N2630" s="2" t="s">
        <v>33</v>
      </c>
      <c r="O2630" s="2">
        <v>47.0</v>
      </c>
      <c r="P2630" s="2">
        <v>3.0</v>
      </c>
      <c r="Q2630" s="2">
        <v>18.0</v>
      </c>
      <c r="R2630" s="2">
        <v>0.0</v>
      </c>
      <c r="S2630" s="3" t="s">
        <v>10775</v>
      </c>
      <c r="T2630" s="2" t="s">
        <v>10776</v>
      </c>
      <c r="Y2630" s="4" t="str">
        <f>IFERROR(__xludf.DUMMYFUNCTION("""COMPUTED_VALUE"""),"7.1676253")</f>
        <v>7.1676253</v>
      </c>
      <c r="Z2630" s="4" t="str">
        <f>IFERROR(__xludf.DUMMYFUNCTION("""COMPUTED_VALUE"""),"3.3407807")</f>
        <v>3.3407807</v>
      </c>
      <c r="AA2630" s="4" t="str">
        <f t="shared" si="1"/>
        <v>Neighbor</v>
      </c>
      <c r="AC2630" s="4">
        <f>IFERROR(__xludf.DUMMYFUNCTION("IFERROR(ABS(O2630-AVERAGE(FILTER(O2630:O6698,AA2630:AA6698=""Neighbor""))) / STDEV(FILTER(O2630:O6698, AA2630:AA6698 =""Neighbor"")), """")"),0.008751033686886933)</f>
        <v>0.008751033687</v>
      </c>
      <c r="AD2630" s="4">
        <f>IFERROR(__xludf.DUMMYFUNCTION("IFERROR(ABS(P2630-AVERAGE(FILTER(O2630:P6698,AA2630:AA6698=""Neighbor""))) / STDEV(FILTER(P2630:P6698, AA2630:AA6698 =""Neighbor"")), """")"),1.2450817564872934)</f>
        <v>1.245081756</v>
      </c>
      <c r="AE2630" s="2">
        <f>IFERROR(__xludf.DUMMYFUNCTION("IFERROR(ABS(Q2630-AVERAGE(FILTER(Q2630:Q6698,AA2630:AA6698=""Neighbor""))) / STDEV(FILTER(Q2630:Q6698, AA2630:AA6698 =""Neighbor"")), """")"),0.22565634045537167)</f>
        <v>0.2256563405</v>
      </c>
      <c r="AF2630" s="2">
        <f>IFERROR(__xludf.DUMMYFUNCTION("IFERROR(ABS(R2630-AVERAGE(FILTER(R2630:R6698,AA2630:AA6698=""Neighbor""))) / STDEV(FILTER(R2630:R6698, AA2630:AA6698 =""Neighbor"")), """")"),0.3351482673708421)</f>
        <v>0.3351482674</v>
      </c>
    </row>
    <row r="2631">
      <c r="A2631" s="2" t="s">
        <v>28</v>
      </c>
      <c r="B2631" s="2" t="s">
        <v>29</v>
      </c>
      <c r="C2631" s="2" t="s">
        <v>81</v>
      </c>
      <c r="D2631" s="2" t="s">
        <v>10777</v>
      </c>
      <c r="E2631" s="2" t="s">
        <v>10778</v>
      </c>
      <c r="F2631" s="2">
        <v>132.0</v>
      </c>
      <c r="G2631" s="2">
        <v>412.0</v>
      </c>
      <c r="H2631" s="2" t="b">
        <v>1</v>
      </c>
      <c r="I2631" s="2">
        <v>-1.0</v>
      </c>
      <c r="J2631" s="2" t="b">
        <v>0</v>
      </c>
      <c r="K2631" s="2" t="b">
        <v>1</v>
      </c>
      <c r="L2631" s="2" t="b">
        <v>0</v>
      </c>
      <c r="M2631" s="2" t="b">
        <v>0</v>
      </c>
      <c r="N2631" s="2" t="s">
        <v>33</v>
      </c>
      <c r="O2631" s="2">
        <v>81.0</v>
      </c>
      <c r="P2631" s="2">
        <v>4.0</v>
      </c>
      <c r="Q2631" s="2">
        <v>24.0</v>
      </c>
      <c r="R2631" s="2">
        <v>0.0</v>
      </c>
      <c r="S2631" s="3" t="s">
        <v>10779</v>
      </c>
      <c r="T2631" s="2" t="s">
        <v>10780</v>
      </c>
      <c r="Y2631" s="4" t="str">
        <f>IFERROR(__xludf.DUMMYFUNCTION("""COMPUTED_VALUE"""),"7.1676253")</f>
        <v>7.1676253</v>
      </c>
      <c r="Z2631" s="4" t="str">
        <f>IFERROR(__xludf.DUMMYFUNCTION("""COMPUTED_VALUE"""),"3.3407807")</f>
        <v>3.3407807</v>
      </c>
      <c r="AA2631" s="4" t="str">
        <f t="shared" si="1"/>
        <v>Not Neighbor</v>
      </c>
      <c r="AC2631" s="4">
        <f>IFERROR(__xludf.DUMMYFUNCTION("IFERROR(ABS(O2631-AVERAGE(FILTER(O2631:O6699,AA2631:AA6699=""Neighbor""))) / STDEV(FILTER(O2631:O6699, AA2631:AA6699 =""Neighbor"")), """")"),0.9990487181006227)</f>
        <v>0.9990487181</v>
      </c>
      <c r="AD2631" s="4">
        <f>IFERROR(__xludf.DUMMYFUNCTION("IFERROR(ABS(P2631-AVERAGE(FILTER(O2631:P6699,AA2631:AA6699=""Neighbor""))) / STDEV(FILTER(P2631:P6699, AA2631:AA6699 =""Neighbor"")), """")"),1.2032944521386155)</f>
        <v>1.203294452</v>
      </c>
      <c r="AE2631" s="2">
        <f>IFERROR(__xludf.DUMMYFUNCTION("IFERROR(ABS(Q2631-AVERAGE(FILTER(Q2631:Q6699,AA2631:AA6699=""Neighbor""))) / STDEV(FILTER(Q2631:Q6699, AA2631:AA6699 =""Neighbor"")), """")"),0.5909887921300646)</f>
        <v>0.5909887921</v>
      </c>
      <c r="AF2631" s="2">
        <f>IFERROR(__xludf.DUMMYFUNCTION("IFERROR(ABS(R2631-AVERAGE(FILTER(R2631:R6699,AA2631:AA6699=""Neighbor""))) / STDEV(FILTER(R2631:R6699, AA2631:AA6699 =""Neighbor"")), """")"),0.335483533861895)</f>
        <v>0.3354835339</v>
      </c>
    </row>
    <row r="2632">
      <c r="A2632" s="2" t="s">
        <v>28</v>
      </c>
      <c r="B2632" s="2" t="s">
        <v>29</v>
      </c>
      <c r="C2632" s="2" t="s">
        <v>81</v>
      </c>
      <c r="D2632" s="2" t="s">
        <v>10781</v>
      </c>
      <c r="E2632" s="2" t="s">
        <v>10782</v>
      </c>
      <c r="F2632" s="2">
        <v>80.0</v>
      </c>
      <c r="G2632" s="2">
        <v>123.0</v>
      </c>
      <c r="H2632" s="2" t="b">
        <v>1</v>
      </c>
      <c r="I2632" s="2">
        <v>-1.0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s">
        <v>33</v>
      </c>
      <c r="O2632" s="2">
        <v>49.0</v>
      </c>
      <c r="P2632" s="2">
        <v>13.0</v>
      </c>
      <c r="Q2632" s="2">
        <v>4.0</v>
      </c>
      <c r="R2632" s="2">
        <v>0.0</v>
      </c>
      <c r="S2632" s="3" t="s">
        <v>10783</v>
      </c>
      <c r="T2632" s="2" t="s">
        <v>10784</v>
      </c>
      <c r="Y2632" s="4" t="str">
        <f>IFERROR(__xludf.DUMMYFUNCTION("""COMPUTED_VALUE"""),"7.1851548")</f>
        <v>7.1851548</v>
      </c>
      <c r="Z2632" s="4" t="str">
        <f>IFERROR(__xludf.DUMMYFUNCTION("""COMPUTED_VALUE"""),"3.3344843")</f>
        <v>3.3344843</v>
      </c>
      <c r="AA2632" s="4" t="str">
        <f t="shared" si="1"/>
        <v>Neighbor</v>
      </c>
      <c r="AC2632" s="4">
        <f>IFERROR(__xludf.DUMMYFUNCTION("IFERROR(ABS(O2632-AVERAGE(FILTER(O2632:O6700,AA2632:AA6700=""Neighbor""))) / STDEV(FILTER(O2632:O6700, AA2632:AA6700 =""Neighbor"")), """")"),0.05052390074431678)</f>
        <v>0.05052390074</v>
      </c>
      <c r="AD2632" s="4">
        <f>IFERROR(__xludf.DUMMYFUNCTION("IFERROR(ABS(P2632-AVERAGE(FILTER(O2632:P6700,AA2632:AA6700=""Neighbor""))) / STDEV(FILTER(P2632:P6700, AA2632:AA6700 =""Neighbor"")), """")"),0.8278521516556132)</f>
        <v>0.8278521517</v>
      </c>
      <c r="AE2632" s="2">
        <f>IFERROR(__xludf.DUMMYFUNCTION("IFERROR(ABS(Q2632-AVERAGE(FILTER(Q2632:Q6700,AA2632:AA6700=""Neighbor""))) / STDEV(FILTER(Q2632:Q6700, AA2632:AA6700 =""Neighbor"")), """")"),0.6260753252435379)</f>
        <v>0.6260753252</v>
      </c>
      <c r="AF2632" s="2">
        <f>IFERROR(__xludf.DUMMYFUNCTION("IFERROR(ABS(R2632-AVERAGE(FILTER(R2632:R6700,AA2632:AA6700=""Neighbor""))) / STDEV(FILTER(R2632:R6700, AA2632:AA6700 =""Neighbor"")), """")"),0.335483533861895)</f>
        <v>0.3354835339</v>
      </c>
    </row>
    <row r="2633">
      <c r="A2633" s="2" t="s">
        <v>28</v>
      </c>
      <c r="B2633" s="2" t="s">
        <v>29</v>
      </c>
      <c r="C2633" s="2" t="s">
        <v>81</v>
      </c>
      <c r="D2633" s="2" t="s">
        <v>10785</v>
      </c>
      <c r="E2633" s="2" t="s">
        <v>10786</v>
      </c>
      <c r="F2633" s="2">
        <v>43.0</v>
      </c>
      <c r="G2633" s="2">
        <v>64.0</v>
      </c>
      <c r="H2633" s="2" t="b">
        <v>1</v>
      </c>
      <c r="I2633" s="2">
        <v>-1.0</v>
      </c>
      <c r="J2633" s="2" t="b">
        <v>0</v>
      </c>
      <c r="K2633" s="2" t="b">
        <v>0</v>
      </c>
      <c r="L2633" s="2" t="b">
        <v>0</v>
      </c>
      <c r="M2633" s="2" t="b">
        <v>0</v>
      </c>
      <c r="N2633" s="2" t="s">
        <v>33</v>
      </c>
      <c r="O2633" s="2">
        <v>32.0</v>
      </c>
      <c r="P2633" s="2">
        <v>1.0</v>
      </c>
      <c r="Q2633" s="2">
        <v>8.0</v>
      </c>
      <c r="R2633" s="2">
        <v>0.0</v>
      </c>
      <c r="S2633" s="3" t="s">
        <v>10787</v>
      </c>
      <c r="T2633" s="2" t="s">
        <v>10788</v>
      </c>
      <c r="Y2633" s="4" t="str">
        <f>IFERROR(__xludf.DUMMYFUNCTION("""COMPUTED_VALUE"""),"7.1851548")</f>
        <v>7.1851548</v>
      </c>
      <c r="Z2633" s="4" t="str">
        <f>IFERROR(__xludf.DUMMYFUNCTION("""COMPUTED_VALUE"""),"3.3344843")</f>
        <v>3.3344843</v>
      </c>
      <c r="AA2633" s="4" t="str">
        <f t="shared" si="1"/>
        <v>Not Neighbor</v>
      </c>
      <c r="AC2633" s="4">
        <f>IFERROR(__xludf.DUMMYFUNCTION("IFERROR(ABS(O2633-AVERAGE(FILTER(O2633:O6701,AA2633:AA6701=""Neighbor""))) / STDEV(FILTER(O2633:O6701, AA2633:AA6701 =""Neighbor"")), """")"),0.45288046523696235)</f>
        <v>0.4528804652</v>
      </c>
      <c r="AD2633" s="4">
        <f>IFERROR(__xludf.DUMMYFUNCTION("IFERROR(ABS(P2633-AVERAGE(FILTER(O2633:P6701,AA2633:AA6701=""Neighbor""))) / STDEV(FILTER(P2633:P6701, AA2633:AA6701 =""Neighbor"")), """")"),1.3274419782965625)</f>
        <v>1.327441978</v>
      </c>
      <c r="AE2633" s="2">
        <f>IFERROR(__xludf.DUMMYFUNCTION("IFERROR(ABS(Q2633-AVERAGE(FILTER(Q2633:Q6701,AA2633:AA6701=""Neighbor""))) / STDEV(FILTER(Q2633:Q6701, AA2633:AA6701 =""Neighbor"")), """")"),0.3835820284507652)</f>
        <v>0.3835820285</v>
      </c>
      <c r="AF2633" s="2">
        <f>IFERROR(__xludf.DUMMYFUNCTION("IFERROR(ABS(R2633-AVERAGE(FILTER(R2633:R6701,AA2633:AA6701=""Neighbor""))) / STDEV(FILTER(R2633:R6701, AA2633:AA6701 =""Neighbor"")), """")"),0.3358198087432155)</f>
        <v>0.3358198087</v>
      </c>
    </row>
    <row r="2634">
      <c r="A2634" s="2" t="s">
        <v>28</v>
      </c>
      <c r="B2634" s="2" t="s">
        <v>29</v>
      </c>
      <c r="C2634" s="2" t="s">
        <v>179</v>
      </c>
      <c r="D2634" s="2" t="s">
        <v>10789</v>
      </c>
      <c r="E2634" s="2" t="s">
        <v>10790</v>
      </c>
      <c r="F2634" s="2">
        <v>42.0</v>
      </c>
      <c r="G2634" s="2">
        <v>88.0</v>
      </c>
      <c r="H2634" s="2" t="b">
        <v>1</v>
      </c>
      <c r="I2634" s="2">
        <v>-1.0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s">
        <v>33</v>
      </c>
      <c r="O2634" s="2">
        <v>36.0</v>
      </c>
      <c r="P2634" s="2">
        <v>0.0</v>
      </c>
      <c r="Q2634" s="2">
        <v>3.0</v>
      </c>
      <c r="R2634" s="2">
        <v>0.0</v>
      </c>
      <c r="S2634" s="3" t="s">
        <v>10791</v>
      </c>
      <c r="T2634" s="2" t="s">
        <v>10792</v>
      </c>
      <c r="Y2634" s="4" t="str">
        <f>IFERROR(__xludf.DUMMYFUNCTION("""COMPUTED_VALUE"""),"7.1766772")</f>
        <v>7.1766772</v>
      </c>
      <c r="Z2634" s="4" t="str">
        <f>IFERROR(__xludf.DUMMYFUNCTION("""COMPUTED_VALUE"""),"3.3486208")</f>
        <v>3.3486208</v>
      </c>
      <c r="AA2634" s="4" t="str">
        <f t="shared" si="1"/>
        <v>Neighbor</v>
      </c>
      <c r="AC2634" s="4">
        <f>IFERROR(__xludf.DUMMYFUNCTION("IFERROR(ABS(O2634-AVERAGE(FILTER(O2634:O6702,AA2634:AA6702=""Neighbor""))) / STDEV(FILTER(O2634:O6702, AA2634:AA6702 =""Neighbor"")), """")"),0.3344216466622328)</f>
        <v>0.3344216467</v>
      </c>
      <c r="AD2634" s="4">
        <f>IFERROR(__xludf.DUMMYFUNCTION("IFERROR(ABS(P2634-AVERAGE(FILTER(O2634:P6702,AA2634:AA6702=""Neighbor""))) / STDEV(FILTER(P2634:P6702, AA2634:AA6702 =""Neighbor"")), """")"),1.3691220313444141)</f>
        <v>1.369122031</v>
      </c>
      <c r="AE2634" s="2">
        <f>IFERROR(__xludf.DUMMYFUNCTION("IFERROR(ABS(Q2634-AVERAGE(FILTER(Q2634:Q6702,AA2634:AA6702=""Neighbor""))) / STDEV(FILTER(Q2634:Q6702, AA2634:AA6702 =""Neighbor"")), """")"),0.687681117978132)</f>
        <v>0.687681118</v>
      </c>
      <c r="AF2634" s="2">
        <f>IFERROR(__xludf.DUMMYFUNCTION("IFERROR(ABS(R2634-AVERAGE(FILTER(R2634:R6702,AA2634:AA6702=""Neighbor""))) / STDEV(FILTER(R2634:R6702, AA2634:AA6702 =""Neighbor"")), """")"),0.3358198087432155)</f>
        <v>0.3358198087</v>
      </c>
    </row>
    <row r="2635">
      <c r="A2635" s="2" t="s">
        <v>28</v>
      </c>
      <c r="B2635" s="2" t="s">
        <v>29</v>
      </c>
      <c r="C2635" s="2" t="s">
        <v>179</v>
      </c>
      <c r="D2635" s="2" t="s">
        <v>10793</v>
      </c>
      <c r="E2635" s="2" t="s">
        <v>10794</v>
      </c>
      <c r="F2635" s="2">
        <v>39.0</v>
      </c>
      <c r="G2635" s="2">
        <v>91.0</v>
      </c>
      <c r="H2635" s="2" t="b">
        <v>1</v>
      </c>
      <c r="I2635" s="2">
        <v>-1.0</v>
      </c>
      <c r="J2635" s="2" t="b">
        <v>0</v>
      </c>
      <c r="K2635" s="2" t="b">
        <v>1</v>
      </c>
      <c r="L2635" s="2" t="b">
        <v>0</v>
      </c>
      <c r="M2635" s="2" t="b">
        <v>0</v>
      </c>
      <c r="N2635" s="2" t="s">
        <v>33</v>
      </c>
      <c r="O2635" s="2">
        <v>27.0</v>
      </c>
      <c r="P2635" s="2">
        <v>0.0</v>
      </c>
      <c r="Q2635" s="2">
        <v>9.0</v>
      </c>
      <c r="R2635" s="2">
        <v>0.0</v>
      </c>
      <c r="S2635" s="3" t="s">
        <v>10795</v>
      </c>
      <c r="T2635" s="2" t="s">
        <v>10796</v>
      </c>
      <c r="Y2635" s="4" t="str">
        <f>IFERROR(__xludf.DUMMYFUNCTION("""COMPUTED_VALUE"""),"7.1763348")</f>
        <v>7.1763348</v>
      </c>
      <c r="Z2635" s="4" t="str">
        <f>IFERROR(__xludf.DUMMYFUNCTION("""COMPUTED_VALUE"""),"3.3451886")</f>
        <v>3.3451886</v>
      </c>
      <c r="AA2635" s="4" t="str">
        <f t="shared" si="1"/>
        <v>Neighbor</v>
      </c>
      <c r="AC2635" s="4">
        <f>IFERROR(__xludf.DUMMYFUNCTION("IFERROR(ABS(O2635-AVERAGE(FILTER(O2635:O6703,AA2635:AA6703=""Neighbor""))) / STDEV(FILTER(O2635:O6703, AA2635:AA6703 =""Neighbor"")), """")"),0.6010754715643712)</f>
        <v>0.6010754716</v>
      </c>
      <c r="AD2635" s="4">
        <f>IFERROR(__xludf.DUMMYFUNCTION("IFERROR(ABS(P2635-AVERAGE(FILTER(O2635:P6703,AA2635:AA6703=""Neighbor""))) / STDEV(FILTER(P2635:P6703, AA2635:AA6703 =""Neighbor"")), """")"),1.369731948665289)</f>
        <v>1.369731949</v>
      </c>
      <c r="AE2635" s="2">
        <f>IFERROR(__xludf.DUMMYFUNCTION("IFERROR(ABS(Q2635-AVERAGE(FILTER(Q2635:Q6703,AA2635:AA6703=""Neighbor""))) / STDEV(FILTER(Q2635:Q6703, AA2635:AA6703 =""Neighbor"")), """")"),0.32385142460720157)</f>
        <v>0.3238514246</v>
      </c>
      <c r="AF2635" s="2">
        <f>IFERROR(__xludf.DUMMYFUNCTION("IFERROR(ABS(R2635-AVERAGE(FILTER(R2635:R6703,AA2635:AA6703=""Neighbor""))) / STDEV(FILTER(R2635:R6703, AA2635:AA6703 =""Neighbor"")), """")"),0.336157097080872)</f>
        <v>0.3361570971</v>
      </c>
    </row>
    <row r="2636">
      <c r="A2636" s="2" t="s">
        <v>28</v>
      </c>
      <c r="B2636" s="2" t="s">
        <v>29</v>
      </c>
      <c r="C2636" s="2" t="s">
        <v>179</v>
      </c>
      <c r="D2636" s="2" t="s">
        <v>10797</v>
      </c>
      <c r="E2636" s="2" t="s">
        <v>10798</v>
      </c>
      <c r="F2636" s="2">
        <v>43.0</v>
      </c>
      <c r="G2636" s="2">
        <v>76.0</v>
      </c>
      <c r="H2636" s="2" t="b">
        <v>1</v>
      </c>
      <c r="I2636" s="2">
        <v>-1.0</v>
      </c>
      <c r="J2636" s="2" t="b">
        <v>0</v>
      </c>
      <c r="K2636" s="2" t="b">
        <v>0</v>
      </c>
      <c r="L2636" s="2" t="b">
        <v>0</v>
      </c>
      <c r="M2636" s="2" t="b">
        <v>0</v>
      </c>
      <c r="N2636" s="2" t="s">
        <v>33</v>
      </c>
      <c r="O2636" s="2">
        <v>27.0</v>
      </c>
      <c r="P2636" s="2">
        <v>2.0</v>
      </c>
      <c r="Q2636" s="2">
        <v>14.0</v>
      </c>
      <c r="R2636" s="2">
        <v>0.0</v>
      </c>
      <c r="S2636" s="3" t="s">
        <v>10799</v>
      </c>
      <c r="T2636" s="2" t="s">
        <v>10800</v>
      </c>
      <c r="Y2636" s="4" t="str">
        <f>IFERROR(__xludf.DUMMYFUNCTION("""COMPUTED_VALUE"""),"7.1763348")</f>
        <v>7.1763348</v>
      </c>
      <c r="Z2636" s="4" t="str">
        <f>IFERROR(__xludf.DUMMYFUNCTION("""COMPUTED_VALUE"""),"3.3451886")</f>
        <v>3.3451886</v>
      </c>
      <c r="AA2636" s="4" t="str">
        <f t="shared" si="1"/>
        <v>Not Neighbor</v>
      </c>
      <c r="AC2636" s="4">
        <f>IFERROR(__xludf.DUMMYFUNCTION("IFERROR(ABS(O2636-AVERAGE(FILTER(O2636:O6704,AA2636:AA6704=""Neighbor""))) / STDEV(FILTER(O2636:O6704, AA2636:AA6704 =""Neighbor"")), """")"),0.6018160280545265)</f>
        <v>0.6018160281</v>
      </c>
      <c r="AD2636" s="4">
        <f>IFERROR(__xludf.DUMMYFUNCTION("IFERROR(ABS(P2636-AVERAGE(FILTER(O2636:P6704,AA2636:AA6704=""Neighbor""))) / STDEV(FILTER(P2636:P6704, AA2636:AA6704 =""Neighbor"")), """")"),1.2873877577880697)</f>
        <v>1.287387758</v>
      </c>
      <c r="AE2636" s="2">
        <f>IFERROR(__xludf.DUMMYFUNCTION("IFERROR(ABS(Q2636-AVERAGE(FILTER(Q2636:Q6704,AA2636:AA6704=""Neighbor""))) / STDEV(FILTER(Q2636:Q6704, AA2636:AA6704 =""Neighbor"")), """")"),0.020467258006523558)</f>
        <v>0.02046725801</v>
      </c>
      <c r="AF2636" s="2">
        <f>IFERROR(__xludf.DUMMYFUNCTION("IFERROR(ABS(R2636-AVERAGE(FILTER(R2636:R6704,AA2636:AA6704=""Neighbor""))) / STDEV(FILTER(R2636:R6704, AA2636:AA6704 =""Neighbor"")), """")"),0.3364954039766424)</f>
        <v>0.336495404</v>
      </c>
    </row>
    <row r="2637">
      <c r="A2637" s="2" t="s">
        <v>28</v>
      </c>
      <c r="B2637" s="2" t="s">
        <v>29</v>
      </c>
      <c r="C2637" s="2" t="s">
        <v>179</v>
      </c>
      <c r="D2637" s="2" t="s">
        <v>10801</v>
      </c>
      <c r="E2637" s="2" t="s">
        <v>10802</v>
      </c>
      <c r="F2637" s="2">
        <v>57.0</v>
      </c>
      <c r="G2637" s="2">
        <v>103.0</v>
      </c>
      <c r="H2637" s="2" t="b">
        <v>1</v>
      </c>
      <c r="I2637" s="2">
        <v>-1.0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s">
        <v>33</v>
      </c>
      <c r="O2637" s="2">
        <v>46.0</v>
      </c>
      <c r="P2637" s="2">
        <v>2.0</v>
      </c>
      <c r="Q2637" s="2">
        <v>1.0</v>
      </c>
      <c r="R2637" s="2">
        <v>0.0</v>
      </c>
      <c r="S2637" s="3" t="s">
        <v>10803</v>
      </c>
      <c r="T2637" s="2" t="s">
        <v>10804</v>
      </c>
      <c r="Y2637" s="4" t="str">
        <f>IFERROR(__xludf.DUMMYFUNCTION("""COMPUTED_VALUE"""),"7.204739")</f>
        <v>7.204739</v>
      </c>
      <c r="Z2637" s="4" t="str">
        <f>IFERROR(__xludf.DUMMYFUNCTION("""COMPUTED_VALUE"""),"3.3237824")</f>
        <v>3.3237824</v>
      </c>
      <c r="AA2637" s="4" t="str">
        <f t="shared" si="1"/>
        <v>Not Neighbor</v>
      </c>
      <c r="AC2637" s="4">
        <f>IFERROR(__xludf.DUMMYFUNCTION("IFERROR(ABS(O2637-AVERAGE(FILTER(O2637:O6705,AA2637:AA6705=""Neighbor""))) / STDEV(FILTER(O2637:O6705, AA2637:AA6705 =""Neighbor"")), """")"),0.03991390909824826)</f>
        <v>0.0399139091</v>
      </c>
      <c r="AD2637" s="4">
        <f>IFERROR(__xludf.DUMMYFUNCTION("IFERROR(ABS(P2637-AVERAGE(FILTER(O2637:P6705,AA2637:AA6705=""Neighbor""))) / STDEV(FILTER(P2637:P6705, AA2637:AA6705 =""Neighbor"")), """")"),1.2873877577880697)</f>
        <v>1.287387758</v>
      </c>
      <c r="AE2637" s="2">
        <f>IFERROR(__xludf.DUMMYFUNCTION("IFERROR(ABS(Q2637-AVERAGE(FILTER(Q2637:Q6705,AA2637:AA6705=""Neighbor""))) / STDEV(FILTER(Q2637:Q6705, AA2637:AA6705 =""Neighbor"")), """")"),0.8101072765807863)</f>
        <v>0.8101072766</v>
      </c>
      <c r="AF2637" s="2">
        <f>IFERROR(__xludf.DUMMYFUNCTION("IFERROR(ABS(R2637-AVERAGE(FILTER(R2637:R6705,AA2637:AA6705=""Neighbor""))) / STDEV(FILTER(R2637:R6705, AA2637:AA6705 =""Neighbor"")), """")"),0.3364954039766424)</f>
        <v>0.336495404</v>
      </c>
    </row>
    <row r="2638">
      <c r="A2638" s="2" t="s">
        <v>28</v>
      </c>
      <c r="B2638" s="2" t="s">
        <v>29</v>
      </c>
      <c r="C2638" s="2" t="s">
        <v>179</v>
      </c>
      <c r="D2638" s="2" t="s">
        <v>10805</v>
      </c>
      <c r="E2638" s="2" t="s">
        <v>10806</v>
      </c>
      <c r="F2638" s="2">
        <v>43.0</v>
      </c>
      <c r="G2638" s="2">
        <v>96.0</v>
      </c>
      <c r="H2638" s="2" t="b">
        <v>1</v>
      </c>
      <c r="I2638" s="2">
        <v>-1.0</v>
      </c>
      <c r="J2638" s="2" t="b">
        <v>0</v>
      </c>
      <c r="K2638" s="2" t="b">
        <v>0</v>
      </c>
      <c r="L2638" s="2" t="b">
        <v>0</v>
      </c>
      <c r="M2638" s="2" t="b">
        <v>0</v>
      </c>
      <c r="N2638" s="2" t="s">
        <v>33</v>
      </c>
      <c r="O2638" s="2">
        <v>31.0</v>
      </c>
      <c r="P2638" s="2">
        <v>4.0</v>
      </c>
      <c r="Q2638" s="2">
        <v>5.0</v>
      </c>
      <c r="R2638" s="2">
        <v>0.0</v>
      </c>
      <c r="S2638" s="3" t="s">
        <v>10807</v>
      </c>
      <c r="T2638" s="2" t="s">
        <v>10808</v>
      </c>
      <c r="Y2638" s="4" t="str">
        <f>IFERROR(__xludf.DUMMYFUNCTION("""COMPUTED_VALUE"""),"7.18114")</f>
        <v>7.18114</v>
      </c>
      <c r="Z2638" s="4" t="str">
        <f>IFERROR(__xludf.DUMMYFUNCTION("""COMPUTED_VALUE"""),"3.3423299")</f>
        <v>3.3423299</v>
      </c>
      <c r="AA2638" s="4" t="str">
        <f t="shared" si="1"/>
        <v>Neighbor</v>
      </c>
      <c r="AC2638" s="4">
        <f>IFERROR(__xludf.DUMMYFUNCTION("IFERROR(ABS(O2638-AVERAGE(FILTER(O2638:O6706,AA2638:AA6706=""Neighbor""))) / STDEV(FILTER(O2638:O6706, AA2638:AA6706 =""Neighbor"")), """")"),0.4835208451163627)</f>
        <v>0.4835208451</v>
      </c>
      <c r="AD2638" s="4">
        <f>IFERROR(__xludf.DUMMYFUNCTION("IFERROR(ABS(P2638-AVERAGE(FILTER(O2638:P6706,AA2638:AA6706=""Neighbor""))) / STDEV(FILTER(P2638:P6706, AA2638:AA6706 =""Neighbor"")), """")"),1.2040895257237163)</f>
        <v>1.204089526</v>
      </c>
      <c r="AE2638" s="2">
        <f>IFERROR(__xludf.DUMMYFUNCTION("IFERROR(ABS(Q2638-AVERAGE(FILTER(Q2638:Q6706,AA2638:AA6706=""Neighbor""))) / STDEV(FILTER(Q2638:Q6706, AA2638:AA6706 =""Neighbor"")), """")"),0.5671411170194747)</f>
        <v>0.567141117</v>
      </c>
      <c r="AF2638" s="2">
        <f>IFERROR(__xludf.DUMMYFUNCTION("IFERROR(ABS(R2638-AVERAGE(FILTER(R2638:R6706,AA2638:AA6706=""Neighbor""))) / STDEV(FILTER(R2638:R6706, AA2638:AA6706 =""Neighbor"")), """")"),0.3364954039766424)</f>
        <v>0.336495404</v>
      </c>
    </row>
    <row r="2639">
      <c r="A2639" s="2" t="s">
        <v>28</v>
      </c>
      <c r="B2639" s="2" t="s">
        <v>29</v>
      </c>
      <c r="C2639" s="2" t="s">
        <v>179</v>
      </c>
      <c r="D2639" s="2" t="s">
        <v>10809</v>
      </c>
      <c r="E2639" s="2" t="s">
        <v>10810</v>
      </c>
      <c r="F2639" s="2">
        <v>38.0</v>
      </c>
      <c r="G2639" s="2">
        <v>73.0</v>
      </c>
      <c r="H2639" s="2" t="b">
        <v>1</v>
      </c>
      <c r="I2639" s="2">
        <v>-1.0</v>
      </c>
      <c r="J2639" s="2" t="b">
        <v>0</v>
      </c>
      <c r="K2639" s="2" t="b">
        <v>0</v>
      </c>
      <c r="L2639" s="2" t="b">
        <v>0</v>
      </c>
      <c r="M2639" s="2" t="b">
        <v>0</v>
      </c>
      <c r="N2639" s="2" t="s">
        <v>33</v>
      </c>
      <c r="O2639" s="2">
        <v>10.0</v>
      </c>
      <c r="P2639" s="2">
        <v>5.0</v>
      </c>
      <c r="Q2639" s="2">
        <v>21.0</v>
      </c>
      <c r="R2639" s="2">
        <v>0.0</v>
      </c>
      <c r="S2639" s="3" t="s">
        <v>10811</v>
      </c>
      <c r="T2639" s="2" t="s">
        <v>10812</v>
      </c>
      <c r="Y2639" s="4" t="str">
        <f>IFERROR(__xludf.DUMMYFUNCTION("""COMPUTED_VALUE"""),"7.179601")</f>
        <v>7.179601</v>
      </c>
      <c r="Z2639" s="4" t="str">
        <f>IFERROR(__xludf.DUMMYFUNCTION("""COMPUTED_VALUE"""),"3.3421004")</f>
        <v>3.3421004</v>
      </c>
      <c r="AA2639" s="4" t="str">
        <f t="shared" si="1"/>
        <v>Neighbor</v>
      </c>
      <c r="AC2639" s="4">
        <f>IFERROR(__xludf.DUMMYFUNCTION("IFERROR(ABS(O2639-AVERAGE(FILTER(O2639:O6707,AA2639:AA6707=""Neighbor""))) / STDEV(FILTER(O2639:O6707, AA2639:AA6707 =""Neighbor"")), """")"),1.1046793154700907)</f>
        <v>1.104679315</v>
      </c>
      <c r="AD2639" s="4">
        <f>IFERROR(__xludf.DUMMYFUNCTION("IFERROR(ABS(P2639-AVERAGE(FILTER(O2639:P6707,AA2639:AA6707=""Neighbor""))) / STDEV(FILTER(P2639:P6707, AA2639:AA6707 =""Neighbor"")), """")"),1.1629329641555002)</f>
        <v>1.162932964</v>
      </c>
      <c r="AE2639" s="2">
        <f>IFERROR(__xludf.DUMMYFUNCTION("IFERROR(ABS(Q2639-AVERAGE(FILTER(Q2639:Q6707,AA2639:AA6707=""Neighbor""))) / STDEV(FILTER(Q2639:Q6707, AA2639:AA6707 =""Neighbor"")), """")"),0.4034457196516499)</f>
        <v>0.4034457197</v>
      </c>
      <c r="AF2639" s="2">
        <f>IFERROR(__xludf.DUMMYFUNCTION("IFERROR(ABS(R2639-AVERAGE(FILTER(R2639:R6707,AA2639:AA6707=""Neighbor""))) / STDEV(FILTER(R2639:R6707, AA2639:AA6707 =""Neighbor"")), """")"),0.3368347345683394)</f>
        <v>0.3368347346</v>
      </c>
    </row>
    <row r="2640">
      <c r="A2640" s="2" t="s">
        <v>28</v>
      </c>
      <c r="B2640" s="2" t="s">
        <v>29</v>
      </c>
      <c r="C2640" s="2" t="s">
        <v>179</v>
      </c>
      <c r="D2640" s="2" t="s">
        <v>10813</v>
      </c>
      <c r="E2640" s="2" t="s">
        <v>10814</v>
      </c>
      <c r="F2640" s="2">
        <v>30.0</v>
      </c>
      <c r="G2640" s="2">
        <v>63.0</v>
      </c>
      <c r="H2640" s="2" t="b">
        <v>1</v>
      </c>
      <c r="I2640" s="2">
        <v>-1.0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s">
        <v>33</v>
      </c>
      <c r="O2640" s="2">
        <v>14.0</v>
      </c>
      <c r="P2640" s="2">
        <v>1.0</v>
      </c>
      <c r="Q2640" s="2">
        <v>11.0</v>
      </c>
      <c r="R2640" s="2">
        <v>0.0</v>
      </c>
      <c r="S2640" s="3" t="s">
        <v>10815</v>
      </c>
      <c r="T2640" s="2" t="s">
        <v>10816</v>
      </c>
      <c r="Y2640" s="4" t="str">
        <f>IFERROR(__xludf.DUMMYFUNCTION("""COMPUTED_VALUE"""),"7.179601")</f>
        <v>7.179601</v>
      </c>
      <c r="Z2640" s="4" t="str">
        <f>IFERROR(__xludf.DUMMYFUNCTION("""COMPUTED_VALUE"""),"3.3421004")</f>
        <v>3.3421004</v>
      </c>
      <c r="AA2640" s="4" t="str">
        <f t="shared" si="1"/>
        <v>Not Neighbor</v>
      </c>
      <c r="AC2640" s="4">
        <f>IFERROR(__xludf.DUMMYFUNCTION("IFERROR(ABS(O2640-AVERAGE(FILTER(O2640:O6708,AA2640:AA6708=""Neighbor""))) / STDEV(FILTER(O2640:O6708, AA2640:AA6708 =""Neighbor"")), """")"),0.988675305912673)</f>
        <v>0.9886753059</v>
      </c>
      <c r="AD2640" s="4">
        <f>IFERROR(__xludf.DUMMYFUNCTION("IFERROR(ABS(P2640-AVERAGE(FILTER(O2640:P6708,AA2640:AA6708=""Neighbor""))) / STDEV(FILTER(P2640:P6708, AA2640:AA6708 =""Neighbor"")), """")"),1.3305300652485408)</f>
        <v>1.330530065</v>
      </c>
      <c r="AE2640" s="2">
        <f>IFERROR(__xludf.DUMMYFUNCTION("IFERROR(ABS(Q2640-AVERAGE(FILTER(Q2640:Q6708,AA2640:AA6708=""Neighbor""))) / STDEV(FILTER(Q2640:Q6708, AA2640:AA6708 =""Neighbor"")), """")"),0.20270777450480398)</f>
        <v>0.2027077745</v>
      </c>
      <c r="AF2640" s="2">
        <f>IFERROR(__xludf.DUMMYFUNCTION("IFERROR(ABS(R2640-AVERAGE(FILTER(R2640:R6708,AA2640:AA6708=""Neighbor""))) / STDEV(FILTER(R2640:R6708, AA2640:AA6708 =""Neighbor"")), """")"),0.3371750940301371)</f>
        <v>0.337175094</v>
      </c>
    </row>
    <row r="2641">
      <c r="A2641" s="2" t="s">
        <v>28</v>
      </c>
      <c r="B2641" s="2" t="s">
        <v>29</v>
      </c>
      <c r="C2641" s="2" t="s">
        <v>179</v>
      </c>
      <c r="D2641" s="2" t="s">
        <v>10817</v>
      </c>
      <c r="E2641" s="2" t="s">
        <v>10818</v>
      </c>
      <c r="F2641" s="2">
        <v>64.0</v>
      </c>
      <c r="G2641" s="2">
        <v>167.0</v>
      </c>
      <c r="H2641" s="2" t="b">
        <v>1</v>
      </c>
      <c r="I2641" s="2">
        <v>-1.0</v>
      </c>
      <c r="J2641" s="2" t="b">
        <v>0</v>
      </c>
      <c r="K2641" s="2" t="b">
        <v>0</v>
      </c>
      <c r="L2641" s="2" t="b">
        <v>0</v>
      </c>
      <c r="M2641" s="2" t="b">
        <v>0</v>
      </c>
      <c r="N2641" s="2" t="s">
        <v>33</v>
      </c>
      <c r="O2641" s="2">
        <v>42.0</v>
      </c>
      <c r="P2641" s="2">
        <v>14.0</v>
      </c>
      <c r="Q2641" s="2">
        <v>3.0</v>
      </c>
      <c r="R2641" s="2">
        <v>0.0</v>
      </c>
      <c r="S2641" s="3" t="s">
        <v>10819</v>
      </c>
      <c r="T2641" s="2" t="s">
        <v>10820</v>
      </c>
      <c r="Y2641" s="4" t="str">
        <f>IFERROR(__xludf.DUMMYFUNCTION("""COMPUTED_VALUE"""),"7.1927601")</f>
        <v>7.1927601</v>
      </c>
      <c r="Z2641" s="4" t="str">
        <f>IFERROR(__xludf.DUMMYFUNCTION("""COMPUTED_VALUE"""),"3.3379483")</f>
        <v>3.3379483</v>
      </c>
      <c r="AA2641" s="4" t="str">
        <f t="shared" si="1"/>
        <v>Not Neighbor</v>
      </c>
      <c r="AC2641" s="4">
        <f>IFERROR(__xludf.DUMMYFUNCTION("IFERROR(ABS(O2641-AVERAGE(FILTER(O2641:O6709,AA2641:AA6709=""Neighbor""))) / STDEV(FILTER(O2641:O6709, AA2641:AA6709 =""Neighbor"")), """")"),0.16101713505731505)</f>
        <v>0.1610171351</v>
      </c>
      <c r="AD2641" s="4">
        <f>IFERROR(__xludf.DUMMYFUNCTION("IFERROR(ABS(P2641-AVERAGE(FILTER(O2641:P6709,AA2641:AA6709=""Neighbor""))) / STDEV(FILTER(P2641:P6709, AA2641:AA6709 =""Neighbor"")), """")"),0.7897410497281436)</f>
        <v>0.7897410497</v>
      </c>
      <c r="AE2641" s="2">
        <f>IFERROR(__xludf.DUMMYFUNCTION("IFERROR(ABS(Q2641-AVERAGE(FILTER(Q2641:Q6709,AA2641:AA6709=""Neighbor""))) / STDEV(FILTER(Q2641:Q6709, AA2641:AA6709 =""Neighbor"")), """")"),0.6879712172801781)</f>
        <v>0.6879712173</v>
      </c>
      <c r="AF2641" s="2">
        <f>IFERROR(__xludf.DUMMYFUNCTION("IFERROR(ABS(R2641-AVERAGE(FILTER(R2641:R6709,AA2641:AA6709=""Neighbor""))) / STDEV(FILTER(R2641:R6709, AA2641:AA6709 =""Neighbor"")), """")"),0.3371750940301371)</f>
        <v>0.337175094</v>
      </c>
    </row>
    <row r="2642">
      <c r="A2642" s="2" t="s">
        <v>28</v>
      </c>
      <c r="B2642" s="2" t="s">
        <v>29</v>
      </c>
      <c r="C2642" s="2" t="s">
        <v>179</v>
      </c>
      <c r="D2642" s="2" t="s">
        <v>10821</v>
      </c>
      <c r="E2642" s="2" t="s">
        <v>10822</v>
      </c>
      <c r="F2642" s="2">
        <v>51.0</v>
      </c>
      <c r="G2642" s="2">
        <v>94.0</v>
      </c>
      <c r="H2642" s="2" t="b">
        <v>1</v>
      </c>
      <c r="I2642" s="2">
        <v>-1.0</v>
      </c>
      <c r="J2642" s="2" t="b">
        <v>0</v>
      </c>
      <c r="K2642" s="2" t="b">
        <v>0</v>
      </c>
      <c r="L2642" s="2" t="b">
        <v>0</v>
      </c>
      <c r="M2642" s="2" t="b">
        <v>0</v>
      </c>
      <c r="N2642" s="2" t="s">
        <v>33</v>
      </c>
      <c r="O2642" s="2">
        <v>35.0</v>
      </c>
      <c r="P2642" s="2">
        <v>4.0</v>
      </c>
      <c r="Q2642" s="2">
        <v>9.0</v>
      </c>
      <c r="R2642" s="2">
        <v>0.0</v>
      </c>
      <c r="S2642" s="3" t="s">
        <v>10823</v>
      </c>
      <c r="T2642" s="2" t="s">
        <v>10824</v>
      </c>
      <c r="Y2642" s="4" t="str">
        <f>IFERROR(__xludf.DUMMYFUNCTION("""COMPUTED_VALUE"""),"7.204739")</f>
        <v>7.204739</v>
      </c>
      <c r="Z2642" s="4" t="str">
        <f>IFERROR(__xludf.DUMMYFUNCTION("""COMPUTED_VALUE"""),"3.3237824")</f>
        <v>3.3237824</v>
      </c>
      <c r="AA2642" s="4" t="str">
        <f t="shared" si="1"/>
        <v>Neighbor</v>
      </c>
      <c r="AC2642" s="4">
        <f>IFERROR(__xludf.DUMMYFUNCTION("IFERROR(ABS(O2642-AVERAGE(FILTER(O2642:O6710,AA2642:AA6710=""Neighbor""))) / STDEV(FILTER(O2642:O6710, AA2642:AA6710 =""Neighbor"")), """")"),0.36793167777115454)</f>
        <v>0.3679316778</v>
      </c>
      <c r="AD2642" s="4">
        <f>IFERROR(__xludf.DUMMYFUNCTION("IFERROR(ABS(P2642-AVERAGE(FILTER(O2642:P6710,AA2642:AA6710=""Neighbor""))) / STDEV(FILTER(P2642:P6710, AA2642:AA6710 =""Neighbor"")), """")"),1.2057326001284492)</f>
        <v>1.2057326</v>
      </c>
      <c r="AE2642" s="2">
        <f>IFERROR(__xludf.DUMMYFUNCTION("IFERROR(ABS(Q2642-AVERAGE(FILTER(Q2642:Q6710,AA2642:AA6710=""Neighbor""))) / STDEV(FILTER(Q2642:Q6710, AA2642:AA6710 =""Neighbor"")), """")"),0.3240236351986475)</f>
        <v>0.3240236352</v>
      </c>
      <c r="AF2642" s="2">
        <f>IFERROR(__xludf.DUMMYFUNCTION("IFERROR(ABS(R2642-AVERAGE(FILTER(R2642:R6710,AA2642:AA6710=""Neighbor""))) / STDEV(FILTER(R2642:R6710, AA2642:AA6710 =""Neighbor"")), """")"),0.3371750940301371)</f>
        <v>0.337175094</v>
      </c>
    </row>
    <row r="2643">
      <c r="A2643" s="2" t="s">
        <v>28</v>
      </c>
      <c r="B2643" s="2" t="s">
        <v>29</v>
      </c>
      <c r="C2643" s="2" t="s">
        <v>179</v>
      </c>
      <c r="D2643" s="2" t="s">
        <v>10825</v>
      </c>
      <c r="E2643" s="2" t="s">
        <v>10826</v>
      </c>
      <c r="F2643" s="2">
        <v>43.0</v>
      </c>
      <c r="G2643" s="2">
        <v>116.0</v>
      </c>
      <c r="H2643" s="2" t="b">
        <v>1</v>
      </c>
      <c r="I2643" s="2">
        <v>-1.0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s">
        <v>33</v>
      </c>
      <c r="O2643" s="2">
        <v>20.0</v>
      </c>
      <c r="P2643" s="2">
        <v>6.0</v>
      </c>
      <c r="Q2643" s="2">
        <v>3.0</v>
      </c>
      <c r="R2643" s="2">
        <v>0.0</v>
      </c>
      <c r="S2643" s="3" t="s">
        <v>10827</v>
      </c>
      <c r="T2643" s="2" t="s">
        <v>10828</v>
      </c>
      <c r="Y2643" s="4" t="str">
        <f>IFERROR(__xludf.DUMMYFUNCTION("""COMPUTED_VALUE"""),"7.204739")</f>
        <v>7.204739</v>
      </c>
      <c r="Z2643" s="4" t="str">
        <f>IFERROR(__xludf.DUMMYFUNCTION("""COMPUTED_VALUE"""),"3.3237824")</f>
        <v>3.3237824</v>
      </c>
      <c r="AA2643" s="4" t="str">
        <f t="shared" si="1"/>
        <v>Not Neighbor</v>
      </c>
      <c r="AC2643" s="4">
        <f>IFERROR(__xludf.DUMMYFUNCTION("IFERROR(ABS(O2643-AVERAGE(FILTER(O2643:O6711,AA2643:AA6711=""Neighbor""))) / STDEV(FILTER(O2643:O6711, AA2643:AA6711 =""Neighbor"")), """")"),0.8113505350362284)</f>
        <v>0.811350535</v>
      </c>
      <c r="AD2643" s="4">
        <f>IFERROR(__xludf.DUMMYFUNCTION("IFERROR(ABS(P2643-AVERAGE(FILTER(O2643:P6711,AA2643:AA6711=""Neighbor""))) / STDEV(FILTER(P2643:P6711, AA2643:AA6711 =""Neighbor"")), """")"),1.1229062586904537)</f>
        <v>1.122906259</v>
      </c>
      <c r="AE2643" s="2">
        <f>IFERROR(__xludf.DUMMYFUNCTION("IFERROR(ABS(Q2643-AVERAGE(FILTER(Q2643:Q6711,AA2643:AA6711=""Neighbor""))) / STDEV(FILTER(Q2643:Q6711, AA2643:AA6711 =""Neighbor"")), """")"),0.687999943206859)</f>
        <v>0.6879999432</v>
      </c>
      <c r="AF2643" s="2">
        <f>IFERROR(__xludf.DUMMYFUNCTION("IFERROR(ABS(R2643-AVERAGE(FILTER(R2643:R6711,AA2643:AA6711=""Neighbor""))) / STDEV(FILTER(R2643:R6711, AA2643:AA6711 =""Neighbor"")), """")"),0.3375164875729039)</f>
        <v>0.3375164876</v>
      </c>
    </row>
    <row r="2644">
      <c r="A2644" s="2" t="s">
        <v>28</v>
      </c>
      <c r="B2644" s="2" t="s">
        <v>29</v>
      </c>
      <c r="C2644" s="2" t="s">
        <v>179</v>
      </c>
      <c r="D2644" s="2" t="s">
        <v>10829</v>
      </c>
      <c r="E2644" s="2" t="s">
        <v>10830</v>
      </c>
      <c r="F2644" s="2">
        <v>23.0</v>
      </c>
      <c r="G2644" s="2">
        <v>66.0</v>
      </c>
      <c r="H2644" s="2" t="b">
        <v>1</v>
      </c>
      <c r="I2644" s="2">
        <v>-1.0</v>
      </c>
      <c r="J2644" s="2" t="b">
        <v>0</v>
      </c>
      <c r="K2644" s="2" t="b">
        <v>1</v>
      </c>
      <c r="L2644" s="2" t="b">
        <v>0</v>
      </c>
      <c r="M2644" s="2" t="b">
        <v>0</v>
      </c>
      <c r="N2644" s="2" t="s">
        <v>33</v>
      </c>
      <c r="O2644" s="2">
        <v>20.0</v>
      </c>
      <c r="P2644" s="2">
        <v>2.0</v>
      </c>
      <c r="Q2644" s="2">
        <v>1.0</v>
      </c>
      <c r="R2644" s="2">
        <v>0.0</v>
      </c>
      <c r="S2644" s="3" t="s">
        <v>10831</v>
      </c>
      <c r="T2644" s="2" t="s">
        <v>10832</v>
      </c>
      <c r="Y2644" s="4" t="str">
        <f>IFERROR(__xludf.DUMMYFUNCTION("""COMPUTED_VALUE"""),"7.1869443")</f>
        <v>7.1869443</v>
      </c>
      <c r="Z2644" s="4" t="str">
        <f>IFERROR(__xludf.DUMMYFUNCTION("""COMPUTED_VALUE"""),"3.3391589")</f>
        <v>3.3391589</v>
      </c>
      <c r="AA2644" s="4" t="str">
        <f t="shared" si="1"/>
        <v>Neighbor</v>
      </c>
      <c r="AC2644" s="4">
        <f>IFERROR(__xludf.DUMMYFUNCTION("IFERROR(ABS(O2644-AVERAGE(FILTER(O2644:O6712,AA2644:AA6712=""Neighbor""))) / STDEV(FILTER(O2644:O6712, AA2644:AA6712 =""Neighbor"")), """")"),0.8113505350362284)</f>
        <v>0.811350535</v>
      </c>
      <c r="AD2644" s="4">
        <f>IFERROR(__xludf.DUMMYFUNCTION("IFERROR(ABS(P2644-AVERAGE(FILTER(O2644:P6712,AA2644:AA6712=""Neighbor""))) / STDEV(FILTER(P2644:P6712, AA2644:AA6712 =""Neighbor"")), """")"),1.2892066460713705)</f>
        <v>1.289206646</v>
      </c>
      <c r="AE2644" s="2">
        <f>IFERROR(__xludf.DUMMYFUNCTION("IFERROR(ABS(Q2644-AVERAGE(FILTER(Q2644:Q6712,AA2644:AA6712=""Neighbor""))) / STDEV(FILTER(Q2644:Q6712, AA2644:AA6712 =""Neighbor"")), """")"),0.809216878001649)</f>
        <v>0.809216878</v>
      </c>
      <c r="AF2644" s="2">
        <f>IFERROR(__xludf.DUMMYFUNCTION("IFERROR(ABS(R2644-AVERAGE(FILTER(R2644:R6712,AA2644:AA6712=""Neighbor""))) / STDEV(FILTER(R2644:R6712, AA2644:AA6712 =""Neighbor"")), """")"),0.3375164875729039)</f>
        <v>0.3375164876</v>
      </c>
    </row>
    <row r="2645">
      <c r="A2645" s="2" t="s">
        <v>28</v>
      </c>
      <c r="B2645" s="2" t="s">
        <v>29</v>
      </c>
      <c r="C2645" s="2" t="s">
        <v>179</v>
      </c>
      <c r="D2645" s="2" t="s">
        <v>10833</v>
      </c>
      <c r="E2645" s="2" t="s">
        <v>10834</v>
      </c>
      <c r="F2645" s="2">
        <v>36.0</v>
      </c>
      <c r="G2645" s="2">
        <v>73.0</v>
      </c>
      <c r="H2645" s="2" t="b">
        <v>1</v>
      </c>
      <c r="I2645" s="2">
        <v>-1.0</v>
      </c>
      <c r="J2645" s="2" t="b">
        <v>0</v>
      </c>
      <c r="K2645" s="2" t="b">
        <v>0</v>
      </c>
      <c r="L2645" s="2" t="b">
        <v>0</v>
      </c>
      <c r="M2645" s="2" t="b">
        <v>0</v>
      </c>
      <c r="N2645" s="2" t="s">
        <v>33</v>
      </c>
      <c r="O2645" s="2">
        <v>0.0</v>
      </c>
      <c r="P2645" s="2">
        <v>0.0</v>
      </c>
      <c r="Q2645" s="2">
        <v>0.0</v>
      </c>
      <c r="R2645" s="2">
        <v>0.0</v>
      </c>
      <c r="S2645" s="3" t="s">
        <v>10835</v>
      </c>
      <c r="T2645" s="2" t="s">
        <v>10836</v>
      </c>
      <c r="Y2645" s="4" t="str">
        <f>IFERROR(__xludf.DUMMYFUNCTION("""COMPUTED_VALUE"""),"7.1869443")</f>
        <v>7.1869443</v>
      </c>
      <c r="Z2645" s="4" t="str">
        <f>IFERROR(__xludf.DUMMYFUNCTION("""COMPUTED_VALUE"""),"3.3391589")</f>
        <v>3.3391589</v>
      </c>
      <c r="AA2645" s="4" t="str">
        <f t="shared" si="1"/>
        <v>Not Neighbor</v>
      </c>
      <c r="AC2645" s="4">
        <f>IFERROR(__xludf.DUMMYFUNCTION("IFERROR(ABS(O2645-AVERAGE(FILTER(O2645:O6713,AA2645:AA6713=""Neighbor""))) / STDEV(FILTER(O2645:O6713, AA2645:AA6713 =""Neighbor"")), """")"),1.4031131592993598)</f>
        <v>1.403113159</v>
      </c>
      <c r="AD2645" s="4">
        <f>IFERROR(__xludf.DUMMYFUNCTION("IFERROR(ABS(P2645-AVERAGE(FILTER(O2645:P6713,AA2645:AA6713=""Neighbor""))) / STDEV(FILTER(P2645:P6713, AA2645:AA6713 =""Neighbor"")), """")"),1.3733666955053851)</f>
        <v>1.373366696</v>
      </c>
      <c r="AE2645" s="2">
        <f>IFERROR(__xludf.DUMMYFUNCTION("IFERROR(ABS(Q2645-AVERAGE(FILTER(Q2645:Q6713,AA2645:AA6713=""Neighbor""))) / STDEV(FILTER(Q2645:Q6713, AA2645:AA6713 =""Neighbor"")), """")"),0.8710281947883257)</f>
        <v>0.8710281948</v>
      </c>
      <c r="AF2645" s="2">
        <f>IFERROR(__xludf.DUMMYFUNCTION("IFERROR(ABS(R2645-AVERAGE(FILTER(R2645:R6713,AA2645:AA6713=""Neighbor""))) / STDEV(FILTER(R2645:R6713, AA2645:AA6713 =""Neighbor"")), """")"),0.3378589204445379)</f>
        <v>0.3378589204</v>
      </c>
    </row>
    <row r="2646">
      <c r="A2646" s="2" t="s">
        <v>28</v>
      </c>
      <c r="B2646" s="2" t="s">
        <v>29</v>
      </c>
      <c r="C2646" s="2" t="s">
        <v>179</v>
      </c>
      <c r="D2646" s="2" t="s">
        <v>10837</v>
      </c>
      <c r="E2646" s="2" t="s">
        <v>10838</v>
      </c>
      <c r="F2646" s="2">
        <v>32.0</v>
      </c>
      <c r="G2646" s="2">
        <v>72.0</v>
      </c>
      <c r="H2646" s="2" t="b">
        <v>1</v>
      </c>
      <c r="I2646" s="2">
        <v>-1.0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s">
        <v>33</v>
      </c>
      <c r="O2646" s="2">
        <v>17.0</v>
      </c>
      <c r="P2646" s="2">
        <v>2.0</v>
      </c>
      <c r="Q2646" s="2">
        <v>4.0</v>
      </c>
      <c r="R2646" s="2">
        <v>0.0</v>
      </c>
      <c r="S2646" s="3" t="s">
        <v>10839</v>
      </c>
      <c r="T2646" s="2" t="s">
        <v>10840</v>
      </c>
      <c r="Y2646" s="4" t="str">
        <f>IFERROR(__xludf.DUMMYFUNCTION("""COMPUTED_VALUE"""),"7.204739")</f>
        <v>7.204739</v>
      </c>
      <c r="Z2646" s="4" t="str">
        <f>IFERROR(__xludf.DUMMYFUNCTION("""COMPUTED_VALUE"""),"3.3237824")</f>
        <v>3.3237824</v>
      </c>
      <c r="AA2646" s="4" t="str">
        <f t="shared" si="1"/>
        <v>Neighbor</v>
      </c>
      <c r="AC2646" s="4">
        <f>IFERROR(__xludf.DUMMYFUNCTION("IFERROR(ABS(O2646-AVERAGE(FILTER(O2646:O6714,AA2646:AA6714=""Neighbor""))) / STDEV(FILTER(O2646:O6714, AA2646:AA6714 =""Neighbor"")), """")"),0.901158465085127)</f>
        <v>0.9011584651</v>
      </c>
      <c r="AD2646" s="4">
        <f>IFERROR(__xludf.DUMMYFUNCTION("IFERROR(ABS(P2646-AVERAGE(FILTER(O2646:P6714,AA2646:AA6714=""Neighbor""))) / STDEV(FILTER(P2646:P6714, AA2646:AA6714 =""Neighbor"")), """")"),1.290256436642048)</f>
        <v>1.290256437</v>
      </c>
      <c r="AE2646" s="2">
        <f>IFERROR(__xludf.DUMMYFUNCTION("IFERROR(ABS(Q2646-AVERAGE(FILTER(Q2646:Q6714,AA2646:AA6714=""Neighbor""))) / STDEV(FILTER(Q2646:Q6714, AA2646:AA6714 =""Neighbor"")), """")"),0.6286705147964483)</f>
        <v>0.6286705148</v>
      </c>
      <c r="AF2646" s="2">
        <f>IFERROR(__xludf.DUMMYFUNCTION("IFERROR(ABS(R2646-AVERAGE(FILTER(R2646:R6714,AA2646:AA6714=""Neighbor""))) / STDEV(FILTER(R2646:R6714, AA2646:AA6714 =""Neighbor"")), """")"),0.3378589204445379)</f>
        <v>0.3378589204</v>
      </c>
    </row>
    <row r="2647">
      <c r="A2647" s="2" t="s">
        <v>28</v>
      </c>
      <c r="B2647" s="2" t="s">
        <v>29</v>
      </c>
      <c r="C2647" s="2" t="s">
        <v>179</v>
      </c>
      <c r="D2647" s="2" t="s">
        <v>10841</v>
      </c>
      <c r="E2647" s="2" t="s">
        <v>10842</v>
      </c>
      <c r="F2647" s="2">
        <v>76.0</v>
      </c>
      <c r="G2647" s="2">
        <v>326.0</v>
      </c>
      <c r="H2647" s="2" t="b">
        <v>1</v>
      </c>
      <c r="I2647" s="2">
        <v>-1.0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s">
        <v>33</v>
      </c>
      <c r="O2647" s="2">
        <v>44.0</v>
      </c>
      <c r="P2647" s="2">
        <v>1.0</v>
      </c>
      <c r="Q2647" s="2">
        <v>20.0</v>
      </c>
      <c r="R2647" s="2">
        <v>0.0</v>
      </c>
      <c r="S2647" s="3" t="s">
        <v>10843</v>
      </c>
      <c r="T2647" s="2" t="s">
        <v>10844</v>
      </c>
      <c r="Y2647" s="4" t="str">
        <f>IFERROR(__xludf.DUMMYFUNCTION("""COMPUTED_VALUE"""),"7.204739")</f>
        <v>7.204739</v>
      </c>
      <c r="Z2647" s="4" t="str">
        <f>IFERROR(__xludf.DUMMYFUNCTION("""COMPUTED_VALUE"""),"3.3237824")</f>
        <v>3.3237824</v>
      </c>
      <c r="AA2647" s="4" t="str">
        <f t="shared" si="1"/>
        <v>Neighbor</v>
      </c>
      <c r="AC2647" s="4">
        <f>IFERROR(__xludf.DUMMYFUNCTION("IFERROR(ABS(O2647-AVERAGE(FILTER(O2647:O6715,AA2647:AA6715=""Neighbor""))) / STDEV(FILTER(O2647:O6715, AA2647:AA6715 =""Neighbor"")), """")"),0.10556573885409508)</f>
        <v>0.1055657389</v>
      </c>
      <c r="AD2647" s="4">
        <f>IFERROR(__xludf.DUMMYFUNCTION("IFERROR(ABS(P2647-AVERAGE(FILTER(O2647:P6715,AA2647:AA6715=""Neighbor""))) / STDEV(FILTER(P2647:P6715, AA2647:AA6715 =""Neighbor"")), """")"),1.3329604761894627)</f>
        <v>1.332960476</v>
      </c>
      <c r="AE2647" s="2">
        <f>IFERROR(__xludf.DUMMYFUNCTION("IFERROR(ABS(Q2647-AVERAGE(FILTER(Q2647:Q6715,AA2647:AA6715=""Neighbor""))) / STDEV(FILTER(Q2647:Q6715, AA2647:AA6715 =""Neighbor"")), """")"),0.3394231954541198)</f>
        <v>0.3394231955</v>
      </c>
      <c r="AF2647" s="2">
        <f>IFERROR(__xludf.DUMMYFUNCTION("IFERROR(ABS(R2647-AVERAGE(FILTER(R2647:R6715,AA2647:AA6715=""Neighbor""))) / STDEV(FILTER(R2647:R6715, AA2647:AA6715 =""Neighbor"")), """")"),0.338202397930304)</f>
        <v>0.3382023979</v>
      </c>
    </row>
    <row r="2648">
      <c r="A2648" s="2" t="s">
        <v>28</v>
      </c>
      <c r="B2648" s="2" t="s">
        <v>29</v>
      </c>
      <c r="C2648" s="2" t="s">
        <v>179</v>
      </c>
      <c r="D2648" s="2" t="s">
        <v>10845</v>
      </c>
      <c r="E2648" s="2" t="s">
        <v>10846</v>
      </c>
      <c r="F2648" s="2">
        <v>38.0</v>
      </c>
      <c r="G2648" s="2">
        <v>76.0</v>
      </c>
      <c r="H2648" s="2" t="b">
        <v>1</v>
      </c>
      <c r="I2648" s="2">
        <v>-1.0</v>
      </c>
      <c r="J2648" s="2" t="b">
        <v>0</v>
      </c>
      <c r="K2648" s="2" t="b">
        <v>0</v>
      </c>
      <c r="L2648" s="2" t="b">
        <v>0</v>
      </c>
      <c r="M2648" s="2" t="b">
        <v>0</v>
      </c>
      <c r="N2648" s="2" t="s">
        <v>33</v>
      </c>
      <c r="O2648" s="2">
        <v>23.0</v>
      </c>
      <c r="P2648" s="2">
        <v>0.0</v>
      </c>
      <c r="Q2648" s="2">
        <v>12.0</v>
      </c>
      <c r="R2648" s="2">
        <v>0.0</v>
      </c>
      <c r="S2648" s="3" t="s">
        <v>10847</v>
      </c>
      <c r="T2648" s="2" t="s">
        <v>10848</v>
      </c>
      <c r="Y2648" s="4" t="str">
        <f>IFERROR(__xludf.DUMMYFUNCTION("""COMPUTED_VALUE"""),"7.204739")</f>
        <v>7.204739</v>
      </c>
      <c r="Z2648" s="4" t="str">
        <f>IFERROR(__xludf.DUMMYFUNCTION("""COMPUTED_VALUE"""),"3.3237824")</f>
        <v>3.3237824</v>
      </c>
      <c r="AA2648" s="4" t="str">
        <f t="shared" si="1"/>
        <v>Not Neighbor</v>
      </c>
      <c r="AC2648" s="4">
        <f>IFERROR(__xludf.DUMMYFUNCTION("IFERROR(ABS(O2648-AVERAGE(FILTER(O2648:O6716,AA2648:AA6716=""Neighbor""))) / STDEV(FILTER(O2648:O6716, AA2648:AA6716 =""Neighbor"")), """")"),0.7250574667946071)</f>
        <v>0.7250574668</v>
      </c>
      <c r="AD2648" s="4">
        <f>IFERROR(__xludf.DUMMYFUNCTION("IFERROR(ABS(P2648-AVERAGE(FILTER(O2648:P6716,AA2648:AA6716=""Neighbor""))) / STDEV(FILTER(P2648:P6716, AA2648:AA6716 =""Neighbor"")), """")"),1.374716236846362)</f>
        <v>1.374716237</v>
      </c>
      <c r="AE2648" s="2">
        <f>IFERROR(__xludf.DUMMYFUNCTION("IFERROR(ABS(Q2648-AVERAGE(FILTER(Q2648:Q6716,AA2648:AA6716=""Neighbor""))) / STDEV(FILTER(Q2648:Q6716, AA2648:AA6716 =""Neighbor"")), """")"),0.14428556105645443)</f>
        <v>0.1442855611</v>
      </c>
      <c r="AF2648" s="2">
        <f>IFERROR(__xludf.DUMMYFUNCTION("IFERROR(ABS(R2648-AVERAGE(FILTER(R2648:R6716,AA2648:AA6716=""Neighbor""))) / STDEV(FILTER(R2648:R6716, AA2648:AA6716 =""Neighbor"")), """")"),0.3385469253531787)</f>
        <v>0.3385469254</v>
      </c>
    </row>
    <row r="2649">
      <c r="A2649" s="2" t="s">
        <v>28</v>
      </c>
      <c r="B2649" s="2" t="s">
        <v>29</v>
      </c>
      <c r="C2649" s="2" t="s">
        <v>669</v>
      </c>
      <c r="D2649" s="2" t="s">
        <v>10849</v>
      </c>
      <c r="E2649" s="2" t="s">
        <v>10850</v>
      </c>
      <c r="F2649" s="2">
        <v>48.0</v>
      </c>
      <c r="G2649" s="2">
        <v>103.0</v>
      </c>
      <c r="H2649" s="2" t="b">
        <v>1</v>
      </c>
      <c r="I2649" s="2">
        <v>-1.0</v>
      </c>
      <c r="J2649" s="2" t="b">
        <v>0</v>
      </c>
      <c r="K2649" s="2" t="b">
        <v>0</v>
      </c>
      <c r="L2649" s="2" t="b">
        <v>0</v>
      </c>
      <c r="M2649" s="2" t="b">
        <v>0</v>
      </c>
      <c r="N2649" s="2" t="s">
        <v>33</v>
      </c>
      <c r="O2649" s="2">
        <v>41.0</v>
      </c>
      <c r="P2649" s="2">
        <v>0.0</v>
      </c>
      <c r="Q2649" s="2">
        <v>1.0</v>
      </c>
      <c r="R2649" s="2">
        <v>0.0</v>
      </c>
      <c r="S2649" s="3" t="s">
        <v>10851</v>
      </c>
      <c r="T2649" s="2" t="s">
        <v>10852</v>
      </c>
      <c r="Y2649" s="4" t="str">
        <f>IFERROR(__xludf.DUMMYFUNCTION("""COMPUTED_VALUE"""),"7.3969466")</f>
        <v>7.3969466</v>
      </c>
      <c r="Z2649" s="4" t="str">
        <f>IFERROR(__xludf.DUMMYFUNCTION("""COMPUTED_VALUE"""),"3.008815")</f>
        <v>3.008815</v>
      </c>
      <c r="AA2649" s="4" t="str">
        <f t="shared" si="1"/>
        <v>Not Neighbor</v>
      </c>
      <c r="AC2649" s="4">
        <f>IFERROR(__xludf.DUMMYFUNCTION("IFERROR(ABS(O2649-AVERAGE(FILTER(O2649:O6717,AA2649:AA6717=""Neighbor""))) / STDEV(FILTER(O2649:O6717, AA2649:AA6717 =""Neighbor"")), """")"),0.19414815494410806)</f>
        <v>0.1941481549</v>
      </c>
      <c r="AD2649" s="4">
        <f>IFERROR(__xludf.DUMMYFUNCTION("IFERROR(ABS(P2649-AVERAGE(FILTER(O2649:P6717,AA2649:AA6717=""Neighbor""))) / STDEV(FILTER(P2649:P6717, AA2649:AA6717 =""Neighbor"")), """")"),1.374716236846362)</f>
        <v>1.374716237</v>
      </c>
      <c r="AE2649" s="2">
        <f>IFERROR(__xludf.DUMMYFUNCTION("IFERROR(ABS(Q2649-AVERAGE(FILTER(Q2649:Q6717,AA2649:AA6717=""Neighbor""))) / STDEV(FILTER(Q2649:Q6717, AA2649:AA6717 =""Neighbor"")), """")"),0.8098608910910667)</f>
        <v>0.8098608911</v>
      </c>
      <c r="AF2649" s="2">
        <f>IFERROR(__xludf.DUMMYFUNCTION("IFERROR(ABS(R2649-AVERAGE(FILTER(R2649:R6717,AA2649:AA6717=""Neighbor""))) / STDEV(FILTER(R2649:R6717, AA2649:AA6717 =""Neighbor"")), """")"),0.3385469253531787)</f>
        <v>0.3385469254</v>
      </c>
    </row>
    <row r="2650">
      <c r="A2650" s="2" t="s">
        <v>28</v>
      </c>
      <c r="B2650" s="2" t="s">
        <v>29</v>
      </c>
      <c r="C2650" s="2" t="s">
        <v>758</v>
      </c>
      <c r="D2650" s="2" t="s">
        <v>10853</v>
      </c>
      <c r="E2650" s="2" t="s">
        <v>10854</v>
      </c>
      <c r="F2650" s="2">
        <v>113.0</v>
      </c>
      <c r="G2650" s="2">
        <v>217.0</v>
      </c>
      <c r="H2650" s="2" t="b">
        <v>1</v>
      </c>
      <c r="I2650" s="2">
        <v>-1.0</v>
      </c>
      <c r="J2650" s="2" t="b">
        <v>1</v>
      </c>
      <c r="K2650" s="2" t="b">
        <v>0</v>
      </c>
      <c r="L2650" s="2" t="b">
        <v>0</v>
      </c>
      <c r="M2650" s="2" t="b">
        <v>0</v>
      </c>
      <c r="N2650" s="2" t="s">
        <v>33</v>
      </c>
      <c r="O2650" s="2">
        <v>80.0</v>
      </c>
      <c r="P2650" s="2">
        <v>2.0</v>
      </c>
      <c r="Q2650" s="2">
        <v>17.0</v>
      </c>
      <c r="R2650" s="2">
        <v>0.0</v>
      </c>
      <c r="S2650" s="3" t="s">
        <v>10855</v>
      </c>
      <c r="T2650" s="2" t="s">
        <v>10856</v>
      </c>
      <c r="Y2650" s="4" t="str">
        <f>IFERROR(__xludf.DUMMYFUNCTION("""COMPUTED_VALUE"""),"7.1000334")</f>
        <v>7.1000334</v>
      </c>
      <c r="Z2650" s="4" t="str">
        <f>IFERROR(__xludf.DUMMYFUNCTION("""COMPUTED_VALUE"""),"3.1666494")</f>
        <v>3.1666494</v>
      </c>
      <c r="AA2650" s="4" t="str">
        <f t="shared" si="1"/>
        <v>Not Neighbor</v>
      </c>
      <c r="AC2650" s="4">
        <f>IFERROR(__xludf.DUMMYFUNCTION("IFERROR(ABS(O2650-AVERAGE(FILTER(O2650:O6718,AA2650:AA6718=""Neighbor""))) / STDEV(FILTER(O2650:O6718, AA2650:AA6718 =""Neighbor"")), """")"),0.9561553540653066)</f>
        <v>0.9561553541</v>
      </c>
      <c r="AD2650" s="4">
        <f>IFERROR(__xludf.DUMMYFUNCTION("IFERROR(ABS(P2650-AVERAGE(FILTER(O2650:P6718,AA2650:AA6718=""Neighbor""))) / STDEV(FILTER(P2650:P6718, AA2650:AA6718 =""Neighbor"")), """")"),1.2916812166220006)</f>
        <v>1.291681217</v>
      </c>
      <c r="AE2650" s="2">
        <f>IFERROR(__xludf.DUMMYFUNCTION("IFERROR(ABS(Q2650-AVERAGE(FILTER(Q2650:Q6718,AA2650:AA6718=""Neighbor""))) / STDEV(FILTER(Q2650:Q6718, AA2650:AA6718 =""Neighbor"")), """")"),0.15824867986836932)</f>
        <v>0.1582486799</v>
      </c>
      <c r="AF2650" s="2">
        <f>IFERROR(__xludf.DUMMYFUNCTION("IFERROR(ABS(R2650-AVERAGE(FILTER(R2650:R6718,AA2650:AA6718=""Neighbor""))) / STDEV(FILTER(R2650:R6718, AA2650:AA6718 =""Neighbor"")), """")"),0.3385469253531787)</f>
        <v>0.3385469254</v>
      </c>
    </row>
    <row r="2651">
      <c r="A2651" s="2" t="s">
        <v>28</v>
      </c>
      <c r="B2651" s="2" t="s">
        <v>29</v>
      </c>
      <c r="C2651" s="2" t="s">
        <v>555</v>
      </c>
      <c r="D2651" s="2" t="s">
        <v>10857</v>
      </c>
      <c r="E2651" s="2" t="s">
        <v>10858</v>
      </c>
      <c r="F2651" s="2">
        <v>105.0</v>
      </c>
      <c r="G2651" s="2">
        <v>181.0</v>
      </c>
      <c r="H2651" s="2" t="b">
        <v>1</v>
      </c>
      <c r="I2651" s="2">
        <v>-1.0</v>
      </c>
      <c r="J2651" s="2" t="b">
        <v>0</v>
      </c>
      <c r="K2651" s="2" t="b">
        <v>1</v>
      </c>
      <c r="L2651" s="2" t="b">
        <v>0</v>
      </c>
      <c r="M2651" s="2" t="b">
        <v>0</v>
      </c>
      <c r="N2651" s="2" t="s">
        <v>33</v>
      </c>
      <c r="O2651" s="2">
        <v>74.0</v>
      </c>
      <c r="P2651" s="2">
        <v>16.0</v>
      </c>
      <c r="Q2651" s="2">
        <v>13.0</v>
      </c>
      <c r="R2651" s="2">
        <v>0.0</v>
      </c>
      <c r="S2651" s="3" t="s">
        <v>10859</v>
      </c>
      <c r="T2651" s="2" t="s">
        <v>10860</v>
      </c>
      <c r="Y2651" s="4" t="str">
        <f>IFERROR(__xludf.DUMMYFUNCTION("""COMPUTED_VALUE"""),"7.1403297")</f>
        <v>7.1403297</v>
      </c>
      <c r="Z2651" s="4" t="str">
        <f>IFERROR(__xludf.DUMMYFUNCTION("""COMPUTED_VALUE"""),"3.3036439")</f>
        <v>3.3036439</v>
      </c>
      <c r="AA2651" s="4" t="str">
        <f t="shared" si="1"/>
        <v>Neighbor</v>
      </c>
      <c r="AC2651" s="4">
        <f>IFERROR(__xludf.DUMMYFUNCTION("IFERROR(ABS(O2651-AVERAGE(FILTER(O2651:O6719,AA2651:AA6719=""Neighbor""))) / STDEV(FILTER(O2651:O6719, AA2651:AA6719 =""Neighbor"")), """")"),0.7791855834484736)</f>
        <v>0.7791855834</v>
      </c>
      <c r="AD2651" s="4">
        <f>IFERROR(__xludf.DUMMYFUNCTION("IFERROR(ABS(P2651-AVERAGE(FILTER(O2651:P6719,AA2651:AA6719=""Neighbor""))) / STDEV(FILTER(P2651:P6719, AA2651:AA6719 =""Neighbor"")), """")"),0.7104360750514719)</f>
        <v>0.7104360751</v>
      </c>
      <c r="AE2651" s="2">
        <f>IFERROR(__xludf.DUMMYFUNCTION("IFERROR(ABS(Q2651-AVERAGE(FILTER(Q2651:Q6719,AA2651:AA6719=""Neighbor""))) / STDEV(FILTER(Q2651:Q6719, AA2651:AA6719 =""Neighbor"")), """")"),0.08377871287148969)</f>
        <v>0.08377871287</v>
      </c>
      <c r="AF2651" s="2">
        <f>IFERROR(__xludf.DUMMYFUNCTION("IFERROR(ABS(R2651-AVERAGE(FILTER(R2651:R6719,AA2651:AA6719=""Neighbor""))) / STDEV(FILTER(R2651:R6719, AA2651:AA6719 =""Neighbor"")), """")"),0.3385469253531787)</f>
        <v>0.3385469254</v>
      </c>
    </row>
    <row r="2652">
      <c r="A2652" s="2" t="s">
        <v>28</v>
      </c>
      <c r="B2652" s="2" t="s">
        <v>29</v>
      </c>
      <c r="C2652" s="2" t="s">
        <v>555</v>
      </c>
      <c r="D2652" s="2" t="s">
        <v>10861</v>
      </c>
      <c r="E2652" s="2" t="s">
        <v>10862</v>
      </c>
      <c r="F2652" s="2">
        <v>127.0</v>
      </c>
      <c r="G2652" s="2">
        <v>212.0</v>
      </c>
      <c r="H2652" s="2" t="b">
        <v>1</v>
      </c>
      <c r="I2652" s="2">
        <v>-1.0</v>
      </c>
      <c r="J2652" s="2" t="b">
        <v>0</v>
      </c>
      <c r="K2652" s="2" t="b">
        <v>0</v>
      </c>
      <c r="L2652" s="2" t="b">
        <v>0</v>
      </c>
      <c r="M2652" s="2" t="b">
        <v>0</v>
      </c>
      <c r="N2652" s="2" t="s">
        <v>33</v>
      </c>
      <c r="O2652" s="2">
        <v>71.0</v>
      </c>
      <c r="P2652" s="2">
        <v>42.0</v>
      </c>
      <c r="Q2652" s="2">
        <v>2.0</v>
      </c>
      <c r="R2652" s="2">
        <v>1.0</v>
      </c>
      <c r="S2652" s="3" t="s">
        <v>10863</v>
      </c>
      <c r="T2652" s="2" t="s">
        <v>10864</v>
      </c>
      <c r="Y2652" s="4" t="str">
        <f>IFERROR(__xludf.DUMMYFUNCTION("""COMPUTED_VALUE"""),"7.1403297")</f>
        <v>7.1403297</v>
      </c>
      <c r="Z2652" s="4" t="str">
        <f>IFERROR(__xludf.DUMMYFUNCTION("""COMPUTED_VALUE"""),"3.3036439")</f>
        <v>3.3036439</v>
      </c>
      <c r="AA2652" s="4" t="str">
        <f t="shared" si="1"/>
        <v>Neighbor</v>
      </c>
      <c r="AC2652" s="4">
        <f>IFERROR(__xludf.DUMMYFUNCTION("IFERROR(ABS(O2652-AVERAGE(FILTER(O2652:O6720,AA2652:AA6720=""Neighbor""))) / STDEV(FILTER(O2652:O6720, AA2652:AA6720 =""Neighbor"")), """")"),0.6918813158003104)</f>
        <v>0.6918813158</v>
      </c>
      <c r="AD2652" s="4">
        <f>IFERROR(__xludf.DUMMYFUNCTION("IFERROR(ABS(P2652-AVERAGE(FILTER(O2652:P6720,AA2652:AA6720=""Neighbor""))) / STDEV(FILTER(P2652:P6720, AA2652:AA6720 =""Neighbor"")), """")"),0.3695893717788047)</f>
        <v>0.3695893718</v>
      </c>
      <c r="AE2652" s="2">
        <f>IFERROR(__xludf.DUMMYFUNCTION("IFERROR(ABS(Q2652-AVERAGE(FILTER(Q2652:Q6720,AA2652:AA6720=""Neighbor""))) / STDEV(FILTER(Q2652:Q6720, AA2652:AA6720 =""Neighbor"")), """")"),0.7488246585937748)</f>
        <v>0.7488246586</v>
      </c>
      <c r="AF2652" s="2">
        <f>IFERROR(__xludf.DUMMYFUNCTION("IFERROR(ABS(R2652-AVERAGE(FILTER(R2652:R6720,AA2652:AA6720=""Neighbor""))) / STDEV(FILTER(R2652:R6720, AA2652:AA6720 =""Neighbor"")), """")"),0.7737365093983164)</f>
        <v>0.7737365094</v>
      </c>
    </row>
    <row r="2653">
      <c r="A2653" s="2" t="s">
        <v>28</v>
      </c>
      <c r="B2653" s="2" t="s">
        <v>29</v>
      </c>
      <c r="C2653" s="2" t="s">
        <v>555</v>
      </c>
      <c r="D2653" s="2" t="s">
        <v>10865</v>
      </c>
      <c r="E2653" s="2" t="s">
        <v>10866</v>
      </c>
      <c r="F2653" s="2">
        <v>227.0</v>
      </c>
      <c r="G2653" s="2">
        <v>452.0</v>
      </c>
      <c r="H2653" s="2" t="b">
        <v>1</v>
      </c>
      <c r="I2653" s="2">
        <v>-1.0</v>
      </c>
      <c r="J2653" s="2" t="b">
        <v>0</v>
      </c>
      <c r="K2653" s="2" t="b">
        <v>1</v>
      </c>
      <c r="L2653" s="2" t="b">
        <v>0</v>
      </c>
      <c r="M2653" s="2" t="b">
        <v>0</v>
      </c>
      <c r="N2653" s="2" t="s">
        <v>33</v>
      </c>
      <c r="O2653" s="2">
        <v>94.0</v>
      </c>
      <c r="P2653" s="2">
        <v>74.0</v>
      </c>
      <c r="Q2653" s="2">
        <v>20.0</v>
      </c>
      <c r="R2653" s="2">
        <v>1.0</v>
      </c>
      <c r="S2653" s="3" t="s">
        <v>10867</v>
      </c>
      <c r="T2653" s="2" t="s">
        <v>10868</v>
      </c>
      <c r="Y2653" s="4" t="str">
        <f>IFERROR(__xludf.DUMMYFUNCTION("""COMPUTED_VALUE"""),"7.1364667")</f>
        <v>7.1364667</v>
      </c>
      <c r="Z2653" s="4" t="str">
        <f>IFERROR(__xludf.DUMMYFUNCTION("""COMPUTED_VALUE"""),"3.3073766")</f>
        <v>3.3073766</v>
      </c>
      <c r="AA2653" s="4" t="str">
        <f t="shared" si="1"/>
        <v>Neighbor</v>
      </c>
      <c r="AC2653" s="4">
        <f>IFERROR(__xludf.DUMMYFUNCTION("IFERROR(ABS(O2653-AVERAGE(FILTER(O2653:O6721,AA2653:AA6721=""Neighbor""))) / STDEV(FILTER(O2653:O6721, AA2653:AA6721 =""Neighbor"")), """")"),1.3706364802775786)</f>
        <v>1.37063648</v>
      </c>
      <c r="AD2653" s="4">
        <f>IFERROR(__xludf.DUMMYFUNCTION("IFERROR(ABS(P2653-AVERAGE(FILTER(O2653:P6721,AA2653:AA6721=""Neighbor""))) / STDEV(FILTER(P2653:P6721, AA2653:AA6721 =""Neighbor"")), """")"),1.6986363524049843)</f>
        <v>1.698636352</v>
      </c>
      <c r="AE2653" s="2">
        <f>IFERROR(__xludf.DUMMYFUNCTION("IFERROR(ABS(Q2653-AVERAGE(FILTER(Q2653:Q6721,AA2653:AA6721=""Neighbor""))) / STDEV(FILTER(Q2653:Q6721, AA2653:AA6721 =""Neighbor"")), """")"),0.3377931767638168)</f>
        <v>0.3377931768</v>
      </c>
      <c r="AF2653" s="2">
        <f>IFERROR(__xludf.DUMMYFUNCTION("IFERROR(ABS(R2653-AVERAGE(FILTER(R2653:R6721,AA2653:AA6721=""Neighbor""))) / STDEV(FILTER(R2653:R6721, AA2653:AA6721 =""Neighbor"")), """")"),0.7748733021789841)</f>
        <v>0.7748733022</v>
      </c>
    </row>
    <row r="2654">
      <c r="A2654" s="2" t="s">
        <v>28</v>
      </c>
      <c r="B2654" s="2" t="s">
        <v>29</v>
      </c>
      <c r="C2654" s="2" t="s">
        <v>555</v>
      </c>
      <c r="D2654" s="2" t="s">
        <v>10869</v>
      </c>
      <c r="E2654" s="2" t="s">
        <v>10870</v>
      </c>
      <c r="F2654" s="2">
        <v>74.0</v>
      </c>
      <c r="G2654" s="2">
        <v>139.0</v>
      </c>
      <c r="H2654" s="2" t="b">
        <v>1</v>
      </c>
      <c r="I2654" s="2">
        <v>-1.0</v>
      </c>
      <c r="J2654" s="2" t="b">
        <v>0</v>
      </c>
      <c r="K2654" s="2" t="b">
        <v>0</v>
      </c>
      <c r="L2654" s="2" t="b">
        <v>0</v>
      </c>
      <c r="M2654" s="2" t="b">
        <v>0</v>
      </c>
      <c r="N2654" s="2" t="s">
        <v>33</v>
      </c>
      <c r="O2654" s="2">
        <v>43.0</v>
      </c>
      <c r="P2654" s="2">
        <v>12.0</v>
      </c>
      <c r="Q2654" s="2">
        <v>4.0</v>
      </c>
      <c r="R2654" s="2">
        <v>0.0</v>
      </c>
      <c r="S2654" s="3" t="s">
        <v>10871</v>
      </c>
      <c r="T2654" s="2" t="s">
        <v>10872</v>
      </c>
      <c r="Y2654" s="4" t="str">
        <f>IFERROR(__xludf.DUMMYFUNCTION("""COMPUTED_VALUE"""),"7.1364667")</f>
        <v>7.1364667</v>
      </c>
      <c r="Z2654" s="4" t="str">
        <f>IFERROR(__xludf.DUMMYFUNCTION("""COMPUTED_VALUE"""),"3.3073766")</f>
        <v>3.3073766</v>
      </c>
      <c r="AA2654" s="4" t="str">
        <f t="shared" si="1"/>
        <v>Neighbor</v>
      </c>
      <c r="AC2654" s="4">
        <f>IFERROR(__xludf.DUMMYFUNCTION("IFERROR(ABS(O2654-AVERAGE(FILTER(O2654:O6722,AA2654:AA6722=""Neighbor""))) / STDEV(FILTER(O2654:O6722, AA2654:AA6722 =""Neighbor"")), """")"),0.12992673953065015)</f>
        <v>0.1299267395</v>
      </c>
      <c r="AD2654" s="4">
        <f>IFERROR(__xludf.DUMMYFUNCTION("IFERROR(ABS(P2654-AVERAGE(FILTER(O2654:P6722,AA2654:AA6722=""Neighbor""))) / STDEV(FILTER(P2654:P6722, AA2654:AA6722 =""Neighbor"")), """")"),0.872540693558945)</f>
        <v>0.8725406936</v>
      </c>
      <c r="AE2654" s="2">
        <f>IFERROR(__xludf.DUMMYFUNCTION("IFERROR(ABS(Q2654-AVERAGE(FILTER(Q2654:Q6722,AA2654:AA6722=""Neighbor""))) / STDEV(FILTER(Q2654:Q6722, AA2654:AA6722 =""Neighbor"")), """")"),0.6279090729745547)</f>
        <v>0.627909073</v>
      </c>
      <c r="AF2654" s="2">
        <f>IFERROR(__xludf.DUMMYFUNCTION("IFERROR(ABS(R2654-AVERAGE(FILTER(R2654:R6722,AA2654:AA6722=""Neighbor""))) / STDEV(FILTER(R2654:R6722, AA2654:AA6722 =""Neighbor"")), """")"),0.33579546230122903)</f>
        <v>0.3357954623</v>
      </c>
    </row>
    <row r="2655">
      <c r="A2655" s="2" t="s">
        <v>28</v>
      </c>
      <c r="B2655" s="2" t="s">
        <v>29</v>
      </c>
      <c r="C2655" s="2" t="s">
        <v>555</v>
      </c>
      <c r="D2655" s="2" t="s">
        <v>10873</v>
      </c>
      <c r="E2655" s="2" t="s">
        <v>10874</v>
      </c>
      <c r="F2655" s="2">
        <v>77.0</v>
      </c>
      <c r="G2655" s="2">
        <v>134.0</v>
      </c>
      <c r="H2655" s="2" t="b">
        <v>1</v>
      </c>
      <c r="I2655" s="2">
        <v>-1.0</v>
      </c>
      <c r="J2655" s="2" t="b">
        <v>0</v>
      </c>
      <c r="K2655" s="2" t="b">
        <v>0</v>
      </c>
      <c r="L2655" s="2" t="b">
        <v>0</v>
      </c>
      <c r="M2655" s="2" t="b">
        <v>0</v>
      </c>
      <c r="N2655" s="2" t="s">
        <v>33</v>
      </c>
      <c r="O2655" s="2">
        <v>43.0</v>
      </c>
      <c r="P2655" s="2">
        <v>28.0</v>
      </c>
      <c r="Q2655" s="2">
        <v>2.0</v>
      </c>
      <c r="R2655" s="2">
        <v>0.0</v>
      </c>
      <c r="S2655" s="3" t="s">
        <v>10875</v>
      </c>
      <c r="T2655" s="2" t="s">
        <v>10876</v>
      </c>
      <c r="Y2655" s="4" t="str">
        <f>IFERROR(__xludf.DUMMYFUNCTION("""COMPUTED_VALUE"""),"7.1364667")</f>
        <v>7.1364667</v>
      </c>
      <c r="Z2655" s="4" t="str">
        <f>IFERROR(__xludf.DUMMYFUNCTION("""COMPUTED_VALUE"""),"3.3073766")</f>
        <v>3.3073766</v>
      </c>
      <c r="AA2655" s="4" t="str">
        <f t="shared" si="1"/>
        <v>Neighbor</v>
      </c>
      <c r="AC2655" s="4">
        <f>IFERROR(__xludf.DUMMYFUNCTION("IFERROR(ABS(O2655-AVERAGE(FILTER(O2655:O6723,AA2655:AA6723=""Neighbor""))) / STDEV(FILTER(O2655:O6723, AA2655:AA6723 =""Neighbor"")), """")"),0.13004835054104483)</f>
        <v>0.1300483505</v>
      </c>
      <c r="AD2655" s="4">
        <f>IFERROR(__xludf.DUMMYFUNCTION("IFERROR(ABS(P2655-AVERAGE(FILTER(O2655:P6723,AA2655:AA6723=""Neighbor""))) / STDEV(FILTER(P2655:P6723, AA2655:AA6723 =""Neighbor"")), """")"),0.20650000990319067)</f>
        <v>0.2065000099</v>
      </c>
      <c r="AE2655" s="2">
        <f>IFERROR(__xludf.DUMMYFUNCTION("IFERROR(ABS(Q2655-AVERAGE(FILTER(Q2655:Q6723,AA2655:AA6723=""Neighbor""))) / STDEV(FILTER(Q2655:Q6723, AA2655:AA6723 =""Neighbor"")), """")"),0.749404684022981)</f>
        <v>0.749404684</v>
      </c>
      <c r="AF2655" s="2">
        <f>IFERROR(__xludf.DUMMYFUNCTION("IFERROR(ABS(R2655-AVERAGE(FILTER(R2655:R6723,AA2655:AA6723=""Neighbor""))) / STDEV(FILTER(R2655:R6723, AA2655:AA6723 =""Neighbor"")), """")"),0.3361395537495785)</f>
        <v>0.3361395537</v>
      </c>
    </row>
    <row r="2656">
      <c r="A2656" s="2" t="s">
        <v>28</v>
      </c>
      <c r="B2656" s="2" t="s">
        <v>29</v>
      </c>
      <c r="C2656" s="2" t="s">
        <v>555</v>
      </c>
      <c r="D2656" s="2" t="s">
        <v>10877</v>
      </c>
      <c r="E2656" s="2" t="s">
        <v>10878</v>
      </c>
      <c r="F2656" s="2">
        <v>127.0</v>
      </c>
      <c r="G2656" s="2">
        <v>750.0</v>
      </c>
      <c r="H2656" s="2" t="b">
        <v>1</v>
      </c>
      <c r="I2656" s="2">
        <v>-1.0</v>
      </c>
      <c r="J2656" s="2" t="b">
        <v>0</v>
      </c>
      <c r="K2656" s="2" t="b">
        <v>1</v>
      </c>
      <c r="L2656" s="2" t="b">
        <v>0</v>
      </c>
      <c r="M2656" s="2" t="b">
        <v>0</v>
      </c>
      <c r="N2656" s="2" t="s">
        <v>33</v>
      </c>
      <c r="O2656" s="2">
        <v>60.0</v>
      </c>
      <c r="P2656" s="2">
        <v>38.0</v>
      </c>
      <c r="Q2656" s="2">
        <v>11.0</v>
      </c>
      <c r="R2656" s="2">
        <v>0.0</v>
      </c>
      <c r="S2656" s="3" t="s">
        <v>10879</v>
      </c>
      <c r="T2656" s="2" t="s">
        <v>10880</v>
      </c>
      <c r="Y2656" s="4" t="str">
        <f>IFERROR(__xludf.DUMMYFUNCTION("""COMPUTED_VALUE"""),"7.1364667")</f>
        <v>7.1364667</v>
      </c>
      <c r="Z2656" s="4" t="str">
        <f>IFERROR(__xludf.DUMMYFUNCTION("""COMPUTED_VALUE"""),"3.3073766")</f>
        <v>3.3073766</v>
      </c>
      <c r="AA2656" s="4" t="str">
        <f t="shared" si="1"/>
        <v>Neighbor</v>
      </c>
      <c r="AC2656" s="4">
        <f>IFERROR(__xludf.DUMMYFUNCTION("IFERROR(ABS(O2656-AVERAGE(FILTER(O2656:O6724,AA2656:AA6724=""Neighbor""))) / STDEV(FILTER(O2656:O6724, AA2656:AA6724 =""Neighbor"")), """")"),0.3703214534235661)</f>
        <v>0.3703214534</v>
      </c>
      <c r="AD2656" s="4">
        <f>IFERROR(__xludf.DUMMYFUNCTION("IFERROR(ABS(P2656-AVERAGE(FILTER(O2656:P6724,AA2656:AA6724=""Neighbor""))) / STDEV(FILTER(P2656:P6724, AA2656:AA6724 =""Neighbor"")), """")"),0.2096020323502333)</f>
        <v>0.2096020324</v>
      </c>
      <c r="AE2656" s="2">
        <f>IFERROR(__xludf.DUMMYFUNCTION("IFERROR(ABS(Q2656-AVERAGE(FILTER(Q2656:Q6724,AA2656:AA6724=""Neighbor""))) / STDEV(FILTER(Q2656:Q6724, AA2656:AA6724 =""Neighbor"")), """")"),0.20760734332341904)</f>
        <v>0.2076073433</v>
      </c>
      <c r="AF2656" s="2">
        <f>IFERROR(__xludf.DUMMYFUNCTION("IFERROR(ABS(R2656-AVERAGE(FILTER(R2656:R6724,AA2656:AA6724=""Neighbor""))) / STDEV(FILTER(R2656:R6724, AA2656:AA6724 =""Neighbor"")), """")"),0.3364847053837982)</f>
        <v>0.3364847054</v>
      </c>
    </row>
    <row r="2657">
      <c r="A2657" s="2" t="s">
        <v>28</v>
      </c>
      <c r="B2657" s="2" t="s">
        <v>29</v>
      </c>
      <c r="C2657" s="2" t="s">
        <v>555</v>
      </c>
      <c r="D2657" s="2" t="s">
        <v>10881</v>
      </c>
      <c r="E2657" s="2" t="s">
        <v>10882</v>
      </c>
      <c r="F2657" s="2">
        <v>49.0</v>
      </c>
      <c r="G2657" s="2">
        <v>88.0</v>
      </c>
      <c r="H2657" s="2" t="b">
        <v>1</v>
      </c>
      <c r="I2657" s="2">
        <v>-1.0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s">
        <v>33</v>
      </c>
      <c r="O2657" s="2">
        <v>24.0</v>
      </c>
      <c r="P2657" s="2">
        <v>11.0</v>
      </c>
      <c r="Q2657" s="2">
        <v>10.0</v>
      </c>
      <c r="R2657" s="2">
        <v>0.0</v>
      </c>
      <c r="S2657" s="3" t="s">
        <v>10883</v>
      </c>
      <c r="T2657" s="2" t="s">
        <v>10884</v>
      </c>
      <c r="Y2657" s="4" t="str">
        <f>IFERROR(__xludf.DUMMYFUNCTION("""COMPUTED_VALUE"""),"7.1364667")</f>
        <v>7.1364667</v>
      </c>
      <c r="Z2657" s="4" t="str">
        <f>IFERROR(__xludf.DUMMYFUNCTION("""COMPUTED_VALUE"""),"3.3073766")</f>
        <v>3.3073766</v>
      </c>
      <c r="AA2657" s="4" t="str">
        <f t="shared" si="1"/>
        <v>Neighbor</v>
      </c>
      <c r="AC2657" s="4">
        <f>IFERROR(__xludf.DUMMYFUNCTION("IFERROR(ABS(O2657-AVERAGE(FILTER(O2657:O6725,AA2657:AA6725=""Neighbor""))) / STDEV(FILTER(O2657:O6725, AA2657:AA6725 =""Neighbor"")), """")"),0.6883071051734168)</f>
        <v>0.6883071052</v>
      </c>
      <c r="AD2657" s="4">
        <f>IFERROR(__xludf.DUMMYFUNCTION("IFERROR(ABS(P2657-AVERAGE(FILTER(O2657:P6725,AA2657:AA6725=""Neighbor""))) / STDEV(FILTER(P2657:P6725, AA2657:AA6725 =""Neighbor"")), """")"),0.9113884638964918)</f>
        <v>0.9113884639</v>
      </c>
      <c r="AE2657" s="2">
        <f>IFERROR(__xludf.DUMMYFUNCTION("IFERROR(ABS(Q2657-AVERAGE(FILTER(Q2657:Q6725,AA2657:AA6725=""Neighbor""))) / STDEV(FILTER(Q2657:Q6725, AA2657:AA6725 =""Neighbor"")), """")"),0.2680738243459827)</f>
        <v>0.2680738243</v>
      </c>
      <c r="AF2657" s="2">
        <f>IFERROR(__xludf.DUMMYFUNCTION("IFERROR(ABS(R2657-AVERAGE(FILTER(R2657:R6725,AA2657:AA6725=""Neighbor""))) / STDEV(FILTER(R2657:R6725, AA2657:AA6725 =""Neighbor"")), """")"),0.3368309226604308)</f>
        <v>0.3368309227</v>
      </c>
    </row>
    <row r="2658">
      <c r="A2658" s="2" t="s">
        <v>28</v>
      </c>
      <c r="B2658" s="2" t="s">
        <v>29</v>
      </c>
      <c r="C2658" s="2" t="s">
        <v>555</v>
      </c>
      <c r="D2658" s="2" t="s">
        <v>10885</v>
      </c>
      <c r="E2658" s="2" t="s">
        <v>10886</v>
      </c>
      <c r="F2658" s="2">
        <v>118.0</v>
      </c>
      <c r="G2658" s="2">
        <v>220.0</v>
      </c>
      <c r="H2658" s="2" t="b">
        <v>1</v>
      </c>
      <c r="I2658" s="2">
        <v>-1.0</v>
      </c>
      <c r="J2658" s="2" t="b">
        <v>0</v>
      </c>
      <c r="K2658" s="2" t="b">
        <v>0</v>
      </c>
      <c r="L2658" s="2" t="b">
        <v>0</v>
      </c>
      <c r="M2658" s="2" t="b">
        <v>0</v>
      </c>
      <c r="N2658" s="2" t="s">
        <v>33</v>
      </c>
      <c r="O2658" s="2">
        <v>62.0</v>
      </c>
      <c r="P2658" s="2">
        <v>48.0</v>
      </c>
      <c r="Q2658" s="2">
        <v>7.0</v>
      </c>
      <c r="R2658" s="2">
        <v>0.0</v>
      </c>
      <c r="S2658" s="3" t="s">
        <v>10887</v>
      </c>
      <c r="T2658" s="2" t="s">
        <v>10888</v>
      </c>
      <c r="Y2658" s="4" t="str">
        <f>IFERROR(__xludf.DUMMYFUNCTION("""COMPUTED_VALUE"""),"7.1403297")</f>
        <v>7.1403297</v>
      </c>
      <c r="Z2658" s="4" t="str">
        <f>IFERROR(__xludf.DUMMYFUNCTION("""COMPUTED_VALUE"""),"3.3036439")</f>
        <v>3.3036439</v>
      </c>
      <c r="AA2658" s="4" t="str">
        <f t="shared" si="1"/>
        <v>Not Neighbor</v>
      </c>
      <c r="AC2658" s="4">
        <f>IFERROR(__xludf.DUMMYFUNCTION("IFERROR(ABS(O2658-AVERAGE(FILTER(O2658:O6726,AA2658:AA6726=""Neighbor""))) / STDEV(FILTER(O2658:O6726, AA2658:AA6726 =""Neighbor"")), """")"),0.4280590801458956)</f>
        <v>0.4280590801</v>
      </c>
      <c r="AD2658" s="4">
        <f>IFERROR(__xludf.DUMMYFUNCTION("IFERROR(ABS(P2658-AVERAGE(FILTER(O2658:P6726,AA2658:AA6726=""Neighbor""))) / STDEV(FILTER(P2658:P6726, AA2658:AA6726 =""Neighbor"")), """")"),0.6246706385278067)</f>
        <v>0.6246706385</v>
      </c>
      <c r="AE2658" s="2">
        <f>IFERROR(__xludf.DUMMYFUNCTION("IFERROR(ABS(Q2658-AVERAGE(FILTER(Q2658:Q6726,AA2658:AA6726=""Neighbor""))) / STDEV(FILTER(Q2658:Q6726, AA2658:AA6726 =""Neighbor"")), """")"),0.448983282172665)</f>
        <v>0.4489832822</v>
      </c>
      <c r="AF2658" s="2">
        <f>IFERROR(__xludf.DUMMYFUNCTION("IFERROR(ABS(R2658-AVERAGE(FILTER(R2658:R6726,AA2658:AA6726=""Neighbor""))) / STDEV(FILTER(R2658:R6726, AA2658:AA6726 =""Neighbor"")), """")"),0.3371782110754242)</f>
        <v>0.3371782111</v>
      </c>
    </row>
    <row r="2659">
      <c r="A2659" s="2" t="s">
        <v>28</v>
      </c>
      <c r="B2659" s="2" t="s">
        <v>29</v>
      </c>
      <c r="C2659" s="2" t="s">
        <v>555</v>
      </c>
      <c r="D2659" s="2" t="s">
        <v>10889</v>
      </c>
      <c r="E2659" s="2" t="s">
        <v>10890</v>
      </c>
      <c r="F2659" s="2">
        <v>69.0</v>
      </c>
      <c r="G2659" s="2">
        <v>139.0</v>
      </c>
      <c r="H2659" s="2" t="b">
        <v>1</v>
      </c>
      <c r="I2659" s="2">
        <v>-1.0</v>
      </c>
      <c r="J2659" s="2" t="b">
        <v>0</v>
      </c>
      <c r="K2659" s="2" t="b">
        <v>0</v>
      </c>
      <c r="L2659" s="2" t="b">
        <v>0</v>
      </c>
      <c r="M2659" s="2" t="b">
        <v>0</v>
      </c>
      <c r="N2659" s="2" t="s">
        <v>33</v>
      </c>
      <c r="O2659" s="2">
        <v>47.0</v>
      </c>
      <c r="P2659" s="2">
        <v>13.0</v>
      </c>
      <c r="Q2659" s="2">
        <v>3.0</v>
      </c>
      <c r="R2659" s="2">
        <v>0.0</v>
      </c>
      <c r="S2659" s="3" t="s">
        <v>10891</v>
      </c>
      <c r="T2659" s="2" t="s">
        <v>10892</v>
      </c>
      <c r="Y2659" s="4" t="str">
        <f>IFERROR(__xludf.DUMMYFUNCTION("""COMPUTED_VALUE"""),"6.498293")</f>
        <v>6.498293</v>
      </c>
      <c r="Z2659" s="4" t="str">
        <f>IFERROR(__xludf.DUMMYFUNCTION("""COMPUTED_VALUE"""),"3.348572")</f>
        <v>3.348572</v>
      </c>
      <c r="AA2659" s="4" t="str">
        <f t="shared" si="1"/>
        <v>Not Neighbor</v>
      </c>
      <c r="AC2659" s="4">
        <f>IFERROR(__xludf.DUMMYFUNCTION("IFERROR(ABS(O2659-AVERAGE(FILTER(O2659:O6727,AA2659:AA6727=""Neighbor""))) / STDEV(FILTER(O2659:O6727, AA2659:AA6727 =""Neighbor"")), """")"),0.012983058630651618)</f>
        <v>0.01298305863</v>
      </c>
      <c r="AD2659" s="4">
        <f>IFERROR(__xludf.DUMMYFUNCTION("IFERROR(ABS(P2659-AVERAGE(FILTER(O2659:P6727,AA2659:AA6727=""Neighbor""))) / STDEV(FILTER(P2659:P6727, AA2659:AA6727 =""Neighbor"")), """")"),0.8287595040260997)</f>
        <v>0.828759504</v>
      </c>
      <c r="AE2659" s="2">
        <f>IFERROR(__xludf.DUMMYFUNCTION("IFERROR(ABS(Q2659-AVERAGE(FILTER(Q2659:Q6727,AA2659:AA6727=""Neighbor""))) / STDEV(FILTER(Q2659:Q6727, AA2659:AA6727 =""Neighbor"")), """")"),0.6898411961722334)</f>
        <v>0.6898411962</v>
      </c>
      <c r="AF2659" s="2">
        <f>IFERROR(__xludf.DUMMYFUNCTION("IFERROR(ABS(R2659-AVERAGE(FILTER(R2659:R6727,AA2659:AA6727=""Neighbor""))) / STDEV(FILTER(R2659:R6727, AA2659:AA6727 =""Neighbor"")), """")"),0.3371782110754242)</f>
        <v>0.3371782111</v>
      </c>
    </row>
    <row r="2660">
      <c r="A2660" s="2" t="s">
        <v>28</v>
      </c>
      <c r="B2660" s="2" t="s">
        <v>29</v>
      </c>
      <c r="C2660" s="2" t="s">
        <v>327</v>
      </c>
      <c r="D2660" s="2" t="s">
        <v>10893</v>
      </c>
      <c r="E2660" s="2" t="s">
        <v>10894</v>
      </c>
      <c r="F2660" s="2">
        <v>58.0</v>
      </c>
      <c r="G2660" s="2">
        <v>111.0</v>
      </c>
      <c r="H2660" s="2" t="b">
        <v>1</v>
      </c>
      <c r="I2660" s="2">
        <v>-1.0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s">
        <v>33</v>
      </c>
      <c r="O2660" s="2">
        <v>41.0</v>
      </c>
      <c r="P2660" s="2">
        <v>6.0</v>
      </c>
      <c r="Q2660" s="2">
        <v>10.0</v>
      </c>
      <c r="R2660" s="2">
        <v>0.0</v>
      </c>
      <c r="S2660" s="3" t="s">
        <v>10895</v>
      </c>
      <c r="T2660" s="2" t="s">
        <v>10896</v>
      </c>
      <c r="Y2660" s="4" t="str">
        <f>IFERROR(__xludf.DUMMYFUNCTION("""COMPUTED_VALUE"""),"7.1549828")</f>
        <v>7.1549828</v>
      </c>
      <c r="Z2660" s="4" t="str">
        <f>IFERROR(__xludf.DUMMYFUNCTION("""COMPUTED_VALUE"""),"3.3225235")</f>
        <v>3.3225235</v>
      </c>
      <c r="AA2660" s="4" t="str">
        <f t="shared" si="1"/>
        <v>Neighbor</v>
      </c>
      <c r="AC2660" s="4">
        <f>IFERROR(__xludf.DUMMYFUNCTION("IFERROR(ABS(O2660-AVERAGE(FILTER(O2660:O6728,AA2660:AA6728=""Neighbor""))) / STDEV(FILTER(O2660:O6728, AA2660:AA6728 =""Neighbor"")), """")"),0.18939991414127053)</f>
        <v>0.1893999141</v>
      </c>
      <c r="AD2660" s="4">
        <f>IFERROR(__xludf.DUMMYFUNCTION("IFERROR(ABS(P2660-AVERAGE(FILTER(O2660:P6728,AA2660:AA6728=""Neighbor""))) / STDEV(FILTER(P2660:P6728, AA2660:AA6728 =""Neighbor"")), """")"),1.1194455325368808)</f>
        <v>1.119445533</v>
      </c>
      <c r="AE2660" s="2">
        <f>IFERROR(__xludf.DUMMYFUNCTION("IFERROR(ABS(Q2660-AVERAGE(FILTER(Q2660:Q6728,AA2660:AA6728=""Neighbor""))) / STDEV(FILTER(Q2660:Q6728, AA2660:AA6728 =""Neighbor"")), """")"),0.2683398466729886)</f>
        <v>0.2683398467</v>
      </c>
      <c r="AF2660" s="2">
        <f>IFERROR(__xludf.DUMMYFUNCTION("IFERROR(ABS(R2660-AVERAGE(FILTER(R2660:R6728,AA2660:AA6728=""Neighbor""))) / STDEV(FILTER(R2660:R6728, AA2660:AA6728 =""Neighbor"")), """")"),0.3371782110754242)</f>
        <v>0.3371782111</v>
      </c>
    </row>
    <row r="2661">
      <c r="A2661" s="2" t="s">
        <v>28</v>
      </c>
      <c r="B2661" s="2" t="s">
        <v>29</v>
      </c>
      <c r="C2661" s="2" t="s">
        <v>327</v>
      </c>
      <c r="D2661" s="2" t="s">
        <v>10897</v>
      </c>
      <c r="E2661" s="2" t="s">
        <v>10898</v>
      </c>
      <c r="F2661" s="2">
        <v>67.0</v>
      </c>
      <c r="G2661" s="2">
        <v>161.0</v>
      </c>
      <c r="H2661" s="2" t="b">
        <v>1</v>
      </c>
      <c r="I2661" s="2">
        <v>-1.0</v>
      </c>
      <c r="J2661" s="2" t="b">
        <v>0</v>
      </c>
      <c r="K2661" s="2" t="b">
        <v>0</v>
      </c>
      <c r="L2661" s="2" t="b">
        <v>0</v>
      </c>
      <c r="M2661" s="2" t="b">
        <v>0</v>
      </c>
      <c r="N2661" s="2" t="s">
        <v>33</v>
      </c>
      <c r="O2661" s="2">
        <v>35.0</v>
      </c>
      <c r="P2661" s="2">
        <v>21.0</v>
      </c>
      <c r="Q2661" s="2">
        <v>10.0</v>
      </c>
      <c r="R2661" s="2">
        <v>0.0</v>
      </c>
      <c r="S2661" s="3" t="s">
        <v>10899</v>
      </c>
      <c r="T2661" s="2" t="s">
        <v>10900</v>
      </c>
      <c r="Y2661" s="4" t="str">
        <f>IFERROR(__xludf.DUMMYFUNCTION("""COMPUTED_VALUE"""),"7.1549828")</f>
        <v>7.1549828</v>
      </c>
      <c r="Z2661" s="4" t="str">
        <f>IFERROR(__xludf.DUMMYFUNCTION("""COMPUTED_VALUE"""),"3.3225235")</f>
        <v>3.3225235</v>
      </c>
      <c r="AA2661" s="4" t="str">
        <f t="shared" si="1"/>
        <v>Neighbor</v>
      </c>
      <c r="AC2661" s="4">
        <f>IFERROR(__xludf.DUMMYFUNCTION("IFERROR(ABS(O2661-AVERAGE(FILTER(O2661:O6729,AA2661:AA6729=""Neighbor""))) / STDEV(FILTER(O2661:O6729, AA2661:AA6729 =""Neighbor"")), """")"),0.36584056971563533)</f>
        <v>0.3658405697</v>
      </c>
      <c r="AD2661" s="4">
        <f>IFERROR(__xludf.DUMMYFUNCTION("IFERROR(ABS(P2661-AVERAGE(FILTER(O2661:P6729,AA2661:AA6729=""Neighbor""))) / STDEV(FILTER(P2661:P6729, AA2661:AA6729 =""Neighbor"")), """")"),0.49693866565514555)</f>
        <v>0.4969386657</v>
      </c>
      <c r="AE2661" s="2">
        <f>IFERROR(__xludf.DUMMYFUNCTION("IFERROR(ABS(Q2661-AVERAGE(FILTER(Q2661:Q6729,AA2661:AA6729=""Neighbor""))) / STDEV(FILTER(Q2661:Q6729, AA2661:AA6729 =""Neighbor"")), """")"),0.26860666265565764)</f>
        <v>0.2686066627</v>
      </c>
      <c r="AF2661" s="2">
        <f>IFERROR(__xludf.DUMMYFUNCTION("IFERROR(ABS(R2661-AVERAGE(FILTER(R2661:R6729,AA2661:AA6729=""Neighbor""))) / STDEV(FILTER(R2661:R6729, AA2661:AA6729 =""Neighbor"")), """")"),0.3375265761644978)</f>
        <v>0.3375265762</v>
      </c>
    </row>
    <row r="2662">
      <c r="A2662" s="2" t="s">
        <v>28</v>
      </c>
      <c r="B2662" s="2" t="s">
        <v>29</v>
      </c>
      <c r="C2662" s="2" t="s">
        <v>327</v>
      </c>
      <c r="D2662" s="2" t="s">
        <v>10901</v>
      </c>
      <c r="E2662" s="2" t="s">
        <v>10902</v>
      </c>
      <c r="F2662" s="2">
        <v>60.0</v>
      </c>
      <c r="G2662" s="2">
        <v>93.0</v>
      </c>
      <c r="H2662" s="2" t="b">
        <v>1</v>
      </c>
      <c r="I2662" s="2">
        <v>-1.0</v>
      </c>
      <c r="J2662" s="2" t="b">
        <v>0</v>
      </c>
      <c r="K2662" s="2" t="b">
        <v>0</v>
      </c>
      <c r="L2662" s="2" t="b">
        <v>0</v>
      </c>
      <c r="M2662" s="2" t="b">
        <v>0</v>
      </c>
      <c r="N2662" s="2" t="s">
        <v>33</v>
      </c>
      <c r="O2662" s="2">
        <v>0.0</v>
      </c>
      <c r="P2662" s="2">
        <v>0.0</v>
      </c>
      <c r="Q2662" s="2">
        <v>0.0</v>
      </c>
      <c r="R2662" s="2">
        <v>0.0</v>
      </c>
      <c r="S2662" s="3" t="s">
        <v>10903</v>
      </c>
      <c r="T2662" s="2" t="s">
        <v>10904</v>
      </c>
      <c r="Y2662" s="4" t="str">
        <f>IFERROR(__xludf.DUMMYFUNCTION("""COMPUTED_VALUE"""),"7.1493911")</f>
        <v>7.1493911</v>
      </c>
      <c r="Z2662" s="4" t="str">
        <f>IFERROR(__xludf.DUMMYFUNCTION("""COMPUTED_VALUE"""),"3.3244653")</f>
        <v>3.3244653</v>
      </c>
      <c r="AA2662" s="4" t="str">
        <f t="shared" si="1"/>
        <v>Not Neighbor</v>
      </c>
      <c r="AC2662" s="4">
        <f>IFERROR(__xludf.DUMMYFUNCTION("IFERROR(ABS(O2662-AVERAGE(FILTER(O2662:O6730,AA2662:AA6730=""Neighbor""))) / STDEV(FILTER(O2662:O6730, AA2662:AA6730 =""Neighbor"")), """")"),1.393572438831595)</f>
        <v>1.393572439</v>
      </c>
      <c r="AD2662" s="4">
        <f>IFERROR(__xludf.DUMMYFUNCTION("IFERROR(ABS(P2662-AVERAGE(FILTER(O2662:P6730,AA2662:AA6730=""Neighbor""))) / STDEV(FILTER(P2662:P6730, AA2662:AA6730 =""Neighbor"")), """")"),1.3675267836944438)</f>
        <v>1.367526784</v>
      </c>
      <c r="AE2662" s="2">
        <f>IFERROR(__xludf.DUMMYFUNCTION("IFERROR(ABS(Q2662-AVERAGE(FILTER(Q2662:Q6730,AA2662:AA6730=""Neighbor""))) / STDEV(FILTER(Q2662:Q6730, AA2662:AA6730 =""Neighbor"")), """")"),0.8699795482953145)</f>
        <v>0.8699795483</v>
      </c>
      <c r="AF2662" s="2">
        <f>IFERROR(__xludf.DUMMYFUNCTION("IFERROR(ABS(R2662-AVERAGE(FILTER(R2662:R6730,AA2662:AA6730=""Neighbor""))) / STDEV(FILTER(R2662:R6730, AA2662:AA6730 =""Neighbor"")), """")"),0.33787602350351387)</f>
        <v>0.3378760235</v>
      </c>
    </row>
    <row r="2663">
      <c r="A2663" s="2" t="s">
        <v>28</v>
      </c>
      <c r="B2663" s="2" t="s">
        <v>29</v>
      </c>
      <c r="C2663" s="2" t="s">
        <v>327</v>
      </c>
      <c r="D2663" s="2" t="s">
        <v>10905</v>
      </c>
      <c r="E2663" s="2" t="s">
        <v>10906</v>
      </c>
      <c r="F2663" s="2">
        <v>45.0</v>
      </c>
      <c r="G2663" s="2">
        <v>86.0</v>
      </c>
      <c r="H2663" s="2" t="b">
        <v>1</v>
      </c>
      <c r="I2663" s="2">
        <v>-1.0</v>
      </c>
      <c r="J2663" s="2" t="b">
        <v>0</v>
      </c>
      <c r="K2663" s="2" t="b">
        <v>0</v>
      </c>
      <c r="L2663" s="2" t="b">
        <v>0</v>
      </c>
      <c r="M2663" s="2" t="b">
        <v>0</v>
      </c>
      <c r="N2663" s="2" t="s">
        <v>33</v>
      </c>
      <c r="O2663" s="2">
        <v>19.0</v>
      </c>
      <c r="P2663" s="2">
        <v>10.0</v>
      </c>
      <c r="Q2663" s="2">
        <v>7.0</v>
      </c>
      <c r="R2663" s="2">
        <v>0.0</v>
      </c>
      <c r="S2663" s="3" t="s">
        <v>10907</v>
      </c>
      <c r="T2663" s="2" t="s">
        <v>10908</v>
      </c>
      <c r="Y2663" s="4" t="str">
        <f>IFERROR(__xludf.DUMMYFUNCTION("""COMPUTED_VALUE"""),"7.1596662")</f>
        <v>7.1596662</v>
      </c>
      <c r="Z2663" s="4" t="str">
        <f>IFERROR(__xludf.DUMMYFUNCTION("""COMPUTED_VALUE"""),"3.3256708")</f>
        <v>3.3256708</v>
      </c>
      <c r="AA2663" s="4" t="str">
        <f t="shared" si="1"/>
        <v>Neighbor</v>
      </c>
      <c r="AC2663" s="4">
        <f>IFERROR(__xludf.DUMMYFUNCTION("IFERROR(ABS(O2663-AVERAGE(FILTER(O2663:O6731,AA2663:AA6731=""Neighbor""))) / STDEV(FILTER(O2663:O6731, AA2663:AA6731 =""Neighbor"")), """")"),0.8358701602123064)</f>
        <v>0.8358701602</v>
      </c>
      <c r="AD2663" s="4">
        <f>IFERROR(__xludf.DUMMYFUNCTION("IFERROR(ABS(P2663-AVERAGE(FILTER(O2663:P6731,AA2663:AA6731=""Neighbor""))) / STDEV(FILTER(P2663:P6731, AA2663:AA6731 =""Neighbor"")), """")"),0.9529258618347876)</f>
        <v>0.9529258618</v>
      </c>
      <c r="AE2663" s="2">
        <f>IFERROR(__xludf.DUMMYFUNCTION("IFERROR(ABS(Q2663-AVERAGE(FILTER(Q2663:Q6731,AA2663:AA6731=""Neighbor""))) / STDEV(FILTER(Q2663:Q6731, AA2663:AA6731 =""Neighbor"")), """")"),0.4492058578627248)</f>
        <v>0.4492058579</v>
      </c>
      <c r="AF2663" s="2">
        <f>IFERROR(__xludf.DUMMYFUNCTION("IFERROR(ABS(R2663-AVERAGE(FILTER(R2663:R6731,AA2663:AA6731=""Neighbor""))) / STDEV(FILTER(R2663:R6731, AA2663:AA6731 =""Neighbor"")), """")"),0.33787602350351387)</f>
        <v>0.3378760235</v>
      </c>
    </row>
    <row r="2664">
      <c r="A2664" s="2" t="s">
        <v>28</v>
      </c>
      <c r="B2664" s="2" t="s">
        <v>29</v>
      </c>
      <c r="C2664" s="2" t="s">
        <v>327</v>
      </c>
      <c r="D2664" s="2" t="s">
        <v>10909</v>
      </c>
      <c r="E2664" s="2" t="s">
        <v>10910</v>
      </c>
      <c r="F2664" s="2">
        <v>81.0</v>
      </c>
      <c r="G2664" s="2">
        <v>154.0</v>
      </c>
      <c r="H2664" s="2" t="b">
        <v>1</v>
      </c>
      <c r="I2664" s="2">
        <v>-1.0</v>
      </c>
      <c r="J2664" s="2" t="b">
        <v>0</v>
      </c>
      <c r="K2664" s="2" t="b">
        <v>0</v>
      </c>
      <c r="L2664" s="2" t="b">
        <v>0</v>
      </c>
      <c r="M2664" s="2" t="b">
        <v>0</v>
      </c>
      <c r="N2664" s="2" t="s">
        <v>33</v>
      </c>
      <c r="O2664" s="2">
        <v>33.0</v>
      </c>
      <c r="P2664" s="2">
        <v>26.0</v>
      </c>
      <c r="Q2664" s="2">
        <v>7.0</v>
      </c>
      <c r="R2664" s="2">
        <v>0.0</v>
      </c>
      <c r="S2664" s="3" t="s">
        <v>10911</v>
      </c>
      <c r="T2664" s="2" t="s">
        <v>10912</v>
      </c>
      <c r="Y2664" s="4" t="str">
        <f>IFERROR(__xludf.DUMMYFUNCTION("""COMPUTED_VALUE"""),"7.1686022")</f>
        <v>7.1686022</v>
      </c>
      <c r="Z2664" s="4" t="str">
        <f>IFERROR(__xludf.DUMMYFUNCTION("""COMPUTED_VALUE"""),"3.3163778")</f>
        <v>3.3163778</v>
      </c>
      <c r="AA2664" s="4" t="str">
        <f t="shared" si="1"/>
        <v>Not Neighbor</v>
      </c>
      <c r="AC2664" s="4">
        <f>IFERROR(__xludf.DUMMYFUNCTION("IFERROR(ABS(O2664-AVERAGE(FILTER(O2664:O6732,AA2664:AA6732=""Neighbor""))) / STDEV(FILTER(O2664:O6732, AA2664:AA6732 =""Neighbor"")), """")"),0.42637156470368603)</f>
        <v>0.4263715647</v>
      </c>
      <c r="AD2664" s="4">
        <f>IFERROR(__xludf.DUMMYFUNCTION("IFERROR(ABS(P2664-AVERAGE(FILTER(O2664:P6732,AA2664:AA6732=""Neighbor""))) / STDEV(FILTER(P2664:P6732, AA2664:AA6732 =""Neighbor"")), """")"),0.29075626097195256)</f>
        <v>0.290756261</v>
      </c>
      <c r="AE2664" s="2">
        <f>IFERROR(__xludf.DUMMYFUNCTION("IFERROR(ABS(Q2664-AVERAGE(FILTER(Q2664:Q6732,AA2664:AA6732=""Neighbor""))) / STDEV(FILTER(Q2664:Q6732, AA2664:AA6732 =""Neighbor"")), """")"),0.44970873140679724)</f>
        <v>0.4497087314</v>
      </c>
      <c r="AF2664" s="2">
        <f>IFERROR(__xludf.DUMMYFUNCTION("IFERROR(ABS(R2664-AVERAGE(FILTER(R2664:R6732,AA2664:AA6732=""Neighbor""))) / STDEV(FILTER(R2664:R6732, AA2664:AA6732 =""Neighbor"")), """")"),0.33822655870885204)</f>
        <v>0.3382265587</v>
      </c>
    </row>
    <row r="2665">
      <c r="A2665" s="2" t="s">
        <v>28</v>
      </c>
      <c r="B2665" s="2" t="s">
        <v>29</v>
      </c>
      <c r="C2665" s="2" t="s">
        <v>409</v>
      </c>
      <c r="D2665" s="2" t="s">
        <v>10913</v>
      </c>
      <c r="E2665" s="2" t="s">
        <v>10914</v>
      </c>
      <c r="F2665" s="2">
        <v>66.0</v>
      </c>
      <c r="G2665" s="2">
        <v>117.0</v>
      </c>
      <c r="H2665" s="2" t="b">
        <v>1</v>
      </c>
      <c r="I2665" s="2">
        <v>-1.0</v>
      </c>
      <c r="J2665" s="2" t="b">
        <v>0</v>
      </c>
      <c r="K2665" s="2" t="b">
        <v>1</v>
      </c>
      <c r="L2665" s="2" t="b">
        <v>0</v>
      </c>
      <c r="M2665" s="2" t="b">
        <v>0</v>
      </c>
      <c r="N2665" s="2" t="s">
        <v>33</v>
      </c>
      <c r="O2665" s="2">
        <v>58.0</v>
      </c>
      <c r="P2665" s="2">
        <v>0.0</v>
      </c>
      <c r="Q2665" s="2">
        <v>3.0</v>
      </c>
      <c r="R2665" s="2">
        <v>0.0</v>
      </c>
      <c r="S2665" s="3" t="s">
        <v>10915</v>
      </c>
      <c r="T2665" s="2" t="s">
        <v>10916</v>
      </c>
      <c r="Y2665" s="4" t="str">
        <f>IFERROR(__xludf.DUMMYFUNCTION("""COMPUTED_VALUE"""),"7.1569136")</f>
        <v>7.1569136</v>
      </c>
      <c r="Z2665" s="4" t="str">
        <f>IFERROR(__xludf.DUMMYFUNCTION("""COMPUTED_VALUE"""),"3.3344843")</f>
        <v>3.3344843</v>
      </c>
      <c r="AA2665" s="4" t="str">
        <f t="shared" si="1"/>
        <v>Neighbor</v>
      </c>
      <c r="AC2665" s="4">
        <f>IFERROR(__xludf.DUMMYFUNCTION("IFERROR(ABS(O2665-AVERAGE(FILTER(O2665:O6733,AA2665:AA6733=""Neighbor""))) / STDEV(FILTER(O2665:O6733, AA2665:AA6733 =""Neighbor"")), """")"),0.3072415538157532)</f>
        <v>0.3072415538</v>
      </c>
      <c r="AD2665" s="4">
        <f>IFERROR(__xludf.DUMMYFUNCTION("IFERROR(ABS(P2665-AVERAGE(FILTER(O2665:P6733,AA2665:AA6733=""Neighbor""))) / STDEV(FILTER(P2665:P6733, AA2665:AA6733 =""Neighbor"")), """")"),1.3678374020950606)</f>
        <v>1.367837402</v>
      </c>
      <c r="AE2665" s="2">
        <f>IFERROR(__xludf.DUMMYFUNCTION("IFERROR(ABS(Q2665-AVERAGE(FILTER(Q2665:Q6733,AA2665:AA6733=""Neighbor""))) / STDEV(FILTER(Q2665:Q6733, AA2665:AA6733 =""Neighbor"")), """")"),0.6899717566089336)</f>
        <v>0.6899717566</v>
      </c>
      <c r="AF2665" s="2">
        <f>IFERROR(__xludf.DUMMYFUNCTION("IFERROR(ABS(R2665-AVERAGE(FILTER(R2665:R6733,AA2665:AA6733=""Neighbor""))) / STDEV(FILTER(R2665:R6733, AA2665:AA6733 =""Neighbor"")), """")"),0.33822655870885204)</f>
        <v>0.3382265587</v>
      </c>
    </row>
    <row r="2666">
      <c r="A2666" s="2" t="s">
        <v>28</v>
      </c>
      <c r="B2666" s="2" t="s">
        <v>29</v>
      </c>
      <c r="C2666" s="2" t="s">
        <v>409</v>
      </c>
      <c r="D2666" s="2" t="s">
        <v>10917</v>
      </c>
      <c r="E2666" s="2" t="s">
        <v>10918</v>
      </c>
      <c r="F2666" s="2">
        <v>77.0</v>
      </c>
      <c r="G2666" s="2">
        <v>121.0</v>
      </c>
      <c r="H2666" s="2" t="b">
        <v>1</v>
      </c>
      <c r="I2666" s="2">
        <v>-1.0</v>
      </c>
      <c r="J2666" s="2" t="b">
        <v>0</v>
      </c>
      <c r="K2666" s="2" t="b">
        <v>0</v>
      </c>
      <c r="L2666" s="2" t="b">
        <v>0</v>
      </c>
      <c r="M2666" s="2" t="b">
        <v>0</v>
      </c>
      <c r="N2666" s="2" t="s">
        <v>33</v>
      </c>
      <c r="O2666" s="2">
        <v>56.0</v>
      </c>
      <c r="P2666" s="2">
        <v>0.0</v>
      </c>
      <c r="Q2666" s="2">
        <v>12.0</v>
      </c>
      <c r="R2666" s="2">
        <v>0.0</v>
      </c>
      <c r="S2666" s="3" t="s">
        <v>10919</v>
      </c>
      <c r="T2666" s="2" t="s">
        <v>10920</v>
      </c>
      <c r="Y2666" s="4" t="str">
        <f>IFERROR(__xludf.DUMMYFUNCTION("""COMPUTED_VALUE"""),"7.1569136")</f>
        <v>7.1569136</v>
      </c>
      <c r="Z2666" s="4" t="str">
        <f>IFERROR(__xludf.DUMMYFUNCTION("""COMPUTED_VALUE"""),"3.3344843")</f>
        <v>3.3344843</v>
      </c>
      <c r="AA2666" s="4" t="str">
        <f t="shared" si="1"/>
        <v>Not Neighbor</v>
      </c>
      <c r="AC2666" s="4">
        <f>IFERROR(__xludf.DUMMYFUNCTION("IFERROR(ABS(O2666-AVERAGE(FILTER(O2666:O6734,AA2666:AA6734=""Neighbor""))) / STDEV(FILTER(O2666:O6734, AA2666:AA6734 =""Neighbor"")), """")"),0.24891585177264275)</f>
        <v>0.2489158518</v>
      </c>
      <c r="AD2666" s="4">
        <f>IFERROR(__xludf.DUMMYFUNCTION("IFERROR(ABS(P2666-AVERAGE(FILTER(O2666:P6734,AA2666:AA6734=""Neighbor""))) / STDEV(FILTER(P2666:P6734, AA2666:AA6734 =""Neighbor"")), """")"),1.3676222676560161)</f>
        <v>1.367622268</v>
      </c>
      <c r="AE2666" s="2">
        <f>IFERROR(__xludf.DUMMYFUNCTION("IFERROR(ABS(Q2666-AVERAGE(FILTER(Q2666:Q6734,AA2666:AA6734=""Neighbor""))) / STDEV(FILTER(Q2666:Q6734, AA2666:AA6734 =""Neighbor"")), """")"),0.15059588100176777)</f>
        <v>0.150595881</v>
      </c>
      <c r="AF2666" s="2">
        <f>IFERROR(__xludf.DUMMYFUNCTION("IFERROR(ABS(R2666-AVERAGE(FILTER(R2666:R6734,AA2666:AA6734=""Neighbor""))) / STDEV(FILTER(R2666:R6734, AA2666:AA6734 =""Neighbor"")), """")"),0.3385781874377891)</f>
        <v>0.3385781874</v>
      </c>
    </row>
    <row r="2667">
      <c r="A2667" s="2" t="s">
        <v>28</v>
      </c>
      <c r="B2667" s="2" t="s">
        <v>29</v>
      </c>
      <c r="C2667" s="2" t="s">
        <v>364</v>
      </c>
      <c r="D2667" s="2" t="s">
        <v>10921</v>
      </c>
      <c r="E2667" s="2" t="s">
        <v>10922</v>
      </c>
      <c r="F2667" s="2">
        <v>76.0</v>
      </c>
      <c r="G2667" s="2">
        <v>113.0</v>
      </c>
      <c r="H2667" s="2" t="b">
        <v>1</v>
      </c>
      <c r="I2667" s="2">
        <v>-1.0</v>
      </c>
      <c r="J2667" s="2" t="b">
        <v>0</v>
      </c>
      <c r="K2667" s="2" t="b">
        <v>0</v>
      </c>
      <c r="L2667" s="2" t="b">
        <v>0</v>
      </c>
      <c r="M2667" s="2" t="b">
        <v>0</v>
      </c>
      <c r="N2667" s="2" t="s">
        <v>33</v>
      </c>
      <c r="O2667" s="2">
        <v>46.0</v>
      </c>
      <c r="P2667" s="2">
        <v>9.0</v>
      </c>
      <c r="Q2667" s="2">
        <v>15.0</v>
      </c>
      <c r="R2667" s="2">
        <v>0.0</v>
      </c>
      <c r="S2667" s="3" t="s">
        <v>10923</v>
      </c>
      <c r="T2667" s="2" t="s">
        <v>10924</v>
      </c>
      <c r="Y2667" s="4" t="str">
        <f>IFERROR(__xludf.DUMMYFUNCTION("""COMPUTED_VALUE"""),"7.2114285")</f>
        <v>7.2114285</v>
      </c>
      <c r="Z2667" s="4" t="str">
        <f>IFERROR(__xludf.DUMMYFUNCTION("""COMPUTED_VALUE"""),"3.1378173")</f>
        <v>3.1378173</v>
      </c>
      <c r="AA2667" s="4" t="str">
        <f t="shared" si="1"/>
        <v>Neighbor</v>
      </c>
      <c r="AC2667" s="4">
        <f>IFERROR(__xludf.DUMMYFUNCTION("IFERROR(ABS(O2667-AVERAGE(FILTER(O2667:O6735,AA2667:AA6735=""Neighbor""))) / STDEV(FILTER(O2667:O6735, AA2667:AA6735 =""Neighbor"")), """")"),0.04428093532194967)</f>
        <v>0.04428093532</v>
      </c>
      <c r="AD2667" s="4">
        <f>IFERROR(__xludf.DUMMYFUNCTION("IFERROR(ABS(P2667-AVERAGE(FILTER(O2667:P6735,AA2667:AA6735=""Neighbor""))) / STDEV(FILTER(P2667:P6735, AA2667:AA6735 =""Neighbor"")), """")"),0.9949299127540003)</f>
        <v>0.9949299128</v>
      </c>
      <c r="AE2667" s="2">
        <f>IFERROR(__xludf.DUMMYFUNCTION("IFERROR(ABS(Q2667-AVERAGE(FILTER(Q2667:Q6735,AA2667:AA6735=""Neighbor""))) / STDEV(FILTER(Q2667:Q6735, AA2667:AA6735 =""Neighbor"")), """")"),0.029513201716441763)</f>
        <v>0.02951320172</v>
      </c>
      <c r="AF2667" s="2">
        <f>IFERROR(__xludf.DUMMYFUNCTION("IFERROR(ABS(R2667-AVERAGE(FILTER(R2667:R6735,AA2667:AA6735=""Neighbor""))) / STDEV(FILTER(R2667:R6735, AA2667:AA6735 =""Neighbor"")), """")"),0.3385781874377891)</f>
        <v>0.3385781874</v>
      </c>
    </row>
    <row r="2668">
      <c r="A2668" s="2" t="s">
        <v>28</v>
      </c>
      <c r="B2668" s="2" t="s">
        <v>29</v>
      </c>
      <c r="C2668" s="2" t="s">
        <v>364</v>
      </c>
      <c r="D2668" s="2" t="s">
        <v>10925</v>
      </c>
      <c r="E2668" s="2" t="s">
        <v>10926</v>
      </c>
      <c r="F2668" s="2">
        <v>84.0</v>
      </c>
      <c r="G2668" s="2">
        <v>454.0</v>
      </c>
      <c r="H2668" s="2" t="b">
        <v>1</v>
      </c>
      <c r="I2668" s="2">
        <v>-1.0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s">
        <v>33</v>
      </c>
      <c r="O2668" s="2">
        <v>46.0</v>
      </c>
      <c r="P2668" s="2">
        <v>20.0</v>
      </c>
      <c r="Q2668" s="2">
        <v>7.0</v>
      </c>
      <c r="R2668" s="2">
        <v>0.0</v>
      </c>
      <c r="S2668" s="3" t="s">
        <v>10927</v>
      </c>
      <c r="T2668" s="2" t="s">
        <v>10928</v>
      </c>
      <c r="Y2668" s="4" t="str">
        <f>IFERROR(__xludf.DUMMYFUNCTION("""COMPUTED_VALUE"""),"7.2114285")</f>
        <v>7.2114285</v>
      </c>
      <c r="Z2668" s="4" t="str">
        <f>IFERROR(__xludf.DUMMYFUNCTION("""COMPUTED_VALUE"""),"3.1378173")</f>
        <v>3.1378173</v>
      </c>
      <c r="AA2668" s="4" t="str">
        <f t="shared" si="1"/>
        <v>Not Neighbor</v>
      </c>
      <c r="AC2668" s="4">
        <f>IFERROR(__xludf.DUMMYFUNCTION("IFERROR(ABS(O2668-AVERAGE(FILTER(O2668:O6736,AA2668:AA6736=""Neighbor""))) / STDEV(FILTER(O2668:O6736, AA2668:AA6736 =""Neighbor"")), """")"),0.0443223812895183)</f>
        <v>0.04432238129</v>
      </c>
      <c r="AD2668" s="4">
        <f>IFERROR(__xludf.DUMMYFUNCTION("IFERROR(ABS(P2668-AVERAGE(FILTER(O2668:P6736,AA2668:AA6736=""Neighbor""))) / STDEV(FILTER(P2668:P6736, AA2668:AA6736 =""Neighbor"")), """")"),0.5394188768504051)</f>
        <v>0.5394188769</v>
      </c>
      <c r="AE2668" s="2">
        <f>IFERROR(__xludf.DUMMYFUNCTION("IFERROR(ABS(Q2668-AVERAGE(FILTER(Q2668:Q6736,AA2668:AA6736=""Neighbor""))) / STDEV(FILTER(Q2668:Q6736, AA2668:AA6736 =""Neighbor"")), """")"),0.45030056280606245)</f>
        <v>0.4503005628</v>
      </c>
      <c r="AF2668" s="2">
        <f>IFERROR(__xludf.DUMMYFUNCTION("IFERROR(ABS(R2668-AVERAGE(FILTER(R2668:R6736,AA2668:AA6736=""Neighbor""))) / STDEV(FILTER(R2668:R6736, AA2668:AA6736 =""Neighbor"")), """")"),0.338930915388883)</f>
        <v>0.3389309154</v>
      </c>
    </row>
    <row r="2669">
      <c r="A2669" s="2" t="s">
        <v>28</v>
      </c>
      <c r="B2669" s="2" t="s">
        <v>29</v>
      </c>
      <c r="C2669" s="2" t="s">
        <v>364</v>
      </c>
      <c r="D2669" s="2" t="s">
        <v>10929</v>
      </c>
      <c r="E2669" s="2" t="s">
        <v>10930</v>
      </c>
      <c r="F2669" s="2">
        <v>67.0</v>
      </c>
      <c r="G2669" s="2">
        <v>136.0</v>
      </c>
      <c r="H2669" s="2" t="b">
        <v>1</v>
      </c>
      <c r="I2669" s="2">
        <v>-1.0</v>
      </c>
      <c r="J2669" s="2" t="b">
        <v>0</v>
      </c>
      <c r="K2669" s="2" t="b">
        <v>0</v>
      </c>
      <c r="L2669" s="2" t="b">
        <v>0</v>
      </c>
      <c r="M2669" s="2" t="b">
        <v>0</v>
      </c>
      <c r="N2669" s="2" t="s">
        <v>33</v>
      </c>
      <c r="O2669" s="2">
        <v>40.0</v>
      </c>
      <c r="P2669" s="2">
        <v>19.0</v>
      </c>
      <c r="Q2669" s="2">
        <v>0.0</v>
      </c>
      <c r="R2669" s="2">
        <v>0.0</v>
      </c>
      <c r="S2669" s="3" t="s">
        <v>10931</v>
      </c>
      <c r="T2669" s="2" t="s">
        <v>10932</v>
      </c>
      <c r="Y2669" s="4" t="str">
        <f>IFERROR(__xludf.DUMMYFUNCTION("""COMPUTED_VALUE"""),"7.1659492")</f>
        <v>7.1659492</v>
      </c>
      <c r="Z2669" s="4" t="str">
        <f>IFERROR(__xludf.DUMMYFUNCTION("""COMPUTED_VALUE"""),"3.3034858")</f>
        <v>3.3034858</v>
      </c>
      <c r="AA2669" s="4" t="str">
        <f t="shared" si="1"/>
        <v>Neighbor</v>
      </c>
      <c r="AC2669" s="4">
        <f>IFERROR(__xludf.DUMMYFUNCTION("IFERROR(ABS(O2669-AVERAGE(FILTER(O2669:O6737,AA2669:AA6737=""Neighbor""))) / STDEV(FILTER(O2669:O6737, AA2669:AA6737 =""Neighbor"")), """")"),0.22007598234349934)</f>
        <v>0.2200759823</v>
      </c>
      <c r="AD2669" s="4">
        <f>IFERROR(__xludf.DUMMYFUNCTION("IFERROR(ABS(P2669-AVERAGE(FILTER(O2669:P6737,AA2669:AA6737=""Neighbor""))) / STDEV(FILTER(P2669:P6737, AA2669:AA6737 =""Neighbor"")), """")"),0.5807964075891995)</f>
        <v>0.5807964076</v>
      </c>
      <c r="AE2669" s="2">
        <f>IFERROR(__xludf.DUMMYFUNCTION("IFERROR(ABS(Q2669-AVERAGE(FILTER(Q2669:Q6737,AA2669:AA6737=""Neighbor""))) / STDEV(FILTER(Q2669:Q6737, AA2669:AA6737 =""Neighbor"")), """")"),0.8701617510747234)</f>
        <v>0.8701617511</v>
      </c>
      <c r="AF2669" s="2">
        <f>IFERROR(__xludf.DUMMYFUNCTION("IFERROR(ABS(R2669-AVERAGE(FILTER(R2669:R6737,AA2669:AA6737=""Neighbor""))) / STDEV(FILTER(R2669:R6737, AA2669:AA6737 =""Neighbor"")), """")"),0.338930915388883)</f>
        <v>0.3389309154</v>
      </c>
    </row>
    <row r="2670">
      <c r="A2670" s="2" t="s">
        <v>28</v>
      </c>
      <c r="B2670" s="2" t="s">
        <v>29</v>
      </c>
      <c r="C2670" s="2" t="s">
        <v>364</v>
      </c>
      <c r="D2670" s="2" t="s">
        <v>10933</v>
      </c>
      <c r="E2670" s="2" t="s">
        <v>10934</v>
      </c>
      <c r="F2670" s="2">
        <v>89.0</v>
      </c>
      <c r="G2670" s="2">
        <v>197.0</v>
      </c>
      <c r="H2670" s="2" t="b">
        <v>1</v>
      </c>
      <c r="I2670" s="2">
        <v>-1.0</v>
      </c>
      <c r="J2670" s="2" t="b">
        <v>1</v>
      </c>
      <c r="K2670" s="2" t="b">
        <v>0</v>
      </c>
      <c r="L2670" s="2" t="b">
        <v>0</v>
      </c>
      <c r="M2670" s="2" t="b">
        <v>0</v>
      </c>
      <c r="N2670" s="2" t="s">
        <v>33</v>
      </c>
      <c r="O2670" s="2">
        <v>47.0</v>
      </c>
      <c r="P2670" s="2">
        <v>29.0</v>
      </c>
      <c r="Q2670" s="2">
        <v>7.0</v>
      </c>
      <c r="R2670" s="2">
        <v>0.0</v>
      </c>
      <c r="S2670" s="3" t="s">
        <v>10935</v>
      </c>
      <c r="T2670" s="2" t="s">
        <v>10936</v>
      </c>
      <c r="Y2670" s="4" t="str">
        <f>IFERROR(__xludf.DUMMYFUNCTION("""COMPUTED_VALUE"""),"7.1646124")</f>
        <v>7.1646124</v>
      </c>
      <c r="Z2670" s="4" t="str">
        <f>IFERROR(__xludf.DUMMYFUNCTION("""COMPUTED_VALUE"""),"3.3102779")</f>
        <v>3.3102779</v>
      </c>
      <c r="AA2670" s="4" t="str">
        <f t="shared" si="1"/>
        <v>Not Neighbor</v>
      </c>
      <c r="AC2670" s="4">
        <f>IFERROR(__xludf.DUMMYFUNCTION("IFERROR(ABS(O2670-AVERAGE(FILTER(O2670:O6738,AA2670:AA6738=""Neighbor""))) / STDEV(FILTER(O2670:O6738, AA2670:AA6738 =""Neighbor"")), """")"),0.015429223648783272)</f>
        <v>0.01542922365</v>
      </c>
      <c r="AD2670" s="4">
        <f>IFERROR(__xludf.DUMMYFUNCTION("IFERROR(ABS(P2670-AVERAGE(FILTER(O2670:P6738,AA2670:AA6738=""Neighbor""))) / STDEV(FILTER(P2670:P6738, AA2670:AA6738 =""Neighbor"")), """")"),0.16713868557202377)</f>
        <v>0.1671386856</v>
      </c>
      <c r="AE2670" s="2">
        <f>IFERROR(__xludf.DUMMYFUNCTION("IFERROR(ABS(Q2670-AVERAGE(FILTER(Q2670:Q6738,AA2670:AA6738=""Neighbor""))) / STDEV(FILTER(Q2670:Q6738, AA2670:AA6738 =""Neighbor"")), """")"),0.45183063775631827)</f>
        <v>0.4518306378</v>
      </c>
      <c r="AF2670" s="2">
        <f>IFERROR(__xludf.DUMMYFUNCTION("IFERROR(ABS(R2670-AVERAGE(FILTER(R2670:R6738,AA2670:AA6738=""Neighbor""))) / STDEV(FILTER(R2670:R6738, AA2670:AA6738 =""Neighbor"")), """")"),0.33928474830236044)</f>
        <v>0.3392847483</v>
      </c>
    </row>
    <row r="2671">
      <c r="A2671" s="2" t="s">
        <v>28</v>
      </c>
      <c r="B2671" s="2" t="s">
        <v>29</v>
      </c>
      <c r="C2671" s="2" t="s">
        <v>364</v>
      </c>
      <c r="D2671" s="2" t="s">
        <v>10937</v>
      </c>
      <c r="E2671" s="2" t="s">
        <v>10938</v>
      </c>
      <c r="F2671" s="2">
        <v>77.0</v>
      </c>
      <c r="G2671" s="2">
        <v>130.0</v>
      </c>
      <c r="H2671" s="2" t="b">
        <v>1</v>
      </c>
      <c r="I2671" s="2">
        <v>-1.0</v>
      </c>
      <c r="J2671" s="2" t="b">
        <v>1</v>
      </c>
      <c r="K2671" s="2" t="b">
        <v>0</v>
      </c>
      <c r="L2671" s="2" t="b">
        <v>0</v>
      </c>
      <c r="M2671" s="2" t="b">
        <v>0</v>
      </c>
      <c r="N2671" s="2" t="s">
        <v>33</v>
      </c>
      <c r="O2671" s="2">
        <v>48.0</v>
      </c>
      <c r="P2671" s="2">
        <v>13.0</v>
      </c>
      <c r="Q2671" s="2">
        <v>7.0</v>
      </c>
      <c r="R2671" s="2">
        <v>2.0</v>
      </c>
      <c r="S2671" s="3" t="s">
        <v>10939</v>
      </c>
      <c r="T2671" s="2" t="s">
        <v>10940</v>
      </c>
      <c r="Y2671" s="4" t="str">
        <f>IFERROR(__xludf.DUMMYFUNCTION("""COMPUTED_VALUE"""),"7.2114285")</f>
        <v>7.2114285</v>
      </c>
      <c r="Z2671" s="4" t="str">
        <f>IFERROR(__xludf.DUMMYFUNCTION("""COMPUTED_VALUE"""),"3.1378173")</f>
        <v>3.1378173</v>
      </c>
      <c r="AA2671" s="4" t="str">
        <f t="shared" si="1"/>
        <v>Neighbor</v>
      </c>
      <c r="AC2671" s="4">
        <f>IFERROR(__xludf.DUMMYFUNCTION("IFERROR(ABS(O2671-AVERAGE(FILTER(O2671:O6739,AA2671:AA6739=""Neighbor""))) / STDEV(FILTER(O2671:O6739, AA2671:AA6739 =""Neighbor"")), """")"),0.013836883841613567)</f>
        <v>0.01383688384</v>
      </c>
      <c r="AD2671" s="4">
        <f>IFERROR(__xludf.DUMMYFUNCTION("IFERROR(ABS(P2671-AVERAGE(FILTER(O2671:P6739,AA2671:AA6739=""Neighbor""))) / STDEV(FILTER(P2671:P6739, AA2671:AA6739 =""Neighbor"")), """")"),0.828558040819457)</f>
        <v>0.8285580408</v>
      </c>
      <c r="AE2671" s="2">
        <f>IFERROR(__xludf.DUMMYFUNCTION("IFERROR(ABS(Q2671-AVERAGE(FILTER(Q2671:Q6739,AA2671:AA6739=""Neighbor""))) / STDEV(FILTER(Q2671:Q6739, AA2671:AA6739 =""Neighbor"")), """")"),0.45183063775631827)</f>
        <v>0.4518306378</v>
      </c>
      <c r="AF2671" s="2">
        <f>IFERROR(__xludf.DUMMYFUNCTION("IFERROR(ABS(R2671-AVERAGE(FILTER(R2671:R6739,AA2671:AA6739=""Neighbor""))) / STDEV(FILTER(R2671:R6739, AA2671:AA6739 =""Neighbor"")), """")"),1.8660661156629823)</f>
        <v>1.866066116</v>
      </c>
    </row>
    <row r="2672">
      <c r="A2672" s="2" t="s">
        <v>28</v>
      </c>
      <c r="B2672" s="2" t="s">
        <v>29</v>
      </c>
      <c r="C2672" s="2" t="s">
        <v>364</v>
      </c>
      <c r="D2672" s="2" t="s">
        <v>10941</v>
      </c>
      <c r="E2672" s="2" t="s">
        <v>10942</v>
      </c>
      <c r="F2672" s="2">
        <v>125.0</v>
      </c>
      <c r="G2672" s="2">
        <v>199.0</v>
      </c>
      <c r="H2672" s="2" t="b">
        <v>1</v>
      </c>
      <c r="I2672" s="2">
        <v>-1.0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s">
        <v>33</v>
      </c>
      <c r="O2672" s="2">
        <v>83.0</v>
      </c>
      <c r="P2672" s="2">
        <v>0.0</v>
      </c>
      <c r="Q2672" s="2">
        <v>6.0</v>
      </c>
      <c r="R2672" s="2">
        <v>0.0</v>
      </c>
      <c r="S2672" s="3" t="s">
        <v>10943</v>
      </c>
      <c r="T2672" s="2" t="s">
        <v>10944</v>
      </c>
      <c r="Y2672" s="4" t="str">
        <f>IFERROR(__xludf.DUMMYFUNCTION("""COMPUTED_VALUE"""),"7.2114285")</f>
        <v>7.2114285</v>
      </c>
      <c r="Z2672" s="4" t="str">
        <f>IFERROR(__xludf.DUMMYFUNCTION("""COMPUTED_VALUE"""),"3.1378173")</f>
        <v>3.1378173</v>
      </c>
      <c r="AA2672" s="4" t="str">
        <f t="shared" si="1"/>
        <v>Neighbor</v>
      </c>
      <c r="AC2672" s="4">
        <f>IFERROR(__xludf.DUMMYFUNCTION("IFERROR(ABS(O2672-AVERAGE(FILTER(O2672:O6740,AA2672:AA6740=""Neighbor""))) / STDEV(FILTER(O2672:O6740, AA2672:AA6740 =""Neighbor"")), """")"),1.0372006532832552)</f>
        <v>1.037200653</v>
      </c>
      <c r="AD2672" s="4">
        <f>IFERROR(__xludf.DUMMYFUNCTION("IFERROR(ABS(P2672-AVERAGE(FILTER(O2672:P6740,AA2672:AA6740=""Neighbor""))) / STDEV(FILTER(P2672:P6740, AA2672:AA6740 =""Neighbor"")), """")"),1.3649421699089614)</f>
        <v>1.36494217</v>
      </c>
      <c r="AE2672" s="2">
        <f>IFERROR(__xludf.DUMMYFUNCTION("IFERROR(ABS(Q2672-AVERAGE(FILTER(Q2672:Q6740,AA2672:AA6740=""Neighbor""))) / STDEV(FILTER(Q2672:Q6740, AA2672:AA6740 =""Neighbor"")), """")"),0.5122629551375182)</f>
        <v>0.5122629551</v>
      </c>
      <c r="AF2672" s="2">
        <f>IFERROR(__xludf.DUMMYFUNCTION("IFERROR(ABS(R2672-AVERAGE(FILTER(R2672:R6740,AA2672:AA6740=""Neighbor""))) / STDEV(FILTER(R2672:R6740, AA2672:AA6740 =""Neighbor"")), """")"),0.33656676032525357)</f>
        <v>0.3365667603</v>
      </c>
    </row>
    <row r="2673">
      <c r="A2673" s="2" t="s">
        <v>28</v>
      </c>
      <c r="B2673" s="2" t="s">
        <v>29</v>
      </c>
      <c r="C2673" s="2" t="s">
        <v>364</v>
      </c>
      <c r="D2673" s="2" t="s">
        <v>10945</v>
      </c>
      <c r="E2673" s="2" t="s">
        <v>10946</v>
      </c>
      <c r="F2673" s="2">
        <v>83.0</v>
      </c>
      <c r="G2673" s="2">
        <v>114.0</v>
      </c>
      <c r="H2673" s="2" t="b">
        <v>1</v>
      </c>
      <c r="I2673" s="2">
        <v>-1.0</v>
      </c>
      <c r="J2673" s="2" t="b">
        <v>0</v>
      </c>
      <c r="K2673" s="2" t="b">
        <v>0</v>
      </c>
      <c r="L2673" s="2" t="b">
        <v>0</v>
      </c>
      <c r="M2673" s="2" t="b">
        <v>0</v>
      </c>
      <c r="N2673" s="2" t="s">
        <v>33</v>
      </c>
      <c r="O2673" s="2">
        <v>62.0</v>
      </c>
      <c r="P2673" s="2">
        <v>12.0</v>
      </c>
      <c r="Q2673" s="2">
        <v>3.0</v>
      </c>
      <c r="R2673" s="2">
        <v>0.0</v>
      </c>
      <c r="S2673" s="3" t="s">
        <v>10947</v>
      </c>
      <c r="T2673" s="2" t="s">
        <v>10948</v>
      </c>
      <c r="Y2673" s="4" t="str">
        <f>IFERROR(__xludf.DUMMYFUNCTION("""COMPUTED_VALUE"""),"7.2114285")</f>
        <v>7.2114285</v>
      </c>
      <c r="Z2673" s="4" t="str">
        <f>IFERROR(__xludf.DUMMYFUNCTION("""COMPUTED_VALUE"""),"3.1378173")</f>
        <v>3.1378173</v>
      </c>
      <c r="AA2673" s="4" t="str">
        <f t="shared" si="1"/>
        <v>Neighbor</v>
      </c>
      <c r="AC2673" s="4">
        <f>IFERROR(__xludf.DUMMYFUNCTION("IFERROR(ABS(O2673-AVERAGE(FILTER(O2673:O6741,AA2673:AA6741=""Neighbor""))) / STDEV(FILTER(O2673:O6741, AA2673:AA6741 =""Neighbor"")), """")"),0.425174686263309)</f>
        <v>0.4251746863</v>
      </c>
      <c r="AD2673" s="4">
        <f>IFERROR(__xludf.DUMMYFUNCTION("IFERROR(ABS(P2673-AVERAGE(FILTER(O2673:P6741,AA2673:AA6741=""Neighbor""))) / STDEV(FILTER(P2673:P6741, AA2673:AA6741 =""Neighbor"")), """")"),0.8683256947377567)</f>
        <v>0.8683256947</v>
      </c>
      <c r="AE2673" s="2">
        <f>IFERROR(__xludf.DUMMYFUNCTION("IFERROR(ABS(Q2673-AVERAGE(FILTER(Q2673:Q6741,AA2673:AA6741=""Neighbor""))) / STDEV(FILTER(Q2673:Q6741, AA2673:AA6741 =""Neighbor"")), """")"),0.6925113846414733)</f>
        <v>0.6925113846</v>
      </c>
      <c r="AF2673" s="2">
        <f>IFERROR(__xludf.DUMMYFUNCTION("IFERROR(ABS(R2673-AVERAGE(FILTER(R2673:R6741,AA2673:AA6741=""Neighbor""))) / STDEV(FILTER(R2673:R6741, AA2673:AA6741 =""Neighbor"")), """")"),0.33691893844561155)</f>
        <v>0.3369189384</v>
      </c>
    </row>
    <row r="2674">
      <c r="A2674" s="2" t="s">
        <v>28</v>
      </c>
      <c r="B2674" s="2" t="s">
        <v>29</v>
      </c>
      <c r="C2674" s="2" t="s">
        <v>364</v>
      </c>
      <c r="D2674" s="2" t="s">
        <v>10949</v>
      </c>
      <c r="E2674" s="2" t="s">
        <v>10950</v>
      </c>
      <c r="F2674" s="2">
        <v>123.0</v>
      </c>
      <c r="G2674" s="2">
        <v>750.0</v>
      </c>
      <c r="H2674" s="2" t="b">
        <v>1</v>
      </c>
      <c r="I2674" s="2">
        <v>-1.0</v>
      </c>
      <c r="J2674" s="2" t="b">
        <v>1</v>
      </c>
      <c r="K2674" s="2" t="b">
        <v>0</v>
      </c>
      <c r="L2674" s="2" t="b">
        <v>0</v>
      </c>
      <c r="M2674" s="2" t="b">
        <v>0</v>
      </c>
      <c r="N2674" s="2" t="s">
        <v>33</v>
      </c>
      <c r="O2674" s="2">
        <v>72.0</v>
      </c>
      <c r="P2674" s="2">
        <v>15.0</v>
      </c>
      <c r="Q2674" s="2">
        <v>20.0</v>
      </c>
      <c r="R2674" s="2">
        <v>3.0</v>
      </c>
      <c r="S2674" s="3" t="s">
        <v>10951</v>
      </c>
      <c r="T2674" s="2" t="s">
        <v>10952</v>
      </c>
      <c r="Y2674" s="4" t="str">
        <f>IFERROR(__xludf.DUMMYFUNCTION("""COMPUTED_VALUE"""),"7.2114285")</f>
        <v>7.2114285</v>
      </c>
      <c r="Z2674" s="4" t="str">
        <f>IFERROR(__xludf.DUMMYFUNCTION("""COMPUTED_VALUE"""),"3.1378173")</f>
        <v>3.1378173</v>
      </c>
      <c r="AA2674" s="4" t="str">
        <f t="shared" si="1"/>
        <v>Neighbor</v>
      </c>
      <c r="AC2674" s="4">
        <f>IFERROR(__xludf.DUMMYFUNCTION("IFERROR(ABS(O2674-AVERAGE(FILTER(O2674:O6742,AA2674:AA6742=""Neighbor""))) / STDEV(FILTER(O2674:O6742, AA2674:AA6742 =""Neighbor"")), """")"),0.7178289286862527)</f>
        <v>0.7178289287</v>
      </c>
      <c r="AD2674" s="4">
        <f>IFERROR(__xludf.DUMMYFUNCTION("IFERROR(ABS(P2674-AVERAGE(FILTER(O2674:P6742,AA2674:AA6742=""Neighbor""))) / STDEV(FILTER(P2674:P6742, AA2674:AA6742 =""Neighbor"")), """")"),0.7435087770407689)</f>
        <v>0.743508777</v>
      </c>
      <c r="AE2674" s="2">
        <f>IFERROR(__xludf.DUMMYFUNCTION("IFERROR(ABS(Q2674-AVERAGE(FILTER(Q2674:Q6742,AA2674:AA6742=""Neighbor""))) / STDEV(FILTER(Q2674:Q6742, AA2674:AA6742 =""Neighbor"")), """")"),0.32398422699704993)</f>
        <v>0.323984227</v>
      </c>
      <c r="AF2674" s="2">
        <f>IFERROR(__xludf.DUMMYFUNCTION("IFERROR(ABS(R2674-AVERAGE(FILTER(R2674:R6742,AA2674:AA6742=""Neighbor""))) / STDEV(FILTER(R2674:R6742, AA2674:AA6742 =""Neighbor"")), """")"),2.972992202720827)</f>
        <v>2.972992203</v>
      </c>
    </row>
    <row r="2675">
      <c r="A2675" s="2" t="s">
        <v>28</v>
      </c>
      <c r="B2675" s="2" t="s">
        <v>29</v>
      </c>
      <c r="C2675" s="2" t="s">
        <v>364</v>
      </c>
      <c r="D2675" s="2" t="s">
        <v>10953</v>
      </c>
      <c r="E2675" s="2" t="s">
        <v>10954</v>
      </c>
      <c r="F2675" s="2">
        <v>72.0</v>
      </c>
      <c r="G2675" s="2">
        <v>117.0</v>
      </c>
      <c r="H2675" s="2" t="b">
        <v>1</v>
      </c>
      <c r="I2675" s="2">
        <v>-1.0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s">
        <v>33</v>
      </c>
      <c r="O2675" s="2">
        <v>24.0</v>
      </c>
      <c r="P2675" s="2">
        <v>8.0</v>
      </c>
      <c r="Q2675" s="2">
        <v>28.0</v>
      </c>
      <c r="R2675" s="2">
        <v>0.0</v>
      </c>
      <c r="S2675" s="3" t="s">
        <v>10955</v>
      </c>
      <c r="T2675" s="2" t="s">
        <v>10956</v>
      </c>
      <c r="Y2675" s="4" t="str">
        <f>IFERROR(__xludf.DUMMYFUNCTION("""COMPUTED_VALUE"""),"7.2114285")</f>
        <v>7.2114285</v>
      </c>
      <c r="Z2675" s="4" t="str">
        <f>IFERROR(__xludf.DUMMYFUNCTION("""COMPUTED_VALUE"""),"3.1378173")</f>
        <v>3.1378173</v>
      </c>
      <c r="AA2675" s="4" t="str">
        <f t="shared" si="1"/>
        <v>Neighbor</v>
      </c>
      <c r="AC2675" s="4">
        <f>IFERROR(__xludf.DUMMYFUNCTION("IFERROR(ABS(O2675-AVERAGE(FILTER(O2675:O6743,AA2675:AA6743=""Neighbor""))) / STDEV(FILTER(O2675:O6743, AA2675:AA6743 =""Neighbor"")), """")"),0.682971789583552)</f>
        <v>0.6829717896</v>
      </c>
      <c r="AD2675" s="4">
        <f>IFERROR(__xludf.DUMMYFUNCTION("IFERROR(ABS(P2675-AVERAGE(FILTER(O2675:P6743,AA2675:AA6743=""Neighbor""))) / STDEV(FILTER(P2675:P6743, AA2675:AA6743 =""Neighbor"")), """")"),1.0304871251518366)</f>
        <v>1.030487125</v>
      </c>
      <c r="AE2675" s="2">
        <f>IFERROR(__xludf.DUMMYFUNCTION("IFERROR(ABS(Q2675-AVERAGE(FILTER(Q2675:Q6743,AA2675:AA6743=""Neighbor""))) / STDEV(FILTER(Q2675:Q6743, AA2675:AA6743 =""Neighbor"")), """")"),0.802722298603747)</f>
        <v>0.8027222986</v>
      </c>
      <c r="AF2675" s="2">
        <f>IFERROR(__xludf.DUMMYFUNCTION("IFERROR(ABS(R2675-AVERAGE(FILTER(R2675:R6743,AA2675:AA6743=""Neighbor""))) / STDEV(FILTER(R2675:R6743, AA2675:AA6743 =""Neighbor"")), """")"),0.33414717596143767)</f>
        <v>0.334147176</v>
      </c>
    </row>
    <row r="2676">
      <c r="A2676" s="2" t="s">
        <v>28</v>
      </c>
      <c r="B2676" s="2" t="s">
        <v>29</v>
      </c>
      <c r="C2676" s="2" t="s">
        <v>364</v>
      </c>
      <c r="D2676" s="2" t="s">
        <v>10957</v>
      </c>
      <c r="E2676" s="2" t="s">
        <v>10958</v>
      </c>
      <c r="F2676" s="2">
        <v>117.0</v>
      </c>
      <c r="G2676" s="2">
        <v>240.0</v>
      </c>
      <c r="H2676" s="2" t="b">
        <v>1</v>
      </c>
      <c r="I2676" s="2">
        <v>-1.0</v>
      </c>
      <c r="J2676" s="2" t="b">
        <v>1</v>
      </c>
      <c r="K2676" s="2" t="b">
        <v>1</v>
      </c>
      <c r="L2676" s="2" t="b">
        <v>0</v>
      </c>
      <c r="M2676" s="2" t="b">
        <v>0</v>
      </c>
      <c r="N2676" s="2" t="s">
        <v>33</v>
      </c>
      <c r="O2676" s="2">
        <v>62.0</v>
      </c>
      <c r="P2676" s="2">
        <v>12.0</v>
      </c>
      <c r="Q2676" s="2">
        <v>25.0</v>
      </c>
      <c r="R2676" s="2">
        <v>0.0</v>
      </c>
      <c r="S2676" s="3" t="s">
        <v>10959</v>
      </c>
      <c r="T2676" s="2" t="s">
        <v>10960</v>
      </c>
      <c r="Y2676" s="4" t="str">
        <f>IFERROR(__xludf.DUMMYFUNCTION("""COMPUTED_VALUE"""),"7.2114285")</f>
        <v>7.2114285</v>
      </c>
      <c r="Z2676" s="4" t="str">
        <f>IFERROR(__xludf.DUMMYFUNCTION("""COMPUTED_VALUE"""),"3.1378173")</f>
        <v>3.1378173</v>
      </c>
      <c r="AA2676" s="4" t="str">
        <f t="shared" si="1"/>
        <v>Not Neighbor</v>
      </c>
      <c r="AC2676" s="4">
        <f>IFERROR(__xludf.DUMMYFUNCTION("IFERROR(ABS(O2676-AVERAGE(FILTER(O2676:O6744,AA2676:AA6744=""Neighbor""))) / STDEV(FILTER(O2676:O6744, AA2676:AA6744 =""Neighbor"")), """")"),0.4253006723754956)</f>
        <v>0.4253006724</v>
      </c>
      <c r="AD2676" s="4">
        <f>IFERROR(__xludf.DUMMYFUNCTION("IFERROR(ABS(P2676-AVERAGE(FILTER(O2676:P6744,AA2676:AA6744=""Neighbor""))) / STDEV(FILTER(P2676:P6744, AA2676:AA6744 =""Neighbor"")), """")"),0.8663037951247893)</f>
        <v>0.8663037951</v>
      </c>
      <c r="AE2676" s="2">
        <f>IFERROR(__xludf.DUMMYFUNCTION("IFERROR(ABS(Q2676-AVERAGE(FILTER(Q2676:Q6744,AA2676:AA6744=""Neighbor""))) / STDEV(FILTER(Q2676:Q6744, AA2676:AA6744 =""Neighbor"")), """")"),0.6246324782323488)</f>
        <v>0.6246324782</v>
      </c>
      <c r="AF2676" s="2">
        <f>IFERROR(__xludf.DUMMYFUNCTION("IFERROR(ABS(R2676-AVERAGE(FILTER(R2676:R6744,AA2676:AA6744=""Neighbor""))) / STDEV(FILTER(R2676:R6744, AA2676:AA6744 =""Neighbor"")), """")"),0.33449829012761323)</f>
        <v>0.3344982901</v>
      </c>
    </row>
    <row r="2677">
      <c r="A2677" s="2" t="s">
        <v>28</v>
      </c>
      <c r="B2677" s="2" t="s">
        <v>29</v>
      </c>
      <c r="C2677" s="2" t="s">
        <v>364</v>
      </c>
      <c r="D2677" s="2" t="s">
        <v>10961</v>
      </c>
      <c r="E2677" s="2" t="s">
        <v>10962</v>
      </c>
      <c r="F2677" s="2">
        <v>52.0</v>
      </c>
      <c r="G2677" s="2">
        <v>116.0</v>
      </c>
      <c r="H2677" s="2" t="b">
        <v>1</v>
      </c>
      <c r="I2677" s="2">
        <v>-1.0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s">
        <v>33</v>
      </c>
      <c r="O2677" s="2">
        <v>29.0</v>
      </c>
      <c r="P2677" s="2">
        <v>7.0</v>
      </c>
      <c r="Q2677" s="2">
        <v>11.0</v>
      </c>
      <c r="R2677" s="2">
        <v>7.0</v>
      </c>
      <c r="S2677" s="3" t="s">
        <v>10963</v>
      </c>
      <c r="T2677" s="2" t="s">
        <v>10964</v>
      </c>
      <c r="Y2677" s="4" t="str">
        <f>IFERROR(__xludf.DUMMYFUNCTION("""COMPUTED_VALUE"""),"7.1638783")</f>
        <v>7.1638783</v>
      </c>
      <c r="Z2677" s="4" t="str">
        <f>IFERROR(__xludf.DUMMYFUNCTION("""COMPUTED_VALUE"""),"3.3242545")</f>
        <v>3.3242545</v>
      </c>
      <c r="AA2677" s="4" t="str">
        <f t="shared" si="1"/>
        <v>Neighbor</v>
      </c>
      <c r="AC2677" s="4">
        <f>IFERROR(__xludf.DUMMYFUNCTION("IFERROR(ABS(O2677-AVERAGE(FILTER(O2677:O6745,AA2677:AA6745=""Neighbor""))) / STDEV(FILTER(O2677:O6745, AA2677:AA6745 =""Neighbor"")), """")"),0.537969692302866)</f>
        <v>0.5379696923</v>
      </c>
      <c r="AD2677" s="4">
        <f>IFERROR(__xludf.DUMMYFUNCTION("IFERROR(ABS(P2677-AVERAGE(FILTER(O2677:P6745,AA2677:AA6745=""Neighbor""))) / STDEV(FILTER(P2677:P6745, AA2677:AA6745 =""Neighbor"")), """")"),1.07220449457376)</f>
        <v>1.072204495</v>
      </c>
      <c r="AE2677" s="2">
        <f>IFERROR(__xludf.DUMMYFUNCTION("IFERROR(ABS(Q2677-AVERAGE(FILTER(Q2677:Q6745,AA2677:AA6745=""Neighbor""))) / STDEV(FILTER(Q2677:Q6745, AA2677:AA6745 =""Neighbor"")), """")"),0.21228673131876996)</f>
        <v>0.2122867313</v>
      </c>
      <c r="AF2677" s="2">
        <f>IFERROR(__xludf.DUMMYFUNCTION("IFERROR(ABS(R2677-AVERAGE(FILTER(R2677:R6745,AA2677:AA6745=""Neighbor""))) / STDEV(FILTER(R2677:R6745, AA2677:AA6745 =""Neighbor"")), """")"),7.441009133216151)</f>
        <v>7.441009133</v>
      </c>
    </row>
    <row r="2678">
      <c r="A2678" s="2" t="s">
        <v>28</v>
      </c>
      <c r="B2678" s="2" t="s">
        <v>29</v>
      </c>
      <c r="C2678" s="2" t="s">
        <v>364</v>
      </c>
      <c r="D2678" s="2" t="s">
        <v>10965</v>
      </c>
      <c r="E2678" s="2" t="s">
        <v>10966</v>
      </c>
      <c r="F2678" s="2">
        <v>57.0</v>
      </c>
      <c r="G2678" s="2">
        <v>93.0</v>
      </c>
      <c r="H2678" s="2" t="b">
        <v>1</v>
      </c>
      <c r="I2678" s="2">
        <v>-1.0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s">
        <v>33</v>
      </c>
      <c r="O2678" s="2">
        <v>41.0</v>
      </c>
      <c r="P2678" s="2">
        <v>12.0</v>
      </c>
      <c r="Q2678" s="2">
        <v>2.0</v>
      </c>
      <c r="R2678" s="2">
        <v>0.0</v>
      </c>
      <c r="S2678" s="3" t="s">
        <v>10967</v>
      </c>
      <c r="T2678" s="2" t="s">
        <v>10968</v>
      </c>
      <c r="Y2678" s="4" t="str">
        <f>IFERROR(__xludf.DUMMYFUNCTION("""COMPUTED_VALUE"""),"7.1636517")</f>
        <v>7.1636517</v>
      </c>
      <c r="Z2678" s="4" t="str">
        <f>IFERROR(__xludf.DUMMYFUNCTION("""COMPUTED_VALUE"""),"3.3222278")</f>
        <v>3.3222278</v>
      </c>
      <c r="AA2678" s="4" t="str">
        <f t="shared" si="1"/>
        <v>Not Neighbor</v>
      </c>
      <c r="AC2678" s="4">
        <f>IFERROR(__xludf.DUMMYFUNCTION("IFERROR(ABS(O2678-AVERAGE(FILTER(O2678:O6746,AA2678:AA6746=""Neighbor""))) / STDEV(FILTER(O2678:O6746, AA2678:AA6746 =""Neighbor"")), """")"),0.18858313521263972)</f>
        <v>0.1885831352</v>
      </c>
      <c r="AD2678" s="4">
        <f>IFERROR(__xludf.DUMMYFUNCTION("IFERROR(ABS(P2678-AVERAGE(FILTER(O2678:P6746,AA2678:AA6746=""Neighbor""))) / STDEV(FILTER(P2678:P6746, AA2678:AA6746 =""Neighbor"")), """")"),0.8668448384065192)</f>
        <v>0.8668448384</v>
      </c>
      <c r="AE2678" s="2">
        <f>IFERROR(__xludf.DUMMYFUNCTION("IFERROR(ABS(Q2678-AVERAGE(FILTER(Q2678:Q6746,AA2678:AA6746=""Neighbor""))) / STDEV(FILTER(Q2678:Q6746, AA2678:AA6746 =""Neighbor"")), """")"),0.7500285887801073)</f>
        <v>0.7500285888</v>
      </c>
      <c r="AF2678" s="2">
        <f>IFERROR(__xludf.DUMMYFUNCTION("IFERROR(ABS(R2678-AVERAGE(FILTER(R2678:R6746,AA2678:AA6746=""Neighbor""))) / STDEV(FILTER(R2678:R6746, AA2678:AA6746 =""Neighbor"")), """")"),0.33837913484147225)</f>
        <v>0.3383791348</v>
      </c>
    </row>
    <row r="2679">
      <c r="A2679" s="2" t="s">
        <v>28</v>
      </c>
      <c r="B2679" s="2" t="s">
        <v>29</v>
      </c>
      <c r="C2679" s="2" t="s">
        <v>364</v>
      </c>
      <c r="D2679" s="2" t="s">
        <v>10969</v>
      </c>
      <c r="E2679" s="2" t="s">
        <v>10970</v>
      </c>
      <c r="F2679" s="2">
        <v>152.0</v>
      </c>
      <c r="G2679" s="2">
        <v>538.0</v>
      </c>
      <c r="H2679" s="2" t="b">
        <v>1</v>
      </c>
      <c r="I2679" s="2">
        <v>-1.0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s">
        <v>33</v>
      </c>
      <c r="O2679" s="2">
        <v>106.0</v>
      </c>
      <c r="P2679" s="2">
        <v>21.0</v>
      </c>
      <c r="Q2679" s="2">
        <v>10.0</v>
      </c>
      <c r="R2679" s="2">
        <v>0.0</v>
      </c>
      <c r="S2679" s="3" t="s">
        <v>10971</v>
      </c>
      <c r="T2679" s="2" t="s">
        <v>10972</v>
      </c>
      <c r="Y2679" s="4" t="str">
        <f>IFERROR(__xludf.DUMMYFUNCTION("""COMPUTED_VALUE"""),"7.1757481")</f>
        <v>7.1757481</v>
      </c>
      <c r="Z2679" s="4" t="str">
        <f>IFERROR(__xludf.DUMMYFUNCTION("""COMPUTED_VALUE"""),"3.2790282")</f>
        <v>3.2790282</v>
      </c>
      <c r="AA2679" s="4" t="str">
        <f t="shared" si="1"/>
        <v>Not Neighbor</v>
      </c>
      <c r="AC2679" s="4">
        <f>IFERROR(__xludf.DUMMYFUNCTION("IFERROR(ABS(O2679-AVERAGE(FILTER(O2679:O6747,AA2679:AA6747=""Neighbor""))) / STDEV(FILTER(O2679:O6747, AA2679:AA6747 =""Neighbor"")), """")"),1.7074882756206358)</f>
        <v>1.707488276</v>
      </c>
      <c r="AD2679" s="4">
        <f>IFERROR(__xludf.DUMMYFUNCTION("IFERROR(ABS(P2679-AVERAGE(FILTER(O2679:P6747,AA2679:AA6747=""Neighbor""))) / STDEV(FILTER(P2679:P6747, AA2679:AA6747 =""Neighbor"")), """")"),0.4964944291319058)</f>
        <v>0.4964944291</v>
      </c>
      <c r="AE2679" s="2">
        <f>IFERROR(__xludf.DUMMYFUNCTION("IFERROR(ABS(Q2679-AVERAGE(FILTER(Q2679:Q6747,AA2679:AA6747=""Neighbor""))) / STDEV(FILTER(Q2679:Q6747, AA2679:AA6747 =""Neighbor"")), """")"),0.27222252496975186)</f>
        <v>0.272222525</v>
      </c>
      <c r="AF2679" s="2">
        <f>IFERROR(__xludf.DUMMYFUNCTION("IFERROR(ABS(R2679-AVERAGE(FILTER(R2679:R6747,AA2679:AA6747=""Neighbor""))) / STDEV(FILTER(R2679:R6747, AA2679:AA6747 =""Neighbor"")), """")"),0.33837913484147225)</f>
        <v>0.3383791348</v>
      </c>
    </row>
    <row r="2680">
      <c r="A2680" s="2" t="s">
        <v>28</v>
      </c>
      <c r="B2680" s="2" t="s">
        <v>29</v>
      </c>
      <c r="C2680" s="2" t="s">
        <v>364</v>
      </c>
      <c r="D2680" s="2" t="s">
        <v>10973</v>
      </c>
      <c r="E2680" s="2" t="s">
        <v>10974</v>
      </c>
      <c r="F2680" s="2">
        <v>41.0</v>
      </c>
      <c r="G2680" s="2">
        <v>74.0</v>
      </c>
      <c r="H2680" s="2" t="b">
        <v>1</v>
      </c>
      <c r="I2680" s="2">
        <v>-1.0</v>
      </c>
      <c r="J2680" s="2" t="b">
        <v>1</v>
      </c>
      <c r="K2680" s="2" t="b">
        <v>0</v>
      </c>
      <c r="L2680" s="2" t="b">
        <v>0</v>
      </c>
      <c r="M2680" s="2" t="b">
        <v>0</v>
      </c>
      <c r="N2680" s="2" t="s">
        <v>33</v>
      </c>
      <c r="O2680" s="2">
        <v>29.0</v>
      </c>
      <c r="P2680" s="2">
        <v>1.0</v>
      </c>
      <c r="Q2680" s="2">
        <v>9.0</v>
      </c>
      <c r="R2680" s="2">
        <v>0.0</v>
      </c>
      <c r="S2680" s="3" t="s">
        <v>10975</v>
      </c>
      <c r="T2680" s="2" t="s">
        <v>10976</v>
      </c>
      <c r="Y2680" s="4" t="str">
        <f>IFERROR(__xludf.DUMMYFUNCTION("""COMPUTED_VALUE"""),"7.2114285")</f>
        <v>7.2114285</v>
      </c>
      <c r="Z2680" s="4" t="str">
        <f>IFERROR(__xludf.DUMMYFUNCTION("""COMPUTED_VALUE"""),"3.1378173")</f>
        <v>3.1378173</v>
      </c>
      <c r="AA2680" s="4" t="str">
        <f t="shared" si="1"/>
        <v>Not Neighbor</v>
      </c>
      <c r="AC2680" s="4">
        <f>IFERROR(__xludf.DUMMYFUNCTION("IFERROR(ABS(O2680-AVERAGE(FILTER(O2680:O6748,AA2680:AA6748=""Neighbor""))) / STDEV(FILTER(O2680:O6748, AA2680:AA6748 =""Neighbor"")), """")"),0.5386270879818598)</f>
        <v>0.538627088</v>
      </c>
      <c r="AD2680" s="4">
        <f>IFERROR(__xludf.DUMMYFUNCTION("IFERROR(ABS(P2680-AVERAGE(FILTER(O2680:P6748,AA2680:AA6748=""Neighbor""))) / STDEV(FILTER(P2680:P6748, AA2680:AA6748 =""Neighbor"")), """")"),1.3194953386310466)</f>
        <v>1.319495339</v>
      </c>
      <c r="AE2680" s="2">
        <f>IFERROR(__xludf.DUMMYFUNCTION("IFERROR(ABS(Q2680-AVERAGE(FILTER(Q2680:Q6748,AA2680:AA6748=""Neighbor""))) / STDEV(FILTER(Q2680:Q6748, AA2680:AA6748 =""Neighbor"")), """")"),0.3319482829460463)</f>
        <v>0.3319482829</v>
      </c>
      <c r="AF2680" s="2">
        <f>IFERROR(__xludf.DUMMYFUNCTION("IFERROR(ABS(R2680-AVERAGE(FILTER(R2680:R6748,AA2680:AA6748=""Neighbor""))) / STDEV(FILTER(R2680:R6748, AA2680:AA6748 =""Neighbor"")), """")"),0.33837913484147225)</f>
        <v>0.3383791348</v>
      </c>
    </row>
    <row r="2681">
      <c r="A2681" s="2" t="s">
        <v>28</v>
      </c>
      <c r="B2681" s="2" t="s">
        <v>29</v>
      </c>
      <c r="C2681" s="2" t="s">
        <v>364</v>
      </c>
      <c r="D2681" s="2" t="s">
        <v>10977</v>
      </c>
      <c r="E2681" s="2" t="s">
        <v>10978</v>
      </c>
      <c r="F2681" s="2">
        <v>137.0</v>
      </c>
      <c r="G2681" s="2">
        <v>750.0</v>
      </c>
      <c r="H2681" s="2" t="b">
        <v>1</v>
      </c>
      <c r="I2681" s="2">
        <v>-1.0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s">
        <v>33</v>
      </c>
      <c r="O2681" s="2">
        <v>93.0</v>
      </c>
      <c r="P2681" s="2">
        <v>20.0</v>
      </c>
      <c r="Q2681" s="2">
        <v>4.0</v>
      </c>
      <c r="R2681" s="2">
        <v>1.0</v>
      </c>
      <c r="S2681" s="3" t="s">
        <v>10979</v>
      </c>
      <c r="T2681" s="2" t="s">
        <v>10980</v>
      </c>
      <c r="Y2681" s="4" t="str">
        <f>IFERROR(__xludf.DUMMYFUNCTION("""COMPUTED_VALUE"""),"7.1658319")</f>
        <v>7.1658319</v>
      </c>
      <c r="Z2681" s="4" t="str">
        <f>IFERROR(__xludf.DUMMYFUNCTION("""COMPUTED_VALUE"""),"3.3151032")</f>
        <v>3.3151032</v>
      </c>
      <c r="AA2681" s="4" t="str">
        <f t="shared" si="1"/>
        <v>Not Neighbor</v>
      </c>
      <c r="AC2681" s="4">
        <f>IFERROR(__xludf.DUMMYFUNCTION("IFERROR(ABS(O2681-AVERAGE(FILTER(O2681:O6749,AA2681:AA6749=""Neighbor""))) / STDEV(FILTER(O2681:O6749, AA2681:AA6749 =""Neighbor"")), """")"),1.3282739934539807)</f>
        <v>1.328273993</v>
      </c>
      <c r="AD2681" s="4">
        <f>IFERROR(__xludf.DUMMYFUNCTION("IFERROR(ABS(P2681-AVERAGE(FILTER(O2681:P6749,AA2681:AA6749=""Neighbor""))) / STDEV(FILTER(P2681:P6749, AA2681:AA6749 =""Neighbor"")), """")"),0.5376444746068628)</f>
        <v>0.5376444746</v>
      </c>
      <c r="AE2681" s="2">
        <f>IFERROR(__xludf.DUMMYFUNCTION("IFERROR(ABS(Q2681-AVERAGE(FILTER(Q2681:Q6749,AA2681:AA6749=""Neighbor""))) / STDEV(FILTER(Q2681:Q6749, AA2681:AA6749 =""Neighbor"")), """")"),0.6305770728275184)</f>
        <v>0.6305770728</v>
      </c>
      <c r="AF2681" s="2">
        <f>IFERROR(__xludf.DUMMYFUNCTION("IFERROR(ABS(R2681-AVERAGE(FILTER(R2681:R6749,AA2681:AA6749=""Neighbor""))) / STDEV(FILTER(R2681:R6749, AA2681:AA6749 =""Neighbor"")), """")"),0.834816944510211)</f>
        <v>0.8348169445</v>
      </c>
    </row>
    <row r="2682">
      <c r="A2682" s="2" t="s">
        <v>28</v>
      </c>
      <c r="B2682" s="2" t="s">
        <v>29</v>
      </c>
      <c r="C2682" s="2" t="s">
        <v>458</v>
      </c>
      <c r="D2682" s="2" t="s">
        <v>10981</v>
      </c>
      <c r="E2682" s="2" t="s">
        <v>10982</v>
      </c>
      <c r="F2682" s="2">
        <v>51.0</v>
      </c>
      <c r="G2682" s="2">
        <v>99.0</v>
      </c>
      <c r="H2682" s="2" t="b">
        <v>1</v>
      </c>
      <c r="I2682" s="2">
        <v>-1.0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s">
        <v>33</v>
      </c>
      <c r="O2682" s="2">
        <v>31.0</v>
      </c>
      <c r="P2682" s="2">
        <v>1.0</v>
      </c>
      <c r="Q2682" s="2">
        <v>5.0</v>
      </c>
      <c r="R2682" s="2">
        <v>0.0</v>
      </c>
      <c r="S2682" s="3" t="s">
        <v>10983</v>
      </c>
      <c r="T2682" s="2" t="s">
        <v>10984</v>
      </c>
      <c r="Y2682" s="4" t="str">
        <f>IFERROR(__xludf.DUMMYFUNCTION("""COMPUTED_VALUE"""),"7.1461944")</f>
        <v>7.1461944</v>
      </c>
      <c r="Z2682" s="4" t="str">
        <f>IFERROR(__xludf.DUMMYFUNCTION("""COMPUTED_VALUE"""),"3.3294478")</f>
        <v>3.3294478</v>
      </c>
      <c r="AA2682" s="4" t="str">
        <f t="shared" si="1"/>
        <v>Not Neighbor</v>
      </c>
      <c r="AC2682" s="4">
        <f>IFERROR(__xludf.DUMMYFUNCTION("IFERROR(ABS(O2682-AVERAGE(FILTER(O2682:O6750,AA2682:AA6750=""Neighbor""))) / STDEV(FILTER(O2682:O6750, AA2682:AA6750 =""Neighbor"")), """")"),0.48028642918698977)</f>
        <v>0.4802864292</v>
      </c>
      <c r="AD2682" s="4">
        <f>IFERROR(__xludf.DUMMYFUNCTION("IFERROR(ABS(P2682-AVERAGE(FILTER(O2682:P6750,AA2682:AA6750=""Neighbor""))) / STDEV(FILTER(P2682:P6750, AA2682:AA6750 =""Neighbor"")), """")"),1.3194953386310466)</f>
        <v>1.319495339</v>
      </c>
      <c r="AE2682" s="2">
        <f>IFERROR(__xludf.DUMMYFUNCTION("IFERROR(ABS(Q2682-AVERAGE(FILTER(Q2682:Q6750,AA2682:AA6750=""Neighbor""))) / STDEV(FILTER(Q2682:Q6750, AA2682:AA6750 =""Neighbor"")), """")"),0.570851314851224)</f>
        <v>0.5708513149</v>
      </c>
      <c r="AF2682" s="2">
        <f>IFERROR(__xludf.DUMMYFUNCTION("IFERROR(ABS(R2682-AVERAGE(FILTER(R2682:R6750,AA2682:AA6750=""Neighbor""))) / STDEV(FILTER(R2682:R6750, AA2682:AA6750 =""Neighbor"")), """")"),0.33837913484147225)</f>
        <v>0.3383791348</v>
      </c>
    </row>
    <row r="2683">
      <c r="A2683" s="2" t="s">
        <v>28</v>
      </c>
      <c r="B2683" s="2" t="s">
        <v>29</v>
      </c>
      <c r="C2683" s="2" t="s">
        <v>458</v>
      </c>
      <c r="D2683" s="2" t="s">
        <v>10985</v>
      </c>
      <c r="E2683" s="2" t="s">
        <v>10986</v>
      </c>
      <c r="F2683" s="2">
        <v>56.0</v>
      </c>
      <c r="G2683" s="2">
        <v>94.0</v>
      </c>
      <c r="H2683" s="2" t="b">
        <v>1</v>
      </c>
      <c r="I2683" s="2">
        <v>-1.0</v>
      </c>
      <c r="J2683" s="2" t="b">
        <v>1</v>
      </c>
      <c r="K2683" s="2" t="b">
        <v>0</v>
      </c>
      <c r="L2683" s="2" t="b">
        <v>0</v>
      </c>
      <c r="M2683" s="2" t="b">
        <v>0</v>
      </c>
      <c r="N2683" s="2" t="s">
        <v>33</v>
      </c>
      <c r="O2683" s="2">
        <v>33.0</v>
      </c>
      <c r="P2683" s="2">
        <v>3.0</v>
      </c>
      <c r="Q2683" s="2">
        <v>12.0</v>
      </c>
      <c r="R2683" s="2">
        <v>4.0</v>
      </c>
      <c r="S2683" s="3" t="s">
        <v>10987</v>
      </c>
      <c r="T2683" s="2" t="s">
        <v>10988</v>
      </c>
      <c r="Y2683" s="4" t="str">
        <f>IFERROR(__xludf.DUMMYFUNCTION("""COMPUTED_VALUE"""),"7.1509115")</f>
        <v>7.1509115</v>
      </c>
      <c r="Z2683" s="4" t="str">
        <f>IFERROR(__xludf.DUMMYFUNCTION("""COMPUTED_VALUE"""),"3.3414708")</f>
        <v>3.3414708</v>
      </c>
      <c r="AA2683" s="4" t="str">
        <f t="shared" si="1"/>
        <v>Not Neighbor</v>
      </c>
      <c r="AC2683" s="4">
        <f>IFERROR(__xludf.DUMMYFUNCTION("IFERROR(ABS(O2683-AVERAGE(FILTER(O2683:O6751,AA2683:AA6751=""Neighbor""))) / STDEV(FILTER(O2683:O6751, AA2683:AA6751 =""Neighbor"")), """")"),0.4219457703921198)</f>
        <v>0.4219457704</v>
      </c>
      <c r="AD2683" s="4">
        <f>IFERROR(__xludf.DUMMYFUNCTION("IFERROR(ABS(P2683-AVERAGE(FILTER(O2683:P6751,AA2683:AA6751=""Neighbor""))) / STDEV(FILTER(P2683:P6751, AA2683:AA6751 =""Neighbor"")), """")"),1.2371952476811325)</f>
        <v>1.237195248</v>
      </c>
      <c r="AE2683" s="2">
        <f>IFERROR(__xludf.DUMMYFUNCTION("IFERROR(ABS(Q2683-AVERAGE(FILTER(Q2683:Q6751,AA2683:AA6751=""Neighbor""))) / STDEV(FILTER(Q2683:Q6751, AA2683:AA6751 =""Neighbor"")), """")"),0.152771009017163)</f>
        <v>0.152771009</v>
      </c>
      <c r="AF2683" s="2">
        <f>IFERROR(__xludf.DUMMYFUNCTION("IFERROR(ABS(R2683-AVERAGE(FILTER(R2683:R6751,AA2683:AA6751=""Neighbor""))) / STDEV(FILTER(R2683:R6751, AA2683:AA6751 =""Neighbor"")), """")"),4.354405182565261)</f>
        <v>4.354405183</v>
      </c>
    </row>
    <row r="2684">
      <c r="A2684" s="2" t="s">
        <v>28</v>
      </c>
      <c r="B2684" s="2" t="s">
        <v>29</v>
      </c>
      <c r="C2684" s="2" t="s">
        <v>458</v>
      </c>
      <c r="D2684" s="2" t="s">
        <v>10989</v>
      </c>
      <c r="E2684" s="2" t="s">
        <v>10990</v>
      </c>
      <c r="F2684" s="2">
        <v>99.0</v>
      </c>
      <c r="G2684" s="2">
        <v>441.0</v>
      </c>
      <c r="H2684" s="2" t="b">
        <v>1</v>
      </c>
      <c r="I2684" s="2">
        <v>-1.0</v>
      </c>
      <c r="J2684" s="2" t="b">
        <v>0</v>
      </c>
      <c r="K2684" s="2" t="b">
        <v>1</v>
      </c>
      <c r="L2684" s="2" t="b">
        <v>0</v>
      </c>
      <c r="M2684" s="2" t="b">
        <v>0</v>
      </c>
      <c r="N2684" s="2" t="s">
        <v>33</v>
      </c>
      <c r="O2684" s="2">
        <v>60.0</v>
      </c>
      <c r="P2684" s="2">
        <v>14.0</v>
      </c>
      <c r="Q2684" s="2">
        <v>11.0</v>
      </c>
      <c r="R2684" s="2">
        <v>0.0</v>
      </c>
      <c r="S2684" s="3" t="s">
        <v>10991</v>
      </c>
      <c r="T2684" s="2" t="s">
        <v>10992</v>
      </c>
      <c r="Y2684" s="4" t="str">
        <f>IFERROR(__xludf.DUMMYFUNCTION("""COMPUTED_VALUE"""),"7.1442096")</f>
        <v>7.1442096</v>
      </c>
      <c r="Z2684" s="4" t="str">
        <f>IFERROR(__xludf.DUMMYFUNCTION("""COMPUTED_VALUE"""),"3.3250413")</f>
        <v>3.3250413</v>
      </c>
      <c r="AA2684" s="4" t="str">
        <f t="shared" si="1"/>
        <v>Not Neighbor</v>
      </c>
      <c r="AC2684" s="4">
        <f>IFERROR(__xludf.DUMMYFUNCTION("IFERROR(ABS(O2684-AVERAGE(FILTER(O2684:O6752,AA2684:AA6752=""Neighbor""))) / STDEV(FILTER(O2684:O6752, AA2684:AA6752 =""Neighbor"")), """")"),0.36565312333862543)</f>
        <v>0.3656531233</v>
      </c>
      <c r="AD2684" s="4">
        <f>IFERROR(__xludf.DUMMYFUNCTION("IFERROR(ABS(P2684-AVERAGE(FILTER(O2684:P6752,AA2684:AA6752=""Neighbor""))) / STDEV(FILTER(P2684:P6752, AA2684:AA6752 =""Neighbor"")), """")"),0.7845447474566051)</f>
        <v>0.7845447475</v>
      </c>
      <c r="AE2684" s="2">
        <f>IFERROR(__xludf.DUMMYFUNCTION("IFERROR(ABS(Q2684-AVERAGE(FILTER(Q2684:Q6752,AA2684:AA6752=""Neighbor""))) / STDEV(FILTER(Q2684:Q6752, AA2684:AA6752 =""Neighbor"")), """")"),0.21249676699345743)</f>
        <v>0.212496767</v>
      </c>
      <c r="AF2684" s="2">
        <f>IFERROR(__xludf.DUMMYFUNCTION("IFERROR(ABS(R2684-AVERAGE(FILTER(R2684:R6752,AA2684:AA6752=""Neighbor""))) / STDEV(FILTER(R2684:R6752, AA2684:AA6752 =""Neighbor"")), """")"),0.33837913484147225)</f>
        <v>0.3383791348</v>
      </c>
    </row>
    <row r="2685">
      <c r="A2685" s="2" t="s">
        <v>28</v>
      </c>
      <c r="B2685" s="2" t="s">
        <v>29</v>
      </c>
      <c r="C2685" s="2" t="s">
        <v>458</v>
      </c>
      <c r="D2685" s="2" t="s">
        <v>10993</v>
      </c>
      <c r="E2685" s="2" t="s">
        <v>10994</v>
      </c>
      <c r="F2685" s="2">
        <v>23.0</v>
      </c>
      <c r="G2685" s="2">
        <v>64.0</v>
      </c>
      <c r="H2685" s="2" t="b">
        <v>1</v>
      </c>
      <c r="I2685" s="2">
        <v>-1.0</v>
      </c>
      <c r="J2685" s="2" t="b">
        <v>0</v>
      </c>
      <c r="K2685" s="2" t="b">
        <v>1</v>
      </c>
      <c r="L2685" s="2" t="b">
        <v>0</v>
      </c>
      <c r="M2685" s="2" t="b">
        <v>0</v>
      </c>
      <c r="N2685" s="2" t="s">
        <v>33</v>
      </c>
      <c r="O2685" s="2">
        <v>15.0</v>
      </c>
      <c r="P2685" s="2">
        <v>2.0</v>
      </c>
      <c r="Q2685" s="2">
        <v>1.0</v>
      </c>
      <c r="R2685" s="2">
        <v>0.0</v>
      </c>
      <c r="S2685" s="3" t="s">
        <v>10995</v>
      </c>
      <c r="T2685" s="2" t="s">
        <v>10996</v>
      </c>
      <c r="Y2685" s="4" t="str">
        <f>IFERROR(__xludf.DUMMYFUNCTION("""COMPUTED_VALUE"""),"7.1489241")</f>
        <v>7.1489241</v>
      </c>
      <c r="Z2685" s="4" t="str">
        <f>IFERROR(__xludf.DUMMYFUNCTION("""COMPUTED_VALUE"""),"3.3358439")</f>
        <v>3.3358439</v>
      </c>
      <c r="AA2685" s="4" t="str">
        <f t="shared" si="1"/>
        <v>Neighbor</v>
      </c>
      <c r="AC2685" s="4">
        <f>IFERROR(__xludf.DUMMYFUNCTION("IFERROR(ABS(O2685-AVERAGE(FILTER(O2685:O6753,AA2685:AA6753=""Neighbor""))) / STDEV(FILTER(O2685:O6753, AA2685:AA6753 =""Neighbor"")), """")"),0.9470116995459499)</f>
        <v>0.9470116995</v>
      </c>
      <c r="AD2685" s="4">
        <f>IFERROR(__xludf.DUMMYFUNCTION("IFERROR(ABS(P2685-AVERAGE(FILTER(O2685:P6753,AA2685:AA6753=""Neighbor""))) / STDEV(FILTER(P2685:P6753, AA2685:AA6753 =""Neighbor"")), """")"),1.2783452931560897)</f>
        <v>1.278345293</v>
      </c>
      <c r="AE2685" s="2">
        <f>IFERROR(__xludf.DUMMYFUNCTION("IFERROR(ABS(Q2685-AVERAGE(FILTER(Q2685:Q6753,AA2685:AA6753=""Neighbor""))) / STDEV(FILTER(Q2685:Q6753, AA2685:AA6753 =""Neighbor"")), """")"),0.8097543467564017)</f>
        <v>0.8097543468</v>
      </c>
      <c r="AF2685" s="2">
        <f>IFERROR(__xludf.DUMMYFUNCTION("IFERROR(ABS(R2685-AVERAGE(FILTER(R2685:R6753,AA2685:AA6753=""Neighbor""))) / STDEV(FILTER(R2685:R6753, AA2685:AA6753 =""Neighbor"")), """")"),0.33837913484147225)</f>
        <v>0.3383791348</v>
      </c>
    </row>
    <row r="2686">
      <c r="A2686" s="2" t="s">
        <v>28</v>
      </c>
      <c r="B2686" s="2" t="s">
        <v>29</v>
      </c>
      <c r="C2686" s="2" t="s">
        <v>458</v>
      </c>
      <c r="D2686" s="2" t="s">
        <v>10997</v>
      </c>
      <c r="E2686" s="2" t="s">
        <v>10998</v>
      </c>
      <c r="F2686" s="2">
        <v>55.0</v>
      </c>
      <c r="G2686" s="2">
        <v>95.0</v>
      </c>
      <c r="H2686" s="2" t="b">
        <v>1</v>
      </c>
      <c r="I2686" s="2">
        <v>-1.0</v>
      </c>
      <c r="J2686" s="2" t="b">
        <v>0</v>
      </c>
      <c r="K2686" s="2" t="b">
        <v>1</v>
      </c>
      <c r="L2686" s="2" t="b">
        <v>0</v>
      </c>
      <c r="M2686" s="2" t="b">
        <v>0</v>
      </c>
      <c r="N2686" s="2" t="s">
        <v>33</v>
      </c>
      <c r="O2686" s="2">
        <v>21.0</v>
      </c>
      <c r="P2686" s="2">
        <v>4.0</v>
      </c>
      <c r="Q2686" s="2">
        <v>16.0</v>
      </c>
      <c r="R2686" s="2">
        <v>0.0</v>
      </c>
      <c r="S2686" s="3" t="s">
        <v>10999</v>
      </c>
      <c r="T2686" s="2" t="s">
        <v>11000</v>
      </c>
      <c r="Y2686" s="4" t="str">
        <f>IFERROR(__xludf.DUMMYFUNCTION("""COMPUTED_VALUE"""),"7.1461944")</f>
        <v>7.1461944</v>
      </c>
      <c r="Z2686" s="4" t="str">
        <f>IFERROR(__xludf.DUMMYFUNCTION("""COMPUTED_VALUE"""),"3.3294478")</f>
        <v>3.3294478</v>
      </c>
      <c r="AA2686" s="4" t="str">
        <f t="shared" si="1"/>
        <v>Not Neighbor</v>
      </c>
      <c r="AC2686" s="4">
        <f>IFERROR(__xludf.DUMMYFUNCTION("IFERROR(ABS(O2686-AVERAGE(FILTER(O2686:O6754,AA2686:AA6754=""Neighbor""))) / STDEV(FILTER(O2686:O6754, AA2686:AA6754 =""Neighbor"")), """")"),0.7737153634051029)</f>
        <v>0.7737153634</v>
      </c>
      <c r="AD2686" s="4">
        <f>IFERROR(__xludf.DUMMYFUNCTION("IFERROR(ABS(P2686-AVERAGE(FILTER(O2686:P6754,AA2686:AA6754=""Neighbor""))) / STDEV(FILTER(P2686:P6754, AA2686:AA6754 =""Neighbor"")), """")"),1.1973641752721222)</f>
        <v>1.197364175</v>
      </c>
      <c r="AE2686" s="2">
        <f>IFERROR(__xludf.DUMMYFUNCTION("IFERROR(ABS(Q2686-AVERAGE(FILTER(Q2686:Q6754,AA2686:AA6754=""Neighbor""))) / STDEV(FILTER(Q2686:Q6754, AA2686:AA6754 =""Neighbor"")), """")"),0.08456494178636585)</f>
        <v>0.08456494179</v>
      </c>
      <c r="AF2686" s="2">
        <f>IFERROR(__xludf.DUMMYFUNCTION("IFERROR(ABS(R2686-AVERAGE(FILTER(R2686:R6754,AA2686:AA6754=""Neighbor""))) / STDEV(FILTER(R2686:R6754, AA2686:AA6754 =""Neighbor"")), """")"),0.3387369636718537)</f>
        <v>0.3387369637</v>
      </c>
    </row>
    <row r="2687">
      <c r="A2687" s="2" t="s">
        <v>28</v>
      </c>
      <c r="B2687" s="2" t="s">
        <v>29</v>
      </c>
      <c r="C2687" s="2" t="s">
        <v>458</v>
      </c>
      <c r="D2687" s="2" t="s">
        <v>11001</v>
      </c>
      <c r="E2687" s="2" t="s">
        <v>11002</v>
      </c>
      <c r="F2687" s="2">
        <v>26.0</v>
      </c>
      <c r="G2687" s="2">
        <v>51.0</v>
      </c>
      <c r="H2687" s="2" t="b">
        <v>1</v>
      </c>
      <c r="I2687" s="2">
        <v>-1.0</v>
      </c>
      <c r="J2687" s="2" t="b">
        <v>0</v>
      </c>
      <c r="K2687" s="2" t="b">
        <v>0</v>
      </c>
      <c r="L2687" s="2" t="b">
        <v>0</v>
      </c>
      <c r="M2687" s="2" t="b">
        <v>0</v>
      </c>
      <c r="N2687" s="2" t="s">
        <v>33</v>
      </c>
      <c r="O2687" s="2">
        <v>12.0</v>
      </c>
      <c r="P2687" s="2">
        <v>1.0</v>
      </c>
      <c r="Q2687" s="2">
        <v>4.0</v>
      </c>
      <c r="R2687" s="2">
        <v>0.0</v>
      </c>
      <c r="S2687" s="3" t="s">
        <v>11003</v>
      </c>
      <c r="T2687" s="2" t="s">
        <v>11004</v>
      </c>
      <c r="Y2687" s="4" t="str">
        <f>IFERROR(__xludf.DUMMYFUNCTION("""COMPUTED_VALUE"""),"7.159012")</f>
        <v>7.159012</v>
      </c>
      <c r="Z2687" s="4" t="str">
        <f>IFERROR(__xludf.DUMMYFUNCTION("""COMPUTED_VALUE"""),"3.3190889")</f>
        <v>3.3190889</v>
      </c>
      <c r="AA2687" s="4" t="str">
        <f t="shared" si="1"/>
        <v>Not Neighbor</v>
      </c>
      <c r="AC2687" s="4">
        <f>IFERROR(__xludf.DUMMYFUNCTION("IFERROR(ABS(O2687-AVERAGE(FILTER(O2687:O6755,AA2687:AA6755=""Neighbor""))) / STDEV(FILTER(O2687:O6755, AA2687:AA6755 =""Neighbor"")), """")"),1.036222962513521)</f>
        <v>1.036222963</v>
      </c>
      <c r="AD2687" s="4">
        <f>IFERROR(__xludf.DUMMYFUNCTION("IFERROR(ABS(P2687-AVERAGE(FILTER(O2687:P6755,AA2687:AA6755=""Neighbor""))) / STDEV(FILTER(P2687:P6755, AA2687:AA6755 =""Neighbor"")), """")"),1.3207521899380539)</f>
        <v>1.32075219</v>
      </c>
      <c r="AE2687" s="2">
        <f>IFERROR(__xludf.DUMMYFUNCTION("IFERROR(ABS(Q2687-AVERAGE(FILTER(Q2687:Q6755,AA2687:AA6755=""Neighbor""))) / STDEV(FILTER(Q2687:Q6755, AA2687:AA6755 =""Neighbor"")), """")"),0.6319101086237568)</f>
        <v>0.6319101086</v>
      </c>
      <c r="AF2687" s="2">
        <f>IFERROR(__xludf.DUMMYFUNCTION("IFERROR(ABS(R2687-AVERAGE(FILTER(R2687:R6755,AA2687:AA6755=""Neighbor""))) / STDEV(FILTER(R2687:R6755, AA2687:AA6755 =""Neighbor"")), """")"),0.3387369636718537)</f>
        <v>0.3387369637</v>
      </c>
    </row>
    <row r="2688">
      <c r="A2688" s="2" t="s">
        <v>28</v>
      </c>
      <c r="B2688" s="2" t="s">
        <v>29</v>
      </c>
      <c r="C2688" s="2" t="s">
        <v>458</v>
      </c>
      <c r="D2688" s="2" t="s">
        <v>11005</v>
      </c>
      <c r="E2688" s="2" t="s">
        <v>11006</v>
      </c>
      <c r="F2688" s="2">
        <v>29.0</v>
      </c>
      <c r="G2688" s="2">
        <v>57.0</v>
      </c>
      <c r="H2688" s="2" t="b">
        <v>1</v>
      </c>
      <c r="I2688" s="2">
        <v>-1.0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s">
        <v>33</v>
      </c>
      <c r="O2688" s="2">
        <v>73.0</v>
      </c>
      <c r="P2688" s="2">
        <v>7.0</v>
      </c>
      <c r="Q2688" s="2">
        <v>9.0</v>
      </c>
      <c r="R2688" s="2">
        <v>0.0</v>
      </c>
      <c r="S2688" s="3" t="s">
        <v>11007</v>
      </c>
      <c r="T2688" s="2" t="s">
        <v>11008</v>
      </c>
      <c r="Y2688" s="4" t="str">
        <f>IFERROR(__xludf.DUMMYFUNCTION("""COMPUTED_VALUE"""),"7.1442096")</f>
        <v>7.1442096</v>
      </c>
      <c r="Z2688" s="4" t="str">
        <f>IFERROR(__xludf.DUMMYFUNCTION("""COMPUTED_VALUE"""),"3.3250413")</f>
        <v>3.3250413</v>
      </c>
      <c r="AA2688" s="4" t="str">
        <f t="shared" si="1"/>
        <v>Neighbor</v>
      </c>
      <c r="AC2688" s="4">
        <f>IFERROR(__xludf.DUMMYFUNCTION("IFERROR(ABS(O2688-AVERAGE(FILTER(O2688:O6756,AA2688:AA6756=""Neighbor""))) / STDEV(FILTER(O2688:O6756, AA2688:AA6756 =""Neighbor"")), """")"),0.7429952092213127)</f>
        <v>0.7429952092</v>
      </c>
      <c r="AD2688" s="4">
        <f>IFERROR(__xludf.DUMMYFUNCTION("IFERROR(ABS(P2688-AVERAGE(FILTER(O2688:P6756,AA2688:AA6756=""Neighbor""))) / STDEV(FILTER(P2688:P6756, AA2688:AA6756 =""Neighbor"")), """")"),1.0739761606061908)</f>
        <v>1.073976161</v>
      </c>
      <c r="AE2688" s="2">
        <f>IFERROR(__xludf.DUMMYFUNCTION("IFERROR(ABS(Q2688-AVERAGE(FILTER(Q2688:Q6756,AA2688:AA6756=""Neighbor""))) / STDEV(FILTER(Q2688:Q6756, AA2688:AA6756 =""Neighbor"")), """")"),0.33337883761953907)</f>
        <v>0.3333788376</v>
      </c>
      <c r="AF2688" s="2">
        <f>IFERROR(__xludf.DUMMYFUNCTION("IFERROR(ABS(R2688-AVERAGE(FILTER(R2688:R6756,AA2688:AA6756=""Neighbor""))) / STDEV(FILTER(R2688:R6756, AA2688:AA6756 =""Neighbor"")), """")"),0.3387369636718537)</f>
        <v>0.3387369637</v>
      </c>
    </row>
    <row r="2689">
      <c r="A2689" s="2" t="s">
        <v>28</v>
      </c>
      <c r="B2689" s="2" t="s">
        <v>29</v>
      </c>
      <c r="C2689" s="2" t="s">
        <v>458</v>
      </c>
      <c r="D2689" s="2" t="s">
        <v>11009</v>
      </c>
      <c r="E2689" s="2" t="s">
        <v>11010</v>
      </c>
      <c r="F2689" s="2">
        <v>28.0</v>
      </c>
      <c r="G2689" s="2">
        <v>70.0</v>
      </c>
      <c r="H2689" s="2" t="b">
        <v>1</v>
      </c>
      <c r="I2689" s="2">
        <v>-1.0</v>
      </c>
      <c r="J2689" s="2" t="b">
        <v>0</v>
      </c>
      <c r="K2689" s="2" t="b">
        <v>0</v>
      </c>
      <c r="L2689" s="2" t="b">
        <v>0</v>
      </c>
      <c r="M2689" s="2" t="b">
        <v>0</v>
      </c>
      <c r="N2689" s="2" t="s">
        <v>33</v>
      </c>
      <c r="O2689" s="2">
        <v>32.0</v>
      </c>
      <c r="P2689" s="2">
        <v>8.0</v>
      </c>
      <c r="Q2689" s="2">
        <v>9.0</v>
      </c>
      <c r="R2689" s="2">
        <v>0.0</v>
      </c>
      <c r="S2689" s="3" t="s">
        <v>11011</v>
      </c>
      <c r="T2689" s="2" t="s">
        <v>11012</v>
      </c>
      <c r="Y2689" s="4" t="str">
        <f>IFERROR(__xludf.DUMMYFUNCTION("""COMPUTED_VALUE"""),"7.1442096")</f>
        <v>7.1442096</v>
      </c>
      <c r="Z2689" s="4" t="str">
        <f>IFERROR(__xludf.DUMMYFUNCTION("""COMPUTED_VALUE"""),"3.3250413")</f>
        <v>3.3250413</v>
      </c>
      <c r="AA2689" s="4" t="str">
        <f t="shared" si="1"/>
        <v>Neighbor</v>
      </c>
      <c r="AC2689" s="4">
        <f>IFERROR(__xludf.DUMMYFUNCTION("IFERROR(ABS(O2689-AVERAGE(FILTER(O2689:O6757,AA2689:AA6757=""Neighbor""))) / STDEV(FILTER(O2689:O6757, AA2689:AA6757 =""Neighbor"")), """")"),0.45126511789982665)</f>
        <v>0.4512651179</v>
      </c>
      <c r="AD2689" s="4">
        <f>IFERROR(__xludf.DUMMYFUNCTION("IFERROR(ABS(P2689-AVERAGE(FILTER(O2689:P6757,AA2689:AA6757=""Neighbor""))) / STDEV(FILTER(P2689:P6757, AA2689:AA6757 =""Neighbor"")), """")"),1.0315514674190933)</f>
        <v>1.031551467</v>
      </c>
      <c r="AE2689" s="2">
        <f>IFERROR(__xludf.DUMMYFUNCTION("IFERROR(ABS(Q2689-AVERAGE(FILTER(Q2689:Q6757,AA2689:AA6757=""Neighbor""))) / STDEV(FILTER(Q2689:Q6757, AA2689:AA6757 =""Neighbor"")), """")"),0.33373097913389543)</f>
        <v>0.3337309791</v>
      </c>
      <c r="AF2689" s="2">
        <f>IFERROR(__xludf.DUMMYFUNCTION("IFERROR(ABS(R2689-AVERAGE(FILTER(R2689:R6757,AA2689:AA6757=""Neighbor""))) / STDEV(FILTER(R2689:R6757, AA2689:AA6757 =""Neighbor"")), """")"),0.3390959303623295)</f>
        <v>0.3390959304</v>
      </c>
    </row>
    <row r="2690">
      <c r="A2690" s="2" t="s">
        <v>28</v>
      </c>
      <c r="B2690" s="2" t="s">
        <v>29</v>
      </c>
      <c r="C2690" s="2" t="s">
        <v>458</v>
      </c>
      <c r="D2690" s="2" t="s">
        <v>11013</v>
      </c>
      <c r="E2690" s="2" t="s">
        <v>11014</v>
      </c>
      <c r="F2690" s="2">
        <v>37.0</v>
      </c>
      <c r="G2690" s="2">
        <v>68.0</v>
      </c>
      <c r="H2690" s="2" t="b">
        <v>1</v>
      </c>
      <c r="I2690" s="2">
        <v>-1.0</v>
      </c>
      <c r="J2690" s="2" t="b">
        <v>0</v>
      </c>
      <c r="K2690" s="2" t="b">
        <v>0</v>
      </c>
      <c r="L2690" s="2" t="b">
        <v>0</v>
      </c>
      <c r="M2690" s="2" t="b">
        <v>0</v>
      </c>
      <c r="N2690" s="2" t="s">
        <v>33</v>
      </c>
      <c r="O2690" s="2">
        <v>19.0</v>
      </c>
      <c r="P2690" s="2">
        <v>10.0</v>
      </c>
      <c r="Q2690" s="2">
        <v>5.0</v>
      </c>
      <c r="R2690" s="2">
        <v>0.0</v>
      </c>
      <c r="S2690" s="3" t="s">
        <v>11015</v>
      </c>
      <c r="T2690" s="2" t="s">
        <v>11016</v>
      </c>
      <c r="Y2690" s="4" t="str">
        <f>IFERROR(__xludf.DUMMYFUNCTION("""COMPUTED_VALUE"""),"7.1356694")</f>
        <v>7.1356694</v>
      </c>
      <c r="Z2690" s="4" t="str">
        <f>IFERROR(__xludf.DUMMYFUNCTION("""COMPUTED_VALUE"""),"3.3185468")</f>
        <v>3.3185468</v>
      </c>
      <c r="AA2690" s="4" t="str">
        <f t="shared" si="1"/>
        <v>Not Neighbor</v>
      </c>
      <c r="AC2690" s="4">
        <f>IFERROR(__xludf.DUMMYFUNCTION("IFERROR(ABS(O2690-AVERAGE(FILTER(O2690:O6758,AA2690:AA6758=""Neighbor""))) / STDEV(FILTER(O2690:O6758, AA2690:AA6758 =""Neighbor"")), """")"),0.8305106111405054)</f>
        <v>0.8305106111</v>
      </c>
      <c r="AD2690" s="4">
        <f>IFERROR(__xludf.DUMMYFUNCTION("IFERROR(ABS(P2690-AVERAGE(FILTER(O2690:P6758,AA2690:AA6758=""Neighbor""))) / STDEV(FILTER(P2690:P6758, AA2690:AA6758 =""Neighbor"")), """")"),0.9496493830726076)</f>
        <v>0.9496493831</v>
      </c>
      <c r="AE2690" s="2">
        <f>IFERROR(__xludf.DUMMYFUNCTION("IFERROR(ABS(Q2690-AVERAGE(FILTER(Q2690:Q6758,AA2690:AA6758=""Neighbor""))) / STDEV(FILTER(Q2690:Q6758, AA2690:AA6758 =""Neighbor"")), """")"),0.572504588225924)</f>
        <v>0.5725045882</v>
      </c>
      <c r="AF2690" s="2">
        <f>IFERROR(__xludf.DUMMYFUNCTION("IFERROR(ABS(R2690-AVERAGE(FILTER(R2690:R6758,AA2690:AA6758=""Neighbor""))) / STDEV(FILTER(R2690:R6758, AA2690:AA6758 =""Neighbor"")), """")"),0.33945604095742254)</f>
        <v>0.339456041</v>
      </c>
    </row>
    <row r="2691">
      <c r="A2691" s="2" t="s">
        <v>28</v>
      </c>
      <c r="B2691" s="2" t="s">
        <v>29</v>
      </c>
      <c r="C2691" s="2" t="s">
        <v>458</v>
      </c>
      <c r="D2691" s="2" t="s">
        <v>11017</v>
      </c>
      <c r="E2691" s="2" t="s">
        <v>11018</v>
      </c>
      <c r="F2691" s="2">
        <v>52.0</v>
      </c>
      <c r="G2691" s="2">
        <v>102.0</v>
      </c>
      <c r="H2691" s="2" t="b">
        <v>1</v>
      </c>
      <c r="I2691" s="2">
        <v>-1.0</v>
      </c>
      <c r="J2691" s="2" t="b">
        <v>0</v>
      </c>
      <c r="K2691" s="2" t="b">
        <v>0</v>
      </c>
      <c r="L2691" s="2" t="b">
        <v>0</v>
      </c>
      <c r="M2691" s="2" t="b">
        <v>0</v>
      </c>
      <c r="N2691" s="2" t="s">
        <v>33</v>
      </c>
      <c r="O2691" s="2">
        <v>32.0</v>
      </c>
      <c r="P2691" s="2">
        <v>8.0</v>
      </c>
      <c r="Q2691" s="2">
        <v>9.0</v>
      </c>
      <c r="R2691" s="2">
        <v>0.0</v>
      </c>
      <c r="S2691" s="3" t="s">
        <v>11019</v>
      </c>
      <c r="T2691" s="2" t="s">
        <v>11020</v>
      </c>
      <c r="Y2691" s="4" t="str">
        <f>IFERROR(__xludf.DUMMYFUNCTION("""COMPUTED_VALUE"""),"7.1511533")</f>
        <v>7.1511533</v>
      </c>
      <c r="Z2691" s="4" t="str">
        <f>IFERROR(__xludf.DUMMYFUNCTION("""COMPUTED_VALUE"""),"3.3645285")</f>
        <v>3.3645285</v>
      </c>
      <c r="AA2691" s="4" t="str">
        <f t="shared" si="1"/>
        <v>Not Neighbor</v>
      </c>
      <c r="AC2691" s="4">
        <f>IFERROR(__xludf.DUMMYFUNCTION("IFERROR(ABS(O2691-AVERAGE(FILTER(O2691:O6759,AA2691:AA6759=""Neighbor""))) / STDEV(FILTER(O2691:O6759, AA2691:AA6759 =""Neighbor"")), """")"),0.4517826500286348)</f>
        <v>0.45178265</v>
      </c>
      <c r="AD2691" s="4">
        <f>IFERROR(__xludf.DUMMYFUNCTION("IFERROR(ABS(P2691-AVERAGE(FILTER(O2691:P6759,AA2691:AA6759=""Neighbor""))) / STDEV(FILTER(P2691:P6759, AA2691:AA6759 =""Neighbor"")), """")"),1.0317846107246744)</f>
        <v>1.031784611</v>
      </c>
      <c r="AE2691" s="2">
        <f>IFERROR(__xludf.DUMMYFUNCTION("IFERROR(ABS(Q2691-AVERAGE(FILTER(Q2691:Q6759,AA2691:AA6759=""Neighbor""))) / STDEV(FILTER(Q2691:Q6759, AA2691:AA6759 =""Neighbor"")), """")"),0.3340842391455471)</f>
        <v>0.3340842391</v>
      </c>
      <c r="AF2691" s="2">
        <f>IFERROR(__xludf.DUMMYFUNCTION("IFERROR(ABS(R2691-AVERAGE(FILTER(R2691:R6759,AA2691:AA6759=""Neighbor""))) / STDEV(FILTER(R2691:R6759, AA2691:AA6759 =""Neighbor"")), """")"),0.33945604095742254)</f>
        <v>0.339456041</v>
      </c>
    </row>
    <row r="2692">
      <c r="A2692" s="2" t="s">
        <v>28</v>
      </c>
      <c r="B2692" s="2" t="s">
        <v>29</v>
      </c>
      <c r="C2692" s="2" t="s">
        <v>458</v>
      </c>
      <c r="D2692" s="2" t="s">
        <v>11021</v>
      </c>
      <c r="E2692" s="2" t="s">
        <v>11022</v>
      </c>
      <c r="F2692" s="2">
        <v>27.0</v>
      </c>
      <c r="G2692" s="2">
        <v>53.0</v>
      </c>
      <c r="H2692" s="2" t="b">
        <v>1</v>
      </c>
      <c r="I2692" s="2">
        <v>-1.0</v>
      </c>
      <c r="J2692" s="2" t="b">
        <v>0</v>
      </c>
      <c r="K2692" s="2" t="b">
        <v>0</v>
      </c>
      <c r="L2692" s="2" t="b">
        <v>0</v>
      </c>
      <c r="M2692" s="2" t="b">
        <v>0</v>
      </c>
      <c r="N2692" s="2" t="s">
        <v>33</v>
      </c>
      <c r="O2692" s="2">
        <v>13.0</v>
      </c>
      <c r="P2692" s="2">
        <v>5.0</v>
      </c>
      <c r="Q2692" s="2">
        <v>3.0</v>
      </c>
      <c r="R2692" s="2">
        <v>0.0</v>
      </c>
      <c r="S2692" s="3" t="s">
        <v>11023</v>
      </c>
      <c r="T2692" s="2" t="s">
        <v>11024</v>
      </c>
      <c r="Y2692" s="4" t="str">
        <f>IFERROR(__xludf.DUMMYFUNCTION("""COMPUTED_VALUE"""),"7.1429511")</f>
        <v>7.1429511</v>
      </c>
      <c r="Z2692" s="4" t="str">
        <f>IFERROR(__xludf.DUMMYFUNCTION("""COMPUTED_VALUE"""),"3.3300551")</f>
        <v>3.3300551</v>
      </c>
      <c r="AA2692" s="4" t="str">
        <f t="shared" si="1"/>
        <v>Not Neighbor</v>
      </c>
      <c r="AC2692" s="4">
        <f>IFERROR(__xludf.DUMMYFUNCTION("IFERROR(ABS(O2692-AVERAGE(FILTER(O2692:O6760,AA2692:AA6760=""Neighbor""))) / STDEV(FILTER(O2692:O6760, AA2692:AA6760 =""Neighbor"")), """")"),1.0053081316536765)</f>
        <v>1.005308132</v>
      </c>
      <c r="AD2692" s="4">
        <f>IFERROR(__xludf.DUMMYFUNCTION("IFERROR(ABS(P2692-AVERAGE(FILTER(O2692:P6760,AA2692:AA6760=""Neighbor""))) / STDEV(FILTER(P2692:P6760, AA2692:AA6760 =""Neighbor"")), """")"),1.1549874522027743)</f>
        <v>1.154987452</v>
      </c>
      <c r="AE2692" s="2">
        <f>IFERROR(__xludf.DUMMYFUNCTION("IFERROR(ABS(Q2692-AVERAGE(FILTER(Q2692:Q6760,AA2692:AA6760=""Neighbor""))) / STDEV(FILTER(Q2692:Q6760, AA2692:AA6760 =""Neighbor"")), """")"),0.6917147627661123)</f>
        <v>0.6917147628</v>
      </c>
      <c r="AF2692" s="2">
        <f>IFERROR(__xludf.DUMMYFUNCTION("IFERROR(ABS(R2692-AVERAGE(FILTER(R2692:R6760,AA2692:AA6760=""Neighbor""))) / STDEV(FILTER(R2692:R6760, AA2692:AA6760 =""Neighbor"")), """")"),0.33945604095742254)</f>
        <v>0.339456041</v>
      </c>
    </row>
    <row r="2693">
      <c r="A2693" s="2" t="s">
        <v>28</v>
      </c>
      <c r="B2693" s="2" t="s">
        <v>884</v>
      </c>
      <c r="C2693" s="2" t="s">
        <v>1254</v>
      </c>
      <c r="D2693" s="2" t="s">
        <v>11025</v>
      </c>
      <c r="E2693" s="2" t="s">
        <v>11026</v>
      </c>
      <c r="F2693" s="2">
        <v>278.0</v>
      </c>
      <c r="G2693" s="2">
        <v>497.0</v>
      </c>
      <c r="H2693" s="2" t="b">
        <v>1</v>
      </c>
      <c r="I2693" s="2">
        <v>-1.0</v>
      </c>
      <c r="J2693" s="2" t="b">
        <v>0</v>
      </c>
      <c r="K2693" s="2" t="b">
        <v>0</v>
      </c>
      <c r="L2693" s="2" t="b">
        <v>0</v>
      </c>
      <c r="M2693" s="2" t="b">
        <v>0</v>
      </c>
      <c r="N2693" s="2" t="s">
        <v>33</v>
      </c>
      <c r="O2693" s="2">
        <v>123.0</v>
      </c>
      <c r="P2693" s="2">
        <v>132.0</v>
      </c>
      <c r="Q2693" s="2">
        <v>11.0</v>
      </c>
      <c r="R2693" s="2">
        <v>2.0</v>
      </c>
      <c r="S2693" s="3" t="s">
        <v>11027</v>
      </c>
      <c r="T2693" s="2" t="s">
        <v>11028</v>
      </c>
      <c r="Y2693" s="4" t="str">
        <f>IFERROR(__xludf.DUMMYFUNCTION("""COMPUTED_VALUE"""),"7.1371889")</f>
        <v>7.1371889</v>
      </c>
      <c r="Z2693" s="4" t="str">
        <f>IFERROR(__xludf.DUMMYFUNCTION("""COMPUTED_VALUE"""),"3.366604")</f>
        <v>3.366604</v>
      </c>
      <c r="AA2693" s="4" t="str">
        <f t="shared" si="1"/>
        <v>Not Neighbor</v>
      </c>
      <c r="AC2693" s="4">
        <f>IFERROR(__xludf.DUMMYFUNCTION("IFERROR(ABS(O2693-AVERAGE(FILTER(O2693:O6761,AA2693:AA6761=""Neighbor""))) / STDEV(FILTER(O2693:O6761, AA2693:AA6761 =""Neighbor"")), """")"),2.1993130777544594)</f>
        <v>2.199313078</v>
      </c>
      <c r="AD2693" s="4">
        <f>IFERROR(__xludf.DUMMYFUNCTION("IFERROR(ABS(P2693-AVERAGE(FILTER(O2693:P6761,AA2693:AA6761=""Neighbor""))) / STDEV(FILTER(P2693:P6761, AA2693:AA6761 =""Neighbor"")), """")"),4.060599503703464)</f>
        <v>4.060599504</v>
      </c>
      <c r="AE2693" s="2">
        <f>IFERROR(__xludf.DUMMYFUNCTION("IFERROR(ABS(Q2693-AVERAGE(FILTER(Q2693:Q6761,AA2693:AA6761=""Neighbor""))) / STDEV(FILTER(Q2693:Q6761, AA2693:AA6761 =""Neighbor"")), """")"),0.21487406460535868)</f>
        <v>0.2148740646</v>
      </c>
      <c r="AF2693" s="2">
        <f>IFERROR(__xludf.DUMMYFUNCTION("IFERROR(ABS(R2693-AVERAGE(FILTER(R2693:R6761,AA2693:AA6761=""Neighbor""))) / STDEV(FILTER(R2693:R6761, AA2693:AA6761 =""Neighbor"")), """")"),2.0010040309069117)</f>
        <v>2.001004031</v>
      </c>
    </row>
    <row r="2694">
      <c r="A2694" s="2" t="s">
        <v>28</v>
      </c>
      <c r="B2694" s="2" t="s">
        <v>884</v>
      </c>
      <c r="C2694" s="2" t="s">
        <v>1254</v>
      </c>
      <c r="D2694" s="2" t="s">
        <v>11029</v>
      </c>
      <c r="E2694" s="2" t="s">
        <v>11030</v>
      </c>
      <c r="F2694" s="2">
        <v>134.0</v>
      </c>
      <c r="G2694" s="2">
        <v>271.0</v>
      </c>
      <c r="H2694" s="2" t="b">
        <v>1</v>
      </c>
      <c r="I2694" s="2">
        <v>-1.0</v>
      </c>
      <c r="J2694" s="2" t="b">
        <v>0</v>
      </c>
      <c r="K2694" s="2" t="b">
        <v>0</v>
      </c>
      <c r="L2694" s="2" t="b">
        <v>0</v>
      </c>
      <c r="M2694" s="2" t="b">
        <v>0</v>
      </c>
      <c r="N2694" s="2" t="s">
        <v>33</v>
      </c>
      <c r="O2694" s="2">
        <v>54.0</v>
      </c>
      <c r="P2694" s="2">
        <v>56.0</v>
      </c>
      <c r="Q2694" s="2">
        <v>14.0</v>
      </c>
      <c r="R2694" s="2">
        <v>0.0</v>
      </c>
      <c r="S2694" s="3" t="s">
        <v>11031</v>
      </c>
      <c r="T2694" s="2" t="s">
        <v>11032</v>
      </c>
      <c r="Y2694" s="4" t="str">
        <f>IFERROR(__xludf.DUMMYFUNCTION("""COMPUTED_VALUE"""),"7.1276986")</f>
        <v>7.1276986</v>
      </c>
      <c r="Z2694" s="4" t="str">
        <f>IFERROR(__xludf.DUMMYFUNCTION("""COMPUTED_VALUE"""),"3.3779454")</f>
        <v>3.3779454</v>
      </c>
      <c r="AA2694" s="4" t="str">
        <f t="shared" si="1"/>
        <v>Not Neighbor</v>
      </c>
      <c r="AC2694" s="4">
        <f>IFERROR(__xludf.DUMMYFUNCTION("IFERROR(ABS(O2694-AVERAGE(FILTER(O2694:O6762,AA2694:AA6762=""Neighbor""))) / STDEV(FILTER(O2694:O6762, AA2694:AA6762 =""Neighbor"")), """")"),0.18914159185299234)</f>
        <v>0.1891415919</v>
      </c>
      <c r="AD2694" s="4">
        <f>IFERROR(__xludf.DUMMYFUNCTION("IFERROR(ABS(P2694-AVERAGE(FILTER(O2694:P6762,AA2694:AA6762=""Neighbor""))) / STDEV(FILTER(P2694:P6762, AA2694:AA6762 =""Neighbor"")), """")"),0.9394608529249274)</f>
        <v>0.9394608529</v>
      </c>
      <c r="AE2694" s="2">
        <f>IFERROR(__xludf.DUMMYFUNCTION("IFERROR(ABS(Q2694-AVERAGE(FILTER(Q2694:Q6762,AA2694:AA6762=""Neighbor""))) / STDEV(FILTER(Q2694:Q6762, AA2694:AA6762 =""Neighbor"")), """")"),0.036058802795076055)</f>
        <v>0.0360588028</v>
      </c>
      <c r="AF2694" s="2">
        <f>IFERROR(__xludf.DUMMYFUNCTION("IFERROR(ABS(R2694-AVERAGE(FILTER(R2694:R6762,AA2694:AA6762=""Neighbor""))) / STDEV(FILTER(R2694:R6762, AA2694:AA6762 =""Neighbor"")), """")"),0.33945604095742254)</f>
        <v>0.339456041</v>
      </c>
    </row>
    <row r="2695">
      <c r="A2695" s="2" t="s">
        <v>28</v>
      </c>
      <c r="B2695" s="2" t="s">
        <v>884</v>
      </c>
      <c r="C2695" s="2" t="s">
        <v>1254</v>
      </c>
      <c r="D2695" s="2" t="s">
        <v>11033</v>
      </c>
      <c r="E2695" s="2" t="s">
        <v>11034</v>
      </c>
      <c r="F2695" s="2">
        <v>72.0</v>
      </c>
      <c r="G2695" s="2">
        <v>170.0</v>
      </c>
      <c r="H2695" s="2" t="b">
        <v>1</v>
      </c>
      <c r="I2695" s="2">
        <v>-1.0</v>
      </c>
      <c r="J2695" s="2" t="b">
        <v>1</v>
      </c>
      <c r="K2695" s="2" t="b">
        <v>1</v>
      </c>
      <c r="L2695" s="2" t="b">
        <v>0</v>
      </c>
      <c r="M2695" s="2" t="b">
        <v>0</v>
      </c>
      <c r="N2695" s="2" t="s">
        <v>33</v>
      </c>
      <c r="O2695" s="2">
        <v>23.0</v>
      </c>
      <c r="P2695" s="2">
        <v>31.0</v>
      </c>
      <c r="Q2695" s="2">
        <v>10.0</v>
      </c>
      <c r="R2695" s="2">
        <v>1.0</v>
      </c>
      <c r="S2695" s="3" t="s">
        <v>11035</v>
      </c>
      <c r="T2695" s="2" t="s">
        <v>11036</v>
      </c>
      <c r="Y2695" s="4" t="str">
        <f>IFERROR(__xludf.DUMMYFUNCTION("""COMPUTED_VALUE"""),"7.1371889")</f>
        <v>7.1371889</v>
      </c>
      <c r="Z2695" s="4" t="str">
        <f>IFERROR(__xludf.DUMMYFUNCTION("""COMPUTED_VALUE"""),"3.366604")</f>
        <v>3.366604</v>
      </c>
      <c r="AA2695" s="4" t="str">
        <f t="shared" si="1"/>
        <v>Neighbor</v>
      </c>
      <c r="AC2695" s="4">
        <f>IFERROR(__xludf.DUMMYFUNCTION("IFERROR(ABS(O2695-AVERAGE(FILTER(O2695:O6763,AA2695:AA6763=""Neighbor""))) / STDEV(FILTER(O2695:O6763, AA2695:AA6763 =""Neighbor"")), """")"),0.7139789307983914)</f>
        <v>0.7139789308</v>
      </c>
      <c r="AD2695" s="4">
        <f>IFERROR(__xludf.DUMMYFUNCTION("IFERROR(ABS(P2695-AVERAGE(FILTER(O2695:P6763,AA2695:AA6763=""Neighbor""))) / STDEV(FILTER(P2695:P6763, AA2695:AA6763 =""Neighbor"")), """")"),0.08722949272590683)</f>
        <v>0.08722949273</v>
      </c>
      <c r="AE2695" s="2">
        <f>IFERROR(__xludf.DUMMYFUNCTION("IFERROR(ABS(Q2695-AVERAGE(FILTER(Q2695:Q6763,AA2695:AA6763=""Neighbor""))) / STDEV(FILTER(Q2695:Q6763, AA2695:AA6763 =""Neighbor"")), """")"),0.2744791518754529)</f>
        <v>0.2744791519</v>
      </c>
      <c r="AF2695" s="2">
        <f>IFERROR(__xludf.DUMMYFUNCTION("IFERROR(ABS(R2695-AVERAGE(FILTER(R2695:R6763,AA2695:AA6763=""Neighbor""))) / STDEV(FILTER(R2695:R6763, AA2695:AA6763 =""Neighbor"")), """")"),0.8307739949747446)</f>
        <v>0.830773995</v>
      </c>
    </row>
    <row r="2696">
      <c r="A2696" s="2" t="s">
        <v>28</v>
      </c>
      <c r="B2696" s="2" t="s">
        <v>884</v>
      </c>
      <c r="C2696" s="2" t="s">
        <v>1254</v>
      </c>
      <c r="D2696" s="2" t="s">
        <v>11037</v>
      </c>
      <c r="E2696" s="2" t="s">
        <v>11038</v>
      </c>
      <c r="F2696" s="2">
        <v>92.0</v>
      </c>
      <c r="G2696" s="2">
        <v>209.0</v>
      </c>
      <c r="H2696" s="2" t="b">
        <v>1</v>
      </c>
      <c r="I2696" s="2">
        <v>-1.0</v>
      </c>
      <c r="J2696" s="2" t="b">
        <v>0</v>
      </c>
      <c r="K2696" s="2" t="b">
        <v>0</v>
      </c>
      <c r="L2696" s="2" t="b">
        <v>0</v>
      </c>
      <c r="M2696" s="2" t="b">
        <v>0</v>
      </c>
      <c r="N2696" s="2" t="s">
        <v>33</v>
      </c>
      <c r="O2696" s="2">
        <v>36.0</v>
      </c>
      <c r="P2696" s="2">
        <v>39.0</v>
      </c>
      <c r="Q2696" s="2">
        <v>9.0</v>
      </c>
      <c r="R2696" s="2">
        <v>0.0</v>
      </c>
      <c r="S2696" s="3" t="s">
        <v>11039</v>
      </c>
      <c r="T2696" s="2" t="s">
        <v>11040</v>
      </c>
      <c r="Y2696" s="4" t="str">
        <f>IFERROR(__xludf.DUMMYFUNCTION("""COMPUTED_VALUE"""),"7.1311108")</f>
        <v>7.1311108</v>
      </c>
      <c r="Z2696" s="4" t="str">
        <f>IFERROR(__xludf.DUMMYFUNCTION("""COMPUTED_VALUE"""),"3.3637117")</f>
        <v>3.3637117</v>
      </c>
      <c r="AA2696" s="4" t="str">
        <f t="shared" si="1"/>
        <v>Not Neighbor</v>
      </c>
      <c r="AC2696" s="4">
        <f>IFERROR(__xludf.DUMMYFUNCTION("IFERROR(ABS(O2696-AVERAGE(FILTER(O2696:O6764,AA2696:AA6764=""Neighbor""))) / STDEV(FILTER(O2696:O6764, AA2696:AA6764 =""Neighbor"")), """")"),0.33645848943721)</f>
        <v>0.3364584894</v>
      </c>
      <c r="AD2696" s="4">
        <f>IFERROR(__xludf.DUMMYFUNCTION("IFERROR(ABS(P2696-AVERAGE(FILTER(O2696:P6764,AA2696:AA6764=""Neighbor""))) / STDEV(FILTER(P2696:P6764, AA2696:AA6764 =""Neighbor"")), """")"),0.2406586273183434)</f>
        <v>0.2406586273</v>
      </c>
      <c r="AE2696" s="2">
        <f>IFERROR(__xludf.DUMMYFUNCTION("IFERROR(ABS(Q2696-AVERAGE(FILTER(Q2696:Q6764,AA2696:AA6764=""Neighbor""))) / STDEV(FILTER(Q2696:Q6764, AA2696:AA6764 =""Neighbor"")), """")"),0.33431313490906023)</f>
        <v>0.3343131349</v>
      </c>
      <c r="AF2696" s="2">
        <f>IFERROR(__xludf.DUMMYFUNCTION("IFERROR(ABS(R2696-AVERAGE(FILTER(R2696:R6764,AA2696:AA6764=""Neighbor""))) / STDEV(FILTER(R2696:R6764, AA2696:AA6764 =""Neighbor"")), """")"),0.3377677696176757)</f>
        <v>0.3377677696</v>
      </c>
    </row>
    <row r="2697">
      <c r="A2697" s="2" t="s">
        <v>28</v>
      </c>
      <c r="B2697" s="2" t="s">
        <v>884</v>
      </c>
      <c r="C2697" s="2" t="s">
        <v>1254</v>
      </c>
      <c r="D2697" s="2" t="s">
        <v>11041</v>
      </c>
      <c r="E2697" s="2" t="s">
        <v>11042</v>
      </c>
      <c r="F2697" s="2">
        <v>143.0</v>
      </c>
      <c r="G2697" s="2">
        <v>229.0</v>
      </c>
      <c r="H2697" s="2" t="b">
        <v>1</v>
      </c>
      <c r="I2697" s="2">
        <v>-1.0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s">
        <v>33</v>
      </c>
      <c r="O2697" s="2">
        <v>49.0</v>
      </c>
      <c r="P2697" s="2">
        <v>78.0</v>
      </c>
      <c r="Q2697" s="2">
        <v>5.0</v>
      </c>
      <c r="R2697" s="2">
        <v>0.0</v>
      </c>
      <c r="S2697" s="3" t="s">
        <v>11043</v>
      </c>
      <c r="T2697" s="2" t="s">
        <v>11044</v>
      </c>
      <c r="Y2697" s="4" t="str">
        <f>IFERROR(__xludf.DUMMYFUNCTION("""COMPUTED_VALUE"""),"7.1363966")</f>
        <v>7.1363966</v>
      </c>
      <c r="Z2697" s="4" t="str">
        <f>IFERROR(__xludf.DUMMYFUNCTION("""COMPUTED_VALUE"""),"3.3737761")</f>
        <v>3.3737761</v>
      </c>
      <c r="AA2697" s="4" t="str">
        <f t="shared" si="1"/>
        <v>Not Neighbor</v>
      </c>
      <c r="AC2697" s="4">
        <f>IFERROR(__xludf.DUMMYFUNCTION("IFERROR(ABS(O2697-AVERAGE(FILTER(O2697:O6765,AA2697:AA6765=""Neighbor""))) / STDEV(FILTER(O2697:O6765, AA2697:AA6765 =""Neighbor"")), """")"),0.042092109550642236)</f>
        <v>0.04209210955</v>
      </c>
      <c r="AD2697" s="4">
        <f>IFERROR(__xludf.DUMMYFUNCTION("IFERROR(ABS(P2697-AVERAGE(FILTER(O2697:P6765,AA2697:AA6765=""Neighbor""))) / STDEV(FILTER(P2697:P6765, AA2697:AA6765 =""Neighbor"")), """")"),1.8411522762952754)</f>
        <v>1.841152276</v>
      </c>
      <c r="AE2697" s="2">
        <f>IFERROR(__xludf.DUMMYFUNCTION("IFERROR(ABS(Q2697-AVERAGE(FILTER(Q2697:Q6765,AA2697:AA6765=""Neighbor""))) / STDEV(FILTER(Q2697:Q6765, AA2697:AA6765 =""Neighbor"")), """")"),0.5725226302189219)</f>
        <v>0.5725226302</v>
      </c>
      <c r="AF2697" s="2">
        <f>IFERROR(__xludf.DUMMYFUNCTION("IFERROR(ABS(R2697-AVERAGE(FILTER(R2697:R6765,AA2697:AA6765=""Neighbor""))) / STDEV(FILTER(R2697:R6765, AA2697:AA6765 =""Neighbor"")), """")"),0.3377677696176757)</f>
        <v>0.3377677696</v>
      </c>
    </row>
    <row r="2698">
      <c r="A2698" s="2" t="s">
        <v>28</v>
      </c>
      <c r="B2698" s="2" t="s">
        <v>884</v>
      </c>
      <c r="C2698" s="2" t="s">
        <v>1254</v>
      </c>
      <c r="D2698" s="2" t="s">
        <v>11045</v>
      </c>
      <c r="E2698" s="2" t="s">
        <v>11046</v>
      </c>
      <c r="F2698" s="2">
        <v>45.0</v>
      </c>
      <c r="G2698" s="2">
        <v>144.0</v>
      </c>
      <c r="H2698" s="2" t="b">
        <v>1</v>
      </c>
      <c r="I2698" s="2">
        <v>-1.0</v>
      </c>
      <c r="J2698" s="2" t="b">
        <v>0</v>
      </c>
      <c r="K2698" s="2" t="b">
        <v>1</v>
      </c>
      <c r="L2698" s="2" t="b">
        <v>0</v>
      </c>
      <c r="M2698" s="2" t="b">
        <v>0</v>
      </c>
      <c r="N2698" s="2" t="s">
        <v>33</v>
      </c>
      <c r="O2698" s="2">
        <v>29.0</v>
      </c>
      <c r="P2698" s="2">
        <v>2.0</v>
      </c>
      <c r="Q2698" s="2">
        <v>9.0</v>
      </c>
      <c r="R2698" s="2">
        <v>0.0</v>
      </c>
      <c r="S2698" s="3" t="s">
        <v>11047</v>
      </c>
      <c r="T2698" s="2" t="s">
        <v>11048</v>
      </c>
      <c r="Y2698" s="4" t="str">
        <f>IFERROR(__xludf.DUMMYFUNCTION("""COMPUTED_VALUE"""),"7.1446412")</f>
        <v>7.1446412</v>
      </c>
      <c r="Z2698" s="4" t="str">
        <f>IFERROR(__xludf.DUMMYFUNCTION("""COMPUTED_VALUE"""),"3.3584147")</f>
        <v>3.3584147</v>
      </c>
      <c r="AA2698" s="4" t="str">
        <f t="shared" si="1"/>
        <v>Neighbor</v>
      </c>
      <c r="AC2698" s="4">
        <f>IFERROR(__xludf.DUMMYFUNCTION("IFERROR(ABS(O2698-AVERAGE(FILTER(O2698:O6766,AA2698:AA6766=""Neighbor""))) / STDEV(FILTER(O2698:O6766, AA2698:AA6766 =""Neighbor"")), """")"),0.5402934273537459)</f>
        <v>0.5402934274</v>
      </c>
      <c r="AD2698" s="4">
        <f>IFERROR(__xludf.DUMMYFUNCTION("IFERROR(ABS(P2698-AVERAGE(FILTER(O2698:P6766,AA2698:AA6766=""Neighbor""))) / STDEV(FILTER(P2698:P6766, AA2698:AA6766 =""Neighbor"")), """")"),1.2777584242751563)</f>
        <v>1.277758424</v>
      </c>
      <c r="AE2698" s="2">
        <f>IFERROR(__xludf.DUMMYFUNCTION("IFERROR(ABS(Q2698-AVERAGE(FILTER(Q2698:Q6766,AA2698:AA6766=""Neighbor""))) / STDEV(FILTER(Q2698:Q6766, AA2698:AA6766 =""Neighbor"")), """")"),0.33431313490906023)</f>
        <v>0.3343131349</v>
      </c>
      <c r="AF2698" s="2">
        <f>IFERROR(__xludf.DUMMYFUNCTION("IFERROR(ABS(R2698-AVERAGE(FILTER(R2698:R6766,AA2698:AA6766=""Neighbor""))) / STDEV(FILTER(R2698:R6766, AA2698:AA6766 =""Neighbor"")), """")"),0.3377677696176757)</f>
        <v>0.3377677696</v>
      </c>
    </row>
    <row r="2699">
      <c r="A2699" s="2" t="s">
        <v>28</v>
      </c>
      <c r="B2699" s="2" t="s">
        <v>884</v>
      </c>
      <c r="C2699" s="2" t="s">
        <v>1254</v>
      </c>
      <c r="D2699" s="2" t="s">
        <v>11049</v>
      </c>
      <c r="E2699" s="2" t="s">
        <v>11050</v>
      </c>
      <c r="F2699" s="2">
        <v>64.0</v>
      </c>
      <c r="G2699" s="2">
        <v>120.0</v>
      </c>
      <c r="H2699" s="2" t="b">
        <v>1</v>
      </c>
      <c r="I2699" s="2">
        <v>-1.0</v>
      </c>
      <c r="J2699" s="2" t="b">
        <v>0</v>
      </c>
      <c r="K2699" s="2" t="b">
        <v>0</v>
      </c>
      <c r="L2699" s="2" t="b">
        <v>0</v>
      </c>
      <c r="M2699" s="2" t="b">
        <v>0</v>
      </c>
      <c r="N2699" s="2" t="s">
        <v>33</v>
      </c>
      <c r="O2699" s="2">
        <v>38.0</v>
      </c>
      <c r="P2699" s="2">
        <v>1.0</v>
      </c>
      <c r="Q2699" s="2">
        <v>15.0</v>
      </c>
      <c r="R2699" s="2">
        <v>0.0</v>
      </c>
      <c r="S2699" s="3" t="s">
        <v>11051</v>
      </c>
      <c r="T2699" s="2" t="s">
        <v>11052</v>
      </c>
      <c r="Y2699" s="4" t="str">
        <f>IFERROR(__xludf.DUMMYFUNCTION("""COMPUTED_VALUE"""),"7.1486672")</f>
        <v>7.1486672</v>
      </c>
      <c r="Z2699" s="4" t="str">
        <f>IFERROR(__xludf.DUMMYFUNCTION("""COMPUTED_VALUE"""),"3.349701")</f>
        <v>3.349701</v>
      </c>
      <c r="AA2699" s="4" t="str">
        <f t="shared" si="1"/>
        <v>Neighbor</v>
      </c>
      <c r="AC2699" s="4">
        <f>IFERROR(__xludf.DUMMYFUNCTION("IFERROR(ABS(O2699-AVERAGE(FILTER(O2699:O6767,AA2699:AA6767=""Neighbor""))) / STDEV(FILTER(O2699:O6767, AA2699:AA6767 =""Neighbor"")), """")"),0.27906555785155235)</f>
        <v>0.2790655579</v>
      </c>
      <c r="AD2699" s="4">
        <f>IFERROR(__xludf.DUMMYFUNCTION("IFERROR(ABS(P2699-AVERAGE(FILTER(O2699:P6767,AA2699:AA6767=""Neighbor""))) / STDEV(FILTER(P2699:P6767, AA2699:AA6767 =""Neighbor"")), """")"),1.3195141787015532)</f>
        <v>1.319514179</v>
      </c>
      <c r="AE2699" s="2">
        <f>IFERROR(__xludf.DUMMYFUNCTION("IFERROR(ABS(Q2699-AVERAGE(FILTER(Q2699:Q6767,AA2699:AA6767=""Neighbor""))) / STDEV(FILTER(Q2699:Q6767, AA2699:AA6767 =""Neighbor"")), """")"),0.022341629401884104)</f>
        <v>0.0223416294</v>
      </c>
      <c r="AF2699" s="2">
        <f>IFERROR(__xludf.DUMMYFUNCTION("IFERROR(ABS(R2699-AVERAGE(FILTER(R2699:R6767,AA2699:AA6767=""Neighbor""))) / STDEV(FILTER(R2699:R6767, AA2699:AA6767 =""Neighbor"")), """")"),0.3381275497613571)</f>
        <v>0.3381275498</v>
      </c>
    </row>
    <row r="2700">
      <c r="A2700" s="2" t="s">
        <v>28</v>
      </c>
      <c r="B2700" s="2" t="s">
        <v>884</v>
      </c>
      <c r="C2700" s="2" t="s">
        <v>1254</v>
      </c>
      <c r="D2700" s="2" t="s">
        <v>11053</v>
      </c>
      <c r="E2700" s="2" t="s">
        <v>11054</v>
      </c>
      <c r="F2700" s="2">
        <v>114.0</v>
      </c>
      <c r="G2700" s="2">
        <v>750.0</v>
      </c>
      <c r="H2700" s="2" t="b">
        <v>1</v>
      </c>
      <c r="I2700" s="2">
        <v>-1.0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s">
        <v>33</v>
      </c>
      <c r="O2700" s="2">
        <v>0.0</v>
      </c>
      <c r="P2700" s="2">
        <v>0.0</v>
      </c>
      <c r="Q2700" s="2">
        <v>0.0</v>
      </c>
      <c r="R2700" s="2">
        <v>0.0</v>
      </c>
      <c r="S2700" s="3" t="s">
        <v>11055</v>
      </c>
      <c r="T2700" s="2" t="s">
        <v>11056</v>
      </c>
      <c r="Y2700" s="4" t="str">
        <f>IFERROR(__xludf.DUMMYFUNCTION("""COMPUTED_VALUE"""),"7.1446412")</f>
        <v>7.1446412</v>
      </c>
      <c r="Z2700" s="4" t="str">
        <f>IFERROR(__xludf.DUMMYFUNCTION("""COMPUTED_VALUE"""),"3.3584147")</f>
        <v>3.3584147</v>
      </c>
      <c r="AA2700" s="4" t="str">
        <f t="shared" si="1"/>
        <v>Neighbor</v>
      </c>
      <c r="AC2700" s="4">
        <f>IFERROR(__xludf.DUMMYFUNCTION("IFERROR(ABS(O2700-AVERAGE(FILTER(O2700:O6768,AA2700:AA6768=""Neighbor""))) / STDEV(FILTER(O2700:O6768, AA2700:AA6768 =""Neighbor"")), """")"),1.3841566064724808)</f>
        <v>1.384156606</v>
      </c>
      <c r="AD2700" s="4">
        <f>IFERROR(__xludf.DUMMYFUNCTION("IFERROR(ABS(P2700-AVERAGE(FILTER(O2700:P6768,AA2700:AA6768=""Neighbor""))) / STDEV(FILTER(P2700:P6768, AA2700:AA6768 =""Neighbor"")), """")"),1.3609942864723699)</f>
        <v>1.360994286</v>
      </c>
      <c r="AE2700" s="2">
        <f>IFERROR(__xludf.DUMMYFUNCTION("IFERROR(ABS(Q2700-AVERAGE(FILTER(Q2700:Q6768,AA2700:AA6768=""Neighbor""))) / STDEV(FILTER(Q2700:Q6768, AA2700:AA6768 =""Neighbor"")), """")"),0.8693057336167461)</f>
        <v>0.8693057336</v>
      </c>
      <c r="AF2700" s="2">
        <f>IFERROR(__xludf.DUMMYFUNCTION("IFERROR(ABS(R2700-AVERAGE(FILTER(R2700:R6768,AA2700:AA6768=""Neighbor""))) / STDEV(FILTER(R2700:R6768, AA2700:AA6768 =""Neighbor"")), """")"),0.33848848231002177)</f>
        <v>0.3384884823</v>
      </c>
    </row>
    <row r="2701">
      <c r="A2701" s="2" t="s">
        <v>28</v>
      </c>
      <c r="B2701" s="2" t="s">
        <v>884</v>
      </c>
      <c r="C2701" s="2" t="s">
        <v>1254</v>
      </c>
      <c r="D2701" s="2" t="s">
        <v>11057</v>
      </c>
      <c r="E2701" s="2" t="s">
        <v>11058</v>
      </c>
      <c r="F2701" s="2">
        <v>60.0</v>
      </c>
      <c r="G2701" s="2">
        <v>222.0</v>
      </c>
      <c r="H2701" s="2" t="b">
        <v>1</v>
      </c>
      <c r="I2701" s="2">
        <v>-1.0</v>
      </c>
      <c r="J2701" s="2" t="b">
        <v>0</v>
      </c>
      <c r="K2701" s="2" t="b">
        <v>0</v>
      </c>
      <c r="L2701" s="2" t="b">
        <v>0</v>
      </c>
      <c r="M2701" s="2" t="b">
        <v>0</v>
      </c>
      <c r="N2701" s="2" t="s">
        <v>33</v>
      </c>
      <c r="O2701" s="2">
        <v>26.0</v>
      </c>
      <c r="P2701" s="2">
        <v>8.0</v>
      </c>
      <c r="Q2701" s="2">
        <v>19.0</v>
      </c>
      <c r="R2701" s="2">
        <v>0.0</v>
      </c>
      <c r="S2701" s="3" t="s">
        <v>11059</v>
      </c>
      <c r="T2701" s="2" t="s">
        <v>11060</v>
      </c>
      <c r="Y2701" s="4" t="str">
        <f>IFERROR(__xludf.DUMMYFUNCTION("""COMPUTED_VALUE"""),"7.1371889")</f>
        <v>7.1371889</v>
      </c>
      <c r="Z2701" s="4" t="str">
        <f>IFERROR(__xludf.DUMMYFUNCTION("""COMPUTED_VALUE"""),"3.366604")</f>
        <v>3.366604</v>
      </c>
      <c r="AA2701" s="4" t="str">
        <f t="shared" si="1"/>
        <v>Neighbor</v>
      </c>
      <c r="AC2701" s="4">
        <f>IFERROR(__xludf.DUMMYFUNCTION("IFERROR(ABS(O2701-AVERAGE(FILTER(O2701:O6769,AA2701:AA6769=""Neighbor""))) / STDEV(FILTER(O2701:O6769, AA2701:AA6769 =""Neighbor"")), """")"),0.6314602994134885)</f>
        <v>0.6314602994</v>
      </c>
      <c r="AD2701" s="4">
        <f>IFERROR(__xludf.DUMMYFUNCTION("IFERROR(ABS(P2701-AVERAGE(FILTER(O2701:P6769,AA2701:AA6769=""Neighbor""))) / STDEV(FILTER(P2701:P6769, AA2701:AA6769 =""Neighbor"")), """")"),1.0352147815764898)</f>
        <v>1.035214782</v>
      </c>
      <c r="AE2701" s="2">
        <f>IFERROR(__xludf.DUMMYFUNCTION("IFERROR(ABS(Q2701-AVERAGE(FILTER(Q2701:Q6769,AA2701:AA6769=""Neighbor""))) / STDEV(FILTER(Q2701:Q6769, AA2701:AA6769 =""Neighbor"")), """")"),0.25840917358586646)</f>
        <v>0.2584091736</v>
      </c>
      <c r="AF2701" s="2">
        <f>IFERROR(__xludf.DUMMYFUNCTION("IFERROR(ABS(R2701-AVERAGE(FILTER(R2701:R6769,AA2701:AA6769=""Neighbor""))) / STDEV(FILTER(R2701:R6769, AA2701:AA6769 =""Neighbor"")), """")"),0.33885057343018604)</f>
        <v>0.3388505734</v>
      </c>
    </row>
    <row r="2702">
      <c r="A2702" s="2" t="s">
        <v>28</v>
      </c>
      <c r="B2702" s="2" t="s">
        <v>884</v>
      </c>
      <c r="C2702" s="2" t="s">
        <v>1254</v>
      </c>
      <c r="D2702" s="2" t="s">
        <v>11061</v>
      </c>
      <c r="E2702" s="2" t="s">
        <v>11062</v>
      </c>
      <c r="F2702" s="2">
        <v>74.0</v>
      </c>
      <c r="G2702" s="2">
        <v>310.0</v>
      </c>
      <c r="H2702" s="2" t="b">
        <v>1</v>
      </c>
      <c r="I2702" s="2">
        <v>-1.0</v>
      </c>
      <c r="J2702" s="2" t="b">
        <v>0</v>
      </c>
      <c r="K2702" s="2" t="b">
        <v>1</v>
      </c>
      <c r="L2702" s="2" t="b">
        <v>0</v>
      </c>
      <c r="M2702" s="2" t="b">
        <v>0</v>
      </c>
      <c r="N2702" s="2" t="s">
        <v>33</v>
      </c>
      <c r="O2702" s="2">
        <v>37.0</v>
      </c>
      <c r="P2702" s="2">
        <v>20.0</v>
      </c>
      <c r="Q2702" s="2">
        <v>2.0</v>
      </c>
      <c r="R2702" s="2">
        <v>1.0</v>
      </c>
      <c r="S2702" s="3" t="s">
        <v>11063</v>
      </c>
      <c r="T2702" s="2" t="s">
        <v>11064</v>
      </c>
      <c r="Y2702" s="4" t="str">
        <f>IFERROR(__xludf.DUMMYFUNCTION("""COMPUTED_VALUE"""),"7.1371889")</f>
        <v>7.1371889</v>
      </c>
      <c r="Z2702" s="4" t="str">
        <f>IFERROR(__xludf.DUMMYFUNCTION("""COMPUTED_VALUE"""),"3.366604")</f>
        <v>3.366604</v>
      </c>
      <c r="AA2702" s="4" t="str">
        <f t="shared" si="1"/>
        <v>Neighbor</v>
      </c>
      <c r="AC2702" s="4">
        <f>IFERROR(__xludf.DUMMYFUNCTION("IFERROR(ABS(O2702-AVERAGE(FILTER(O2702:O6770,AA2702:AA6770=""Neighbor""))) / STDEV(FILTER(O2702:O6770, AA2702:AA6770 =""Neighbor"")), """")"),0.31240088093207313)</f>
        <v>0.3124008809</v>
      </c>
      <c r="AD2702" s="4">
        <f>IFERROR(__xludf.DUMMYFUNCTION("IFERROR(ABS(P2702-AVERAGE(FILTER(O2702:P6770,AA2702:AA6770=""Neighbor""))) / STDEV(FILTER(P2702:P6770, AA2702:AA6770 =""Neighbor"")), """")"),0.5442810300924598)</f>
        <v>0.5442810301</v>
      </c>
      <c r="AE2702" s="2">
        <f>IFERROR(__xludf.DUMMYFUNCTION("IFERROR(ABS(Q2702-AVERAGE(FILTER(Q2702:Q6770,AA2702:AA6770=""Neighbor""))) / STDEV(FILTER(Q2702:Q6770, AA2702:AA6770 =""Neighbor"")), """")"),0.7507386442014506)</f>
        <v>0.7507386442</v>
      </c>
      <c r="AF2702" s="2">
        <f>IFERROR(__xludf.DUMMYFUNCTION("IFERROR(ABS(R2702-AVERAGE(FILTER(R2702:R6770,AA2702:AA6770=""Neighbor""))) / STDEV(FILTER(R2702:R6770, AA2702:AA6770 =""Neighbor"")), """")"),0.8266933059282011)</f>
        <v>0.8266933059</v>
      </c>
    </row>
    <row r="2703">
      <c r="A2703" s="2" t="s">
        <v>28</v>
      </c>
      <c r="B2703" s="2" t="s">
        <v>884</v>
      </c>
      <c r="C2703" s="2" t="s">
        <v>1254</v>
      </c>
      <c r="D2703" s="2" t="s">
        <v>11065</v>
      </c>
      <c r="E2703" s="2" t="s">
        <v>11066</v>
      </c>
      <c r="F2703" s="2">
        <v>84.0</v>
      </c>
      <c r="G2703" s="2">
        <v>431.0</v>
      </c>
      <c r="H2703" s="2" t="b">
        <v>1</v>
      </c>
      <c r="I2703" s="2">
        <v>-1.0</v>
      </c>
      <c r="J2703" s="2" t="b">
        <v>0</v>
      </c>
      <c r="K2703" s="2" t="b">
        <v>0</v>
      </c>
      <c r="L2703" s="2" t="b">
        <v>0</v>
      </c>
      <c r="M2703" s="2" t="b">
        <v>0</v>
      </c>
      <c r="N2703" s="2" t="s">
        <v>33</v>
      </c>
      <c r="O2703" s="2">
        <v>25.0</v>
      </c>
      <c r="P2703" s="2">
        <v>22.0</v>
      </c>
      <c r="Q2703" s="2">
        <v>30.0</v>
      </c>
      <c r="R2703" s="2">
        <v>0.0</v>
      </c>
      <c r="S2703" s="3" t="s">
        <v>11067</v>
      </c>
      <c r="T2703" s="2" t="s">
        <v>11068</v>
      </c>
      <c r="Y2703" s="4" t="str">
        <f>IFERROR(__xludf.DUMMYFUNCTION("""COMPUTED_VALUE"""),"7.1371889")</f>
        <v>7.1371889</v>
      </c>
      <c r="Z2703" s="4" t="str">
        <f>IFERROR(__xludf.DUMMYFUNCTION("""COMPUTED_VALUE"""),"3.366604")</f>
        <v>3.366604</v>
      </c>
      <c r="AA2703" s="4" t="str">
        <f t="shared" si="1"/>
        <v>Not Neighbor</v>
      </c>
      <c r="AC2703" s="4">
        <f>IFERROR(__xludf.DUMMYFUNCTION("IFERROR(ABS(O2703-AVERAGE(FILTER(O2703:O6771,AA2703:AA6771=""Neighbor""))) / STDEV(FILTER(O2703:O6771, AA2703:AA6771 =""Neighbor"")), """")"),0.6614195111572875)</f>
        <v>0.6614195112</v>
      </c>
      <c r="AD2703" s="4">
        <f>IFERROR(__xludf.DUMMYFUNCTION("IFERROR(ABS(P2703-AVERAGE(FILTER(O2703:P6771,AA2703:AA6771=""Neighbor""))) / STDEV(FILTER(P2703:P6771, AA2703:AA6771 =""Neighbor"")), """")"),0.4623113632167636)</f>
        <v>0.4623113632</v>
      </c>
      <c r="AE2703" s="2">
        <f>IFERROR(__xludf.DUMMYFUNCTION("IFERROR(ABS(Q2703-AVERAGE(FILTER(Q2703:Q6771,AA2703:AA6771=""Neighbor""))) / STDEV(FILTER(Q2703:Q6771, AA2703:AA6771 =""Neighbor"")), """")"),0.9099913620670137)</f>
        <v>0.9099913621</v>
      </c>
      <c r="AF2703" s="2">
        <f>IFERROR(__xludf.DUMMYFUNCTION("IFERROR(ABS(R2703-AVERAGE(FILTER(R2703:R6771,AA2703:AA6771=""Neighbor""))) / STDEV(FILTER(R2703:R6771, AA2703:AA6771 =""Neighbor"")), """")"),0.3375150062050719)</f>
        <v>0.3375150062</v>
      </c>
    </row>
    <row r="2704">
      <c r="A2704" s="2" t="s">
        <v>28</v>
      </c>
      <c r="B2704" s="2" t="s">
        <v>884</v>
      </c>
      <c r="C2704" s="2" t="s">
        <v>1254</v>
      </c>
      <c r="D2704" s="2" t="s">
        <v>11069</v>
      </c>
      <c r="E2704" s="2" t="s">
        <v>11070</v>
      </c>
      <c r="F2704" s="2">
        <v>34.0</v>
      </c>
      <c r="G2704" s="2">
        <v>110.0</v>
      </c>
      <c r="H2704" s="2" t="b">
        <v>1</v>
      </c>
      <c r="I2704" s="2">
        <v>-1.0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s">
        <v>33</v>
      </c>
      <c r="O2704" s="2">
        <v>21.0</v>
      </c>
      <c r="P2704" s="2">
        <v>6.0</v>
      </c>
      <c r="Q2704" s="2">
        <v>2.0</v>
      </c>
      <c r="R2704" s="2">
        <v>0.0</v>
      </c>
      <c r="S2704" s="3" t="s">
        <v>11071</v>
      </c>
      <c r="T2704" s="2" t="s">
        <v>11072</v>
      </c>
      <c r="Y2704" s="4" t="str">
        <f>IFERROR(__xludf.DUMMYFUNCTION("""COMPUTED_VALUE"""),"6.4926317")</f>
        <v>6.4926317</v>
      </c>
      <c r="Z2704" s="4" t="str">
        <f>IFERROR(__xludf.DUMMYFUNCTION("""COMPUTED_VALUE"""),"3.3489671")</f>
        <v>3.3489671</v>
      </c>
      <c r="AA2704" s="4" t="str">
        <f t="shared" si="1"/>
        <v>Not Neighbor</v>
      </c>
      <c r="AC2704" s="4">
        <f>IFERROR(__xludf.DUMMYFUNCTION("IFERROR(ABS(O2704-AVERAGE(FILTER(O2704:O6772,AA2704:AA6772=""Neighbor""))) / STDEV(FILTER(O2704:O6772, AA2704:AA6772 =""Neighbor"")), """")"),0.7776489426828493)</f>
        <v>0.7776489427</v>
      </c>
      <c r="AD2704" s="4">
        <f>IFERROR(__xludf.DUMMYFUNCTION("IFERROR(ABS(P2704-AVERAGE(FILTER(O2704:P6772,AA2704:AA6772=""Neighbor""))) / STDEV(FILTER(P2704:P6772, AA2704:AA6772 =""Neighbor"")), """")"),1.1169003404680724)</f>
        <v>1.11690034</v>
      </c>
      <c r="AE2704" s="2">
        <f>IFERROR(__xludf.DUMMYFUNCTION("IFERROR(ABS(Q2704-AVERAGE(FILTER(Q2704:Q6772,AA2704:AA6772=""Neighbor""))) / STDEV(FILTER(Q2704:Q6772, AA2704:AA6772 =""Neighbor"")), """")"),0.7518714829871247)</f>
        <v>0.751871483</v>
      </c>
      <c r="AF2704" s="2">
        <f>IFERROR(__xludf.DUMMYFUNCTION("IFERROR(ABS(R2704-AVERAGE(FILTER(R2704:R6772,AA2704:AA6772=""Neighbor""))) / STDEV(FILTER(R2704:R6772, AA2704:AA6772 =""Neighbor"")), """")"),0.3375150062050719)</f>
        <v>0.3375150062</v>
      </c>
    </row>
    <row r="2705">
      <c r="A2705" s="2" t="s">
        <v>28</v>
      </c>
      <c r="B2705" s="2" t="s">
        <v>884</v>
      </c>
      <c r="C2705" s="2" t="s">
        <v>1254</v>
      </c>
      <c r="D2705" s="2" t="s">
        <v>11073</v>
      </c>
      <c r="E2705" s="2" t="s">
        <v>11074</v>
      </c>
      <c r="F2705" s="2">
        <v>85.0</v>
      </c>
      <c r="G2705" s="2">
        <v>332.0</v>
      </c>
      <c r="H2705" s="2" t="b">
        <v>1</v>
      </c>
      <c r="I2705" s="2">
        <v>-1.0</v>
      </c>
      <c r="J2705" s="2" t="b">
        <v>0</v>
      </c>
      <c r="K2705" s="2" t="b">
        <v>0</v>
      </c>
      <c r="L2705" s="2" t="b">
        <v>0</v>
      </c>
      <c r="M2705" s="2" t="b">
        <v>0</v>
      </c>
      <c r="N2705" s="2" t="s">
        <v>33</v>
      </c>
      <c r="O2705" s="2">
        <v>42.0</v>
      </c>
      <c r="P2705" s="2">
        <v>29.0</v>
      </c>
      <c r="Q2705" s="2">
        <v>12.0</v>
      </c>
      <c r="R2705" s="2">
        <v>0.0</v>
      </c>
      <c r="S2705" s="3" t="s">
        <v>11075</v>
      </c>
      <c r="T2705" s="2" t="s">
        <v>11076</v>
      </c>
      <c r="Y2705" s="4" t="str">
        <f>IFERROR(__xludf.DUMMYFUNCTION("""COMPUTED_VALUE"""),"7.1446412")</f>
        <v>7.1446412</v>
      </c>
      <c r="Z2705" s="4" t="str">
        <f>IFERROR(__xludf.DUMMYFUNCTION("""COMPUTED_VALUE"""),"3.3584147")</f>
        <v>3.3584147</v>
      </c>
      <c r="AA2705" s="4" t="str">
        <f t="shared" si="1"/>
        <v>Neighbor</v>
      </c>
      <c r="AC2705" s="4">
        <f>IFERROR(__xludf.DUMMYFUNCTION("IFERROR(ABS(O2705-AVERAGE(FILTER(O2705:O6773,AA2705:AA6773=""Neighbor""))) / STDEV(FILTER(O2705:O6773, AA2705:AA6773 =""Neighbor"")), """")"),0.1674444271736497)</f>
        <v>0.1674444272</v>
      </c>
      <c r="AD2705" s="4">
        <f>IFERROR(__xludf.DUMMYFUNCTION("IFERROR(ABS(P2705-AVERAGE(FILTER(O2705:P6773,AA2705:AA6773=""Neighbor""))) / STDEV(FILTER(P2705:P6773, AA2705:AA6773 =""Neighbor"")), """")"),0.175928685669316)</f>
        <v>0.1759286857</v>
      </c>
      <c r="AE2705" s="2">
        <f>IFERROR(__xludf.DUMMYFUNCTION("IFERROR(ABS(Q2705-AVERAGE(FILTER(Q2705:Q6773,AA2705:AA6773=""Neighbor""))) / STDEV(FILTER(Q2705:Q6773, AA2705:AA6773 =""Neighbor"")), """")"),0.15834903832493238)</f>
        <v>0.1583490383</v>
      </c>
      <c r="AF2705" s="2">
        <f>IFERROR(__xludf.DUMMYFUNCTION("IFERROR(ABS(R2705-AVERAGE(FILTER(R2705:R6773,AA2705:AA6773=""Neighbor""))) / STDEV(FILTER(R2705:R6773, AA2705:AA6773 =""Neighbor"")), """")"),0.3375150062050719)</f>
        <v>0.3375150062</v>
      </c>
    </row>
    <row r="2706">
      <c r="A2706" s="2" t="s">
        <v>28</v>
      </c>
      <c r="B2706" s="2" t="s">
        <v>884</v>
      </c>
      <c r="C2706" s="2" t="s">
        <v>1254</v>
      </c>
      <c r="D2706" s="2" t="s">
        <v>11077</v>
      </c>
      <c r="E2706" s="2" t="s">
        <v>11078</v>
      </c>
      <c r="F2706" s="2">
        <v>80.0</v>
      </c>
      <c r="G2706" s="2">
        <v>188.0</v>
      </c>
      <c r="H2706" s="2" t="b">
        <v>1</v>
      </c>
      <c r="I2706" s="2">
        <v>-1.0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s">
        <v>33</v>
      </c>
      <c r="O2706" s="2">
        <v>44.0</v>
      </c>
      <c r="P2706" s="2">
        <v>7.0</v>
      </c>
      <c r="Q2706" s="2">
        <v>12.0</v>
      </c>
      <c r="R2706" s="2">
        <v>1.0</v>
      </c>
      <c r="S2706" s="3" t="s">
        <v>11079</v>
      </c>
      <c r="T2706" s="2" t="s">
        <v>11080</v>
      </c>
      <c r="Y2706" s="4" t="str">
        <f>IFERROR(__xludf.DUMMYFUNCTION("""COMPUTED_VALUE"""),"7.1371889")</f>
        <v>7.1371889</v>
      </c>
      <c r="Z2706" s="4" t="str">
        <f>IFERROR(__xludf.DUMMYFUNCTION("""COMPUTED_VALUE"""),"3.366604")</f>
        <v>3.366604</v>
      </c>
      <c r="AA2706" s="4" t="str">
        <f t="shared" si="1"/>
        <v>Neighbor</v>
      </c>
      <c r="AC2706" s="4">
        <f>IFERROR(__xludf.DUMMYFUNCTION("IFERROR(ABS(O2706-AVERAGE(FILTER(O2706:O6774,AA2706:AA6774=""Neighbor""))) / STDEV(FILTER(O2706:O6774, AA2706:AA6774 =""Neighbor"")), """")"),0.10955046548200707)</f>
        <v>0.1095504655</v>
      </c>
      <c r="AD2706" s="4">
        <f>IFERROR(__xludf.DUMMYFUNCTION("IFERROR(ABS(P2706-AVERAGE(FILTER(O2706:P6774,AA2706:AA6774=""Neighbor""))) / STDEV(FILTER(P2706:P6774, AA2706:AA6774 =""Neighbor"")), """")"),1.0749535675680622)</f>
        <v>1.074953568</v>
      </c>
      <c r="AE2706" s="2">
        <f>IFERROR(__xludf.DUMMYFUNCTION("IFERROR(ABS(Q2706-AVERAGE(FILTER(Q2706:Q6774,AA2706:AA6774=""Neighbor""))) / STDEV(FILTER(Q2706:Q6774, AA2706:AA6774 =""Neighbor"")), """")"),0.15850566127802423)</f>
        <v>0.1585056613</v>
      </c>
      <c r="AF2706" s="2">
        <f>IFERROR(__xludf.DUMMYFUNCTION("IFERROR(ABS(R2706-AVERAGE(FILTER(R2706:R6774,AA2706:AA6774=""Neighbor""))) / STDEV(FILTER(R2706:R6774, AA2706:AA6774 =""Neighbor"")), """")"),0.8266746727414235)</f>
        <v>0.8266746727</v>
      </c>
    </row>
    <row r="2707">
      <c r="A2707" s="2" t="s">
        <v>28</v>
      </c>
      <c r="B2707" s="2" t="s">
        <v>884</v>
      </c>
      <c r="C2707" s="2" t="s">
        <v>1254</v>
      </c>
      <c r="D2707" s="2" t="s">
        <v>11081</v>
      </c>
      <c r="E2707" s="2" t="s">
        <v>11082</v>
      </c>
      <c r="F2707" s="2">
        <v>101.0</v>
      </c>
      <c r="G2707" s="2">
        <v>661.0</v>
      </c>
      <c r="H2707" s="2" t="b">
        <v>1</v>
      </c>
      <c r="I2707" s="2">
        <v>-1.0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s">
        <v>33</v>
      </c>
      <c r="O2707" s="2">
        <v>50.0</v>
      </c>
      <c r="P2707" s="2">
        <v>20.0</v>
      </c>
      <c r="Q2707" s="2">
        <v>18.0</v>
      </c>
      <c r="R2707" s="2">
        <v>0.0</v>
      </c>
      <c r="S2707" s="3" t="s">
        <v>11083</v>
      </c>
      <c r="T2707" s="2" t="s">
        <v>11084</v>
      </c>
      <c r="Y2707" s="4" t="str">
        <f>IFERROR(__xludf.DUMMYFUNCTION("""COMPUTED_VALUE"""),"7.1446412")</f>
        <v>7.1446412</v>
      </c>
      <c r="Z2707" s="4" t="str">
        <f>IFERROR(__xludf.DUMMYFUNCTION("""COMPUTED_VALUE"""),"3.3584147")</f>
        <v>3.3584147</v>
      </c>
      <c r="AA2707" s="4" t="str">
        <f t="shared" si="1"/>
        <v>Not Neighbor</v>
      </c>
      <c r="AC2707" s="4">
        <f>IFERROR(__xludf.DUMMYFUNCTION("IFERROR(ABS(O2707-AVERAGE(FILTER(O2707:O6775,AA2707:AA6775=""Neighbor""))) / STDEV(FILTER(O2707:O6775, AA2707:AA6775 =""Neighbor"")), """")"),0.06435571355901959)</f>
        <v>0.06435571356</v>
      </c>
      <c r="AD2707" s="4">
        <f>IFERROR(__xludf.DUMMYFUNCTION("IFERROR(ABS(P2707-AVERAGE(FILTER(O2707:P6775,AA2707:AA6775=""Neighbor""))) / STDEV(FILTER(P2707:P6775, AA2707:AA6775 =""Neighbor"")), """")"),0.5437389393517643)</f>
        <v>0.5437389394</v>
      </c>
      <c r="AE2707" s="2">
        <f>IFERROR(__xludf.DUMMYFUNCTION("IFERROR(ABS(Q2707-AVERAGE(FILTER(Q2707:Q6775,AA2707:AA6775=""Neighbor""))) / STDEV(FILTER(Q2707:Q6775, AA2707:AA6775 =""Neighbor"")), """")"),0.19677854802714959)</f>
        <v>0.196778548</v>
      </c>
      <c r="AF2707" s="2">
        <f>IFERROR(__xludf.DUMMYFUNCTION("IFERROR(ABS(R2707-AVERAGE(FILTER(R2707:R6775,AA2707:AA6775=""Neighbor""))) / STDEV(FILTER(R2707:R6775, AA2707:AA6775 =""Neighbor"")), """")"),0.3361729616230213)</f>
        <v>0.3361729616</v>
      </c>
    </row>
    <row r="2708">
      <c r="A2708" s="2" t="s">
        <v>28</v>
      </c>
      <c r="B2708" s="2" t="s">
        <v>884</v>
      </c>
      <c r="C2708" s="2" t="s">
        <v>1254</v>
      </c>
      <c r="D2708" s="2" t="s">
        <v>11085</v>
      </c>
      <c r="E2708" s="2" t="s">
        <v>11086</v>
      </c>
      <c r="F2708" s="2">
        <v>53.0</v>
      </c>
      <c r="G2708" s="2">
        <v>139.0</v>
      </c>
      <c r="H2708" s="2" t="b">
        <v>1</v>
      </c>
      <c r="I2708" s="2">
        <v>-1.0</v>
      </c>
      <c r="J2708" s="2" t="b">
        <v>0</v>
      </c>
      <c r="K2708" s="2" t="b">
        <v>0</v>
      </c>
      <c r="L2708" s="2" t="b">
        <v>0</v>
      </c>
      <c r="M2708" s="2" t="b">
        <v>0</v>
      </c>
      <c r="N2708" s="2" t="s">
        <v>33</v>
      </c>
      <c r="O2708" s="2">
        <v>22.0</v>
      </c>
      <c r="P2708" s="2">
        <v>22.0</v>
      </c>
      <c r="Q2708" s="2">
        <v>8.0</v>
      </c>
      <c r="R2708" s="2">
        <v>0.0</v>
      </c>
      <c r="S2708" s="3" t="s">
        <v>11087</v>
      </c>
      <c r="T2708" s="2" t="s">
        <v>11088</v>
      </c>
      <c r="Y2708" s="4" t="str">
        <f>IFERROR(__xludf.DUMMYFUNCTION("""COMPUTED_VALUE"""),"7.1341158")</f>
        <v>7.1341158</v>
      </c>
      <c r="Z2708" s="4" t="str">
        <f>IFERROR(__xludf.DUMMYFUNCTION("""COMPUTED_VALUE"""),"3.3686345")</f>
        <v>3.3686345</v>
      </c>
      <c r="AA2708" s="4" t="str">
        <f t="shared" si="1"/>
        <v>Not Neighbor</v>
      </c>
      <c r="AC2708" s="4">
        <f>IFERROR(__xludf.DUMMYFUNCTION("IFERROR(ABS(O2708-AVERAGE(FILTER(O2708:O6776,AA2708:AA6776=""Neighbor""))) / STDEV(FILTER(O2708:O6776, AA2708:AA6776 =""Neighbor"")), """")"),0.747706600415404)</f>
        <v>0.7477066004</v>
      </c>
      <c r="AD2708" s="4">
        <f>IFERROR(__xludf.DUMMYFUNCTION("IFERROR(ABS(P2708-AVERAGE(FILTER(O2708:P6776,AA2708:AA6776=""Neighbor""))) / STDEV(FILTER(P2708:P6776, AA2708:AA6776 =""Neighbor"")), """")"),0.462041540296509)</f>
        <v>0.4620415403</v>
      </c>
      <c r="AE2708" s="2">
        <f>IFERROR(__xludf.DUMMYFUNCTION("IFERROR(ABS(Q2708-AVERAGE(FILTER(Q2708:Q6776,AA2708:AA6776=""Neighbor""))) / STDEV(FILTER(Q2708:Q6776, AA2708:AA6776 =""Neighbor"")), """")"),0.39562361522844663)</f>
        <v>0.3956236152</v>
      </c>
      <c r="AF2708" s="2">
        <f>IFERROR(__xludf.DUMMYFUNCTION("IFERROR(ABS(R2708-AVERAGE(FILTER(R2708:R6776,AA2708:AA6776=""Neighbor""))) / STDEV(FILTER(R2708:R6776, AA2708:AA6776 =""Neighbor"")), """")"),0.3361729616230213)</f>
        <v>0.3361729616</v>
      </c>
    </row>
    <row r="2709">
      <c r="A2709" s="2" t="s">
        <v>28</v>
      </c>
      <c r="B2709" s="2" t="s">
        <v>884</v>
      </c>
      <c r="C2709" s="2" t="s">
        <v>885</v>
      </c>
      <c r="D2709" s="2" t="s">
        <v>11089</v>
      </c>
      <c r="E2709" s="2" t="s">
        <v>11090</v>
      </c>
      <c r="F2709" s="2">
        <v>32.0</v>
      </c>
      <c r="G2709" s="2">
        <v>61.0</v>
      </c>
      <c r="H2709" s="2" t="b">
        <v>1</v>
      </c>
      <c r="I2709" s="2">
        <v>-1.0</v>
      </c>
      <c r="J2709" s="2" t="b">
        <v>1</v>
      </c>
      <c r="K2709" s="2" t="b">
        <v>0</v>
      </c>
      <c r="L2709" s="2" t="b">
        <v>0</v>
      </c>
      <c r="M2709" s="2" t="b">
        <v>0</v>
      </c>
      <c r="N2709" s="2" t="s">
        <v>33</v>
      </c>
      <c r="O2709" s="2">
        <v>21.0</v>
      </c>
      <c r="P2709" s="2">
        <v>3.0</v>
      </c>
      <c r="Q2709" s="2">
        <v>3.0</v>
      </c>
      <c r="R2709" s="2">
        <v>0.0</v>
      </c>
      <c r="S2709" s="3" t="s">
        <v>11091</v>
      </c>
      <c r="T2709" s="2" t="s">
        <v>11092</v>
      </c>
      <c r="Y2709" s="4" t="str">
        <f>IFERROR(__xludf.DUMMYFUNCTION("""COMPUTED_VALUE"""),"7.1601248")</f>
        <v>7.1601248</v>
      </c>
      <c r="Z2709" s="4" t="str">
        <f>IFERROR(__xludf.DUMMYFUNCTION("""COMPUTED_VALUE"""),"3.3552653")</f>
        <v>3.3552653</v>
      </c>
      <c r="AA2709" s="4" t="str">
        <f t="shared" si="1"/>
        <v>Not Neighbor</v>
      </c>
      <c r="AC2709" s="4">
        <f>IFERROR(__xludf.DUMMYFUNCTION("IFERROR(ABS(O2709-AVERAGE(FILTER(O2709:O6777,AA2709:AA6777=""Neighbor""))) / STDEV(FILTER(O2709:O6777, AA2709:AA6777 =""Neighbor"")), """")"),0.7767088259144906)</f>
        <v>0.7767088259</v>
      </c>
      <c r="AD2709" s="4">
        <f>IFERROR(__xludf.DUMMYFUNCTION("IFERROR(ABS(P2709-AVERAGE(FILTER(O2709:P6777,AA2709:AA6777=""Neighbor""))) / STDEV(FILTER(P2709:P6777, AA2709:AA6777 =""Neighbor"")), """")"),1.238166831321434)</f>
        <v>1.238166831</v>
      </c>
      <c r="AE2709" s="2">
        <f>IFERROR(__xludf.DUMMYFUNCTION("IFERROR(ABS(Q2709-AVERAGE(FILTER(Q2709:Q6777,AA2709:AA6777=""Neighbor""))) / STDEV(FILTER(Q2709:Q6777, AA2709:AA6777 =""Neighbor"")), """")"),0.6918246968562448)</f>
        <v>0.6918246969</v>
      </c>
      <c r="AF2709" s="2">
        <f>IFERROR(__xludf.DUMMYFUNCTION("IFERROR(ABS(R2709-AVERAGE(FILTER(R2709:R6777,AA2709:AA6777=""Neighbor""))) / STDEV(FILTER(R2709:R6777, AA2709:AA6777 =""Neighbor"")), """")"),0.3361729616230213)</f>
        <v>0.3361729616</v>
      </c>
    </row>
    <row r="2710">
      <c r="A2710" s="2" t="s">
        <v>28</v>
      </c>
      <c r="B2710" s="2" t="s">
        <v>884</v>
      </c>
      <c r="C2710" s="2" t="s">
        <v>918</v>
      </c>
      <c r="D2710" s="2" t="s">
        <v>11093</v>
      </c>
      <c r="E2710" s="2" t="s">
        <v>11094</v>
      </c>
      <c r="F2710" s="2">
        <v>66.0</v>
      </c>
      <c r="G2710" s="2">
        <v>128.0</v>
      </c>
      <c r="H2710" s="2" t="b">
        <v>1</v>
      </c>
      <c r="I2710" s="2">
        <v>-1.0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s">
        <v>33</v>
      </c>
      <c r="O2710" s="2">
        <v>0.0</v>
      </c>
      <c r="P2710" s="2">
        <v>0.0</v>
      </c>
      <c r="Q2710" s="2">
        <v>0.0</v>
      </c>
      <c r="R2710" s="2">
        <v>0.0</v>
      </c>
      <c r="S2710" s="3" t="s">
        <v>11095</v>
      </c>
      <c r="T2710" s="2" t="s">
        <v>11096</v>
      </c>
      <c r="Y2710" s="4" t="str">
        <f>IFERROR(__xludf.DUMMYFUNCTION("""COMPUTED_VALUE"""),"7.1692754")</f>
        <v>7.1692754</v>
      </c>
      <c r="Z2710" s="4" t="str">
        <f>IFERROR(__xludf.DUMMYFUNCTION("""COMPUTED_VALUE"""),"3.3725928")</f>
        <v>3.3725928</v>
      </c>
      <c r="AA2710" s="4" t="str">
        <f t="shared" si="1"/>
        <v>Neighbor</v>
      </c>
      <c r="AC2710" s="4">
        <f>IFERROR(__xludf.DUMMYFUNCTION("IFERROR(ABS(O2710-AVERAGE(FILTER(O2710:O6778,AA2710:AA6778=""Neighbor""))) / STDEV(FILTER(O2710:O6778, AA2710:AA6778 =""Neighbor"")), """")"),1.3857555613953083)</f>
        <v>1.385755561</v>
      </c>
      <c r="AD2710" s="4">
        <f>IFERROR(__xludf.DUMMYFUNCTION("IFERROR(ABS(P2710-AVERAGE(FILTER(O2710:P6778,AA2710:AA6778=""Neighbor""))) / STDEV(FILTER(P2710:P6778, AA2710:AA6778 =""Neighbor"")), """")"),1.3607129299043168)</f>
        <v>1.36071293</v>
      </c>
      <c r="AE2710" s="2">
        <f>IFERROR(__xludf.DUMMYFUNCTION("IFERROR(ABS(Q2710-AVERAGE(FILTER(Q2710:Q6778,AA2710:AA6778=""Neighbor""))) / STDEV(FILTER(Q2710:Q6778, AA2710:AA6778 =""Neighbor"")), """")"),0.8695453458329236)</f>
        <v>0.8695453458</v>
      </c>
      <c r="AF2710" s="2">
        <f>IFERROR(__xludf.DUMMYFUNCTION("IFERROR(ABS(R2710-AVERAGE(FILTER(R2710:R6778,AA2710:AA6778=""Neighbor""))) / STDEV(FILTER(R2710:R6778, AA2710:AA6778 =""Neighbor"")), """")"),0.3361729616230213)</f>
        <v>0.3361729616</v>
      </c>
    </row>
    <row r="2711">
      <c r="A2711" s="2" t="s">
        <v>28</v>
      </c>
      <c r="B2711" s="2" t="s">
        <v>884</v>
      </c>
      <c r="C2711" s="2" t="s">
        <v>918</v>
      </c>
      <c r="D2711" s="2" t="s">
        <v>11097</v>
      </c>
      <c r="E2711" s="2" t="s">
        <v>11098</v>
      </c>
      <c r="F2711" s="2">
        <v>119.0</v>
      </c>
      <c r="G2711" s="2">
        <v>211.0</v>
      </c>
      <c r="H2711" s="2" t="b">
        <v>1</v>
      </c>
      <c r="I2711" s="2">
        <v>-1.0</v>
      </c>
      <c r="J2711" s="2" t="b">
        <v>0</v>
      </c>
      <c r="K2711" s="2" t="b">
        <v>1</v>
      </c>
      <c r="L2711" s="2" t="b">
        <v>0</v>
      </c>
      <c r="M2711" s="2" t="b">
        <v>0</v>
      </c>
      <c r="N2711" s="2" t="s">
        <v>33</v>
      </c>
      <c r="O2711" s="2">
        <v>63.0</v>
      </c>
      <c r="P2711" s="2">
        <v>27.0</v>
      </c>
      <c r="Q2711" s="2">
        <v>8.0</v>
      </c>
      <c r="R2711" s="2">
        <v>1.0</v>
      </c>
      <c r="S2711" s="3" t="s">
        <v>11099</v>
      </c>
      <c r="T2711" s="2" t="s">
        <v>11100</v>
      </c>
      <c r="Y2711" s="4" t="str">
        <f>IFERROR(__xludf.DUMMYFUNCTION("""COMPUTED_VALUE"""),"7.174138")</f>
        <v>7.174138</v>
      </c>
      <c r="Z2711" s="4" t="str">
        <f>IFERROR(__xludf.DUMMYFUNCTION("""COMPUTED_VALUE"""),"3.3786668")</f>
        <v>3.3786668</v>
      </c>
      <c r="AA2711" s="4" t="str">
        <f t="shared" si="1"/>
        <v>Not Neighbor</v>
      </c>
      <c r="AC2711" s="4">
        <f>IFERROR(__xludf.DUMMYFUNCTION("IFERROR(ABS(O2711-AVERAGE(FILTER(O2711:O6779,AA2711:AA6779=""Neighbor""))) / STDEV(FILTER(O2711:O6779, AA2711:AA6779 =""Neighbor"")), """")"),0.4390887225740924)</f>
        <v>0.4390887226</v>
      </c>
      <c r="AD2711" s="4">
        <f>IFERROR(__xludf.DUMMYFUNCTION("IFERROR(ABS(P2711-AVERAGE(FILTER(O2711:P6779,AA2711:AA6779=""Neighbor""))) / STDEV(FILTER(P2711:P6779, AA2711:AA6779 =""Neighbor"")), """")"),0.26033727593800454)</f>
        <v>0.2603372759</v>
      </c>
      <c r="AE2711" s="2">
        <f>IFERROR(__xludf.DUMMYFUNCTION("IFERROR(ABS(Q2711-AVERAGE(FILTER(Q2711:Q6779,AA2711:AA6779=""Neighbor""))) / STDEV(FILTER(Q2711:Q6779, AA2711:AA6779 =""Neighbor"")), """")"),0.39721839188755026)</f>
        <v>0.3972183919</v>
      </c>
      <c r="AF2711" s="2">
        <f>IFERROR(__xludf.DUMMYFUNCTION("IFERROR(ABS(R2711-AVERAGE(FILTER(R2711:R6779,AA2711:AA6779=""Neighbor""))) / STDEV(FILTER(R2711:R6779, AA2711:AA6779 =""Neighbor"")), """")"),0.8266577917927932)</f>
        <v>0.8266577918</v>
      </c>
    </row>
    <row r="2712">
      <c r="A2712" s="2" t="s">
        <v>28</v>
      </c>
      <c r="B2712" s="2" t="s">
        <v>884</v>
      </c>
      <c r="C2712" s="2" t="s">
        <v>918</v>
      </c>
      <c r="D2712" s="2" t="s">
        <v>11101</v>
      </c>
      <c r="E2712" s="2" t="s">
        <v>11102</v>
      </c>
      <c r="F2712" s="2">
        <v>49.0</v>
      </c>
      <c r="G2712" s="2">
        <v>106.0</v>
      </c>
      <c r="H2712" s="2" t="b">
        <v>1</v>
      </c>
      <c r="I2712" s="2">
        <v>-1.0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s">
        <v>33</v>
      </c>
      <c r="O2712" s="2">
        <v>29.0</v>
      </c>
      <c r="P2712" s="2">
        <v>11.0</v>
      </c>
      <c r="Q2712" s="2">
        <v>1.0</v>
      </c>
      <c r="R2712" s="2">
        <v>0.0</v>
      </c>
      <c r="S2712" s="3" t="s">
        <v>11103</v>
      </c>
      <c r="T2712" s="2" t="s">
        <v>11104</v>
      </c>
      <c r="Y2712" s="4" t="str">
        <f>IFERROR(__xludf.DUMMYFUNCTION("""COMPUTED_VALUE"""),"7.1854167")</f>
        <v>7.1854167</v>
      </c>
      <c r="Z2712" s="4" t="str">
        <f>IFERROR(__xludf.DUMMYFUNCTION("""COMPUTED_VALUE"""),"3.369168")</f>
        <v>3.369168</v>
      </c>
      <c r="AA2712" s="4" t="str">
        <f t="shared" si="1"/>
        <v>Neighbor</v>
      </c>
      <c r="AC2712" s="4">
        <f>IFERROR(__xludf.DUMMYFUNCTION("IFERROR(ABS(O2712-AVERAGE(FILTER(O2712:O6780,AA2712:AA6780=""Neighbor""))) / STDEV(FILTER(O2712:O6780, AA2712:AA6780 =""Neighbor"")), """")"),0.54787450364829)</f>
        <v>0.5478745036</v>
      </c>
      <c r="AD2712" s="4">
        <f>IFERROR(__xludf.DUMMYFUNCTION("IFERROR(ABS(P2712-AVERAGE(FILTER(O2712:P6780,AA2712:AA6780=""Neighbor""))) / STDEV(FILTER(P2712:P6780, AA2712:AA6780 =""Neighbor"")), """")"),0.9136581694142211)</f>
        <v>0.9136581694</v>
      </c>
      <c r="AE2712" s="2">
        <f>IFERROR(__xludf.DUMMYFUNCTION("IFERROR(ABS(Q2712-AVERAGE(FILTER(Q2712:Q6780,AA2712:AA6780=""Neighbor""))) / STDEV(FILTER(Q2712:Q6780, AA2712:AA6780 =""Neighbor"")), """")"),0.8118021506468492)</f>
        <v>0.8118021506</v>
      </c>
      <c r="AF2712" s="2">
        <f>IFERROR(__xludf.DUMMYFUNCTION("IFERROR(ABS(R2712-AVERAGE(FILTER(R2712:R6780,AA2712:AA6780=""Neighbor""))) / STDEV(FILTER(R2712:R6780, AA2712:AA6780 =""Neighbor"")), """")"),0.3365355491178311)</f>
        <v>0.3365355491</v>
      </c>
    </row>
    <row r="2713">
      <c r="A2713" s="2" t="s">
        <v>28</v>
      </c>
      <c r="B2713" s="2" t="s">
        <v>884</v>
      </c>
      <c r="C2713" s="2" t="s">
        <v>918</v>
      </c>
      <c r="D2713" s="2" t="s">
        <v>11105</v>
      </c>
      <c r="E2713" s="2" t="s">
        <v>11106</v>
      </c>
      <c r="F2713" s="2">
        <v>142.0</v>
      </c>
      <c r="G2713" s="2">
        <v>320.0</v>
      </c>
      <c r="H2713" s="2" t="b">
        <v>1</v>
      </c>
      <c r="I2713" s="2">
        <v>-1.0</v>
      </c>
      <c r="J2713" s="2" t="b">
        <v>1</v>
      </c>
      <c r="K2713" s="2" t="b">
        <v>0</v>
      </c>
      <c r="L2713" s="2" t="b">
        <v>0</v>
      </c>
      <c r="M2713" s="2" t="b">
        <v>0</v>
      </c>
      <c r="N2713" s="2" t="s">
        <v>33</v>
      </c>
      <c r="O2713" s="2">
        <v>57.0</v>
      </c>
      <c r="P2713" s="2">
        <v>23.0</v>
      </c>
      <c r="Q2713" s="2">
        <v>17.0</v>
      </c>
      <c r="R2713" s="2">
        <v>0.0</v>
      </c>
      <c r="S2713" s="3" t="s">
        <v>11107</v>
      </c>
      <c r="T2713" s="2" t="s">
        <v>11108</v>
      </c>
      <c r="Y2713" s="4" t="str">
        <f>IFERROR(__xludf.DUMMYFUNCTION("""COMPUTED_VALUE"""),"7.1776079")</f>
        <v>7.1776079</v>
      </c>
      <c r="Z2713" s="4" t="str">
        <f>IFERROR(__xludf.DUMMYFUNCTION("""COMPUTED_VALUE"""),"3.3652694")</f>
        <v>3.3652694</v>
      </c>
      <c r="AA2713" s="4" t="str">
        <f t="shared" si="1"/>
        <v>Neighbor</v>
      </c>
      <c r="AC2713" s="4">
        <f>IFERROR(__xludf.DUMMYFUNCTION("IFERROR(ABS(O2713-AVERAGE(FILTER(O2713:O6781,AA2713:AA6781=""Neighbor""))) / STDEV(FILTER(O2713:O6781, AA2713:AA6781 =""Neighbor"")), """")"),0.26367319783198173)</f>
        <v>0.2636731978</v>
      </c>
      <c r="AD2713" s="4">
        <f>IFERROR(__xludf.DUMMYFUNCTION("IFERROR(ABS(P2713-AVERAGE(FILTER(O2713:P6781,AA2713:AA6781=""Neighbor""))) / STDEV(FILTER(P2713:P6781, AA2713:AA6781 =""Neighbor"")), """")"),0.42435951196540067)</f>
        <v>0.424359512</v>
      </c>
      <c r="AE2713" s="2">
        <f>IFERROR(__xludf.DUMMYFUNCTION("IFERROR(ABS(Q2713-AVERAGE(FILTER(Q2713:Q6781,AA2713:AA6781=""Neighbor""))) / STDEV(FILTER(Q2713:Q6781, AA2713:AA6781 =""Neighbor"")), """")"),0.1341940652187376)</f>
        <v>0.1341940652</v>
      </c>
      <c r="AF2713" s="2">
        <f>IFERROR(__xludf.DUMMYFUNCTION("IFERROR(ABS(R2713-AVERAGE(FILTER(R2713:R6781,AA2713:AA6781=""Neighbor""))) / STDEV(FILTER(R2713:R6781, AA2713:AA6781 =""Neighbor"")), """")"),0.33689931265798917)</f>
        <v>0.3368993127</v>
      </c>
    </row>
    <row r="2714">
      <c r="A2714" s="2" t="s">
        <v>28</v>
      </c>
      <c r="B2714" s="2" t="s">
        <v>884</v>
      </c>
      <c r="C2714" s="2" t="s">
        <v>918</v>
      </c>
      <c r="D2714" s="2" t="s">
        <v>11109</v>
      </c>
      <c r="E2714" s="2" t="s">
        <v>11110</v>
      </c>
      <c r="F2714" s="2">
        <v>90.0</v>
      </c>
      <c r="G2714" s="2">
        <v>157.0</v>
      </c>
      <c r="H2714" s="2" t="b">
        <v>1</v>
      </c>
      <c r="I2714" s="2">
        <v>-1.0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s">
        <v>33</v>
      </c>
      <c r="O2714" s="2">
        <v>37.0</v>
      </c>
      <c r="P2714" s="2">
        <v>32.0</v>
      </c>
      <c r="Q2714" s="2">
        <v>7.0</v>
      </c>
      <c r="R2714" s="2">
        <v>0.0</v>
      </c>
      <c r="S2714" s="3" t="s">
        <v>11111</v>
      </c>
      <c r="T2714" s="2" t="s">
        <v>11112</v>
      </c>
      <c r="Y2714" s="4" t="str">
        <f>IFERROR(__xludf.DUMMYFUNCTION("""COMPUTED_VALUE"""),"7.1722265")</f>
        <v>7.1722265</v>
      </c>
      <c r="Z2714" s="4" t="str">
        <f>IFERROR(__xludf.DUMMYFUNCTION("""COMPUTED_VALUE"""),"3.3708901")</f>
        <v>3.3708901</v>
      </c>
      <c r="AA2714" s="4" t="str">
        <f t="shared" si="1"/>
        <v>Not Neighbor</v>
      </c>
      <c r="AC2714" s="4">
        <f>IFERROR(__xludf.DUMMYFUNCTION("IFERROR(ABS(O2714-AVERAGE(FILTER(O2714:O6782,AA2714:AA6782=""Neighbor""))) / STDEV(FILTER(O2714:O6782, AA2714:AA6782 =""Neighbor"")), """")"),0.31569746124671455)</f>
        <v>0.3156974612</v>
      </c>
      <c r="AD2714" s="4">
        <f>IFERROR(__xludf.DUMMYFUNCTION("IFERROR(ABS(P2714-AVERAGE(FILTER(O2714:P6782,AA2714:AA6782=""Neighbor""))) / STDEV(FILTER(P2714:P6782, AA2714:AA6782 =""Neighbor"")), """")"),0.05660870208224261)</f>
        <v>0.05660870208</v>
      </c>
      <c r="AE2714" s="2">
        <f>IFERROR(__xludf.DUMMYFUNCTION("IFERROR(ABS(Q2714-AVERAGE(FILTER(Q2714:Q6782,AA2714:AA6782=""Neighbor""))) / STDEV(FILTER(Q2714:Q6782, AA2714:AA6782 =""Neighbor"")), """")"),0.45717267522786703)</f>
        <v>0.4571726752</v>
      </c>
      <c r="AF2714" s="2">
        <f>IFERROR(__xludf.DUMMYFUNCTION("IFERROR(ABS(R2714-AVERAGE(FILTER(R2714:R6782,AA2714:AA6782=""Neighbor""))) / STDEV(FILTER(R2714:R6782, AA2714:AA6782 =""Neighbor"")), """")"),0.3372642586160631)</f>
        <v>0.3372642586</v>
      </c>
    </row>
    <row r="2715">
      <c r="A2715" s="2" t="s">
        <v>28</v>
      </c>
      <c r="B2715" s="2" t="s">
        <v>884</v>
      </c>
      <c r="C2715" s="2" t="s">
        <v>918</v>
      </c>
      <c r="D2715" s="2" t="s">
        <v>11113</v>
      </c>
      <c r="E2715" s="2" t="s">
        <v>11114</v>
      </c>
      <c r="F2715" s="2">
        <v>98.0</v>
      </c>
      <c r="G2715" s="2">
        <v>208.0</v>
      </c>
      <c r="H2715" s="2" t="b">
        <v>1</v>
      </c>
      <c r="I2715" s="2">
        <v>-1.0</v>
      </c>
      <c r="J2715" s="2" t="b">
        <v>0</v>
      </c>
      <c r="K2715" s="2" t="b">
        <v>1</v>
      </c>
      <c r="L2715" s="2" t="b">
        <v>0</v>
      </c>
      <c r="M2715" s="2" t="b">
        <v>0</v>
      </c>
      <c r="N2715" s="2" t="s">
        <v>33</v>
      </c>
      <c r="O2715" s="2">
        <v>55.0</v>
      </c>
      <c r="P2715" s="2">
        <v>19.0</v>
      </c>
      <c r="Q2715" s="2">
        <v>19.0</v>
      </c>
      <c r="R2715" s="2">
        <v>1.0</v>
      </c>
      <c r="S2715" s="3" t="s">
        <v>11115</v>
      </c>
      <c r="T2715" s="2" t="s">
        <v>11116</v>
      </c>
      <c r="Y2715" s="4" t="str">
        <f>IFERROR(__xludf.DUMMYFUNCTION("""COMPUTED_VALUE"""),"7.1786937")</f>
        <v>7.1786937</v>
      </c>
      <c r="Z2715" s="4" t="str">
        <f>IFERROR(__xludf.DUMMYFUNCTION("""COMPUTED_VALUE"""),"3.39055")</f>
        <v>3.39055</v>
      </c>
      <c r="AA2715" s="4" t="str">
        <f t="shared" si="1"/>
        <v>Not Neighbor</v>
      </c>
      <c r="AC2715" s="4">
        <f>IFERROR(__xludf.DUMMYFUNCTION("IFERROR(ABS(O2715-AVERAGE(FILTER(O2715:O6783,AA2715:AA6783=""Neighbor""))) / STDEV(FILTER(O2715:O6783, AA2715:AA6783 =""Neighbor"")), """")"),0.20598298921000752)</f>
        <v>0.2059829892</v>
      </c>
      <c r="AD2715" s="4">
        <f>IFERROR(__xludf.DUMMYFUNCTION("IFERROR(ABS(P2715-AVERAGE(FILTER(O2715:P6783,AA2715:AA6783=""Neighbor""))) / STDEV(FILTER(P2715:P6783, AA2715:AA6783 =""Neighbor"")), """")"),0.5864661535720347)</f>
        <v>0.5864661536</v>
      </c>
      <c r="AE2715" s="2">
        <f>IFERROR(__xludf.DUMMYFUNCTION("IFERROR(ABS(Q2715-AVERAGE(FILTER(Q2715:Q6783,AA2715:AA6783=""Neighbor""))) / STDEV(FILTER(Q2715:Q6783, AA2715:AA6783 =""Neighbor"")), """")"),0.25262681750927035)</f>
        <v>0.2526268175</v>
      </c>
      <c r="AF2715" s="2">
        <f>IFERROR(__xludf.DUMMYFUNCTION("IFERROR(ABS(R2715-AVERAGE(FILTER(R2715:R6783,AA2715:AA6783=""Neighbor""))) / STDEV(FILTER(R2715:R6783, AA2715:AA6783 =""Neighbor"")), """")"),0.8239207391694426)</f>
        <v>0.8239207392</v>
      </c>
    </row>
    <row r="2716">
      <c r="A2716" s="2" t="s">
        <v>28</v>
      </c>
      <c r="B2716" s="2" t="s">
        <v>884</v>
      </c>
      <c r="C2716" s="2" t="s">
        <v>918</v>
      </c>
      <c r="D2716" s="2" t="s">
        <v>11117</v>
      </c>
      <c r="E2716" s="2" t="s">
        <v>11118</v>
      </c>
      <c r="F2716" s="2">
        <v>182.0</v>
      </c>
      <c r="G2716" s="2">
        <v>650.0</v>
      </c>
      <c r="H2716" s="2" t="b">
        <v>1</v>
      </c>
      <c r="I2716" s="2">
        <v>-1.0</v>
      </c>
      <c r="J2716" s="2" t="b">
        <v>1</v>
      </c>
      <c r="K2716" s="2" t="b">
        <v>0</v>
      </c>
      <c r="L2716" s="2" t="b">
        <v>0</v>
      </c>
      <c r="M2716" s="2" t="b">
        <v>0</v>
      </c>
      <c r="N2716" s="2" t="s">
        <v>33</v>
      </c>
      <c r="O2716" s="2">
        <v>88.0</v>
      </c>
      <c r="P2716" s="2">
        <v>78.0</v>
      </c>
      <c r="Q2716" s="2">
        <v>12.0</v>
      </c>
      <c r="R2716" s="2">
        <v>0.0</v>
      </c>
      <c r="S2716" s="3" t="s">
        <v>11119</v>
      </c>
      <c r="T2716" s="2" t="s">
        <v>11120</v>
      </c>
      <c r="Y2716" s="4" t="str">
        <f>IFERROR(__xludf.DUMMYFUNCTION("""COMPUTED_VALUE"""),"7.174138")</f>
        <v>7.174138</v>
      </c>
      <c r="Z2716" s="4" t="str">
        <f>IFERROR(__xludf.DUMMYFUNCTION("""COMPUTED_VALUE"""),"3.3786668")</f>
        <v>3.3786668</v>
      </c>
      <c r="AA2716" s="4" t="str">
        <f t="shared" si="1"/>
        <v>Neighbor</v>
      </c>
      <c r="AC2716" s="4">
        <f>IFERROR(__xludf.DUMMYFUNCTION("IFERROR(ABS(O2716-AVERAGE(FILTER(O2716:O6784,AA2716:AA6784=""Neighbor""))) / STDEV(FILTER(O2716:O6784, AA2716:AA6784 =""Neighbor"")), """")"),1.1623971483806645)</f>
        <v>1.162397148</v>
      </c>
      <c r="AD2716" s="4">
        <f>IFERROR(__xludf.DUMMYFUNCTION("IFERROR(ABS(P2716-AVERAGE(FILTER(O2716:P6784,AA2716:AA6784=""Neighbor""))) / STDEV(FILTER(P2716:P6784, AA2716:AA6784 =""Neighbor"")), """")"),1.818271510881637)</f>
        <v>1.818271511</v>
      </c>
      <c r="AE2716" s="2">
        <f>IFERROR(__xludf.DUMMYFUNCTION("IFERROR(ABS(Q2716-AVERAGE(FILTER(Q2716:Q6784,AA2716:AA6784=""Neighbor""))) / STDEV(FILTER(Q2716:Q6784, AA2716:AA6784 =""Neighbor"")), """")"),0.16142288658739312)</f>
        <v>0.1614228866</v>
      </c>
      <c r="AF2716" s="2">
        <f>IFERROR(__xludf.DUMMYFUNCTION("IFERROR(ABS(R2716-AVERAGE(FILTER(R2716:R6784,AA2716:AA6784=""Neighbor""))) / STDEV(FILTER(R2716:R6784, AA2716:AA6784 =""Neighbor"")), """")"),0.3372642586160631)</f>
        <v>0.3372642586</v>
      </c>
    </row>
    <row r="2717">
      <c r="A2717" s="2" t="s">
        <v>28</v>
      </c>
      <c r="B2717" s="2" t="s">
        <v>884</v>
      </c>
      <c r="C2717" s="2" t="s">
        <v>918</v>
      </c>
      <c r="D2717" s="2" t="s">
        <v>11121</v>
      </c>
      <c r="E2717" s="2" t="s">
        <v>11122</v>
      </c>
      <c r="F2717" s="2">
        <v>73.0</v>
      </c>
      <c r="G2717" s="2">
        <v>136.0</v>
      </c>
      <c r="H2717" s="2" t="b">
        <v>1</v>
      </c>
      <c r="I2717" s="2">
        <v>-1.0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s">
        <v>33</v>
      </c>
      <c r="O2717" s="2">
        <v>12.0</v>
      </c>
      <c r="P2717" s="2">
        <v>10.0</v>
      </c>
      <c r="Q2717" s="2">
        <v>18.0</v>
      </c>
      <c r="R2717" s="2">
        <v>0.0</v>
      </c>
      <c r="S2717" s="3" t="s">
        <v>11123</v>
      </c>
      <c r="T2717" s="2" t="s">
        <v>11124</v>
      </c>
      <c r="Y2717" s="4" t="str">
        <f>IFERROR(__xludf.DUMMYFUNCTION("""COMPUTED_VALUE"""),"7.1692754")</f>
        <v>7.1692754</v>
      </c>
      <c r="Z2717" s="4" t="str">
        <f>IFERROR(__xludf.DUMMYFUNCTION("""COMPUTED_VALUE"""),"3.3725928")</f>
        <v>3.3725928</v>
      </c>
      <c r="AA2717" s="4" t="str">
        <f t="shared" si="1"/>
        <v>Neighbor</v>
      </c>
      <c r="AC2717" s="4">
        <f>IFERROR(__xludf.DUMMYFUNCTION("IFERROR(ABS(O2717-AVERAGE(FILTER(O2717:O6785,AA2717:AA6785=""Neighbor""))) / STDEV(FILTER(O2717:O6785, AA2717:AA6785 =""Neighbor"")), """")"),1.0383428616124235)</f>
        <v>1.038342862</v>
      </c>
      <c r="AD2717" s="4">
        <f>IFERROR(__xludf.DUMMYFUNCTION("IFERROR(ABS(P2717-AVERAGE(FILTER(O2717:P6785,AA2717:AA6785=""Neighbor""))) / STDEV(FILTER(P2717:P6785, AA2717:AA6785 =""Neighbor"")), """")"),0.9538473115019055)</f>
        <v>0.9538473115</v>
      </c>
      <c r="AE2717" s="2">
        <f>IFERROR(__xludf.DUMMYFUNCTION("IFERROR(ABS(Q2717-AVERAGE(FILTER(Q2717:Q6785,AA2717:AA6785=""Neighbor""))) / STDEV(FILTER(Q2717:Q6785, AA2717:AA6785 =""Neighbor"")), """")"),0.19297777444065436)</f>
        <v>0.1929777744</v>
      </c>
      <c r="AF2717" s="2">
        <f>IFERROR(__xludf.DUMMYFUNCTION("IFERROR(ABS(R2717-AVERAGE(FILTER(R2717:R6785,AA2717:AA6785=""Neighbor""))) / STDEV(FILTER(R2717:R6785, AA2717:AA6785 =""Neighbor"")), """")"),0.3376303934130785)</f>
        <v>0.3376303934</v>
      </c>
    </row>
    <row r="2718">
      <c r="A2718" s="2" t="s">
        <v>28</v>
      </c>
      <c r="B2718" s="2" t="s">
        <v>884</v>
      </c>
      <c r="C2718" s="2" t="s">
        <v>943</v>
      </c>
      <c r="D2718" s="2" t="s">
        <v>11125</v>
      </c>
      <c r="E2718" s="2" t="s">
        <v>11126</v>
      </c>
      <c r="F2718" s="2">
        <v>63.0</v>
      </c>
      <c r="G2718" s="2">
        <v>172.0</v>
      </c>
      <c r="H2718" s="2" t="b">
        <v>1</v>
      </c>
      <c r="I2718" s="2">
        <v>-1.0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s">
        <v>33</v>
      </c>
      <c r="O2718" s="2">
        <v>27.0</v>
      </c>
      <c r="P2718" s="2">
        <v>29.0</v>
      </c>
      <c r="Q2718" s="2">
        <v>4.0</v>
      </c>
      <c r="R2718" s="2">
        <v>0.0</v>
      </c>
      <c r="S2718" s="3" t="s">
        <v>11127</v>
      </c>
      <c r="T2718" s="2" t="s">
        <v>11128</v>
      </c>
      <c r="Y2718" s="4" t="str">
        <f>IFERROR(__xludf.DUMMYFUNCTION("""COMPUTED_VALUE"""),"7.1626218")</f>
        <v>7.1626218</v>
      </c>
      <c r="Z2718" s="4" t="str">
        <f>IFERROR(__xludf.DUMMYFUNCTION("""COMPUTED_VALUE"""),"3.3708581")</f>
        <v>3.3708581</v>
      </c>
      <c r="AA2718" s="4" t="str">
        <f t="shared" si="1"/>
        <v>Not Neighbor</v>
      </c>
      <c r="AC2718" s="4">
        <f>IFERROR(__xludf.DUMMYFUNCTION("IFERROR(ABS(O2718-AVERAGE(FILTER(O2718:O6786,AA2718:AA6786=""Neighbor""))) / STDEV(FILTER(O2718:O6786, AA2718:AA6786 =""Neighbor"")), """")"),0.605538209236065)</f>
        <v>0.6055382092</v>
      </c>
      <c r="AD2718" s="4">
        <f>IFERROR(__xludf.DUMMYFUNCTION("IFERROR(ABS(P2718-AVERAGE(FILTER(O2718:P6786,AA2718:AA6786=""Neighbor""))) / STDEV(FILTER(P2718:P6786, AA2718:AA6786 =""Neighbor"")), """")"),0.1773996002687043)</f>
        <v>0.1773996003</v>
      </c>
      <c r="AE2718" s="2">
        <f>IFERROR(__xludf.DUMMYFUNCTION("IFERROR(ABS(Q2718-AVERAGE(FILTER(Q2718:Q6786,AA2718:AA6786=""Neighbor""))) / STDEV(FILTER(Q2718:Q6786, AA2718:AA6786 =""Neighbor"")), """")"),0.6333585054580132)</f>
        <v>0.6333585055</v>
      </c>
      <c r="AF2718" s="2">
        <f>IFERROR(__xludf.DUMMYFUNCTION("IFERROR(ABS(R2718-AVERAGE(FILTER(R2718:R6786,AA2718:AA6786=""Neighbor""))) / STDEV(FILTER(R2718:R6786, AA2718:AA6786 =""Neighbor"")), """")"),0.3379977235189912)</f>
        <v>0.3379977235</v>
      </c>
    </row>
    <row r="2719">
      <c r="A2719" s="2" t="s">
        <v>28</v>
      </c>
      <c r="B2719" s="2" t="s">
        <v>884</v>
      </c>
      <c r="C2719" s="2" t="s">
        <v>1181</v>
      </c>
      <c r="D2719" s="2" t="s">
        <v>11129</v>
      </c>
      <c r="E2719" s="2" t="s">
        <v>11130</v>
      </c>
      <c r="F2719" s="2">
        <v>99.0</v>
      </c>
      <c r="G2719" s="2">
        <v>247.0</v>
      </c>
      <c r="H2719" s="2" t="b">
        <v>1</v>
      </c>
      <c r="I2719" s="2">
        <v>-1.0</v>
      </c>
      <c r="J2719" s="2" t="b">
        <v>1</v>
      </c>
      <c r="K2719" s="2" t="b">
        <v>0</v>
      </c>
      <c r="L2719" s="2" t="b">
        <v>0</v>
      </c>
      <c r="M2719" s="2" t="b">
        <v>0</v>
      </c>
      <c r="N2719" s="2" t="s">
        <v>33</v>
      </c>
      <c r="O2719" s="2">
        <v>53.0</v>
      </c>
      <c r="P2719" s="2">
        <v>11.0</v>
      </c>
      <c r="Q2719" s="2">
        <v>24.0</v>
      </c>
      <c r="R2719" s="2">
        <v>0.0</v>
      </c>
      <c r="S2719" s="3" t="s">
        <v>11131</v>
      </c>
      <c r="T2719" s="2" t="s">
        <v>11132</v>
      </c>
      <c r="Y2719" s="4" t="str">
        <f>IFERROR(__xludf.DUMMYFUNCTION("""COMPUTED_VALUE"""),"7.1489241")</f>
        <v>7.1489241</v>
      </c>
      <c r="Z2719" s="4" t="str">
        <f>IFERROR(__xludf.DUMMYFUNCTION("""COMPUTED_VALUE"""),"3.3358439")</f>
        <v>3.3358439</v>
      </c>
      <c r="AA2719" s="4" t="str">
        <f t="shared" si="1"/>
        <v>Not Neighbor</v>
      </c>
      <c r="AC2719" s="4">
        <f>IFERROR(__xludf.DUMMYFUNCTION("IFERROR(ABS(O2719-AVERAGE(FILTER(O2719:O6787,AA2719:AA6787=""Neighbor""))) / STDEV(FILTER(O2719:O6787, AA2719:AA6787 =""Neighbor"")), """")"),0.1483205471273494)</f>
        <v>0.1483205471</v>
      </c>
      <c r="AD2719" s="4">
        <f>IFERROR(__xludf.DUMMYFUNCTION("IFERROR(ABS(P2719-AVERAGE(FILTER(O2719:P6787,AA2719:AA6787=""Neighbor""))) / STDEV(FILTER(P2719:P6787, AA2719:AA6787 =""Neighbor"")), """")"),0.9139022061236097)</f>
        <v>0.9139022061</v>
      </c>
      <c r="AE2719" s="2">
        <f>IFERROR(__xludf.DUMMYFUNCTION("IFERROR(ABS(Q2719-AVERAGE(FILTER(Q2719:Q6787,AA2719:AA6787=""Neighbor""))) / STDEV(FILTER(Q2719:Q6787, AA2719:AA6787 =""Neighbor"")), """")"),0.5474010578000851)</f>
        <v>0.5474010578</v>
      </c>
      <c r="AF2719" s="2">
        <f>IFERROR(__xludf.DUMMYFUNCTION("IFERROR(ABS(R2719-AVERAGE(FILTER(R2719:R6787,AA2719:AA6787=""Neighbor""))) / STDEV(FILTER(R2719:R6787, AA2719:AA6787 =""Neighbor"")), """")"),0.3379977235189912)</f>
        <v>0.3379977235</v>
      </c>
    </row>
    <row r="2720">
      <c r="A2720" s="2" t="s">
        <v>28</v>
      </c>
      <c r="B2720" s="2" t="s">
        <v>884</v>
      </c>
      <c r="C2720" s="2" t="s">
        <v>1181</v>
      </c>
      <c r="D2720" s="2" t="s">
        <v>11133</v>
      </c>
      <c r="E2720" s="2" t="s">
        <v>11134</v>
      </c>
      <c r="F2720" s="2">
        <v>112.0</v>
      </c>
      <c r="G2720" s="2">
        <v>249.0</v>
      </c>
      <c r="H2720" s="2" t="b">
        <v>1</v>
      </c>
      <c r="I2720" s="2">
        <v>-1.0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s">
        <v>33</v>
      </c>
      <c r="O2720" s="2">
        <v>65.0</v>
      </c>
      <c r="P2720" s="2">
        <v>10.0</v>
      </c>
      <c r="Q2720" s="2">
        <v>27.0</v>
      </c>
      <c r="R2720" s="2">
        <v>0.0</v>
      </c>
      <c r="S2720" s="3" t="s">
        <v>11135</v>
      </c>
      <c r="T2720" s="2" t="s">
        <v>11136</v>
      </c>
      <c r="Y2720" s="4" t="str">
        <f>IFERROR(__xludf.DUMMYFUNCTION("""COMPUTED_VALUE"""),"7.1527529")</f>
        <v>7.1527529</v>
      </c>
      <c r="Z2720" s="4" t="str">
        <f>IFERROR(__xludf.DUMMYFUNCTION("""COMPUTED_VALUE"""),"3.3521161")</f>
        <v>3.3521161</v>
      </c>
      <c r="AA2720" s="4" t="str">
        <f t="shared" si="1"/>
        <v>Neighbor</v>
      </c>
      <c r="AC2720" s="4">
        <f>IFERROR(__xludf.DUMMYFUNCTION("IFERROR(ABS(O2720-AVERAGE(FILTER(O2720:O6788,AA2720:AA6788=""Neighbor""))) / STDEV(FILTER(O2720:O6788, AA2720:AA6788 =""Neighbor"")), """")"),0.49625535775661767)</f>
        <v>0.4962553578</v>
      </c>
      <c r="AD2720" s="4">
        <f>IFERROR(__xludf.DUMMYFUNCTION("IFERROR(ABS(P2720-AVERAGE(FILTER(O2720:P6788,AA2720:AA6788=""Neighbor""))) / STDEV(FILTER(P2720:P6788, AA2720:AA6788 =""Neighbor"")), """")"),0.9548190175599934)</f>
        <v>0.9548190176</v>
      </c>
      <c r="AE2720" s="2">
        <f>IFERROR(__xludf.DUMMYFUNCTION("IFERROR(ABS(Q2720-AVERAGE(FILTER(Q2720:Q6788,AA2720:AA6788=""Neighbor""))) / STDEV(FILTER(Q2720:Q6788, AA2720:AA6788 =""Neighbor"")), """")"),0.7245149922887998)</f>
        <v>0.7245149923</v>
      </c>
      <c r="AF2720" s="2">
        <f>IFERROR(__xludf.DUMMYFUNCTION("IFERROR(ABS(R2720-AVERAGE(FILTER(R2720:R6788,AA2720:AA6788=""Neighbor""))) / STDEV(FILTER(R2720:R6788, AA2720:AA6788 =""Neighbor"")), """")"),0.3379977235189912)</f>
        <v>0.3379977235</v>
      </c>
    </row>
    <row r="2721">
      <c r="A2721" s="2" t="s">
        <v>28</v>
      </c>
      <c r="B2721" s="2" t="s">
        <v>884</v>
      </c>
      <c r="C2721" s="2" t="s">
        <v>1181</v>
      </c>
      <c r="D2721" s="2" t="s">
        <v>11137</v>
      </c>
      <c r="E2721" s="2" t="s">
        <v>11138</v>
      </c>
      <c r="F2721" s="2">
        <v>83.0</v>
      </c>
      <c r="G2721" s="2">
        <v>202.0</v>
      </c>
      <c r="H2721" s="2" t="b">
        <v>1</v>
      </c>
      <c r="I2721" s="2">
        <v>-1.0</v>
      </c>
      <c r="J2721" s="2" t="b">
        <v>0</v>
      </c>
      <c r="K2721" s="2" t="b">
        <v>1</v>
      </c>
      <c r="L2721" s="2" t="b">
        <v>0</v>
      </c>
      <c r="M2721" s="2" t="b">
        <v>0</v>
      </c>
      <c r="N2721" s="2" t="s">
        <v>33</v>
      </c>
      <c r="O2721" s="2">
        <v>33.0</v>
      </c>
      <c r="P2721" s="2">
        <v>5.0</v>
      </c>
      <c r="Q2721" s="2">
        <v>43.0</v>
      </c>
      <c r="R2721" s="2">
        <v>0.0</v>
      </c>
      <c r="S2721" s="3" t="s">
        <v>11139</v>
      </c>
      <c r="T2721" s="2" t="s">
        <v>11140</v>
      </c>
      <c r="Y2721" s="4" t="str">
        <f>IFERROR(__xludf.DUMMYFUNCTION("""COMPUTED_VALUE"""),"7.1527529")</f>
        <v>7.1527529</v>
      </c>
      <c r="Z2721" s="4" t="str">
        <f>IFERROR(__xludf.DUMMYFUNCTION("""COMPUTED_VALUE"""),"3.3521161")</f>
        <v>3.3521161</v>
      </c>
      <c r="AA2721" s="4" t="str">
        <f t="shared" si="1"/>
        <v>Neighbor</v>
      </c>
      <c r="AC2721" s="4">
        <f>IFERROR(__xludf.DUMMYFUNCTION("IFERROR(ABS(O2721-AVERAGE(FILTER(O2721:O6789,AA2721:AA6789=""Neighbor""))) / STDEV(FILTER(O2721:O6789, AA2721:AA6789 =""Neighbor"")), """")"),0.4302794956171941)</f>
        <v>0.4302794956</v>
      </c>
      <c r="AD2721" s="4">
        <f>IFERROR(__xludf.DUMMYFUNCTION("IFERROR(ABS(P2721-AVERAGE(FILTER(O2721:P6789,AA2721:AA6789=""Neighbor""))) / STDEV(FILTER(P2721:P6789, AA2721:AA6789 =""Neighbor"")), """")"),1.1580791224892408)</f>
        <v>1.158079122</v>
      </c>
      <c r="AE2721" s="2">
        <f>IFERROR(__xludf.DUMMYFUNCTION("IFERROR(ABS(Q2721-AVERAGE(FILTER(Q2721:Q6789,AA2721:AA6789=""Neighbor""))) / STDEV(FILTER(Q2721:Q6789, AA2721:AA6789 =""Neighbor"")), """")"),1.6697658870040282)</f>
        <v>1.669765887</v>
      </c>
      <c r="AF2721" s="2">
        <f>IFERROR(__xludf.DUMMYFUNCTION("IFERROR(ABS(R2721-AVERAGE(FILTER(R2721:R6789,AA2721:AA6789=""Neighbor""))) / STDEV(FILTER(R2721:R6789, AA2721:AA6789 =""Neighbor"")), """")"),0.3383662554531705)</f>
        <v>0.3383662555</v>
      </c>
    </row>
    <row r="2722">
      <c r="A2722" s="2" t="s">
        <v>28</v>
      </c>
      <c r="B2722" s="2" t="s">
        <v>884</v>
      </c>
      <c r="C2722" s="2" t="s">
        <v>1181</v>
      </c>
      <c r="D2722" s="2" t="s">
        <v>11141</v>
      </c>
      <c r="E2722" s="2" t="s">
        <v>11142</v>
      </c>
      <c r="F2722" s="2">
        <v>88.0</v>
      </c>
      <c r="G2722" s="2">
        <v>282.0</v>
      </c>
      <c r="H2722" s="2" t="b">
        <v>1</v>
      </c>
      <c r="I2722" s="2">
        <v>-1.0</v>
      </c>
      <c r="J2722" s="2" t="b">
        <v>1</v>
      </c>
      <c r="K2722" s="2" t="b">
        <v>1</v>
      </c>
      <c r="L2722" s="2" t="b">
        <v>0</v>
      </c>
      <c r="M2722" s="2" t="b">
        <v>0</v>
      </c>
      <c r="N2722" s="2" t="s">
        <v>33</v>
      </c>
      <c r="O2722" s="2">
        <v>58.0</v>
      </c>
      <c r="P2722" s="2">
        <v>3.0</v>
      </c>
      <c r="Q2722" s="2">
        <v>25.0</v>
      </c>
      <c r="R2722" s="2">
        <v>0.0</v>
      </c>
      <c r="S2722" s="3" t="s">
        <v>11143</v>
      </c>
      <c r="T2722" s="2" t="s">
        <v>11144</v>
      </c>
      <c r="Y2722" s="4" t="str">
        <f>IFERROR(__xludf.DUMMYFUNCTION("""COMPUTED_VALUE"""),"7.1527529")</f>
        <v>7.1527529</v>
      </c>
      <c r="Z2722" s="4" t="str">
        <f>IFERROR(__xludf.DUMMYFUNCTION("""COMPUTED_VALUE"""),"3.3521161")</f>
        <v>3.3521161</v>
      </c>
      <c r="AA2722" s="4" t="str">
        <f t="shared" si="1"/>
        <v>Not Neighbor</v>
      </c>
      <c r="AC2722" s="4">
        <f>IFERROR(__xludf.DUMMYFUNCTION("IFERROR(ABS(O2722-AVERAGE(FILTER(O2722:O6790,AA2722:AA6790=""Neighbor""))) / STDEV(FILTER(O2722:O6790, AA2722:AA6790 =""Neighbor"")), """")"),0.29296882688880865)</f>
        <v>0.2929688269</v>
      </c>
      <c r="AD2722" s="4">
        <f>IFERROR(__xludf.DUMMYFUNCTION("IFERROR(ABS(P2722-AVERAGE(FILTER(O2722:P6790,AA2722:AA6790=""Neighbor""))) / STDEV(FILTER(P2722:P6790, AA2722:AA6790 =""Neighbor"")), """")"),1.240162754044683)</f>
        <v>1.240162754</v>
      </c>
      <c r="AE2722" s="2">
        <f>IFERROR(__xludf.DUMMYFUNCTION("IFERROR(ABS(Q2722-AVERAGE(FILTER(Q2722:Q6790,AA2722:AA6790=""Neighbor""))) / STDEV(FILTER(Q2722:Q6790, AA2722:AA6790 =""Neighbor"")), """")"),0.6119385151791511)</f>
        <v>0.6119385152</v>
      </c>
      <c r="AF2722" s="2">
        <f>IFERROR(__xludf.DUMMYFUNCTION("IFERROR(ABS(R2722-AVERAGE(FILTER(R2722:R6790,AA2722:AA6790=""Neighbor""))) / STDEV(FILTER(R2722:R6790, AA2722:AA6790 =""Neighbor"")), """")"),0.33873599578488334)</f>
        <v>0.3387359958</v>
      </c>
    </row>
    <row r="2723">
      <c r="A2723" s="2" t="s">
        <v>28</v>
      </c>
      <c r="B2723" s="2" t="s">
        <v>884</v>
      </c>
      <c r="C2723" s="2" t="s">
        <v>1583</v>
      </c>
      <c r="D2723" s="2" t="s">
        <v>11145</v>
      </c>
      <c r="E2723" s="2" t="s">
        <v>11146</v>
      </c>
      <c r="F2723" s="2">
        <v>79.0</v>
      </c>
      <c r="G2723" s="2">
        <v>139.0</v>
      </c>
      <c r="H2723" s="2" t="b">
        <v>1</v>
      </c>
      <c r="I2723" s="2">
        <v>-1.0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s">
        <v>33</v>
      </c>
      <c r="O2723" s="2">
        <v>24.0</v>
      </c>
      <c r="P2723" s="2">
        <v>43.0</v>
      </c>
      <c r="Q2723" s="2">
        <v>7.0</v>
      </c>
      <c r="R2723" s="2">
        <v>0.0</v>
      </c>
      <c r="S2723" s="3" t="s">
        <v>11147</v>
      </c>
      <c r="T2723" s="2" t="s">
        <v>11148</v>
      </c>
      <c r="Y2723" s="4" t="str">
        <f>IFERROR(__xludf.DUMMYFUNCTION("""COMPUTED_VALUE"""),"7.1300313")</f>
        <v>7.1300313</v>
      </c>
      <c r="Z2723" s="4" t="str">
        <f>IFERROR(__xludf.DUMMYFUNCTION("""COMPUTED_VALUE"""),"3.33827")</f>
        <v>3.33827</v>
      </c>
      <c r="AA2723" s="4" t="str">
        <f t="shared" si="1"/>
        <v>Not Neighbor</v>
      </c>
      <c r="AC2723" s="4">
        <f>IFERROR(__xludf.DUMMYFUNCTION("IFERROR(ABS(O2723-AVERAGE(FILTER(O2723:O6791,AA2723:AA6791=""Neighbor""))) / STDEV(FILTER(O2723:O6791, AA2723:AA6791 =""Neighbor"")), """")"),0.6913290799521395)</f>
        <v>0.69132908</v>
      </c>
      <c r="AD2723" s="4">
        <f>IFERROR(__xludf.DUMMYFUNCTION("IFERROR(ABS(P2723-AVERAGE(FILTER(O2723:P6791,AA2723:AA6791=""Neighbor""))) / STDEV(FILTER(P2723:P6791, AA2723:AA6791 =""Neighbor"")), """")"),0.39401714837909174)</f>
        <v>0.3940171484</v>
      </c>
      <c r="AE2723" s="2">
        <f>IFERROR(__xludf.DUMMYFUNCTION("IFERROR(ABS(Q2723-AVERAGE(FILTER(Q2723:Q6791,AA2723:AA6791=""Neighbor""))) / STDEV(FILTER(Q2723:Q6791, AA2723:AA6791 =""Neighbor"")), """")"),0.4521306964495038)</f>
        <v>0.4521306964</v>
      </c>
      <c r="AF2723" s="2">
        <f>IFERROR(__xludf.DUMMYFUNCTION("IFERROR(ABS(R2723-AVERAGE(FILTER(R2723:R6791,AA2723:AA6791=""Neighbor""))) / STDEV(FILTER(R2723:R6791, AA2723:AA6791 =""Neighbor"")), """")"),0.33873599578488334)</f>
        <v>0.3387359958</v>
      </c>
    </row>
    <row r="2724">
      <c r="A2724" s="2" t="s">
        <v>28</v>
      </c>
      <c r="B2724" s="2" t="s">
        <v>884</v>
      </c>
      <c r="C2724" s="2" t="s">
        <v>1583</v>
      </c>
      <c r="D2724" s="2" t="s">
        <v>11149</v>
      </c>
      <c r="E2724" s="2" t="s">
        <v>11150</v>
      </c>
      <c r="F2724" s="2">
        <v>172.0</v>
      </c>
      <c r="G2724" s="2">
        <v>670.0</v>
      </c>
      <c r="H2724" s="2" t="b">
        <v>1</v>
      </c>
      <c r="I2724" s="2">
        <v>-1.0</v>
      </c>
      <c r="J2724" s="2" t="b">
        <v>0</v>
      </c>
      <c r="K2724" s="2" t="b">
        <v>0</v>
      </c>
      <c r="L2724" s="2" t="b">
        <v>0</v>
      </c>
      <c r="M2724" s="2" t="b">
        <v>0</v>
      </c>
      <c r="N2724" s="2" t="s">
        <v>33</v>
      </c>
      <c r="O2724" s="2">
        <v>77.0</v>
      </c>
      <c r="P2724" s="2">
        <v>52.0</v>
      </c>
      <c r="Q2724" s="2">
        <v>19.0</v>
      </c>
      <c r="R2724" s="2">
        <v>0.0</v>
      </c>
      <c r="S2724" s="3" t="s">
        <v>11151</v>
      </c>
      <c r="T2724" s="2" t="s">
        <v>11152</v>
      </c>
      <c r="Y2724" s="4" t="str">
        <f>IFERROR(__xludf.DUMMYFUNCTION("""COMPUTED_VALUE"""),"7.1241623")</f>
        <v>7.1241623</v>
      </c>
      <c r="Z2724" s="4" t="str">
        <f>IFERROR(__xludf.DUMMYFUNCTION("""COMPUTED_VALUE"""),"3.323024")</f>
        <v>3.323024</v>
      </c>
      <c r="AA2724" s="4" t="str">
        <f t="shared" si="1"/>
        <v>Not Neighbor</v>
      </c>
      <c r="AC2724" s="4">
        <f>IFERROR(__xludf.DUMMYFUNCTION("IFERROR(ABS(O2724-AVERAGE(FILTER(O2724:O6792,AA2724:AA6792=""Neighbor""))) / STDEV(FILTER(O2724:O6792, AA2724:AA6792 =""Neighbor"")), """")"),0.8430176571822796)</f>
        <v>0.8430176572</v>
      </c>
      <c r="AD2724" s="4">
        <f>IFERROR(__xludf.DUMMYFUNCTION("IFERROR(ABS(P2724-AVERAGE(FILTER(O2724:P6792,AA2724:AA6792=""Neighbor""))) / STDEV(FILTER(P2724:P6792, AA2724:AA6792 =""Neighbor"")), """")"),0.761707626424441)</f>
        <v>0.7617076264</v>
      </c>
      <c r="AE2724" s="2">
        <f>IFERROR(__xludf.DUMMYFUNCTION("IFERROR(ABS(Q2724-AVERAGE(FILTER(Q2724:Q6792,AA2724:AA6792=""Neighbor""))) / STDEV(FILTER(Q2724:Q6792, AA2724:AA6792 =""Neighbor"")), """")"),0.2572487779695995)</f>
        <v>0.257248778</v>
      </c>
      <c r="AF2724" s="2">
        <f>IFERROR(__xludf.DUMMYFUNCTION("IFERROR(ABS(R2724-AVERAGE(FILTER(R2724:R6792,AA2724:AA6792=""Neighbor""))) / STDEV(FILTER(R2724:R6792, AA2724:AA6792 =""Neighbor"")), """")"),0.33873599578488334)</f>
        <v>0.3387359958</v>
      </c>
    </row>
    <row r="2725">
      <c r="A2725" s="2" t="s">
        <v>28</v>
      </c>
      <c r="B2725" s="2" t="s">
        <v>884</v>
      </c>
      <c r="C2725" s="2" t="s">
        <v>1583</v>
      </c>
      <c r="D2725" s="2" t="s">
        <v>11153</v>
      </c>
      <c r="E2725" s="2" t="s">
        <v>11154</v>
      </c>
      <c r="F2725" s="2">
        <v>141.0</v>
      </c>
      <c r="G2725" s="2">
        <v>272.0</v>
      </c>
      <c r="H2725" s="2" t="b">
        <v>1</v>
      </c>
      <c r="I2725" s="2">
        <v>-1.0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s">
        <v>33</v>
      </c>
      <c r="O2725" s="2">
        <v>51.0</v>
      </c>
      <c r="P2725" s="2">
        <v>75.0</v>
      </c>
      <c r="Q2725" s="2">
        <v>8.0</v>
      </c>
      <c r="R2725" s="2">
        <v>0.0</v>
      </c>
      <c r="S2725" s="3" t="s">
        <v>11155</v>
      </c>
      <c r="T2725" s="2" t="s">
        <v>11156</v>
      </c>
      <c r="Y2725" s="4" t="str">
        <f>IFERROR(__xludf.DUMMYFUNCTION("""COMPUTED_VALUE"""),"7.1253201")</f>
        <v>7.1253201</v>
      </c>
      <c r="Z2725" s="4" t="str">
        <f>IFERROR(__xludf.DUMMYFUNCTION("""COMPUTED_VALUE"""),"3.3351139")</f>
        <v>3.3351139</v>
      </c>
      <c r="AA2725" s="4" t="str">
        <f t="shared" si="1"/>
        <v>Not Neighbor</v>
      </c>
      <c r="AC2725" s="4">
        <f>IFERROR(__xludf.DUMMYFUNCTION("IFERROR(ABS(O2725-AVERAGE(FILTER(O2725:O6793,AA2725:AA6793=""Neighbor""))) / STDEV(FILTER(O2725:O6793, AA2725:AA6793 =""Neighbor"")), """")"),0.0903192578333193)</f>
        <v>0.09031925783</v>
      </c>
      <c r="AD2725" s="4">
        <f>IFERROR(__xludf.DUMMYFUNCTION("IFERROR(ABS(P2725-AVERAGE(FILTER(O2725:P6793,AA2725:AA6793=""Neighbor""))) / STDEV(FILTER(P2725:P6793, AA2725:AA6793 =""Neighbor"")), """")"),1.7013610703181115)</f>
        <v>1.70136107</v>
      </c>
      <c r="AE2725" s="2">
        <f>IFERROR(__xludf.DUMMYFUNCTION("IFERROR(ABS(Q2725-AVERAGE(FILTER(Q2725:Q6793,AA2725:AA6793=""Neighbor""))) / STDEV(FILTER(Q2725:Q6793, AA2725:AA6793 =""Neighbor"")), """")"),0.39301574024791186)</f>
        <v>0.3930157402</v>
      </c>
      <c r="AF2725" s="2">
        <f>IFERROR(__xludf.DUMMYFUNCTION("IFERROR(ABS(R2725-AVERAGE(FILTER(R2725:R6793,AA2725:AA6793=""Neighbor""))) / STDEV(FILTER(R2725:R6793, AA2725:AA6793 =""Neighbor"")), """")"),0.33873599578488334)</f>
        <v>0.3387359958</v>
      </c>
    </row>
    <row r="2726">
      <c r="A2726" s="2" t="s">
        <v>28</v>
      </c>
      <c r="B2726" s="2" t="s">
        <v>884</v>
      </c>
      <c r="C2726" s="2" t="s">
        <v>1583</v>
      </c>
      <c r="D2726" s="2" t="s">
        <v>11157</v>
      </c>
      <c r="E2726" s="2" t="s">
        <v>11158</v>
      </c>
      <c r="F2726" s="2">
        <v>116.0</v>
      </c>
      <c r="G2726" s="2">
        <v>515.0</v>
      </c>
      <c r="H2726" s="2" t="b">
        <v>1</v>
      </c>
      <c r="I2726" s="2">
        <v>-1.0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s">
        <v>33</v>
      </c>
      <c r="O2726" s="2">
        <v>62.0</v>
      </c>
      <c r="P2726" s="2">
        <v>38.0</v>
      </c>
      <c r="Q2726" s="2">
        <v>6.0</v>
      </c>
      <c r="R2726" s="2">
        <v>1.0</v>
      </c>
      <c r="S2726" s="3" t="s">
        <v>11159</v>
      </c>
      <c r="T2726" s="2" t="s">
        <v>11160</v>
      </c>
      <c r="Y2726" s="4" t="str">
        <f>IFERROR(__xludf.DUMMYFUNCTION("""COMPUTED_VALUE"""),"7.1241623")</f>
        <v>7.1241623</v>
      </c>
      <c r="Z2726" s="4" t="str">
        <f>IFERROR(__xludf.DUMMYFUNCTION("""COMPUTED_VALUE"""),"3.323024")</f>
        <v>3.323024</v>
      </c>
      <c r="AA2726" s="4" t="str">
        <f t="shared" si="1"/>
        <v>Not Neighbor</v>
      </c>
      <c r="AC2726" s="4">
        <f>IFERROR(__xludf.DUMMYFUNCTION("IFERROR(ABS(O2726-AVERAGE(FILTER(O2726:O6794,AA2726:AA6794=""Neighbor""))) / STDEV(FILTER(O2726:O6794, AA2726:AA6794 =""Neighbor"")), """")"),0.40876858063480254)</f>
        <v>0.4087685806</v>
      </c>
      <c r="AD2726" s="4">
        <f>IFERROR(__xludf.DUMMYFUNCTION("IFERROR(ABS(P2726-AVERAGE(FILTER(O2726:P6794,AA2726:AA6794=""Neighbor""))) / STDEV(FILTER(P2726:P6794, AA2726:AA6794 =""Neighbor"")), """")"),0.1897446605761199)</f>
        <v>0.1897446606</v>
      </c>
      <c r="AE2726" s="2">
        <f>IFERROR(__xludf.DUMMYFUNCTION("IFERROR(ABS(Q2726-AVERAGE(FILTER(Q2726:Q6794,AA2726:AA6794=""Neighbor""))) / STDEV(FILTER(Q2726:Q6794, AA2726:AA6794 =""Neighbor"")), """")"),0.5112456526510958)</f>
        <v>0.5112456527</v>
      </c>
      <c r="AF2726" s="2">
        <f>IFERROR(__xludf.DUMMYFUNCTION("IFERROR(ABS(R2726-AVERAGE(FILTER(R2726:R6794,AA2726:AA6794=""Neighbor""))) / STDEV(FILTER(R2726:R6794, AA2726:AA6794 =""Neighbor"")), """")"),0.8184225401513961)</f>
        <v>0.8184225402</v>
      </c>
    </row>
    <row r="2727">
      <c r="A2727" s="2" t="s">
        <v>28</v>
      </c>
      <c r="B2727" s="2" t="s">
        <v>884</v>
      </c>
      <c r="C2727" s="2" t="s">
        <v>1583</v>
      </c>
      <c r="D2727" s="2" t="s">
        <v>11161</v>
      </c>
      <c r="E2727" s="2" t="s">
        <v>11162</v>
      </c>
      <c r="F2727" s="2">
        <v>88.0</v>
      </c>
      <c r="G2727" s="2">
        <v>226.0</v>
      </c>
      <c r="H2727" s="2" t="b">
        <v>1</v>
      </c>
      <c r="I2727" s="2">
        <v>-1.0</v>
      </c>
      <c r="J2727" s="2" t="b">
        <v>0</v>
      </c>
      <c r="K2727" s="2" t="b">
        <v>0</v>
      </c>
      <c r="L2727" s="2" t="b">
        <v>0</v>
      </c>
      <c r="M2727" s="2" t="b">
        <v>0</v>
      </c>
      <c r="N2727" s="2" t="s">
        <v>33</v>
      </c>
      <c r="O2727" s="2">
        <v>30.0</v>
      </c>
      <c r="P2727" s="2">
        <v>35.0</v>
      </c>
      <c r="Q2727" s="2">
        <v>8.0</v>
      </c>
      <c r="R2727" s="2">
        <v>0.0</v>
      </c>
      <c r="S2727" s="3" t="s">
        <v>11163</v>
      </c>
      <c r="T2727" s="2" t="s">
        <v>11164</v>
      </c>
      <c r="Y2727" s="4" t="str">
        <f>IFERROR(__xludf.DUMMYFUNCTION("""COMPUTED_VALUE"""),"7.1360721")</f>
        <v>7.1360721</v>
      </c>
      <c r="Z2727" s="4" t="str">
        <f>IFERROR(__xludf.DUMMYFUNCTION("""COMPUTED_VALUE"""),"3.3351139")</f>
        <v>3.3351139</v>
      </c>
      <c r="AA2727" s="4" t="str">
        <f t="shared" si="1"/>
        <v>Not Neighbor</v>
      </c>
      <c r="AC2727" s="4">
        <f>IFERROR(__xludf.DUMMYFUNCTION("IFERROR(ABS(O2727-AVERAGE(FILTER(O2727:O6795,AA2727:AA6795=""Neighbor""))) / STDEV(FILTER(O2727:O6795, AA2727:AA6795 =""Neighbor"")), """")"),0.5176294493331487)</f>
        <v>0.5176294493</v>
      </c>
      <c r="AD2727" s="4">
        <f>IFERROR(__xludf.DUMMYFUNCTION("IFERROR(ABS(P2727-AVERAGE(FILTER(O2727:P6795,AA2727:AA6795=""Neighbor""))) / STDEV(FILTER(P2727:P6795, AA2727:AA6795 =""Neighbor"")), """")"),0.0671811678943368)</f>
        <v>0.06718116789</v>
      </c>
      <c r="AE2727" s="2">
        <f>IFERROR(__xludf.DUMMYFUNCTION("IFERROR(ABS(Q2727-AVERAGE(FILTER(Q2727:Q6795,AA2727:AA6795=""Neighbor""))) / STDEV(FILTER(Q2727:Q6795, AA2727:AA6795 =""Neighbor"")), """")"),0.39301574024791186)</f>
        <v>0.3930157402</v>
      </c>
      <c r="AF2727" s="2">
        <f>IFERROR(__xludf.DUMMYFUNCTION("IFERROR(ABS(R2727-AVERAGE(FILTER(R2727:R6795,AA2727:AA6795=""Neighbor""))) / STDEV(FILTER(R2727:R6795, AA2727:AA6795 =""Neighbor"")), """")"),0.33873599578488334)</f>
        <v>0.3387359958</v>
      </c>
    </row>
    <row r="2728">
      <c r="A2728" s="2" t="s">
        <v>28</v>
      </c>
      <c r="B2728" s="2" t="s">
        <v>884</v>
      </c>
      <c r="C2728" s="2" t="s">
        <v>1583</v>
      </c>
      <c r="D2728" s="2" t="s">
        <v>11165</v>
      </c>
      <c r="E2728" s="2" t="s">
        <v>11166</v>
      </c>
      <c r="F2728" s="2">
        <v>54.0</v>
      </c>
      <c r="G2728" s="2">
        <v>143.0</v>
      </c>
      <c r="H2728" s="2" t="b">
        <v>1</v>
      </c>
      <c r="I2728" s="2">
        <v>-1.0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s">
        <v>33</v>
      </c>
      <c r="O2728" s="2">
        <v>27.0</v>
      </c>
      <c r="P2728" s="2">
        <v>22.0</v>
      </c>
      <c r="Q2728" s="2">
        <v>3.0</v>
      </c>
      <c r="R2728" s="2">
        <v>0.0</v>
      </c>
      <c r="S2728" s="3" t="s">
        <v>11167</v>
      </c>
      <c r="T2728" s="2" t="s">
        <v>11168</v>
      </c>
      <c r="Y2728" s="4" t="str">
        <f>IFERROR(__xludf.DUMMYFUNCTION("""COMPUTED_VALUE"""),"7.1241623")</f>
        <v>7.1241623</v>
      </c>
      <c r="Z2728" s="4" t="str">
        <f>IFERROR(__xludf.DUMMYFUNCTION("""COMPUTED_VALUE"""),"3.323024")</f>
        <v>3.323024</v>
      </c>
      <c r="AA2728" s="4" t="str">
        <f t="shared" si="1"/>
        <v>Neighbor</v>
      </c>
      <c r="AC2728" s="4">
        <f>IFERROR(__xludf.DUMMYFUNCTION("IFERROR(ABS(O2728-AVERAGE(FILTER(O2728:O6796,AA2728:AA6796=""Neighbor""))) / STDEV(FILTER(O2728:O6796, AA2728:AA6796 =""Neighbor"")), """")"),0.6044792646426441)</f>
        <v>0.6044792646</v>
      </c>
      <c r="AD2728" s="4">
        <f>IFERROR(__xludf.DUMMYFUNCTION("IFERROR(ABS(P2728-AVERAGE(FILTER(O2728:P6796,AA2728:AA6796=""Neighbor""))) / STDEV(FILTER(P2728:P6796, AA2728:AA6796 =""Neighbor"")), """")"),0.46392730039339)</f>
        <v>0.4639273004</v>
      </c>
      <c r="AE2728" s="2">
        <f>IFERROR(__xludf.DUMMYFUNCTION("IFERROR(ABS(Q2728-AVERAGE(FILTER(Q2728:Q6796,AA2728:AA6796=""Neighbor""))) / STDEV(FILTER(Q2728:Q6796, AA2728:AA6796 =""Neighbor"")), """")"),0.6885905212558716)</f>
        <v>0.6885905213</v>
      </c>
      <c r="AF2728" s="2">
        <f>IFERROR(__xludf.DUMMYFUNCTION("IFERROR(ABS(R2728-AVERAGE(FILTER(R2728:R6796,AA2728:AA6796=""Neighbor""))) / STDEV(FILTER(R2728:R6796, AA2728:AA6796 =""Neighbor"")), """")"),0.33873599578488334)</f>
        <v>0.3387359958</v>
      </c>
    </row>
    <row r="2729">
      <c r="A2729" s="2" t="s">
        <v>28</v>
      </c>
      <c r="B2729" s="2" t="s">
        <v>884</v>
      </c>
      <c r="C2729" s="2" t="s">
        <v>1583</v>
      </c>
      <c r="D2729" s="2" t="s">
        <v>11169</v>
      </c>
      <c r="E2729" s="2" t="s">
        <v>11170</v>
      </c>
      <c r="F2729" s="2">
        <v>22.0</v>
      </c>
      <c r="G2729" s="2">
        <v>71.0</v>
      </c>
      <c r="H2729" s="2" t="b">
        <v>1</v>
      </c>
      <c r="I2729" s="2">
        <v>-1.0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s">
        <v>33</v>
      </c>
      <c r="O2729" s="2">
        <v>9.0</v>
      </c>
      <c r="P2729" s="2">
        <v>7.0</v>
      </c>
      <c r="Q2729" s="2">
        <v>4.0</v>
      </c>
      <c r="R2729" s="2">
        <v>0.0</v>
      </c>
      <c r="S2729" s="3" t="s">
        <v>11171</v>
      </c>
      <c r="T2729" s="2" t="s">
        <v>11172</v>
      </c>
      <c r="Y2729" s="4" t="str">
        <f>IFERROR(__xludf.DUMMYFUNCTION("""COMPUTED_VALUE"""),"7.1330908")</f>
        <v>7.1330908</v>
      </c>
      <c r="Z2729" s="4" t="str">
        <f>IFERROR(__xludf.DUMMYFUNCTION("""COMPUTED_VALUE"""),"3.3291331")</f>
        <v>3.3291331</v>
      </c>
      <c r="AA2729" s="4" t="str">
        <f t="shared" si="1"/>
        <v>Not Neighbor</v>
      </c>
      <c r="AC2729" s="4">
        <f>IFERROR(__xludf.DUMMYFUNCTION("IFERROR(ABS(O2729-AVERAGE(FILTER(O2729:O6797,AA2729:AA6797=""Neighbor""))) / STDEV(FILTER(O2729:O6797, AA2729:AA6797 =""Neighbor"")), """")"),1.1260643554649308)</f>
        <v>1.126064355</v>
      </c>
      <c r="AD2729" s="4">
        <f>IFERROR(__xludf.DUMMYFUNCTION("IFERROR(ABS(P2729-AVERAGE(FILTER(O2729:P6797,AA2729:AA6797=""Neighbor""))) / STDEV(FILTER(P2729:P6797, AA2729:AA6797 =""Neighbor"")), """")"),1.076413732671426)</f>
        <v>1.076413733</v>
      </c>
      <c r="AE2729" s="2">
        <f>IFERROR(__xludf.DUMMYFUNCTION("IFERROR(ABS(Q2729-AVERAGE(FILTER(Q2729:Q6797,AA2729:AA6797=""Neighbor""))) / STDEV(FILTER(Q2729:Q6797, AA2729:AA6797 =""Neighbor"")), """")"),0.630504754012741)</f>
        <v>0.630504754</v>
      </c>
      <c r="AF2729" s="2">
        <f>IFERROR(__xludf.DUMMYFUNCTION("IFERROR(ABS(R2729-AVERAGE(FILTER(R2729:R6797,AA2729:AA6797=""Neighbor""))) / STDEV(FILTER(R2729:R6797, AA2729:AA6797 =""Neighbor"")), """")"),0.33910695113378814)</f>
        <v>0.3391069511</v>
      </c>
    </row>
    <row r="2730">
      <c r="A2730" s="2" t="s">
        <v>28</v>
      </c>
      <c r="B2730" s="2" t="s">
        <v>884</v>
      </c>
      <c r="C2730" s="2" t="s">
        <v>1583</v>
      </c>
      <c r="D2730" s="2" t="s">
        <v>11173</v>
      </c>
      <c r="E2730" s="2" t="s">
        <v>11174</v>
      </c>
      <c r="F2730" s="2">
        <v>88.0</v>
      </c>
      <c r="G2730" s="2">
        <v>181.0</v>
      </c>
      <c r="H2730" s="2" t="b">
        <v>1</v>
      </c>
      <c r="I2730" s="2">
        <v>-1.0</v>
      </c>
      <c r="J2730" s="2" t="b">
        <v>0</v>
      </c>
      <c r="K2730" s="2" t="b">
        <v>1</v>
      </c>
      <c r="L2730" s="2" t="b">
        <v>0</v>
      </c>
      <c r="M2730" s="2" t="b">
        <v>0</v>
      </c>
      <c r="N2730" s="2" t="s">
        <v>33</v>
      </c>
      <c r="O2730" s="2">
        <v>37.0</v>
      </c>
      <c r="P2730" s="2">
        <v>31.0</v>
      </c>
      <c r="Q2730" s="2">
        <v>3.0</v>
      </c>
      <c r="R2730" s="2">
        <v>0.0</v>
      </c>
      <c r="S2730" s="3" t="s">
        <v>11175</v>
      </c>
      <c r="T2730" s="2" t="s">
        <v>11176</v>
      </c>
      <c r="Y2730" s="4" t="str">
        <f>IFERROR(__xludf.DUMMYFUNCTION("""COMPUTED_VALUE"""),"7.1223716")</f>
        <v>7.1223716</v>
      </c>
      <c r="Z2730" s="4" t="str">
        <f>IFERROR(__xludf.DUMMYFUNCTION("""COMPUTED_VALUE"""),"3.317088")</f>
        <v>3.317088</v>
      </c>
      <c r="AA2730" s="4" t="str">
        <f t="shared" si="1"/>
        <v>Neighbor</v>
      </c>
      <c r="AC2730" s="4">
        <f>IFERROR(__xludf.DUMMYFUNCTION("IFERROR(ABS(O2730-AVERAGE(FILTER(O2730:O6798,AA2730:AA6798=""Neighbor""))) / STDEV(FILTER(O2730:O6798, AA2730:AA6798 =""Neighbor"")), """")"),0.3159723368460163)</f>
        <v>0.3159723368</v>
      </c>
      <c r="AD2730" s="4">
        <f>IFERROR(__xludf.DUMMYFUNCTION("IFERROR(ABS(P2730-AVERAGE(FILTER(O2730:P6798,AA2730:AA6798=""Neighbor""))) / STDEV(FILTER(P2730:P6798, AA2730:AA6798 =""Neighbor"")), """")"),0.0968551412379477)</f>
        <v>0.09685514124</v>
      </c>
      <c r="AE2730" s="2">
        <f>IFERROR(__xludf.DUMMYFUNCTION("IFERROR(ABS(Q2730-AVERAGE(FILTER(Q2730:Q6798,AA2730:AA6798=""Neighbor""))) / STDEV(FILTER(Q2730:Q6798, AA2730:AA6798 =""Neighbor"")), """")"),0.6895891323633169)</f>
        <v>0.6895891324</v>
      </c>
      <c r="AF2730" s="2">
        <f>IFERROR(__xludf.DUMMYFUNCTION("IFERROR(ABS(R2730-AVERAGE(FILTER(R2730:R6798,AA2730:AA6798=""Neighbor""))) / STDEV(FILTER(R2730:R6798, AA2730:AA6798 =""Neighbor"")), """")"),0.33910695113378814)</f>
        <v>0.3391069511</v>
      </c>
    </row>
    <row r="2731">
      <c r="A2731" s="2" t="s">
        <v>28</v>
      </c>
      <c r="B2731" s="2" t="s">
        <v>884</v>
      </c>
      <c r="C2731" s="2" t="s">
        <v>1583</v>
      </c>
      <c r="D2731" s="2" t="s">
        <v>11177</v>
      </c>
      <c r="E2731" s="2" t="s">
        <v>11178</v>
      </c>
      <c r="F2731" s="2">
        <v>138.0</v>
      </c>
      <c r="G2731" s="2">
        <v>750.0</v>
      </c>
      <c r="H2731" s="2" t="b">
        <v>1</v>
      </c>
      <c r="I2731" s="2">
        <v>-1.0</v>
      </c>
      <c r="J2731" s="2" t="b">
        <v>0</v>
      </c>
      <c r="K2731" s="2" t="b">
        <v>1</v>
      </c>
      <c r="L2731" s="2" t="b">
        <v>0</v>
      </c>
      <c r="M2731" s="2" t="b">
        <v>0</v>
      </c>
      <c r="N2731" s="2" t="s">
        <v>33</v>
      </c>
      <c r="O2731" s="2">
        <v>81.0</v>
      </c>
      <c r="P2731" s="2">
        <v>41.0</v>
      </c>
      <c r="Q2731" s="2">
        <v>11.0</v>
      </c>
      <c r="R2731" s="2">
        <v>0.0</v>
      </c>
      <c r="S2731" s="3" t="s">
        <v>11179</v>
      </c>
      <c r="T2731" s="2" t="s">
        <v>11180</v>
      </c>
      <c r="Y2731" s="4" t="str">
        <f>IFERROR(__xludf.DUMMYFUNCTION("""COMPUTED_VALUE"""),"7.1241623")</f>
        <v>7.1241623</v>
      </c>
      <c r="Z2731" s="4" t="str">
        <f>IFERROR(__xludf.DUMMYFUNCTION("""COMPUTED_VALUE"""),"3.323024")</f>
        <v>3.323024</v>
      </c>
      <c r="AA2731" s="4" t="str">
        <f t="shared" si="1"/>
        <v>Neighbor</v>
      </c>
      <c r="AC2731" s="4">
        <f>IFERROR(__xludf.DUMMYFUNCTION("IFERROR(ABS(O2731-AVERAGE(FILTER(O2731:O6799,AA2731:AA6799=""Neighbor""))) / STDEV(FILTER(O2731:O6799, AA2731:AA6799 =""Neighbor"")), """")"),0.9555567945981704)</f>
        <v>0.9555567946</v>
      </c>
      <c r="AD2731" s="4">
        <f>IFERROR(__xludf.DUMMYFUNCTION("IFERROR(ABS(P2731-AVERAGE(FILTER(O2731:P6799,AA2731:AA6799=""Neighbor""))) / STDEV(FILTER(P2731:P6799, AA2731:AA6799 =""Neighbor"")), """")"),0.3111134711054801)</f>
        <v>0.3111134711</v>
      </c>
      <c r="AE2731" s="2">
        <f>IFERROR(__xludf.DUMMYFUNCTION("IFERROR(ABS(Q2731-AVERAGE(FILTER(Q2731:Q6799,AA2731:AA6799=""Neighbor""))) / STDEV(FILTER(Q2731:Q6799, AA2731:AA6799 =""Neighbor"")), """")"),0.2181614116031469)</f>
        <v>0.2181614116</v>
      </c>
      <c r="AF2731" s="2">
        <f>IFERROR(__xludf.DUMMYFUNCTION("IFERROR(ABS(R2731-AVERAGE(FILTER(R2731:R6799,AA2731:AA6799=""Neighbor""))) / STDEV(FILTER(R2731:R6799, AA2731:AA6799 =""Neighbor"")), """")"),0.3394791281704319)</f>
        <v>0.3394791282</v>
      </c>
    </row>
    <row r="2732">
      <c r="A2732" s="2" t="s">
        <v>28</v>
      </c>
      <c r="B2732" s="2" t="s">
        <v>884</v>
      </c>
      <c r="C2732" s="2" t="s">
        <v>1583</v>
      </c>
      <c r="D2732" s="2" t="s">
        <v>11181</v>
      </c>
      <c r="E2732" s="2" t="s">
        <v>11182</v>
      </c>
      <c r="F2732" s="2">
        <v>115.0</v>
      </c>
      <c r="G2732" s="2">
        <v>369.0</v>
      </c>
      <c r="H2732" s="2" t="b">
        <v>1</v>
      </c>
      <c r="I2732" s="2">
        <v>-1.0</v>
      </c>
      <c r="J2732" s="2" t="b">
        <v>1</v>
      </c>
      <c r="K2732" s="2" t="b">
        <v>0</v>
      </c>
      <c r="L2732" s="2" t="b">
        <v>0</v>
      </c>
      <c r="M2732" s="2" t="b">
        <v>0</v>
      </c>
      <c r="N2732" s="2" t="s">
        <v>33</v>
      </c>
      <c r="O2732" s="2">
        <v>59.0</v>
      </c>
      <c r="P2732" s="2">
        <v>31.0</v>
      </c>
      <c r="Q2732" s="2">
        <v>17.0</v>
      </c>
      <c r="R2732" s="2">
        <v>1.0</v>
      </c>
      <c r="S2732" s="3" t="s">
        <v>11183</v>
      </c>
      <c r="T2732" s="2" t="s">
        <v>11184</v>
      </c>
      <c r="Y2732" s="4" t="str">
        <f>IFERROR(__xludf.DUMMYFUNCTION("""COMPUTED_VALUE"""),"7.1223716")</f>
        <v>7.1223716</v>
      </c>
      <c r="Z2732" s="4" t="str">
        <f>IFERROR(__xludf.DUMMYFUNCTION("""COMPUTED_VALUE"""),"3.317088")</f>
        <v>3.317088</v>
      </c>
      <c r="AA2732" s="4" t="str">
        <f t="shared" si="1"/>
        <v>Neighbor</v>
      </c>
      <c r="AC2732" s="4">
        <f>IFERROR(__xludf.DUMMYFUNCTION("IFERROR(ABS(O2732-AVERAGE(FILTER(O2732:O6800,AA2732:AA6800=""Neighbor""))) / STDEV(FILTER(O2732:O6800, AA2732:AA6800 =""Neighbor"")), """")"),0.32148256856652424)</f>
        <v>0.3214825686</v>
      </c>
      <c r="AD2732" s="4">
        <f>IFERROR(__xludf.DUMMYFUNCTION("IFERROR(ABS(P2732-AVERAGE(FILTER(O2732:P6800,AA2732:AA6800=""Neighbor""))) / STDEV(FILTER(P2732:P6800, AA2732:AA6800 =""Neighbor"")), """")"),0.09448915834980808)</f>
        <v>0.09448915835</v>
      </c>
      <c r="AE2732" s="2">
        <f>IFERROR(__xludf.DUMMYFUNCTION("IFERROR(ABS(Q2732-AVERAGE(FILTER(Q2732:Q6800,AA2732:AA6800=""Neighbor""))) / STDEV(FILTER(Q2732:Q6800, AA2732:AA6800 =""Neighbor"")), """")"),0.13560266091624812)</f>
        <v>0.1356026609</v>
      </c>
      <c r="AF2732" s="2">
        <f>IFERROR(__xludf.DUMMYFUNCTION("IFERROR(ABS(R2732-AVERAGE(FILTER(R2732:R6800,AA2732:AA6800=""Neighbor""))) / STDEV(FILTER(R2732:R6800, AA2732:AA6800 =""Neighbor"")), """")"),0.8142775469877939)</f>
        <v>0.814277547</v>
      </c>
    </row>
    <row r="2733">
      <c r="A2733" s="2" t="s">
        <v>28</v>
      </c>
      <c r="B2733" s="2" t="s">
        <v>884</v>
      </c>
      <c r="C2733" s="2" t="s">
        <v>1583</v>
      </c>
      <c r="D2733" s="2" t="s">
        <v>11185</v>
      </c>
      <c r="E2733" s="2" t="s">
        <v>11186</v>
      </c>
      <c r="F2733" s="2">
        <v>67.0</v>
      </c>
      <c r="G2733" s="2">
        <v>114.0</v>
      </c>
      <c r="H2733" s="2" t="b">
        <v>1</v>
      </c>
      <c r="I2733" s="2">
        <v>-1.0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s">
        <v>33</v>
      </c>
      <c r="O2733" s="2">
        <v>37.0</v>
      </c>
      <c r="P2733" s="2">
        <v>13.0</v>
      </c>
      <c r="Q2733" s="2">
        <v>9.0</v>
      </c>
      <c r="R2733" s="2">
        <v>0.0</v>
      </c>
      <c r="S2733" s="3" t="s">
        <v>11187</v>
      </c>
      <c r="T2733" s="2" t="s">
        <v>11188</v>
      </c>
      <c r="Y2733" s="4" t="str">
        <f>IFERROR(__xludf.DUMMYFUNCTION("""COMPUTED_VALUE"""),"7.1241623")</f>
        <v>7.1241623</v>
      </c>
      <c r="Z2733" s="4" t="str">
        <f>IFERROR(__xludf.DUMMYFUNCTION("""COMPUTED_VALUE"""),"3.323024")</f>
        <v>3.323024</v>
      </c>
      <c r="AA2733" s="4" t="str">
        <f t="shared" si="1"/>
        <v>Not Neighbor</v>
      </c>
      <c r="AC2733" s="4">
        <f>IFERROR(__xludf.DUMMYFUNCTION("IFERROR(ABS(O2733-AVERAGE(FILTER(O2733:O6801,AA2733:AA6801=""Neighbor""))) / STDEV(FILTER(O2733:O6801, AA2733:AA6801 =""Neighbor"")), """")"),0.31348417554736013)</f>
        <v>0.3134841755</v>
      </c>
      <c r="AD2733" s="4">
        <f>IFERROR(__xludf.DUMMYFUNCTION("IFERROR(ABS(P2733-AVERAGE(FILTER(O2733:P6801,AA2733:AA6801=""Neighbor""))) / STDEV(FILTER(P2733:P6801, AA2733:AA6801 =""Neighbor"")), """")"),0.8269239375280224)</f>
        <v>0.8269239375</v>
      </c>
      <c r="AE2733" s="2">
        <f>IFERROR(__xludf.DUMMYFUNCTION("IFERROR(ABS(Q2733-AVERAGE(FILTER(Q2733:Q6801,AA2733:AA6801=""Neighbor""))) / STDEV(FILTER(Q2733:Q6801, AA2733:AA6801 =""Neighbor"")), """")"),0.3357878666890449)</f>
        <v>0.3357878667</v>
      </c>
      <c r="AF2733" s="2">
        <f>IFERROR(__xludf.DUMMYFUNCTION("IFERROR(ABS(R2733-AVERAGE(FILTER(R2733:R6801,AA2733:AA6801=""Neighbor""))) / STDEV(FILTER(R2733:R6801, AA2733:AA6801 =""Neighbor"")), """")"),0.33812753344939867)</f>
        <v>0.3381275334</v>
      </c>
    </row>
    <row r="2734">
      <c r="A2734" s="2" t="s">
        <v>28</v>
      </c>
      <c r="B2734" s="2" t="s">
        <v>884</v>
      </c>
      <c r="C2734" s="2" t="s">
        <v>1583</v>
      </c>
      <c r="D2734" s="2" t="s">
        <v>11189</v>
      </c>
      <c r="E2734" s="2" t="s">
        <v>11190</v>
      </c>
      <c r="F2734" s="2">
        <v>85.0</v>
      </c>
      <c r="G2734" s="2">
        <v>181.0</v>
      </c>
      <c r="H2734" s="2" t="b">
        <v>1</v>
      </c>
      <c r="I2734" s="2">
        <v>-1.0</v>
      </c>
      <c r="J2734" s="2" t="b">
        <v>0</v>
      </c>
      <c r="K2734" s="2" t="b">
        <v>0</v>
      </c>
      <c r="L2734" s="2" t="b">
        <v>0</v>
      </c>
      <c r="M2734" s="2" t="b">
        <v>0</v>
      </c>
      <c r="N2734" s="2" t="s">
        <v>33</v>
      </c>
      <c r="O2734" s="2">
        <v>33.0</v>
      </c>
      <c r="P2734" s="2">
        <v>34.0</v>
      </c>
      <c r="Q2734" s="2">
        <v>9.0</v>
      </c>
      <c r="R2734" s="2">
        <v>0.0</v>
      </c>
      <c r="S2734" s="3" t="s">
        <v>11191</v>
      </c>
      <c r="T2734" s="2" t="s">
        <v>11192</v>
      </c>
      <c r="Y2734" s="4" t="str">
        <f>IFERROR(__xludf.DUMMYFUNCTION("""COMPUTED_VALUE"""),"7.1253201")</f>
        <v>7.1253201</v>
      </c>
      <c r="Z2734" s="4" t="str">
        <f>IFERROR(__xludf.DUMMYFUNCTION("""COMPUTED_VALUE"""),"3.3351139")</f>
        <v>3.3351139</v>
      </c>
      <c r="AA2734" s="4" t="str">
        <f t="shared" si="1"/>
        <v>Neighbor</v>
      </c>
      <c r="AC2734" s="4">
        <f>IFERROR(__xludf.DUMMYFUNCTION("IFERROR(ABS(O2734-AVERAGE(FILTER(O2734:O6802,AA2734:AA6802=""Neighbor""))) / STDEV(FILTER(O2734:O6802, AA2734:AA6802 =""Neighbor"")), """")"),0.42899640367681424)</f>
        <v>0.4289964037</v>
      </c>
      <c r="AD2734" s="4">
        <f>IFERROR(__xludf.DUMMYFUNCTION("IFERROR(ABS(P2734-AVERAGE(FILTER(O2734:P6802,AA2734:AA6802=""Neighbor""))) / STDEV(FILTER(P2734:P6802, AA2734:AA6802 =""Neighbor"")), """")"),0.028765027440966)</f>
        <v>0.02876502744</v>
      </c>
      <c r="AE2734" s="2">
        <f>IFERROR(__xludf.DUMMYFUNCTION("IFERROR(ABS(Q2734-AVERAGE(FILTER(Q2734:Q6802,AA2734:AA6802=""Neighbor""))) / STDEV(FILTER(Q2734:Q6802, AA2734:AA6802 =""Neighbor"")), """")"),0.3357878666890449)</f>
        <v>0.3357878667</v>
      </c>
      <c r="AF2734" s="2">
        <f>IFERROR(__xludf.DUMMYFUNCTION("IFERROR(ABS(R2734-AVERAGE(FILTER(R2734:R6802,AA2734:AA6802=""Neighbor""))) / STDEV(FILTER(R2734:R6802, AA2734:AA6802 =""Neighbor"")), """")"),0.33812753344939867)</f>
        <v>0.3381275334</v>
      </c>
    </row>
    <row r="2735">
      <c r="A2735" s="2" t="s">
        <v>28</v>
      </c>
      <c r="B2735" s="2" t="s">
        <v>884</v>
      </c>
      <c r="C2735" s="2" t="s">
        <v>1583</v>
      </c>
      <c r="D2735" s="2" t="s">
        <v>11193</v>
      </c>
      <c r="E2735" s="2" t="s">
        <v>11194</v>
      </c>
      <c r="F2735" s="2">
        <v>51.0</v>
      </c>
      <c r="G2735" s="2">
        <v>151.0</v>
      </c>
      <c r="H2735" s="2" t="b">
        <v>1</v>
      </c>
      <c r="I2735" s="2">
        <v>-1.0</v>
      </c>
      <c r="J2735" s="2" t="b">
        <v>0</v>
      </c>
      <c r="K2735" s="2" t="b">
        <v>0</v>
      </c>
      <c r="L2735" s="2" t="b">
        <v>0</v>
      </c>
      <c r="M2735" s="2" t="b">
        <v>0</v>
      </c>
      <c r="N2735" s="2" t="s">
        <v>33</v>
      </c>
      <c r="O2735" s="2">
        <v>17.0</v>
      </c>
      <c r="P2735" s="2">
        <v>18.0</v>
      </c>
      <c r="Q2735" s="2">
        <v>6.0</v>
      </c>
      <c r="R2735" s="2">
        <v>0.0</v>
      </c>
      <c r="S2735" s="3" t="s">
        <v>11195</v>
      </c>
      <c r="T2735" s="2" t="s">
        <v>11196</v>
      </c>
      <c r="Y2735" s="4" t="str">
        <f>IFERROR(__xludf.DUMMYFUNCTION("""COMPUTED_VALUE"""),"7.1330908")</f>
        <v>7.1330908</v>
      </c>
      <c r="Z2735" s="4" t="str">
        <f>IFERROR(__xludf.DUMMYFUNCTION("""COMPUTED_VALUE"""),"3.3291331")</f>
        <v>3.3291331</v>
      </c>
      <c r="AA2735" s="4" t="str">
        <f t="shared" si="1"/>
        <v>Neighbor</v>
      </c>
      <c r="AC2735" s="4">
        <f>IFERROR(__xludf.DUMMYFUNCTION("IFERROR(ABS(O2735-AVERAGE(FILTER(O2735:O6803,AA2735:AA6803=""Neighbor""))) / STDEV(FILTER(O2735:O6803, AA2735:AA6803 =""Neighbor"")), """")"),0.8911742881862759)</f>
        <v>0.8911742882</v>
      </c>
      <c r="AD2735" s="4">
        <f>IFERROR(__xludf.DUMMYFUNCTION("IFERROR(ABS(P2735-AVERAGE(FILTER(O2735:P6803,AA2735:AA6803=""Neighbor""))) / STDEV(FILTER(P2735:P6803, AA2735:AA6803 =""Neighbor"")), """")"),0.6227929200408857)</f>
        <v>0.62279292</v>
      </c>
      <c r="AE2735" s="2">
        <f>IFERROR(__xludf.DUMMYFUNCTION("IFERROR(ABS(Q2735-AVERAGE(FILTER(Q2735:Q6803,AA2735:AA6803=""Neighbor""))) / STDEV(FILTER(Q2735:Q6803, AA2735:AA6803 =""Neighbor"")), """")"),0.5128247366918165)</f>
        <v>0.5128247367</v>
      </c>
      <c r="AF2735" s="2">
        <f>IFERROR(__xludf.DUMMYFUNCTION("IFERROR(ABS(R2735-AVERAGE(FILTER(R2735:R6803,AA2735:AA6803=""Neighbor""))) / STDEV(FILTER(R2735:R6803, AA2735:AA6803 =""Neighbor"")), """")"),0.3385006170485689)</f>
        <v>0.338500617</v>
      </c>
    </row>
    <row r="2736">
      <c r="A2736" s="2" t="s">
        <v>28</v>
      </c>
      <c r="B2736" s="2" t="s">
        <v>884</v>
      </c>
      <c r="C2736" s="2" t="s">
        <v>1583</v>
      </c>
      <c r="D2736" s="2" t="s">
        <v>11197</v>
      </c>
      <c r="E2736" s="2" t="s">
        <v>11198</v>
      </c>
      <c r="F2736" s="2">
        <v>155.0</v>
      </c>
      <c r="G2736" s="2">
        <v>610.0</v>
      </c>
      <c r="H2736" s="2" t="b">
        <v>1</v>
      </c>
      <c r="I2736" s="2">
        <v>-1.0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s">
        <v>33</v>
      </c>
      <c r="O2736" s="2">
        <v>89.0</v>
      </c>
      <c r="P2736" s="2">
        <v>45.0</v>
      </c>
      <c r="Q2736" s="2">
        <v>12.0</v>
      </c>
      <c r="R2736" s="2">
        <v>0.0</v>
      </c>
      <c r="S2736" s="3" t="s">
        <v>11199</v>
      </c>
      <c r="T2736" s="2" t="s">
        <v>11200</v>
      </c>
      <c r="Y2736" s="4" t="str">
        <f>IFERROR(__xludf.DUMMYFUNCTION("""COMPUTED_VALUE"""),"7.1330908")</f>
        <v>7.1330908</v>
      </c>
      <c r="Z2736" s="4" t="str">
        <f>IFERROR(__xludf.DUMMYFUNCTION("""COMPUTED_VALUE"""),"3.3291331")</f>
        <v>3.3291331</v>
      </c>
      <c r="AA2736" s="4" t="str">
        <f t="shared" si="1"/>
        <v>Neighbor</v>
      </c>
      <c r="AC2736" s="4">
        <f>IFERROR(__xludf.DUMMYFUNCTION("IFERROR(ABS(O2736-AVERAGE(FILTER(O2736:O6804,AA2736:AA6804=""Neighbor""))) / STDEV(FILTER(O2736:O6804, AA2736:AA6804 =""Neighbor"")), """")"),1.1843495647550324)</f>
        <v>1.184349565</v>
      </c>
      <c r="AD2736" s="4">
        <f>IFERROR(__xludf.DUMMYFUNCTION("IFERROR(ABS(P2736-AVERAGE(FILTER(O2736:P6804,AA2736:AA6804=""Neighbor""))) / STDEV(FILTER(P2736:P6804, AA2736:AA6804 =""Neighbor"")), """")"),0.4749586020024964)</f>
        <v>0.474958602</v>
      </c>
      <c r="AE2736" s="2">
        <f>IFERROR(__xludf.DUMMYFUNCTION("IFERROR(ABS(Q2736-AVERAGE(FILTER(Q2736:Q6804,AA2736:AA6804=""Neighbor""))) / STDEV(FILTER(Q2736:Q6804, AA2736:AA6804 =""Neighbor"")), """")"),0.16039286543468753)</f>
        <v>0.1603928654</v>
      </c>
      <c r="AF2736" s="2">
        <f>IFERROR(__xludf.DUMMYFUNCTION("IFERROR(ABS(R2736-AVERAGE(FILTER(R2736:R6804,AA2736:AA6804=""Neighbor""))) / STDEV(FILTER(R2736:R6804, AA2736:AA6804 =""Neighbor"")), """")"),0.3388749386395825)</f>
        <v>0.3388749386</v>
      </c>
    </row>
    <row r="2737">
      <c r="A2737" s="2" t="s">
        <v>28</v>
      </c>
      <c r="B2737" s="2" t="s">
        <v>884</v>
      </c>
      <c r="C2737" s="2" t="s">
        <v>1583</v>
      </c>
      <c r="D2737" s="2" t="s">
        <v>11201</v>
      </c>
      <c r="E2737" s="2" t="s">
        <v>11202</v>
      </c>
      <c r="F2737" s="2">
        <v>126.0</v>
      </c>
      <c r="G2737" s="2">
        <v>750.0</v>
      </c>
      <c r="H2737" s="2" t="b">
        <v>1</v>
      </c>
      <c r="I2737" s="2">
        <v>-1.0</v>
      </c>
      <c r="J2737" s="2" t="b">
        <v>0</v>
      </c>
      <c r="K2737" s="2" t="b">
        <v>1</v>
      </c>
      <c r="L2737" s="2" t="b">
        <v>0</v>
      </c>
      <c r="M2737" s="2" t="b">
        <v>0</v>
      </c>
      <c r="N2737" s="2" t="s">
        <v>33</v>
      </c>
      <c r="O2737" s="2">
        <v>63.0</v>
      </c>
      <c r="P2737" s="2">
        <v>40.0</v>
      </c>
      <c r="Q2737" s="2">
        <v>14.0</v>
      </c>
      <c r="R2737" s="2">
        <v>0.0</v>
      </c>
      <c r="S2737" s="3" t="s">
        <v>11203</v>
      </c>
      <c r="T2737" s="2" t="s">
        <v>11204</v>
      </c>
      <c r="Y2737" s="4" t="str">
        <f>IFERROR(__xludf.DUMMYFUNCTION("""COMPUTED_VALUE"""),"7.1241623")</f>
        <v>7.1241623</v>
      </c>
      <c r="Z2737" s="4" t="str">
        <f>IFERROR(__xludf.DUMMYFUNCTION("""COMPUTED_VALUE"""),"3.323024")</f>
        <v>3.323024</v>
      </c>
      <c r="AA2737" s="4" t="str">
        <f t="shared" si="1"/>
        <v>Neighbor</v>
      </c>
      <c r="AC2737" s="4">
        <f>IFERROR(__xludf.DUMMYFUNCTION("IFERROR(ABS(O2737-AVERAGE(FILTER(O2737:O6805,AA2737:AA6805=""Neighbor""))) / STDEV(FILTER(O2737:O6805, AA2737:AA6805 =""Neighbor"")), """")"),0.43681668882959224)</f>
        <v>0.4368166888</v>
      </c>
      <c r="AD2737" s="4">
        <f>IFERROR(__xludf.DUMMYFUNCTION("IFERROR(ABS(P2737-AVERAGE(FILTER(O2737:P6805,AA2737:AA6805=""Neighbor""))) / STDEV(FILTER(P2737:P6805, AA2737:AA6805 =""Neighbor"")), """")"),0.27431851093346926)</f>
        <v>0.2743185109</v>
      </c>
      <c r="AE2737" s="2">
        <f>IFERROR(__xludf.DUMMYFUNCTION("IFERROR(ABS(Q2737-AVERAGE(FILTER(Q2737:Q6805,AA2737:AA6805=""Neighbor""))) / STDEV(FILTER(Q2737:Q6805, AA2737:AA6805 =""Neighbor"")), """")"),0.042978977435080175)</f>
        <v>0.04297897744</v>
      </c>
      <c r="AF2737" s="2">
        <f>IFERROR(__xludf.DUMMYFUNCTION("IFERROR(ABS(R2737-AVERAGE(FILTER(R2737:R6805,AA2737:AA6805=""Neighbor""))) / STDEV(FILTER(R2737:R6805, AA2737:AA6805 =""Neighbor"")), """")"),0.33925050508573956)</f>
        <v>0.3392505051</v>
      </c>
    </row>
    <row r="2738">
      <c r="A2738" s="2" t="s">
        <v>28</v>
      </c>
      <c r="B2738" s="2" t="s">
        <v>884</v>
      </c>
      <c r="C2738" s="2" t="s">
        <v>1583</v>
      </c>
      <c r="D2738" s="2" t="s">
        <v>11205</v>
      </c>
      <c r="E2738" s="2" t="s">
        <v>11206</v>
      </c>
      <c r="F2738" s="2">
        <v>78.0</v>
      </c>
      <c r="G2738" s="2">
        <v>155.0</v>
      </c>
      <c r="H2738" s="2" t="b">
        <v>1</v>
      </c>
      <c r="I2738" s="2">
        <v>-1.0</v>
      </c>
      <c r="J2738" s="2" t="b">
        <v>0</v>
      </c>
      <c r="K2738" s="2" t="b">
        <v>0</v>
      </c>
      <c r="L2738" s="2" t="b">
        <v>0</v>
      </c>
      <c r="M2738" s="2" t="b">
        <v>0</v>
      </c>
      <c r="N2738" s="2" t="s">
        <v>33</v>
      </c>
      <c r="O2738" s="2">
        <v>18.0</v>
      </c>
      <c r="P2738" s="2">
        <v>52.0</v>
      </c>
      <c r="Q2738" s="2">
        <v>5.0</v>
      </c>
      <c r="R2738" s="2">
        <v>0.0</v>
      </c>
      <c r="S2738" s="3" t="s">
        <v>11207</v>
      </c>
      <c r="T2738" s="2" t="s">
        <v>11208</v>
      </c>
      <c r="Y2738" s="4" t="str">
        <f>IFERROR(__xludf.DUMMYFUNCTION("""COMPUTED_VALUE"""),"7.1241623")</f>
        <v>7.1241623</v>
      </c>
      <c r="Z2738" s="4" t="str">
        <f>IFERROR(__xludf.DUMMYFUNCTION("""COMPUTED_VALUE"""),"3.323024")</f>
        <v>3.323024</v>
      </c>
      <c r="AA2738" s="4" t="str">
        <f t="shared" si="1"/>
        <v>Neighbor</v>
      </c>
      <c r="AC2738" s="4">
        <f>IFERROR(__xludf.DUMMYFUNCTION("IFERROR(ABS(O2738-AVERAGE(FILTER(O2738:O6806,AA2738:AA6806=""Neighbor""))) / STDEV(FILTER(O2738:O6806, AA2738:AA6806 =""Neighbor"")), """")"),0.8603377532796374)</f>
        <v>0.8603377533</v>
      </c>
      <c r="AD2738" s="4">
        <f>IFERROR(__xludf.DUMMYFUNCTION("IFERROR(ABS(P2738-AVERAGE(FILTER(O2738:P6806,AA2738:AA6806=""Neighbor""))) / STDEV(FILTER(P2738:P6806, AA2738:AA6806 =""Neighbor"")), """")"),0.7638673778227052)</f>
        <v>0.7638673778</v>
      </c>
      <c r="AE2738" s="2">
        <f>IFERROR(__xludf.DUMMYFUNCTION("IFERROR(ABS(Q2738-AVERAGE(FILTER(Q2738:Q6806,AA2738:AA6806=""Neighbor""))) / STDEV(FILTER(Q2738:Q6806, AA2738:AA6806 =""Neighbor"")), """")"),0.5715926608408087)</f>
        <v>0.5715926608</v>
      </c>
      <c r="AF2738" s="2">
        <f>IFERROR(__xludf.DUMMYFUNCTION("IFERROR(ABS(R2738-AVERAGE(FILTER(R2738:R6806,AA2738:AA6806=""Neighbor""))) / STDEV(FILTER(R2738:R6806, AA2738:AA6806 =""Neighbor"")), """")"),0.33962732330373835)</f>
        <v>0.3396273233</v>
      </c>
    </row>
    <row r="2739">
      <c r="A2739" s="2" t="s">
        <v>28</v>
      </c>
      <c r="B2739" s="2" t="s">
        <v>884</v>
      </c>
      <c r="C2739" s="2" t="s">
        <v>1583</v>
      </c>
      <c r="D2739" s="2" t="s">
        <v>11209</v>
      </c>
      <c r="E2739" s="2" t="s">
        <v>11210</v>
      </c>
      <c r="F2739" s="2">
        <v>48.0</v>
      </c>
      <c r="G2739" s="2">
        <v>121.0</v>
      </c>
      <c r="H2739" s="2" t="b">
        <v>1</v>
      </c>
      <c r="I2739" s="2">
        <v>-1.0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s">
        <v>33</v>
      </c>
      <c r="O2739" s="2">
        <v>11.0</v>
      </c>
      <c r="P2739" s="2">
        <v>30.0</v>
      </c>
      <c r="Q2739" s="2">
        <v>6.0</v>
      </c>
      <c r="R2739" s="2">
        <v>0.0</v>
      </c>
      <c r="S2739" s="3" t="s">
        <v>11211</v>
      </c>
      <c r="T2739" s="2" t="s">
        <v>11212</v>
      </c>
      <c r="Y2739" s="4" t="str">
        <f>IFERROR(__xludf.DUMMYFUNCTION("""COMPUTED_VALUE"""),"7.1277855")</f>
        <v>7.1277855</v>
      </c>
      <c r="Z2739" s="4" t="str">
        <f>IFERROR(__xludf.DUMMYFUNCTION("""COMPUTED_VALUE"""),"3.3258811")</f>
        <v>3.3258811</v>
      </c>
      <c r="AA2739" s="4" t="str">
        <f t="shared" si="1"/>
        <v>Neighbor</v>
      </c>
      <c r="AC2739" s="4">
        <f>IFERROR(__xludf.DUMMYFUNCTION("IFERROR(ABS(O2739-AVERAGE(FILTER(O2739:O6807,AA2739:AA6807=""Neighbor""))) / STDEV(FILTER(O2739:O6807, AA2739:AA6807 =""Neighbor"")), """")"),1.063643339743956)</f>
        <v>1.06364334</v>
      </c>
      <c r="AD2739" s="4">
        <f>IFERROR(__xludf.DUMMYFUNCTION("IFERROR(ABS(P2739-AVERAGE(FILTER(O2739:P6807,AA2739:AA6807=""Neighbor""))) / STDEV(FILTER(P2739:P6807, AA2739:AA6807 =""Neighbor"")), """")"),0.1310128899117059)</f>
        <v>0.1310128899</v>
      </c>
      <c r="AE2739" s="2">
        <f>IFERROR(__xludf.DUMMYFUNCTION("IFERROR(ABS(Q2739-AVERAGE(FILTER(Q2739:Q6807,AA2739:AA6807=""Neighbor""))) / STDEV(FILTER(Q2739:Q6807, AA2739:AA6807 =""Neighbor"")), """")"),0.5136596774048662)</f>
        <v>0.5136596774</v>
      </c>
      <c r="AF2739" s="2">
        <f>IFERROR(__xludf.DUMMYFUNCTION("IFERROR(ABS(R2739-AVERAGE(FILTER(R2739:R6807,AA2739:AA6807=""Neighbor""))) / STDEV(FILTER(R2739:R6807, AA2739:AA6807 =""Neighbor"")), """")"),0.3400054002642094)</f>
        <v>0.3400054003</v>
      </c>
    </row>
    <row r="2740">
      <c r="A2740" s="2" t="s">
        <v>28</v>
      </c>
      <c r="B2740" s="2" t="s">
        <v>884</v>
      </c>
      <c r="C2740" s="2" t="s">
        <v>1583</v>
      </c>
      <c r="D2740" s="2" t="s">
        <v>11213</v>
      </c>
      <c r="E2740" s="2" t="s">
        <v>11214</v>
      </c>
      <c r="F2740" s="2">
        <v>93.0</v>
      </c>
      <c r="G2740" s="2">
        <v>191.0</v>
      </c>
      <c r="H2740" s="2" t="b">
        <v>1</v>
      </c>
      <c r="I2740" s="2">
        <v>-1.0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s">
        <v>33</v>
      </c>
      <c r="O2740" s="2">
        <v>51.0</v>
      </c>
      <c r="P2740" s="2">
        <v>34.0</v>
      </c>
      <c r="Q2740" s="2">
        <v>2.0</v>
      </c>
      <c r="R2740" s="2">
        <v>0.0</v>
      </c>
      <c r="S2740" s="3" t="s">
        <v>11215</v>
      </c>
      <c r="T2740" s="2" t="s">
        <v>11216</v>
      </c>
      <c r="Y2740" s="4" t="str">
        <f>IFERROR(__xludf.DUMMYFUNCTION("""COMPUTED_VALUE"""),"7.1237514")</f>
        <v>7.1237514</v>
      </c>
      <c r="Z2740" s="4" t="str">
        <f>IFERROR(__xludf.DUMMYFUNCTION("""COMPUTED_VALUE"""),"3.3205999")</f>
        <v>3.3205999</v>
      </c>
      <c r="AA2740" s="4" t="str">
        <f t="shared" si="1"/>
        <v>Neighbor</v>
      </c>
      <c r="AC2740" s="4">
        <f>IFERROR(__xludf.DUMMYFUNCTION("IFERROR(ABS(O2740-AVERAGE(FILTER(O2740:O6808,AA2740:AA6808=""Neighbor""))) / STDEV(FILTER(O2740:O6808, AA2740:AA6808 =""Neighbor"")), """")"),0.08742525917277878)</f>
        <v>0.08742525917</v>
      </c>
      <c r="AD2740" s="4">
        <f>IFERROR(__xludf.DUMMYFUNCTION("IFERROR(ABS(P2740-AVERAGE(FILTER(O2740:P6808,AA2740:AA6808=""Neighbor""))) / STDEV(FILTER(P2740:P6808, AA2740:AA6808 =""Neighbor"")), """")"),0.030775399638636465)</f>
        <v>0.03077539964</v>
      </c>
      <c r="AE2740" s="2">
        <f>IFERROR(__xludf.DUMMYFUNCTION("IFERROR(ABS(Q2740-AVERAGE(FILTER(Q2740:Q6808,AA2740:AA6808=""Neighbor""))) / STDEV(FILTER(Q2740:Q6808, AA2740:AA6808 =""Neighbor"")), """")"),0.7488983314175363)</f>
        <v>0.7488983314</v>
      </c>
      <c r="AF2740" s="2">
        <f>IFERROR(__xludf.DUMMYFUNCTION("IFERROR(ABS(R2740-AVERAGE(FILTER(R2740:R6808,AA2740:AA6808=""Neighbor""))) / STDEV(FILTER(R2740:R6808, AA2740:AA6808 =""Neighbor"")), """")"),0.3403847429922586)</f>
        <v>0.340384743</v>
      </c>
    </row>
    <row r="2741">
      <c r="A2741" s="2" t="s">
        <v>28</v>
      </c>
      <c r="B2741" s="2" t="s">
        <v>884</v>
      </c>
      <c r="C2741" s="2" t="s">
        <v>1583</v>
      </c>
      <c r="D2741" s="2" t="s">
        <v>11217</v>
      </c>
      <c r="E2741" s="2" t="s">
        <v>11218</v>
      </c>
      <c r="F2741" s="2">
        <v>69.0</v>
      </c>
      <c r="G2741" s="2">
        <v>151.0</v>
      </c>
      <c r="H2741" s="2" t="b">
        <v>1</v>
      </c>
      <c r="I2741" s="2">
        <v>-1.0</v>
      </c>
      <c r="J2741" s="2" t="b">
        <v>0</v>
      </c>
      <c r="K2741" s="2" t="b">
        <v>1</v>
      </c>
      <c r="L2741" s="2" t="b">
        <v>0</v>
      </c>
      <c r="M2741" s="2" t="b">
        <v>0</v>
      </c>
      <c r="N2741" s="2" t="s">
        <v>33</v>
      </c>
      <c r="O2741" s="2">
        <v>0.0</v>
      </c>
      <c r="P2741" s="2">
        <v>0.0</v>
      </c>
      <c r="Q2741" s="2">
        <v>0.0</v>
      </c>
      <c r="R2741" s="2">
        <v>0.0</v>
      </c>
      <c r="S2741" s="3" t="s">
        <v>11219</v>
      </c>
      <c r="T2741" s="2" t="s">
        <v>11220</v>
      </c>
      <c r="Y2741" s="4" t="str">
        <f>IFERROR(__xludf.DUMMYFUNCTION("""COMPUTED_VALUE"""),"7.1276733")</f>
        <v>7.1276733</v>
      </c>
      <c r="Z2741" s="4" t="str">
        <f>IFERROR(__xludf.DUMMYFUNCTION("""COMPUTED_VALUE"""),"3.3261335")</f>
        <v>3.3261335</v>
      </c>
      <c r="AA2741" s="4" t="str">
        <f t="shared" si="1"/>
        <v>Neighbor</v>
      </c>
      <c r="AC2741" s="4">
        <f>IFERROR(__xludf.DUMMYFUNCTION("IFERROR(ABS(O2741-AVERAGE(FILTER(O2741:O6809,AA2741:AA6809=""Neighbor""))) / STDEV(FILTER(O2741:O6809, AA2741:AA6809 =""Neighbor"")), """")"),1.3815331532696629)</f>
        <v>1.381533153</v>
      </c>
      <c r="AD2741" s="4">
        <f>IFERROR(__xludf.DUMMYFUNCTION("IFERROR(ABS(P2741-AVERAGE(FILTER(O2741:P6809,AA2741:AA6809=""Neighbor""))) / STDEV(FILTER(P2741:P6809, AA2741:AA6809 =""Neighbor"")), """")"),1.3507900332683582)</f>
        <v>1.350790033</v>
      </c>
      <c r="AE2741" s="2">
        <f>IFERROR(__xludf.DUMMYFUNCTION("IFERROR(ABS(Q2741-AVERAGE(FILTER(Q2741:Q6809,AA2741:AA6809=""Neighbor""))) / STDEV(FILTER(Q2741:Q6809, AA2741:AA6809 =""Neighbor"")), """")"),0.8673145257693567)</f>
        <v>0.8673145258</v>
      </c>
      <c r="AF2741" s="2">
        <f>IFERROR(__xludf.DUMMYFUNCTION("IFERROR(ABS(R2741-AVERAGE(FILTER(R2741:R6809,AA2741:AA6809=""Neighbor""))) / STDEV(FILTER(R2741:R6809, AA2741:AA6809 =""Neighbor"")), """")"),0.3407653585680161)</f>
        <v>0.3407653586</v>
      </c>
    </row>
    <row r="2742">
      <c r="A2742" s="2" t="s">
        <v>28</v>
      </c>
      <c r="B2742" s="2" t="s">
        <v>884</v>
      </c>
      <c r="C2742" s="2" t="s">
        <v>1583</v>
      </c>
      <c r="D2742" s="2" t="s">
        <v>11221</v>
      </c>
      <c r="E2742" s="2" t="s">
        <v>11222</v>
      </c>
      <c r="F2742" s="2">
        <v>71.0</v>
      </c>
      <c r="G2742" s="2">
        <v>143.0</v>
      </c>
      <c r="H2742" s="2" t="b">
        <v>1</v>
      </c>
      <c r="I2742" s="2">
        <v>-1.0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s">
        <v>33</v>
      </c>
      <c r="O2742" s="2">
        <v>39.0</v>
      </c>
      <c r="P2742" s="2">
        <v>14.0</v>
      </c>
      <c r="Q2742" s="2">
        <v>10.0</v>
      </c>
      <c r="R2742" s="2">
        <v>0.0</v>
      </c>
      <c r="S2742" s="3" t="s">
        <v>11223</v>
      </c>
      <c r="T2742" s="2" t="s">
        <v>11224</v>
      </c>
      <c r="Y2742" s="4" t="str">
        <f>IFERROR(__xludf.DUMMYFUNCTION("""COMPUTED_VALUE"""),"7.1241623")</f>
        <v>7.1241623</v>
      </c>
      <c r="Z2742" s="4" t="str">
        <f>IFERROR(__xludf.DUMMYFUNCTION("""COMPUTED_VALUE"""),"3.323024")</f>
        <v>3.323024</v>
      </c>
      <c r="AA2742" s="4" t="str">
        <f t="shared" si="1"/>
        <v>Neighbor</v>
      </c>
      <c r="AC2742" s="4">
        <f>IFERROR(__xludf.DUMMYFUNCTION("IFERROR(ABS(O2742-AVERAGE(FILTER(O2742:O6810,AA2742:AA6810=""Neighbor""))) / STDEV(FILTER(O2742:O6810, AA2742:AA6810 =""Neighbor"")), """")"),0.26116462839914584)</f>
        <v>0.2611646284</v>
      </c>
      <c r="AD2742" s="4">
        <f>IFERROR(__xludf.DUMMYFUNCTION("IFERROR(ABS(P2742-AVERAGE(FILTER(O2742:P6810,AA2742:AA6810=""Neighbor""))) / STDEV(FILTER(P2742:P6810, AA2742:AA6810 =""Neighbor"")), """")"),0.78398171421588)</f>
        <v>0.7839817142</v>
      </c>
      <c r="AE2742" s="2">
        <f>IFERROR(__xludf.DUMMYFUNCTION("IFERROR(ABS(Q2742-AVERAGE(FILTER(Q2742:Q6810,AA2742:AA6810=""Neighbor""))) / STDEV(FILTER(Q2742:Q6810, AA2742:AA6810 =""Neighbor"")), """")"),0.28277522331108307)</f>
        <v>0.2827752233</v>
      </c>
      <c r="AF2742" s="2">
        <f>IFERROR(__xludf.DUMMYFUNCTION("IFERROR(ABS(R2742-AVERAGE(FILTER(R2742:R6810,AA2742:AA6810=""Neighbor""))) / STDEV(FILTER(R2742:R6810, AA2742:AA6810 =""Neighbor"")), """")"),0.3411472541271907)</f>
        <v>0.3411472541</v>
      </c>
    </row>
    <row r="2743">
      <c r="A2743" s="2" t="s">
        <v>28</v>
      </c>
      <c r="B2743" s="2" t="s">
        <v>884</v>
      </c>
      <c r="C2743" s="2" t="s">
        <v>1583</v>
      </c>
      <c r="D2743" s="2" t="s">
        <v>11225</v>
      </c>
      <c r="E2743" s="2" t="s">
        <v>11226</v>
      </c>
      <c r="F2743" s="2">
        <v>39.0</v>
      </c>
      <c r="G2743" s="2">
        <v>85.0</v>
      </c>
      <c r="H2743" s="2" t="b">
        <v>1</v>
      </c>
      <c r="I2743" s="2">
        <v>-1.0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s">
        <v>33</v>
      </c>
      <c r="O2743" s="2">
        <v>22.0</v>
      </c>
      <c r="P2743" s="2">
        <v>8.0</v>
      </c>
      <c r="Q2743" s="2">
        <v>8.0</v>
      </c>
      <c r="R2743" s="2">
        <v>0.0</v>
      </c>
      <c r="S2743" s="3" t="s">
        <v>11227</v>
      </c>
      <c r="T2743" s="2" t="s">
        <v>11228</v>
      </c>
      <c r="Y2743" s="4" t="str">
        <f>IFERROR(__xludf.DUMMYFUNCTION("""COMPUTED_VALUE"""),"7.1241623")</f>
        <v>7.1241623</v>
      </c>
      <c r="Z2743" s="4" t="str">
        <f>IFERROR(__xludf.DUMMYFUNCTION("""COMPUTED_VALUE"""),"3.323024")</f>
        <v>3.323024</v>
      </c>
      <c r="AA2743" s="4" t="str">
        <f t="shared" si="1"/>
        <v>Neighbor</v>
      </c>
      <c r="AC2743" s="4">
        <f>IFERROR(__xludf.DUMMYFUNCTION("IFERROR(ABS(O2743-AVERAGE(FILTER(O2743:O6811,AA2743:AA6811=""Neighbor""))) / STDEV(FILTER(O2743:O6811, AA2743:AA6811 =""Neighbor"")), """")"),0.7511179125650123)</f>
        <v>0.7511179126</v>
      </c>
      <c r="AD2743" s="4">
        <f>IFERROR(__xludf.DUMMYFUNCTION("IFERROR(ABS(P2743-AVERAGE(FILTER(O2743:P6811,AA2743:AA6811=""Neighbor""))) / STDEV(FILTER(P2743:P6811, AA2743:AA6811 =""Neighbor"")), """")"),1.0273651912468682)</f>
        <v>1.027365191</v>
      </c>
      <c r="AE2743" s="2">
        <f>IFERROR(__xludf.DUMMYFUNCTION("IFERROR(ABS(Q2743-AVERAGE(FILTER(Q2743:Q6811,AA2743:AA6811=""Neighbor""))) / STDEV(FILTER(Q2743:Q6811, AA2743:AA6811 =""Neighbor"")), """")"),0.4001874154203362)</f>
        <v>0.4001874154</v>
      </c>
      <c r="AF2743" s="2">
        <f>IFERROR(__xludf.DUMMYFUNCTION("IFERROR(ABS(R2743-AVERAGE(FILTER(R2743:R6811,AA2743:AA6811=""Neighbor""))) / STDEV(FILTER(R2743:R6811, AA2743:AA6811 =""Neighbor"")), """")"),0.3415304368616326)</f>
        <v>0.3415304369</v>
      </c>
    </row>
    <row r="2744">
      <c r="A2744" s="2" t="s">
        <v>28</v>
      </c>
      <c r="B2744" s="2" t="s">
        <v>884</v>
      </c>
      <c r="C2744" s="2" t="s">
        <v>1583</v>
      </c>
      <c r="D2744" s="2" t="s">
        <v>11229</v>
      </c>
      <c r="E2744" s="2" t="s">
        <v>11230</v>
      </c>
      <c r="F2744" s="2">
        <v>71.0</v>
      </c>
      <c r="G2744" s="2">
        <v>171.0</v>
      </c>
      <c r="H2744" s="2" t="b">
        <v>1</v>
      </c>
      <c r="I2744" s="2">
        <v>-1.0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s">
        <v>33</v>
      </c>
      <c r="O2744" s="2">
        <v>29.0</v>
      </c>
      <c r="P2744" s="2">
        <v>24.0</v>
      </c>
      <c r="Q2744" s="2">
        <v>11.0</v>
      </c>
      <c r="R2744" s="2">
        <v>0.0</v>
      </c>
      <c r="S2744" s="3" t="s">
        <v>11231</v>
      </c>
      <c r="T2744" s="2" t="s">
        <v>11232</v>
      </c>
      <c r="Y2744" s="4" t="str">
        <f>IFERROR(__xludf.DUMMYFUNCTION("""COMPUTED_VALUE"""),"7.1241623")</f>
        <v>7.1241623</v>
      </c>
      <c r="Z2744" s="4" t="str">
        <f>IFERROR(__xludf.DUMMYFUNCTION("""COMPUTED_VALUE"""),"3.323024")</f>
        <v>3.323024</v>
      </c>
      <c r="AA2744" s="4" t="str">
        <f t="shared" si="1"/>
        <v>Not Neighbor</v>
      </c>
      <c r="AC2744" s="4">
        <f>IFERROR(__xludf.DUMMYFUNCTION("IFERROR(ABS(O2744-AVERAGE(FILTER(O2744:O6812,AA2744:AA6812=""Neighbor""))) / STDEV(FILTER(O2744:O6812, AA2744:AA6812 =""Neighbor"")), """")"),0.5507631405482524)</f>
        <v>0.5507631405</v>
      </c>
      <c r="AD2744" s="4">
        <f>IFERROR(__xludf.DUMMYFUNCTION("IFERROR(ABS(P2744-AVERAGE(FILTER(O2744:P6812,AA2744:AA6812=""Neighbor""))) / STDEV(FILTER(P2744:P6812, AA2744:AA6812 =""Neighbor"")), """")"),0.3789760526721496)</f>
        <v>0.3789760527</v>
      </c>
      <c r="AE2744" s="2">
        <f>IFERROR(__xludf.DUMMYFUNCTION("IFERROR(ABS(Q2744-AVERAGE(FILTER(Q2744:Q6812,AA2744:AA6812=""Neighbor""))) / STDEV(FILTER(Q2744:Q6812, AA2744:AA6812 =""Neighbor"")), """")"),0.2251471583009418)</f>
        <v>0.2251471583</v>
      </c>
      <c r="AF2744" s="2">
        <f>IFERROR(__xludf.DUMMYFUNCTION("IFERROR(ABS(R2744-AVERAGE(FILTER(R2744:R6812,AA2744:AA6812=""Neighbor""))) / STDEV(FILTER(R2744:R6812, AA2744:AA6812 =""Neighbor"")), """")"),0.34191491401990376)</f>
        <v>0.341914914</v>
      </c>
    </row>
    <row r="2745">
      <c r="A2745" s="2" t="s">
        <v>28</v>
      </c>
      <c r="B2745" s="2" t="s">
        <v>884</v>
      </c>
      <c r="C2745" s="2" t="s">
        <v>1646</v>
      </c>
      <c r="D2745" s="2" t="s">
        <v>11233</v>
      </c>
      <c r="E2745" s="2" t="s">
        <v>11234</v>
      </c>
      <c r="F2745" s="2">
        <v>73.0</v>
      </c>
      <c r="G2745" s="2">
        <v>171.0</v>
      </c>
      <c r="H2745" s="2" t="b">
        <v>1</v>
      </c>
      <c r="I2745" s="2">
        <v>-1.0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s">
        <v>33</v>
      </c>
      <c r="O2745" s="2">
        <v>37.0</v>
      </c>
      <c r="P2745" s="2">
        <v>9.0</v>
      </c>
      <c r="Q2745" s="2">
        <v>1.0</v>
      </c>
      <c r="R2745" s="2">
        <v>0.0</v>
      </c>
      <c r="S2745" s="3" t="s">
        <v>11235</v>
      </c>
      <c r="T2745" s="2" t="s">
        <v>11236</v>
      </c>
      <c r="Y2745" s="4" t="str">
        <f>IFERROR(__xludf.DUMMYFUNCTION("""COMPUTED_VALUE"""),"7.1415158")</f>
        <v>7.1415158</v>
      </c>
      <c r="Z2745" s="4" t="str">
        <f>IFERROR(__xludf.DUMMYFUNCTION("""COMPUTED_VALUE"""),"3.3384225")</f>
        <v>3.3384225</v>
      </c>
      <c r="AA2745" s="4" t="str">
        <f t="shared" si="1"/>
        <v>Neighbor</v>
      </c>
      <c r="AC2745" s="4">
        <f>IFERROR(__xludf.DUMMYFUNCTION("IFERROR(ABS(O2745-AVERAGE(FILTER(O2745:O6813,AA2745:AA6813=""Neighbor""))) / STDEV(FILTER(O2745:O6813, AA2745:AA6813 =""Neighbor"")), """")"),0.3204302609864107)</f>
        <v>0.320430261</v>
      </c>
      <c r="AD2745" s="4">
        <f>IFERROR(__xludf.DUMMYFUNCTION("IFERROR(ABS(P2745-AVERAGE(FILTER(O2745:P6813,AA2745:AA6813=""Neighbor""))) / STDEV(FILTER(P2745:P6813, AA2745:AA6813 =""Neighbor"")), """")"),0.9874520373387538)</f>
        <v>0.9874520373</v>
      </c>
      <c r="AE2745" s="2">
        <f>IFERROR(__xludf.DUMMYFUNCTION("IFERROR(ABS(Q2745-AVERAGE(FILTER(Q2745:Q6813,AA2745:AA6813=""Neighbor""))) / STDEV(FILTER(Q2745:Q6813, AA2745:AA6813 =""Neighbor"")), """")"),0.8101752074293733)</f>
        <v>0.8101752074</v>
      </c>
      <c r="AF2745" s="2">
        <f>IFERROR(__xludf.DUMMYFUNCTION("IFERROR(ABS(R2745-AVERAGE(FILTER(R2745:R6813,AA2745:AA6813=""Neighbor""))) / STDEV(FILTER(R2745:R6813, AA2745:AA6813 =""Neighbor"")), """")"),0.34191491401990376)</f>
        <v>0.341914914</v>
      </c>
    </row>
    <row r="2746">
      <c r="A2746" s="2" t="s">
        <v>28</v>
      </c>
      <c r="B2746" s="2" t="s">
        <v>884</v>
      </c>
      <c r="C2746" s="2" t="s">
        <v>1646</v>
      </c>
      <c r="D2746" s="2" t="s">
        <v>11237</v>
      </c>
      <c r="E2746" s="2" t="s">
        <v>11238</v>
      </c>
      <c r="F2746" s="2">
        <v>93.0</v>
      </c>
      <c r="G2746" s="2">
        <v>434.0</v>
      </c>
      <c r="H2746" s="2" t="b">
        <v>1</v>
      </c>
      <c r="I2746" s="2">
        <v>-1.0</v>
      </c>
      <c r="J2746" s="2" t="b">
        <v>0</v>
      </c>
      <c r="K2746" s="2" t="b">
        <v>0</v>
      </c>
      <c r="L2746" s="2" t="b">
        <v>0</v>
      </c>
      <c r="M2746" s="2" t="b">
        <v>0</v>
      </c>
      <c r="N2746" s="2" t="s">
        <v>33</v>
      </c>
      <c r="O2746" s="2">
        <v>45.0</v>
      </c>
      <c r="P2746" s="2">
        <v>22.0</v>
      </c>
      <c r="Q2746" s="2">
        <v>18.0</v>
      </c>
      <c r="R2746" s="2">
        <v>0.0</v>
      </c>
      <c r="S2746" s="3" t="s">
        <v>11239</v>
      </c>
      <c r="T2746" s="2" t="s">
        <v>11240</v>
      </c>
      <c r="Y2746" s="4" t="str">
        <f>IFERROR(__xludf.DUMMYFUNCTION("""COMPUTED_VALUE"""),"7.1414488")</f>
        <v>7.1414488</v>
      </c>
      <c r="Z2746" s="4" t="str">
        <f>IFERROR(__xludf.DUMMYFUNCTION("""COMPUTED_VALUE"""),"3.3351139")</f>
        <v>3.3351139</v>
      </c>
      <c r="AA2746" s="4" t="str">
        <f t="shared" si="1"/>
        <v>Neighbor</v>
      </c>
      <c r="AC2746" s="4">
        <f>IFERROR(__xludf.DUMMYFUNCTION("IFERROR(ABS(O2746-AVERAGE(FILTER(O2746:O6814,AA2746:AA6814=""Neighbor""))) / STDEV(FILTER(O2746:O6814, AA2746:AA6814 =""Neighbor"")), """")"),0.090663572505265)</f>
        <v>0.09066357251</v>
      </c>
      <c r="AD2746" s="4">
        <f>IFERROR(__xludf.DUMMYFUNCTION("IFERROR(ABS(P2746-AVERAGE(FILTER(O2746:P6814,AA2746:AA6814=""Neighbor""))) / STDEV(FILTER(P2746:P6814, AA2746:AA6814 =""Neighbor"")), """")"),0.46055885387875867)</f>
        <v>0.4605588539</v>
      </c>
      <c r="AE2746" s="2">
        <f>IFERROR(__xludf.DUMMYFUNCTION("IFERROR(ABS(Q2746-AVERAGE(FILTER(Q2746:Q6814,AA2746:AA6814=""Neighbor""))) / STDEV(FILTER(Q2746:Q6814, AA2746:AA6814 =""Neighbor"")), """")"),0.18266904320863914)</f>
        <v>0.1826690432</v>
      </c>
      <c r="AF2746" s="2">
        <f>IFERROR(__xludf.DUMMYFUNCTION("IFERROR(ABS(R2746-AVERAGE(FILTER(R2746:R6814,AA2746:AA6814=""Neighbor""))) / STDEV(FILTER(R2746:R6814, AA2746:AA6814 =""Neighbor"")), """")"),0.34230069290785187)</f>
        <v>0.3423006929</v>
      </c>
    </row>
    <row r="2747">
      <c r="A2747" s="2" t="s">
        <v>28</v>
      </c>
      <c r="B2747" s="2" t="s">
        <v>884</v>
      </c>
      <c r="C2747" s="2" t="s">
        <v>1646</v>
      </c>
      <c r="D2747" s="2" t="s">
        <v>11241</v>
      </c>
      <c r="E2747" s="2" t="s">
        <v>11242</v>
      </c>
      <c r="F2747" s="2">
        <v>31.0</v>
      </c>
      <c r="G2747" s="2">
        <v>101.0</v>
      </c>
      <c r="H2747" s="2" t="b">
        <v>1</v>
      </c>
      <c r="I2747" s="2">
        <v>-1.0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s">
        <v>33</v>
      </c>
      <c r="O2747" s="2">
        <v>14.0</v>
      </c>
      <c r="P2747" s="2">
        <v>6.0</v>
      </c>
      <c r="Q2747" s="2">
        <v>6.0</v>
      </c>
      <c r="R2747" s="2">
        <v>0.0</v>
      </c>
      <c r="S2747" s="3" t="s">
        <v>11243</v>
      </c>
      <c r="T2747" s="2" t="s">
        <v>11244</v>
      </c>
      <c r="Y2747" s="4" t="str">
        <f>IFERROR(__xludf.DUMMYFUNCTION("""COMPUTED_VALUE"""),"7.1414488")</f>
        <v>7.1414488</v>
      </c>
      <c r="Z2747" s="4" t="str">
        <f>IFERROR(__xludf.DUMMYFUNCTION("""COMPUTED_VALUE"""),"3.3351139")</f>
        <v>3.3351139</v>
      </c>
      <c r="AA2747" s="4" t="str">
        <f t="shared" si="1"/>
        <v>Neighbor</v>
      </c>
      <c r="AC2747" s="4">
        <f>IFERROR(__xludf.DUMMYFUNCTION("IFERROR(ABS(O2747-AVERAGE(FILTER(O2747:O6815,AA2747:AA6815=""Neighbor""))) / STDEV(FILTER(O2747:O6815, AA2747:AA6815 =""Neighbor"")), """")"),0.9815875737848468)</f>
        <v>0.9815875738</v>
      </c>
      <c r="AD2747" s="4">
        <f>IFERROR(__xludf.DUMMYFUNCTION("IFERROR(ABS(P2747-AVERAGE(FILTER(O2747:P6815,AA2747:AA6815=""Neighbor""))) / STDEV(FILTER(P2747:P6815, AA2747:AA6815 =""Neighbor"")), """")"),1.10792658946782)</f>
        <v>1.107926589</v>
      </c>
      <c r="AE2747" s="2">
        <f>IFERROR(__xludf.DUMMYFUNCTION("IFERROR(ABS(Q2747-AVERAGE(FILTER(Q2747:Q6815,AA2747:AA6815=""Neighbor""))) / STDEV(FILTER(Q2747:Q6815, AA2747:AA6815 =""Neighbor"")), """")"),0.5182416988022577)</f>
        <v>0.5182416988</v>
      </c>
      <c r="AF2747" s="2">
        <f>IFERROR(__xludf.DUMMYFUNCTION("IFERROR(ABS(R2747-AVERAGE(FILTER(R2747:R6815,AA2747:AA6815=""Neighbor""))) / STDEV(FILTER(R2747:R6815, AA2747:AA6815 =""Neighbor"")), """")"),0.34268778088919694)</f>
        <v>0.3426877809</v>
      </c>
    </row>
    <row r="2748">
      <c r="A2748" s="2" t="s">
        <v>28</v>
      </c>
      <c r="B2748" s="2" t="s">
        <v>884</v>
      </c>
      <c r="C2748" s="2" t="s">
        <v>1646</v>
      </c>
      <c r="D2748" s="2" t="s">
        <v>11245</v>
      </c>
      <c r="E2748" s="2" t="s">
        <v>11246</v>
      </c>
      <c r="F2748" s="2">
        <v>63.0</v>
      </c>
      <c r="G2748" s="2">
        <v>151.0</v>
      </c>
      <c r="H2748" s="2" t="b">
        <v>1</v>
      </c>
      <c r="I2748" s="2">
        <v>-1.0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s">
        <v>33</v>
      </c>
      <c r="O2748" s="2">
        <v>42.0</v>
      </c>
      <c r="P2748" s="2">
        <v>9.0</v>
      </c>
      <c r="Q2748" s="2">
        <v>3.0</v>
      </c>
      <c r="R2748" s="2">
        <v>0.0</v>
      </c>
      <c r="S2748" s="3" t="s">
        <v>11247</v>
      </c>
      <c r="T2748" s="2" t="s">
        <v>11248</v>
      </c>
      <c r="Y2748" s="4" t="str">
        <f>IFERROR(__xludf.DUMMYFUNCTION("""COMPUTED_VALUE"""),"7.1388435")</f>
        <v>7.1388435</v>
      </c>
      <c r="Z2748" s="4" t="str">
        <f>IFERROR(__xludf.DUMMYFUNCTION("""COMPUTED_VALUE"""),"3.3348565")</f>
        <v>3.3348565</v>
      </c>
      <c r="AA2748" s="4" t="str">
        <f t="shared" si="1"/>
        <v>Neighbor</v>
      </c>
      <c r="AC2748" s="4">
        <f>IFERROR(__xludf.DUMMYFUNCTION("IFERROR(ABS(O2748-AVERAGE(FILTER(O2748:O6816,AA2748:AA6816=""Neighbor""))) / STDEV(FILTER(O2748:O6816, AA2748:AA6816 =""Neighbor"")), """")"),0.17895435541908586)</f>
        <v>0.1789543554</v>
      </c>
      <c r="AD2748" s="4">
        <f>IFERROR(__xludf.DUMMYFUNCTION("IFERROR(ABS(P2748-AVERAGE(FILTER(O2748:P6816,AA2748:AA6816=""Neighbor""))) / STDEV(FILTER(P2748:P6816, AA2748:AA6816 =""Neighbor"")), """")"),0.9876353070859923)</f>
        <v>0.9876353071</v>
      </c>
      <c r="AE2748" s="2">
        <f>IFERROR(__xludf.DUMMYFUNCTION("IFERROR(ABS(Q2748-AVERAGE(FILTER(Q2748:Q6816,AA2748:AA6816=""Neighbor""))) / STDEV(FILTER(Q2748:Q6816, AA2748:AA6816 =""Neighbor"")), """")"),0.6940540933522757)</f>
        <v>0.6940540934</v>
      </c>
      <c r="AF2748" s="2">
        <f>IFERROR(__xludf.DUMMYFUNCTION("IFERROR(ABS(R2748-AVERAGE(FILTER(R2748:R6816,AA2748:AA6816=""Neighbor""))) / STDEV(FILTER(R2748:R6816, AA2748:AA6816 =""Neighbor"")), """")"),0.34307618538611934)</f>
        <v>0.3430761854</v>
      </c>
    </row>
    <row r="2749">
      <c r="A2749" s="2" t="s">
        <v>28</v>
      </c>
      <c r="B2749" s="2" t="s">
        <v>884</v>
      </c>
      <c r="C2749" s="2" t="s">
        <v>1646</v>
      </c>
      <c r="D2749" s="2" t="s">
        <v>11249</v>
      </c>
      <c r="E2749" s="2" t="s">
        <v>11250</v>
      </c>
      <c r="F2749" s="2">
        <v>97.0</v>
      </c>
      <c r="G2749" s="2">
        <v>533.0</v>
      </c>
      <c r="H2749" s="2" t="b">
        <v>1</v>
      </c>
      <c r="I2749" s="2">
        <v>-1.0</v>
      </c>
      <c r="J2749" s="2" t="b">
        <v>0</v>
      </c>
      <c r="K2749" s="2" t="b">
        <v>0</v>
      </c>
      <c r="L2749" s="2" t="b">
        <v>0</v>
      </c>
      <c r="M2749" s="2" t="b">
        <v>0</v>
      </c>
      <c r="N2749" s="2" t="s">
        <v>33</v>
      </c>
      <c r="O2749" s="2">
        <v>36.0</v>
      </c>
      <c r="P2749" s="2">
        <v>36.0</v>
      </c>
      <c r="Q2749" s="2">
        <v>8.0</v>
      </c>
      <c r="R2749" s="2">
        <v>1.0</v>
      </c>
      <c r="S2749" s="3" t="s">
        <v>11251</v>
      </c>
      <c r="T2749" s="2" t="s">
        <v>11252</v>
      </c>
      <c r="Y2749" s="4" t="str">
        <f>IFERROR(__xludf.DUMMYFUNCTION("""COMPUTED_VALUE"""),"7.1388435")</f>
        <v>7.1388435</v>
      </c>
      <c r="Z2749" s="4" t="str">
        <f>IFERROR(__xludf.DUMMYFUNCTION("""COMPUTED_VALUE"""),"3.3348565")</f>
        <v>3.3348565</v>
      </c>
      <c r="AA2749" s="4" t="str">
        <f t="shared" si="1"/>
        <v>Neighbor</v>
      </c>
      <c r="AC2749" s="4">
        <f>IFERROR(__xludf.DUMMYFUNCTION("IFERROR(ABS(O2749-AVERAGE(FILTER(O2749:O6817,AA2749:AA6817=""Neighbor""))) / STDEV(FILTER(O2749:O6817, AA2749:AA6817 =""Neighbor"")), """")"),0.35138488875144847)</f>
        <v>0.3513848888</v>
      </c>
      <c r="AD2749" s="4">
        <f>IFERROR(__xludf.DUMMYFUNCTION("IFERROR(ABS(P2749-AVERAGE(FILTER(O2749:P6817,AA2749:AA6817=""Neighbor""))) / STDEV(FILTER(P2749:P6817, AA2749:AA6817 =""Neighbor"")), """")"),0.10402471286645341)</f>
        <v>0.1040247129</v>
      </c>
      <c r="AE2749" s="2">
        <f>IFERROR(__xludf.DUMMYFUNCTION("IFERROR(ABS(Q2749-AVERAGE(FILTER(Q2749:Q6817,AA2749:AA6817=""Neighbor""))) / STDEV(FILTER(Q2749:Q6817, AA2749:AA6817 =""Neighbor"")), """")"),0.4033462459405785)</f>
        <v>0.4033462459</v>
      </c>
      <c r="AF2749" s="2">
        <f>IFERROR(__xludf.DUMMYFUNCTION("IFERROR(ABS(R2749-AVERAGE(FILTER(R2749:R6817,AA2749:AA6817=""Neighbor""))) / STDEV(FILTER(R2749:R6817, AA2749:AA6817 =""Neighbor"")), """")"),0.796005462572917)</f>
        <v>0.7960054626</v>
      </c>
    </row>
    <row r="2750">
      <c r="A2750" s="2" t="s">
        <v>28</v>
      </c>
      <c r="B2750" s="2" t="s">
        <v>884</v>
      </c>
      <c r="C2750" s="2" t="s">
        <v>1646</v>
      </c>
      <c r="D2750" s="2" t="s">
        <v>11253</v>
      </c>
      <c r="E2750" s="2" t="s">
        <v>11254</v>
      </c>
      <c r="F2750" s="2">
        <v>65.0</v>
      </c>
      <c r="G2750" s="2">
        <v>140.0</v>
      </c>
      <c r="H2750" s="2" t="b">
        <v>1</v>
      </c>
      <c r="I2750" s="2">
        <v>-1.0</v>
      </c>
      <c r="J2750" s="2" t="b">
        <v>0</v>
      </c>
      <c r="K2750" s="2" t="b">
        <v>0</v>
      </c>
      <c r="L2750" s="2" t="b">
        <v>0</v>
      </c>
      <c r="M2750" s="2" t="b">
        <v>0</v>
      </c>
      <c r="N2750" s="2" t="s">
        <v>33</v>
      </c>
      <c r="O2750" s="2">
        <v>43.0</v>
      </c>
      <c r="P2750" s="2">
        <v>14.0</v>
      </c>
      <c r="Q2750" s="2">
        <v>4.0</v>
      </c>
      <c r="R2750" s="2">
        <v>1.0</v>
      </c>
      <c r="S2750" s="3" t="s">
        <v>11255</v>
      </c>
      <c r="T2750" s="2" t="s">
        <v>11256</v>
      </c>
      <c r="Y2750" s="4" t="str">
        <f>IFERROR(__xludf.DUMMYFUNCTION("""COMPUTED_VALUE"""),"7.1433634")</f>
        <v>7.1433634</v>
      </c>
      <c r="Z2750" s="4" t="str">
        <f>IFERROR(__xludf.DUMMYFUNCTION("""COMPUTED_VALUE"""),"3.3378995")</f>
        <v>3.3378995</v>
      </c>
      <c r="AA2750" s="4" t="str">
        <f t="shared" si="1"/>
        <v>Not Neighbor</v>
      </c>
      <c r="AC2750" s="4">
        <f>IFERROR(__xludf.DUMMYFUNCTION("IFERROR(ABS(O2750-AVERAGE(FILTER(O2750:O6818,AA2750:AA6818=""Neighbor""))) / STDEV(FILTER(O2750:O6818, AA2750:AA6818 =""Neighbor"")), """")"),0.1510166917860652)</f>
        <v>0.1510166918</v>
      </c>
      <c r="AD2750" s="4">
        <f>IFERROR(__xludf.DUMMYFUNCTION("IFERROR(ABS(P2750-AVERAGE(FILTER(O2750:P6818,AA2750:AA6818=""Neighbor""))) / STDEV(FILTER(P2750:P6818, AA2750:AA6818 =""Neighbor"")), """")"),0.7846930637033634)</f>
        <v>0.7846930637</v>
      </c>
      <c r="AE2750" s="2">
        <f>IFERROR(__xludf.DUMMYFUNCTION("IFERROR(ABS(Q2750-AVERAGE(FILTER(Q2750:Q6818,AA2750:AA6818=""Neighbor""))) / STDEV(FILTER(Q2750:Q6818, AA2750:AA6818 =""Neighbor"")), """")"),0.6370281226160196)</f>
        <v>0.6370281226</v>
      </c>
      <c r="AF2750" s="2">
        <f>IFERROR(__xludf.DUMMYFUNCTION("IFERROR(ABS(R2750-AVERAGE(FILTER(R2750:R6818,AA2750:AA6818=""Neighbor""))) / STDEV(FILTER(R2750:R6818, AA2750:AA6818 =""Neighbor"")), """")"),0.7973323791187659)</f>
        <v>0.7973323791</v>
      </c>
    </row>
    <row r="2751">
      <c r="A2751" s="2" t="s">
        <v>28</v>
      </c>
      <c r="B2751" s="2" t="s">
        <v>884</v>
      </c>
      <c r="C2751" s="2" t="s">
        <v>1646</v>
      </c>
      <c r="D2751" s="2" t="s">
        <v>11257</v>
      </c>
      <c r="E2751" s="2" t="s">
        <v>11258</v>
      </c>
      <c r="F2751" s="2">
        <v>29.0</v>
      </c>
      <c r="G2751" s="2">
        <v>90.0</v>
      </c>
      <c r="H2751" s="2" t="b">
        <v>1</v>
      </c>
      <c r="I2751" s="2">
        <v>-1.0</v>
      </c>
      <c r="J2751" s="2" t="b">
        <v>0</v>
      </c>
      <c r="K2751" s="2" t="b">
        <v>0</v>
      </c>
      <c r="L2751" s="2" t="b">
        <v>0</v>
      </c>
      <c r="M2751" s="2" t="b">
        <v>0</v>
      </c>
      <c r="N2751" s="2" t="s">
        <v>33</v>
      </c>
      <c r="O2751" s="2">
        <v>16.0</v>
      </c>
      <c r="P2751" s="2">
        <v>6.0</v>
      </c>
      <c r="Q2751" s="2">
        <v>2.0</v>
      </c>
      <c r="R2751" s="2">
        <v>0.0</v>
      </c>
      <c r="S2751" s="3" t="s">
        <v>11259</v>
      </c>
      <c r="T2751" s="2" t="s">
        <v>11260</v>
      </c>
      <c r="Y2751" s="4" t="str">
        <f>IFERROR(__xludf.DUMMYFUNCTION("""COMPUTED_VALUE"""),"7.1687883")</f>
        <v>7.1687883</v>
      </c>
      <c r="Z2751" s="4" t="str">
        <f>IFERROR(__xludf.DUMMYFUNCTION("""COMPUTED_VALUE"""),"3.3668656")</f>
        <v>3.3668656</v>
      </c>
      <c r="AA2751" s="4" t="str">
        <f t="shared" si="1"/>
        <v>Not Neighbor</v>
      </c>
      <c r="AC2751" s="4">
        <f>IFERROR(__xludf.DUMMYFUNCTION("IFERROR(ABS(O2751-AVERAGE(FILTER(O2751:O6819,AA2751:AA6819=""Neighbor""))) / STDEV(FILTER(O2751:O6819, AA2751:AA6819 =""Neighbor"")), """")"),0.9254162392006557)</f>
        <v>0.9254162392</v>
      </c>
      <c r="AD2751" s="4">
        <f>IFERROR(__xludf.DUMMYFUNCTION("IFERROR(ABS(P2751-AVERAGE(FILTER(O2751:P6819,AA2751:AA6819=""Neighbor""))) / STDEV(FILTER(P2751:P6819, AA2751:AA6819 =""Neighbor"")), """")"),1.1079208060158927)</f>
        <v>1.107920806</v>
      </c>
      <c r="AE2751" s="2">
        <f>IFERROR(__xludf.DUMMYFUNCTION("IFERROR(ABS(Q2751-AVERAGE(FILTER(Q2751:Q6819,AA2751:AA6819=""Neighbor""))) / STDEV(FILTER(Q2751:Q6819, AA2751:AA6819 =""Neighbor"")), """")"),0.7536302070694562)</f>
        <v>0.7536302071</v>
      </c>
      <c r="AF2751" s="2">
        <f>IFERROR(__xludf.DUMMYFUNCTION("IFERROR(ABS(R2751-AVERAGE(FILTER(R2751:R6819,AA2751:AA6819=""Neighbor""))) / STDEV(FILTER(R2751:R6819, AA2751:AA6819 =""Neighbor"")), """")"),0.3417138767651854)</f>
        <v>0.3417138768</v>
      </c>
    </row>
    <row r="2752">
      <c r="A2752" s="2" t="s">
        <v>28</v>
      </c>
      <c r="B2752" s="2" t="s">
        <v>884</v>
      </c>
      <c r="C2752" s="2" t="s">
        <v>1646</v>
      </c>
      <c r="D2752" s="2" t="s">
        <v>11261</v>
      </c>
      <c r="E2752" s="2" t="s">
        <v>11262</v>
      </c>
      <c r="F2752" s="2">
        <v>43.0</v>
      </c>
      <c r="G2752" s="2">
        <v>75.0</v>
      </c>
      <c r="H2752" s="2" t="b">
        <v>1</v>
      </c>
      <c r="I2752" s="2">
        <v>-1.0</v>
      </c>
      <c r="J2752" s="2" t="b">
        <v>0</v>
      </c>
      <c r="K2752" s="2" t="b">
        <v>1</v>
      </c>
      <c r="L2752" s="2" t="b">
        <v>0</v>
      </c>
      <c r="M2752" s="2" t="b">
        <v>0</v>
      </c>
      <c r="N2752" s="2" t="s">
        <v>33</v>
      </c>
      <c r="O2752" s="2">
        <v>21.0</v>
      </c>
      <c r="P2752" s="2">
        <v>6.0</v>
      </c>
      <c r="Q2752" s="2">
        <v>12.0</v>
      </c>
      <c r="R2752" s="2">
        <v>0.0</v>
      </c>
      <c r="S2752" s="3" t="s">
        <v>11263</v>
      </c>
      <c r="T2752" s="2" t="s">
        <v>11264</v>
      </c>
      <c r="Y2752" s="4" t="str">
        <f>IFERROR(__xludf.DUMMYFUNCTION("""COMPUTED_VALUE"""),"7.1379161")</f>
        <v>7.1379161</v>
      </c>
      <c r="Z2752" s="4" t="str">
        <f>IFERROR(__xludf.DUMMYFUNCTION("""COMPUTED_VALUE"""),"3.3389562")</f>
        <v>3.3389562</v>
      </c>
      <c r="AA2752" s="4" t="str">
        <f t="shared" si="1"/>
        <v>Neighbor</v>
      </c>
      <c r="AC2752" s="4">
        <f>IFERROR(__xludf.DUMMYFUNCTION("IFERROR(ABS(O2752-AVERAGE(FILTER(O2752:O6820,AA2752:AA6820=""Neighbor""))) / STDEV(FILTER(O2752:O6820, AA2752:AA6820 =""Neighbor"")), """")"),0.7820089156053612)</f>
        <v>0.7820089156</v>
      </c>
      <c r="AD2752" s="4">
        <f>IFERROR(__xludf.DUMMYFUNCTION("IFERROR(ABS(P2752-AVERAGE(FILTER(O2752:P6820,AA2752:AA6820=""Neighbor""))) / STDEV(FILTER(P2752:P6820, AA2752:AA6820 =""Neighbor"")), """")"),1.1079208060158927)</f>
        <v>1.107920806</v>
      </c>
      <c r="AE2752" s="2">
        <f>IFERROR(__xludf.DUMMYFUNCTION("IFERROR(ABS(Q2752-AVERAGE(FILTER(Q2752:Q6820,AA2752:AA6820=""Neighbor""))) / STDEV(FILTER(Q2752:Q6820, AA2752:AA6820 =""Neighbor"")), """")"),0.17061978480227347)</f>
        <v>0.1706197848</v>
      </c>
      <c r="AF2752" s="2">
        <f>IFERROR(__xludf.DUMMYFUNCTION("IFERROR(ABS(R2752-AVERAGE(FILTER(R2752:R6820,AA2752:AA6820=""Neighbor""))) / STDEV(FILTER(R2752:R6820, AA2752:AA6820 =""Neighbor"")), """")"),0.3417138767651854)</f>
        <v>0.3417138768</v>
      </c>
    </row>
    <row r="2753">
      <c r="A2753" s="2" t="s">
        <v>28</v>
      </c>
      <c r="B2753" s="2" t="s">
        <v>884</v>
      </c>
      <c r="C2753" s="2" t="s">
        <v>1646</v>
      </c>
      <c r="D2753" s="2" t="s">
        <v>11265</v>
      </c>
      <c r="E2753" s="2" t="s">
        <v>11266</v>
      </c>
      <c r="F2753" s="2">
        <v>43.0</v>
      </c>
      <c r="G2753" s="2">
        <v>78.0</v>
      </c>
      <c r="H2753" s="2" t="b">
        <v>1</v>
      </c>
      <c r="I2753" s="2">
        <v>-1.0</v>
      </c>
      <c r="J2753" s="2" t="b">
        <v>0</v>
      </c>
      <c r="K2753" s="2" t="b">
        <v>0</v>
      </c>
      <c r="L2753" s="2" t="b">
        <v>0</v>
      </c>
      <c r="M2753" s="2" t="b">
        <v>0</v>
      </c>
      <c r="N2753" s="2" t="s">
        <v>33</v>
      </c>
      <c r="O2753" s="2">
        <v>22.0</v>
      </c>
      <c r="P2753" s="2">
        <v>8.0</v>
      </c>
      <c r="Q2753" s="2">
        <v>9.0</v>
      </c>
      <c r="R2753" s="2">
        <v>0.0</v>
      </c>
      <c r="S2753" s="3" t="s">
        <v>11267</v>
      </c>
      <c r="T2753" s="2" t="s">
        <v>11268</v>
      </c>
      <c r="Y2753" s="4" t="str">
        <f>IFERROR(__xludf.DUMMYFUNCTION("""COMPUTED_VALUE"""),"7.1388435")</f>
        <v>7.1388435</v>
      </c>
      <c r="Z2753" s="4" t="str">
        <f>IFERROR(__xludf.DUMMYFUNCTION("""COMPUTED_VALUE"""),"3.3348565")</f>
        <v>3.3348565</v>
      </c>
      <c r="AA2753" s="4" t="str">
        <f t="shared" si="1"/>
        <v>Neighbor</v>
      </c>
      <c r="AC2753" s="4">
        <f>IFERROR(__xludf.DUMMYFUNCTION("IFERROR(ABS(O2753-AVERAGE(FILTER(O2753:O6821,AA2753:AA6821=""Neighbor""))) / STDEV(FILTER(O2753:O6821, AA2753:AA6821 =""Neighbor"")), """")"),0.7546273248790958)</f>
        <v>0.7546273249</v>
      </c>
      <c r="AD2753" s="4">
        <f>IFERROR(__xludf.DUMMYFUNCTION("IFERROR(ABS(P2753-AVERAGE(FILTER(O2753:P6821,AA2753:AA6821=""Neighbor""))) / STDEV(FILTER(P2753:P6821, AA2753:AA6821 =""Neighbor"")), """")"),1.0279794638613398)</f>
        <v>1.027979464</v>
      </c>
      <c r="AE2753" s="2">
        <f>IFERROR(__xludf.DUMMYFUNCTION("IFERROR(ABS(Q2753-AVERAGE(FILTER(Q2753:Q6821,AA2753:AA6821=""Neighbor""))) / STDEV(FILTER(Q2753:Q6821, AA2753:AA6821 =""Neighbor"")), """")"),0.3455283002025292)</f>
        <v>0.3455283002</v>
      </c>
      <c r="AF2753" s="2">
        <f>IFERROR(__xludf.DUMMYFUNCTION("IFERROR(ABS(R2753-AVERAGE(FILTER(R2753:R6821,AA2753:AA6821=""Neighbor""))) / STDEV(FILTER(R2753:R6821, AA2753:AA6821 =""Neighbor"")), """")"),0.34210331518229353)</f>
        <v>0.3421033152</v>
      </c>
    </row>
    <row r="2754">
      <c r="A2754" s="2" t="s">
        <v>28</v>
      </c>
      <c r="B2754" s="2" t="s">
        <v>884</v>
      </c>
      <c r="C2754" s="2" t="s">
        <v>1646</v>
      </c>
      <c r="D2754" s="2" t="s">
        <v>11269</v>
      </c>
      <c r="E2754" s="2" t="s">
        <v>11270</v>
      </c>
      <c r="F2754" s="2">
        <v>21.0</v>
      </c>
      <c r="G2754" s="2">
        <v>63.0</v>
      </c>
      <c r="H2754" s="2" t="b">
        <v>1</v>
      </c>
      <c r="I2754" s="2">
        <v>-1.0</v>
      </c>
      <c r="J2754" s="2" t="b">
        <v>0</v>
      </c>
      <c r="K2754" s="2" t="b">
        <v>0</v>
      </c>
      <c r="L2754" s="2" t="b">
        <v>0</v>
      </c>
      <c r="M2754" s="2" t="b">
        <v>0</v>
      </c>
      <c r="N2754" s="2" t="s">
        <v>33</v>
      </c>
      <c r="O2754" s="2">
        <v>11.0</v>
      </c>
      <c r="P2754" s="2">
        <v>4.0</v>
      </c>
      <c r="Q2754" s="2">
        <v>4.0</v>
      </c>
      <c r="R2754" s="2">
        <v>0.0</v>
      </c>
      <c r="S2754" s="3" t="s">
        <v>11271</v>
      </c>
      <c r="T2754" s="2" t="s">
        <v>11272</v>
      </c>
      <c r="Y2754" s="4" t="str">
        <f>IFERROR(__xludf.DUMMYFUNCTION("""COMPUTED_VALUE"""),"7.1414488")</f>
        <v>7.1414488</v>
      </c>
      <c r="Z2754" s="4" t="str">
        <f>IFERROR(__xludf.DUMMYFUNCTION("""COMPUTED_VALUE"""),"3.3351139")</f>
        <v>3.3351139</v>
      </c>
      <c r="AA2754" s="4" t="str">
        <f t="shared" si="1"/>
        <v>Neighbor</v>
      </c>
      <c r="AC2754" s="4">
        <f>IFERROR(__xludf.DUMMYFUNCTION("IFERROR(ABS(O2754-AVERAGE(FILTER(O2754:O6822,AA2754:AA6822=""Neighbor""))) / STDEV(FILTER(O2754:O6822, AA2754:AA6822 =""Neighbor"")), """")"),1.0710726515537754)</f>
        <v>1.071072652</v>
      </c>
      <c r="AD2754" s="4">
        <f>IFERROR(__xludf.DUMMYFUNCTION("IFERROR(ABS(P2754-AVERAGE(FILTER(O2754:P6822,AA2754:AA6822=""Neighbor""))) / STDEV(FILTER(P2754:P6822, AA2754:AA6822 =""Neighbor"")), """")"),1.190001138532332)</f>
        <v>1.190001139</v>
      </c>
      <c r="AE2754" s="2">
        <f>IFERROR(__xludf.DUMMYFUNCTION("IFERROR(ABS(Q2754-AVERAGE(FILTER(Q2754:Q6822,AA2754:AA6822=""Neighbor""))) / STDEV(FILTER(Q2754:Q6822, AA2754:AA6822 =""Neighbor"")), """")"),0.636876640915646)</f>
        <v>0.6368766409</v>
      </c>
      <c r="AF2754" s="2">
        <f>IFERROR(__xludf.DUMMYFUNCTION("IFERROR(ABS(R2754-AVERAGE(FILTER(R2754:R6822,AA2754:AA6822=""Neighbor""))) / STDEV(FILTER(R2754:R6822, AA2754:AA6822 =""Neighbor"")), """")"),0.3424940884653046)</f>
        <v>0.3424940885</v>
      </c>
    </row>
    <row r="2755">
      <c r="A2755" s="2" t="s">
        <v>28</v>
      </c>
      <c r="B2755" s="2" t="s">
        <v>884</v>
      </c>
      <c r="C2755" s="2" t="s">
        <v>1646</v>
      </c>
      <c r="D2755" s="2" t="s">
        <v>11273</v>
      </c>
      <c r="E2755" s="2" t="s">
        <v>11274</v>
      </c>
      <c r="F2755" s="2">
        <v>104.0</v>
      </c>
      <c r="G2755" s="2">
        <v>416.0</v>
      </c>
      <c r="H2755" s="2" t="b">
        <v>1</v>
      </c>
      <c r="I2755" s="2">
        <v>-1.0</v>
      </c>
      <c r="J2755" s="2" t="b">
        <v>0</v>
      </c>
      <c r="K2755" s="2" t="b">
        <v>0</v>
      </c>
      <c r="L2755" s="2" t="b">
        <v>0</v>
      </c>
      <c r="M2755" s="2" t="b">
        <v>0</v>
      </c>
      <c r="N2755" s="2" t="s">
        <v>33</v>
      </c>
      <c r="O2755" s="2">
        <v>51.0</v>
      </c>
      <c r="P2755" s="2">
        <v>24.0</v>
      </c>
      <c r="Q2755" s="2">
        <v>22.0</v>
      </c>
      <c r="R2755" s="2">
        <v>0.0</v>
      </c>
      <c r="S2755" s="3" t="s">
        <v>11275</v>
      </c>
      <c r="T2755" s="2" t="s">
        <v>11276</v>
      </c>
      <c r="Y2755" s="4" t="str">
        <f>IFERROR(__xludf.DUMMYFUNCTION("""COMPUTED_VALUE"""),"7.1414488")</f>
        <v>7.1414488</v>
      </c>
      <c r="Z2755" s="4" t="str">
        <f>IFERROR(__xludf.DUMMYFUNCTION("""COMPUTED_VALUE"""),"3.3351139")</f>
        <v>3.3351139</v>
      </c>
      <c r="AA2755" s="4" t="str">
        <f t="shared" si="1"/>
        <v>Not Neighbor</v>
      </c>
      <c r="AC2755" s="4">
        <f>IFERROR(__xludf.DUMMYFUNCTION("IFERROR(ABS(O2755-AVERAGE(FILTER(O2755:O6823,AA2755:AA6823=""Neighbor""))) / STDEV(FILTER(O2755:O6823, AA2755:AA6823 =""Neighbor"")), """")"),0.07303774905546596)</f>
        <v>0.07303774906</v>
      </c>
      <c r="AD2755" s="4">
        <f>IFERROR(__xludf.DUMMYFUNCTION("IFERROR(ABS(P2755-AVERAGE(FILTER(O2755:P6823,AA2755:AA6823=""Neighbor""))) / STDEV(FILTER(P2755:P6823, AA2755:AA6823 =""Neighbor"")), """")"),0.38511638948045374)</f>
        <v>0.3851163895</v>
      </c>
      <c r="AE2755" s="2">
        <f>IFERROR(__xludf.DUMMYFUNCTION("IFERROR(ABS(Q2755-AVERAGE(FILTER(Q2755:Q6823,AA2755:AA6823=""Neighbor""))) / STDEV(FILTER(Q2755:Q6823, AA2755:AA6823 =""Neighbor"")), """")"),0.40899607222752454)</f>
        <v>0.4089960722</v>
      </c>
      <c r="AF2755" s="2">
        <f>IFERROR(__xludf.DUMMYFUNCTION("IFERROR(ABS(R2755-AVERAGE(FILTER(R2755:R6823,AA2755:AA6823=""Neighbor""))) / STDEV(FILTER(R2755:R6823, AA2755:AA6823 =""Neighbor"")), """")"),0.3428862042591942)</f>
        <v>0.3428862043</v>
      </c>
    </row>
    <row r="2756">
      <c r="A2756" s="2" t="s">
        <v>28</v>
      </c>
      <c r="B2756" s="2" t="s">
        <v>884</v>
      </c>
      <c r="C2756" s="2" t="s">
        <v>1490</v>
      </c>
      <c r="D2756" s="2" t="s">
        <v>11277</v>
      </c>
      <c r="E2756" s="2" t="s">
        <v>11278</v>
      </c>
      <c r="F2756" s="2">
        <v>40.0</v>
      </c>
      <c r="G2756" s="2">
        <v>80.0</v>
      </c>
      <c r="H2756" s="2" t="b">
        <v>1</v>
      </c>
      <c r="I2756" s="2">
        <v>-1.0</v>
      </c>
      <c r="J2756" s="2" t="b">
        <v>1</v>
      </c>
      <c r="K2756" s="2" t="b">
        <v>0</v>
      </c>
      <c r="L2756" s="2" t="b">
        <v>0</v>
      </c>
      <c r="M2756" s="2" t="b">
        <v>0</v>
      </c>
      <c r="N2756" s="2" t="s">
        <v>33</v>
      </c>
      <c r="O2756" s="2">
        <v>20.0</v>
      </c>
      <c r="P2756" s="2">
        <v>1.0</v>
      </c>
      <c r="Q2756" s="2">
        <v>11.0</v>
      </c>
      <c r="R2756" s="2">
        <v>0.0</v>
      </c>
      <c r="S2756" s="3" t="s">
        <v>11279</v>
      </c>
      <c r="T2756" s="2" t="s">
        <v>11280</v>
      </c>
      <c r="Y2756" s="4" t="str">
        <f>IFERROR(__xludf.DUMMYFUNCTION("""COMPUTED_VALUE"""),"7.1521853")</f>
        <v>7.1521853</v>
      </c>
      <c r="Z2756" s="4" t="str">
        <f>IFERROR(__xludf.DUMMYFUNCTION("""COMPUTED_VALUE"""),"3.3376324")</f>
        <v>3.3376324</v>
      </c>
      <c r="AA2756" s="4" t="str">
        <f t="shared" si="1"/>
        <v>Neighbor</v>
      </c>
      <c r="AC2756" s="4">
        <f>IFERROR(__xludf.DUMMYFUNCTION("IFERROR(ABS(O2756-AVERAGE(FILTER(O2756:O6824,AA2756:AA6824=""Neighbor""))) / STDEV(FILTER(O2756:O6824, AA2756:AA6824 =""Neighbor"")), """")"),0.8154802988819796)</f>
        <v>0.8154802989</v>
      </c>
      <c r="AD2756" s="4">
        <f>IFERROR(__xludf.DUMMYFUNCTION("IFERROR(ABS(P2756-AVERAGE(FILTER(O2756:P6824,AA2756:AA6824=""Neighbor""))) / STDEV(FILTER(P2756:P6824, AA2756:AA6824 =""Neighbor"")), """")"),1.3122928921286137)</f>
        <v>1.312292892</v>
      </c>
      <c r="AE2756" s="2">
        <f>IFERROR(__xludf.DUMMYFUNCTION("IFERROR(ABS(Q2756-AVERAGE(FILTER(Q2756:Q6824,AA2756:AA6824=""Neighbor""))) / STDEV(FILTER(Q2756:Q6824, AA2756:AA6824 =""Neighbor"")), """")"),0.23070960920980368)</f>
        <v>0.2307096092</v>
      </c>
      <c r="AF2756" s="2">
        <f>IFERROR(__xludf.DUMMYFUNCTION("IFERROR(ABS(R2756-AVERAGE(FILTER(R2756:R6824,AA2756:AA6824=""Neighbor""))) / STDEV(FILTER(R2756:R6824, AA2756:AA6824 =""Neighbor"")), """")"),0.3428862042591942)</f>
        <v>0.3428862043</v>
      </c>
    </row>
    <row r="2757">
      <c r="A2757" s="2" t="s">
        <v>28</v>
      </c>
      <c r="B2757" s="2" t="s">
        <v>884</v>
      </c>
      <c r="C2757" s="2" t="s">
        <v>1490</v>
      </c>
      <c r="D2757" s="2" t="s">
        <v>11281</v>
      </c>
      <c r="E2757" s="2" t="s">
        <v>11282</v>
      </c>
      <c r="F2757" s="2">
        <v>56.0</v>
      </c>
      <c r="G2757" s="2">
        <v>170.0</v>
      </c>
      <c r="H2757" s="2" t="b">
        <v>1</v>
      </c>
      <c r="I2757" s="2">
        <v>-1.0</v>
      </c>
      <c r="J2757" s="2" t="b">
        <v>0</v>
      </c>
      <c r="K2757" s="2" t="b">
        <v>0</v>
      </c>
      <c r="L2757" s="2" t="b">
        <v>0</v>
      </c>
      <c r="M2757" s="2" t="b">
        <v>0</v>
      </c>
      <c r="N2757" s="2" t="s">
        <v>33</v>
      </c>
      <c r="O2757" s="2">
        <v>38.0</v>
      </c>
      <c r="P2757" s="2">
        <v>1.0</v>
      </c>
      <c r="Q2757" s="2">
        <v>10.0</v>
      </c>
      <c r="R2757" s="2">
        <v>0.0</v>
      </c>
      <c r="S2757" s="3" t="s">
        <v>11283</v>
      </c>
      <c r="T2757" s="2" t="s">
        <v>11284</v>
      </c>
      <c r="Y2757" s="4" t="str">
        <f>IFERROR(__xludf.DUMMYFUNCTION("""COMPUTED_VALUE"""),"7.1521853")</f>
        <v>7.1521853</v>
      </c>
      <c r="Z2757" s="4" t="str">
        <f>IFERROR(__xludf.DUMMYFUNCTION("""COMPUTED_VALUE"""),"3.3376324")</f>
        <v>3.3376324</v>
      </c>
      <c r="AA2757" s="4" t="str">
        <f t="shared" si="1"/>
        <v>Neighbor</v>
      </c>
      <c r="AC2757" s="4">
        <f>IFERROR(__xludf.DUMMYFUNCTION("IFERROR(ABS(O2757-AVERAGE(FILTER(O2757:O6825,AA2757:AA6825=""Neighbor""))) / STDEV(FILTER(O2757:O6825, AA2757:AA6825 =""Neighbor"")), """")"),0.30114097946294915)</f>
        <v>0.3011409795</v>
      </c>
      <c r="AD2757" s="4">
        <f>IFERROR(__xludf.DUMMYFUNCTION("IFERROR(ABS(P2757-AVERAGE(FILTER(O2757:P6825,AA2757:AA6825=""Neighbor""))) / STDEV(FILTER(P2757:P6825, AA2757:AA6825 =""Neighbor"")), """")"),1.3135384341289646)</f>
        <v>1.313538434</v>
      </c>
      <c r="AE2757" s="2">
        <f>IFERROR(__xludf.DUMMYFUNCTION("IFERROR(ABS(Q2757-AVERAGE(FILTER(Q2757:Q6825,AA2757:AA6825=""Neighbor""))) / STDEV(FILTER(Q2757:Q6825, AA2757:AA6825 =""Neighbor"")), """")"),0.2890574165943188)</f>
        <v>0.2890574166</v>
      </c>
      <c r="AF2757" s="2">
        <f>IFERROR(__xludf.DUMMYFUNCTION("IFERROR(ABS(R2757-AVERAGE(FILTER(R2757:R6825,AA2757:AA6825=""Neighbor""))) / STDEV(FILTER(R2757:R6825, AA2757:AA6825 =""Neighbor"")), """")"),0.34327967027038747)</f>
        <v>0.3432796703</v>
      </c>
    </row>
    <row r="2758">
      <c r="A2758" s="2" t="s">
        <v>28</v>
      </c>
      <c r="B2758" s="2" t="s">
        <v>884</v>
      </c>
      <c r="C2758" s="2" t="s">
        <v>1490</v>
      </c>
      <c r="D2758" s="2" t="s">
        <v>11285</v>
      </c>
      <c r="E2758" s="2" t="s">
        <v>11286</v>
      </c>
      <c r="F2758" s="2">
        <v>45.0</v>
      </c>
      <c r="G2758" s="2">
        <v>165.0</v>
      </c>
      <c r="H2758" s="2" t="b">
        <v>1</v>
      </c>
      <c r="I2758" s="2">
        <v>-1.0</v>
      </c>
      <c r="J2758" s="2" t="b">
        <v>1</v>
      </c>
      <c r="K2758" s="2" t="b">
        <v>0</v>
      </c>
      <c r="L2758" s="2" t="b">
        <v>0</v>
      </c>
      <c r="M2758" s="2" t="b">
        <v>0</v>
      </c>
      <c r="N2758" s="2" t="s">
        <v>33</v>
      </c>
      <c r="O2758" s="2">
        <v>32.0</v>
      </c>
      <c r="P2758" s="2">
        <v>5.0</v>
      </c>
      <c r="Q2758" s="2">
        <v>2.0</v>
      </c>
      <c r="R2758" s="2">
        <v>0.0</v>
      </c>
      <c r="S2758" s="3" t="s">
        <v>11287</v>
      </c>
      <c r="T2758" s="2" t="s">
        <v>11288</v>
      </c>
      <c r="Y2758" s="4" t="str">
        <f>IFERROR(__xludf.DUMMYFUNCTION("""COMPUTED_VALUE"""),"7.1521853")</f>
        <v>7.1521853</v>
      </c>
      <c r="Z2758" s="4" t="str">
        <f>IFERROR(__xludf.DUMMYFUNCTION("""COMPUTED_VALUE"""),"3.3376324")</f>
        <v>3.3376324</v>
      </c>
      <c r="AA2758" s="4" t="str">
        <f t="shared" si="1"/>
        <v>Not Neighbor</v>
      </c>
      <c r="AC2758" s="4">
        <f>IFERROR(__xludf.DUMMYFUNCTION("IFERROR(ABS(O2758-AVERAGE(FILTER(O2758:O6826,AA2758:AA6826=""Neighbor""))) / STDEV(FILTER(O2758:O6826, AA2758:AA6826 =""Neighbor"")), """")"),0.47322976633031194)</f>
        <v>0.4732297663</v>
      </c>
      <c r="AD2758" s="4">
        <f>IFERROR(__xludf.DUMMYFUNCTION("IFERROR(ABS(P2758-AVERAGE(FILTER(O2758:P6826,AA2758:AA6826=""Neighbor""))) / STDEV(FILTER(P2758:P6826, AA2758:AA6826 =""Neighbor"")), """")"),1.1529590838213446)</f>
        <v>1.152959084</v>
      </c>
      <c r="AE2758" s="2">
        <f>IFERROR(__xludf.DUMMYFUNCTION("IFERROR(ABS(Q2758-AVERAGE(FILTER(Q2758:Q6826,AA2758:AA6826=""Neighbor""))) / STDEV(FILTER(Q2758:Q6826, AA2758:AA6826 =""Neighbor"")), """")"),0.7537274092526443)</f>
        <v>0.7537274093</v>
      </c>
      <c r="AF2758" s="2">
        <f>IFERROR(__xludf.DUMMYFUNCTION("IFERROR(ABS(R2758-AVERAGE(FILTER(R2758:R6826,AA2758:AA6826=""Neighbor""))) / STDEV(FILTER(R2758:R6826, AA2758:AA6826 =""Neighbor"")), """")"),0.3436744942673964)</f>
        <v>0.3436744943</v>
      </c>
    </row>
    <row r="2759">
      <c r="A2759" s="2" t="s">
        <v>28</v>
      </c>
      <c r="B2759" s="2" t="s">
        <v>884</v>
      </c>
      <c r="C2759" s="2" t="s">
        <v>1128</v>
      </c>
      <c r="D2759" s="2" t="s">
        <v>11289</v>
      </c>
      <c r="E2759" s="2" t="s">
        <v>11290</v>
      </c>
      <c r="F2759" s="2">
        <v>198.0</v>
      </c>
      <c r="G2759" s="2">
        <v>750.0</v>
      </c>
      <c r="H2759" s="2" t="b">
        <v>1</v>
      </c>
      <c r="I2759" s="2">
        <v>-1.0</v>
      </c>
      <c r="J2759" s="2" t="b">
        <v>0</v>
      </c>
      <c r="K2759" s="2" t="b">
        <v>0</v>
      </c>
      <c r="L2759" s="2" t="b">
        <v>0</v>
      </c>
      <c r="M2759" s="2" t="b">
        <v>0</v>
      </c>
      <c r="N2759" s="2" t="s">
        <v>33</v>
      </c>
      <c r="O2759" s="2">
        <v>88.0</v>
      </c>
      <c r="P2759" s="2">
        <v>80.0</v>
      </c>
      <c r="Q2759" s="2">
        <v>15.0</v>
      </c>
      <c r="R2759" s="2">
        <v>2.0</v>
      </c>
      <c r="S2759" s="3" t="s">
        <v>11291</v>
      </c>
      <c r="T2759" s="2" t="s">
        <v>11292</v>
      </c>
      <c r="Y2759" s="4" t="str">
        <f>IFERROR(__xludf.DUMMYFUNCTION("""COMPUTED_VALUE"""),"7.1484499")</f>
        <v>7.1484499</v>
      </c>
      <c r="Z2759" s="4" t="str">
        <f>IFERROR(__xludf.DUMMYFUNCTION("""COMPUTED_VALUE"""),"3.3793807")</f>
        <v>3.3793807</v>
      </c>
      <c r="AA2759" s="4" t="str">
        <f t="shared" si="1"/>
        <v>Not Neighbor</v>
      </c>
      <c r="AC2759" s="4">
        <f>IFERROR(__xludf.DUMMYFUNCTION("IFERROR(ABS(O2759-AVERAGE(FILTER(O2759:O6827,AA2759:AA6827=""Neighbor""))) / STDEV(FILTER(O2759:O6827, AA2759:AA6827 =""Neighbor"")), """")"),1.1297785217129999)</f>
        <v>1.129778522</v>
      </c>
      <c r="AD2759" s="4">
        <f>IFERROR(__xludf.DUMMYFUNCTION("IFERROR(ABS(P2759-AVERAGE(FILTER(O2759:P6827,AA2759:AA6827=""Neighbor""))) / STDEV(FILTER(P2759:P6827, AA2759:AA6827 =""Neighbor"")), """")"),1.8673777188866174)</f>
        <v>1.867377719</v>
      </c>
      <c r="AE2759" s="2">
        <f>IFERROR(__xludf.DUMMYFUNCTION("IFERROR(ABS(Q2759-AVERAGE(FILTER(Q2759:Q6827,AA2759:AA6827=""Neighbor""))) / STDEV(FILTER(Q2759:Q6827, AA2759:AA6827 =""Neighbor"")), """")"),8.377408486453622E-4)</f>
        <v>0.0008377408486</v>
      </c>
      <c r="AF2759" s="2">
        <f>IFERROR(__xludf.DUMMYFUNCTION("IFERROR(ABS(R2759-AVERAGE(FILTER(R2759:R6827,AA2759:AA6827=""Neighbor""))) / STDEV(FILTER(R2759:R6827, AA2759:AA6827 =""Neighbor"")), """")"),1.9241095835514779)</f>
        <v>1.924109584</v>
      </c>
    </row>
    <row r="2760">
      <c r="A2760" s="2" t="s">
        <v>28</v>
      </c>
      <c r="B2760" s="2" t="s">
        <v>884</v>
      </c>
      <c r="C2760" s="2" t="s">
        <v>1128</v>
      </c>
      <c r="D2760" s="2" t="s">
        <v>11293</v>
      </c>
      <c r="E2760" s="2" t="s">
        <v>11294</v>
      </c>
      <c r="F2760" s="2">
        <v>175.0</v>
      </c>
      <c r="G2760" s="2">
        <v>582.0</v>
      </c>
      <c r="H2760" s="2" t="b">
        <v>1</v>
      </c>
      <c r="I2760" s="2">
        <v>-1.0</v>
      </c>
      <c r="J2760" s="2" t="b">
        <v>0</v>
      </c>
      <c r="K2760" s="2" t="b">
        <v>1</v>
      </c>
      <c r="L2760" s="2" t="b">
        <v>0</v>
      </c>
      <c r="M2760" s="2" t="b">
        <v>0</v>
      </c>
      <c r="N2760" s="2" t="s">
        <v>33</v>
      </c>
      <c r="O2760" s="2">
        <v>0.0</v>
      </c>
      <c r="P2760" s="2">
        <v>0.0</v>
      </c>
      <c r="Q2760" s="2">
        <v>0.0</v>
      </c>
      <c r="R2760" s="2">
        <v>0.0</v>
      </c>
      <c r="S2760" s="3" t="s">
        <v>11295</v>
      </c>
      <c r="T2760" s="2" t="s">
        <v>11296</v>
      </c>
      <c r="Y2760" s="4" t="str">
        <f>IFERROR(__xludf.DUMMYFUNCTION("""COMPUTED_VALUE"""),"7.1561368")</f>
        <v>7.1561368</v>
      </c>
      <c r="Z2760" s="4" t="str">
        <f>IFERROR(__xludf.DUMMYFUNCTION("""COMPUTED_VALUE"""),"3.3489671")</f>
        <v>3.3489671</v>
      </c>
      <c r="AA2760" s="4" t="str">
        <f t="shared" si="1"/>
        <v>Not Neighbor</v>
      </c>
      <c r="AC2760" s="4">
        <f>IFERROR(__xludf.DUMMYFUNCTION("IFERROR(ABS(O2760-AVERAGE(FILTER(O2760:O6828,AA2760:AA6828=""Neighbor""))) / STDEV(FILTER(O2760:O6828, AA2760:AA6828 =""Neighbor"")), """")"),1.3892345023550614)</f>
        <v>1.389234502</v>
      </c>
      <c r="AD2760" s="4">
        <f>IFERROR(__xludf.DUMMYFUNCTION("IFERROR(ABS(P2760-AVERAGE(FILTER(O2760:P6828,AA2760:AA6828=""Neighbor""))) / STDEV(FILTER(P2760:P6828, AA2760:AA6828 =""Neighbor"")), """")"),1.3543148706685422)</f>
        <v>1.354314871</v>
      </c>
      <c r="AE2760" s="2">
        <f>IFERROR(__xludf.DUMMYFUNCTION("IFERROR(ABS(Q2760-AVERAGE(FILTER(Q2760:Q6828,AA2760:AA6828=""Neighbor""))) / STDEV(FILTER(Q2760:Q6828, AA2760:AA6828 =""Neighbor"")), """")"),0.8698143554220734)</f>
        <v>0.8698143554</v>
      </c>
      <c r="AF2760" s="2">
        <f>IFERROR(__xludf.DUMMYFUNCTION("IFERROR(ABS(R2760-AVERAGE(FILTER(R2760:R6828,AA2760:AA6828=""Neighbor""))) / STDEV(FILTER(R2760:R6828, AA2760:AA6828 =""Neighbor"")), """")"),0.3436744942673964)</f>
        <v>0.3436744943</v>
      </c>
    </row>
    <row r="2761">
      <c r="A2761" s="2" t="s">
        <v>28</v>
      </c>
      <c r="B2761" s="2" t="s">
        <v>884</v>
      </c>
      <c r="C2761" s="2" t="s">
        <v>1128</v>
      </c>
      <c r="D2761" s="2" t="s">
        <v>11297</v>
      </c>
      <c r="E2761" s="2" t="s">
        <v>11298</v>
      </c>
      <c r="F2761" s="2">
        <v>76.0</v>
      </c>
      <c r="G2761" s="2">
        <v>170.0</v>
      </c>
      <c r="H2761" s="2" t="b">
        <v>1</v>
      </c>
      <c r="I2761" s="2">
        <v>-1.0</v>
      </c>
      <c r="J2761" s="2" t="b">
        <v>0</v>
      </c>
      <c r="K2761" s="2" t="b">
        <v>0</v>
      </c>
      <c r="L2761" s="2" t="b">
        <v>0</v>
      </c>
      <c r="M2761" s="2" t="b">
        <v>0</v>
      </c>
      <c r="N2761" s="2" t="s">
        <v>33</v>
      </c>
      <c r="O2761" s="2">
        <v>23.0</v>
      </c>
      <c r="P2761" s="2">
        <v>44.0</v>
      </c>
      <c r="Q2761" s="2">
        <v>2.0</v>
      </c>
      <c r="R2761" s="2">
        <v>0.0</v>
      </c>
      <c r="S2761" s="3" t="s">
        <v>11299</v>
      </c>
      <c r="T2761" s="2" t="s">
        <v>11300</v>
      </c>
      <c r="Y2761" s="4" t="str">
        <f>IFERROR(__xludf.DUMMYFUNCTION("""COMPUTED_VALUE"""),"7.1411829")</f>
        <v>7.1411829</v>
      </c>
      <c r="Z2761" s="4" t="str">
        <f>IFERROR(__xludf.DUMMYFUNCTION("""COMPUTED_VALUE"""),"3.3701276")</f>
        <v>3.3701276</v>
      </c>
      <c r="AA2761" s="4" t="str">
        <f t="shared" si="1"/>
        <v>Neighbor</v>
      </c>
      <c r="AC2761" s="4">
        <f>IFERROR(__xludf.DUMMYFUNCTION("IFERROR(ABS(O2761-AVERAGE(FILTER(O2761:O6829,AA2761:AA6829=""Neighbor""))) / STDEV(FILTER(O2761:O6829, AA2761:AA6829 =""Neighbor"")), """")"),0.7308560983372727)</f>
        <v>0.7308560983</v>
      </c>
      <c r="AD2761" s="4">
        <f>IFERROR(__xludf.DUMMYFUNCTION("IFERROR(ABS(P2761-AVERAGE(FILTER(O2761:P6829,AA2761:AA6829=""Neighbor""))) / STDEV(FILTER(P2761:P6829, AA2761:AA6829 =""Neighbor"")), """")"),0.4176160535867956)</f>
        <v>0.4176160536</v>
      </c>
      <c r="AE2761" s="2">
        <f>IFERROR(__xludf.DUMMYFUNCTION("IFERROR(ABS(Q2761-AVERAGE(FILTER(Q2761:Q6829,AA2761:AA6829=""Neighbor""))) / STDEV(FILTER(Q2761:Q6829, AA2761:AA6829 =""Neighbor"")), """")"),0.7537274092526443)</f>
        <v>0.7537274093</v>
      </c>
      <c r="AF2761" s="2">
        <f>IFERROR(__xludf.DUMMYFUNCTION("IFERROR(ABS(R2761-AVERAGE(FILTER(R2761:R6829,AA2761:AA6829=""Neighbor""))) / STDEV(FILTER(R2761:R6829, AA2761:AA6829 =""Neighbor"")), """")"),0.3436744942673964)</f>
        <v>0.3436744943</v>
      </c>
    </row>
    <row r="2762">
      <c r="A2762" s="2" t="s">
        <v>28</v>
      </c>
      <c r="B2762" s="2" t="s">
        <v>884</v>
      </c>
      <c r="C2762" s="2" t="s">
        <v>1128</v>
      </c>
      <c r="D2762" s="2" t="s">
        <v>11301</v>
      </c>
      <c r="E2762" s="2" t="s">
        <v>11302</v>
      </c>
      <c r="F2762" s="2">
        <v>189.0</v>
      </c>
      <c r="G2762" s="2">
        <v>750.0</v>
      </c>
      <c r="H2762" s="2" t="b">
        <v>1</v>
      </c>
      <c r="I2762" s="2">
        <v>-1.0</v>
      </c>
      <c r="J2762" s="2" t="b">
        <v>0</v>
      </c>
      <c r="K2762" s="2" t="b">
        <v>0</v>
      </c>
      <c r="L2762" s="2" t="b">
        <v>0</v>
      </c>
      <c r="M2762" s="2" t="b">
        <v>0</v>
      </c>
      <c r="N2762" s="2" t="s">
        <v>33</v>
      </c>
      <c r="O2762" s="2">
        <v>84.0</v>
      </c>
      <c r="P2762" s="2">
        <v>81.0</v>
      </c>
      <c r="Q2762" s="2">
        <v>9.0</v>
      </c>
      <c r="R2762" s="2">
        <v>0.0</v>
      </c>
      <c r="S2762" s="3" t="s">
        <v>11303</v>
      </c>
      <c r="T2762" s="2" t="s">
        <v>11304</v>
      </c>
      <c r="Y2762" s="4" t="str">
        <f>IFERROR(__xludf.DUMMYFUNCTION("""COMPUTED_VALUE"""),"7.1441448")</f>
        <v>7.1441448</v>
      </c>
      <c r="Z2762" s="4" t="str">
        <f>IFERROR(__xludf.DUMMYFUNCTION("""COMPUTED_VALUE"""),"3.3717084")</f>
        <v>3.3717084</v>
      </c>
      <c r="AA2762" s="4" t="str">
        <f t="shared" si="1"/>
        <v>Not Neighbor</v>
      </c>
      <c r="AC2762" s="4">
        <f>IFERROR(__xludf.DUMMYFUNCTION("IFERROR(ABS(O2762-AVERAGE(FILTER(O2762:O6830,AA2762:AA6830=""Neighbor""))) / STDEV(FILTER(O2762:O6830, AA2762:AA6830 =""Neighbor"")), """")"),1.0132805211004126)</f>
        <v>1.013280521</v>
      </c>
      <c r="AD2762" s="4">
        <f>IFERROR(__xludf.DUMMYFUNCTION("IFERROR(ABS(P2762-AVERAGE(FILTER(O2762:P6830,AA2762:AA6830=""Neighbor""))) / STDEV(FILTER(P2762:P6830, AA2762:AA6830 =""Neighbor"")), """")"),1.9077129827881505)</f>
        <v>1.907712983</v>
      </c>
      <c r="AE2762" s="2">
        <f>IFERROR(__xludf.DUMMYFUNCTION("IFERROR(ABS(Q2762-AVERAGE(FILTER(Q2762:Q6830,AA2762:AA6830=""Neighbor""))) / STDEV(FILTER(Q2762:Q6830, AA2762:AA6830 =""Neighbor"")), """")"),0.3488248859023222)</f>
        <v>0.3488248859</v>
      </c>
      <c r="AF2762" s="2">
        <f>IFERROR(__xludf.DUMMYFUNCTION("IFERROR(ABS(R2762-AVERAGE(FILTER(R2762:R6830,AA2762:AA6830=""Neighbor""))) / STDEV(FILTER(R2762:R6830, AA2762:AA6830 =""Neighbor"")), """")"),0.3440706840814648)</f>
        <v>0.3440706841</v>
      </c>
    </row>
    <row r="2763">
      <c r="A2763" s="2" t="s">
        <v>28</v>
      </c>
      <c r="B2763" s="2" t="s">
        <v>884</v>
      </c>
      <c r="C2763" s="2" t="s">
        <v>1128</v>
      </c>
      <c r="D2763" s="2" t="s">
        <v>11305</v>
      </c>
      <c r="E2763" s="2" t="s">
        <v>11306</v>
      </c>
      <c r="F2763" s="2">
        <v>218.0</v>
      </c>
      <c r="G2763" s="2">
        <v>750.0</v>
      </c>
      <c r="H2763" s="2" t="b">
        <v>1</v>
      </c>
      <c r="I2763" s="2">
        <v>-1.0</v>
      </c>
      <c r="J2763" s="2" t="b">
        <v>1</v>
      </c>
      <c r="K2763" s="2" t="b">
        <v>0</v>
      </c>
      <c r="L2763" s="2" t="b">
        <v>0</v>
      </c>
      <c r="M2763" s="2" t="b">
        <v>0</v>
      </c>
      <c r="N2763" s="2" t="s">
        <v>33</v>
      </c>
      <c r="O2763" s="2">
        <v>83.0</v>
      </c>
      <c r="P2763" s="2">
        <v>108.0</v>
      </c>
      <c r="Q2763" s="2">
        <v>7.0</v>
      </c>
      <c r="R2763" s="2">
        <v>2.0</v>
      </c>
      <c r="S2763" s="3" t="s">
        <v>11307</v>
      </c>
      <c r="T2763" s="2" t="s">
        <v>11308</v>
      </c>
      <c r="Y2763" s="4" t="str">
        <f>IFERROR(__xludf.DUMMYFUNCTION("""COMPUTED_VALUE"""),"7.1408202")</f>
        <v>7.1408202</v>
      </c>
      <c r="Z2763" s="4" t="str">
        <f>IFERROR(__xludf.DUMMYFUNCTION("""COMPUTED_VALUE"""),"3.3819839")</f>
        <v>3.3819839</v>
      </c>
      <c r="AA2763" s="4" t="str">
        <f t="shared" si="1"/>
        <v>Neighbor</v>
      </c>
      <c r="AC2763" s="4">
        <f>IFERROR(__xludf.DUMMYFUNCTION("IFERROR(ABS(O2763-AVERAGE(FILTER(O2763:O6831,AA2763:AA6831=""Neighbor""))) / STDEV(FILTER(O2763:O6831, AA2763:AA6831 =""Neighbor"")), """")"),0.9846691348211639)</f>
        <v>0.9846691348</v>
      </c>
      <c r="AD2763" s="4">
        <f>IFERROR(__xludf.DUMMYFUNCTION("IFERROR(ABS(P2763-AVERAGE(FILTER(O2763:P6831,AA2763:AA6831=""Neighbor""))) / STDEV(FILTER(P2763:P6831, AA2763:AA6831 =""Neighbor"")), """")"),2.9950769318035277)</f>
        <v>2.995076932</v>
      </c>
      <c r="AE2763" s="2">
        <f>IFERROR(__xludf.DUMMYFUNCTION("IFERROR(ABS(Q2763-AVERAGE(FILTER(Q2763:Q6831,AA2763:AA6831=""Neighbor""))) / STDEV(FILTER(Q2763:Q6831, AA2763:AA6831 =""Neighbor"")), """")"),0.4648601056801393)</f>
        <v>0.4648601057</v>
      </c>
      <c r="AF2763" s="2">
        <f>IFERROR(__xludf.DUMMYFUNCTION("IFERROR(ABS(R2763-AVERAGE(FILTER(R2763:R6831,AA2763:AA6831=""Neighbor""))) / STDEV(FILTER(R2763:R6831, AA2763:AA6831 =""Neighbor"")), """")"),1.9216464736794736)</f>
        <v>1.921646474</v>
      </c>
    </row>
    <row r="2764">
      <c r="A2764" s="2" t="s">
        <v>28</v>
      </c>
      <c r="B2764" s="2" t="s">
        <v>884</v>
      </c>
      <c r="C2764" s="2" t="s">
        <v>1128</v>
      </c>
      <c r="D2764" s="2" t="s">
        <v>11309</v>
      </c>
      <c r="E2764" s="2" t="s">
        <v>11310</v>
      </c>
      <c r="F2764" s="2">
        <v>94.0</v>
      </c>
      <c r="G2764" s="2">
        <v>188.0</v>
      </c>
      <c r="H2764" s="2" t="b">
        <v>1</v>
      </c>
      <c r="I2764" s="2">
        <v>-1.0</v>
      </c>
      <c r="J2764" s="2" t="b">
        <v>0</v>
      </c>
      <c r="K2764" s="2" t="b">
        <v>0</v>
      </c>
      <c r="L2764" s="2" t="b">
        <v>0</v>
      </c>
      <c r="M2764" s="2" t="b">
        <v>0</v>
      </c>
      <c r="N2764" s="2" t="s">
        <v>33</v>
      </c>
      <c r="O2764" s="2">
        <v>60.0</v>
      </c>
      <c r="P2764" s="2">
        <v>16.0</v>
      </c>
      <c r="Q2764" s="2">
        <v>6.0</v>
      </c>
      <c r="R2764" s="2">
        <v>1.0</v>
      </c>
      <c r="S2764" s="3" t="s">
        <v>11311</v>
      </c>
      <c r="T2764" s="2" t="s">
        <v>11312</v>
      </c>
      <c r="Y2764" s="4" t="str">
        <f>IFERROR(__xludf.DUMMYFUNCTION("""COMPUTED_VALUE"""),"7.1392087")</f>
        <v>7.1392087</v>
      </c>
      <c r="Z2764" s="4" t="str">
        <f>IFERROR(__xludf.DUMMYFUNCTION("""COMPUTED_VALUE"""),"3.3845647")</f>
        <v>3.3845647</v>
      </c>
      <c r="AA2764" s="4" t="str">
        <f t="shared" si="1"/>
        <v>Neighbor</v>
      </c>
      <c r="AC2764" s="4">
        <f>IFERROR(__xludf.DUMMYFUNCTION("IFERROR(ABS(O2764-AVERAGE(FILTER(O2764:O6832,AA2764:AA6832=""Neighbor""))) / STDEV(FILTER(O2764:O6832, AA2764:AA6832 =""Neighbor"")), """")"),0.32863621460206116)</f>
        <v>0.3286362146</v>
      </c>
      <c r="AD2764" s="4">
        <f>IFERROR(__xludf.DUMMYFUNCTION("IFERROR(ABS(P2764-AVERAGE(FILTER(O2764:P6832,AA2764:AA6832=""Neighbor""))) / STDEV(FILTER(P2764:P6832, AA2764:AA6832 =""Neighbor"")), """")"),0.7137731828489748)</f>
        <v>0.7137731828</v>
      </c>
      <c r="AE2764" s="2">
        <f>IFERROR(__xludf.DUMMYFUNCTION("IFERROR(ABS(Q2764-AVERAGE(FILTER(Q2764:Q6832,AA2764:AA6832=""Neighbor""))) / STDEV(FILTER(Q2764:Q6832, AA2764:AA6832 =""Neighbor"")), """")"),0.5234149441663907)</f>
        <v>0.5234149442</v>
      </c>
      <c r="AF2764" s="2">
        <f>IFERROR(__xludf.DUMMYFUNCTION("IFERROR(ABS(R2764-AVERAGE(FILTER(R2764:R6832,AA2764:AA6832=""Neighbor""))) / STDEV(FILTER(R2764:R6832, AA2764:AA6832 =""Neighbor"")), """")"),0.7949965424499528)</f>
        <v>0.7949965424</v>
      </c>
    </row>
    <row r="2765">
      <c r="A2765" s="2" t="s">
        <v>28</v>
      </c>
      <c r="B2765" s="2" t="s">
        <v>884</v>
      </c>
      <c r="C2765" s="2" t="s">
        <v>1128</v>
      </c>
      <c r="D2765" s="2" t="s">
        <v>11313</v>
      </c>
      <c r="E2765" s="2" t="s">
        <v>11314</v>
      </c>
      <c r="F2765" s="2">
        <v>64.0</v>
      </c>
      <c r="G2765" s="2">
        <v>123.0</v>
      </c>
      <c r="H2765" s="2" t="b">
        <v>1</v>
      </c>
      <c r="I2765" s="2">
        <v>-1.0</v>
      </c>
      <c r="J2765" s="2" t="b">
        <v>0</v>
      </c>
      <c r="K2765" s="2" t="b">
        <v>0</v>
      </c>
      <c r="L2765" s="2" t="b">
        <v>0</v>
      </c>
      <c r="M2765" s="2" t="b">
        <v>0</v>
      </c>
      <c r="N2765" s="2" t="s">
        <v>33</v>
      </c>
      <c r="O2765" s="2">
        <v>50.0</v>
      </c>
      <c r="P2765" s="2">
        <v>3.0</v>
      </c>
      <c r="Q2765" s="2">
        <v>3.0</v>
      </c>
      <c r="R2765" s="2">
        <v>1.0</v>
      </c>
      <c r="S2765" s="3" t="s">
        <v>11315</v>
      </c>
      <c r="T2765" s="2" t="s">
        <v>11316</v>
      </c>
      <c r="Y2765" s="4" t="str">
        <f>IFERROR(__xludf.DUMMYFUNCTION("""COMPUTED_VALUE"""),"7.1330797")</f>
        <v>7.1330797</v>
      </c>
      <c r="Z2765" s="4" t="str">
        <f>IFERROR(__xludf.DUMMYFUNCTION("""COMPUTED_VALUE"""),"3.3787167")</f>
        <v>3.3787167</v>
      </c>
      <c r="AA2765" s="4" t="str">
        <f t="shared" si="1"/>
        <v>Neighbor</v>
      </c>
      <c r="AC2765" s="4">
        <f>IFERROR(__xludf.DUMMYFUNCTION("IFERROR(ABS(O2765-AVERAGE(FILTER(O2765:O6833,AA2765:AA6833=""Neighbor""))) / STDEV(FILTER(O2765:O6833, AA2765:AA6833 =""Neighbor"")), """")"),0.043172601640368485)</f>
        <v>0.04317260164</v>
      </c>
      <c r="AD2765" s="4">
        <f>IFERROR(__xludf.DUMMYFUNCTION("IFERROR(ABS(P2765-AVERAGE(FILTER(O2765:P6833,AA2765:AA6833=""Neighbor""))) / STDEV(FILTER(P2765:P6833, AA2765:AA6833 =""Neighbor"")), """")"),1.2422840476329626)</f>
        <v>1.242284048</v>
      </c>
      <c r="AE2765" s="2">
        <f>IFERROR(__xludf.DUMMYFUNCTION("IFERROR(ABS(Q2765-AVERAGE(FILTER(Q2765:Q6833,AA2765:AA6833=""Neighbor""))) / STDEV(FILTER(Q2765:Q6833, AA2765:AA6833 =""Neighbor"")), """")"),0.6978863184053938)</f>
        <v>0.6978863184</v>
      </c>
      <c r="AF2765" s="2">
        <f>IFERROR(__xludf.DUMMYFUNCTION("IFERROR(ABS(R2765-AVERAGE(FILTER(R2765:R6833,AA2765:AA6833=""Neighbor""))) / STDEV(FILTER(R2765:R6833, AA2765:AA6833 =""Neighbor"")), """")"),0.796342442326348)</f>
        <v>0.7963424423</v>
      </c>
    </row>
    <row r="2766">
      <c r="A2766" s="2" t="s">
        <v>28</v>
      </c>
      <c r="B2766" s="2" t="s">
        <v>884</v>
      </c>
      <c r="C2766" s="2" t="s">
        <v>1128</v>
      </c>
      <c r="D2766" s="2" t="s">
        <v>11317</v>
      </c>
      <c r="E2766" s="2" t="s">
        <v>11318</v>
      </c>
      <c r="F2766" s="2">
        <v>237.0</v>
      </c>
      <c r="G2766" s="2">
        <v>504.0</v>
      </c>
      <c r="H2766" s="2" t="b">
        <v>1</v>
      </c>
      <c r="I2766" s="2">
        <v>-1.0</v>
      </c>
      <c r="J2766" s="2" t="b">
        <v>0</v>
      </c>
      <c r="K2766" s="2" t="b">
        <v>0</v>
      </c>
      <c r="L2766" s="2" t="b">
        <v>0</v>
      </c>
      <c r="M2766" s="2" t="b">
        <v>0</v>
      </c>
      <c r="N2766" s="2" t="s">
        <v>33</v>
      </c>
      <c r="O2766" s="2">
        <v>77.0</v>
      </c>
      <c r="P2766" s="2">
        <v>104.0</v>
      </c>
      <c r="Q2766" s="2">
        <v>35.0</v>
      </c>
      <c r="R2766" s="2">
        <v>1.0</v>
      </c>
      <c r="S2766" s="3" t="s">
        <v>11319</v>
      </c>
      <c r="T2766" s="2" t="s">
        <v>11320</v>
      </c>
      <c r="Y2766" s="4" t="str">
        <f>IFERROR(__xludf.DUMMYFUNCTION("""COMPUTED_VALUE"""),"7.1408202")</f>
        <v>7.1408202</v>
      </c>
      <c r="Z2766" s="4" t="str">
        <f>IFERROR(__xludf.DUMMYFUNCTION("""COMPUTED_VALUE"""),"3.3819839")</f>
        <v>3.3819839</v>
      </c>
      <c r="AA2766" s="4" t="str">
        <f t="shared" si="1"/>
        <v>Neighbor</v>
      </c>
      <c r="AC2766" s="4">
        <f>IFERROR(__xludf.DUMMYFUNCTION("IFERROR(ABS(O2766-AVERAGE(FILTER(O2766:O6834,AA2766:AA6834=""Neighbor""))) / STDEV(FILTER(O2766:O6834, AA2766:AA6834 =""Neighbor"")), """")"),0.8141858283521365)</f>
        <v>0.8141858284</v>
      </c>
      <c r="AD2766" s="4">
        <f>IFERROR(__xludf.DUMMYFUNCTION("IFERROR(ABS(P2766-AVERAGE(FILTER(O2766:P6834,AA2766:AA6834=""Neighbor""))) / STDEV(FILTER(P2766:P6834, AA2766:AA6834 =""Neighbor"")), """")"),2.870101271754853)</f>
        <v>2.870101272</v>
      </c>
      <c r="AE2766" s="2">
        <f>IFERROR(__xludf.DUMMYFUNCTION("IFERROR(ABS(Q2766-AVERAGE(FILTER(Q2766:Q6834,AA2766:AA6834=""Neighbor""))) / STDEV(FILTER(Q2766:Q6834, AA2766:AA6834 =""Neighbor"")), """")"),1.1537068289336152)</f>
        <v>1.153706829</v>
      </c>
      <c r="AF2766" s="2">
        <f>IFERROR(__xludf.DUMMYFUNCTION("IFERROR(ABS(R2766-AVERAGE(FILTER(R2766:R6834,AA2766:AA6834=""Neighbor""))) / STDEV(FILTER(R2766:R6834, AA2766:AA6834 =""Neighbor"")), """")"),0.7976952056434188)</f>
        <v>0.7976952056</v>
      </c>
    </row>
    <row r="2767">
      <c r="A2767" s="2" t="s">
        <v>28</v>
      </c>
      <c r="B2767" s="2" t="s">
        <v>884</v>
      </c>
      <c r="C2767" s="2" t="s">
        <v>1128</v>
      </c>
      <c r="D2767" s="2" t="s">
        <v>11321</v>
      </c>
      <c r="E2767" s="2" t="s">
        <v>11322</v>
      </c>
      <c r="F2767" s="2">
        <v>63.0</v>
      </c>
      <c r="G2767" s="2">
        <v>135.0</v>
      </c>
      <c r="H2767" s="2" t="b">
        <v>1</v>
      </c>
      <c r="I2767" s="2">
        <v>-1.0</v>
      </c>
      <c r="J2767" s="2" t="b">
        <v>0</v>
      </c>
      <c r="K2767" s="2" t="b">
        <v>0</v>
      </c>
      <c r="L2767" s="2" t="b">
        <v>0</v>
      </c>
      <c r="M2767" s="2" t="b">
        <v>0</v>
      </c>
      <c r="N2767" s="2" t="s">
        <v>33</v>
      </c>
      <c r="O2767" s="2">
        <v>25.0</v>
      </c>
      <c r="P2767" s="2">
        <v>23.0</v>
      </c>
      <c r="Q2767" s="2">
        <v>10.0</v>
      </c>
      <c r="R2767" s="2">
        <v>0.0</v>
      </c>
      <c r="S2767" s="3" t="s">
        <v>11323</v>
      </c>
      <c r="T2767" s="2" t="s">
        <v>11324</v>
      </c>
      <c r="Y2767" s="4" t="str">
        <f>IFERROR(__xludf.DUMMYFUNCTION("""COMPUTED_VALUE"""),"7.1440304")</f>
        <v>7.1440304</v>
      </c>
      <c r="Z2767" s="4" t="str">
        <f>IFERROR(__xludf.DUMMYFUNCTION("""COMPUTED_VALUE"""),"3.3723348")</f>
        <v>3.3723348</v>
      </c>
      <c r="AA2767" s="4" t="str">
        <f t="shared" si="1"/>
        <v>Neighbor</v>
      </c>
      <c r="AC2767" s="4">
        <f>IFERROR(__xludf.DUMMYFUNCTION("IFERROR(ABS(O2767-AVERAGE(FILTER(O2767:O6835,AA2767:AA6835=""Neighbor""))) / STDEV(FILTER(O2767:O6835, AA2767:AA6835 =""Neighbor"")), """")"),0.6687116437690528)</f>
        <v>0.6687116438</v>
      </c>
      <c r="AD2767" s="4">
        <f>IFERROR(__xludf.DUMMYFUNCTION("IFERROR(ABS(P2767-AVERAGE(FILTER(O2767:P6835,AA2767:AA6835=""Neighbor""))) / STDEV(FILTER(P2767:P6835, AA2767:AA6835 =""Neighbor"")), """")"),0.4279718609897241)</f>
        <v>0.427971861</v>
      </c>
      <c r="AE2767" s="2">
        <f>IFERROR(__xludf.DUMMYFUNCTION("IFERROR(ABS(Q2767-AVERAGE(FILTER(Q2767:Q6835,AA2767:AA6835=""Neighbor""))) / STDEV(FILTER(Q2767:Q6835, AA2767:AA6835 =""Neighbor"")), """")"),0.29139070997392713)</f>
        <v>0.29139071</v>
      </c>
      <c r="AF2767" s="2">
        <f>IFERROR(__xludf.DUMMYFUNCTION("IFERROR(ABS(R2767-AVERAGE(FILTER(R2767:R6835,AA2767:AA6835=""Neighbor""))) / STDEV(FILTER(R2767:R6835, AA2767:AA6835 =""Neighbor"")), """")"),0.3356976169099646)</f>
        <v>0.3356976169</v>
      </c>
    </row>
    <row r="2768">
      <c r="A2768" s="2" t="s">
        <v>28</v>
      </c>
      <c r="B2768" s="2" t="s">
        <v>884</v>
      </c>
      <c r="C2768" s="2" t="s">
        <v>1128</v>
      </c>
      <c r="D2768" s="2" t="s">
        <v>11325</v>
      </c>
      <c r="E2768" s="2" t="s">
        <v>11326</v>
      </c>
      <c r="F2768" s="2">
        <v>82.0</v>
      </c>
      <c r="G2768" s="2">
        <v>237.0</v>
      </c>
      <c r="H2768" s="2" t="b">
        <v>1</v>
      </c>
      <c r="I2768" s="2">
        <v>-1.0</v>
      </c>
      <c r="J2768" s="2" t="b">
        <v>0</v>
      </c>
      <c r="K2768" s="2" t="b">
        <v>0</v>
      </c>
      <c r="L2768" s="2" t="b">
        <v>0</v>
      </c>
      <c r="M2768" s="2" t="b">
        <v>0</v>
      </c>
      <c r="N2768" s="2" t="s">
        <v>33</v>
      </c>
      <c r="O2768" s="2">
        <v>44.0</v>
      </c>
      <c r="P2768" s="2">
        <v>28.0</v>
      </c>
      <c r="Q2768" s="2">
        <v>5.0</v>
      </c>
      <c r="R2768" s="2">
        <v>1.0</v>
      </c>
      <c r="S2768" s="3" t="s">
        <v>11327</v>
      </c>
      <c r="T2768" s="2" t="s">
        <v>11328</v>
      </c>
      <c r="Y2768" s="4" t="str">
        <f>IFERROR(__xludf.DUMMYFUNCTION("""COMPUTED_VALUE"""),"7.1440304")</f>
        <v>7.1440304</v>
      </c>
      <c r="Z2768" s="4" t="str">
        <f>IFERROR(__xludf.DUMMYFUNCTION("""COMPUTED_VALUE"""),"3.3723348")</f>
        <v>3.3723348</v>
      </c>
      <c r="AA2768" s="4" t="str">
        <f t="shared" si="1"/>
        <v>Not Neighbor</v>
      </c>
      <c r="AC2768" s="4">
        <f>IFERROR(__xludf.DUMMYFUNCTION("IFERROR(ABS(O2768-AVERAGE(FILTER(O2768:O6836,AA2768:AA6836=""Neighbor""))) / STDEV(FILTER(O2768:O6836, AA2768:AA6836 =""Neighbor"")), """")"),0.12769072723346359)</f>
        <v>0.1276907272</v>
      </c>
      <c r="AD2768" s="4">
        <f>IFERROR(__xludf.DUMMYFUNCTION("IFERROR(ABS(P2768-AVERAGE(FILTER(O2768:P6836,AA2768:AA6836=""Neighbor""))) / STDEV(FILTER(P2768:P6836, AA2768:AA6836 =""Neighbor"")), """")"),0.22257253656310788)</f>
        <v>0.2225725366</v>
      </c>
      <c r="AE2768" s="2">
        <f>IFERROR(__xludf.DUMMYFUNCTION("IFERROR(ABS(Q2768-AVERAGE(FILTER(Q2768:Q6836,AA2768:AA6836=""Neighbor""))) / STDEV(FILTER(Q2768:Q6836, AA2768:AA6836 =""Neighbor"")), """")"),0.5810240833861112)</f>
        <v>0.5810240834</v>
      </c>
      <c r="AF2768" s="2">
        <f>IFERROR(__xludf.DUMMYFUNCTION("IFERROR(ABS(R2768-AVERAGE(FILTER(R2768:R6836,AA2768:AA6836=""Neighbor""))) / STDEV(FILTER(R2768:R6836, AA2768:AA6836 =""Neighbor"")), """")"),0.797614298067951)</f>
        <v>0.7976142981</v>
      </c>
    </row>
    <row r="2769">
      <c r="A2769" s="2" t="s">
        <v>28</v>
      </c>
      <c r="B2769" s="2" t="s">
        <v>884</v>
      </c>
      <c r="C2769" s="2" t="s">
        <v>1128</v>
      </c>
      <c r="D2769" s="2" t="s">
        <v>11329</v>
      </c>
      <c r="E2769" s="2" t="s">
        <v>11330</v>
      </c>
      <c r="F2769" s="2">
        <v>77.0</v>
      </c>
      <c r="G2769" s="2">
        <v>180.0</v>
      </c>
      <c r="H2769" s="2" t="b">
        <v>1</v>
      </c>
      <c r="I2769" s="2">
        <v>-1.0</v>
      </c>
      <c r="J2769" s="2" t="b">
        <v>0</v>
      </c>
      <c r="K2769" s="2" t="b">
        <v>0</v>
      </c>
      <c r="L2769" s="2" t="b">
        <v>0</v>
      </c>
      <c r="M2769" s="2" t="b">
        <v>0</v>
      </c>
      <c r="N2769" s="2" t="s">
        <v>33</v>
      </c>
      <c r="O2769" s="2">
        <v>35.0</v>
      </c>
      <c r="P2769" s="2">
        <v>11.0</v>
      </c>
      <c r="Q2769" s="2">
        <v>24.0</v>
      </c>
      <c r="R2769" s="2">
        <v>3.0</v>
      </c>
      <c r="S2769" s="3" t="s">
        <v>11331</v>
      </c>
      <c r="T2769" s="2" t="s">
        <v>11332</v>
      </c>
      <c r="Y2769" s="4" t="str">
        <f>IFERROR(__xludf.DUMMYFUNCTION("""COMPUTED_VALUE"""),"7.1425468")</f>
        <v>7.1425468</v>
      </c>
      <c r="Z2769" s="4" t="str">
        <f>IFERROR(__xludf.DUMMYFUNCTION("""COMPUTED_VALUE"""),"3.3848097")</f>
        <v>3.3848097</v>
      </c>
      <c r="AA2769" s="4" t="str">
        <f t="shared" si="1"/>
        <v>Not Neighbor</v>
      </c>
      <c r="AC2769" s="4">
        <f>IFERROR(__xludf.DUMMYFUNCTION("IFERROR(ABS(O2769-AVERAGE(FILTER(O2769:O6837,AA2769:AA6837=""Neighbor""))) / STDEV(FILTER(O2769:O6837, AA2769:AA6837 =""Neighbor"")), """")"),0.3844419982705259)</f>
        <v>0.3844419983</v>
      </c>
      <c r="AD2769" s="4">
        <f>IFERROR(__xludf.DUMMYFUNCTION("IFERROR(ABS(P2769-AVERAGE(FILTER(O2769:P6837,AA2769:AA6837=""Neighbor""))) / STDEV(FILTER(P2769:P6837, AA2769:AA6837 =""Neighbor"")), """")"),0.922208963983833)</f>
        <v>0.922208964</v>
      </c>
      <c r="AE2769" s="2">
        <f>IFERROR(__xludf.DUMMYFUNCTION("IFERROR(ABS(Q2769-AVERAGE(FILTER(Q2769:Q6837,AA2769:AA6837=""Neighbor""))) / STDEV(FILTER(Q2769:Q6837, AA2769:AA6837 =""Neighbor"")), """")"),0.5183314639937221)</f>
        <v>0.518331464</v>
      </c>
      <c r="AF2769" s="2">
        <f>IFERROR(__xludf.DUMMYFUNCTION("IFERROR(ABS(R2769-AVERAGE(FILTER(R2769:R6837,AA2769:AA6837=""Neighbor""))) / STDEV(FILTER(R2769:R6837, AA2769:AA6837 =""Neighbor"")), """")"),3.0650163679465776)</f>
        <v>3.065016368</v>
      </c>
    </row>
    <row r="2770">
      <c r="A2770" s="2" t="s">
        <v>28</v>
      </c>
      <c r="B2770" s="2" t="s">
        <v>884</v>
      </c>
      <c r="C2770" s="2" t="s">
        <v>1042</v>
      </c>
      <c r="D2770" s="2" t="s">
        <v>11333</v>
      </c>
      <c r="E2770" s="2" t="s">
        <v>11334</v>
      </c>
      <c r="F2770" s="2">
        <v>60.0</v>
      </c>
      <c r="G2770" s="2">
        <v>143.0</v>
      </c>
      <c r="H2770" s="2" t="b">
        <v>1</v>
      </c>
      <c r="I2770" s="2">
        <v>-1.0</v>
      </c>
      <c r="J2770" s="2" t="b">
        <v>0</v>
      </c>
      <c r="K2770" s="2" t="b">
        <v>0</v>
      </c>
      <c r="L2770" s="2" t="b">
        <v>0</v>
      </c>
      <c r="M2770" s="2" t="b">
        <v>0</v>
      </c>
      <c r="N2770" s="2" t="s">
        <v>33</v>
      </c>
      <c r="O2770" s="2">
        <v>36.0</v>
      </c>
      <c r="P2770" s="2">
        <v>5.0</v>
      </c>
      <c r="Q2770" s="2">
        <v>15.0</v>
      </c>
      <c r="R2770" s="2">
        <v>0.0</v>
      </c>
      <c r="S2770" s="3" t="s">
        <v>11335</v>
      </c>
      <c r="T2770" s="2" t="s">
        <v>11336</v>
      </c>
      <c r="Y2770" s="4" t="str">
        <f>IFERROR(__xludf.DUMMYFUNCTION("""COMPUTED_VALUE"""),"7.1582164")</f>
        <v>7.1582164</v>
      </c>
      <c r="Z2770" s="4" t="str">
        <f>IFERROR(__xludf.DUMMYFUNCTION("""COMPUTED_VALUE"""),"3.3537773")</f>
        <v>3.3537773</v>
      </c>
      <c r="AA2770" s="4" t="str">
        <f t="shared" si="1"/>
        <v>Not Neighbor</v>
      </c>
      <c r="AC2770" s="4">
        <f>IFERROR(__xludf.DUMMYFUNCTION("IFERROR(ABS(O2770-AVERAGE(FILTER(O2770:O6838,AA2770:AA6838=""Neighbor""))) / STDEV(FILTER(O2770:O6838, AA2770:AA6838 =""Neighbor"")), """")"),0.3559140792664079)</f>
        <v>0.3559140793</v>
      </c>
      <c r="AD2770" s="4">
        <f>IFERROR(__xludf.DUMMYFUNCTION("IFERROR(ABS(P2770-AVERAGE(FILTER(O2770:P6838,AA2770:AA6838=""Neighbor""))) / STDEV(FILTER(P2770:P6838, AA2770:AA6838 =""Neighbor"")), """")"),1.1691394677793832)</f>
        <v>1.169139468</v>
      </c>
      <c r="AE2770" s="2">
        <f>IFERROR(__xludf.DUMMYFUNCTION("IFERROR(ABS(Q2770-AVERAGE(FILTER(Q2770:Q6838,AA2770:AA6838=""Neighbor""))) / STDEV(FILTER(Q2770:Q6838, AA2770:AA6838 =""Neighbor"")), """")"),0.0024159005546199857)</f>
        <v>0.002415900555</v>
      </c>
      <c r="AF2770" s="2">
        <f>IFERROR(__xludf.DUMMYFUNCTION("IFERROR(ABS(R2770-AVERAGE(FILTER(R2770:R6838,AA2770:AA6838=""Neighbor""))) / STDEV(FILTER(R2770:R6838, AA2770:AA6838 =""Neighbor"")), """")"),0.3360867368713622)</f>
        <v>0.3360867369</v>
      </c>
    </row>
    <row r="2771">
      <c r="A2771" s="2" t="s">
        <v>28</v>
      </c>
      <c r="B2771" s="2" t="s">
        <v>884</v>
      </c>
      <c r="C2771" s="2" t="s">
        <v>1042</v>
      </c>
      <c r="D2771" s="2" t="s">
        <v>11337</v>
      </c>
      <c r="E2771" s="2" t="s">
        <v>11338</v>
      </c>
      <c r="F2771" s="2">
        <v>70.0</v>
      </c>
      <c r="G2771" s="2">
        <v>116.0</v>
      </c>
      <c r="H2771" s="2" t="b">
        <v>1</v>
      </c>
      <c r="I2771" s="2">
        <v>-1.0</v>
      </c>
      <c r="J2771" s="2" t="b">
        <v>0</v>
      </c>
      <c r="K2771" s="2" t="b">
        <v>0</v>
      </c>
      <c r="L2771" s="2" t="b">
        <v>0</v>
      </c>
      <c r="M2771" s="2" t="b">
        <v>0</v>
      </c>
      <c r="N2771" s="2" t="s">
        <v>33</v>
      </c>
      <c r="O2771" s="2">
        <v>28.0</v>
      </c>
      <c r="P2771" s="2">
        <v>2.0</v>
      </c>
      <c r="Q2771" s="2">
        <v>33.0</v>
      </c>
      <c r="R2771" s="2">
        <v>0.0</v>
      </c>
      <c r="S2771" s="3" t="s">
        <v>11339</v>
      </c>
      <c r="T2771" s="2" t="s">
        <v>11340</v>
      </c>
      <c r="Y2771" s="4" t="str">
        <f>IFERROR(__xludf.DUMMYFUNCTION("""COMPUTED_VALUE"""),"7.1382199")</f>
        <v>7.1382199</v>
      </c>
      <c r="Z2771" s="4" t="str">
        <f>IFERROR(__xludf.DUMMYFUNCTION("""COMPUTED_VALUE"""),"3.3597581")</f>
        <v>3.3597581</v>
      </c>
      <c r="AA2771" s="4" t="str">
        <f t="shared" si="1"/>
        <v>Not Neighbor</v>
      </c>
      <c r="AC2771" s="4">
        <f>IFERROR(__xludf.DUMMYFUNCTION("IFERROR(ABS(O2771-AVERAGE(FILTER(O2771:O6839,AA2771:AA6839=""Neighbor""))) / STDEV(FILTER(O2771:O6839, AA2771:AA6839 =""Neighbor"")), """")"),0.5841374312993521)</f>
        <v>0.5841374313</v>
      </c>
      <c r="AD2771" s="4">
        <f>IFERROR(__xludf.DUMMYFUNCTION("IFERROR(ABS(P2771-AVERAGE(FILTER(O2771:P6839,AA2771:AA6839=""Neighbor""))) / STDEV(FILTER(P2771:P6839, AA2771:AA6839 =""Neighbor"")), """")"),1.2926047196771582)</f>
        <v>1.29260472</v>
      </c>
      <c r="AE2771" s="2">
        <f>IFERROR(__xludf.DUMMYFUNCTION("IFERROR(ABS(Q2771-AVERAGE(FILTER(Q2771:Q6839,AA2771:AA6839=""Neighbor""))) / STDEV(FILTER(Q2771:Q6839, AA2771:AA6839 =""Neighbor"")), """")"),1.0390788285420642)</f>
        <v>1.039078829</v>
      </c>
      <c r="AF2771" s="2">
        <f>IFERROR(__xludf.DUMMYFUNCTION("IFERROR(ABS(R2771-AVERAGE(FILTER(R2771:R6839,AA2771:AA6839=""Neighbor""))) / STDEV(FILTER(R2771:R6839, AA2771:AA6839 =""Neighbor"")), """")"),0.3360867368713622)</f>
        <v>0.3360867369</v>
      </c>
    </row>
    <row r="2772">
      <c r="A2772" s="2" t="s">
        <v>28</v>
      </c>
      <c r="B2772" s="2" t="s">
        <v>884</v>
      </c>
      <c r="C2772" s="2" t="s">
        <v>1042</v>
      </c>
      <c r="D2772" s="2" t="s">
        <v>11341</v>
      </c>
      <c r="E2772" s="2" t="s">
        <v>11342</v>
      </c>
      <c r="F2772" s="2">
        <v>103.0</v>
      </c>
      <c r="G2772" s="2">
        <v>197.0</v>
      </c>
      <c r="H2772" s="2" t="b">
        <v>1</v>
      </c>
      <c r="I2772" s="2">
        <v>-1.0</v>
      </c>
      <c r="J2772" s="2" t="b">
        <v>0</v>
      </c>
      <c r="K2772" s="2" t="b">
        <v>0</v>
      </c>
      <c r="L2772" s="2" t="b">
        <v>0</v>
      </c>
      <c r="M2772" s="2" t="b">
        <v>0</v>
      </c>
      <c r="N2772" s="2" t="s">
        <v>33</v>
      </c>
      <c r="O2772" s="2">
        <v>58.0</v>
      </c>
      <c r="P2772" s="2">
        <v>3.0</v>
      </c>
      <c r="Q2772" s="2">
        <v>18.0</v>
      </c>
      <c r="R2772" s="2">
        <v>0.0</v>
      </c>
      <c r="S2772" s="3" t="s">
        <v>11343</v>
      </c>
      <c r="T2772" s="2" t="s">
        <v>11344</v>
      </c>
      <c r="Y2772" s="4" t="str">
        <f>IFERROR(__xludf.DUMMYFUNCTION("""COMPUTED_VALUE"""),"7.1628688")</f>
        <v>7.1628688</v>
      </c>
      <c r="Z2772" s="4" t="str">
        <f>IFERROR(__xludf.DUMMYFUNCTION("""COMPUTED_VALUE"""),"3.3477076")</f>
        <v>3.3477076</v>
      </c>
      <c r="AA2772" s="4" t="str">
        <f t="shared" si="1"/>
        <v>Neighbor</v>
      </c>
      <c r="AC2772" s="4">
        <f>IFERROR(__xludf.DUMMYFUNCTION("IFERROR(ABS(O2772-AVERAGE(FILTER(O2772:O6840,AA2772:AA6840=""Neighbor""))) / STDEV(FILTER(O2772:O6840, AA2772:AA6840 =""Neighbor"")), """")"),0.27170013882418886)</f>
        <v>0.2717001388</v>
      </c>
      <c r="AD2772" s="4">
        <f>IFERROR(__xludf.DUMMYFUNCTION("IFERROR(ABS(P2772-AVERAGE(FILTER(O2772:P6840,AA2772:AA6840=""Neighbor""))) / STDEV(FILTER(P2772:P6840, AA2772:AA6840 =""Neighbor"")), """")"),1.251449635711233)</f>
        <v>1.251449636</v>
      </c>
      <c r="AE2772" s="2">
        <f>IFERROR(__xludf.DUMMYFUNCTION("IFERROR(ABS(Q2772-AVERAGE(FILTER(Q2772:Q6840,AA2772:AA6840=""Neighbor""))) / STDEV(FILTER(Q2772:Q6840, AA2772:AA6840 =""Neighbor"")), """")"),0.17116655429482738)</f>
        <v>0.1711665543</v>
      </c>
      <c r="AF2772" s="2">
        <f>IFERROR(__xludf.DUMMYFUNCTION("IFERROR(ABS(R2772-AVERAGE(FILTER(R2772:R6840,AA2772:AA6840=""Neighbor""))) / STDEV(FILTER(R2772:R6840, AA2772:AA6840 =""Neighbor"")), """")"),0.3360867368713622)</f>
        <v>0.3360867369</v>
      </c>
    </row>
    <row r="2773">
      <c r="A2773" s="2" t="s">
        <v>28</v>
      </c>
      <c r="B2773" s="2" t="s">
        <v>884</v>
      </c>
      <c r="C2773" s="2" t="s">
        <v>1042</v>
      </c>
      <c r="D2773" s="2" t="s">
        <v>11345</v>
      </c>
      <c r="E2773" s="2" t="s">
        <v>11346</v>
      </c>
      <c r="F2773" s="2">
        <v>67.0</v>
      </c>
      <c r="G2773" s="2">
        <v>128.0</v>
      </c>
      <c r="H2773" s="2" t="b">
        <v>1</v>
      </c>
      <c r="I2773" s="2">
        <v>-1.0</v>
      </c>
      <c r="J2773" s="2" t="b">
        <v>0</v>
      </c>
      <c r="K2773" s="2" t="b">
        <v>0</v>
      </c>
      <c r="L2773" s="2" t="b">
        <v>0</v>
      </c>
      <c r="M2773" s="2" t="b">
        <v>0</v>
      </c>
      <c r="N2773" s="2" t="s">
        <v>33</v>
      </c>
      <c r="O2773" s="2">
        <v>35.0</v>
      </c>
      <c r="P2773" s="2">
        <v>1.0</v>
      </c>
      <c r="Q2773" s="2">
        <v>12.0</v>
      </c>
      <c r="R2773" s="2">
        <v>0.0</v>
      </c>
      <c r="S2773" s="3" t="s">
        <v>11347</v>
      </c>
      <c r="T2773" s="2" t="s">
        <v>11348</v>
      </c>
      <c r="Y2773" s="4" t="str">
        <f>IFERROR(__xludf.DUMMYFUNCTION("""COMPUTED_VALUE"""),"7.1628688")</f>
        <v>7.1628688</v>
      </c>
      <c r="Z2773" s="4" t="str">
        <f>IFERROR(__xludf.DUMMYFUNCTION("""COMPUTED_VALUE"""),"3.3477076")</f>
        <v>3.3477076</v>
      </c>
      <c r="AA2773" s="4" t="str">
        <f t="shared" si="1"/>
        <v>Neighbor</v>
      </c>
      <c r="AC2773" s="4">
        <f>IFERROR(__xludf.DUMMYFUNCTION("IFERROR(ABS(O2773-AVERAGE(FILTER(O2773:O6841,AA2773:AA6841=""Neighbor""))) / STDEV(FILTER(O2773:O6841, AA2773:AA6841 =""Neighbor"")), """")"),0.38350151284159584)</f>
        <v>0.3835015128</v>
      </c>
      <c r="AD2773" s="4">
        <f>IFERROR(__xludf.DUMMYFUNCTION("IFERROR(ABS(P2773-AVERAGE(FILTER(O2773:P6841,AA2773:AA6841=""Neighbor""))) / STDEV(FILTER(P2773:P6841, AA2773:AA6841 =""Neighbor"")), """")"),1.333171161176759)</f>
        <v>1.333171161</v>
      </c>
      <c r="AE2773" s="2">
        <f>IFERROR(__xludf.DUMMYFUNCTION("IFERROR(ABS(Q2773-AVERAGE(FILTER(Q2773:Q6841,AA2773:AA6841=""Neighbor""))) / STDEV(FILTER(Q2773:Q6841, AA2773:AA6841 =""Neighbor"")), """")"),0.17546183467119203)</f>
        <v>0.1754618347</v>
      </c>
      <c r="AF2773" s="2">
        <f>IFERROR(__xludf.DUMMYFUNCTION("IFERROR(ABS(R2773-AVERAGE(FILTER(R2773:R6841,AA2773:AA6841=""Neighbor""))) / STDEV(FILTER(R2773:R6841, AA2773:AA6841 =""Neighbor"")), """")"),0.336477213450472)</f>
        <v>0.3364772135</v>
      </c>
    </row>
    <row r="2774">
      <c r="A2774" s="2" t="s">
        <v>28</v>
      </c>
      <c r="B2774" s="2" t="s">
        <v>884</v>
      </c>
      <c r="C2774" s="2" t="s">
        <v>1042</v>
      </c>
      <c r="D2774" s="2" t="s">
        <v>11349</v>
      </c>
      <c r="E2774" s="2" t="s">
        <v>11350</v>
      </c>
      <c r="F2774" s="2">
        <v>100.0</v>
      </c>
      <c r="G2774" s="2">
        <v>162.0</v>
      </c>
      <c r="H2774" s="2" t="b">
        <v>1</v>
      </c>
      <c r="I2774" s="2">
        <v>-1.0</v>
      </c>
      <c r="J2774" s="2" t="b">
        <v>1</v>
      </c>
      <c r="K2774" s="2" t="b">
        <v>0</v>
      </c>
      <c r="L2774" s="2" t="b">
        <v>0</v>
      </c>
      <c r="M2774" s="2" t="b">
        <v>0</v>
      </c>
      <c r="N2774" s="2" t="s">
        <v>33</v>
      </c>
      <c r="O2774" s="2">
        <v>59.0</v>
      </c>
      <c r="P2774" s="2">
        <v>5.0</v>
      </c>
      <c r="Q2774" s="2">
        <v>28.0</v>
      </c>
      <c r="R2774" s="2">
        <v>0.0</v>
      </c>
      <c r="S2774" s="3" t="s">
        <v>11351</v>
      </c>
      <c r="T2774" s="2" t="s">
        <v>11352</v>
      </c>
      <c r="Y2774" s="4" t="str">
        <f>IFERROR(__xludf.DUMMYFUNCTION("""COMPUTED_VALUE"""),"7.1628688")</f>
        <v>7.1628688</v>
      </c>
      <c r="Z2774" s="4" t="str">
        <f>IFERROR(__xludf.DUMMYFUNCTION("""COMPUTED_VALUE"""),"3.3477076")</f>
        <v>3.3477076</v>
      </c>
      <c r="AA2774" s="4" t="str">
        <f t="shared" si="1"/>
        <v>Neighbor</v>
      </c>
      <c r="AC2774" s="4">
        <f>IFERROR(__xludf.DUMMYFUNCTION("IFERROR(ABS(O2774-AVERAGE(FILTER(O2774:O6842,AA2774:AA6842=""Neighbor""))) / STDEV(FILTER(O2774:O6842, AA2774:AA6842 =""Neighbor"")), """")"),0.29943287605652097)</f>
        <v>0.2994328761</v>
      </c>
      <c r="AD2774" s="4">
        <f>IFERROR(__xludf.DUMMYFUNCTION("IFERROR(ABS(P2774-AVERAGE(FILTER(O2774:P6842,AA2774:AA6842=""Neighbor""))) / STDEV(FILTER(P2774:P6842, AA2774:AA6842 =""Neighbor"")), """")"),1.1693836794270063)</f>
        <v>1.169383679</v>
      </c>
      <c r="AE2774" s="2">
        <f>IFERROR(__xludf.DUMMYFUNCTION("IFERROR(ABS(Q2774-AVERAGE(FILTER(Q2774:Q6842,AA2774:AA6842=""Neighbor""))) / STDEV(FILTER(Q2774:Q6842, AA2774:AA6842 =""Neighbor"")), """")"),0.7482415944687466)</f>
        <v>0.7482415945</v>
      </c>
      <c r="AF2774" s="2">
        <f>IFERROR(__xludf.DUMMYFUNCTION("IFERROR(ABS(R2774-AVERAGE(FILTER(R2774:R6842,AA2774:AA6842=""Neighbor""))) / STDEV(FILTER(R2774:R6842, AA2774:AA6842 =""Neighbor"")), """")"),0.3368690545502163)</f>
        <v>0.3368690546</v>
      </c>
    </row>
    <row r="2775">
      <c r="A2775" s="2" t="s">
        <v>28</v>
      </c>
      <c r="B2775" s="2" t="s">
        <v>884</v>
      </c>
      <c r="C2775" s="2" t="s">
        <v>1042</v>
      </c>
      <c r="D2775" s="2" t="s">
        <v>11353</v>
      </c>
      <c r="E2775" s="2" t="s">
        <v>11354</v>
      </c>
      <c r="F2775" s="2">
        <v>41.0</v>
      </c>
      <c r="G2775" s="2">
        <v>101.0</v>
      </c>
      <c r="H2775" s="2" t="b">
        <v>1</v>
      </c>
      <c r="I2775" s="2">
        <v>-1.0</v>
      </c>
      <c r="J2775" s="2" t="b">
        <v>1</v>
      </c>
      <c r="K2775" s="2" t="b">
        <v>0</v>
      </c>
      <c r="L2775" s="2" t="b">
        <v>0</v>
      </c>
      <c r="M2775" s="2" t="b">
        <v>0</v>
      </c>
      <c r="N2775" s="2" t="s">
        <v>33</v>
      </c>
      <c r="O2775" s="2">
        <v>18.0</v>
      </c>
      <c r="P2775" s="2">
        <v>0.0</v>
      </c>
      <c r="Q2775" s="2">
        <v>11.0</v>
      </c>
      <c r="R2775" s="2">
        <v>0.0</v>
      </c>
      <c r="S2775" s="3" t="s">
        <v>11355</v>
      </c>
      <c r="T2775" s="2" t="s">
        <v>11356</v>
      </c>
      <c r="Y2775" s="4" t="str">
        <f>IFERROR(__xludf.DUMMYFUNCTION("""COMPUTED_VALUE"""),"7.1628688")</f>
        <v>7.1628688</v>
      </c>
      <c r="Z2775" s="4" t="str">
        <f>IFERROR(__xludf.DUMMYFUNCTION("""COMPUTED_VALUE"""),"3.3477076")</f>
        <v>3.3477076</v>
      </c>
      <c r="AA2775" s="4" t="str">
        <f t="shared" si="1"/>
        <v>Neighbor</v>
      </c>
      <c r="AC2775" s="4">
        <f>IFERROR(__xludf.DUMMYFUNCTION("IFERROR(ABS(O2775-AVERAGE(FILTER(O2775:O6843,AA2775:AA6843=""Neighbor""))) / STDEV(FILTER(O2775:O6843, AA2775:AA6843 =""Neighbor"")), """")"),0.8665740962077764)</f>
        <v>0.8665740962</v>
      </c>
      <c r="AD2775" s="4">
        <f>IFERROR(__xludf.DUMMYFUNCTION("IFERROR(ABS(P2775-AVERAGE(FILTER(O2775:P6843,AA2775:AA6843=""Neighbor""))) / STDEV(FILTER(P2775:P6843, AA2775:AA6843 =""Neighbor"")), """")"),1.3740435632753296)</f>
        <v>1.374043563</v>
      </c>
      <c r="AE2775" s="2">
        <f>IFERROR(__xludf.DUMMYFUNCTION("IFERROR(ABS(Q2775-AVERAGE(FILTER(Q2775:Q6843,AA2775:AA6843=""Neighbor""))) / STDEV(FILTER(Q2775:Q6843, AA2775:AA6843 =""Neighbor"")), """")"),0.23171526138918214)</f>
        <v>0.2317152614</v>
      </c>
      <c r="AF2775" s="2">
        <f>IFERROR(__xludf.DUMMYFUNCTION("IFERROR(ABS(R2775-AVERAGE(FILTER(R2775:R6843,AA2775:AA6843=""Neighbor""))) / STDEV(FILTER(R2775:R6843, AA2775:AA6843 =""Neighbor"")), """")"),0.3372622681381346)</f>
        <v>0.3372622681</v>
      </c>
    </row>
    <row r="2776">
      <c r="A2776" s="2" t="s">
        <v>28</v>
      </c>
      <c r="B2776" s="2" t="s">
        <v>884</v>
      </c>
      <c r="C2776" s="2" t="s">
        <v>1042</v>
      </c>
      <c r="D2776" s="2" t="s">
        <v>11357</v>
      </c>
      <c r="E2776" s="2" t="s">
        <v>11354</v>
      </c>
      <c r="F2776" s="2">
        <v>41.0</v>
      </c>
      <c r="G2776" s="2">
        <v>101.0</v>
      </c>
      <c r="H2776" s="2" t="b">
        <v>1</v>
      </c>
      <c r="I2776" s="2">
        <v>-1.0</v>
      </c>
      <c r="J2776" s="2" t="b">
        <v>0</v>
      </c>
      <c r="K2776" s="2" t="b">
        <v>0</v>
      </c>
      <c r="L2776" s="2" t="b">
        <v>0</v>
      </c>
      <c r="M2776" s="2" t="b">
        <v>0</v>
      </c>
      <c r="N2776" s="2" t="s">
        <v>33</v>
      </c>
      <c r="O2776" s="2">
        <v>18.0</v>
      </c>
      <c r="P2776" s="2">
        <v>15.0</v>
      </c>
      <c r="Q2776" s="2">
        <v>11.0</v>
      </c>
      <c r="R2776" s="2">
        <v>0.0</v>
      </c>
      <c r="S2776" s="3" t="s">
        <v>11355</v>
      </c>
      <c r="T2776" s="2" t="s">
        <v>11356</v>
      </c>
      <c r="Y2776" s="4" t="str">
        <f>IFERROR(__xludf.DUMMYFUNCTION("""COMPUTED_VALUE"""),"7.1628688")</f>
        <v>7.1628688</v>
      </c>
      <c r="Z2776" s="4" t="str">
        <f>IFERROR(__xludf.DUMMYFUNCTION("""COMPUTED_VALUE"""),"3.3477076")</f>
        <v>3.3477076</v>
      </c>
      <c r="AA2776" s="4" t="str">
        <f t="shared" si="1"/>
        <v>Not Neighbor</v>
      </c>
      <c r="AC2776" s="4">
        <f>IFERROR(__xludf.DUMMYFUNCTION("IFERROR(ABS(O2776-AVERAGE(FILTER(O2776:O6844,AA2776:AA6844=""Neighbor""))) / STDEV(FILTER(O2776:O6844, AA2776:AA6844 =""Neighbor"")), """")"),0.8681718624561605)</f>
        <v>0.8681718625</v>
      </c>
      <c r="AD2776" s="4">
        <f>IFERROR(__xludf.DUMMYFUNCTION("IFERROR(ABS(P2776-AVERAGE(FILTER(O2776:P6844,AA2776:AA6844=""Neighbor""))) / STDEV(FILTER(P2776:P6844, AA2776:AA6844 =""Neighbor"")), """")"),0.7596465455455685)</f>
        <v>0.7596465455</v>
      </c>
      <c r="AE2776" s="2">
        <f>IFERROR(__xludf.DUMMYFUNCTION("IFERROR(ABS(Q2776-AVERAGE(FILTER(Q2776:Q6844,AA2776:AA6844=""Neighbor""))) / STDEV(FILTER(Q2776:Q6844, AA2776:AA6844 =""Neighbor"")), """")"),0.23197166842861863)</f>
        <v>0.2319716684</v>
      </c>
      <c r="AF2776" s="2">
        <f>IFERROR(__xludf.DUMMYFUNCTION("IFERROR(ABS(R2776-AVERAGE(FILTER(R2776:R6844,AA2776:AA6844=""Neighbor""))) / STDEV(FILTER(R2776:R6844, AA2776:AA6844 =""Neighbor"")), """")"),0.3376568622470632)</f>
        <v>0.3376568622</v>
      </c>
    </row>
    <row r="2777">
      <c r="A2777" s="2" t="s">
        <v>28</v>
      </c>
      <c r="B2777" s="2" t="s">
        <v>884</v>
      </c>
      <c r="C2777" s="2" t="s">
        <v>1457</v>
      </c>
      <c r="D2777" s="2" t="s">
        <v>11358</v>
      </c>
      <c r="E2777" s="2" t="s">
        <v>11359</v>
      </c>
      <c r="F2777" s="2">
        <v>45.0</v>
      </c>
      <c r="G2777" s="2">
        <v>113.0</v>
      </c>
      <c r="H2777" s="2" t="b">
        <v>1</v>
      </c>
      <c r="I2777" s="2">
        <v>-1.0</v>
      </c>
      <c r="J2777" s="2" t="b">
        <v>0</v>
      </c>
      <c r="K2777" s="2" t="b">
        <v>0</v>
      </c>
      <c r="L2777" s="2" t="b">
        <v>0</v>
      </c>
      <c r="M2777" s="2" t="b">
        <v>0</v>
      </c>
      <c r="N2777" s="2" t="s">
        <v>33</v>
      </c>
      <c r="O2777" s="2">
        <v>14.0</v>
      </c>
      <c r="P2777" s="2">
        <v>20.0</v>
      </c>
      <c r="Q2777" s="2">
        <v>10.0</v>
      </c>
      <c r="R2777" s="2">
        <v>0.0</v>
      </c>
      <c r="S2777" s="3" t="s">
        <v>11360</v>
      </c>
      <c r="T2777" s="2" t="s">
        <v>11361</v>
      </c>
      <c r="Y2777" s="4" t="str">
        <f>IFERROR(__xludf.DUMMYFUNCTION("""COMPUTED_VALUE"""),"7.144451")</f>
        <v>7.144451</v>
      </c>
      <c r="Z2777" s="4" t="str">
        <f>IFERROR(__xludf.DUMMYFUNCTION("""COMPUTED_VALUE"""),"3.3440441")</f>
        <v>3.3440441</v>
      </c>
      <c r="AA2777" s="4" t="str">
        <f t="shared" si="1"/>
        <v>Neighbor</v>
      </c>
      <c r="AC2777" s="4">
        <f>IFERROR(__xludf.DUMMYFUNCTION("IFERROR(ABS(O2777-AVERAGE(FILTER(O2777:O6845,AA2777:AA6845=""Neighbor""))) / STDEV(FILTER(O2777:O6845, AA2777:AA6845 =""Neighbor"")), """")"),0.9819323133986919)</f>
        <v>0.9819323134</v>
      </c>
      <c r="AD2777" s="4">
        <f>IFERROR(__xludf.DUMMYFUNCTION("IFERROR(ABS(P2777-AVERAGE(FILTER(O2777:P6845,AA2777:AA6845=""Neighbor""))) / STDEV(FILTER(P2777:P6845, AA2777:AA6845 =""Neighbor"")), """")"),0.5543483496340159)</f>
        <v>0.5543483496</v>
      </c>
      <c r="AE2777" s="2">
        <f>IFERROR(__xludf.DUMMYFUNCTION("IFERROR(ABS(Q2777-AVERAGE(FILTER(Q2777:Q6845,AA2777:AA6845=""Neighbor""))) / STDEV(FILTER(Q2777:Q6845, AA2777:AA6845 =""Neighbor"")), """")"),0.2896307696863862)</f>
        <v>0.2896307697</v>
      </c>
      <c r="AF2777" s="2">
        <f>IFERROR(__xludf.DUMMYFUNCTION("IFERROR(ABS(R2777-AVERAGE(FILTER(R2777:R6845,AA2777:AA6845=""Neighbor""))) / STDEV(FILTER(R2777:R6845, AA2777:AA6845 =""Neighbor"")), """")"),0.3376568622470632)</f>
        <v>0.3376568622</v>
      </c>
    </row>
    <row r="2778">
      <c r="A2778" s="2" t="s">
        <v>28</v>
      </c>
      <c r="B2778" s="2" t="s">
        <v>884</v>
      </c>
      <c r="C2778" s="2" t="s">
        <v>1457</v>
      </c>
      <c r="D2778" s="2" t="s">
        <v>11362</v>
      </c>
      <c r="E2778" s="2" t="s">
        <v>11363</v>
      </c>
      <c r="F2778" s="2">
        <v>112.0</v>
      </c>
      <c r="G2778" s="2">
        <v>509.0</v>
      </c>
      <c r="H2778" s="2" t="b">
        <v>1</v>
      </c>
      <c r="I2778" s="2">
        <v>-1.0</v>
      </c>
      <c r="J2778" s="2" t="b">
        <v>0</v>
      </c>
      <c r="K2778" s="2" t="b">
        <v>0</v>
      </c>
      <c r="L2778" s="2" t="b">
        <v>0</v>
      </c>
      <c r="M2778" s="2" t="b">
        <v>0</v>
      </c>
      <c r="N2778" s="2" t="s">
        <v>33</v>
      </c>
      <c r="O2778" s="2">
        <v>67.0</v>
      </c>
      <c r="P2778" s="2">
        <v>33.0</v>
      </c>
      <c r="Q2778" s="2">
        <v>7.0</v>
      </c>
      <c r="R2778" s="2">
        <v>0.0</v>
      </c>
      <c r="S2778" s="3" t="s">
        <v>11364</v>
      </c>
      <c r="T2778" s="2" t="s">
        <v>11365</v>
      </c>
      <c r="Y2778" s="4" t="str">
        <f>IFERROR(__xludf.DUMMYFUNCTION("""COMPUTED_VALUE"""),"7.1372983")</f>
        <v>7.1372983</v>
      </c>
      <c r="Z2778" s="4" t="str">
        <f>IFERROR(__xludf.DUMMYFUNCTION("""COMPUTED_VALUE"""),"3.3514863")</f>
        <v>3.3514863</v>
      </c>
      <c r="AA2778" s="4" t="str">
        <f t="shared" si="1"/>
        <v>Neighbor</v>
      </c>
      <c r="AC2778" s="4">
        <f>IFERROR(__xludf.DUMMYFUNCTION("IFERROR(ABS(O2778-AVERAGE(FILTER(O2778:O6846,AA2778:AA6846=""Neighbor""))) / STDEV(FILTER(O2778:O6846, AA2778:AA6846 =""Neighbor"")), """")"),0.5233033914096048)</f>
        <v>0.5233033914</v>
      </c>
      <c r="AD2778" s="4">
        <f>IFERROR(__xludf.DUMMYFUNCTION("IFERROR(ABS(P2778-AVERAGE(FILTER(O2778:P6846,AA2778:AA6846=""Neighbor""))) / STDEV(FILTER(P2778:P6846, AA2778:AA6846 =""Neighbor"")), """")"),0.021979292123502525)</f>
        <v>0.02197929212</v>
      </c>
      <c r="AE2778" s="2">
        <f>IFERROR(__xludf.DUMMYFUNCTION("IFERROR(ABS(Q2778-AVERAGE(FILTER(Q2778:Q6846,AA2778:AA6846=""Neighbor""))) / STDEV(FILTER(Q2778:Q6846, AA2778:AA6846 =""Neighbor"")), """")"),0.4627712607005354)</f>
        <v>0.4627712607</v>
      </c>
      <c r="AF2778" s="2">
        <f>IFERROR(__xludf.DUMMYFUNCTION("IFERROR(ABS(R2778-AVERAGE(FILTER(R2778:R6846,AA2778:AA6846=""Neighbor""))) / STDEV(FILTER(R2778:R6846, AA2778:AA6846 =""Neighbor"")), """")"),0.33805284497582705)</f>
        <v>0.338052845</v>
      </c>
    </row>
    <row r="2779">
      <c r="A2779" s="2" t="s">
        <v>28</v>
      </c>
      <c r="B2779" s="2" t="s">
        <v>884</v>
      </c>
      <c r="C2779" s="2" t="s">
        <v>1457</v>
      </c>
      <c r="D2779" s="2" t="s">
        <v>11366</v>
      </c>
      <c r="E2779" s="2" t="s">
        <v>11367</v>
      </c>
      <c r="F2779" s="2">
        <v>124.0</v>
      </c>
      <c r="G2779" s="2">
        <v>750.0</v>
      </c>
      <c r="H2779" s="2" t="b">
        <v>1</v>
      </c>
      <c r="I2779" s="2">
        <v>-1.0</v>
      </c>
      <c r="J2779" s="2" t="b">
        <v>0</v>
      </c>
      <c r="K2779" s="2" t="b">
        <v>0</v>
      </c>
      <c r="L2779" s="2" t="b">
        <v>0</v>
      </c>
      <c r="M2779" s="2" t="b">
        <v>0</v>
      </c>
      <c r="N2779" s="2" t="s">
        <v>33</v>
      </c>
      <c r="O2779" s="2">
        <v>68.0</v>
      </c>
      <c r="P2779" s="2">
        <v>21.0</v>
      </c>
      <c r="Q2779" s="2">
        <v>35.0</v>
      </c>
      <c r="R2779" s="2">
        <v>0.0</v>
      </c>
      <c r="S2779" s="3" t="s">
        <v>11368</v>
      </c>
      <c r="T2779" s="2" t="s">
        <v>11369</v>
      </c>
      <c r="Y2779" s="4" t="str">
        <f>IFERROR(__xludf.DUMMYFUNCTION("""COMPUTED_VALUE"""),"7.1372983")</f>
        <v>7.1372983</v>
      </c>
      <c r="Z2779" s="4" t="str">
        <f>IFERROR(__xludf.DUMMYFUNCTION("""COMPUTED_VALUE"""),"3.3514863")</f>
        <v>3.3514863</v>
      </c>
      <c r="AA2779" s="4" t="str">
        <f t="shared" si="1"/>
        <v>Neighbor</v>
      </c>
      <c r="AC2779" s="4">
        <f>IFERROR(__xludf.DUMMYFUNCTION("IFERROR(ABS(O2779-AVERAGE(FILTER(O2779:O6847,AA2779:AA6847=""Neighbor""))) / STDEV(FILTER(O2779:O6847, AA2779:AA6847 =""Neighbor"")), """")"),0.5524243986528459)</f>
        <v>0.5524243987</v>
      </c>
      <c r="AD2779" s="4">
        <f>IFERROR(__xludf.DUMMYFUNCTION("IFERROR(ABS(P2779-AVERAGE(FILTER(O2779:P6847,AA2779:AA6847=""Neighbor""))) / STDEV(FILTER(P2779:P6847, AA2779:AA6847 =""Neighbor"")), """")"),0.5123997384362885)</f>
        <v>0.5123997384</v>
      </c>
      <c r="AE2779" s="2">
        <f>IFERROR(__xludf.DUMMYFUNCTION("IFERROR(ABS(Q2779-AVERAGE(FILTER(Q2779:Q6847,AA2779:AA6847=""Neighbor""))) / STDEV(FILTER(Q2779:Q6847, AA2779:AA6847 =""Neighbor"")), """")"),1.1481894426118435)</f>
        <v>1.148189443</v>
      </c>
      <c r="AF2779" s="2">
        <f>IFERROR(__xludf.DUMMYFUNCTION("IFERROR(ABS(R2779-AVERAGE(FILTER(R2779:R6847,AA2779:AA6847=""Neighbor""))) / STDEV(FILTER(R2779:R6847, AA2779:AA6847 =""Neighbor"")), """")"),0.3384502244899365)</f>
        <v>0.3384502245</v>
      </c>
    </row>
    <row r="2780">
      <c r="A2780" s="2" t="s">
        <v>28</v>
      </c>
      <c r="B2780" s="2" t="s">
        <v>884</v>
      </c>
      <c r="C2780" s="2" t="s">
        <v>1457</v>
      </c>
      <c r="D2780" s="2" t="s">
        <v>11370</v>
      </c>
      <c r="E2780" s="2" t="s">
        <v>11371</v>
      </c>
      <c r="F2780" s="2">
        <v>46.0</v>
      </c>
      <c r="G2780" s="2">
        <v>93.0</v>
      </c>
      <c r="H2780" s="2" t="b">
        <v>1</v>
      </c>
      <c r="I2780" s="2">
        <v>-1.0</v>
      </c>
      <c r="J2780" s="2" t="b">
        <v>0</v>
      </c>
      <c r="K2780" s="2" t="b">
        <v>0</v>
      </c>
      <c r="L2780" s="2" t="b">
        <v>0</v>
      </c>
      <c r="M2780" s="2" t="b">
        <v>0</v>
      </c>
      <c r="N2780" s="2" t="s">
        <v>33</v>
      </c>
      <c r="O2780" s="2">
        <v>0.0</v>
      </c>
      <c r="P2780" s="2">
        <v>0.0</v>
      </c>
      <c r="Q2780" s="2">
        <v>0.0</v>
      </c>
      <c r="R2780" s="2">
        <v>0.0</v>
      </c>
      <c r="S2780" s="3" t="s">
        <v>11372</v>
      </c>
      <c r="T2780" s="2" t="s">
        <v>11373</v>
      </c>
      <c r="Y2780" s="4" t="str">
        <f>IFERROR(__xludf.DUMMYFUNCTION("""COMPUTED_VALUE"""),"7.1372983")</f>
        <v>7.1372983</v>
      </c>
      <c r="Z2780" s="4" t="str">
        <f>IFERROR(__xludf.DUMMYFUNCTION("""COMPUTED_VALUE"""),"3.3514863")</f>
        <v>3.3514863</v>
      </c>
      <c r="AA2780" s="4" t="str">
        <f t="shared" si="1"/>
        <v>Neighbor</v>
      </c>
      <c r="AC2780" s="4">
        <f>IFERROR(__xludf.DUMMYFUNCTION("IFERROR(ABS(O2780-AVERAGE(FILTER(O2780:O6848,AA2780:AA6848=""Neighbor""))) / STDEV(FILTER(O2780:O6848, AA2780:AA6848 =""Neighbor"")), """")"),1.3777642172528413)</f>
        <v>1.377764217</v>
      </c>
      <c r="AD2780" s="4">
        <f>IFERROR(__xludf.DUMMYFUNCTION("IFERROR(ABS(P2780-AVERAGE(FILTER(O2780:P6848,AA2780:AA6848=""Neighbor""))) / STDEV(FILTER(P2780:P6848, AA2780:AA6848 =""Neighbor"")), """")"),1.3707649813432339)</f>
        <v>1.370764981</v>
      </c>
      <c r="AE2780" s="2">
        <f>IFERROR(__xludf.DUMMYFUNCTION("IFERROR(ABS(Q2780-AVERAGE(FILTER(Q2780:Q6848,AA2780:AA6848=""Neighbor""))) / STDEV(FILTER(Q2780:Q6848, AA2780:AA6848 =""Neighbor"")), """")"),0.8641147435867295)</f>
        <v>0.8641147436</v>
      </c>
      <c r="AF2780" s="2">
        <f>IFERROR(__xludf.DUMMYFUNCTION("IFERROR(ABS(R2780-AVERAGE(FILTER(R2780:R6848,AA2780:AA6848=""Neighbor""))) / STDEV(FILTER(R2780:R6848, AA2780:AA6848 =""Neighbor"")), """")"),0.3388490090222959)</f>
        <v>0.338849009</v>
      </c>
    </row>
    <row r="2781">
      <c r="A2781" s="2" t="s">
        <v>28</v>
      </c>
      <c r="B2781" s="2" t="s">
        <v>884</v>
      </c>
      <c r="C2781" s="2" t="s">
        <v>1457</v>
      </c>
      <c r="D2781" s="2" t="s">
        <v>11374</v>
      </c>
      <c r="E2781" s="2" t="s">
        <v>11375</v>
      </c>
      <c r="F2781" s="2">
        <v>50.0</v>
      </c>
      <c r="G2781" s="2">
        <v>107.0</v>
      </c>
      <c r="H2781" s="2" t="b">
        <v>1</v>
      </c>
      <c r="I2781" s="2">
        <v>-1.0</v>
      </c>
      <c r="J2781" s="2" t="b">
        <v>0</v>
      </c>
      <c r="K2781" s="2" t="b">
        <v>0</v>
      </c>
      <c r="L2781" s="2" t="b">
        <v>0</v>
      </c>
      <c r="M2781" s="2" t="b">
        <v>0</v>
      </c>
      <c r="N2781" s="2" t="s">
        <v>33</v>
      </c>
      <c r="O2781" s="2">
        <v>27.0</v>
      </c>
      <c r="P2781" s="2">
        <v>5.0</v>
      </c>
      <c r="Q2781" s="2">
        <v>15.0</v>
      </c>
      <c r="R2781" s="2">
        <v>0.0</v>
      </c>
      <c r="S2781" s="3" t="s">
        <v>11376</v>
      </c>
      <c r="T2781" s="2" t="s">
        <v>11377</v>
      </c>
      <c r="Y2781" s="4" t="str">
        <f>IFERROR(__xludf.DUMMYFUNCTION("""COMPUTED_VALUE"""),"7.144451")</f>
        <v>7.144451</v>
      </c>
      <c r="Z2781" s="4" t="str">
        <f>IFERROR(__xludf.DUMMYFUNCTION("""COMPUTED_VALUE"""),"3.3440441")</f>
        <v>3.3440441</v>
      </c>
      <c r="AA2781" s="4" t="str">
        <f t="shared" si="1"/>
        <v>Neighbor</v>
      </c>
      <c r="AC2781" s="4">
        <f>IFERROR(__xludf.DUMMYFUNCTION("IFERROR(ABS(O2781-AVERAGE(FILTER(O2781:O6849,AA2781:AA6849=""Neighbor""))) / STDEV(FILTER(O2781:O6849, AA2781:AA6849 =""Neighbor"")), """")"),0.614578265425883)</f>
        <v>0.6145782654</v>
      </c>
      <c r="AD2781" s="4">
        <f>IFERROR(__xludf.DUMMYFUNCTION("IFERROR(ABS(P2781-AVERAGE(FILTER(O2781:P6849,AA2781:AA6849=""Neighbor""))) / STDEV(FILTER(P2781:P6849, AA2781:AA6849 =""Neighbor"")), """")"),1.1684145350451427)</f>
        <v>1.168414535</v>
      </c>
      <c r="AE2781" s="2">
        <f>IFERROR(__xludf.DUMMYFUNCTION("IFERROR(ABS(Q2781-AVERAGE(FILTER(Q2781:Q6849,AA2781:AA6849=""Neighbor""))) / STDEV(FILTER(Q2781:Q6849, AA2781:AA6849 =""Neighbor"")), """")"),0.0023219415738181485)</f>
        <v>0.002321941574</v>
      </c>
      <c r="AF2781" s="2">
        <f>IFERROR(__xludf.DUMMYFUNCTION("IFERROR(ABS(R2781-AVERAGE(FILTER(R2781:R6849,AA2781:AA6849=""Neighbor""))) / STDEV(FILTER(R2781:R6849, AA2781:AA6849 =""Neighbor"")), """")"),0.33924920687392107)</f>
        <v>0.3392492069</v>
      </c>
    </row>
    <row r="2782">
      <c r="A2782" s="2" t="s">
        <v>28</v>
      </c>
      <c r="B2782" s="2" t="s">
        <v>884</v>
      </c>
      <c r="C2782" s="2" t="s">
        <v>1457</v>
      </c>
      <c r="D2782" s="2" t="s">
        <v>11378</v>
      </c>
      <c r="E2782" s="2" t="s">
        <v>11379</v>
      </c>
      <c r="F2782" s="2">
        <v>116.0</v>
      </c>
      <c r="G2782" s="2">
        <v>232.0</v>
      </c>
      <c r="H2782" s="2" t="b">
        <v>1</v>
      </c>
      <c r="I2782" s="2">
        <v>-1.0</v>
      </c>
      <c r="J2782" s="2" t="b">
        <v>0</v>
      </c>
      <c r="K2782" s="2" t="b">
        <v>0</v>
      </c>
      <c r="L2782" s="2" t="b">
        <v>0</v>
      </c>
      <c r="M2782" s="2" t="b">
        <v>0</v>
      </c>
      <c r="N2782" s="2" t="s">
        <v>33</v>
      </c>
      <c r="O2782" s="2">
        <v>63.0</v>
      </c>
      <c r="P2782" s="2">
        <v>7.0</v>
      </c>
      <c r="Q2782" s="2">
        <v>33.0</v>
      </c>
      <c r="R2782" s="2">
        <v>0.0</v>
      </c>
      <c r="S2782" s="3" t="s">
        <v>11380</v>
      </c>
      <c r="T2782" s="2" t="s">
        <v>11381</v>
      </c>
      <c r="Y2782" s="4" t="str">
        <f>IFERROR(__xludf.DUMMYFUNCTION("""COMPUTED_VALUE"""),"7.1487834")</f>
        <v>7.1487834</v>
      </c>
      <c r="Z2782" s="4" t="str">
        <f>IFERROR(__xludf.DUMMYFUNCTION("""COMPUTED_VALUE"""),"3.3432994")</f>
        <v>3.3432994</v>
      </c>
      <c r="AA2782" s="4" t="str">
        <f t="shared" si="1"/>
        <v>Neighbor</v>
      </c>
      <c r="AC2782" s="4">
        <f>IFERROR(__xludf.DUMMYFUNCTION("IFERROR(ABS(O2782-AVERAGE(FILTER(O2782:O6850,AA2782:AA6850=""Neighbor""))) / STDEV(FILTER(O2782:O6850, AA2782:AA6850 =""Neighbor"")), """")"),0.40709556840753364)</f>
        <v>0.4070955684</v>
      </c>
      <c r="AD2782" s="4">
        <f>IFERROR(__xludf.DUMMYFUNCTION("IFERROR(ABS(P2782-AVERAGE(FILTER(O2782:P6850,AA2782:AA6850=""Neighbor""))) / STDEV(FILTER(P2782:P6850, AA2782:AA6850 =""Neighbor"")), """")"),1.087283380640444)</f>
        <v>1.087283381</v>
      </c>
      <c r="AE2782" s="2">
        <f>IFERROR(__xludf.DUMMYFUNCTION("IFERROR(ABS(Q2782-AVERAGE(FILTER(Q2782:Q6850,AA2782:AA6850=""Neighbor""))) / STDEV(FILTER(Q2782:Q6850, AA2782:AA6850 =""Neighbor"")), """")"),1.0326475784037163)</f>
        <v>1.032647578</v>
      </c>
      <c r="AF2782" s="2">
        <f>IFERROR(__xludf.DUMMYFUNCTION("IFERROR(ABS(R2782-AVERAGE(FILTER(R2782:R6850,AA2782:AA6850=""Neighbor""))) / STDEV(FILTER(R2782:R6850, AA2782:AA6850 =""Neighbor"")), """")"),0.33965082641466443)</f>
        <v>0.3396508264</v>
      </c>
    </row>
    <row r="2783">
      <c r="A2783" s="2" t="s">
        <v>28</v>
      </c>
      <c r="B2783" s="2" t="s">
        <v>884</v>
      </c>
      <c r="C2783" s="2" t="s">
        <v>1457</v>
      </c>
      <c r="D2783" s="2" t="s">
        <v>11382</v>
      </c>
      <c r="E2783" s="2" t="s">
        <v>11383</v>
      </c>
      <c r="F2783" s="2">
        <v>91.0</v>
      </c>
      <c r="G2783" s="2">
        <v>193.0</v>
      </c>
      <c r="H2783" s="2" t="b">
        <v>1</v>
      </c>
      <c r="I2783" s="2">
        <v>-1.0</v>
      </c>
      <c r="J2783" s="2" t="b">
        <v>0</v>
      </c>
      <c r="K2783" s="2" t="b">
        <v>0</v>
      </c>
      <c r="L2783" s="2" t="b">
        <v>0</v>
      </c>
      <c r="M2783" s="2" t="b">
        <v>0</v>
      </c>
      <c r="N2783" s="2" t="s">
        <v>33</v>
      </c>
      <c r="O2783" s="2">
        <v>54.0</v>
      </c>
      <c r="P2783" s="2">
        <v>20.0</v>
      </c>
      <c r="Q2783" s="2">
        <v>12.0</v>
      </c>
      <c r="R2783" s="2">
        <v>0.0</v>
      </c>
      <c r="S2783" s="3" t="s">
        <v>11384</v>
      </c>
      <c r="T2783" s="2" t="s">
        <v>11385</v>
      </c>
      <c r="Y2783" s="4" t="str">
        <f>IFERROR(__xludf.DUMMYFUNCTION("""COMPUTED_VALUE"""),"7.144451")</f>
        <v>7.144451</v>
      </c>
      <c r="Z2783" s="4" t="str">
        <f>IFERROR(__xludf.DUMMYFUNCTION("""COMPUTED_VALUE"""),"3.3440441")</f>
        <v>3.3440441</v>
      </c>
      <c r="AA2783" s="4" t="str">
        <f t="shared" si="1"/>
        <v>Neighbor</v>
      </c>
      <c r="AC2783" s="4">
        <f>IFERROR(__xludf.DUMMYFUNCTION("IFERROR(ABS(O2783-AVERAGE(FILTER(O2783:O6851,AA2783:AA6851=""Neighbor""))) / STDEV(FILTER(O2783:O6851, AA2783:AA6851 =""Neighbor"")), """")"),0.1521846027001952)</f>
        <v>0.1521846027</v>
      </c>
      <c r="AD2783" s="4">
        <f>IFERROR(__xludf.DUMMYFUNCTION("IFERROR(ABS(P2783-AVERAGE(FILTER(O2783:P6851,AA2783:AA6851=""Neighbor""))) / STDEV(FILTER(P2783:P6851, AA2783:AA6851 =""Neighbor"")), """")"),0.5550433223485397)</f>
        <v>0.5550433223</v>
      </c>
      <c r="AE2783" s="2">
        <f>IFERROR(__xludf.DUMMYFUNCTION("IFERROR(ABS(Q2783-AVERAGE(FILTER(Q2783:Q6851,AA2783:AA6851=""Neighbor""))) / STDEV(FILTER(Q2783:Q6851, AA2783:AA6851 =""Neighbor"")), """")"),0.17263058762054237)</f>
        <v>0.1726305876</v>
      </c>
      <c r="AF2783" s="2">
        <f>IFERROR(__xludf.DUMMYFUNCTION("IFERROR(ABS(R2783-AVERAGE(FILTER(R2783:R6851,AA2783:AA6851=""Neighbor""))) / STDEV(FILTER(R2783:R6851, AA2783:AA6851 =""Neighbor"")), """")"),0.3400538760839517)</f>
        <v>0.3400538761</v>
      </c>
    </row>
    <row r="2784">
      <c r="A2784" s="2" t="s">
        <v>28</v>
      </c>
      <c r="B2784" s="2" t="s">
        <v>884</v>
      </c>
      <c r="C2784" s="2" t="s">
        <v>1457</v>
      </c>
      <c r="D2784" s="2" t="s">
        <v>11386</v>
      </c>
      <c r="E2784" s="2" t="s">
        <v>11387</v>
      </c>
      <c r="F2784" s="2">
        <v>36.0</v>
      </c>
      <c r="G2784" s="2">
        <v>64.0</v>
      </c>
      <c r="H2784" s="2" t="b">
        <v>1</v>
      </c>
      <c r="I2784" s="2">
        <v>-1.0</v>
      </c>
      <c r="J2784" s="2" t="b">
        <v>0</v>
      </c>
      <c r="K2784" s="2" t="b">
        <v>0</v>
      </c>
      <c r="L2784" s="2" t="b">
        <v>0</v>
      </c>
      <c r="M2784" s="2" t="b">
        <v>0</v>
      </c>
      <c r="N2784" s="2" t="s">
        <v>33</v>
      </c>
      <c r="O2784" s="2">
        <v>8.0</v>
      </c>
      <c r="P2784" s="2">
        <v>2.0</v>
      </c>
      <c r="Q2784" s="2">
        <v>18.0</v>
      </c>
      <c r="R2784" s="2">
        <v>0.0</v>
      </c>
      <c r="S2784" s="3" t="s">
        <v>11388</v>
      </c>
      <c r="T2784" s="2" t="s">
        <v>11389</v>
      </c>
      <c r="Y2784" s="4" t="str">
        <f>IFERROR(__xludf.DUMMYFUNCTION("""COMPUTED_VALUE"""),"7.1440283")</f>
        <v>7.1440283</v>
      </c>
      <c r="Z2784" s="4" t="str">
        <f>IFERROR(__xludf.DUMMYFUNCTION("""COMPUTED_VALUE"""),"3.3502267")</f>
        <v>3.3502267</v>
      </c>
      <c r="AA2784" s="4" t="str">
        <f t="shared" si="1"/>
        <v>Not Neighbor</v>
      </c>
      <c r="AC2784" s="4">
        <f>IFERROR(__xludf.DUMMYFUNCTION("IFERROR(ABS(O2784-AVERAGE(FILTER(O2784:O6852,AA2784:AA6852=""Neighbor""))) / STDEV(FILTER(O2784:O6852, AA2784:AA6852 =""Neighbor"")), """")"),1.1517458242232665)</f>
        <v>1.151745824</v>
      </c>
      <c r="AD2784" s="4">
        <f>IFERROR(__xludf.DUMMYFUNCTION("IFERROR(ABS(P2784-AVERAGE(FILTER(O2784:P6852,AA2784:AA6852=""Neighbor""))) / STDEV(FILTER(P2784:P6852, AA2784:AA6852 =""Neighbor"")), """")"),1.2888978936580635)</f>
        <v>1.288897894</v>
      </c>
      <c r="AE2784" s="2">
        <f>IFERROR(__xludf.DUMMYFUNCTION("IFERROR(ABS(Q2784-AVERAGE(FILTER(Q2784:Q6852,AA2784:AA6852=""Neighbor""))) / STDEV(FILTER(Q2784:Q6852, AA2784:AA6852 =""Neighbor"")), """")"),0.17183811128075932)</f>
        <v>0.1718381113</v>
      </c>
      <c r="AF2784" s="2">
        <f>IFERROR(__xludf.DUMMYFUNCTION("IFERROR(ABS(R2784-AVERAGE(FILTER(R2784:R6852,AA2784:AA6852=""Neighbor""))) / STDEV(FILTER(R2784:R6852, AA2784:AA6852 =""Neighbor"")), """")"),0.34045836439152743)</f>
        <v>0.3404583644</v>
      </c>
    </row>
    <row r="2785">
      <c r="A2785" s="2" t="s">
        <v>28</v>
      </c>
      <c r="B2785" s="2" t="s">
        <v>884</v>
      </c>
      <c r="C2785" s="2" t="s">
        <v>1095</v>
      </c>
      <c r="D2785" s="2" t="s">
        <v>11390</v>
      </c>
      <c r="E2785" s="2" t="s">
        <v>11391</v>
      </c>
      <c r="F2785" s="2">
        <v>64.0</v>
      </c>
      <c r="G2785" s="2">
        <v>235.0</v>
      </c>
      <c r="H2785" s="2" t="b">
        <v>1</v>
      </c>
      <c r="I2785" s="2">
        <v>-1.0</v>
      </c>
      <c r="J2785" s="2" t="b">
        <v>0</v>
      </c>
      <c r="K2785" s="2" t="b">
        <v>1</v>
      </c>
      <c r="L2785" s="2" t="b">
        <v>0</v>
      </c>
      <c r="M2785" s="2" t="b">
        <v>0</v>
      </c>
      <c r="N2785" s="2" t="s">
        <v>33</v>
      </c>
      <c r="O2785" s="2">
        <v>33.0</v>
      </c>
      <c r="P2785" s="2">
        <v>1.0</v>
      </c>
      <c r="Q2785" s="2">
        <v>13.0</v>
      </c>
      <c r="R2785" s="2">
        <v>0.0</v>
      </c>
      <c r="S2785" s="3" t="s">
        <v>11392</v>
      </c>
      <c r="T2785" s="2" t="s">
        <v>11393</v>
      </c>
      <c r="Y2785" s="4" t="str">
        <f>IFERROR(__xludf.DUMMYFUNCTION("""COMPUTED_VALUE"""),"7.3775355")</f>
        <v>7.3775355</v>
      </c>
      <c r="Z2785" s="4" t="str">
        <f>IFERROR(__xludf.DUMMYFUNCTION("""COMPUTED_VALUE"""),"3.9470396")</f>
        <v>3.9470396</v>
      </c>
      <c r="AA2785" s="4" t="str">
        <f t="shared" si="1"/>
        <v>Not Neighbor</v>
      </c>
      <c r="AC2785" s="4">
        <f>IFERROR(__xludf.DUMMYFUNCTION("IFERROR(ABS(O2785-AVERAGE(FILTER(O2785:O6853,AA2785:AA6853=""Neighbor""))) / STDEV(FILTER(O2785:O6853, AA2785:AA6853 =""Neighbor"")), """")"),0.4429978021640324)</f>
        <v>0.4429978022</v>
      </c>
      <c r="AD2785" s="4">
        <f>IFERROR(__xludf.DUMMYFUNCTION("IFERROR(ABS(P2785-AVERAGE(FILTER(O2785:P6853,AA2785:AA6853=""Neighbor""))) / STDEV(FILTER(P2785:P6853, AA2785:AA6853 =""Neighbor"")), """")"),1.3297169912207076)</f>
        <v>1.329716991</v>
      </c>
      <c r="AE2785" s="2">
        <f>IFERROR(__xludf.DUMMYFUNCTION("IFERROR(ABS(Q2785-AVERAGE(FILTER(Q2785:Q6853,AA2785:AA6853=""Neighbor""))) / STDEV(FILTER(Q2785:Q6853, AA2785:AA6853 =""Neighbor"")), """")"),0.1153770175742241)</f>
        <v>0.1153770176</v>
      </c>
      <c r="AF2785" s="2">
        <f>IFERROR(__xludf.DUMMYFUNCTION("IFERROR(ABS(R2785-AVERAGE(FILTER(R2785:R6853,AA2785:AA6853=""Neighbor""))) / STDEV(FILTER(R2785:R6853, AA2785:AA6853 =""Neighbor"")), """")"),0.34045836439152743)</f>
        <v>0.3404583644</v>
      </c>
    </row>
    <row r="2786">
      <c r="A2786" s="2" t="s">
        <v>28</v>
      </c>
      <c r="B2786" s="2" t="s">
        <v>884</v>
      </c>
      <c r="C2786" s="2" t="s">
        <v>1095</v>
      </c>
      <c r="D2786" s="2" t="s">
        <v>11394</v>
      </c>
      <c r="E2786" s="2" t="s">
        <v>11395</v>
      </c>
      <c r="F2786" s="2">
        <v>46.0</v>
      </c>
      <c r="G2786" s="2">
        <v>86.0</v>
      </c>
      <c r="H2786" s="2" t="b">
        <v>1</v>
      </c>
      <c r="I2786" s="2">
        <v>-1.0</v>
      </c>
      <c r="J2786" s="2" t="b">
        <v>0</v>
      </c>
      <c r="K2786" s="2" t="b">
        <v>0</v>
      </c>
      <c r="L2786" s="2" t="b">
        <v>0</v>
      </c>
      <c r="M2786" s="2" t="b">
        <v>0</v>
      </c>
      <c r="N2786" s="2" t="s">
        <v>33</v>
      </c>
      <c r="O2786" s="2">
        <v>25.0</v>
      </c>
      <c r="P2786" s="2">
        <v>0.0</v>
      </c>
      <c r="Q2786" s="2">
        <v>12.0</v>
      </c>
      <c r="R2786" s="2">
        <v>0.0</v>
      </c>
      <c r="S2786" s="3" t="s">
        <v>11396</v>
      </c>
      <c r="T2786" s="2" t="s">
        <v>11397</v>
      </c>
      <c r="Y2786" s="4" t="str">
        <f>IFERROR(__xludf.DUMMYFUNCTION("""COMPUTED_VALUE"""),"7.1682475")</f>
        <v>7.1682475</v>
      </c>
      <c r="Z2786" s="4" t="str">
        <f>IFERROR(__xludf.DUMMYFUNCTION("""COMPUTED_VALUE"""),"3.3477076")</f>
        <v>3.3477076</v>
      </c>
      <c r="AA2786" s="4" t="str">
        <f t="shared" si="1"/>
        <v>Neighbor</v>
      </c>
      <c r="AC2786" s="4">
        <f>IFERROR(__xludf.DUMMYFUNCTION("IFERROR(ABS(O2786-AVERAGE(FILTER(O2786:O6854,AA2786:AA6854=""Neighbor""))) / STDEV(FILTER(O2786:O6854, AA2786:AA6854 =""Neighbor"")), """")"),0.6697971692229873)</f>
        <v>0.6697971692</v>
      </c>
      <c r="AD2786" s="4">
        <f>IFERROR(__xludf.DUMMYFUNCTION("IFERROR(ABS(P2786-AVERAGE(FILTER(O2786:P6854,AA2786:AA6854=""Neighbor""))) / STDEV(FILTER(P2786:P6854, AA2786:AA6854 =""Neighbor"")), """")"),1.3705360887833518)</f>
        <v>1.370536089</v>
      </c>
      <c r="AE2786" s="2">
        <f>IFERROR(__xludf.DUMMYFUNCTION("IFERROR(ABS(Q2786-AVERAGE(FILTER(Q2786:Q6854,AA2786:AA6854=""Neighbor""))) / STDEV(FILTER(Q2786:Q6854, AA2786:AA6854 =""Neighbor"")), """")"),0.17282004334522078)</f>
        <v>0.1728200433</v>
      </c>
      <c r="AF2786" s="2">
        <f>IFERROR(__xludf.DUMMYFUNCTION("IFERROR(ABS(R2786-AVERAGE(FILTER(R2786:R6854,AA2786:AA6854=""Neighbor""))) / STDEV(FILTER(R2786:R6854, AA2786:AA6854 =""Neighbor"")), """")"),0.34045836439152743)</f>
        <v>0.3404583644</v>
      </c>
    </row>
    <row r="2787">
      <c r="A2787" s="2" t="s">
        <v>28</v>
      </c>
      <c r="B2787" s="2" t="s">
        <v>884</v>
      </c>
      <c r="C2787" s="2" t="s">
        <v>1095</v>
      </c>
      <c r="D2787" s="2" t="s">
        <v>11398</v>
      </c>
      <c r="E2787" s="2" t="s">
        <v>11399</v>
      </c>
      <c r="F2787" s="2">
        <v>129.0</v>
      </c>
      <c r="G2787" s="2">
        <v>210.0</v>
      </c>
      <c r="H2787" s="2" t="b">
        <v>1</v>
      </c>
      <c r="I2787" s="2">
        <v>-1.0</v>
      </c>
      <c r="J2787" s="2" t="b">
        <v>0</v>
      </c>
      <c r="K2787" s="2" t="b">
        <v>0</v>
      </c>
      <c r="L2787" s="2" t="b">
        <v>0</v>
      </c>
      <c r="M2787" s="2" t="b">
        <v>0</v>
      </c>
      <c r="N2787" s="2" t="s">
        <v>33</v>
      </c>
      <c r="O2787" s="2">
        <v>63.0</v>
      </c>
      <c r="P2787" s="2">
        <v>1.0</v>
      </c>
      <c r="Q2787" s="2">
        <v>30.0</v>
      </c>
      <c r="R2787" s="2">
        <v>1.0</v>
      </c>
      <c r="S2787" s="3" t="s">
        <v>11400</v>
      </c>
      <c r="T2787" s="2" t="s">
        <v>11401</v>
      </c>
      <c r="Y2787" s="4" t="str">
        <f>IFERROR(__xludf.DUMMYFUNCTION("""COMPUTED_VALUE"""),"7.1682475")</f>
        <v>7.1682475</v>
      </c>
      <c r="Z2787" s="4" t="str">
        <f>IFERROR(__xludf.DUMMYFUNCTION("""COMPUTED_VALUE"""),"3.3477076")</f>
        <v>3.3477076</v>
      </c>
      <c r="AA2787" s="4" t="str">
        <f t="shared" si="1"/>
        <v>Not Neighbor</v>
      </c>
      <c r="AC2787" s="4">
        <f>IFERROR(__xludf.DUMMYFUNCTION("IFERROR(ABS(O2787-AVERAGE(FILTER(O2787:O6855,AA2787:AA6855=""Neighbor""))) / STDEV(FILTER(O2787:O6855, AA2787:AA6855 =""Neighbor"")), """")"),0.40582597127602266)</f>
        <v>0.4058259713</v>
      </c>
      <c r="AD2787" s="4">
        <f>IFERROR(__xludf.DUMMYFUNCTION("IFERROR(ABS(P2787-AVERAGE(FILTER(O2787:P6855,AA2787:AA6855=""Neighbor""))) / STDEV(FILTER(P2787:P6855, AA2787:AA6855 =""Neighbor"")), """")"),1.3309496185188001)</f>
        <v>1.330949619</v>
      </c>
      <c r="AE2787" s="2">
        <f>IFERROR(__xludf.DUMMYFUNCTION("IFERROR(ABS(Q2787-AVERAGE(FILTER(Q2787:Q6855,AA2787:AA6855=""Neighbor""))) / STDEV(FILTER(Q2787:Q6855, AA2787:AA6855 =""Neighbor"")), """")"),0.8598898078912476)</f>
        <v>0.8598898079</v>
      </c>
      <c r="AF2787" s="2">
        <f>IFERROR(__xludf.DUMMYFUNCTION("IFERROR(ABS(R2787-AVERAGE(FILTER(R2787:R6855,AA2787:AA6855=""Neighbor""))) / STDEV(FILTER(R2787:R6855, AA2787:AA6855 =""Neighbor"")), """")"),0.7801471653057606)</f>
        <v>0.7801471653</v>
      </c>
    </row>
    <row r="2788">
      <c r="A2788" s="2" t="s">
        <v>28</v>
      </c>
      <c r="B2788" s="2" t="s">
        <v>884</v>
      </c>
      <c r="C2788" s="2" t="s">
        <v>956</v>
      </c>
      <c r="D2788" s="2" t="s">
        <v>11402</v>
      </c>
      <c r="E2788" s="2" t="s">
        <v>11403</v>
      </c>
      <c r="F2788" s="2">
        <v>82.0</v>
      </c>
      <c r="G2788" s="2">
        <v>177.0</v>
      </c>
      <c r="H2788" s="2" t="b">
        <v>1</v>
      </c>
      <c r="I2788" s="2">
        <v>-1.0</v>
      </c>
      <c r="J2788" s="2" t="b">
        <v>0</v>
      </c>
      <c r="K2788" s="2" t="b">
        <v>0</v>
      </c>
      <c r="L2788" s="2" t="b">
        <v>0</v>
      </c>
      <c r="M2788" s="2" t="b">
        <v>0</v>
      </c>
      <c r="N2788" s="2" t="s">
        <v>33</v>
      </c>
      <c r="O2788" s="2">
        <v>23.0</v>
      </c>
      <c r="P2788" s="2">
        <v>15.0</v>
      </c>
      <c r="Q2788" s="2">
        <v>26.0</v>
      </c>
      <c r="R2788" s="2">
        <v>0.0</v>
      </c>
      <c r="S2788" s="3" t="s">
        <v>11404</v>
      </c>
      <c r="T2788" s="2" t="s">
        <v>11405</v>
      </c>
      <c r="Y2788" s="4" t="str">
        <f>IFERROR(__xludf.DUMMYFUNCTION("""COMPUTED_VALUE"""),"7.1385559")</f>
        <v>7.1385559</v>
      </c>
      <c r="Z2788" s="4" t="str">
        <f>IFERROR(__xludf.DUMMYFUNCTION("""COMPUTED_VALUE"""),"3.3993539")</f>
        <v>3.3993539</v>
      </c>
      <c r="AA2788" s="4" t="str">
        <f t="shared" si="1"/>
        <v>Not Neighbor</v>
      </c>
      <c r="AC2788" s="4">
        <f>IFERROR(__xludf.DUMMYFUNCTION("IFERROR(ABS(O2788-AVERAGE(FILTER(O2788:O6856,AA2788:AA6856=""Neighbor""))) / STDEV(FILTER(O2788:O6856, AA2788:AA6856 =""Neighbor"")), """")"),0.727501752365195)</f>
        <v>0.7275017524</v>
      </c>
      <c r="AD2788" s="4">
        <f>IFERROR(__xludf.DUMMYFUNCTION("IFERROR(ABS(P2788-AVERAGE(FILTER(O2788:P6856,AA2788:AA6856=""Neighbor""))) / STDEV(FILTER(P2788:P6856, AA2788:AA6856 =""Neighbor"")), """")"),0.7597438547091694)</f>
        <v>0.7597438547</v>
      </c>
      <c r="AE2788" s="2">
        <f>IFERROR(__xludf.DUMMYFUNCTION("IFERROR(ABS(Q2788-AVERAGE(FILTER(Q2788:Q6856,AA2788:AA6856=""Neighbor""))) / STDEV(FILTER(Q2788:Q6856, AA2788:AA6856 =""Neighbor"")), """")"),0.6303564896373393)</f>
        <v>0.6303564896</v>
      </c>
      <c r="AF2788" s="2">
        <f>IFERROR(__xludf.DUMMYFUNCTION("IFERROR(ABS(R2788-AVERAGE(FILTER(R2788:R6856,AA2788:AA6856=""Neighbor""))) / STDEV(FILTER(R2788:R6856, AA2788:AA6856 =""Neighbor"")), """")"),0.3408642999182093)</f>
        <v>0.3408642999</v>
      </c>
    </row>
    <row r="2789">
      <c r="A2789" s="2" t="s">
        <v>28</v>
      </c>
      <c r="B2789" s="2" t="s">
        <v>884</v>
      </c>
      <c r="C2789" s="2" t="s">
        <v>956</v>
      </c>
      <c r="D2789" s="2" t="s">
        <v>11406</v>
      </c>
      <c r="E2789" s="2" t="s">
        <v>11407</v>
      </c>
      <c r="F2789" s="2">
        <v>62.0</v>
      </c>
      <c r="G2789" s="2">
        <v>152.0</v>
      </c>
      <c r="H2789" s="2" t="b">
        <v>1</v>
      </c>
      <c r="I2789" s="2">
        <v>-1.0</v>
      </c>
      <c r="J2789" s="2" t="b">
        <v>0</v>
      </c>
      <c r="K2789" s="2" t="b">
        <v>0</v>
      </c>
      <c r="L2789" s="2" t="b">
        <v>0</v>
      </c>
      <c r="M2789" s="2" t="b">
        <v>0</v>
      </c>
      <c r="N2789" s="2" t="s">
        <v>33</v>
      </c>
      <c r="O2789" s="2">
        <v>39.0</v>
      </c>
      <c r="P2789" s="2">
        <v>1.0</v>
      </c>
      <c r="Q2789" s="2">
        <v>15.0</v>
      </c>
      <c r="R2789" s="2">
        <v>0.0</v>
      </c>
      <c r="S2789" s="3" t="s">
        <v>11408</v>
      </c>
      <c r="T2789" s="2" t="s">
        <v>11409</v>
      </c>
      <c r="Y2789" s="4" t="str">
        <f>IFERROR(__xludf.DUMMYFUNCTION("""COMPUTED_VALUE"""),"7.173833")</f>
        <v>7.173833</v>
      </c>
      <c r="Z2789" s="4" t="str">
        <f>IFERROR(__xludf.DUMMYFUNCTION("""COMPUTED_VALUE"""),"3.3555337")</f>
        <v>3.3555337</v>
      </c>
      <c r="AA2789" s="4" t="str">
        <f t="shared" si="1"/>
        <v>Neighbor</v>
      </c>
      <c r="AC2789" s="4">
        <f>IFERROR(__xludf.DUMMYFUNCTION("IFERROR(ABS(O2789-AVERAGE(FILTER(O2789:O6857,AA2789:AA6857=""Neighbor""))) / STDEV(FILTER(O2789:O6857, AA2789:AA6857 =""Neighbor"")), """")"),0.27417066290870795)</f>
        <v>0.2741706629</v>
      </c>
      <c r="AD2789" s="4">
        <f>IFERROR(__xludf.DUMMYFUNCTION("IFERROR(ABS(P2789-AVERAGE(FILTER(O2789:P6857,AA2789:AA6857=""Neighbor""))) / STDEV(FILTER(P2789:P6857, AA2789:AA6857 =""Neighbor"")), """")"),1.3309496185188001)</f>
        <v>1.330949619</v>
      </c>
      <c r="AE2789" s="2">
        <f>IFERROR(__xludf.DUMMYFUNCTION("IFERROR(ABS(Q2789-AVERAGE(FILTER(Q2789:Q6857,AA2789:AA6857=""Neighbor""))) / STDEV(FILTER(Q2789:Q6857, AA2789:AA6857 =""Neighbor"")), """")"),8.60135560908631E-4)</f>
        <v>0.0008601355609</v>
      </c>
      <c r="AF2789" s="2">
        <f>IFERROR(__xludf.DUMMYFUNCTION("IFERROR(ABS(R2789-AVERAGE(FILTER(R2789:R6857,AA2789:AA6857=""Neighbor""))) / STDEV(FILTER(R2789:R6857, AA2789:AA6857 =""Neighbor"")), """")"),0.3408642999182093)</f>
        <v>0.3408642999</v>
      </c>
    </row>
    <row r="2790">
      <c r="A2790" s="2" t="s">
        <v>28</v>
      </c>
      <c r="B2790" s="2" t="s">
        <v>884</v>
      </c>
      <c r="C2790" s="2" t="s">
        <v>956</v>
      </c>
      <c r="D2790" s="2" t="s">
        <v>11410</v>
      </c>
      <c r="E2790" s="2" t="s">
        <v>11411</v>
      </c>
      <c r="F2790" s="2">
        <v>73.0</v>
      </c>
      <c r="G2790" s="2">
        <v>148.0</v>
      </c>
      <c r="H2790" s="2" t="b">
        <v>1</v>
      </c>
      <c r="I2790" s="2">
        <v>-1.0</v>
      </c>
      <c r="J2790" s="2" t="b">
        <v>0</v>
      </c>
      <c r="K2790" s="2" t="b">
        <v>0</v>
      </c>
      <c r="L2790" s="2" t="b">
        <v>0</v>
      </c>
      <c r="M2790" s="2" t="b">
        <v>0</v>
      </c>
      <c r="N2790" s="2" t="s">
        <v>33</v>
      </c>
      <c r="O2790" s="2">
        <v>52.0</v>
      </c>
      <c r="P2790" s="2">
        <v>4.0</v>
      </c>
      <c r="Q2790" s="2">
        <v>8.0</v>
      </c>
      <c r="R2790" s="2">
        <v>0.0</v>
      </c>
      <c r="S2790" s="3" t="s">
        <v>11412</v>
      </c>
      <c r="T2790" s="2" t="s">
        <v>11413</v>
      </c>
      <c r="Y2790" s="4" t="str">
        <f>IFERROR(__xludf.DUMMYFUNCTION("""COMPUTED_VALUE"""),"7.179743")</f>
        <v>7.179743</v>
      </c>
      <c r="Z2790" s="4" t="str">
        <f>IFERROR(__xludf.DUMMYFUNCTION("""COMPUTED_VALUE"""),"3.351797")</f>
        <v>3.351797</v>
      </c>
      <c r="AA2790" s="4" t="str">
        <f t="shared" si="1"/>
        <v>Neighbor</v>
      </c>
      <c r="AC2790" s="4">
        <f>IFERROR(__xludf.DUMMYFUNCTION("IFERROR(ABS(O2790-AVERAGE(FILTER(O2790:O6858,AA2790:AA6858=""Neighbor""))) / STDEV(FILTER(O2790:O6858, AA2790:AA6858 =""Neighbor"")), """")"),0.09347960060683014)</f>
        <v>0.09347960061</v>
      </c>
      <c r="AD2790" s="4">
        <f>IFERROR(__xludf.DUMMYFUNCTION("IFERROR(ABS(P2790-AVERAGE(FILTER(O2790:P6858,AA2790:AA6858=""Neighbor""))) / STDEV(FILTER(P2790:P6858, AA2790:AA6858 =""Neighbor"")), """")"),1.209110206432365)</f>
        <v>1.209110206</v>
      </c>
      <c r="AE2790" s="2">
        <f>IFERROR(__xludf.DUMMYFUNCTION("IFERROR(ABS(Q2790-AVERAGE(FILTER(Q2790:Q6858,AA2790:AA6858=""Neighbor""))) / STDEV(FILTER(Q2790:Q6858, AA2790:AA6858 =""Neighbor"")), """")"),0.40211314110092267)</f>
        <v>0.4021131411</v>
      </c>
      <c r="AF2790" s="2">
        <f>IFERROR(__xludf.DUMMYFUNCTION("IFERROR(ABS(R2790-AVERAGE(FILTER(R2790:R6858,AA2790:AA6858=""Neighbor""))) / STDEV(FILTER(R2790:R6858, AA2790:AA6858 =""Neighbor"")), """")"),0.3412716913166546)</f>
        <v>0.3412716913</v>
      </c>
    </row>
    <row r="2791">
      <c r="A2791" s="2" t="s">
        <v>28</v>
      </c>
      <c r="B2791" s="2" t="s">
        <v>884</v>
      </c>
      <c r="C2791" s="2" t="s">
        <v>956</v>
      </c>
      <c r="D2791" s="2" t="s">
        <v>11414</v>
      </c>
      <c r="E2791" s="2" t="s">
        <v>11415</v>
      </c>
      <c r="F2791" s="2">
        <v>82.0</v>
      </c>
      <c r="G2791" s="2">
        <v>174.0</v>
      </c>
      <c r="H2791" s="2" t="b">
        <v>1</v>
      </c>
      <c r="I2791" s="2">
        <v>-1.0</v>
      </c>
      <c r="J2791" s="2" t="b">
        <v>0</v>
      </c>
      <c r="K2791" s="2" t="b">
        <v>0</v>
      </c>
      <c r="L2791" s="2" t="b">
        <v>0</v>
      </c>
      <c r="M2791" s="2" t="b">
        <v>0</v>
      </c>
      <c r="N2791" s="2" t="s">
        <v>33</v>
      </c>
      <c r="O2791" s="2">
        <v>39.0</v>
      </c>
      <c r="P2791" s="2">
        <v>2.0</v>
      </c>
      <c r="Q2791" s="2">
        <v>18.0</v>
      </c>
      <c r="R2791" s="2">
        <v>1.0</v>
      </c>
      <c r="S2791" s="3" t="s">
        <v>11416</v>
      </c>
      <c r="T2791" s="2" t="s">
        <v>11417</v>
      </c>
      <c r="Y2791" s="4" t="str">
        <f>IFERROR(__xludf.DUMMYFUNCTION("""COMPUTED_VALUE"""),"7.1739362")</f>
        <v>7.1739362</v>
      </c>
      <c r="Z2791" s="4" t="str">
        <f>IFERROR(__xludf.DUMMYFUNCTION("""COMPUTED_VALUE"""),"3.3514098")</f>
        <v>3.3514098</v>
      </c>
      <c r="AA2791" s="4" t="str">
        <f t="shared" si="1"/>
        <v>Neighbor</v>
      </c>
      <c r="AC2791" s="4">
        <f>IFERROR(__xludf.DUMMYFUNCTION("IFERROR(ABS(O2791-AVERAGE(FILTER(O2791:O6859,AA2791:AA6859=""Neighbor""))) / STDEV(FILTER(O2791:O6859, AA2791:AA6859 =""Neighbor"")), """")"),0.2739926942295805)</f>
        <v>0.2739926942</v>
      </c>
      <c r="AD2791" s="4">
        <f>IFERROR(__xludf.DUMMYFUNCTION("IFERROR(ABS(P2791-AVERAGE(FILTER(O2791:P6859,AA2791:AA6859=""Neighbor""))) / STDEV(FILTER(P2791:P6859, AA2791:AA6859 =""Neighbor"")), """")"),1.2902680387213081)</f>
        <v>1.290268039</v>
      </c>
      <c r="AE2791" s="2">
        <f>IFERROR(__xludf.DUMMYFUNCTION("IFERROR(ABS(Q2791-AVERAGE(FILTER(Q2791:Q6859,AA2791:AA6859=""Neighbor""))) / STDEV(FILTER(Q2791:Q6859, AA2791:AA6859 =""Neighbor"")), """")"),0.17008585056917394)</f>
        <v>0.1700858506</v>
      </c>
      <c r="AF2791" s="2">
        <f>IFERROR(__xludf.DUMMYFUNCTION("IFERROR(ABS(R2791-AVERAGE(FILTER(R2791:R6859,AA2791:AA6859=""Neighbor""))) / STDEV(FILTER(R2791:R6859, AA2791:AA6859 =""Neighbor"")), """")"),0.7772029350832352)</f>
        <v>0.7772029351</v>
      </c>
    </row>
    <row r="2792">
      <c r="A2792" s="2" t="s">
        <v>28</v>
      </c>
      <c r="B2792" s="2" t="s">
        <v>884</v>
      </c>
      <c r="C2792" s="2" t="s">
        <v>956</v>
      </c>
      <c r="D2792" s="2" t="s">
        <v>11418</v>
      </c>
      <c r="E2792" s="2" t="s">
        <v>11419</v>
      </c>
      <c r="F2792" s="2">
        <v>80.0</v>
      </c>
      <c r="G2792" s="2">
        <v>149.0</v>
      </c>
      <c r="H2792" s="2" t="b">
        <v>1</v>
      </c>
      <c r="I2792" s="2">
        <v>-1.0</v>
      </c>
      <c r="J2792" s="2" t="b">
        <v>0</v>
      </c>
      <c r="K2792" s="2" t="b">
        <v>0</v>
      </c>
      <c r="L2792" s="2" t="b">
        <v>0</v>
      </c>
      <c r="M2792" s="2" t="b">
        <v>0</v>
      </c>
      <c r="N2792" s="2" t="s">
        <v>33</v>
      </c>
      <c r="O2792" s="2">
        <v>64.0</v>
      </c>
      <c r="P2792" s="2">
        <v>3.0</v>
      </c>
      <c r="Q2792" s="2">
        <v>7.0</v>
      </c>
      <c r="R2792" s="2">
        <v>0.0</v>
      </c>
      <c r="S2792" s="3" t="s">
        <v>11420</v>
      </c>
      <c r="T2792" s="2" t="s">
        <v>11421</v>
      </c>
      <c r="Y2792" s="4" t="str">
        <f>IFERROR(__xludf.DUMMYFUNCTION("""COMPUTED_VALUE"""),"7.1802873")</f>
        <v>7.1802873</v>
      </c>
      <c r="Z2792" s="4" t="str">
        <f>IFERROR(__xludf.DUMMYFUNCTION("""COMPUTED_VALUE"""),"3.356525")</f>
        <v>3.356525</v>
      </c>
      <c r="AA2792" s="4" t="str">
        <f t="shared" si="1"/>
        <v>Not Neighbor</v>
      </c>
      <c r="AC2792" s="4">
        <f>IFERROR(__xludf.DUMMYFUNCTION("IFERROR(ABS(O2792-AVERAGE(FILTER(O2792:O6860,AA2792:AA6860=""Neighbor""))) / STDEV(FILTER(O2792:O6860, AA2792:AA6860 =""Neighbor"")), """")"),0.43185770125413564)</f>
        <v>0.4318577013</v>
      </c>
      <c r="AD2792" s="4">
        <f>IFERROR(__xludf.DUMMYFUNCTION("IFERROR(ABS(P2792-AVERAGE(FILTER(O2792:P6860,AA2792:AA6860=""Neighbor""))) / STDEV(FILTER(P2792:P6860, AA2792:AA6860 =""Neighbor"")), """")"),1.2499451507963468)</f>
        <v>1.249945151</v>
      </c>
      <c r="AE2792" s="2">
        <f>IFERROR(__xludf.DUMMYFUNCTION("IFERROR(ABS(Q2792-AVERAGE(FILTER(Q2792:Q6860,AA2792:AA6860=""Neighbor""))) / STDEV(FILTER(Q2792:Q6860, AA2792:AA6860 =""Neighbor"")), """")"),0.45903689107603896)</f>
        <v>0.4590368911</v>
      </c>
      <c r="AF2792" s="2">
        <f>IFERROR(__xludf.DUMMYFUNCTION("IFERROR(ABS(R2792-AVERAGE(FILTER(R2792:R6860,AA2792:AA6860=""Neighbor""))) / STDEV(FILTER(R2792:R6860, AA2792:AA6860 =""Neighbor"")), """")"),0.33986072592214617)</f>
        <v>0.3398607259</v>
      </c>
    </row>
    <row r="2793">
      <c r="A2793" s="2" t="s">
        <v>28</v>
      </c>
      <c r="B2793" s="2" t="s">
        <v>884</v>
      </c>
      <c r="C2793" s="2" t="s">
        <v>1372</v>
      </c>
      <c r="D2793" s="2" t="s">
        <v>11422</v>
      </c>
      <c r="E2793" s="2" t="s">
        <v>11423</v>
      </c>
      <c r="F2793" s="2">
        <v>52.0</v>
      </c>
      <c r="G2793" s="2">
        <v>106.0</v>
      </c>
      <c r="H2793" s="2" t="b">
        <v>1</v>
      </c>
      <c r="I2793" s="2">
        <v>-1.0</v>
      </c>
      <c r="J2793" s="2" t="b">
        <v>0</v>
      </c>
      <c r="K2793" s="2" t="b">
        <v>0</v>
      </c>
      <c r="L2793" s="2" t="b">
        <v>0</v>
      </c>
      <c r="M2793" s="2" t="b">
        <v>0</v>
      </c>
      <c r="N2793" s="2" t="s">
        <v>33</v>
      </c>
      <c r="O2793" s="2">
        <v>30.0</v>
      </c>
      <c r="P2793" s="2">
        <v>5.0</v>
      </c>
      <c r="Q2793" s="2">
        <v>15.0</v>
      </c>
      <c r="R2793" s="2">
        <v>0.0</v>
      </c>
      <c r="S2793" s="3" t="s">
        <v>11424</v>
      </c>
      <c r="T2793" s="2" t="s">
        <v>11425</v>
      </c>
      <c r="Y2793" s="4" t="str">
        <f>IFERROR(__xludf.DUMMYFUNCTION("""COMPUTED_VALUE"""),"7.1487197")</f>
        <v>7.1487197</v>
      </c>
      <c r="Z2793" s="4" t="str">
        <f>IFERROR(__xludf.DUMMYFUNCTION("""COMPUTED_VALUE"""),"3.3521161")</f>
        <v>3.3521161</v>
      </c>
      <c r="AA2793" s="4" t="str">
        <f t="shared" si="1"/>
        <v>Not Neighbor</v>
      </c>
      <c r="AC2793" s="4">
        <f>IFERROR(__xludf.DUMMYFUNCTION("IFERROR(ABS(O2793-AVERAGE(FILTER(O2793:O6861,AA2793:AA6861=""Neighbor""))) / STDEV(FILTER(O2793:O6861, AA2793:AA6861 =""Neighbor"")), """")"),0.5285295407793071)</f>
        <v>0.5285295408</v>
      </c>
      <c r="AD2793" s="4">
        <f>IFERROR(__xludf.DUMMYFUNCTION("IFERROR(ABS(P2793-AVERAGE(FILTER(O2793:P6861,AA2793:AA6861=""Neighbor""))) / STDEV(FILTER(P2793:P6861, AA2793:AA6861 =""Neighbor"")), """")"),1.168490911132079)</f>
        <v>1.168490911</v>
      </c>
      <c r="AE2793" s="2">
        <f>IFERROR(__xludf.DUMMYFUNCTION("IFERROR(ABS(Q2793-AVERAGE(FILTER(Q2793:Q6861,AA2793:AA6861=""Neighbor""))) / STDEV(FILTER(Q2793:Q6861, AA2793:AA6861 =""Neighbor"")), """")"),0.001356273382174709)</f>
        <v>0.001356273382</v>
      </c>
      <c r="AF2793" s="2">
        <f>IFERROR(__xludf.DUMMYFUNCTION("IFERROR(ABS(R2793-AVERAGE(FILTER(R2793:R6861,AA2793:AA6861=""Neighbor""))) / STDEV(FILTER(R2793:R6861, AA2793:AA6861 =""Neighbor"")), """")"),0.33986072592214617)</f>
        <v>0.3398607259</v>
      </c>
    </row>
    <row r="2794">
      <c r="A2794" s="2" t="s">
        <v>28</v>
      </c>
      <c r="B2794" s="2" t="s">
        <v>1711</v>
      </c>
      <c r="C2794" s="2" t="s">
        <v>2335</v>
      </c>
      <c r="D2794" s="2" t="s">
        <v>11426</v>
      </c>
      <c r="E2794" s="2" t="s">
        <v>11427</v>
      </c>
      <c r="F2794" s="2">
        <v>89.0</v>
      </c>
      <c r="G2794" s="2">
        <v>118.0</v>
      </c>
      <c r="H2794" s="2" t="b">
        <v>1</v>
      </c>
      <c r="I2794" s="2">
        <v>-1.0</v>
      </c>
      <c r="J2794" s="2" t="b">
        <v>0</v>
      </c>
      <c r="K2794" s="2" t="b">
        <v>0</v>
      </c>
      <c r="L2794" s="2" t="b">
        <v>0</v>
      </c>
      <c r="M2794" s="2" t="b">
        <v>0</v>
      </c>
      <c r="N2794" s="2" t="s">
        <v>33</v>
      </c>
      <c r="O2794" s="2">
        <v>23.0</v>
      </c>
      <c r="P2794" s="2">
        <v>0.0</v>
      </c>
      <c r="Q2794" s="2">
        <v>45.0</v>
      </c>
      <c r="R2794" s="2">
        <v>0.0</v>
      </c>
      <c r="S2794" s="3" t="s">
        <v>11428</v>
      </c>
      <c r="T2794" s="2" t="s">
        <v>11429</v>
      </c>
      <c r="Y2794" s="4" t="str">
        <f>IFERROR(__xludf.DUMMYFUNCTION("""COMPUTED_VALUE"""),"6.5743311")</f>
        <v>6.5743311</v>
      </c>
      <c r="Z2794" s="4" t="str">
        <f>IFERROR(__xludf.DUMMYFUNCTION("""COMPUTED_VALUE"""),"3.0116293")</f>
        <v>3.0116293</v>
      </c>
      <c r="AA2794" s="4" t="str">
        <f t="shared" si="1"/>
        <v>Not Neighbor</v>
      </c>
      <c r="AC2794" s="4">
        <f>IFERROR(__xludf.DUMMYFUNCTION("IFERROR(ABS(O2794-AVERAGE(FILTER(O2794:O6862,AA2794:AA6862=""Neighbor""))) / STDEV(FILTER(O2794:O6862, AA2794:AA6862 =""Neighbor"")), """")"),0.7262563259038395)</f>
        <v>0.7262563259</v>
      </c>
      <c r="AD2794" s="4">
        <f>IFERROR(__xludf.DUMMYFUNCTION("IFERROR(ABS(P2794-AVERAGE(FILTER(O2794:P6862,AA2794:AA6862=""Neighbor""))) / STDEV(FILTER(P2794:P6862, AA2794:AA6862 =""Neighbor"")), """")"),1.3721265102927491)</f>
        <v>1.37212651</v>
      </c>
      <c r="AE2794" s="2">
        <f>IFERROR(__xludf.DUMMYFUNCTION("IFERROR(ABS(Q2794-AVERAGE(FILTER(Q2794:Q6862,AA2794:AA6862=""Neighbor""))) / STDEV(FILTER(Q2794:Q6862, AA2794:AA6862 =""Neighbor"")), """")"),1.7149460429698165)</f>
        <v>1.714946043</v>
      </c>
      <c r="AF2794" s="2">
        <f>IFERROR(__xludf.DUMMYFUNCTION("IFERROR(ABS(R2794-AVERAGE(FILTER(R2794:R6862,AA2794:AA6862=""Neighbor""))) / STDEV(FILTER(R2794:R6862, AA2794:AA6862 =""Neighbor"")), """")"),0.33986072592214617)</f>
        <v>0.3398607259</v>
      </c>
    </row>
    <row r="2795">
      <c r="A2795" s="2" t="s">
        <v>28</v>
      </c>
      <c r="B2795" s="2" t="s">
        <v>1711</v>
      </c>
      <c r="C2795" s="2" t="s">
        <v>2335</v>
      </c>
      <c r="D2795" s="2" t="s">
        <v>11430</v>
      </c>
      <c r="E2795" s="2" t="s">
        <v>11431</v>
      </c>
      <c r="F2795" s="2">
        <v>1.0</v>
      </c>
      <c r="G2795" s="2">
        <v>59.0</v>
      </c>
      <c r="H2795" s="2" t="b">
        <v>1</v>
      </c>
      <c r="I2795" s="2">
        <v>-1.0</v>
      </c>
      <c r="J2795" s="2" t="b">
        <v>0</v>
      </c>
      <c r="K2795" s="2" t="b">
        <v>0</v>
      </c>
      <c r="L2795" s="2" t="b">
        <v>0</v>
      </c>
      <c r="M2795" s="2" t="b">
        <v>0</v>
      </c>
      <c r="N2795" s="2" t="s">
        <v>33</v>
      </c>
      <c r="O2795" s="2">
        <v>34.0</v>
      </c>
      <c r="P2795" s="2">
        <v>0.0</v>
      </c>
      <c r="Q2795" s="2">
        <v>9.0</v>
      </c>
      <c r="R2795" s="2">
        <v>0.0</v>
      </c>
      <c r="S2795" s="3" t="s">
        <v>11432</v>
      </c>
      <c r="T2795" s="2" t="s">
        <v>11433</v>
      </c>
      <c r="Y2795" s="4" t="str">
        <f>IFERROR(__xludf.DUMMYFUNCTION("""COMPUTED_VALUE"""),"6.6117188")</f>
        <v>6.6117188</v>
      </c>
      <c r="Z2795" s="4" t="str">
        <f>IFERROR(__xludf.DUMMYFUNCTION("""COMPUTED_VALUE"""),"3.0576199")</f>
        <v>3.0576199</v>
      </c>
      <c r="AA2795" s="4" t="str">
        <f t="shared" si="1"/>
        <v>Not Neighbor</v>
      </c>
      <c r="AC2795" s="4">
        <f>IFERROR(__xludf.DUMMYFUNCTION("IFERROR(ABS(O2795-AVERAGE(FILTER(O2795:O6863,AA2795:AA6863=""Neighbor""))) / STDEV(FILTER(O2795:O6863, AA2795:AA6863 =""Neighbor"")), """")"),0.4155428064224315)</f>
        <v>0.4155428064</v>
      </c>
      <c r="AD2795" s="4">
        <f>IFERROR(__xludf.DUMMYFUNCTION("IFERROR(ABS(P2795-AVERAGE(FILTER(O2795:P6863,AA2795:AA6863=""Neighbor""))) / STDEV(FILTER(P2795:P6863, AA2795:AA6863 =""Neighbor"")), """")"),1.3721265102927491)</f>
        <v>1.37212651</v>
      </c>
      <c r="AE2795" s="2">
        <f>IFERROR(__xludf.DUMMYFUNCTION("IFERROR(ABS(Q2795-AVERAGE(FILTER(Q2795:Q6863,AA2795:AA6863=""Neighbor""))) / STDEV(FILTER(Q2795:Q6863, AA2795:AA6863 =""Neighbor"")), """")"),0.3446167366525729)</f>
        <v>0.3446167367</v>
      </c>
      <c r="AF2795" s="2">
        <f>IFERROR(__xludf.DUMMYFUNCTION("IFERROR(ABS(R2795-AVERAGE(FILTER(R2795:R6863,AA2795:AA6863=""Neighbor""))) / STDEV(FILTER(R2795:R6863, AA2795:AA6863 =""Neighbor"")), """")"),0.33986072592214617)</f>
        <v>0.3398607259</v>
      </c>
    </row>
    <row r="2796">
      <c r="A2796" s="2" t="s">
        <v>28</v>
      </c>
      <c r="B2796" s="2" t="s">
        <v>1711</v>
      </c>
      <c r="C2796" s="2" t="s">
        <v>2335</v>
      </c>
      <c r="D2796" s="2" t="s">
        <v>11434</v>
      </c>
      <c r="E2796" s="2" t="s">
        <v>11435</v>
      </c>
      <c r="F2796" s="2">
        <v>0.0</v>
      </c>
      <c r="G2796" s="2">
        <v>89.0</v>
      </c>
      <c r="H2796" s="2" t="b">
        <v>1</v>
      </c>
      <c r="I2796" s="2">
        <v>-1.0</v>
      </c>
      <c r="J2796" s="2" t="b">
        <v>0</v>
      </c>
      <c r="K2796" s="2" t="b">
        <v>1</v>
      </c>
      <c r="L2796" s="2" t="b">
        <v>0</v>
      </c>
      <c r="M2796" s="2" t="b">
        <v>0</v>
      </c>
      <c r="N2796" s="2" t="s">
        <v>33</v>
      </c>
      <c r="O2796" s="2">
        <v>34.0</v>
      </c>
      <c r="P2796" s="2">
        <v>1.0</v>
      </c>
      <c r="Q2796" s="2">
        <v>22.0</v>
      </c>
      <c r="R2796" s="2">
        <v>0.0</v>
      </c>
      <c r="S2796" s="3" t="s">
        <v>11436</v>
      </c>
      <c r="T2796" s="2" t="s">
        <v>11437</v>
      </c>
      <c r="Y2796" s="4" t="str">
        <f>IFERROR(__xludf.DUMMYFUNCTION("""COMPUTED_VALUE"""),"6.5411875")</f>
        <v>6.5411875</v>
      </c>
      <c r="Z2796" s="4" t="str">
        <f>IFERROR(__xludf.DUMMYFUNCTION("""COMPUTED_VALUE"""),"2.9257107")</f>
        <v>2.9257107</v>
      </c>
      <c r="AA2796" s="4" t="str">
        <f t="shared" si="1"/>
        <v>Not Neighbor</v>
      </c>
      <c r="AC2796" s="4">
        <f>IFERROR(__xludf.DUMMYFUNCTION("IFERROR(ABS(O2796-AVERAGE(FILTER(O2796:O6864,AA2796:AA6864=""Neighbor""))) / STDEV(FILTER(O2796:O6864, AA2796:AA6864 =""Neighbor"")), """")"),0.4155428064224315)</f>
        <v>0.4155428064</v>
      </c>
      <c r="AD2796" s="4">
        <f>IFERROR(__xludf.DUMMYFUNCTION("IFERROR(ABS(P2796-AVERAGE(FILTER(O2796:P6864,AA2796:AA6864=""Neighbor""))) / STDEV(FILTER(P2796:P6864, AA2796:AA6864 =""Neighbor"")), """")"),1.331399390460615)</f>
        <v>1.33139939</v>
      </c>
      <c r="AE2796" s="2">
        <f>IFERROR(__xludf.DUMMYFUNCTION("IFERROR(ABS(Q2796-AVERAGE(FILTER(Q2796:Q6864,AA2796:AA6864=""Neighbor""))) / STDEV(FILTER(Q2796:Q6864, AA2796:AA6864 =""Neighbor"")), """")"),0.3991142670999565)</f>
        <v>0.3991142671</v>
      </c>
      <c r="AF2796" s="2">
        <f>IFERROR(__xludf.DUMMYFUNCTION("IFERROR(ABS(R2796-AVERAGE(FILTER(R2796:R6864,AA2796:AA6864=""Neighbor""))) / STDEV(FILTER(R2796:R6864, AA2796:AA6864 =""Neighbor"")), """")"),0.33986072592214617)</f>
        <v>0.3398607259</v>
      </c>
    </row>
    <row r="2797">
      <c r="A2797" s="2" t="s">
        <v>28</v>
      </c>
      <c r="B2797" s="2" t="s">
        <v>1711</v>
      </c>
      <c r="C2797" s="2" t="s">
        <v>2213</v>
      </c>
      <c r="D2797" s="2" t="s">
        <v>11438</v>
      </c>
      <c r="E2797" s="2" t="s">
        <v>11439</v>
      </c>
      <c r="F2797" s="2">
        <v>80.0</v>
      </c>
      <c r="G2797" s="2">
        <v>108.0</v>
      </c>
      <c r="H2797" s="2" t="b">
        <v>1</v>
      </c>
      <c r="I2797" s="2">
        <v>-1.0</v>
      </c>
      <c r="J2797" s="2" t="b">
        <v>0</v>
      </c>
      <c r="K2797" s="2" t="b">
        <v>0</v>
      </c>
      <c r="L2797" s="2" t="b">
        <v>0</v>
      </c>
      <c r="M2797" s="2" t="b">
        <v>0</v>
      </c>
      <c r="N2797" s="2" t="s">
        <v>33</v>
      </c>
      <c r="O2797" s="2">
        <v>59.0</v>
      </c>
      <c r="P2797" s="2">
        <v>0.0</v>
      </c>
      <c r="Q2797" s="2">
        <v>8.0</v>
      </c>
      <c r="R2797" s="2">
        <v>0.0</v>
      </c>
      <c r="S2797" s="3" t="s">
        <v>11440</v>
      </c>
      <c r="T2797" s="2" t="s">
        <v>11441</v>
      </c>
      <c r="Y2797" s="4" t="str">
        <f>IFERROR(__xludf.DUMMYFUNCTION("""COMPUTED_VALUE"""),"6.5831444")</f>
        <v>6.5831444</v>
      </c>
      <c r="Z2797" s="4" t="str">
        <f>IFERROR(__xludf.DUMMYFUNCTION("""COMPUTED_VALUE"""),"2.930081")</f>
        <v>2.930081</v>
      </c>
      <c r="AA2797" s="4" t="str">
        <f t="shared" si="1"/>
        <v>Not Neighbor</v>
      </c>
      <c r="AC2797" s="4">
        <f>IFERROR(__xludf.DUMMYFUNCTION("IFERROR(ABS(O2797-AVERAGE(FILTER(O2797:O6865,AA2797:AA6865=""Neighbor""))) / STDEV(FILTER(O2797:O6865, AA2797:AA6865 =""Neighbor"")), """")"),0.29062428330804113)</f>
        <v>0.2906242833</v>
      </c>
      <c r="AD2797" s="4">
        <f>IFERROR(__xludf.DUMMYFUNCTION("IFERROR(ABS(P2797-AVERAGE(FILTER(O2797:P6865,AA2797:AA6865=""Neighbor""))) / STDEV(FILTER(P2797:P6865, AA2797:AA6865 =""Neighbor"")), """")"),1.3721265102927491)</f>
        <v>1.37212651</v>
      </c>
      <c r="AE2797" s="2">
        <f>IFERROR(__xludf.DUMMYFUNCTION("IFERROR(ABS(Q2797-AVERAGE(FILTER(Q2797:Q6865,AA2797:AA6865=""Neighbor""))) / STDEV(FILTER(Q2797:Q6865, AA2797:AA6865 =""Neighbor"")), """")"),0.40182681386430597)</f>
        <v>0.4018268139</v>
      </c>
      <c r="AF2797" s="2">
        <f>IFERROR(__xludf.DUMMYFUNCTION("IFERROR(ABS(R2797-AVERAGE(FILTER(R2797:R6865,AA2797:AA6865=""Neighbor""))) / STDEV(FILTER(R2797:R6865, AA2797:AA6865 =""Neighbor"")), """")"),0.33986072592214617)</f>
        <v>0.3398607259</v>
      </c>
    </row>
    <row r="2798">
      <c r="A2798" s="2" t="s">
        <v>28</v>
      </c>
      <c r="B2798" s="2" t="s">
        <v>1711</v>
      </c>
      <c r="C2798" s="2" t="s">
        <v>2286</v>
      </c>
      <c r="D2798" s="2" t="s">
        <v>11442</v>
      </c>
      <c r="E2798" s="2" t="s">
        <v>11443</v>
      </c>
      <c r="F2798" s="2">
        <v>48.0</v>
      </c>
      <c r="G2798" s="2">
        <v>64.0</v>
      </c>
      <c r="H2798" s="2" t="b">
        <v>1</v>
      </c>
      <c r="I2798" s="2">
        <v>-1.0</v>
      </c>
      <c r="J2798" s="2" t="b">
        <v>0</v>
      </c>
      <c r="K2798" s="2" t="b">
        <v>0</v>
      </c>
      <c r="L2798" s="2" t="b">
        <v>0</v>
      </c>
      <c r="M2798" s="2" t="b">
        <v>0</v>
      </c>
      <c r="N2798" s="2" t="s">
        <v>33</v>
      </c>
      <c r="O2798" s="2">
        <v>22.0</v>
      </c>
      <c r="P2798" s="2">
        <v>0.0</v>
      </c>
      <c r="Q2798" s="2">
        <v>20.0</v>
      </c>
      <c r="R2798" s="2">
        <v>0.0</v>
      </c>
      <c r="S2798" s="3" t="s">
        <v>11444</v>
      </c>
      <c r="T2798" s="2" t="s">
        <v>11445</v>
      </c>
      <c r="Y2798" s="4" t="str">
        <f>IFERROR(__xludf.DUMMYFUNCTION("""COMPUTED_VALUE"""),"6.5937233")</f>
        <v>6.5937233</v>
      </c>
      <c r="Z2798" s="4" t="str">
        <f>IFERROR(__xludf.DUMMYFUNCTION("""COMPUTED_VALUE"""),"2.945068")</f>
        <v>2.945068</v>
      </c>
      <c r="AA2798" s="4" t="str">
        <f t="shared" si="1"/>
        <v>Not Neighbor</v>
      </c>
      <c r="AC2798" s="4">
        <f>IFERROR(__xludf.DUMMYFUNCTION("IFERROR(ABS(O2798-AVERAGE(FILTER(O2798:O6866,AA2798:AA6866=""Neighbor""))) / STDEV(FILTER(O2798:O6866, AA2798:AA6866 =""Neighbor"")), """")"),0.7545030094930584)</f>
        <v>0.7545030095</v>
      </c>
      <c r="AD2798" s="4">
        <f>IFERROR(__xludf.DUMMYFUNCTION("IFERROR(ABS(P2798-AVERAGE(FILTER(O2798:P6866,AA2798:AA6866=""Neighbor""))) / STDEV(FILTER(P2798:P6866, AA2798:AA6866 =""Neighbor"")), """")"),1.3721265102927491)</f>
        <v>1.37212651</v>
      </c>
      <c r="AE2798" s="2">
        <f>IFERROR(__xludf.DUMMYFUNCTION("IFERROR(ABS(Q2798-AVERAGE(FILTER(Q2798:Q6866,AA2798:AA6866=""Neighbor""))) / STDEV(FILTER(Q2798:Q6866, AA2798:AA6866 =""Neighbor"")), """")"),0.2846941126764905)</f>
        <v>0.2846941127</v>
      </c>
      <c r="AF2798" s="2">
        <f>IFERROR(__xludf.DUMMYFUNCTION("IFERROR(ABS(R2798-AVERAGE(FILTER(R2798:R6866,AA2798:AA6866=""Neighbor""))) / STDEV(FILTER(R2798:R6866, AA2798:AA6866 =""Neighbor"")), """")"),0.33986072592214617)</f>
        <v>0.3398607259</v>
      </c>
    </row>
    <row r="2799">
      <c r="A2799" s="2" t="s">
        <v>28</v>
      </c>
      <c r="B2799" s="2" t="s">
        <v>1711</v>
      </c>
      <c r="C2799" s="2" t="s">
        <v>2286</v>
      </c>
      <c r="D2799" s="2" t="s">
        <v>11446</v>
      </c>
      <c r="E2799" s="2" t="s">
        <v>11447</v>
      </c>
      <c r="F2799" s="2">
        <v>60.0</v>
      </c>
      <c r="G2799" s="2">
        <v>82.0</v>
      </c>
      <c r="H2799" s="2" t="b">
        <v>1</v>
      </c>
      <c r="I2799" s="2">
        <v>-1.0</v>
      </c>
      <c r="J2799" s="2" t="b">
        <v>0</v>
      </c>
      <c r="K2799" s="2" t="b">
        <v>0</v>
      </c>
      <c r="L2799" s="2" t="b">
        <v>0</v>
      </c>
      <c r="M2799" s="2" t="b">
        <v>0</v>
      </c>
      <c r="N2799" s="2" t="s">
        <v>33</v>
      </c>
      <c r="O2799" s="2">
        <v>22.0</v>
      </c>
      <c r="P2799" s="2">
        <v>9.0</v>
      </c>
      <c r="Q2799" s="2">
        <v>18.0</v>
      </c>
      <c r="R2799" s="2">
        <v>3.0</v>
      </c>
      <c r="S2799" s="3" t="s">
        <v>11448</v>
      </c>
      <c r="T2799" s="2" t="s">
        <v>11449</v>
      </c>
      <c r="Y2799" s="4" t="str">
        <f>IFERROR(__xludf.DUMMYFUNCTION("""COMPUTED_VALUE"""),"6.6070735")</f>
        <v>6.6070735</v>
      </c>
      <c r="Z2799" s="4" t="str">
        <f>IFERROR(__xludf.DUMMYFUNCTION("""COMPUTED_VALUE"""),"2.9425698")</f>
        <v>2.9425698</v>
      </c>
      <c r="AA2799" s="4" t="str">
        <f t="shared" si="1"/>
        <v>Neighbor</v>
      </c>
      <c r="AC2799" s="4">
        <f>IFERROR(__xludf.DUMMYFUNCTION("IFERROR(ABS(O2799-AVERAGE(FILTER(O2799:O6867,AA2799:AA6867=""Neighbor""))) / STDEV(FILTER(O2799:O6867, AA2799:AA6867 =""Neighbor"")), """")"),0.7545030094930584)</f>
        <v>0.7545030095</v>
      </c>
      <c r="AD2799" s="4">
        <f>IFERROR(__xludf.DUMMYFUNCTION("IFERROR(ABS(P2799-AVERAGE(FILTER(O2799:P6867,AA2799:AA6867=""Neighbor""))) / STDEV(FILTER(P2799:P6867, AA2799:AA6867 =""Neighbor"")), """")"),1.0055824318035427)</f>
        <v>1.005582432</v>
      </c>
      <c r="AE2799" s="2">
        <f>IFERROR(__xludf.DUMMYFUNCTION("IFERROR(ABS(Q2799-AVERAGE(FILTER(Q2799:Q6867,AA2799:AA6867=""Neighbor""))) / STDEV(FILTER(Q2799:Q6867, AA2799:AA6867 =""Neighbor"")), """")"),0.17027395825302438)</f>
        <v>0.1702739583</v>
      </c>
      <c r="AF2799" s="2">
        <f>IFERROR(__xludf.DUMMYFUNCTION("IFERROR(ABS(R2799-AVERAGE(FILTER(R2799:R6867,AA2799:AA6867=""Neighbor""))) / STDEV(FILTER(R2799:R6867, AA2799:AA6867 =""Neighbor"")), """")"),3.0153600576496804)</f>
        <v>3.015360058</v>
      </c>
    </row>
    <row r="2800">
      <c r="A2800" s="2" t="s">
        <v>28</v>
      </c>
      <c r="B2800" s="2" t="s">
        <v>1711</v>
      </c>
      <c r="C2800" s="2" t="s">
        <v>2286</v>
      </c>
      <c r="D2800" s="2" t="s">
        <v>11450</v>
      </c>
      <c r="E2800" s="2" t="s">
        <v>11451</v>
      </c>
      <c r="F2800" s="2">
        <v>61.0</v>
      </c>
      <c r="G2800" s="2">
        <v>93.0</v>
      </c>
      <c r="H2800" s="2" t="b">
        <v>1</v>
      </c>
      <c r="I2800" s="2">
        <v>-1.0</v>
      </c>
      <c r="J2800" s="2" t="b">
        <v>0</v>
      </c>
      <c r="K2800" s="2" t="b">
        <v>0</v>
      </c>
      <c r="L2800" s="2" t="b">
        <v>0</v>
      </c>
      <c r="M2800" s="2" t="b">
        <v>0</v>
      </c>
      <c r="N2800" s="2" t="s">
        <v>33</v>
      </c>
      <c r="O2800" s="2">
        <v>40.0</v>
      </c>
      <c r="P2800" s="2">
        <v>3.0</v>
      </c>
      <c r="Q2800" s="2">
        <v>14.0</v>
      </c>
      <c r="R2800" s="2">
        <v>0.0</v>
      </c>
      <c r="S2800" s="3" t="s">
        <v>11452</v>
      </c>
      <c r="T2800" s="2" t="s">
        <v>11453</v>
      </c>
      <c r="Y2800" s="4" t="str">
        <f>IFERROR(__xludf.DUMMYFUNCTION("""COMPUTED_VALUE"""),"6.6070735")</f>
        <v>6.6070735</v>
      </c>
      <c r="Z2800" s="4" t="str">
        <f>IFERROR(__xludf.DUMMYFUNCTION("""COMPUTED_VALUE"""),"2.9425698")</f>
        <v>2.9425698</v>
      </c>
      <c r="AA2800" s="4" t="str">
        <f t="shared" si="1"/>
        <v>Not Neighbor</v>
      </c>
      <c r="AC2800" s="4">
        <f>IFERROR(__xludf.DUMMYFUNCTION("IFERROR(ABS(O2800-AVERAGE(FILTER(O2800:O6868,AA2800:AA6868=""Neighbor""))) / STDEV(FILTER(O2800:O6868, AA2800:AA6868 =""Neighbor"")), """")"),0.24757724836251496)</f>
        <v>0.2475772484</v>
      </c>
      <c r="AD2800" s="4">
        <f>IFERROR(__xludf.DUMMYFUNCTION("IFERROR(ABS(P2800-AVERAGE(FILTER(O2800:P6868,AA2800:AA6868=""Neighbor""))) / STDEV(FILTER(P2800:P6868, AA2800:AA6868 =""Neighbor"")), """")"),1.2504029017927152)</f>
        <v>1.250402902</v>
      </c>
      <c r="AE2800" s="2">
        <f>IFERROR(__xludf.DUMMYFUNCTION("IFERROR(ABS(Q2800-AVERAGE(FILTER(Q2800:Q6868,AA2800:AA6868=""Neighbor""))) / STDEV(FILTER(Q2800:Q6868, AA2800:AA6868 =""Neighbor"")), """")"),0.05813752910129442)</f>
        <v>0.0581375291</v>
      </c>
      <c r="AF2800" s="2">
        <f>IFERROR(__xludf.DUMMYFUNCTION("IFERROR(ABS(R2800-AVERAGE(FILTER(R2800:R6868,AA2800:AA6868=""Neighbor""))) / STDEV(FILTER(R2800:R6868, AA2800:AA6868 =""Neighbor"")), """")"),0.33631372997704473)</f>
        <v>0.33631373</v>
      </c>
    </row>
    <row r="2801">
      <c r="A2801" s="2" t="s">
        <v>28</v>
      </c>
      <c r="B2801" s="2" t="s">
        <v>1711</v>
      </c>
      <c r="C2801" s="2" t="s">
        <v>2286</v>
      </c>
      <c r="D2801" s="2" t="s">
        <v>11454</v>
      </c>
      <c r="E2801" s="2" t="s">
        <v>11455</v>
      </c>
      <c r="F2801" s="2">
        <v>49.0</v>
      </c>
      <c r="G2801" s="2">
        <v>73.0</v>
      </c>
      <c r="H2801" s="2" t="b">
        <v>1</v>
      </c>
      <c r="I2801" s="2">
        <v>-1.0</v>
      </c>
      <c r="J2801" s="2" t="b">
        <v>0</v>
      </c>
      <c r="K2801" s="2" t="b">
        <v>0</v>
      </c>
      <c r="L2801" s="2" t="b">
        <v>0</v>
      </c>
      <c r="M2801" s="2" t="b">
        <v>0</v>
      </c>
      <c r="N2801" s="2" t="s">
        <v>33</v>
      </c>
      <c r="O2801" s="2">
        <v>31.0</v>
      </c>
      <c r="P2801" s="2">
        <v>0.0</v>
      </c>
      <c r="Q2801" s="2">
        <v>14.0</v>
      </c>
      <c r="R2801" s="2">
        <v>0.0</v>
      </c>
      <c r="S2801" s="3" t="s">
        <v>11456</v>
      </c>
      <c r="T2801" s="2" t="s">
        <v>11457</v>
      </c>
      <c r="Y2801" s="4" t="str">
        <f>IFERROR(__xludf.DUMMYFUNCTION("""COMPUTED_VALUE"""),"6.4402834")</f>
        <v>6.4402834</v>
      </c>
      <c r="Z2801" s="4" t="str">
        <f>IFERROR(__xludf.DUMMYFUNCTION("""COMPUTED_VALUE"""),"2.8775438")</f>
        <v>2.8775438</v>
      </c>
      <c r="AA2801" s="4" t="str">
        <f t="shared" si="1"/>
        <v>Not Neighbor</v>
      </c>
      <c r="AC2801" s="4">
        <f>IFERROR(__xludf.DUMMYFUNCTION("IFERROR(ABS(O2801-AVERAGE(FILTER(O2801:O6869,AA2801:AA6869=""Neighbor""))) / STDEV(FILTER(O2801:O6869, AA2801:AA6869 =""Neighbor"")), """")"),0.5016793158321208)</f>
        <v>0.5016793158</v>
      </c>
      <c r="AD2801" s="4">
        <f>IFERROR(__xludf.DUMMYFUNCTION("IFERROR(ABS(P2801-AVERAGE(FILTER(O2801:P6869,AA2801:AA6869=""Neighbor""))) / STDEV(FILTER(P2801:P6869, AA2801:AA6869 =""Neighbor"")), """")"),1.3724727380725916)</f>
        <v>1.372472738</v>
      </c>
      <c r="AE2801" s="2">
        <f>IFERROR(__xludf.DUMMYFUNCTION("IFERROR(ABS(Q2801-AVERAGE(FILTER(Q2801:Q6869,AA2801:AA6869=""Neighbor""))) / STDEV(FILTER(Q2801:Q6869, AA2801:AA6869 =""Neighbor"")), """")"),0.05813752910129442)</f>
        <v>0.0581375291</v>
      </c>
      <c r="AF2801" s="2">
        <f>IFERROR(__xludf.DUMMYFUNCTION("IFERROR(ABS(R2801-AVERAGE(FILTER(R2801:R6869,AA2801:AA6869=""Neighbor""))) / STDEV(FILTER(R2801:R6869, AA2801:AA6869 =""Neighbor"")), """")"),0.33631372997704473)</f>
        <v>0.33631373</v>
      </c>
    </row>
    <row r="2802">
      <c r="A2802" s="2" t="s">
        <v>28</v>
      </c>
      <c r="B2802" s="2" t="s">
        <v>1711</v>
      </c>
      <c r="C2802" s="2" t="s">
        <v>2577</v>
      </c>
      <c r="D2802" s="2" t="s">
        <v>11458</v>
      </c>
      <c r="E2802" s="2" t="s">
        <v>11459</v>
      </c>
      <c r="F2802" s="2">
        <v>75.0</v>
      </c>
      <c r="G2802" s="2">
        <v>140.0</v>
      </c>
      <c r="H2802" s="2" t="b">
        <v>1</v>
      </c>
      <c r="I2802" s="2">
        <v>-1.0</v>
      </c>
      <c r="J2802" s="2" t="b">
        <v>0</v>
      </c>
      <c r="K2802" s="2" t="b">
        <v>0</v>
      </c>
      <c r="L2802" s="2" t="b">
        <v>0</v>
      </c>
      <c r="M2802" s="2" t="b">
        <v>0</v>
      </c>
      <c r="N2802" s="2" t="s">
        <v>33</v>
      </c>
      <c r="O2802" s="2">
        <v>51.0</v>
      </c>
      <c r="P2802" s="2">
        <v>12.0</v>
      </c>
      <c r="Q2802" s="2">
        <v>8.0</v>
      </c>
      <c r="R2802" s="2">
        <v>0.0</v>
      </c>
      <c r="S2802" s="3" t="s">
        <v>11460</v>
      </c>
      <c r="T2802" s="2" t="s">
        <v>11461</v>
      </c>
      <c r="Y2802" s="4" t="str">
        <f>IFERROR(__xludf.DUMMYFUNCTION("""COMPUTED_VALUE"""),"18.109581")</f>
        <v>18.109581</v>
      </c>
      <c r="Z2802" s="4" t="str">
        <f>IFERROR(__xludf.DUMMYFUNCTION("""COMPUTED_VALUE"""),"-77.297508")</f>
        <v>-77.297508</v>
      </c>
      <c r="AA2802" s="4" t="str">
        <f t="shared" si="1"/>
        <v>Not Neighbor</v>
      </c>
      <c r="AC2802" s="4">
        <f>IFERROR(__xludf.DUMMYFUNCTION("IFERROR(ABS(O2802-AVERAGE(FILTER(O2802:O6870,AA2802:AA6870=""Neighbor""))) / STDEV(FILTER(O2802:O6870, AA2802:AA6870 =""Neighbor"")), """")"),0.06299194521144766)</f>
        <v>0.06299194521</v>
      </c>
      <c r="AD2802" s="4">
        <f>IFERROR(__xludf.DUMMYFUNCTION("IFERROR(ABS(P2802-AVERAGE(FILTER(O2802:P6870,AA2802:AA6870=""Neighbor""))) / STDEV(FILTER(P2802:P6870, AA2802:AA6870 =""Neighbor"")), """")"),0.8841933929530861)</f>
        <v>0.884193393</v>
      </c>
      <c r="AE2802" s="2">
        <f>IFERROR(__xludf.DUMMYFUNCTION("IFERROR(ABS(Q2802-AVERAGE(FILTER(Q2802:Q6870,AA2802:AA6870=""Neighbor""))) / STDEV(FILTER(Q2802:Q6870, AA2802:AA6870 =""Neighbor"")), """")"),0.401037859978993)</f>
        <v>0.40103786</v>
      </c>
      <c r="AF2802" s="2">
        <f>IFERROR(__xludf.DUMMYFUNCTION("IFERROR(ABS(R2802-AVERAGE(FILTER(R2802:R6870,AA2802:AA6870=""Neighbor""))) / STDEV(FILTER(R2802:R6870, AA2802:AA6870 =""Neighbor"")), """")"),0.33631372997704473)</f>
        <v>0.33631373</v>
      </c>
    </row>
    <row r="2803">
      <c r="A2803" s="2" t="s">
        <v>28</v>
      </c>
      <c r="B2803" s="2" t="s">
        <v>1711</v>
      </c>
      <c r="C2803" s="2" t="s">
        <v>2577</v>
      </c>
      <c r="D2803" s="2" t="s">
        <v>11462</v>
      </c>
      <c r="E2803" s="2" t="s">
        <v>11463</v>
      </c>
      <c r="F2803" s="2">
        <v>57.0</v>
      </c>
      <c r="G2803" s="2">
        <v>145.0</v>
      </c>
      <c r="H2803" s="2" t="b">
        <v>1</v>
      </c>
      <c r="I2803" s="2">
        <v>-1.0</v>
      </c>
      <c r="J2803" s="2" t="b">
        <v>0</v>
      </c>
      <c r="K2803" s="2" t="b">
        <v>0</v>
      </c>
      <c r="L2803" s="2" t="b">
        <v>0</v>
      </c>
      <c r="M2803" s="2" t="b">
        <v>0</v>
      </c>
      <c r="N2803" s="2" t="s">
        <v>33</v>
      </c>
      <c r="O2803" s="2">
        <v>22.0</v>
      </c>
      <c r="P2803" s="2">
        <v>29.0</v>
      </c>
      <c r="Q2803" s="2">
        <v>2.0</v>
      </c>
      <c r="R2803" s="2">
        <v>1.0</v>
      </c>
      <c r="S2803" s="3" t="s">
        <v>11464</v>
      </c>
      <c r="T2803" s="2" t="s">
        <v>11465</v>
      </c>
      <c r="Y2803" s="4" t="str">
        <f>IFERROR(__xludf.DUMMYFUNCTION("""COMPUTED_VALUE"""),"6.5037581")</f>
        <v>6.5037581</v>
      </c>
      <c r="Z2803" s="4" t="str">
        <f>IFERROR(__xludf.DUMMYFUNCTION("""COMPUTED_VALUE"""),"3.1003363")</f>
        <v>3.1003363</v>
      </c>
      <c r="AA2803" s="4" t="str">
        <f t="shared" si="1"/>
        <v>Not Neighbor</v>
      </c>
      <c r="AC2803" s="4">
        <f>IFERROR(__xludf.DUMMYFUNCTION("IFERROR(ABS(O2803-AVERAGE(FILTER(O2803:O6871,AA2803:AA6871=""Neighbor""))) / STDEV(FILTER(O2803:O6871, AA2803:AA6871 =""Neighbor"")), """")"),0.7557813833017265)</f>
        <v>0.7557813833</v>
      </c>
      <c r="AD2803" s="4">
        <f>IFERROR(__xludf.DUMMYFUNCTION("IFERROR(ABS(P2803-AVERAGE(FILTER(O2803:P6871,AA2803:AA6871=""Neighbor""))) / STDEV(FILTER(P2803:P6871, AA2803:AA6871 =""Neighbor"")), """")"),0.19246432070045308)</f>
        <v>0.1924643207</v>
      </c>
      <c r="AE2803" s="2">
        <f>IFERROR(__xludf.DUMMYFUNCTION("IFERROR(ABS(Q2803-AVERAGE(FILTER(Q2803:Q6871,AA2803:AA6871=""Neighbor""))) / STDEV(FILTER(Q2803:Q6871, AA2803:AA6871 =""Neighbor"")), """")"),0.7439381908566916)</f>
        <v>0.7439381909</v>
      </c>
      <c r="AF2803" s="2">
        <f>IFERROR(__xludf.DUMMYFUNCTION("IFERROR(ABS(R2803-AVERAGE(FILTER(R2803:R6871,AA2803:AA6871=""Neighbor""))) / STDEV(FILTER(R2803:R6871, AA2803:AA6871 =""Neighbor"")), """")"),0.7920432046560836)</f>
        <v>0.7920432047</v>
      </c>
    </row>
    <row r="2804">
      <c r="A2804" s="2" t="s">
        <v>28</v>
      </c>
      <c r="B2804" s="2" t="s">
        <v>1711</v>
      </c>
      <c r="C2804" s="2" t="s">
        <v>2577</v>
      </c>
      <c r="D2804" s="2" t="s">
        <v>11466</v>
      </c>
      <c r="E2804" s="2" t="s">
        <v>11467</v>
      </c>
      <c r="F2804" s="2">
        <v>133.0</v>
      </c>
      <c r="G2804" s="2">
        <v>180.0</v>
      </c>
      <c r="H2804" s="2" t="b">
        <v>1</v>
      </c>
      <c r="I2804" s="2">
        <v>-1.0</v>
      </c>
      <c r="J2804" s="2" t="b">
        <v>0</v>
      </c>
      <c r="K2804" s="2" t="b">
        <v>0</v>
      </c>
      <c r="L2804" s="2" t="b">
        <v>0</v>
      </c>
      <c r="M2804" s="2" t="b">
        <v>0</v>
      </c>
      <c r="N2804" s="2" t="s">
        <v>33</v>
      </c>
      <c r="O2804" s="2">
        <v>69.0</v>
      </c>
      <c r="P2804" s="2">
        <v>48.0</v>
      </c>
      <c r="Q2804" s="2">
        <v>11.0</v>
      </c>
      <c r="R2804" s="2">
        <v>1.0</v>
      </c>
      <c r="S2804" s="3" t="s">
        <v>11468</v>
      </c>
      <c r="T2804" s="2" t="s">
        <v>11469</v>
      </c>
      <c r="Y2804" s="4" t="str">
        <f>IFERROR(__xludf.DUMMYFUNCTION("""COMPUTED_VALUE"""),"6.5137089")</f>
        <v>6.5137089</v>
      </c>
      <c r="Z2804" s="4" t="str">
        <f>IFERROR(__xludf.DUMMYFUNCTION("""COMPUTED_VALUE"""),"3.1140582")</f>
        <v>3.1140582</v>
      </c>
      <c r="AA2804" s="4" t="str">
        <f t="shared" si="1"/>
        <v>Not Neighbor</v>
      </c>
      <c r="AC2804" s="4">
        <f>IFERROR(__xludf.DUMMYFUNCTION("IFERROR(ABS(O2804-AVERAGE(FILTER(O2804:O6872,AA2804:AA6872=""Neighbor""))) / STDEV(FILTER(O2804:O6872, AA2804:AA6872 =""Neighbor"")), """")"),0.5711960801506593)</f>
        <v>0.5711960802</v>
      </c>
      <c r="AD2804" s="4">
        <f>IFERROR(__xludf.DUMMYFUNCTION("IFERROR(ABS(P2804-AVERAGE(FILTER(O2804:P6872,AA2804:AA6872=""Neighbor""))) / STDEV(FILTER(P2804:P6872, AA2804:AA6872 =""Neighbor"")), """")"),0.5806446424054308)</f>
        <v>0.5806446424</v>
      </c>
      <c r="AE2804" s="2">
        <f>IFERROR(__xludf.DUMMYFUNCTION("IFERROR(ABS(Q2804-AVERAGE(FILTER(Q2804:Q6872,AA2804:AA6872=""Neighbor""))) / STDEV(FILTER(Q2804:Q6872, AA2804:AA6872 =""Neighbor"")), """")"),0.2295876945401437)</f>
        <v>0.2295876945</v>
      </c>
      <c r="AF2804" s="2">
        <f>IFERROR(__xludf.DUMMYFUNCTION("IFERROR(ABS(R2804-AVERAGE(FILTER(R2804:R6872,AA2804:AA6872=""Neighbor""))) / STDEV(FILTER(R2804:R6872, AA2804:AA6872 =""Neighbor"")), """")"),0.7920432046560836)</f>
        <v>0.7920432047</v>
      </c>
    </row>
    <row r="2805">
      <c r="A2805" s="2" t="s">
        <v>28</v>
      </c>
      <c r="B2805" s="2" t="s">
        <v>1711</v>
      </c>
      <c r="C2805" s="2" t="s">
        <v>2577</v>
      </c>
      <c r="D2805" s="2" t="s">
        <v>11470</v>
      </c>
      <c r="E2805" s="2" t="s">
        <v>11471</v>
      </c>
      <c r="F2805" s="2">
        <v>285.0</v>
      </c>
      <c r="G2805" s="2">
        <v>750.0</v>
      </c>
      <c r="H2805" s="2" t="b">
        <v>1</v>
      </c>
      <c r="I2805" s="2">
        <v>-1.0</v>
      </c>
      <c r="J2805" s="2" t="b">
        <v>0</v>
      </c>
      <c r="K2805" s="2" t="b">
        <v>0</v>
      </c>
      <c r="L2805" s="2" t="b">
        <v>0</v>
      </c>
      <c r="M2805" s="2" t="b">
        <v>0</v>
      </c>
      <c r="N2805" s="2" t="s">
        <v>33</v>
      </c>
      <c r="O2805" s="2">
        <v>74.0</v>
      </c>
      <c r="P2805" s="2">
        <v>173.0</v>
      </c>
      <c r="Q2805" s="2">
        <v>13.0</v>
      </c>
      <c r="R2805" s="2">
        <v>1.0</v>
      </c>
      <c r="S2805" s="3" t="s">
        <v>11472</v>
      </c>
      <c r="T2805" s="2" t="s">
        <v>11473</v>
      </c>
      <c r="Y2805" s="4" t="str">
        <f>IFERROR(__xludf.DUMMYFUNCTION("""COMPUTED_VALUE"""),"6.516139")</f>
        <v>6.516139</v>
      </c>
      <c r="Z2805" s="4" t="str">
        <f>IFERROR(__xludf.DUMMYFUNCTION("""COMPUTED_VALUE"""),"3.0781031")</f>
        <v>3.0781031</v>
      </c>
      <c r="AA2805" s="4" t="str">
        <f t="shared" si="1"/>
        <v>Not Neighbor</v>
      </c>
      <c r="AC2805" s="4">
        <f>IFERROR(__xludf.DUMMYFUNCTION("IFERROR(ABS(O2805-AVERAGE(FILTER(O2805:O6873,AA2805:AA6873=""Neighbor""))) / STDEV(FILTER(O2805:O6873, AA2805:AA6873 =""Neighbor"")), """")"),0.7123638954115513)</f>
        <v>0.7123638954</v>
      </c>
      <c r="AD2805" s="4">
        <f>IFERROR(__xludf.DUMMYFUNCTION("IFERROR(ABS(P2805-AVERAGE(FILTER(O2805:P6873,AA2805:AA6873=""Neighbor""))) / STDEV(FILTER(P2805:P6873, AA2805:AA6873 =""Neighbor"")), """")"),5.666887820733614)</f>
        <v>5.666887821</v>
      </c>
      <c r="AE2805" s="2">
        <f>IFERROR(__xludf.DUMMYFUNCTION("IFERROR(ABS(Q2805-AVERAGE(FILTER(Q2805:Q6873,AA2805:AA6873=""Neighbor""))) / STDEV(FILTER(Q2805:Q6873, AA2805:AA6873 =""Neighbor"")), """")"),0.11528758424757751)</f>
        <v>0.1152875842</v>
      </c>
      <c r="AF2805" s="2">
        <f>IFERROR(__xludf.DUMMYFUNCTION("IFERROR(ABS(R2805-AVERAGE(FILTER(R2805:R6873,AA2805:AA6873=""Neighbor""))) / STDEV(FILTER(R2805:R6873, AA2805:AA6873 =""Neighbor"")), """")"),0.7920432046560836)</f>
        <v>0.7920432047</v>
      </c>
    </row>
    <row r="2806">
      <c r="A2806" s="2" t="s">
        <v>28</v>
      </c>
      <c r="B2806" s="2" t="s">
        <v>1711</v>
      </c>
      <c r="C2806" s="2" t="s">
        <v>2577</v>
      </c>
      <c r="D2806" s="2" t="s">
        <v>11474</v>
      </c>
      <c r="E2806" s="2" t="s">
        <v>11475</v>
      </c>
      <c r="F2806" s="2">
        <v>163.0</v>
      </c>
      <c r="G2806" s="2">
        <v>559.0</v>
      </c>
      <c r="H2806" s="2" t="b">
        <v>1</v>
      </c>
      <c r="I2806" s="2">
        <v>-1.0</v>
      </c>
      <c r="J2806" s="2" t="b">
        <v>0</v>
      </c>
      <c r="K2806" s="2" t="b">
        <v>0</v>
      </c>
      <c r="L2806" s="2" t="b">
        <v>0</v>
      </c>
      <c r="M2806" s="2" t="b">
        <v>0</v>
      </c>
      <c r="N2806" s="2" t="s">
        <v>33</v>
      </c>
      <c r="O2806" s="2">
        <v>60.0</v>
      </c>
      <c r="P2806" s="2">
        <v>94.0</v>
      </c>
      <c r="Q2806" s="2">
        <v>9.0</v>
      </c>
      <c r="R2806" s="2">
        <v>0.0</v>
      </c>
      <c r="S2806" s="3" t="s">
        <v>11476</v>
      </c>
      <c r="T2806" s="2" t="s">
        <v>11477</v>
      </c>
      <c r="Y2806" s="4" t="str">
        <f>IFERROR(__xludf.DUMMYFUNCTION("""COMPUTED_VALUE"""),"6.51371")</f>
        <v>6.51371</v>
      </c>
      <c r="Z2806" s="4" t="str">
        <f>IFERROR(__xludf.DUMMYFUNCTION("""COMPUTED_VALUE"""),"3.114051")</f>
        <v>3.114051</v>
      </c>
      <c r="AA2806" s="4" t="str">
        <f t="shared" si="1"/>
        <v>Neighbor</v>
      </c>
      <c r="AC2806" s="4">
        <f>IFERROR(__xludf.DUMMYFUNCTION("IFERROR(ABS(O2806-AVERAGE(FILTER(O2806:O6874,AA2806:AA6874=""Neighbor""))) / STDEV(FILTER(O2806:O6874, AA2806:AA6874 =""Neighbor"")), """")"),0.31709401268105347)</f>
        <v>0.3170940127</v>
      </c>
      <c r="AD2806" s="4">
        <f>IFERROR(__xludf.DUMMYFUNCTION("IFERROR(ABS(P2806-AVERAGE(FILTER(O2806:P6874,AA2806:AA6874=""Neighbor""))) / STDEV(FILTER(P2806:P6874, AA2806:AA6874 =""Neighbor"")), """")"),2.4523821320302024)</f>
        <v>2.452382132</v>
      </c>
      <c r="AE2806" s="2">
        <f>IFERROR(__xludf.DUMMYFUNCTION("IFERROR(ABS(Q2806-AVERAGE(FILTER(Q2806:Q6874,AA2806:AA6874=""Neighbor""))) / STDEV(FILTER(Q2806:Q6874, AA2806:AA6874 =""Neighbor"")), """")"),0.34388780483270986)</f>
        <v>0.3438878048</v>
      </c>
      <c r="AF2806" s="2">
        <f>IFERROR(__xludf.DUMMYFUNCTION("IFERROR(ABS(R2806-AVERAGE(FILTER(R2806:R6874,AA2806:AA6874=""Neighbor""))) / STDEV(FILTER(R2806:R6874, AA2806:AA6874 =""Neighbor"")), """")"),0.33631372997704473)</f>
        <v>0.33631373</v>
      </c>
    </row>
    <row r="2807">
      <c r="A2807" s="2" t="s">
        <v>28</v>
      </c>
      <c r="B2807" s="2" t="s">
        <v>1711</v>
      </c>
      <c r="C2807" s="2" t="s">
        <v>2577</v>
      </c>
      <c r="D2807" s="2" t="s">
        <v>11478</v>
      </c>
      <c r="E2807" s="2" t="s">
        <v>11479</v>
      </c>
      <c r="F2807" s="2">
        <v>101.0</v>
      </c>
      <c r="G2807" s="2">
        <v>187.0</v>
      </c>
      <c r="H2807" s="2" t="b">
        <v>1</v>
      </c>
      <c r="I2807" s="2">
        <v>-1.0</v>
      </c>
      <c r="J2807" s="2" t="b">
        <v>0</v>
      </c>
      <c r="K2807" s="2" t="b">
        <v>0</v>
      </c>
      <c r="L2807" s="2" t="b">
        <v>0</v>
      </c>
      <c r="M2807" s="2" t="b">
        <v>0</v>
      </c>
      <c r="N2807" s="2" t="s">
        <v>33</v>
      </c>
      <c r="O2807" s="2">
        <v>30.0</v>
      </c>
      <c r="P2807" s="2">
        <v>48.0</v>
      </c>
      <c r="Q2807" s="2">
        <v>12.0</v>
      </c>
      <c r="R2807" s="2">
        <v>1.0</v>
      </c>
      <c r="S2807" s="3" t="s">
        <v>11480</v>
      </c>
      <c r="T2807" s="2" t="s">
        <v>11481</v>
      </c>
      <c r="Y2807" s="4" t="str">
        <f>IFERROR(__xludf.DUMMYFUNCTION("""COMPUTED_VALUE"""),"6.5137089")</f>
        <v>6.5137089</v>
      </c>
      <c r="Z2807" s="4" t="str">
        <f>IFERROR(__xludf.DUMMYFUNCTION("""COMPUTED_VALUE"""),"3.1140582")</f>
        <v>3.1140582</v>
      </c>
      <c r="AA2807" s="4" t="str">
        <f t="shared" si="1"/>
        <v>Neighbor</v>
      </c>
      <c r="AC2807" s="4">
        <f>IFERROR(__xludf.DUMMYFUNCTION("IFERROR(ABS(O2807-AVERAGE(FILTER(O2807:O6875,AA2807:AA6875=""Neighbor""))) / STDEV(FILTER(O2807:O6875, AA2807:AA6875 =""Neighbor"")), """")"),0.5287111233658379)</f>
        <v>0.5287111234</v>
      </c>
      <c r="AD2807" s="4">
        <f>IFERROR(__xludf.DUMMYFUNCTION("IFERROR(ABS(P2807-AVERAGE(FILTER(O2807:P6875,AA2807:AA6875=""Neighbor""))) / STDEV(FILTER(P2807:P6875, AA2807:AA6875 =""Neighbor"")), """")"),0.5898609665113653)</f>
        <v>0.5898609665</v>
      </c>
      <c r="AE2807" s="2">
        <f>IFERROR(__xludf.DUMMYFUNCTION("IFERROR(ABS(Q2807-AVERAGE(FILTER(Q2807:Q6875,AA2807:AA6875=""Neighbor""))) / STDEV(FILTER(Q2807:Q6875, AA2807:AA6875 =""Neighbor"")), """")"),0.1730166503867688)</f>
        <v>0.1730166504</v>
      </c>
      <c r="AF2807" s="2">
        <f>IFERROR(__xludf.DUMMYFUNCTION("IFERROR(ABS(R2807-AVERAGE(FILTER(R2807:R6875,AA2807:AA6875=""Neighbor""))) / STDEV(FILTER(R2807:R6875, AA2807:AA6875 =""Neighbor"")), """")"),0.7905553745162212)</f>
        <v>0.7905553745</v>
      </c>
    </row>
    <row r="2808">
      <c r="A2808" s="2" t="s">
        <v>28</v>
      </c>
      <c r="B2808" s="2" t="s">
        <v>1711</v>
      </c>
      <c r="C2808" s="2" t="s">
        <v>2577</v>
      </c>
      <c r="D2808" s="2" t="s">
        <v>11482</v>
      </c>
      <c r="E2808" s="2" t="s">
        <v>11483</v>
      </c>
      <c r="F2808" s="2">
        <v>77.0</v>
      </c>
      <c r="G2808" s="2">
        <v>149.0</v>
      </c>
      <c r="H2808" s="2" t="b">
        <v>1</v>
      </c>
      <c r="I2808" s="2">
        <v>-1.0</v>
      </c>
      <c r="J2808" s="2" t="b">
        <v>0</v>
      </c>
      <c r="K2808" s="2" t="b">
        <v>0</v>
      </c>
      <c r="L2808" s="2" t="b">
        <v>0</v>
      </c>
      <c r="M2808" s="2" t="b">
        <v>0</v>
      </c>
      <c r="N2808" s="2" t="s">
        <v>33</v>
      </c>
      <c r="O2808" s="2">
        <v>13.0</v>
      </c>
      <c r="P2808" s="2">
        <v>42.0</v>
      </c>
      <c r="Q2808" s="2">
        <v>13.0</v>
      </c>
      <c r="R2808" s="2">
        <v>0.0</v>
      </c>
      <c r="S2808" s="3" t="s">
        <v>11484</v>
      </c>
      <c r="T2808" s="2" t="s">
        <v>11485</v>
      </c>
      <c r="Y2808" s="4" t="str">
        <f>IFERROR(__xludf.DUMMYFUNCTION("""COMPUTED_VALUE"""),"6.51371")</f>
        <v>6.51371</v>
      </c>
      <c r="Z2808" s="4" t="str">
        <f>IFERROR(__xludf.DUMMYFUNCTION("""COMPUTED_VALUE"""),"3.114051")</f>
        <v>3.114051</v>
      </c>
      <c r="AA2808" s="4" t="str">
        <f t="shared" si="1"/>
        <v>Neighbor</v>
      </c>
      <c r="AC2808" s="4">
        <f>IFERROR(__xludf.DUMMYFUNCTION("IFERROR(ABS(O2808-AVERAGE(FILTER(O2808:O6876,AA2808:AA6876=""Neighbor""))) / STDEV(FILTER(O2808:O6876, AA2808:AA6876 =""Neighbor"")), """")"),1.0085722852864847)</f>
        <v>1.008572285</v>
      </c>
      <c r="AD2808" s="4">
        <f>IFERROR(__xludf.DUMMYFUNCTION("IFERROR(ABS(P2808-AVERAGE(FILTER(O2808:P6876,AA2808:AA6876=""Neighbor""))) / STDEV(FILTER(P2808:P6876, AA2808:AA6876 =""Neighbor"")), """")"),0.3441162406450125)</f>
        <v>0.3441162406</v>
      </c>
      <c r="AE2808" s="2">
        <f>IFERROR(__xludf.DUMMYFUNCTION("IFERROR(ABS(Q2808-AVERAGE(FILTER(Q2808:Q6876,AA2808:AA6876=""Neighbor""))) / STDEV(FILTER(Q2808:Q6876, AA2808:AA6876 =""Neighbor"")), """")"),0.11617403964665791)</f>
        <v>0.1161740396</v>
      </c>
      <c r="AF2808" s="2">
        <f>IFERROR(__xludf.DUMMYFUNCTION("IFERROR(ABS(R2808-AVERAGE(FILTER(R2808:R6876,AA2808:AA6876=""Neighbor""))) / STDEV(FILTER(R2808:R6876, AA2808:AA6876 =""Neighbor"")), """")"),0.3348671774376524)</f>
        <v>0.3348671774</v>
      </c>
    </row>
    <row r="2809">
      <c r="A2809" s="2" t="s">
        <v>28</v>
      </c>
      <c r="B2809" s="2" t="s">
        <v>1711</v>
      </c>
      <c r="C2809" s="2" t="s">
        <v>2577</v>
      </c>
      <c r="D2809" s="2" t="s">
        <v>11486</v>
      </c>
      <c r="E2809" s="2" t="s">
        <v>11487</v>
      </c>
      <c r="F2809" s="2">
        <v>99.0</v>
      </c>
      <c r="G2809" s="2">
        <v>750.0</v>
      </c>
      <c r="H2809" s="2" t="b">
        <v>1</v>
      </c>
      <c r="I2809" s="2">
        <v>-1.0</v>
      </c>
      <c r="J2809" s="2" t="b">
        <v>0</v>
      </c>
      <c r="K2809" s="2" t="b">
        <v>0</v>
      </c>
      <c r="L2809" s="2" t="b">
        <v>0</v>
      </c>
      <c r="M2809" s="2" t="b">
        <v>0</v>
      </c>
      <c r="N2809" s="2" t="s">
        <v>33</v>
      </c>
      <c r="O2809" s="2">
        <v>60.0</v>
      </c>
      <c r="P2809" s="2">
        <v>22.0</v>
      </c>
      <c r="Q2809" s="2">
        <v>11.0</v>
      </c>
      <c r="R2809" s="2">
        <v>1.0</v>
      </c>
      <c r="S2809" s="3" t="s">
        <v>11488</v>
      </c>
      <c r="T2809" s="2" t="s">
        <v>11489</v>
      </c>
      <c r="Y2809" s="4" t="str">
        <f>IFERROR(__xludf.DUMMYFUNCTION("""COMPUTED_VALUE"""),"6.51371")</f>
        <v>6.51371</v>
      </c>
      <c r="Z2809" s="4" t="str">
        <f>IFERROR(__xludf.DUMMYFUNCTION("""COMPUTED_VALUE"""),"3.114051")</f>
        <v>3.114051</v>
      </c>
      <c r="AA2809" s="4" t="str">
        <f t="shared" si="1"/>
        <v>Not Neighbor</v>
      </c>
      <c r="AC2809" s="4">
        <f>IFERROR(__xludf.DUMMYFUNCTION("IFERROR(ABS(O2809-AVERAGE(FILTER(O2809:O6877,AA2809:AA6877=""Neighbor""))) / STDEV(FILTER(O2809:O6877, AA2809:AA6877 =""Neighbor"")), """")"),0.3138908796626797)</f>
        <v>0.3138908797</v>
      </c>
      <c r="AD2809" s="4">
        <f>IFERROR(__xludf.DUMMYFUNCTION("IFERROR(ABS(P2809-AVERAGE(FILTER(O2809:P6877,AA2809:AA6877=""Neighbor""))) / STDEV(FILTER(P2809:P6877, AA2809:AA6877 =""Neighbor"")), """")"),0.47814161222149026)</f>
        <v>0.4781416122</v>
      </c>
      <c r="AE2809" s="2">
        <f>IFERROR(__xludf.DUMMYFUNCTION("IFERROR(ABS(Q2809-AVERAGE(FILTER(Q2809:Q6877,AA2809:AA6877=""Neighbor""))) / STDEV(FILTER(Q2809:Q6877, AA2809:AA6877 =""Neighbor"")), """")"),0.23025008238237266)</f>
        <v>0.2302500824</v>
      </c>
      <c r="AF2809" s="2">
        <f>IFERROR(__xludf.DUMMYFUNCTION("IFERROR(ABS(R2809-AVERAGE(FILTER(R2809:R6877,AA2809:AA6877=""Neighbor""))) / STDEV(FILTER(R2809:R6877, AA2809:AA6877 =""Neighbor"")), """")"),0.7904567524308935)</f>
        <v>0.7904567524</v>
      </c>
    </row>
    <row r="2810">
      <c r="A2810" s="2" t="s">
        <v>28</v>
      </c>
      <c r="B2810" s="2" t="s">
        <v>1711</v>
      </c>
      <c r="C2810" s="2" t="s">
        <v>2626</v>
      </c>
      <c r="D2810" s="2" t="s">
        <v>11490</v>
      </c>
      <c r="E2810" s="2" t="s">
        <v>11491</v>
      </c>
      <c r="F2810" s="2">
        <v>56.0</v>
      </c>
      <c r="G2810" s="2">
        <v>74.0</v>
      </c>
      <c r="H2810" s="2" t="b">
        <v>1</v>
      </c>
      <c r="I2810" s="2">
        <v>-1.0</v>
      </c>
      <c r="J2810" s="2" t="b">
        <v>0</v>
      </c>
      <c r="K2810" s="2" t="b">
        <v>0</v>
      </c>
      <c r="L2810" s="2" t="b">
        <v>0</v>
      </c>
      <c r="M2810" s="2" t="b">
        <v>0</v>
      </c>
      <c r="N2810" s="2" t="s">
        <v>33</v>
      </c>
      <c r="O2810" s="2">
        <v>26.0</v>
      </c>
      <c r="P2810" s="2">
        <v>3.0</v>
      </c>
      <c r="Q2810" s="2">
        <v>19.0</v>
      </c>
      <c r="R2810" s="2">
        <v>0.0</v>
      </c>
      <c r="S2810" s="3" t="s">
        <v>11492</v>
      </c>
      <c r="T2810" s="2" t="s">
        <v>11493</v>
      </c>
      <c r="Y2810" s="4" t="str">
        <f>IFERROR(__xludf.DUMMYFUNCTION("""COMPUTED_VALUE"""),"6.5577137")</f>
        <v>6.5577137</v>
      </c>
      <c r="Z2810" s="4" t="str">
        <f>IFERROR(__xludf.DUMMYFUNCTION("""COMPUTED_VALUE"""),"3.1679257")</f>
        <v>3.1679257</v>
      </c>
      <c r="AA2810" s="4" t="str">
        <f t="shared" si="1"/>
        <v>Neighbor</v>
      </c>
      <c r="AC2810" s="4">
        <f>IFERROR(__xludf.DUMMYFUNCTION("IFERROR(ABS(O2810-AVERAGE(FILTER(O2810:O6878,AA2810:AA6878=""Neighbor""))) / STDEV(FILTER(O2810:O6878, AA2810:AA6878 =""Neighbor"")), """")"),0.6443861763444081)</f>
        <v>0.6443861763</v>
      </c>
      <c r="AD2810" s="4">
        <f>IFERROR(__xludf.DUMMYFUNCTION("IFERROR(ABS(P2810-AVERAGE(FILTER(O2810:P6878,AA2810:AA6878=""Neighbor""))) / STDEV(FILTER(P2810:P6878, AA2810:AA6878 =""Neighbor"")), """")"),1.2587445244874518)</f>
        <v>1.258744524</v>
      </c>
      <c r="AE2810" s="2">
        <f>IFERROR(__xludf.DUMMYFUNCTION("IFERROR(ABS(Q2810-AVERAGE(FILTER(Q2810:Q6878,AA2810:AA6878=""Neighbor""))) / STDEV(FILTER(Q2810:Q6878, AA2810:AA6878 =""Neighbor"")), """")"),0.2255435180302855)</f>
        <v>0.225543518</v>
      </c>
      <c r="AF2810" s="2">
        <f>IFERROR(__xludf.DUMMYFUNCTION("IFERROR(ABS(R2810-AVERAGE(FILTER(R2810:R6878,AA2810:AA6878=""Neighbor""))) / STDEV(FILTER(R2810:R6878, AA2810:AA6878 =""Neighbor"")), """")"),0.335271130288026)</f>
        <v>0.3352711303</v>
      </c>
    </row>
    <row r="2811">
      <c r="A2811" s="2" t="s">
        <v>28</v>
      </c>
      <c r="B2811" s="2" t="s">
        <v>1711</v>
      </c>
      <c r="C2811" s="2" t="s">
        <v>2626</v>
      </c>
      <c r="D2811" s="2" t="s">
        <v>11494</v>
      </c>
      <c r="E2811" s="2" t="s">
        <v>11495</v>
      </c>
      <c r="F2811" s="2">
        <v>93.0</v>
      </c>
      <c r="G2811" s="2">
        <v>129.0</v>
      </c>
      <c r="H2811" s="2" t="b">
        <v>1</v>
      </c>
      <c r="I2811" s="2">
        <v>-1.0</v>
      </c>
      <c r="J2811" s="2" t="b">
        <v>0</v>
      </c>
      <c r="K2811" s="2" t="b">
        <v>0</v>
      </c>
      <c r="L2811" s="2" t="b">
        <v>0</v>
      </c>
      <c r="M2811" s="2" t="b">
        <v>0</v>
      </c>
      <c r="N2811" s="2" t="s">
        <v>33</v>
      </c>
      <c r="O2811" s="2">
        <v>80.0</v>
      </c>
      <c r="P2811" s="2">
        <v>5.0</v>
      </c>
      <c r="Q2811" s="2">
        <v>4.0</v>
      </c>
      <c r="R2811" s="2">
        <v>0.0</v>
      </c>
      <c r="S2811" s="3" t="s">
        <v>11496</v>
      </c>
      <c r="T2811" s="2" t="s">
        <v>11497</v>
      </c>
      <c r="Y2811" s="4" t="str">
        <f>IFERROR(__xludf.DUMMYFUNCTION("""COMPUTED_VALUE"""),"6.5577137")</f>
        <v>6.5577137</v>
      </c>
      <c r="Z2811" s="4" t="str">
        <f>IFERROR(__xludf.DUMMYFUNCTION("""COMPUTED_VALUE"""),"3.1679257")</f>
        <v>3.1679257</v>
      </c>
      <c r="AA2811" s="4" t="str">
        <f t="shared" si="1"/>
        <v>Not Neighbor</v>
      </c>
      <c r="AC2811" s="4">
        <f>IFERROR(__xludf.DUMMYFUNCTION("IFERROR(ABS(O2811-AVERAGE(FILTER(O2811:O6879,AA2811:AA6879=""Neighbor""))) / STDEV(FILTER(O2811:O6879, AA2811:AA6879 =""Neighbor"")), """")"),0.8756214275042775)</f>
        <v>0.8756214275</v>
      </c>
      <c r="AD2811" s="4">
        <f>IFERROR(__xludf.DUMMYFUNCTION("IFERROR(ABS(P2811-AVERAGE(FILTER(O2811:P6879,AA2811:AA6879=""Neighbor""))) / STDEV(FILTER(P2811:P6879, AA2811:AA6879 =""Neighbor"")), """")"),1.1775201537425868)</f>
        <v>1.177520154</v>
      </c>
      <c r="AE2811" s="2">
        <f>IFERROR(__xludf.DUMMYFUNCTION("IFERROR(ABS(Q2811-AVERAGE(FILTER(Q2811:Q6879,AA2811:AA6879=""Neighbor""))) / STDEV(FILTER(Q2811:Q6879, AA2811:AA6879 =""Neighbor"")), """")"),0.6279278762299814)</f>
        <v>0.6279278762</v>
      </c>
      <c r="AF2811" s="2">
        <f>IFERROR(__xludf.DUMMYFUNCTION("IFERROR(ABS(R2811-AVERAGE(FILTER(R2811:R6879,AA2811:AA6879=""Neighbor""))) / STDEV(FILTER(R2811:R6879, AA2811:AA6879 =""Neighbor"")), """")"),0.33567654893125)</f>
        <v>0.3356765489</v>
      </c>
    </row>
    <row r="2812">
      <c r="A2812" s="2" t="s">
        <v>28</v>
      </c>
      <c r="B2812" s="2" t="s">
        <v>1711</v>
      </c>
      <c r="C2812" s="2" t="s">
        <v>2626</v>
      </c>
      <c r="D2812" s="2" t="s">
        <v>11498</v>
      </c>
      <c r="E2812" s="2" t="s">
        <v>11499</v>
      </c>
      <c r="F2812" s="2">
        <v>37.0</v>
      </c>
      <c r="G2812" s="2">
        <v>69.0</v>
      </c>
      <c r="H2812" s="2" t="b">
        <v>1</v>
      </c>
      <c r="I2812" s="2">
        <v>-1.0</v>
      </c>
      <c r="J2812" s="2" t="b">
        <v>0</v>
      </c>
      <c r="K2812" s="2" t="b">
        <v>0</v>
      </c>
      <c r="L2812" s="2" t="b">
        <v>0</v>
      </c>
      <c r="M2812" s="2" t="b">
        <v>0</v>
      </c>
      <c r="N2812" s="2" t="s">
        <v>33</v>
      </c>
      <c r="O2812" s="2">
        <v>10.0</v>
      </c>
      <c r="P2812" s="2">
        <v>20.0</v>
      </c>
      <c r="Q2812" s="2">
        <v>5.0</v>
      </c>
      <c r="R2812" s="2">
        <v>0.0</v>
      </c>
      <c r="S2812" s="3" t="s">
        <v>11500</v>
      </c>
      <c r="T2812" s="2" t="s">
        <v>11501</v>
      </c>
      <c r="Y2812" s="4" t="str">
        <f>IFERROR(__xludf.DUMMYFUNCTION("""COMPUTED_VALUE"""),"6.5190775")</f>
        <v>6.5190775</v>
      </c>
      <c r="Z2812" s="4" t="str">
        <f>IFERROR(__xludf.DUMMYFUNCTION("""COMPUTED_VALUE"""),"3.1691806")</f>
        <v>3.1691806</v>
      </c>
      <c r="AA2812" s="4" t="str">
        <f t="shared" si="1"/>
        <v>Not Neighbor</v>
      </c>
      <c r="AC2812" s="4">
        <f>IFERROR(__xludf.DUMMYFUNCTION("IFERROR(ABS(O2812-AVERAGE(FILTER(O2812:O6880,AA2812:AA6880=""Neighbor""))) / STDEV(FILTER(O2812:O6880, AA2812:AA6880 =""Neighbor"")), """")"),1.0960455754890952)</f>
        <v>1.096045575</v>
      </c>
      <c r="AD2812" s="4">
        <f>IFERROR(__xludf.DUMMYFUNCTION("IFERROR(ABS(P2812-AVERAGE(FILTER(O2812:P6880,AA2812:AA6880=""Neighbor""))) / STDEV(FILTER(P2812:P6880, AA2812:AA6880 =""Neighbor"")), """")"),0.5616567187290871)</f>
        <v>0.5616567187</v>
      </c>
      <c r="AE2812" s="2">
        <f>IFERROR(__xludf.DUMMYFUNCTION("IFERROR(ABS(Q2812-AVERAGE(FILTER(Q2812:Q6880,AA2812:AA6880=""Neighbor""))) / STDEV(FILTER(Q2812:Q6880, AA2812:AA6880 =""Neighbor"")), """")"),0.5710126125669558)</f>
        <v>0.5710126126</v>
      </c>
      <c r="AF2812" s="2">
        <f>IFERROR(__xludf.DUMMYFUNCTION("IFERROR(ABS(R2812-AVERAGE(FILTER(R2812:R6880,AA2812:AA6880=""Neighbor""))) / STDEV(FILTER(R2812:R6880, AA2812:AA6880 =""Neighbor"")), """")"),0.33567654893125)</f>
        <v>0.3356765489</v>
      </c>
    </row>
    <row r="2813">
      <c r="A2813" s="2" t="s">
        <v>28</v>
      </c>
      <c r="B2813" s="2" t="s">
        <v>1711</v>
      </c>
      <c r="C2813" s="2" t="s">
        <v>2626</v>
      </c>
      <c r="D2813" s="2" t="s">
        <v>11502</v>
      </c>
      <c r="E2813" s="2" t="s">
        <v>11503</v>
      </c>
      <c r="F2813" s="2">
        <v>100.0</v>
      </c>
      <c r="G2813" s="2">
        <v>128.0</v>
      </c>
      <c r="H2813" s="2" t="b">
        <v>1</v>
      </c>
      <c r="I2813" s="2">
        <v>-1.0</v>
      </c>
      <c r="J2813" s="2" t="b">
        <v>0</v>
      </c>
      <c r="K2813" s="2" t="b">
        <v>0</v>
      </c>
      <c r="L2813" s="2" t="b">
        <v>0</v>
      </c>
      <c r="M2813" s="2" t="b">
        <v>0</v>
      </c>
      <c r="N2813" s="2" t="s">
        <v>33</v>
      </c>
      <c r="O2813" s="2">
        <v>73.0</v>
      </c>
      <c r="P2813" s="2">
        <v>8.0</v>
      </c>
      <c r="Q2813" s="2">
        <v>5.0</v>
      </c>
      <c r="R2813" s="2">
        <v>0.0</v>
      </c>
      <c r="S2813" s="3" t="s">
        <v>11504</v>
      </c>
      <c r="T2813" s="2" t="s">
        <v>11505</v>
      </c>
      <c r="Y2813" s="4" t="str">
        <f>IFERROR(__xludf.DUMMYFUNCTION("""COMPUTED_VALUE"""),"6.5577137")</f>
        <v>6.5577137</v>
      </c>
      <c r="Z2813" s="4" t="str">
        <f>IFERROR(__xludf.DUMMYFUNCTION("""COMPUTED_VALUE"""),"3.1679257")</f>
        <v>3.1679257</v>
      </c>
      <c r="AA2813" s="4" t="str">
        <f t="shared" si="1"/>
        <v>Not Neighbor</v>
      </c>
      <c r="AC2813" s="4">
        <f>IFERROR(__xludf.DUMMYFUNCTION("IFERROR(ABS(O2813-AVERAGE(FILTER(O2813:O6881,AA2813:AA6881=""Neighbor""))) / STDEV(FILTER(O2813:O6881, AA2813:AA6881 =""Neighbor"")), """")"),0.6784547272049403)</f>
        <v>0.6784547272</v>
      </c>
      <c r="AD2813" s="4">
        <f>IFERROR(__xludf.DUMMYFUNCTION("IFERROR(ABS(P2813-AVERAGE(FILTER(O2813:P6881,AA2813:AA6881=""Neighbor""))) / STDEV(FILTER(P2813:P6881, AA2813:AA6881 =""Neighbor"")), """")"),1.0543474667398869)</f>
        <v>1.054347467</v>
      </c>
      <c r="AE2813" s="2">
        <f>IFERROR(__xludf.DUMMYFUNCTION("IFERROR(ABS(Q2813-AVERAGE(FILTER(Q2813:Q6881,AA2813:AA6881=""Neighbor""))) / STDEV(FILTER(Q2813:Q6881, AA2813:AA6881 =""Neighbor"")), """")"),0.5710126125669558)</f>
        <v>0.5710126126</v>
      </c>
      <c r="AF2813" s="2">
        <f>IFERROR(__xludf.DUMMYFUNCTION("IFERROR(ABS(R2813-AVERAGE(FILTER(R2813:R6881,AA2813:AA6881=""Neighbor""))) / STDEV(FILTER(R2813:R6881, AA2813:AA6881 =""Neighbor"")), """")"),0.33567654893125)</f>
        <v>0.3356765489</v>
      </c>
    </row>
    <row r="2814">
      <c r="A2814" s="2" t="s">
        <v>28</v>
      </c>
      <c r="B2814" s="2" t="s">
        <v>1711</v>
      </c>
      <c r="C2814" s="2" t="s">
        <v>2626</v>
      </c>
      <c r="D2814" s="2" t="s">
        <v>11506</v>
      </c>
      <c r="E2814" s="2" t="s">
        <v>11507</v>
      </c>
      <c r="F2814" s="2">
        <v>41.0</v>
      </c>
      <c r="G2814" s="2">
        <v>68.0</v>
      </c>
      <c r="H2814" s="2" t="b">
        <v>1</v>
      </c>
      <c r="I2814" s="2">
        <v>-1.0</v>
      </c>
      <c r="J2814" s="2" t="b">
        <v>0</v>
      </c>
      <c r="K2814" s="2" t="b">
        <v>0</v>
      </c>
      <c r="L2814" s="2" t="b">
        <v>0</v>
      </c>
      <c r="M2814" s="2" t="b">
        <v>0</v>
      </c>
      <c r="N2814" s="2" t="s">
        <v>33</v>
      </c>
      <c r="O2814" s="2">
        <v>10.0</v>
      </c>
      <c r="P2814" s="2">
        <v>24.0</v>
      </c>
      <c r="Q2814" s="2">
        <v>7.0</v>
      </c>
      <c r="R2814" s="2">
        <v>0.0</v>
      </c>
      <c r="S2814" s="3" t="s">
        <v>11508</v>
      </c>
      <c r="T2814" s="2" t="s">
        <v>11509</v>
      </c>
      <c r="Y2814" s="4" t="str">
        <f>IFERROR(__xludf.DUMMYFUNCTION("""COMPUTED_VALUE"""),"6.5190775")</f>
        <v>6.5190775</v>
      </c>
      <c r="Z2814" s="4" t="str">
        <f>IFERROR(__xludf.DUMMYFUNCTION("""COMPUTED_VALUE"""),"3.1691806")</f>
        <v>3.1691806</v>
      </c>
      <c r="AA2814" s="4" t="str">
        <f t="shared" si="1"/>
        <v>Neighbor</v>
      </c>
      <c r="AC2814" s="4">
        <f>IFERROR(__xludf.DUMMYFUNCTION("IFERROR(ABS(O2814-AVERAGE(FILTER(O2814:O6882,AA2814:AA6882=""Neighbor""))) / STDEV(FILTER(O2814:O6882, AA2814:AA6882 =""Neighbor"")), """")"),1.0960455754890952)</f>
        <v>1.096045575</v>
      </c>
      <c r="AD2814" s="4">
        <f>IFERROR(__xludf.DUMMYFUNCTION("IFERROR(ABS(P2814-AVERAGE(FILTER(O2814:P6882,AA2814:AA6882=""Neighbor""))) / STDEV(FILTER(P2814:P6882, AA2814:AA6882 =""Neighbor"")), """")"),0.39742646939215376)</f>
        <v>0.3974264694</v>
      </c>
      <c r="AE2814" s="2">
        <f>IFERROR(__xludf.DUMMYFUNCTION("IFERROR(ABS(Q2814-AVERAGE(FILTER(Q2814:Q6882,AA2814:AA6882=""Neighbor""))) / STDEV(FILTER(Q2814:Q6882, AA2814:AA6882 =""Neighbor"")), """")"),0.45718208524090465)</f>
        <v>0.4571820852</v>
      </c>
      <c r="AF2814" s="2">
        <f>IFERROR(__xludf.DUMMYFUNCTION("IFERROR(ABS(R2814-AVERAGE(FILTER(R2814:R6882,AA2814:AA6882=""Neighbor""))) / STDEV(FILTER(R2814:R6882, AA2814:AA6882 =""Neighbor"")), """")"),0.33567654893125)</f>
        <v>0.3356765489</v>
      </c>
    </row>
    <row r="2815">
      <c r="A2815" s="2" t="s">
        <v>28</v>
      </c>
      <c r="B2815" s="2" t="s">
        <v>1711</v>
      </c>
      <c r="C2815" s="2" t="s">
        <v>2626</v>
      </c>
      <c r="D2815" s="2" t="s">
        <v>11510</v>
      </c>
      <c r="E2815" s="2" t="s">
        <v>11499</v>
      </c>
      <c r="F2815" s="2">
        <v>40.0</v>
      </c>
      <c r="G2815" s="2">
        <v>71.0</v>
      </c>
      <c r="H2815" s="2" t="b">
        <v>1</v>
      </c>
      <c r="I2815" s="2">
        <v>-1.0</v>
      </c>
      <c r="J2815" s="2" t="b">
        <v>1</v>
      </c>
      <c r="K2815" s="2" t="b">
        <v>0</v>
      </c>
      <c r="L2815" s="2" t="b">
        <v>0</v>
      </c>
      <c r="M2815" s="2" t="b">
        <v>0</v>
      </c>
      <c r="N2815" s="2" t="s">
        <v>33</v>
      </c>
      <c r="O2815" s="2">
        <v>19.0</v>
      </c>
      <c r="P2815" s="2">
        <v>9.0</v>
      </c>
      <c r="Q2815" s="2">
        <v>8.0</v>
      </c>
      <c r="R2815" s="2">
        <v>0.0</v>
      </c>
      <c r="S2815" s="3" t="s">
        <v>11511</v>
      </c>
      <c r="T2815" s="2" t="s">
        <v>11501</v>
      </c>
      <c r="Y2815" s="4" t="str">
        <f>IFERROR(__xludf.DUMMYFUNCTION("""COMPUTED_VALUE"""),"6.5190775")</f>
        <v>6.5190775</v>
      </c>
      <c r="Z2815" s="4" t="str">
        <f>IFERROR(__xludf.DUMMYFUNCTION("""COMPUTED_VALUE"""),"3.1691806")</f>
        <v>3.1691806</v>
      </c>
      <c r="AA2815" s="4" t="str">
        <f t="shared" si="1"/>
        <v>Neighbor</v>
      </c>
      <c r="AC2815" s="4">
        <f>IFERROR(__xludf.DUMMYFUNCTION("IFERROR(ABS(O2815-AVERAGE(FILTER(O2815:O6883,AA2815:AA6883=""Neighbor""))) / STDEV(FILTER(O2815:O6883, AA2815:AA6883 =""Neighbor"")), """")"),0.8451272373316846)</f>
        <v>0.8451272373</v>
      </c>
      <c r="AD2815" s="4">
        <f>IFERROR(__xludf.DUMMYFUNCTION("IFERROR(ABS(P2815-AVERAGE(FILTER(O2815:P6883,AA2815:AA6883=""Neighbor""))) / STDEV(FILTER(P2815:P6883, AA2815:AA6883 =""Neighbor"")), """")"),1.0137343775617973)</f>
        <v>1.013734378</v>
      </c>
      <c r="AE2815" s="2">
        <f>IFERROR(__xludf.DUMMYFUNCTION("IFERROR(ABS(Q2815-AVERAGE(FILTER(Q2815:Q6883,AA2815:AA6883=""Neighbor""))) / STDEV(FILTER(Q2815:Q6883, AA2815:AA6883 =""Neighbor"")), """")"),0.4009184270181293)</f>
        <v>0.400918427</v>
      </c>
      <c r="AF2815" s="2">
        <f>IFERROR(__xludf.DUMMYFUNCTION("IFERROR(ABS(R2815-AVERAGE(FILTER(R2815:R6883,AA2815:AA6883=""Neighbor""))) / STDEV(FILTER(R2815:R6883, AA2815:AA6883 =""Neighbor"")), """")"),0.3360834422555638)</f>
        <v>0.3360834423</v>
      </c>
    </row>
    <row r="2816">
      <c r="A2816" s="2" t="s">
        <v>28</v>
      </c>
      <c r="B2816" s="2" t="s">
        <v>1711</v>
      </c>
      <c r="C2816" s="2" t="s">
        <v>2626</v>
      </c>
      <c r="D2816" s="2" t="s">
        <v>11512</v>
      </c>
      <c r="E2816" s="2" t="s">
        <v>11513</v>
      </c>
      <c r="F2816" s="2">
        <v>45.0</v>
      </c>
      <c r="G2816" s="2">
        <v>59.0</v>
      </c>
      <c r="H2816" s="2" t="b">
        <v>1</v>
      </c>
      <c r="I2816" s="2">
        <v>-1.0</v>
      </c>
      <c r="J2816" s="2" t="b">
        <v>1</v>
      </c>
      <c r="K2816" s="2" t="b">
        <v>1</v>
      </c>
      <c r="L2816" s="2" t="b">
        <v>0</v>
      </c>
      <c r="M2816" s="2" t="b">
        <v>0</v>
      </c>
      <c r="N2816" s="2" t="s">
        <v>33</v>
      </c>
      <c r="O2816" s="2">
        <v>0.0</v>
      </c>
      <c r="P2816" s="2">
        <v>0.0</v>
      </c>
      <c r="Q2816" s="2">
        <v>0.0</v>
      </c>
      <c r="R2816" s="2">
        <v>0.0</v>
      </c>
      <c r="S2816" s="3" t="s">
        <v>11514</v>
      </c>
      <c r="T2816" s="2" t="s">
        <v>11515</v>
      </c>
      <c r="Y2816" s="4" t="str">
        <f>IFERROR(__xludf.DUMMYFUNCTION("""COMPUTED_VALUE"""),"6.5190775")</f>
        <v>6.5190775</v>
      </c>
      <c r="Z2816" s="4" t="str">
        <f>IFERROR(__xludf.DUMMYFUNCTION("""COMPUTED_VALUE"""),"3.1691806")</f>
        <v>3.1691806</v>
      </c>
      <c r="AA2816" s="4" t="str">
        <f t="shared" si="1"/>
        <v>Not Neighbor</v>
      </c>
      <c r="AC2816" s="4">
        <f>IFERROR(__xludf.DUMMYFUNCTION("IFERROR(ABS(O2816-AVERAGE(FILTER(O2816:O6884,AA2816:AA6884=""Neighbor""))) / STDEV(FILTER(O2816:O6884, AA2816:AA6884 =""Neighbor"")), """")"),1.3818322007077728)</f>
        <v>1.381832201</v>
      </c>
      <c r="AD2816" s="4">
        <f>IFERROR(__xludf.DUMMYFUNCTION("IFERROR(ABS(P2816-AVERAGE(FILTER(O2816:P6884,AA2816:AA6884=""Neighbor""))) / STDEV(FILTER(P2816:P6884, AA2816:AA6884 =""Neighbor"")), """")"),1.383350694091239)</f>
        <v>1.383350694</v>
      </c>
      <c r="AE2816" s="2">
        <f>IFERROR(__xludf.DUMMYFUNCTION("IFERROR(ABS(Q2816-AVERAGE(FILTER(Q2816:Q6884,AA2816:AA6884=""Neighbor""))) / STDEV(FILTER(Q2816:Q6884, AA2816:AA6884 =""Neighbor"")), """")"),0.8559375355898267)</f>
        <v>0.8559375356</v>
      </c>
      <c r="AF2816" s="2">
        <f>IFERROR(__xludf.DUMMYFUNCTION("IFERROR(ABS(R2816-AVERAGE(FILTER(R2816:R6884,AA2816:AA6884=""Neighbor""))) / STDEV(FILTER(R2816:R6884, AA2816:AA6884 =""Neighbor"")), """")"),0.3364918192248604)</f>
        <v>0.3364918192</v>
      </c>
    </row>
    <row r="2817">
      <c r="A2817" s="2" t="s">
        <v>28</v>
      </c>
      <c r="B2817" s="2" t="s">
        <v>1711</v>
      </c>
      <c r="C2817" s="2" t="s">
        <v>2626</v>
      </c>
      <c r="D2817" s="2" t="s">
        <v>11516</v>
      </c>
      <c r="E2817" s="2" t="s">
        <v>11517</v>
      </c>
      <c r="F2817" s="2">
        <v>55.0</v>
      </c>
      <c r="G2817" s="2">
        <v>78.0</v>
      </c>
      <c r="H2817" s="2" t="b">
        <v>1</v>
      </c>
      <c r="I2817" s="2">
        <v>-1.0</v>
      </c>
      <c r="J2817" s="2" t="b">
        <v>0</v>
      </c>
      <c r="K2817" s="2" t="b">
        <v>0</v>
      </c>
      <c r="L2817" s="2" t="b">
        <v>0</v>
      </c>
      <c r="M2817" s="2" t="b">
        <v>0</v>
      </c>
      <c r="N2817" s="2" t="s">
        <v>33</v>
      </c>
      <c r="O2817" s="2">
        <v>43.0</v>
      </c>
      <c r="P2817" s="2">
        <v>0.0</v>
      </c>
      <c r="Q2817" s="2">
        <v>3.0</v>
      </c>
      <c r="R2817" s="2">
        <v>0.0</v>
      </c>
      <c r="S2817" s="3" t="s">
        <v>11518</v>
      </c>
      <c r="T2817" s="2" t="s">
        <v>11519</v>
      </c>
      <c r="Y2817" s="4" t="str">
        <f>IFERROR(__xludf.DUMMYFUNCTION("""COMPUTED_VALUE"""),"6.5577137")</f>
        <v>6.5577137</v>
      </c>
      <c r="Z2817" s="4" t="str">
        <f>IFERROR(__xludf.DUMMYFUNCTION("""COMPUTED_VALUE"""),"3.1679257")</f>
        <v>3.1679257</v>
      </c>
      <c r="AA2817" s="4" t="str">
        <f t="shared" si="1"/>
        <v>Neighbor</v>
      </c>
      <c r="AC2817" s="4">
        <f>IFERROR(__xludf.DUMMYFUNCTION("IFERROR(ABS(O2817-AVERAGE(FILTER(O2817:O6885,AA2817:AA6885=""Neighbor""))) / STDEV(FILTER(O2817:O6885, AA2817:AA6885 =""Neighbor"")), """")"),0.17077232308274196)</f>
        <v>0.1707723231</v>
      </c>
      <c r="AD2817" s="4">
        <f>IFERROR(__xludf.DUMMYFUNCTION("IFERROR(ABS(P2817-AVERAGE(FILTER(O2817:P6885,AA2817:AA6885=""Neighbor""))) / STDEV(FILTER(P2817:P6885, AA2817:AA6885 =""Neighbor"")), """")"),1.383350694091239)</f>
        <v>1.383350694</v>
      </c>
      <c r="AE2817" s="2">
        <f>IFERROR(__xludf.DUMMYFUNCTION("IFERROR(ABS(Q2817-AVERAGE(FILTER(Q2817:Q6885,AA2817:AA6885=""Neighbor""))) / STDEV(FILTER(Q2817:Q6885, AA2817:AA6885 =""Neighbor"")), """")"),0.6854959435355562)</f>
        <v>0.6854959435</v>
      </c>
      <c r="AF2817" s="2">
        <f>IFERROR(__xludf.DUMMYFUNCTION("IFERROR(ABS(R2817-AVERAGE(FILTER(R2817:R6885,AA2817:AA6885=""Neighbor""))) / STDEV(FILTER(R2817:R6885, AA2817:AA6885 =""Neighbor"")), """")"),0.3364918192248604)</f>
        <v>0.3364918192</v>
      </c>
    </row>
    <row r="2818">
      <c r="A2818" s="2" t="s">
        <v>28</v>
      </c>
      <c r="B2818" s="2" t="s">
        <v>1711</v>
      </c>
      <c r="C2818" s="2" t="s">
        <v>2626</v>
      </c>
      <c r="D2818" s="2" t="s">
        <v>11520</v>
      </c>
      <c r="E2818" s="2" t="s">
        <v>11521</v>
      </c>
      <c r="F2818" s="2">
        <v>77.0</v>
      </c>
      <c r="G2818" s="2">
        <v>127.0</v>
      </c>
      <c r="H2818" s="2" t="b">
        <v>1</v>
      </c>
      <c r="I2818" s="2">
        <v>-1.0</v>
      </c>
      <c r="J2818" s="2" t="b">
        <v>0</v>
      </c>
      <c r="K2818" s="2" t="b">
        <v>0</v>
      </c>
      <c r="L2818" s="2" t="b">
        <v>0</v>
      </c>
      <c r="M2818" s="2" t="b">
        <v>0</v>
      </c>
      <c r="N2818" s="2" t="s">
        <v>33</v>
      </c>
      <c r="O2818" s="2">
        <v>52.0</v>
      </c>
      <c r="P2818" s="2">
        <v>7.0</v>
      </c>
      <c r="Q2818" s="2">
        <v>13.0</v>
      </c>
      <c r="R2818" s="2">
        <v>0.0</v>
      </c>
      <c r="S2818" s="3" t="s">
        <v>11522</v>
      </c>
      <c r="T2818" s="2" t="s">
        <v>11523</v>
      </c>
      <c r="Y2818" s="4" t="str">
        <f>IFERROR(__xludf.DUMMYFUNCTION("""COMPUTED_VALUE"""),"6.5577137")</f>
        <v>6.5577137</v>
      </c>
      <c r="Z2818" s="4" t="str">
        <f>IFERROR(__xludf.DUMMYFUNCTION("""COMPUTED_VALUE"""),"3.1679257")</f>
        <v>3.1679257</v>
      </c>
      <c r="AA2818" s="4" t="str">
        <f t="shared" si="1"/>
        <v>Neighbor</v>
      </c>
      <c r="AC2818" s="4">
        <f>IFERROR(__xludf.DUMMYFUNCTION("IFERROR(ABS(O2818-AVERAGE(FILTER(O2818:O6886,AA2818:AA6886=""Neighbor""))) / STDEV(FILTER(O2818:O6886, AA2818:AA6886 =""Neighbor"")), """")"),0.08224313615229394)</f>
        <v>0.08224313615</v>
      </c>
      <c r="AD2818" s="4">
        <f>IFERROR(__xludf.DUMMYFUNCTION("IFERROR(ABS(P2818-AVERAGE(FILTER(O2818:P6886,AA2818:AA6886=""Neighbor""))) / STDEV(FILTER(P2818:P6886, AA2818:AA6886 =""Neighbor"")), """")"),1.097099692561518)</f>
        <v>1.097099693</v>
      </c>
      <c r="AE2818" s="2">
        <f>IFERROR(__xludf.DUMMYFUNCTION("IFERROR(ABS(Q2818-AVERAGE(FILTER(Q2818:Q6886,AA2818:AA6886=""Neighbor""))) / STDEV(FILTER(Q2818:Q6886, AA2818:AA6886 =""Neighbor"")), """")"),0.11879153979483185)</f>
        <v>0.1187915398</v>
      </c>
      <c r="AF2818" s="2">
        <f>IFERROR(__xludf.DUMMYFUNCTION("IFERROR(ABS(R2818-AVERAGE(FILTER(R2818:R6886,AA2818:AA6886=""Neighbor""))) / STDEV(FILTER(R2818:R6886, AA2818:AA6886 =""Neighbor"")), """")"),0.336901688879517)</f>
        <v>0.3369016889</v>
      </c>
    </row>
    <row r="2819">
      <c r="A2819" s="2" t="s">
        <v>28</v>
      </c>
      <c r="B2819" s="2" t="s">
        <v>1711</v>
      </c>
      <c r="C2819" s="2" t="s">
        <v>2626</v>
      </c>
      <c r="D2819" s="2" t="s">
        <v>11524</v>
      </c>
      <c r="E2819" s="2" t="s">
        <v>11525</v>
      </c>
      <c r="F2819" s="2">
        <v>211.0</v>
      </c>
      <c r="G2819" s="2">
        <v>750.0</v>
      </c>
      <c r="H2819" s="2" t="b">
        <v>1</v>
      </c>
      <c r="I2819" s="2">
        <v>-1.0</v>
      </c>
      <c r="J2819" s="2" t="b">
        <v>0</v>
      </c>
      <c r="K2819" s="2" t="b">
        <v>0</v>
      </c>
      <c r="L2819" s="2" t="b">
        <v>0</v>
      </c>
      <c r="M2819" s="2" t="b">
        <v>0</v>
      </c>
      <c r="N2819" s="2" t="s">
        <v>33</v>
      </c>
      <c r="O2819" s="2">
        <v>120.0</v>
      </c>
      <c r="P2819" s="2">
        <v>54.0</v>
      </c>
      <c r="Q2819" s="2">
        <v>27.0</v>
      </c>
      <c r="R2819" s="2">
        <v>0.0</v>
      </c>
      <c r="S2819" s="3" t="s">
        <v>11526</v>
      </c>
      <c r="T2819" s="2" t="s">
        <v>11527</v>
      </c>
      <c r="Y2819" s="4" t="str">
        <f>IFERROR(__xludf.DUMMYFUNCTION("""COMPUTED_VALUE"""),"6.5577137")</f>
        <v>6.5577137</v>
      </c>
      <c r="Z2819" s="4" t="str">
        <f>IFERROR(__xludf.DUMMYFUNCTION("""COMPUTED_VALUE"""),"3.1679257")</f>
        <v>3.1679257</v>
      </c>
      <c r="AA2819" s="4" t="str">
        <f t="shared" si="1"/>
        <v>Neighbor</v>
      </c>
      <c r="AC2819" s="4">
        <f>IFERROR(__xludf.DUMMYFUNCTION("IFERROR(ABS(O2819-AVERAGE(FILTER(O2819:O6887,AA2819:AA6887=""Neighbor""))) / STDEV(FILTER(O2819:O6887, AA2819:AA6887 =""Neighbor"")), """")"),1.9933692782290304)</f>
        <v>1.993369278</v>
      </c>
      <c r="AD2819" s="4">
        <f>IFERROR(__xludf.DUMMYFUNCTION("IFERROR(ABS(P2819-AVERAGE(FILTER(O2819:P6887,AA2819:AA6887=""Neighbor""))) / STDEV(FILTER(P2819:P6887, AA2819:AA6887 =""Neighbor"")), """")"),0.8268169861829034)</f>
        <v>0.8268169862</v>
      </c>
      <c r="AE2819" s="2">
        <f>IFERROR(__xludf.DUMMYFUNCTION("IFERROR(ABS(Q2819-AVERAGE(FILTER(Q2819:Q6887,AA2819:AA6887=""Neighbor""))) / STDEV(FILTER(Q2819:Q6887, AA2819:AA6887 =""Neighbor"")), """")"),0.6751468043732414)</f>
        <v>0.6751468044</v>
      </c>
      <c r="AF2819" s="2">
        <f>IFERROR(__xludf.DUMMYFUNCTION("IFERROR(ABS(R2819-AVERAGE(FILTER(R2819:R6887,AA2819:AA6887=""Neighbor""))) / STDEV(FILTER(R2819:R6887, AA2819:AA6887 =""Neighbor"")), """")"),0.3373130603372354)</f>
        <v>0.3373130603</v>
      </c>
    </row>
    <row r="2820">
      <c r="A2820" s="2" t="s">
        <v>28</v>
      </c>
      <c r="B2820" s="2" t="s">
        <v>1711</v>
      </c>
      <c r="C2820" s="2" t="s">
        <v>2626</v>
      </c>
      <c r="D2820" s="2" t="s">
        <v>11528</v>
      </c>
      <c r="E2820" s="2" t="s">
        <v>11529</v>
      </c>
      <c r="F2820" s="2">
        <v>203.0</v>
      </c>
      <c r="G2820" s="2">
        <v>348.0</v>
      </c>
      <c r="H2820" s="2" t="b">
        <v>1</v>
      </c>
      <c r="I2820" s="2">
        <v>-1.0</v>
      </c>
      <c r="J2820" s="2" t="b">
        <v>0</v>
      </c>
      <c r="K2820" s="2" t="b">
        <v>0</v>
      </c>
      <c r="L2820" s="2" t="b">
        <v>0</v>
      </c>
      <c r="M2820" s="2" t="b">
        <v>0</v>
      </c>
      <c r="N2820" s="2" t="s">
        <v>33</v>
      </c>
      <c r="O2820" s="2">
        <v>90.0</v>
      </c>
      <c r="P2820" s="2">
        <v>73.0</v>
      </c>
      <c r="Q2820" s="2">
        <v>27.0</v>
      </c>
      <c r="R2820" s="2">
        <v>0.0</v>
      </c>
      <c r="S2820" s="3" t="s">
        <v>11530</v>
      </c>
      <c r="T2820" s="2" t="s">
        <v>11531</v>
      </c>
      <c r="Y2820" s="4" t="str">
        <f>IFERROR(__xludf.DUMMYFUNCTION("""COMPUTED_VALUE"""),"6.5577137")</f>
        <v>6.5577137</v>
      </c>
      <c r="Z2820" s="4" t="str">
        <f>IFERROR(__xludf.DUMMYFUNCTION("""COMPUTED_VALUE"""),"3.1679257")</f>
        <v>3.1679257</v>
      </c>
      <c r="AA2820" s="4" t="str">
        <f t="shared" si="1"/>
        <v>Neighbor</v>
      </c>
      <c r="AC2820" s="4">
        <f>IFERROR(__xludf.DUMMYFUNCTION("IFERROR(ABS(O2820-AVERAGE(FILTER(O2820:O6888,AA2820:AA6888=""Neighbor""))) / STDEV(FILTER(O2820:O6888, AA2820:AA6888 =""Neighbor"")), """")"),1.1584757492226532)</f>
        <v>1.158475749</v>
      </c>
      <c r="AD2820" s="4">
        <f>IFERROR(__xludf.DUMMYFUNCTION("IFERROR(ABS(P2820-AVERAGE(FILTER(O2820:P6888,AA2820:AA6888=""Neighbor""))) / STDEV(FILTER(P2820:P6888, AA2820:AA6888 =""Neighbor"")), """")"),1.611122500092092)</f>
        <v>1.6111225</v>
      </c>
      <c r="AE2820" s="2">
        <f>IFERROR(__xludf.DUMMYFUNCTION("IFERROR(ABS(Q2820-AVERAGE(FILTER(Q2820:Q6888,AA2820:AA6888=""Neighbor""))) / STDEV(FILTER(Q2820:Q6888, AA2820:AA6888 =""Neighbor"")), """")"),0.6762286150348148)</f>
        <v>0.676228615</v>
      </c>
      <c r="AF2820" s="2">
        <f>IFERROR(__xludf.DUMMYFUNCTION("IFERROR(ABS(R2820-AVERAGE(FILTER(R2820:R6888,AA2820:AA6888=""Neighbor""))) / STDEV(FILTER(R2820:R6888, AA2820:AA6888 =""Neighbor"")), """")"),0.3377259427938958)</f>
        <v>0.3377259428</v>
      </c>
    </row>
    <row r="2821">
      <c r="A2821" s="2" t="s">
        <v>28</v>
      </c>
      <c r="B2821" s="2" t="s">
        <v>1711</v>
      </c>
      <c r="C2821" s="2" t="s">
        <v>2626</v>
      </c>
      <c r="D2821" s="2" t="s">
        <v>11532</v>
      </c>
      <c r="E2821" s="2" t="s">
        <v>11533</v>
      </c>
      <c r="F2821" s="2">
        <v>87.0</v>
      </c>
      <c r="G2821" s="2">
        <v>104.0</v>
      </c>
      <c r="H2821" s="2" t="b">
        <v>1</v>
      </c>
      <c r="I2821" s="2">
        <v>-1.0</v>
      </c>
      <c r="J2821" s="2" t="b">
        <v>0</v>
      </c>
      <c r="K2821" s="2" t="b">
        <v>0</v>
      </c>
      <c r="L2821" s="2" t="b">
        <v>0</v>
      </c>
      <c r="M2821" s="2" t="b">
        <v>0</v>
      </c>
      <c r="N2821" s="2" t="s">
        <v>33</v>
      </c>
      <c r="O2821" s="2">
        <v>63.0</v>
      </c>
      <c r="P2821" s="2">
        <v>8.0</v>
      </c>
      <c r="Q2821" s="2">
        <v>10.0</v>
      </c>
      <c r="R2821" s="2">
        <v>0.0</v>
      </c>
      <c r="S2821" s="3" t="s">
        <v>11534</v>
      </c>
      <c r="T2821" s="2" t="s">
        <v>11535</v>
      </c>
      <c r="Y2821" s="4" t="str">
        <f>IFERROR(__xludf.DUMMYFUNCTION("""COMPUTED_VALUE"""),"6.5577137")</f>
        <v>6.5577137</v>
      </c>
      <c r="Z2821" s="4" t="str">
        <f>IFERROR(__xludf.DUMMYFUNCTION("""COMPUTED_VALUE"""),"3.1679257")</f>
        <v>3.1679257</v>
      </c>
      <c r="AA2821" s="4" t="str">
        <f t="shared" si="1"/>
        <v>Not Neighbor</v>
      </c>
      <c r="AC2821" s="4">
        <f>IFERROR(__xludf.DUMMYFUNCTION("IFERROR(ABS(O2821-AVERAGE(FILTER(O2821:O6889,AA2821:AA6889=""Neighbor""))) / STDEV(FILTER(O2821:O6889, AA2821:AA6889 =""Neighbor"")), """")"),0.39988215953596945)</f>
        <v>0.3998821595</v>
      </c>
      <c r="AD2821" s="4">
        <f>IFERROR(__xludf.DUMMYFUNCTION("IFERROR(ABS(P2821-AVERAGE(FILTER(O2821:P6889,AA2821:AA6889=""Neighbor""))) / STDEV(FILTER(P2821:P6889, AA2821:AA6889 =""Neighbor"")), """")"),1.0524723181274038)</f>
        <v>1.052472318</v>
      </c>
      <c r="AE2821" s="2">
        <f>IFERROR(__xludf.DUMMYFUNCTION("IFERROR(ABS(Q2821-AVERAGE(FILTER(Q2821:Q6889,AA2821:AA6889=""Neighbor""))) / STDEV(FILTER(Q2821:Q6889, AA2821:AA6889 =""Neighbor"")), """")"),0.28575817044230206)</f>
        <v>0.2857581704</v>
      </c>
      <c r="AF2821" s="2">
        <f>IFERROR(__xludf.DUMMYFUNCTION("IFERROR(ABS(R2821-AVERAGE(FILTER(R2821:R6889,AA2821:AA6889=""Neighbor""))) / STDEV(FILTER(R2821:R6889, AA2821:AA6889 =""Neighbor"")), """")"),0.33814034552441957)</f>
        <v>0.3381403455</v>
      </c>
    </row>
    <row r="2822">
      <c r="A2822" s="2" t="s">
        <v>28</v>
      </c>
      <c r="B2822" s="2" t="s">
        <v>1711</v>
      </c>
      <c r="C2822" s="2" t="s">
        <v>2626</v>
      </c>
      <c r="D2822" s="2" t="s">
        <v>11536</v>
      </c>
      <c r="E2822" s="2" t="s">
        <v>11537</v>
      </c>
      <c r="F2822" s="2">
        <v>92.0</v>
      </c>
      <c r="G2822" s="2">
        <v>154.0</v>
      </c>
      <c r="H2822" s="2" t="b">
        <v>1</v>
      </c>
      <c r="I2822" s="2">
        <v>-1.0</v>
      </c>
      <c r="J2822" s="2" t="b">
        <v>1</v>
      </c>
      <c r="K2822" s="2" t="b">
        <v>1</v>
      </c>
      <c r="L2822" s="2" t="b">
        <v>0</v>
      </c>
      <c r="M2822" s="2" t="b">
        <v>0</v>
      </c>
      <c r="N2822" s="2" t="s">
        <v>33</v>
      </c>
      <c r="O2822" s="2">
        <v>55.0</v>
      </c>
      <c r="P2822" s="2">
        <v>12.0</v>
      </c>
      <c r="Q2822" s="2">
        <v>20.0</v>
      </c>
      <c r="R2822" s="2">
        <v>0.0</v>
      </c>
      <c r="S2822" s="3" t="s">
        <v>11538</v>
      </c>
      <c r="T2822" s="2" t="s">
        <v>11539</v>
      </c>
      <c r="Y2822" s="4" t="str">
        <f>IFERROR(__xludf.DUMMYFUNCTION("""COMPUTED_VALUE"""),"6.5616313")</f>
        <v>6.5616313</v>
      </c>
      <c r="Z2822" s="4" t="str">
        <f>IFERROR(__xludf.DUMMYFUNCTION("""COMPUTED_VALUE"""),"3.1901738")</f>
        <v>3.1901738</v>
      </c>
      <c r="AA2822" s="4" t="str">
        <f t="shared" si="1"/>
        <v>Not Neighbor</v>
      </c>
      <c r="AC2822" s="4">
        <f>IFERROR(__xludf.DUMMYFUNCTION("IFERROR(ABS(O2822-AVERAGE(FILTER(O2822:O6890,AA2822:AA6890=""Neighbor""))) / STDEV(FILTER(O2822:O6890, AA2822:AA6890 =""Neighbor"")), """")"),0.17422458461252605)</f>
        <v>0.1742245846</v>
      </c>
      <c r="AD2822" s="4">
        <f>IFERROR(__xludf.DUMMYFUNCTION("IFERROR(ABS(P2822-AVERAGE(FILTER(O2822:P6890,AA2822:AA6890=""Neighbor""))) / STDEV(FILTER(P2822:P6890, AA2822:AA6890 =""Neighbor"")), """")"),0.8878489126764257)</f>
        <v>0.8878489127</v>
      </c>
      <c r="AE2822" s="2">
        <f>IFERROR(__xludf.DUMMYFUNCTION("IFERROR(ABS(Q2822-AVERAGE(FILTER(Q2822:Q6890,AA2822:AA6890=""Neighbor""))) / STDEV(FILTER(Q2822:Q6890, AA2822:AA6890 =""Neighbor"")), """")"),0.28075583923105835)</f>
        <v>0.2807558392</v>
      </c>
      <c r="AF2822" s="2">
        <f>IFERROR(__xludf.DUMMYFUNCTION("IFERROR(ABS(R2822-AVERAGE(FILTER(R2822:R6890,AA2822:AA6890=""Neighbor""))) / STDEV(FILTER(R2822:R6890, AA2822:AA6890 =""Neighbor"")), """")"),0.33814034552441957)</f>
        <v>0.3381403455</v>
      </c>
    </row>
    <row r="2823">
      <c r="A2823" s="2" t="s">
        <v>28</v>
      </c>
      <c r="B2823" s="2" t="s">
        <v>1711</v>
      </c>
      <c r="C2823" s="2" t="s">
        <v>2626</v>
      </c>
      <c r="D2823" s="2" t="s">
        <v>11540</v>
      </c>
      <c r="E2823" s="2" t="s">
        <v>11541</v>
      </c>
      <c r="F2823" s="2">
        <v>59.0</v>
      </c>
      <c r="G2823" s="2">
        <v>85.0</v>
      </c>
      <c r="H2823" s="2" t="b">
        <v>1</v>
      </c>
      <c r="I2823" s="2">
        <v>-1.0</v>
      </c>
      <c r="J2823" s="2" t="b">
        <v>1</v>
      </c>
      <c r="K2823" s="2" t="b">
        <v>0</v>
      </c>
      <c r="L2823" s="2" t="b">
        <v>0</v>
      </c>
      <c r="M2823" s="2" t="b">
        <v>0</v>
      </c>
      <c r="N2823" s="2" t="s">
        <v>33</v>
      </c>
      <c r="O2823" s="2">
        <v>46.0</v>
      </c>
      <c r="P2823" s="2">
        <v>3.0</v>
      </c>
      <c r="Q2823" s="2">
        <v>5.0</v>
      </c>
      <c r="R2823" s="2">
        <v>0.0</v>
      </c>
      <c r="S2823" s="3" t="s">
        <v>11542</v>
      </c>
      <c r="T2823" s="2" t="s">
        <v>11543</v>
      </c>
      <c r="Y2823" s="4" t="str">
        <f>IFERROR(__xludf.DUMMYFUNCTION("""COMPUTED_VALUE"""),"6.5577137")</f>
        <v>6.5577137</v>
      </c>
      <c r="Z2823" s="4" t="str">
        <f>IFERROR(__xludf.DUMMYFUNCTION("""COMPUTED_VALUE"""),"3.1679257")</f>
        <v>3.1679257</v>
      </c>
      <c r="AA2823" s="4" t="str">
        <f t="shared" si="1"/>
        <v>Not Neighbor</v>
      </c>
      <c r="AC2823" s="4">
        <f>IFERROR(__xludf.DUMMYFUNCTION("IFERROR(ABS(O2823-AVERAGE(FILTER(O2823:O6891,AA2823:AA6891=""Neighbor""))) / STDEV(FILTER(O2823:O6891, AA2823:AA6891 =""Neighbor"")), """")"),0.07964018717634778)</f>
        <v>0.07964018718</v>
      </c>
      <c r="AD2823" s="4">
        <f>IFERROR(__xludf.DUMMYFUNCTION("IFERROR(ABS(P2823-AVERAGE(FILTER(O2823:P6891,AA2823:AA6891=""Neighbor""))) / STDEV(FILTER(P2823:P6891, AA2823:AA6891 =""Neighbor"")), """")"),1.2582515749411265)</f>
        <v>1.258251575</v>
      </c>
      <c r="AE2823" s="2">
        <f>IFERROR(__xludf.DUMMYFUNCTION("IFERROR(ABS(Q2823-AVERAGE(FILTER(Q2823:Q6891,AA2823:AA6891=""Neighbor""))) / STDEV(FILTER(Q2823:Q6891, AA2823:AA6891 =""Neighbor"")), """")"),0.5690151752789823)</f>
        <v>0.5690151753</v>
      </c>
      <c r="AF2823" s="2">
        <f>IFERROR(__xludf.DUMMYFUNCTION("IFERROR(ABS(R2823-AVERAGE(FILTER(R2823:R6891,AA2823:AA6891=""Neighbor""))) / STDEV(FILTER(R2823:R6891, AA2823:AA6891 =""Neighbor"")), """")"),0.33814034552441957)</f>
        <v>0.3381403455</v>
      </c>
    </row>
    <row r="2824">
      <c r="A2824" s="2" t="s">
        <v>28</v>
      </c>
      <c r="B2824" s="2" t="s">
        <v>1711</v>
      </c>
      <c r="C2824" s="2" t="s">
        <v>2416</v>
      </c>
      <c r="D2824" s="2" t="s">
        <v>11544</v>
      </c>
      <c r="E2824" s="2" t="s">
        <v>11545</v>
      </c>
      <c r="F2824" s="2">
        <v>31.0</v>
      </c>
      <c r="G2824" s="2">
        <v>58.0</v>
      </c>
      <c r="H2824" s="2" t="b">
        <v>1</v>
      </c>
      <c r="I2824" s="2">
        <v>-1.0</v>
      </c>
      <c r="J2824" s="2" t="b">
        <v>0</v>
      </c>
      <c r="K2824" s="2" t="b">
        <v>0</v>
      </c>
      <c r="L2824" s="2" t="b">
        <v>0</v>
      </c>
      <c r="M2824" s="2" t="b">
        <v>0</v>
      </c>
      <c r="N2824" s="2" t="s">
        <v>33</v>
      </c>
      <c r="O2824" s="2">
        <v>15.0</v>
      </c>
      <c r="P2824" s="2">
        <v>2.0</v>
      </c>
      <c r="Q2824" s="2">
        <v>9.0</v>
      </c>
      <c r="R2824" s="2">
        <v>0.0</v>
      </c>
      <c r="S2824" s="3" t="s">
        <v>11546</v>
      </c>
      <c r="T2824" s="2" t="s">
        <v>11547</v>
      </c>
      <c r="Y2824" s="4" t="str">
        <f>IFERROR(__xludf.DUMMYFUNCTION("""COMPUTED_VALUE"""),"6.6252247")</f>
        <v>6.6252247</v>
      </c>
      <c r="Z2824" s="4" t="str">
        <f>IFERROR(__xludf.DUMMYFUNCTION("""COMPUTED_VALUE"""),"3.0300828")</f>
        <v>3.0300828</v>
      </c>
      <c r="AA2824" s="4" t="str">
        <f t="shared" si="1"/>
        <v>Neighbor</v>
      </c>
      <c r="AC2824" s="4">
        <f>IFERROR(__xludf.DUMMYFUNCTION("IFERROR(ABS(O2824-AVERAGE(FILTER(O2824:O6892,AA2824:AA6892=""Neighbor""))) / STDEV(FILTER(O2824:O6892, AA2824:AA6892 =""Neighbor"")), """")"),0.954063290004691)</f>
        <v>0.95406329</v>
      </c>
      <c r="AD2824" s="4">
        <f>IFERROR(__xludf.DUMMYFUNCTION("IFERROR(ABS(P2824-AVERAGE(FILTER(O2824:P6892,AA2824:AA6892=""Neighbor""))) / STDEV(FILTER(P2824:P6892, AA2824:AA6892 =""Neighbor"")), """")"),1.299407426303871)</f>
        <v>1.299407426</v>
      </c>
      <c r="AE2824" s="2">
        <f>IFERROR(__xludf.DUMMYFUNCTION("IFERROR(ABS(Q2824-AVERAGE(FILTER(Q2824:Q6892,AA2824:AA6892=""Neighbor""))) / STDEV(FILTER(Q2824:Q6892, AA2824:AA6892 =""Neighbor"")), """")"),0.3424095714096381)</f>
        <v>0.3424095714</v>
      </c>
      <c r="AF2824" s="2">
        <f>IFERROR(__xludf.DUMMYFUNCTION("IFERROR(ABS(R2824-AVERAGE(FILTER(R2824:R6892,AA2824:AA6892=""Neighbor""))) / STDEV(FILTER(R2824:R6892, AA2824:AA6892 =""Neighbor"")), """")"),0.33814034552441957)</f>
        <v>0.3381403455</v>
      </c>
    </row>
    <row r="2825">
      <c r="A2825" s="2" t="s">
        <v>28</v>
      </c>
      <c r="B2825" s="2" t="s">
        <v>1711</v>
      </c>
      <c r="C2825" s="2" t="s">
        <v>2416</v>
      </c>
      <c r="D2825" s="2" t="s">
        <v>11548</v>
      </c>
      <c r="E2825" s="2" t="s">
        <v>11549</v>
      </c>
      <c r="F2825" s="2">
        <v>27.0</v>
      </c>
      <c r="G2825" s="2">
        <v>34.0</v>
      </c>
      <c r="H2825" s="2" t="b">
        <v>1</v>
      </c>
      <c r="I2825" s="2">
        <v>-1.0</v>
      </c>
      <c r="J2825" s="2" t="b">
        <v>0</v>
      </c>
      <c r="K2825" s="2" t="b">
        <v>0</v>
      </c>
      <c r="L2825" s="2" t="b">
        <v>0</v>
      </c>
      <c r="M2825" s="2" t="b">
        <v>0</v>
      </c>
      <c r="N2825" s="2" t="s">
        <v>33</v>
      </c>
      <c r="O2825" s="2">
        <v>2.0</v>
      </c>
      <c r="P2825" s="2">
        <v>2.0</v>
      </c>
      <c r="Q2825" s="2">
        <v>19.0</v>
      </c>
      <c r="R2825" s="2">
        <v>0.0</v>
      </c>
      <c r="S2825" s="3" t="s">
        <v>11550</v>
      </c>
      <c r="T2825" s="2" t="s">
        <v>11551</v>
      </c>
      <c r="Y2825" s="4" t="str">
        <f>IFERROR(__xludf.DUMMYFUNCTION("""COMPUTED_VALUE"""),"6.6252247")</f>
        <v>6.6252247</v>
      </c>
      <c r="Z2825" s="4" t="str">
        <f>IFERROR(__xludf.DUMMYFUNCTION("""COMPUTED_VALUE"""),"3.0300828")</f>
        <v>3.0300828</v>
      </c>
      <c r="AA2825" s="4" t="str">
        <f t="shared" si="1"/>
        <v>Not Neighbor</v>
      </c>
      <c r="AC2825" s="4">
        <f>IFERROR(__xludf.DUMMYFUNCTION("IFERROR(ABS(O2825-AVERAGE(FILTER(O2825:O6893,AA2825:AA6893=""Neighbor""))) / STDEV(FILTER(O2825:O6893, AA2825:AA6893 =""Neighbor"")), """")"),1.3227389347373373)</f>
        <v>1.322738935</v>
      </c>
      <c r="AD2825" s="4">
        <f>IFERROR(__xludf.DUMMYFUNCTION("IFERROR(ABS(P2825-AVERAGE(FILTER(O2825:P6893,AA2825:AA6893=""Neighbor""))) / STDEV(FILTER(P2825:P6893, AA2825:AA6893 =""Neighbor"")), """")"),1.3009006414573987)</f>
        <v>1.300900641</v>
      </c>
      <c r="AE2825" s="2">
        <f>IFERROR(__xludf.DUMMYFUNCTION("IFERROR(ABS(Q2825-AVERAGE(FILTER(Q2825:Q6893,AA2825:AA6893=""Neighbor""))) / STDEV(FILTER(Q2825:Q6893, AA2825:AA6893 =""Neighbor"")), """")"),0.22312869760616988)</f>
        <v>0.2231286976</v>
      </c>
      <c r="AF2825" s="2">
        <f>IFERROR(__xludf.DUMMYFUNCTION("IFERROR(ABS(R2825-AVERAGE(FILTER(R2825:R6893,AA2825:AA6893=""Neighbor""))) / STDEV(FILTER(R2825:R6893, AA2825:AA6893 =""Neighbor"")), """")"),0.3385562778836462)</f>
        <v>0.3385562779</v>
      </c>
    </row>
    <row r="2826">
      <c r="A2826" s="2" t="s">
        <v>28</v>
      </c>
      <c r="B2826" s="2" t="s">
        <v>1711</v>
      </c>
      <c r="C2826" s="2" t="s">
        <v>2416</v>
      </c>
      <c r="D2826" s="2" t="s">
        <v>11552</v>
      </c>
      <c r="E2826" s="2" t="s">
        <v>11553</v>
      </c>
      <c r="F2826" s="2">
        <v>28.0</v>
      </c>
      <c r="G2826" s="2">
        <v>37.0</v>
      </c>
      <c r="H2826" s="2" t="b">
        <v>1</v>
      </c>
      <c r="I2826" s="2">
        <v>-1.0</v>
      </c>
      <c r="J2826" s="2" t="b">
        <v>0</v>
      </c>
      <c r="K2826" s="2" t="b">
        <v>0</v>
      </c>
      <c r="L2826" s="2" t="b">
        <v>0</v>
      </c>
      <c r="M2826" s="2" t="b">
        <v>0</v>
      </c>
      <c r="N2826" s="2" t="s">
        <v>33</v>
      </c>
      <c r="O2826" s="2">
        <v>15.0</v>
      </c>
      <c r="P2826" s="2">
        <v>0.0</v>
      </c>
      <c r="Q2826" s="2">
        <v>13.0</v>
      </c>
      <c r="R2826" s="2">
        <v>0.0</v>
      </c>
      <c r="S2826" s="3" t="s">
        <v>11554</v>
      </c>
      <c r="T2826" s="2" t="s">
        <v>11555</v>
      </c>
      <c r="Y2826" s="4" t="str">
        <f>IFERROR(__xludf.DUMMYFUNCTION("""COMPUTED_VALUE"""),"6.5937233")</f>
        <v>6.5937233</v>
      </c>
      <c r="Z2826" s="4" t="str">
        <f>IFERROR(__xludf.DUMMYFUNCTION("""COMPUTED_VALUE"""),"2.945068")</f>
        <v>2.945068</v>
      </c>
      <c r="AA2826" s="4" t="str">
        <f t="shared" si="1"/>
        <v>Not Neighbor</v>
      </c>
      <c r="AC2826" s="4">
        <f>IFERROR(__xludf.DUMMYFUNCTION("IFERROR(ABS(O2826-AVERAGE(FILTER(O2826:O6894,AA2826:AA6894=""Neighbor""))) / STDEV(FILTER(O2826:O6894, AA2826:AA6894 =""Neighbor"")), """")"),0.9560810434024664)</f>
        <v>0.9560810434</v>
      </c>
      <c r="AD2826" s="4">
        <f>IFERROR(__xludf.DUMMYFUNCTION("IFERROR(ABS(P2826-AVERAGE(FILTER(O2826:P6894,AA2826:AA6894=""Neighbor""))) / STDEV(FILTER(P2826:P6894, AA2826:AA6894 =""Neighbor"")), """")"),1.3831624055786558)</f>
        <v>1.383162406</v>
      </c>
      <c r="AE2826" s="2">
        <f>IFERROR(__xludf.DUMMYFUNCTION("IFERROR(ABS(Q2826-AVERAGE(FILTER(Q2826:Q6894,AA2826:AA6894=""Neighbor""))) / STDEV(FILTER(Q2826:Q6894, AA2826:AA6894 =""Neighbor"")), """")"),0.11644763679783282)</f>
        <v>0.1164476368</v>
      </c>
      <c r="AF2826" s="2">
        <f>IFERROR(__xludf.DUMMYFUNCTION("IFERROR(ABS(R2826-AVERAGE(FILTER(R2826:R6894,AA2826:AA6894=""Neighbor""))) / STDEV(FILTER(R2826:R6894, AA2826:AA6894 =""Neighbor"")), """")"),0.3385562778836462)</f>
        <v>0.3385562779</v>
      </c>
    </row>
    <row r="2827">
      <c r="A2827" s="2" t="s">
        <v>28</v>
      </c>
      <c r="B2827" s="2" t="s">
        <v>1711</v>
      </c>
      <c r="C2827" s="2" t="s">
        <v>2416</v>
      </c>
      <c r="D2827" s="2" t="s">
        <v>11556</v>
      </c>
      <c r="E2827" s="2" t="s">
        <v>11557</v>
      </c>
      <c r="F2827" s="2">
        <v>66.0</v>
      </c>
      <c r="G2827" s="2">
        <v>91.0</v>
      </c>
      <c r="H2827" s="2" t="b">
        <v>1</v>
      </c>
      <c r="I2827" s="2">
        <v>-1.0</v>
      </c>
      <c r="J2827" s="2" t="b">
        <v>0</v>
      </c>
      <c r="K2827" s="2" t="b">
        <v>0</v>
      </c>
      <c r="L2827" s="2" t="b">
        <v>0</v>
      </c>
      <c r="M2827" s="2" t="b">
        <v>0</v>
      </c>
      <c r="N2827" s="2" t="s">
        <v>33</v>
      </c>
      <c r="O2827" s="2">
        <v>49.0</v>
      </c>
      <c r="P2827" s="2">
        <v>3.0</v>
      </c>
      <c r="Q2827" s="2">
        <v>7.0</v>
      </c>
      <c r="R2827" s="2">
        <v>0.0</v>
      </c>
      <c r="S2827" s="3" t="s">
        <v>11558</v>
      </c>
      <c r="T2827" s="2" t="s">
        <v>11559</v>
      </c>
      <c r="Y2827" s="4" t="str">
        <f>IFERROR(__xludf.DUMMYFUNCTION("""COMPUTED_VALUE"""),"6.6252247")</f>
        <v>6.6252247</v>
      </c>
      <c r="Z2827" s="4" t="str">
        <f>IFERROR(__xludf.DUMMYFUNCTION("""COMPUTED_VALUE"""),"3.0300828")</f>
        <v>3.0300828</v>
      </c>
      <c r="AA2827" s="4" t="str">
        <f t="shared" si="1"/>
        <v>Neighbor</v>
      </c>
      <c r="AC2827" s="4">
        <f>IFERROR(__xludf.DUMMYFUNCTION("IFERROR(ABS(O2827-AVERAGE(FILTER(O2827:O6895,AA2827:AA6895=""Neighbor""))) / STDEV(FILTER(O2827:O6895, AA2827:AA6895 =""Neighbor"")), """")"),0.002870364704119191)</f>
        <v>0.002870364704</v>
      </c>
      <c r="AD2827" s="4">
        <f>IFERROR(__xludf.DUMMYFUNCTION("IFERROR(ABS(P2827-AVERAGE(FILTER(O2827:P6895,AA2827:AA6895=""Neighbor""))) / STDEV(FILTER(P2827:P6895, AA2827:AA6895 =""Neighbor"")), """")"),1.2597697593967703)</f>
        <v>1.259769759</v>
      </c>
      <c r="AE2827" s="2">
        <f>IFERROR(__xludf.DUMMYFUNCTION("IFERROR(ABS(Q2827-AVERAGE(FILTER(Q2827:Q6895,AA2827:AA6895=""Neighbor""))) / STDEV(FILTER(Q2827:Q6895, AA2827:AA6895 =""Neighbor"")), """")"),0.4560239712018355)</f>
        <v>0.4560239712</v>
      </c>
      <c r="AF2827" s="2">
        <f>IFERROR(__xludf.DUMMYFUNCTION("IFERROR(ABS(R2827-AVERAGE(FILTER(R2827:R6895,AA2827:AA6895=""Neighbor""))) / STDEV(FILTER(R2827:R6895, AA2827:AA6895 =""Neighbor"")), """")"),0.3385562778836462)</f>
        <v>0.3385562779</v>
      </c>
    </row>
    <row r="2828">
      <c r="A2828" s="2" t="s">
        <v>28</v>
      </c>
      <c r="B2828" s="2" t="s">
        <v>1711</v>
      </c>
      <c r="C2828" s="2" t="s">
        <v>2416</v>
      </c>
      <c r="D2828" s="2" t="s">
        <v>11560</v>
      </c>
      <c r="E2828" s="2" t="s">
        <v>11561</v>
      </c>
      <c r="F2828" s="2">
        <v>110.0</v>
      </c>
      <c r="G2828" s="2">
        <v>189.0</v>
      </c>
      <c r="H2828" s="2" t="b">
        <v>1</v>
      </c>
      <c r="I2828" s="2">
        <v>-1.0</v>
      </c>
      <c r="J2828" s="2" t="b">
        <v>0</v>
      </c>
      <c r="K2828" s="2" t="b">
        <v>1</v>
      </c>
      <c r="L2828" s="2" t="b">
        <v>0</v>
      </c>
      <c r="M2828" s="2" t="b">
        <v>0</v>
      </c>
      <c r="N2828" s="2" t="s">
        <v>33</v>
      </c>
      <c r="O2828" s="2">
        <v>73.0</v>
      </c>
      <c r="P2828" s="2">
        <v>7.0</v>
      </c>
      <c r="Q2828" s="2">
        <v>19.0</v>
      </c>
      <c r="R2828" s="2">
        <v>0.0</v>
      </c>
      <c r="S2828" s="3" t="s">
        <v>11562</v>
      </c>
      <c r="T2828" s="2" t="s">
        <v>11563</v>
      </c>
      <c r="Y2828" s="4" t="str">
        <f>IFERROR(__xludf.DUMMYFUNCTION("""COMPUTED_VALUE"""),"6.6252247")</f>
        <v>6.6252247</v>
      </c>
      <c r="Z2828" s="4" t="str">
        <f>IFERROR(__xludf.DUMMYFUNCTION("""COMPUTED_VALUE"""),"3.0300828")</f>
        <v>3.0300828</v>
      </c>
      <c r="AA2828" s="4" t="str">
        <f t="shared" si="1"/>
        <v>Neighbor</v>
      </c>
      <c r="AC2828" s="4">
        <f>IFERROR(__xludf.DUMMYFUNCTION("IFERROR(ABS(O2828-AVERAGE(FILTER(O2828:O6896,AA2828:AA6896=""Neighbor""))) / STDEV(FILTER(O2828:O6896, AA2828:AA6896 =""Neighbor"")), """")"),0.679029553090429)</f>
        <v>0.6790295531</v>
      </c>
      <c r="AD2828" s="4">
        <f>IFERROR(__xludf.DUMMYFUNCTION("IFERROR(ABS(P2828-AVERAGE(FILTER(O2828:P6896,AA2828:AA6896=""Neighbor""))) / STDEV(FILTER(P2828:P6896, AA2828:AA6896 =""Neighbor"")), """")"),1.0952119522827557)</f>
        <v>1.095211952</v>
      </c>
      <c r="AE2828" s="2">
        <f>IFERROR(__xludf.DUMMYFUNCTION("IFERROR(ABS(Q2828-AVERAGE(FILTER(Q2828:Q6896,AA2828:AA6896=""Neighbor""))) / STDEV(FILTER(Q2828:Q6896, AA2828:AA6896 =""Neighbor"")), """")"),0.22192245529076413)</f>
        <v>0.2219224553</v>
      </c>
      <c r="AF2828" s="2">
        <f>IFERROR(__xludf.DUMMYFUNCTION("IFERROR(ABS(R2828-AVERAGE(FILTER(R2828:R6896,AA2828:AA6896=""Neighbor""))) / STDEV(FILTER(R2828:R6896, AA2828:AA6896 =""Neighbor"")), """")"),0.3389737493072202)</f>
        <v>0.3389737493</v>
      </c>
    </row>
    <row r="2829">
      <c r="A2829" s="2" t="s">
        <v>28</v>
      </c>
      <c r="B2829" s="2" t="s">
        <v>1711</v>
      </c>
      <c r="C2829" s="2" t="s">
        <v>2416</v>
      </c>
      <c r="D2829" s="2" t="s">
        <v>11564</v>
      </c>
      <c r="E2829" s="2" t="s">
        <v>11565</v>
      </c>
      <c r="F2829" s="2">
        <v>37.0</v>
      </c>
      <c r="G2829" s="2">
        <v>62.0</v>
      </c>
      <c r="H2829" s="2" t="b">
        <v>1</v>
      </c>
      <c r="I2829" s="2">
        <v>-1.0</v>
      </c>
      <c r="J2829" s="2" t="b">
        <v>0</v>
      </c>
      <c r="K2829" s="2" t="b">
        <v>1</v>
      </c>
      <c r="L2829" s="2" t="b">
        <v>0</v>
      </c>
      <c r="M2829" s="2" t="b">
        <v>0</v>
      </c>
      <c r="N2829" s="2" t="s">
        <v>33</v>
      </c>
      <c r="O2829" s="2">
        <v>15.0</v>
      </c>
      <c r="P2829" s="2">
        <v>18.0</v>
      </c>
      <c r="Q2829" s="2">
        <v>11.0</v>
      </c>
      <c r="R2829" s="2">
        <v>0.0</v>
      </c>
      <c r="S2829" s="3" t="s">
        <v>11566</v>
      </c>
      <c r="T2829" s="2" t="s">
        <v>11567</v>
      </c>
      <c r="Y2829" s="4" t="str">
        <f>IFERROR(__xludf.DUMMYFUNCTION("""COMPUTED_VALUE"""),"6.6252247")</f>
        <v>6.6252247</v>
      </c>
      <c r="Z2829" s="4" t="str">
        <f>IFERROR(__xludf.DUMMYFUNCTION("""COMPUTED_VALUE"""),"3.0300828")</f>
        <v>3.0300828</v>
      </c>
      <c r="AA2829" s="4" t="str">
        <f t="shared" si="1"/>
        <v>Not Neighbor</v>
      </c>
      <c r="AC2829" s="4">
        <f>IFERROR(__xludf.DUMMYFUNCTION("IFERROR(ABS(O2829-AVERAGE(FILTER(O2829:O6897,AA2829:AA6897=""Neighbor""))) / STDEV(FILTER(O2829:O6897, AA2829:AA6897 =""Neighbor"")), """")"),0.9529345664527885)</f>
        <v>0.9529345665</v>
      </c>
      <c r="AD2829" s="4">
        <f>IFERROR(__xludf.DUMMYFUNCTION("IFERROR(ABS(P2829-AVERAGE(FILTER(O2829:P6897,AA2829:AA6897=""Neighbor""))) / STDEV(FILTER(P2829:P6897, AA2829:AA6897 =""Neighbor"")), """")"),0.6419356457562247)</f>
        <v>0.6419356458</v>
      </c>
      <c r="AE2829" s="2">
        <f>IFERROR(__xludf.DUMMYFUNCTION("IFERROR(ABS(Q2829-AVERAGE(FILTER(Q2829:Q6897,AA2829:AA6897=""Neighbor""))) / STDEV(FILTER(Q2829:Q6897, AA2829:AA6897 =""Neighbor"")), """")"),0.22971207944207453)</f>
        <v>0.2297120794</v>
      </c>
      <c r="AF2829" s="2">
        <f>IFERROR(__xludf.DUMMYFUNCTION("IFERROR(ABS(R2829-AVERAGE(FILTER(R2829:R6897,AA2829:AA6897=""Neighbor""))) / STDEV(FILTER(R2829:R6897, AA2829:AA6897 =""Neighbor"")), """")"),0.3393927693124911)</f>
        <v>0.3393927693</v>
      </c>
    </row>
    <row r="2830">
      <c r="A2830" s="2" t="s">
        <v>28</v>
      </c>
      <c r="B2830" s="2" t="s">
        <v>1711</v>
      </c>
      <c r="C2830" s="2" t="s">
        <v>2029</v>
      </c>
      <c r="D2830" s="2" t="s">
        <v>11568</v>
      </c>
      <c r="E2830" s="2" t="s">
        <v>11569</v>
      </c>
      <c r="F2830" s="2">
        <v>51.0</v>
      </c>
      <c r="G2830" s="2">
        <v>141.0</v>
      </c>
      <c r="H2830" s="2" t="b">
        <v>1</v>
      </c>
      <c r="I2830" s="2">
        <v>-1.0</v>
      </c>
      <c r="J2830" s="2" t="b">
        <v>0</v>
      </c>
      <c r="K2830" s="2" t="b">
        <v>0</v>
      </c>
      <c r="L2830" s="2" t="b">
        <v>0</v>
      </c>
      <c r="M2830" s="2" t="b">
        <v>0</v>
      </c>
      <c r="N2830" s="2" t="s">
        <v>33</v>
      </c>
      <c r="O2830" s="2">
        <v>29.0</v>
      </c>
      <c r="P2830" s="2">
        <v>2.0</v>
      </c>
      <c r="Q2830" s="2">
        <v>10.0</v>
      </c>
      <c r="R2830" s="2">
        <v>0.0</v>
      </c>
      <c r="S2830" s="3" t="s">
        <v>11570</v>
      </c>
      <c r="T2830" s="2" t="s">
        <v>11571</v>
      </c>
      <c r="Y2830" s="4" t="str">
        <f>IFERROR(__xludf.DUMMYFUNCTION("""COMPUTED_VALUE"""),"6.6609382")</f>
        <v>6.6609382</v>
      </c>
      <c r="Z2830" s="4" t="str">
        <f>IFERROR(__xludf.DUMMYFUNCTION("""COMPUTED_VALUE"""),"3.0889198")</f>
        <v>3.0889198</v>
      </c>
      <c r="AA2830" s="4" t="str">
        <f t="shared" si="1"/>
        <v>Not Neighbor</v>
      </c>
      <c r="AC2830" s="4">
        <f>IFERROR(__xludf.DUMMYFUNCTION("IFERROR(ABS(O2830-AVERAGE(FILTER(O2830:O6898,AA2830:AA6898=""Neighbor""))) / STDEV(FILTER(O2830:O6898, AA2830:AA6898 =""Neighbor"")), """")"),0.5587462691019961)</f>
        <v>0.5587462691</v>
      </c>
      <c r="AD2830" s="4">
        <f>IFERROR(__xludf.DUMMYFUNCTION("IFERROR(ABS(P2830-AVERAGE(FILTER(O2830:P6898,AA2830:AA6898=""Neighbor""))) / STDEV(FILTER(P2830:P6898, AA2830:AA6898 =""Neighbor"")), """")"),1.2990207537239271)</f>
        <v>1.299020754</v>
      </c>
      <c r="AE2830" s="2">
        <f>IFERROR(__xludf.DUMMYFUNCTION("IFERROR(ABS(Q2830-AVERAGE(FILTER(Q2830:Q6898,AA2830:AA6898=""Neighbor""))) / STDEV(FILTER(Q2830:Q6898, AA2830:AA6898 =""Neighbor"")), """")"),0.28619865635406005)</f>
        <v>0.2861986564</v>
      </c>
      <c r="AF2830" s="2">
        <f>IFERROR(__xludf.DUMMYFUNCTION("IFERROR(ABS(R2830-AVERAGE(FILTER(R2830:R6898,AA2830:AA6898=""Neighbor""))) / STDEV(FILTER(R2830:R6898, AA2830:AA6898 =""Neighbor"")), """")"),0.3393927693124911)</f>
        <v>0.3393927693</v>
      </c>
    </row>
    <row r="2831">
      <c r="A2831" s="2" t="s">
        <v>28</v>
      </c>
      <c r="B2831" s="2" t="s">
        <v>1711</v>
      </c>
      <c r="C2831" s="2" t="s">
        <v>2029</v>
      </c>
      <c r="D2831" s="2" t="s">
        <v>11572</v>
      </c>
      <c r="E2831" s="2" t="s">
        <v>11573</v>
      </c>
      <c r="F2831" s="2">
        <v>23.0</v>
      </c>
      <c r="G2831" s="2">
        <v>70.0</v>
      </c>
      <c r="H2831" s="2" t="b">
        <v>1</v>
      </c>
      <c r="I2831" s="2">
        <v>-1.0</v>
      </c>
      <c r="J2831" s="2" t="b">
        <v>0</v>
      </c>
      <c r="K2831" s="2" t="b">
        <v>0</v>
      </c>
      <c r="L2831" s="2" t="b">
        <v>0</v>
      </c>
      <c r="M2831" s="2" t="b">
        <v>0</v>
      </c>
      <c r="N2831" s="2" t="s">
        <v>33</v>
      </c>
      <c r="O2831" s="2">
        <v>17.0</v>
      </c>
      <c r="P2831" s="2">
        <v>3.0</v>
      </c>
      <c r="Q2831" s="2">
        <v>3.0</v>
      </c>
      <c r="R2831" s="2">
        <v>0.0</v>
      </c>
      <c r="S2831" s="3" t="s">
        <v>11574</v>
      </c>
      <c r="T2831" s="2" t="s">
        <v>11575</v>
      </c>
      <c r="Y2831" s="4" t="str">
        <f>IFERROR(__xludf.DUMMYFUNCTION("""COMPUTED_VALUE"""),"6.6732048")</f>
        <v>6.6732048</v>
      </c>
      <c r="Z2831" s="4" t="str">
        <f>IFERROR(__xludf.DUMMYFUNCTION("""COMPUTED_VALUE"""),"3.0400945")</f>
        <v>3.0400945</v>
      </c>
      <c r="AA2831" s="4" t="str">
        <f t="shared" si="1"/>
        <v>Neighbor</v>
      </c>
      <c r="AC2831" s="4">
        <f>IFERROR(__xludf.DUMMYFUNCTION("IFERROR(ABS(O2831-AVERAGE(FILTER(O2831:O6899,AA2831:AA6899=""Neighbor""))) / STDEV(FILTER(O2831:O6899, AA2831:AA6899 =""Neighbor"")), """")"),0.8966219525455325)</f>
        <v>0.8966219525</v>
      </c>
      <c r="AD2831" s="4">
        <f>IFERROR(__xludf.DUMMYFUNCTION("IFERROR(ABS(P2831-AVERAGE(FILTER(O2831:P6899,AA2831:AA6899=""Neighbor""))) / STDEV(FILTER(P2831:P6899, AA2831:AA6899 =""Neighbor"")), """")"),1.2579529344759457)</f>
        <v>1.257952934</v>
      </c>
      <c r="AE2831" s="2">
        <f>IFERROR(__xludf.DUMMYFUNCTION("IFERROR(ABS(Q2831-AVERAGE(FILTER(Q2831:Q6899,AA2831:AA6899=""Neighbor""))) / STDEV(FILTER(Q2831:Q6899, AA2831:AA6899 =""Neighbor"")), """")"),0.6816046947379588)</f>
        <v>0.6816046947</v>
      </c>
      <c r="AF2831" s="2">
        <f>IFERROR(__xludf.DUMMYFUNCTION("IFERROR(ABS(R2831-AVERAGE(FILTER(R2831:R6899,AA2831:AA6899=""Neighbor""))) / STDEV(FILTER(R2831:R6899, AA2831:AA6899 =""Neighbor"")), """")"),0.3393927693124911)</f>
        <v>0.3393927693</v>
      </c>
    </row>
    <row r="2832">
      <c r="A2832" s="2" t="s">
        <v>28</v>
      </c>
      <c r="B2832" s="2" t="s">
        <v>1711</v>
      </c>
      <c r="C2832" s="2" t="s">
        <v>2029</v>
      </c>
      <c r="D2832" s="2" t="s">
        <v>11576</v>
      </c>
      <c r="E2832" s="2" t="s">
        <v>11577</v>
      </c>
      <c r="F2832" s="2">
        <v>42.0</v>
      </c>
      <c r="G2832" s="2">
        <v>750.0</v>
      </c>
      <c r="H2832" s="2" t="b">
        <v>1</v>
      </c>
      <c r="I2832" s="2">
        <v>-1.0</v>
      </c>
      <c r="J2832" s="2" t="b">
        <v>1</v>
      </c>
      <c r="K2832" s="2" t="b">
        <v>1</v>
      </c>
      <c r="L2832" s="2" t="b">
        <v>0</v>
      </c>
      <c r="M2832" s="2" t="b">
        <v>0</v>
      </c>
      <c r="N2832" s="2" t="s">
        <v>33</v>
      </c>
      <c r="O2832" s="2">
        <v>18.0</v>
      </c>
      <c r="P2832" s="2">
        <v>16.0</v>
      </c>
      <c r="Q2832" s="2">
        <v>4.0</v>
      </c>
      <c r="R2832" s="2">
        <v>0.0</v>
      </c>
      <c r="S2832" s="3" t="s">
        <v>11578</v>
      </c>
      <c r="T2832" s="2" t="s">
        <v>11579</v>
      </c>
      <c r="Y2832" s="4" t="str">
        <f>IFERROR(__xludf.DUMMYFUNCTION("""COMPUTED_VALUE"""),"6.6825119")</f>
        <v>6.6825119</v>
      </c>
      <c r="Z2832" s="4" t="str">
        <f>IFERROR(__xludf.DUMMYFUNCTION("""COMPUTED_VALUE"""),"3.0463528")</f>
        <v>3.0463528</v>
      </c>
      <c r="AA2832" s="4" t="str">
        <f t="shared" si="1"/>
        <v>Not Neighbor</v>
      </c>
      <c r="AC2832" s="4">
        <f>IFERROR(__xludf.DUMMYFUNCTION("IFERROR(ABS(O2832-AVERAGE(FILTER(O2832:O6900,AA2832:AA6900=""Neighbor""))) / STDEV(FILTER(O2832:O6900, AA2832:AA6900 =""Neighbor"")), """")"),0.8702738964746373)</f>
        <v>0.8702738965</v>
      </c>
      <c r="AD2832" s="4">
        <f>IFERROR(__xludf.DUMMYFUNCTION("IFERROR(ABS(P2832-AVERAGE(FILTER(O2832:P6900,AA2832:AA6900=""Neighbor""))) / STDEV(FILTER(P2832:P6900, AA2832:AA6900 =""Neighbor"")), """")"),0.7257483353702625)</f>
        <v>0.7257483354</v>
      </c>
      <c r="AE2832" s="2">
        <f>IFERROR(__xludf.DUMMYFUNCTION("IFERROR(ABS(Q2832-AVERAGE(FILTER(Q2832:Q6900,AA2832:AA6900=""Neighbor""))) / STDEV(FILTER(Q2832:Q6900, AA2832:AA6900 =""Neighbor"")), """")"),0.6262627724236851)</f>
        <v>0.6262627724</v>
      </c>
      <c r="AF2832" s="2">
        <f>IFERROR(__xludf.DUMMYFUNCTION("IFERROR(ABS(R2832-AVERAGE(FILTER(R2832:R6900,AA2832:AA6900=""Neighbor""))) / STDEV(FILTER(R2832:R6900, AA2832:AA6900 =""Neighbor"")), """")"),0.33981334749942654)</f>
        <v>0.3398133475</v>
      </c>
    </row>
    <row r="2833">
      <c r="A2833" s="2" t="s">
        <v>28</v>
      </c>
      <c r="B2833" s="2" t="s">
        <v>1711</v>
      </c>
      <c r="C2833" s="2" t="s">
        <v>2029</v>
      </c>
      <c r="D2833" s="2" t="s">
        <v>11580</v>
      </c>
      <c r="E2833" s="2" t="s">
        <v>11581</v>
      </c>
      <c r="F2833" s="2">
        <v>37.0</v>
      </c>
      <c r="G2833" s="2">
        <v>750.0</v>
      </c>
      <c r="H2833" s="2" t="b">
        <v>1</v>
      </c>
      <c r="I2833" s="2">
        <v>-1.0</v>
      </c>
      <c r="J2833" s="2" t="b">
        <v>0</v>
      </c>
      <c r="K2833" s="2" t="b">
        <v>0</v>
      </c>
      <c r="L2833" s="2" t="b">
        <v>0</v>
      </c>
      <c r="M2833" s="2" t="b">
        <v>0</v>
      </c>
      <c r="N2833" s="2" t="s">
        <v>33</v>
      </c>
      <c r="O2833" s="2">
        <v>22.0</v>
      </c>
      <c r="P2833" s="2">
        <v>3.0</v>
      </c>
      <c r="Q2833" s="2">
        <v>2.0</v>
      </c>
      <c r="R2833" s="2">
        <v>0.0</v>
      </c>
      <c r="S2833" s="3" t="s">
        <v>11582</v>
      </c>
      <c r="T2833" s="2" t="s">
        <v>11583</v>
      </c>
      <c r="Y2833" s="4" t="str">
        <f>IFERROR(__xludf.DUMMYFUNCTION("""COMPUTED_VALUE"""),"6.6826804")</f>
        <v>6.6826804</v>
      </c>
      <c r="Z2833" s="4" t="str">
        <f>IFERROR(__xludf.DUMMYFUNCTION("""COMPUTED_VALUE"""),"3.0188222")</f>
        <v>3.0188222</v>
      </c>
      <c r="AA2833" s="4" t="str">
        <f t="shared" si="1"/>
        <v>Not Neighbor</v>
      </c>
      <c r="AC2833" s="4">
        <f>IFERROR(__xludf.DUMMYFUNCTION("IFERROR(ABS(O2833-AVERAGE(FILTER(O2833:O6901,AA2833:AA6901=""Neighbor""))) / STDEV(FILTER(O2833:O6901, AA2833:AA6901 =""Neighbor"")), """")"),0.7576730811105822)</f>
        <v>0.7576730811</v>
      </c>
      <c r="AD2833" s="4">
        <f>IFERROR(__xludf.DUMMYFUNCTION("IFERROR(ABS(P2833-AVERAGE(FILTER(O2833:P6901,AA2833:AA6901=""Neighbor""))) / STDEV(FILTER(P2833:P6901, AA2833:AA6901 =""Neighbor"")), """")"),1.2592739063471168)</f>
        <v>1.259273906</v>
      </c>
      <c r="AE2833" s="2">
        <f>IFERROR(__xludf.DUMMYFUNCTION("IFERROR(ABS(Q2833-AVERAGE(FILTER(Q2833:Q6901,AA2833:AA6901=""Neighbor""))) / STDEV(FILTER(Q2833:Q6901, AA2833:AA6901 =""Neighbor"")), """")"),0.739168608528176)</f>
        <v>0.7391686085</v>
      </c>
      <c r="AF2833" s="2">
        <f>IFERROR(__xludf.DUMMYFUNCTION("IFERROR(ABS(R2833-AVERAGE(FILTER(R2833:R6901,AA2833:AA6901=""Neighbor""))) / STDEV(FILTER(R2833:R6901, AA2833:AA6901 =""Neighbor"")), """")"),0.33981334749942654)</f>
        <v>0.3398133475</v>
      </c>
    </row>
    <row r="2834">
      <c r="A2834" s="2" t="s">
        <v>28</v>
      </c>
      <c r="B2834" s="2" t="s">
        <v>1711</v>
      </c>
      <c r="C2834" s="2" t="s">
        <v>2029</v>
      </c>
      <c r="D2834" s="2" t="s">
        <v>11584</v>
      </c>
      <c r="E2834" s="2" t="s">
        <v>11585</v>
      </c>
      <c r="F2834" s="2">
        <v>51.0</v>
      </c>
      <c r="G2834" s="2">
        <v>92.0</v>
      </c>
      <c r="H2834" s="2" t="b">
        <v>1</v>
      </c>
      <c r="I2834" s="2">
        <v>-1.0</v>
      </c>
      <c r="J2834" s="2" t="b">
        <v>0</v>
      </c>
      <c r="K2834" s="2" t="b">
        <v>0</v>
      </c>
      <c r="L2834" s="2" t="b">
        <v>0</v>
      </c>
      <c r="M2834" s="2" t="b">
        <v>0</v>
      </c>
      <c r="N2834" s="2" t="s">
        <v>33</v>
      </c>
      <c r="O2834" s="2">
        <v>13.0</v>
      </c>
      <c r="P2834" s="2">
        <v>4.0</v>
      </c>
      <c r="Q2834" s="2">
        <v>14.0</v>
      </c>
      <c r="R2834" s="2">
        <v>0.0</v>
      </c>
      <c r="S2834" s="3" t="s">
        <v>11586</v>
      </c>
      <c r="T2834" s="2" t="s">
        <v>11587</v>
      </c>
      <c r="Y2834" s="4" t="str">
        <f>IFERROR(__xludf.DUMMYFUNCTION("""COMPUTED_VALUE"""),"6.6575514")</f>
        <v>6.6575514</v>
      </c>
      <c r="Z2834" s="4" t="str">
        <f>IFERROR(__xludf.DUMMYFUNCTION("""COMPUTED_VALUE"""),"3.0810786")</f>
        <v>3.0810786</v>
      </c>
      <c r="AA2834" s="4" t="str">
        <f t="shared" si="1"/>
        <v>Not Neighbor</v>
      </c>
      <c r="AC2834" s="4">
        <f>IFERROR(__xludf.DUMMYFUNCTION("IFERROR(ABS(O2834-AVERAGE(FILTER(O2834:O6902,AA2834:AA6902=""Neighbor""))) / STDEV(FILTER(O2834:O6902, AA2834:AA6902 =""Neighbor"")), """")"),1.011024915679706)</f>
        <v>1.011024916</v>
      </c>
      <c r="AD2834" s="4">
        <f>IFERROR(__xludf.DUMMYFUNCTION("IFERROR(ABS(P2834-AVERAGE(FILTER(O2834:P6902,AA2834:AA6902=""Neighbor""))) / STDEV(FILTER(P2834:P6902, AA2834:AA6902 =""Neighbor"")), """")"),1.2182334778104358)</f>
        <v>1.218233478</v>
      </c>
      <c r="AE2834" s="2">
        <f>IFERROR(__xludf.DUMMYFUNCTION("IFERROR(ABS(Q2834-AVERAGE(FILTER(Q2834:Q6902,AA2834:AA6902=""Neighbor""))) / STDEV(FILTER(Q2834:Q6902, AA2834:AA6902 =""Neighbor"")), """")"),0.06173359190123055)</f>
        <v>0.0617335919</v>
      </c>
      <c r="AF2834" s="2">
        <f>IFERROR(__xludf.DUMMYFUNCTION("IFERROR(ABS(R2834-AVERAGE(FILTER(R2834:R6902,AA2834:AA6902=""Neighbor""))) / STDEV(FILTER(R2834:R6902, AA2834:AA6902 =""Neighbor"")), """")"),0.33981334749942654)</f>
        <v>0.3398133475</v>
      </c>
    </row>
    <row r="2835">
      <c r="A2835" s="2" t="s">
        <v>28</v>
      </c>
      <c r="B2835" s="2" t="s">
        <v>1711</v>
      </c>
      <c r="C2835" s="2" t="s">
        <v>2029</v>
      </c>
      <c r="D2835" s="2" t="s">
        <v>11588</v>
      </c>
      <c r="E2835" s="2" t="s">
        <v>11589</v>
      </c>
      <c r="F2835" s="2">
        <v>45.0</v>
      </c>
      <c r="G2835" s="2">
        <v>86.0</v>
      </c>
      <c r="H2835" s="2" t="b">
        <v>1</v>
      </c>
      <c r="I2835" s="2">
        <v>-1.0</v>
      </c>
      <c r="J2835" s="2" t="b">
        <v>0</v>
      </c>
      <c r="K2835" s="2" t="b">
        <v>0</v>
      </c>
      <c r="L2835" s="2" t="b">
        <v>0</v>
      </c>
      <c r="M2835" s="2" t="b">
        <v>0</v>
      </c>
      <c r="N2835" s="2" t="s">
        <v>33</v>
      </c>
      <c r="O2835" s="2">
        <v>29.0</v>
      </c>
      <c r="P2835" s="2">
        <v>10.0</v>
      </c>
      <c r="Q2835" s="2">
        <v>4.0</v>
      </c>
      <c r="R2835" s="2">
        <v>0.0</v>
      </c>
      <c r="S2835" s="3" t="s">
        <v>11590</v>
      </c>
      <c r="T2835" s="2" t="s">
        <v>11591</v>
      </c>
      <c r="Y2835" s="4" t="str">
        <f>IFERROR(__xludf.DUMMYFUNCTION("""COMPUTED_VALUE"""),"6.6463575")</f>
        <v>6.6463575</v>
      </c>
      <c r="Z2835" s="4" t="str">
        <f>IFERROR(__xludf.DUMMYFUNCTION("""COMPUTED_VALUE"""),"3.0651328")</f>
        <v>3.0651328</v>
      </c>
      <c r="AA2835" s="4" t="str">
        <f t="shared" si="1"/>
        <v>Not Neighbor</v>
      </c>
      <c r="AC2835" s="4">
        <f>IFERROR(__xludf.DUMMYFUNCTION("IFERROR(ABS(O2835-AVERAGE(FILTER(O2835:O6903,AA2835:AA6903=""Neighbor""))) / STDEV(FILTER(O2835:O6903, AA2835:AA6903 =""Neighbor"")), """")"),0.5606216542234858)</f>
        <v>0.5606216542</v>
      </c>
      <c r="AD2835" s="4">
        <f>IFERROR(__xludf.DUMMYFUNCTION("IFERROR(ABS(P2835-AVERAGE(FILTER(O2835:P6903,AA2835:AA6903=""Neighbor""))) / STDEV(FILTER(P2835:P6903, AA2835:AA6903 =""Neighbor"")), """")"),0.9719909065903491)</f>
        <v>0.9719909066</v>
      </c>
      <c r="AE2835" s="2">
        <f>IFERROR(__xludf.DUMMYFUNCTION("IFERROR(ABS(Q2835-AVERAGE(FILTER(Q2835:Q6903,AA2835:AA6903=""Neighbor""))) / STDEV(FILTER(Q2835:Q6903, AA2835:AA6903 =""Neighbor"")), """")"),0.6262627724236851)</f>
        <v>0.6262627724</v>
      </c>
      <c r="AF2835" s="2">
        <f>IFERROR(__xludf.DUMMYFUNCTION("IFERROR(ABS(R2835-AVERAGE(FILTER(R2835:R6903,AA2835:AA6903=""Neighbor""))) / STDEV(FILTER(R2835:R6903, AA2835:AA6903 =""Neighbor"")), """")"),0.33981334749942654)</f>
        <v>0.3398133475</v>
      </c>
    </row>
    <row r="2836">
      <c r="A2836" s="2" t="s">
        <v>28</v>
      </c>
      <c r="B2836" s="2" t="s">
        <v>1711</v>
      </c>
      <c r="C2836" s="2" t="s">
        <v>2029</v>
      </c>
      <c r="D2836" s="2" t="s">
        <v>11592</v>
      </c>
      <c r="E2836" s="2" t="s">
        <v>11593</v>
      </c>
      <c r="F2836" s="2">
        <v>27.0</v>
      </c>
      <c r="G2836" s="2">
        <v>91.0</v>
      </c>
      <c r="H2836" s="2" t="b">
        <v>1</v>
      </c>
      <c r="I2836" s="2">
        <v>-1.0</v>
      </c>
      <c r="J2836" s="2" t="b">
        <v>0</v>
      </c>
      <c r="K2836" s="2" t="b">
        <v>0</v>
      </c>
      <c r="L2836" s="2" t="b">
        <v>0</v>
      </c>
      <c r="M2836" s="2" t="b">
        <v>0</v>
      </c>
      <c r="N2836" s="2" t="s">
        <v>33</v>
      </c>
      <c r="O2836" s="2">
        <v>15.0</v>
      </c>
      <c r="P2836" s="2">
        <v>8.0</v>
      </c>
      <c r="Q2836" s="2">
        <v>2.0</v>
      </c>
      <c r="R2836" s="2">
        <v>0.0</v>
      </c>
      <c r="S2836" s="3" t="s">
        <v>11594</v>
      </c>
      <c r="T2836" s="2" t="s">
        <v>11595</v>
      </c>
      <c r="Y2836" s="4" t="str">
        <f>IFERROR(__xludf.DUMMYFUNCTION("""COMPUTED_VALUE"""),"6.6575514")</f>
        <v>6.6575514</v>
      </c>
      <c r="Z2836" s="4" t="str">
        <f>IFERROR(__xludf.DUMMYFUNCTION("""COMPUTED_VALUE"""),"3.0810786")</f>
        <v>3.0810786</v>
      </c>
      <c r="AA2836" s="4" t="str">
        <f t="shared" si="1"/>
        <v>Not Neighbor</v>
      </c>
      <c r="AC2836" s="4">
        <f>IFERROR(__xludf.DUMMYFUNCTION("IFERROR(ABS(O2836-AVERAGE(FILTER(O2836:O6904,AA2836:AA6904=""Neighbor""))) / STDEV(FILTER(O2836:O6904, AA2836:AA6904 =""Neighbor"")), """")"),0.9547245079976785)</f>
        <v>0.954724508</v>
      </c>
      <c r="AD2836" s="4">
        <f>IFERROR(__xludf.DUMMYFUNCTION("IFERROR(ABS(P2836-AVERAGE(FILTER(O2836:P6904,AA2836:AA6904=""Neighbor""))) / STDEV(FILTER(P2836:P6904, AA2836:AA6904 =""Neighbor"")), """")"),1.0540717636637114)</f>
        <v>1.054071764</v>
      </c>
      <c r="AE2836" s="2">
        <f>IFERROR(__xludf.DUMMYFUNCTION("IFERROR(ABS(Q2836-AVERAGE(FILTER(Q2836:Q6904,AA2836:AA6904=""Neighbor""))) / STDEV(FILTER(Q2836:Q6904, AA2836:AA6904 =""Neighbor"")), """")"),0.739168608528176)</f>
        <v>0.7391686085</v>
      </c>
      <c r="AF2836" s="2">
        <f>IFERROR(__xludf.DUMMYFUNCTION("IFERROR(ABS(R2836-AVERAGE(FILTER(R2836:R6904,AA2836:AA6904=""Neighbor""))) / STDEV(FILTER(R2836:R6904, AA2836:AA6904 =""Neighbor"")), """")"),0.33981334749942654)</f>
        <v>0.3398133475</v>
      </c>
    </row>
    <row r="2837">
      <c r="A2837" s="2" t="s">
        <v>28</v>
      </c>
      <c r="B2837" s="2" t="s">
        <v>1711</v>
      </c>
      <c r="C2837" s="2" t="s">
        <v>2029</v>
      </c>
      <c r="D2837" s="2" t="s">
        <v>11596</v>
      </c>
      <c r="E2837" s="2" t="s">
        <v>11597</v>
      </c>
      <c r="F2837" s="2">
        <v>85.0</v>
      </c>
      <c r="G2837" s="2">
        <v>182.0</v>
      </c>
      <c r="H2837" s="2" t="b">
        <v>1</v>
      </c>
      <c r="I2837" s="2">
        <v>-1.0</v>
      </c>
      <c r="J2837" s="2" t="b">
        <v>0</v>
      </c>
      <c r="K2837" s="2" t="b">
        <v>0</v>
      </c>
      <c r="L2837" s="2" t="b">
        <v>0</v>
      </c>
      <c r="M2837" s="2" t="b">
        <v>0</v>
      </c>
      <c r="N2837" s="2" t="s">
        <v>33</v>
      </c>
      <c r="O2837" s="2">
        <v>23.0</v>
      </c>
      <c r="P2837" s="2">
        <v>9.0</v>
      </c>
      <c r="Q2837" s="2">
        <v>23.0</v>
      </c>
      <c r="R2837" s="2">
        <v>0.0</v>
      </c>
      <c r="S2837" s="3" t="s">
        <v>11598</v>
      </c>
      <c r="T2837" s="2" t="s">
        <v>11599</v>
      </c>
      <c r="Y2837" s="4" t="str">
        <f>IFERROR(__xludf.DUMMYFUNCTION("""COMPUTED_VALUE"""),"6.6460778")</f>
        <v>6.6460778</v>
      </c>
      <c r="Z2837" s="4" t="str">
        <f>IFERROR(__xludf.DUMMYFUNCTION("""COMPUTED_VALUE"""),"3.1102345")</f>
        <v>3.1102345</v>
      </c>
      <c r="AA2837" s="4" t="str">
        <f t="shared" si="1"/>
        <v>Neighbor</v>
      </c>
      <c r="AC2837" s="4">
        <f>IFERROR(__xludf.DUMMYFUNCTION("IFERROR(ABS(O2837-AVERAGE(FILTER(O2837:O6905,AA2837:AA6905=""Neighbor""))) / STDEV(FILTER(O2837:O6905, AA2837:AA6905 =""Neighbor"")), """")"),0.7295228772695684)</f>
        <v>0.7295228773</v>
      </c>
      <c r="AD2837" s="4">
        <f>IFERROR(__xludf.DUMMYFUNCTION("IFERROR(ABS(P2837-AVERAGE(FILTER(O2837:P6905,AA2837:AA6905=""Neighbor""))) / STDEV(FILTER(P2837:P6905, AA2837:AA6905 =""Neighbor"")), """")"),1.0130313351270301)</f>
        <v>1.013031335</v>
      </c>
      <c r="AE2837" s="2">
        <f>IFERROR(__xludf.DUMMYFUNCTION("IFERROR(ABS(Q2837-AVERAGE(FILTER(Q2837:Q6905,AA2837:AA6905=""Neighbor""))) / STDEV(FILTER(Q2837:Q6905, AA2837:AA6905 =""Neighbor"")), """")"),0.44634267056897853)</f>
        <v>0.4463426706</v>
      </c>
      <c r="AF2837" s="2">
        <f>IFERROR(__xludf.DUMMYFUNCTION("IFERROR(ABS(R2837-AVERAGE(FILTER(R2837:R6905,AA2837:AA6905=""Neighbor""))) / STDEV(FILTER(R2837:R6905, AA2837:AA6905 =""Neighbor"")), """")"),0.33981334749942654)</f>
        <v>0.3398133475</v>
      </c>
    </row>
    <row r="2838">
      <c r="A2838" s="2" t="s">
        <v>28</v>
      </c>
      <c r="B2838" s="2" t="s">
        <v>1711</v>
      </c>
      <c r="C2838" s="2" t="s">
        <v>2029</v>
      </c>
      <c r="D2838" s="2" t="s">
        <v>11600</v>
      </c>
      <c r="E2838" s="2" t="s">
        <v>11601</v>
      </c>
      <c r="F2838" s="2">
        <v>61.0</v>
      </c>
      <c r="G2838" s="2">
        <v>140.0</v>
      </c>
      <c r="H2838" s="2" t="b">
        <v>1</v>
      </c>
      <c r="I2838" s="2">
        <v>-1.0</v>
      </c>
      <c r="J2838" s="2" t="b">
        <v>1</v>
      </c>
      <c r="K2838" s="2" t="b">
        <v>0</v>
      </c>
      <c r="L2838" s="2" t="b">
        <v>0</v>
      </c>
      <c r="M2838" s="2" t="b">
        <v>0</v>
      </c>
      <c r="N2838" s="2" t="s">
        <v>33</v>
      </c>
      <c r="O2838" s="2">
        <v>23.0</v>
      </c>
      <c r="P2838" s="2">
        <v>9.0</v>
      </c>
      <c r="Q2838" s="2">
        <v>23.0</v>
      </c>
      <c r="R2838" s="2">
        <v>0.0</v>
      </c>
      <c r="S2838" s="3" t="s">
        <v>11602</v>
      </c>
      <c r="T2838" s="2" t="s">
        <v>11603</v>
      </c>
      <c r="Y2838" s="4" t="str">
        <f>IFERROR(__xludf.DUMMYFUNCTION("""COMPUTED_VALUE"""),"6.6460778")</f>
        <v>6.6460778</v>
      </c>
      <c r="Z2838" s="4" t="str">
        <f>IFERROR(__xludf.DUMMYFUNCTION("""COMPUTED_VALUE"""),"3.1102345")</f>
        <v>3.1102345</v>
      </c>
      <c r="AA2838" s="4" t="str">
        <f t="shared" si="1"/>
        <v>Not Neighbor</v>
      </c>
      <c r="AC2838" s="4">
        <f>IFERROR(__xludf.DUMMYFUNCTION("IFERROR(ABS(O2838-AVERAGE(FILTER(O2838:O6906,AA2838:AA6906=""Neighbor""))) / STDEV(FILTER(O2838:O6906, AA2838:AA6906 =""Neighbor"")), """")"),0.7307699628169106)</f>
        <v>0.7307699628</v>
      </c>
      <c r="AD2838" s="4">
        <f>IFERROR(__xludf.DUMMYFUNCTION("IFERROR(ABS(P2838-AVERAGE(FILTER(O2838:P6906,AA2838:AA6906=""Neighbor""))) / STDEV(FILTER(P2838:P6906, AA2838:AA6906 =""Neighbor"")), """")"),1.01368889412122)</f>
        <v>1.013688894</v>
      </c>
      <c r="AE2838" s="2">
        <f>IFERROR(__xludf.DUMMYFUNCTION("IFERROR(ABS(Q2838-AVERAGE(FILTER(Q2838:Q6906,AA2838:AA6906=""Neighbor""))) / STDEV(FILTER(Q2838:Q6906, AA2838:AA6906 =""Neighbor"")), """")"),0.4469390379189872)</f>
        <v>0.4469390379</v>
      </c>
      <c r="AF2838" s="2">
        <f>IFERROR(__xludf.DUMMYFUNCTION("IFERROR(ABS(R2838-AVERAGE(FILTER(R2838:R6906,AA2838:AA6906=""Neighbor""))) / STDEV(FILTER(R2838:R6906, AA2838:AA6906 =""Neighbor"")), """")"),0.34023549355153465)</f>
        <v>0.3402354936</v>
      </c>
    </row>
    <row r="2839">
      <c r="A2839" s="2" t="s">
        <v>28</v>
      </c>
      <c r="B2839" s="2" t="s">
        <v>1711</v>
      </c>
      <c r="C2839" s="2" t="s">
        <v>2029</v>
      </c>
      <c r="D2839" s="2" t="s">
        <v>11604</v>
      </c>
      <c r="E2839" s="2" t="s">
        <v>11605</v>
      </c>
      <c r="F2839" s="2">
        <v>121.0</v>
      </c>
      <c r="G2839" s="2">
        <v>574.0</v>
      </c>
      <c r="H2839" s="2" t="b">
        <v>1</v>
      </c>
      <c r="I2839" s="2">
        <v>-1.0</v>
      </c>
      <c r="J2839" s="2" t="b">
        <v>0</v>
      </c>
      <c r="K2839" s="2" t="b">
        <v>0</v>
      </c>
      <c r="L2839" s="2" t="b">
        <v>0</v>
      </c>
      <c r="M2839" s="2" t="b">
        <v>0</v>
      </c>
      <c r="N2839" s="2" t="s">
        <v>33</v>
      </c>
      <c r="O2839" s="2">
        <v>59.0</v>
      </c>
      <c r="P2839" s="2">
        <v>17.0</v>
      </c>
      <c r="Q2839" s="2">
        <v>20.0</v>
      </c>
      <c r="R2839" s="2">
        <v>0.0</v>
      </c>
      <c r="S2839" s="3" t="s">
        <v>11606</v>
      </c>
      <c r="T2839" s="2" t="s">
        <v>11607</v>
      </c>
      <c r="Y2839" s="4" t="str">
        <f>IFERROR(__xludf.DUMMYFUNCTION("""COMPUTED_VALUE"""),"6.6609382")</f>
        <v>6.6609382</v>
      </c>
      <c r="Z2839" s="4" t="str">
        <f>IFERROR(__xludf.DUMMYFUNCTION("""COMPUTED_VALUE"""),"3.0889198")</f>
        <v>3.0889198</v>
      </c>
      <c r="AA2839" s="4" t="str">
        <f t="shared" si="1"/>
        <v>Not Neighbor</v>
      </c>
      <c r="AC2839" s="4">
        <f>IFERROR(__xludf.DUMMYFUNCTION("IFERROR(ABS(O2839-AVERAGE(FILTER(O2839:O6907,AA2839:AA6907=""Neighbor""))) / STDEV(FILTER(O2839:O6907, AA2839:AA6907 =""Neighbor"")), """")"),0.28210885811048153)</f>
        <v>0.2821088581</v>
      </c>
      <c r="AD2839" s="4">
        <f>IFERROR(__xludf.DUMMYFUNCTION("IFERROR(ABS(P2839-AVERAGE(FILTER(O2839:P6907,AA2839:AA6907=""Neighbor""))) / STDEV(FILTER(P2839:P6907, AA2839:AA6907 =""Neighbor"")), """")"),0.6856768864893626)</f>
        <v>0.6856768865</v>
      </c>
      <c r="AE2839" s="2">
        <f>IFERROR(__xludf.DUMMYFUNCTION("IFERROR(ABS(Q2839-AVERAGE(FILTER(Q2839:Q6907,AA2839:AA6907=""Neighbor""))) / STDEV(FILTER(Q2839:Q6907, AA2839:AA6907 =""Neighbor"")), """")"),0.27773169511247486)</f>
        <v>0.2777316951</v>
      </c>
      <c r="AF2839" s="2">
        <f>IFERROR(__xludf.DUMMYFUNCTION("IFERROR(ABS(R2839-AVERAGE(FILTER(R2839:R6907,AA2839:AA6907=""Neighbor""))) / STDEV(FILTER(R2839:R6907, AA2839:AA6907 =""Neighbor"")), """")"),0.34023549355153465)</f>
        <v>0.3402354936</v>
      </c>
    </row>
    <row r="2840">
      <c r="A2840" s="2" t="s">
        <v>28</v>
      </c>
      <c r="B2840" s="2" t="s">
        <v>1711</v>
      </c>
      <c r="C2840" s="2" t="s">
        <v>2029</v>
      </c>
      <c r="D2840" s="2" t="s">
        <v>11608</v>
      </c>
      <c r="E2840" s="2" t="s">
        <v>11609</v>
      </c>
      <c r="F2840" s="2">
        <v>93.0</v>
      </c>
      <c r="G2840" s="2">
        <v>196.0</v>
      </c>
      <c r="H2840" s="2" t="b">
        <v>1</v>
      </c>
      <c r="I2840" s="2">
        <v>-1.0</v>
      </c>
      <c r="J2840" s="2" t="b">
        <v>0</v>
      </c>
      <c r="K2840" s="2" t="b">
        <v>0</v>
      </c>
      <c r="L2840" s="2" t="b">
        <v>0</v>
      </c>
      <c r="M2840" s="2" t="b">
        <v>0</v>
      </c>
      <c r="N2840" s="2" t="s">
        <v>33</v>
      </c>
      <c r="O2840" s="2">
        <v>62.0</v>
      </c>
      <c r="P2840" s="2">
        <v>14.0</v>
      </c>
      <c r="Q2840" s="2">
        <v>8.0</v>
      </c>
      <c r="R2840" s="2">
        <v>0.0</v>
      </c>
      <c r="S2840" s="3" t="s">
        <v>11610</v>
      </c>
      <c r="T2840" s="2" t="s">
        <v>11611</v>
      </c>
      <c r="Y2840" s="4" t="str">
        <f>IFERROR(__xludf.DUMMYFUNCTION("""COMPUTED_VALUE"""),"6.6117188")</f>
        <v>6.6117188</v>
      </c>
      <c r="Z2840" s="4" t="str">
        <f>IFERROR(__xludf.DUMMYFUNCTION("""COMPUTED_VALUE"""),"3.0576199")</f>
        <v>3.0576199</v>
      </c>
      <c r="AA2840" s="4" t="str">
        <f t="shared" si="1"/>
        <v>Not Neighbor</v>
      </c>
      <c r="AC2840" s="4">
        <f>IFERROR(__xludf.DUMMYFUNCTION("IFERROR(ABS(O2840-AVERAGE(FILTER(O2840:O6908,AA2840:AA6908=""Neighbor""))) / STDEV(FILTER(O2840:O6908, AA2840:AA6908 =""Neighbor"")), """")"),0.36651542652109753)</f>
        <v>0.3665154265</v>
      </c>
      <c r="AD2840" s="4">
        <f>IFERROR(__xludf.DUMMYFUNCTION("IFERROR(ABS(P2840-AVERAGE(FILTER(O2840:P6908,AA2840:AA6908=""Neighbor""))) / STDEV(FILTER(P2840:P6908, AA2840:AA6908 =""Neighbor"")), """")"),0.8086813893513092)</f>
        <v>0.8086813894</v>
      </c>
      <c r="AE2840" s="2">
        <f>IFERROR(__xludf.DUMMYFUNCTION("IFERROR(ABS(Q2840-AVERAGE(FILTER(Q2840:Q6908,AA2840:AA6908=""Neighbor""))) / STDEV(FILTER(Q2840:Q6908, AA2840:AA6908 =""Neighbor"")), """")"),0.3990976761135745)</f>
        <v>0.3990976761</v>
      </c>
      <c r="AF2840" s="2">
        <f>IFERROR(__xludf.DUMMYFUNCTION("IFERROR(ABS(R2840-AVERAGE(FILTER(R2840:R6908,AA2840:AA6908=""Neighbor""))) / STDEV(FILTER(R2840:R6908, AA2840:AA6908 =""Neighbor"")), """")"),0.34023549355153465)</f>
        <v>0.3402354936</v>
      </c>
    </row>
    <row r="2841">
      <c r="A2841" s="2" t="s">
        <v>28</v>
      </c>
      <c r="B2841" s="2" t="s">
        <v>1711</v>
      </c>
      <c r="C2841" s="2" t="s">
        <v>2029</v>
      </c>
      <c r="D2841" s="2" t="s">
        <v>11612</v>
      </c>
      <c r="E2841" s="2" t="s">
        <v>11613</v>
      </c>
      <c r="F2841" s="2">
        <v>184.0</v>
      </c>
      <c r="G2841" s="2">
        <v>750.0</v>
      </c>
      <c r="H2841" s="2" t="b">
        <v>1</v>
      </c>
      <c r="I2841" s="2">
        <v>-1.0</v>
      </c>
      <c r="J2841" s="2" t="b">
        <v>0</v>
      </c>
      <c r="K2841" s="2" t="b">
        <v>0</v>
      </c>
      <c r="L2841" s="2" t="b">
        <v>0</v>
      </c>
      <c r="M2841" s="2" t="b">
        <v>0</v>
      </c>
      <c r="N2841" s="2" t="s">
        <v>33</v>
      </c>
      <c r="O2841" s="2">
        <v>134.0</v>
      </c>
      <c r="P2841" s="2">
        <v>12.0</v>
      </c>
      <c r="Q2841" s="2">
        <v>24.0</v>
      </c>
      <c r="R2841" s="2">
        <v>0.0</v>
      </c>
      <c r="S2841" s="3" t="s">
        <v>11614</v>
      </c>
      <c r="T2841" s="2" t="s">
        <v>11615</v>
      </c>
      <c r="Y2841" s="4" t="str">
        <f>IFERROR(__xludf.DUMMYFUNCTION("""COMPUTED_VALUE"""),"6.6355907")</f>
        <v>6.6355907</v>
      </c>
      <c r="Z2841" s="4" t="str">
        <f>IFERROR(__xludf.DUMMYFUNCTION("""COMPUTED_VALUE"""),"3.080162")</f>
        <v>3.080162</v>
      </c>
      <c r="AA2841" s="4" t="str">
        <f t="shared" si="1"/>
        <v>Not Neighbor</v>
      </c>
      <c r="AC2841" s="4">
        <f>IFERROR(__xludf.DUMMYFUNCTION("IFERROR(ABS(O2841-AVERAGE(FILTER(O2841:O6909,AA2841:AA6909=""Neighbor""))) / STDEV(FILTER(O2841:O6909, AA2841:AA6909 =""Neighbor"")), """")"),2.392273068375882)</f>
        <v>2.392273068</v>
      </c>
      <c r="AD2841" s="4">
        <f>IFERROR(__xludf.DUMMYFUNCTION("IFERROR(ABS(P2841-AVERAGE(FILTER(O2841:P6909,AA2841:AA6909=""Neighbor""))) / STDEV(FILTER(P2841:P6909, AA2841:AA6909 =""Neighbor"")), """")"),0.8906843912592736)</f>
        <v>0.8906843913</v>
      </c>
      <c r="AE2841" s="2">
        <f>IFERROR(__xludf.DUMMYFUNCTION("IFERROR(ABS(Q2841-AVERAGE(FILTER(Q2841:Q6909,AA2841:AA6909=""Neighbor""))) / STDEV(FILTER(Q2841:Q6909, AA2841:AA6909 =""Neighbor"")), """")"),0.503341485521158)</f>
        <v>0.5033414855</v>
      </c>
      <c r="AF2841" s="2">
        <f>IFERROR(__xludf.DUMMYFUNCTION("IFERROR(ABS(R2841-AVERAGE(FILTER(R2841:R6909,AA2841:AA6909=""Neighbor""))) / STDEV(FILTER(R2841:R6909, AA2841:AA6909 =""Neighbor"")), """")"),0.34023549355153465)</f>
        <v>0.3402354936</v>
      </c>
    </row>
    <row r="2842">
      <c r="A2842" s="2" t="s">
        <v>28</v>
      </c>
      <c r="B2842" s="2" t="s">
        <v>1711</v>
      </c>
      <c r="C2842" s="2" t="s">
        <v>2029</v>
      </c>
      <c r="D2842" s="2" t="s">
        <v>11616</v>
      </c>
      <c r="E2842" s="2" t="s">
        <v>11617</v>
      </c>
      <c r="F2842" s="2">
        <v>135.0</v>
      </c>
      <c r="G2842" s="2">
        <v>750.0</v>
      </c>
      <c r="H2842" s="2" t="b">
        <v>1</v>
      </c>
      <c r="I2842" s="2">
        <v>-1.0</v>
      </c>
      <c r="J2842" s="2" t="b">
        <v>0</v>
      </c>
      <c r="K2842" s="2" t="b">
        <v>0</v>
      </c>
      <c r="L2842" s="2" t="b">
        <v>0</v>
      </c>
      <c r="M2842" s="2" t="b">
        <v>0</v>
      </c>
      <c r="N2842" s="2" t="s">
        <v>33</v>
      </c>
      <c r="O2842" s="2">
        <v>81.0</v>
      </c>
      <c r="P2842" s="2">
        <v>27.0</v>
      </c>
      <c r="Q2842" s="2">
        <v>15.0</v>
      </c>
      <c r="R2842" s="2">
        <v>0.0</v>
      </c>
      <c r="S2842" s="3" t="s">
        <v>11618</v>
      </c>
      <c r="T2842" s="2" t="s">
        <v>11619</v>
      </c>
      <c r="Y2842" s="4" t="str">
        <f>IFERROR(__xludf.DUMMYFUNCTION("""COMPUTED_VALUE"""),"6.6869131")</f>
        <v>6.6869131</v>
      </c>
      <c r="Z2842" s="4" t="str">
        <f>IFERROR(__xludf.DUMMYFUNCTION("""COMPUTED_VALUE"""),"3.0896683")</f>
        <v>3.0896683</v>
      </c>
      <c r="AA2842" s="4" t="str">
        <f t="shared" si="1"/>
        <v>Not Neighbor</v>
      </c>
      <c r="AC2842" s="4">
        <f>IFERROR(__xludf.DUMMYFUNCTION("IFERROR(ABS(O2842-AVERAGE(FILTER(O2842:O6910,AA2842:AA6910=""Neighbor""))) / STDEV(FILTER(O2842:O6910, AA2842:AA6910 =""Neighbor"")), """")"),0.9010903597883323)</f>
        <v>0.9010903598</v>
      </c>
      <c r="AD2842" s="4">
        <f>IFERROR(__xludf.DUMMYFUNCTION("IFERROR(ABS(P2842-AVERAGE(FILTER(O2842:P6910,AA2842:AA6910=""Neighbor""))) / STDEV(FILTER(P2842:P6910, AA2842:AA6910 =""Neighbor"")), """")"),0.27566187694954086)</f>
        <v>0.2756618769</v>
      </c>
      <c r="AE2842" s="2">
        <f>IFERROR(__xludf.DUMMYFUNCTION("IFERROR(ABS(Q2842-AVERAGE(FILTER(Q2842:Q6910,AA2842:AA6910=""Neighbor""))) / STDEV(FILTER(Q2842:Q6910, AA2842:AA6910 =""Neighbor"")), """")"),0.004280542898379061)</f>
        <v>0.004280542898</v>
      </c>
      <c r="AF2842" s="2">
        <f>IFERROR(__xludf.DUMMYFUNCTION("IFERROR(ABS(R2842-AVERAGE(FILTER(R2842:R6910,AA2842:AA6910=""Neighbor""))) / STDEV(FILTER(R2842:R6910, AA2842:AA6910 =""Neighbor"")), """")"),0.34023549355153465)</f>
        <v>0.3402354936</v>
      </c>
    </row>
    <row r="2843">
      <c r="A2843" s="2" t="s">
        <v>28</v>
      </c>
      <c r="B2843" s="2" t="s">
        <v>1711</v>
      </c>
      <c r="C2843" s="2" t="s">
        <v>2029</v>
      </c>
      <c r="D2843" s="2" t="s">
        <v>11620</v>
      </c>
      <c r="E2843" s="2" t="s">
        <v>11621</v>
      </c>
      <c r="F2843" s="2">
        <v>76.0</v>
      </c>
      <c r="G2843" s="2">
        <v>407.0</v>
      </c>
      <c r="H2843" s="2" t="b">
        <v>1</v>
      </c>
      <c r="I2843" s="2">
        <v>-1.0</v>
      </c>
      <c r="J2843" s="2" t="b">
        <v>0</v>
      </c>
      <c r="K2843" s="2" t="b">
        <v>0</v>
      </c>
      <c r="L2843" s="2" t="b">
        <v>0</v>
      </c>
      <c r="M2843" s="2" t="b">
        <v>0</v>
      </c>
      <c r="N2843" s="2" t="s">
        <v>33</v>
      </c>
      <c r="O2843" s="2">
        <v>48.0</v>
      </c>
      <c r="P2843" s="2">
        <v>10.0</v>
      </c>
      <c r="Q2843" s="2">
        <v>17.0</v>
      </c>
      <c r="R2843" s="2">
        <v>0.0</v>
      </c>
      <c r="S2843" s="3" t="s">
        <v>11622</v>
      </c>
      <c r="T2843" s="2" t="s">
        <v>11623</v>
      </c>
      <c r="Y2843" s="4" t="str">
        <f>IFERROR(__xludf.DUMMYFUNCTION("""COMPUTED_VALUE"""),"6.6732048")</f>
        <v>6.6732048</v>
      </c>
      <c r="Z2843" s="4" t="str">
        <f>IFERROR(__xludf.DUMMYFUNCTION("""COMPUTED_VALUE"""),"3.0400945")</f>
        <v>3.0400945</v>
      </c>
      <c r="AA2843" s="4" t="str">
        <f t="shared" si="1"/>
        <v>Not Neighbor</v>
      </c>
      <c r="AC2843" s="4">
        <f>IFERROR(__xludf.DUMMYFUNCTION("IFERROR(ABS(O2843-AVERAGE(FILTER(O2843:O6911,AA2843:AA6911=""Neighbor""))) / STDEV(FILTER(O2843:O6911, AA2843:AA6911 =""Neighbor"")), """")"),0.027381892728443855)</f>
        <v>0.02738189273</v>
      </c>
      <c r="AD2843" s="4">
        <f>IFERROR(__xludf.DUMMYFUNCTION("IFERROR(ABS(P2843-AVERAGE(FILTER(O2843:P6911,AA2843:AA6911=""Neighbor""))) / STDEV(FILTER(P2843:P6911, AA2843:AA6911 =""Neighbor"")), """")"),0.9726873931672378)</f>
        <v>0.9726873932</v>
      </c>
      <c r="AE2843" s="2">
        <f>IFERROR(__xludf.DUMMYFUNCTION("IFERROR(ABS(Q2843-AVERAGE(FILTER(Q2843:Q6911,AA2843:AA6911=""Neighbor""))) / STDEV(FILTER(Q2843:Q6911, AA2843:AA6911 =""Neighbor"")), """")"),0.1085243523059625)</f>
        <v>0.1085243523</v>
      </c>
      <c r="AF2843" s="2">
        <f>IFERROR(__xludf.DUMMYFUNCTION("IFERROR(ABS(R2843-AVERAGE(FILTER(R2843:R6911,AA2843:AA6911=""Neighbor""))) / STDEV(FILTER(R2843:R6911, AA2843:AA6911 =""Neighbor"")), """")"),0.34023549355153465)</f>
        <v>0.3402354936</v>
      </c>
    </row>
    <row r="2844">
      <c r="A2844" s="2" t="s">
        <v>28</v>
      </c>
      <c r="B2844" s="2" t="s">
        <v>1711</v>
      </c>
      <c r="C2844" s="2" t="s">
        <v>2029</v>
      </c>
      <c r="D2844" s="2" t="s">
        <v>11624</v>
      </c>
      <c r="E2844" s="2" t="s">
        <v>11625</v>
      </c>
      <c r="F2844" s="2">
        <v>93.0</v>
      </c>
      <c r="G2844" s="2">
        <v>429.0</v>
      </c>
      <c r="H2844" s="2" t="b">
        <v>1</v>
      </c>
      <c r="I2844" s="2">
        <v>-1.0</v>
      </c>
      <c r="J2844" s="2" t="b">
        <v>0</v>
      </c>
      <c r="K2844" s="2" t="b">
        <v>1</v>
      </c>
      <c r="L2844" s="2" t="b">
        <v>0</v>
      </c>
      <c r="M2844" s="2" t="b">
        <v>0</v>
      </c>
      <c r="N2844" s="2" t="s">
        <v>33</v>
      </c>
      <c r="O2844" s="2">
        <v>45.0</v>
      </c>
      <c r="P2844" s="2">
        <v>30.0</v>
      </c>
      <c r="Q2844" s="2">
        <v>7.0</v>
      </c>
      <c r="R2844" s="2">
        <v>0.0</v>
      </c>
      <c r="S2844" s="3" t="s">
        <v>11626</v>
      </c>
      <c r="T2844" s="2" t="s">
        <v>11627</v>
      </c>
      <c r="Y2844" s="4" t="str">
        <f>IFERROR(__xludf.DUMMYFUNCTION("""COMPUTED_VALUE"""),"6.6729415")</f>
        <v>6.6729415</v>
      </c>
      <c r="Z2844" s="4" t="str">
        <f>IFERROR(__xludf.DUMMYFUNCTION("""COMPUTED_VALUE"""),"3.0506642")</f>
        <v>3.0506642</v>
      </c>
      <c r="AA2844" s="4" t="str">
        <f t="shared" si="1"/>
        <v>Not Neighbor</v>
      </c>
      <c r="AC2844" s="4">
        <f>IFERROR(__xludf.DUMMYFUNCTION("IFERROR(ABS(O2844-AVERAGE(FILTER(O2844:O6912,AA2844:AA6912=""Neighbor""))) / STDEV(FILTER(O2844:O6912, AA2844:AA6912 =""Neighbor"")), """")"),0.11178846113905987)</f>
        <v>0.1117884611</v>
      </c>
      <c r="AD2844" s="4">
        <f>IFERROR(__xludf.DUMMYFUNCTION("IFERROR(ABS(P2844-AVERAGE(FILTER(O2844:P6912,AA2844:AA6912=""Neighbor""))) / STDEV(FILTER(P2844:P6912, AA2844:AA6912 =""Neighbor"")), """")"),0.1526573740875943)</f>
        <v>0.1526573741</v>
      </c>
      <c r="AE2844" s="2">
        <f>IFERROR(__xludf.DUMMYFUNCTION("IFERROR(ABS(Q2844-AVERAGE(FILTER(Q2844:Q6912,AA2844:AA6912=""Neighbor""))) / STDEV(FILTER(Q2844:Q6912, AA2844:AA6912 =""Neighbor"")), """")"),0.4555001237157453)</f>
        <v>0.4555001237</v>
      </c>
      <c r="AF2844" s="2">
        <f>IFERROR(__xludf.DUMMYFUNCTION("IFERROR(ABS(R2844-AVERAGE(FILTER(R2844:R6912,AA2844:AA6912=""Neighbor""))) / STDEV(FILTER(R2844:R6912, AA2844:AA6912 =""Neighbor"")), """")"),0.34023549355153465)</f>
        <v>0.3402354936</v>
      </c>
    </row>
    <row r="2845">
      <c r="A2845" s="2" t="s">
        <v>28</v>
      </c>
      <c r="B2845" s="2" t="s">
        <v>1711</v>
      </c>
      <c r="C2845" s="2" t="s">
        <v>2029</v>
      </c>
      <c r="D2845" s="2" t="s">
        <v>11628</v>
      </c>
      <c r="E2845" s="2" t="s">
        <v>11629</v>
      </c>
      <c r="F2845" s="2">
        <v>70.0</v>
      </c>
      <c r="G2845" s="2">
        <v>455.0</v>
      </c>
      <c r="H2845" s="2" t="b">
        <v>1</v>
      </c>
      <c r="I2845" s="2">
        <v>-1.0</v>
      </c>
      <c r="J2845" s="2" t="b">
        <v>0</v>
      </c>
      <c r="K2845" s="2" t="b">
        <v>0</v>
      </c>
      <c r="L2845" s="2" t="b">
        <v>0</v>
      </c>
      <c r="M2845" s="2" t="b">
        <v>0</v>
      </c>
      <c r="N2845" s="2" t="s">
        <v>33</v>
      </c>
      <c r="O2845" s="2">
        <v>34.0</v>
      </c>
      <c r="P2845" s="2">
        <v>4.0</v>
      </c>
      <c r="Q2845" s="2">
        <v>25.0</v>
      </c>
      <c r="R2845" s="2">
        <v>1.0</v>
      </c>
      <c r="S2845" s="3" t="s">
        <v>11630</v>
      </c>
      <c r="T2845" s="2" t="s">
        <v>11631</v>
      </c>
      <c r="Y2845" s="4" t="str">
        <f>IFERROR(__xludf.DUMMYFUNCTION("""COMPUTED_VALUE"""),"6.6924529")</f>
        <v>6.6924529</v>
      </c>
      <c r="Z2845" s="4" t="str">
        <f>IFERROR(__xludf.DUMMYFUNCTION("""COMPUTED_VALUE"""),"3.0582459")</f>
        <v>3.0582459</v>
      </c>
      <c r="AA2845" s="4" t="str">
        <f t="shared" si="1"/>
        <v>Not Neighbor</v>
      </c>
      <c r="AC2845" s="4">
        <f>IFERROR(__xludf.DUMMYFUNCTION("IFERROR(ABS(O2845-AVERAGE(FILTER(O2845:O6913,AA2845:AA6913=""Neighbor""))) / STDEV(FILTER(O2845:O6913, AA2845:AA6913 =""Neighbor"")), """")"),0.42127921197798524)</f>
        <v>0.421279212</v>
      </c>
      <c r="AD2845" s="4">
        <f>IFERROR(__xludf.DUMMYFUNCTION("IFERROR(ABS(P2845-AVERAGE(FILTER(O2845:P6913,AA2845:AA6913=""Neighbor""))) / STDEV(FILTER(P2845:P6913, AA2845:AA6913 =""Neighbor"")), """")"),1.218696398891131)</f>
        <v>1.218696399</v>
      </c>
      <c r="AE2845" s="2">
        <f>IFERROR(__xludf.DUMMYFUNCTION("IFERROR(ABS(Q2845-AVERAGE(FILTER(Q2845:Q6913,AA2845:AA6913=""Neighbor""))) / STDEV(FILTER(Q2845:Q6913, AA2845:AA6913 =""Neighbor"")), """")"),0.5597439331233287)</f>
        <v>0.5597439331</v>
      </c>
      <c r="AF2845" s="2">
        <f>IFERROR(__xludf.DUMMYFUNCTION("IFERROR(ABS(R2845-AVERAGE(FILTER(R2845:R6913,AA2845:AA6913=""Neighbor""))) / STDEV(FILTER(R2845:R6913, AA2845:AA6913 =""Neighbor"")), """")"),0.7723594050695421)</f>
        <v>0.7723594051</v>
      </c>
    </row>
    <row r="2846">
      <c r="A2846" s="2" t="s">
        <v>28</v>
      </c>
      <c r="B2846" s="2" t="s">
        <v>1711</v>
      </c>
      <c r="C2846" s="2" t="s">
        <v>2029</v>
      </c>
      <c r="D2846" s="2" t="s">
        <v>11632</v>
      </c>
      <c r="E2846" s="2" t="s">
        <v>11633</v>
      </c>
      <c r="F2846" s="2">
        <v>32.0</v>
      </c>
      <c r="G2846" s="2">
        <v>66.0</v>
      </c>
      <c r="H2846" s="2" t="b">
        <v>1</v>
      </c>
      <c r="I2846" s="2">
        <v>-1.0</v>
      </c>
      <c r="J2846" s="2" t="b">
        <v>0</v>
      </c>
      <c r="K2846" s="2" t="b">
        <v>0</v>
      </c>
      <c r="L2846" s="2" t="b">
        <v>0</v>
      </c>
      <c r="M2846" s="2" t="b">
        <v>0</v>
      </c>
      <c r="N2846" s="2" t="s">
        <v>33</v>
      </c>
      <c r="O2846" s="2">
        <v>19.0</v>
      </c>
      <c r="P2846" s="2">
        <v>3.0</v>
      </c>
      <c r="Q2846" s="2">
        <v>0.0</v>
      </c>
      <c r="R2846" s="2">
        <v>0.0</v>
      </c>
      <c r="S2846" s="3" t="s">
        <v>11634</v>
      </c>
      <c r="T2846" s="2" t="s">
        <v>11635</v>
      </c>
      <c r="Y2846" s="4" t="str">
        <f>IFERROR(__xludf.DUMMYFUNCTION("""COMPUTED_VALUE"""),"6.6463575")</f>
        <v>6.6463575</v>
      </c>
      <c r="Z2846" s="4" t="str">
        <f>IFERROR(__xludf.DUMMYFUNCTION("""COMPUTED_VALUE"""),"3.0651328")</f>
        <v>3.0651328</v>
      </c>
      <c r="AA2846" s="4" t="str">
        <f t="shared" si="1"/>
        <v>Not Neighbor</v>
      </c>
      <c r="AC2846" s="4">
        <f>IFERROR(__xludf.DUMMYFUNCTION("IFERROR(ABS(O2846-AVERAGE(FILTER(O2846:O6914,AA2846:AA6914=""Neighbor""))) / STDEV(FILTER(O2846:O6914, AA2846:AA6914 =""Neighbor"")), """")"),0.8433120540310654)</f>
        <v>0.843312054</v>
      </c>
      <c r="AD2846" s="4">
        <f>IFERROR(__xludf.DUMMYFUNCTION("IFERROR(ABS(P2846-AVERAGE(FILTER(O2846:P6914,AA2846:AA6914=""Neighbor""))) / STDEV(FILTER(P2846:P6914, AA2846:AA6914 =""Neighbor"")), """")"),1.2596978998451132)</f>
        <v>1.2596979</v>
      </c>
      <c r="AE2846" s="2">
        <f>IFERROR(__xludf.DUMMYFUNCTION("IFERROR(ABS(Q2846-AVERAGE(FILTER(Q2846:Q6914,AA2846:AA6914=""Neighbor""))) / STDEV(FILTER(Q2846:Q6914, AA2846:AA6914 =""Neighbor"")), """")"),0.8503172569309407)</f>
        <v>0.8503172569</v>
      </c>
      <c r="AF2846" s="2">
        <f>IFERROR(__xludf.DUMMYFUNCTION("IFERROR(ABS(R2846-AVERAGE(FILTER(R2846:R6914,AA2846:AA6914=""Neighbor""))) / STDEV(FILTER(R2846:R6914, AA2846:AA6914 =""Neighbor"")), """")"),0.34023549355153465)</f>
        <v>0.3402354936</v>
      </c>
    </row>
    <row r="2847">
      <c r="A2847" s="2" t="s">
        <v>28</v>
      </c>
      <c r="B2847" s="2" t="s">
        <v>1711</v>
      </c>
      <c r="C2847" s="2" t="s">
        <v>2534</v>
      </c>
      <c r="D2847" s="2" t="s">
        <v>11636</v>
      </c>
      <c r="E2847" s="2" t="s">
        <v>11637</v>
      </c>
      <c r="F2847" s="2">
        <v>63.0</v>
      </c>
      <c r="G2847" s="2">
        <v>127.0</v>
      </c>
      <c r="H2847" s="2" t="b">
        <v>1</v>
      </c>
      <c r="I2847" s="2">
        <v>-1.0</v>
      </c>
      <c r="J2847" s="2" t="b">
        <v>0</v>
      </c>
      <c r="K2847" s="2" t="b">
        <v>0</v>
      </c>
      <c r="L2847" s="2" t="b">
        <v>0</v>
      </c>
      <c r="M2847" s="2" t="b">
        <v>0</v>
      </c>
      <c r="N2847" s="2" t="s">
        <v>33</v>
      </c>
      <c r="O2847" s="2">
        <v>41.0</v>
      </c>
      <c r="P2847" s="2">
        <v>13.0</v>
      </c>
      <c r="Q2847" s="2">
        <v>6.0</v>
      </c>
      <c r="R2847" s="2">
        <v>0.0</v>
      </c>
      <c r="S2847" s="3" t="s">
        <v>11638</v>
      </c>
      <c r="T2847" s="2" t="s">
        <v>11639</v>
      </c>
      <c r="Y2847" s="4" t="str">
        <f>IFERROR(__xludf.DUMMYFUNCTION("""COMPUTED_VALUE"""),"6.5391587")</f>
        <v>6.5391587</v>
      </c>
      <c r="Z2847" s="4" t="str">
        <f>IFERROR(__xludf.DUMMYFUNCTION("""COMPUTED_VALUE"""),"3.1362028")</f>
        <v>3.1362028</v>
      </c>
      <c r="AA2847" s="4" t="str">
        <f t="shared" si="1"/>
        <v>Not Neighbor</v>
      </c>
      <c r="AC2847" s="4">
        <f>IFERROR(__xludf.DUMMYFUNCTION("IFERROR(ABS(O2847-AVERAGE(FILTER(O2847:O6915,AA2847:AA6915=""Neighbor""))) / STDEV(FILTER(O2847:O6915, AA2847:AA6915 =""Neighbor"")), """")"),0.22433055235321456)</f>
        <v>0.2243305524</v>
      </c>
      <c r="AD2847" s="4">
        <f>IFERROR(__xludf.DUMMYFUNCTION("IFERROR(ABS(P2847-AVERAGE(FILTER(O2847:P6915,AA2847:AA6915=""Neighbor""))) / STDEV(FILTER(P2847:P6915, AA2847:AA6915 =""Neighbor"")), """")"),0.8496828903052913)</f>
        <v>0.8496828903</v>
      </c>
      <c r="AE2847" s="2">
        <f>IFERROR(__xludf.DUMMYFUNCTION("IFERROR(ABS(Q2847-AVERAGE(FILTER(Q2847:Q6915,AA2847:AA6915=""Neighbor""))) / STDEV(FILTER(Q2847:Q6915, AA2847:AA6915 =""Neighbor"")), """")"),0.511902571317916)</f>
        <v>0.5119025713</v>
      </c>
      <c r="AF2847" s="2">
        <f>IFERROR(__xludf.DUMMYFUNCTION("IFERROR(ABS(R2847-AVERAGE(FILTER(R2847:R6915,AA2847:AA6915=""Neighbor""))) / STDEV(FILTER(R2847:R6915, AA2847:AA6915 =""Neighbor"")), """")"),0.34023549355153465)</f>
        <v>0.3402354936</v>
      </c>
    </row>
    <row r="2848">
      <c r="A2848" s="2" t="s">
        <v>28</v>
      </c>
      <c r="B2848" s="2" t="s">
        <v>1711</v>
      </c>
      <c r="C2848" s="2" t="s">
        <v>2534</v>
      </c>
      <c r="D2848" s="2" t="s">
        <v>11640</v>
      </c>
      <c r="E2848" s="2" t="s">
        <v>11641</v>
      </c>
      <c r="F2848" s="2">
        <v>213.0</v>
      </c>
      <c r="G2848" s="2">
        <v>750.0</v>
      </c>
      <c r="H2848" s="2" t="b">
        <v>1</v>
      </c>
      <c r="I2848" s="2">
        <v>-1.0</v>
      </c>
      <c r="J2848" s="2" t="b">
        <v>1</v>
      </c>
      <c r="K2848" s="2" t="b">
        <v>1</v>
      </c>
      <c r="L2848" s="2" t="b">
        <v>0</v>
      </c>
      <c r="M2848" s="2" t="b">
        <v>0</v>
      </c>
      <c r="N2848" s="2" t="s">
        <v>33</v>
      </c>
      <c r="O2848" s="2">
        <v>168.0</v>
      </c>
      <c r="P2848" s="2">
        <v>6.0</v>
      </c>
      <c r="Q2848" s="2">
        <v>18.0</v>
      </c>
      <c r="R2848" s="2">
        <v>0.0</v>
      </c>
      <c r="S2848" s="3" t="s">
        <v>11642</v>
      </c>
      <c r="T2848" s="2" t="s">
        <v>11643</v>
      </c>
      <c r="Y2848" s="4" t="str">
        <f>IFERROR(__xludf.DUMMYFUNCTION("""COMPUTED_VALUE"""),"6.5286101")</f>
        <v>6.5286101</v>
      </c>
      <c r="Z2848" s="4" t="str">
        <f>IFERROR(__xludf.DUMMYFUNCTION("""COMPUTED_VALUE"""),"3.1353091")</f>
        <v>3.1353091</v>
      </c>
      <c r="AA2848" s="4" t="str">
        <f t="shared" si="1"/>
        <v>Neighbor</v>
      </c>
      <c r="AC2848" s="4">
        <f>IFERROR(__xludf.DUMMYFUNCTION("IFERROR(ABS(O2848-AVERAGE(FILTER(O2848:O6916,AA2848:AA6916=""Neighbor""))) / STDEV(FILTER(O2848:O6916, AA2848:AA6916 =""Neighbor"")), """")"),3.3488808436961968)</f>
        <v>3.348880844</v>
      </c>
      <c r="AD2848" s="4">
        <f>IFERROR(__xludf.DUMMYFUNCTION("IFERROR(ABS(P2848-AVERAGE(FILTER(O2848:P6916,AA2848:AA6916=""Neighbor""))) / STDEV(FILTER(P2848:P6916, AA2848:AA6916 =""Neighbor"")), """")"),1.1366933969831665)</f>
        <v>1.136693397</v>
      </c>
      <c r="AE2848" s="2">
        <f>IFERROR(__xludf.DUMMYFUNCTION("IFERROR(ABS(Q2848-AVERAGE(FILTER(Q2848:Q6916,AA2848:AA6916=""Neighbor""))) / STDEV(FILTER(Q2848:Q6916, AA2848:AA6916 =""Neighbor"")), """")"),0.16492679990813328)</f>
        <v>0.1649267999</v>
      </c>
      <c r="AF2848" s="2">
        <f>IFERROR(__xludf.DUMMYFUNCTION("IFERROR(ABS(R2848-AVERAGE(FILTER(R2848:R6916,AA2848:AA6916=""Neighbor""))) / STDEV(FILTER(R2848:R6916, AA2848:AA6916 =""Neighbor"")), """")"),0.34023549355153465)</f>
        <v>0.3402354936</v>
      </c>
    </row>
    <row r="2849">
      <c r="A2849" s="2" t="s">
        <v>28</v>
      </c>
      <c r="B2849" s="2" t="s">
        <v>1711</v>
      </c>
      <c r="C2849" s="2" t="s">
        <v>2534</v>
      </c>
      <c r="D2849" s="2" t="s">
        <v>11644</v>
      </c>
      <c r="E2849" s="2" t="s">
        <v>11645</v>
      </c>
      <c r="F2849" s="2">
        <v>110.0</v>
      </c>
      <c r="G2849" s="2">
        <v>162.0</v>
      </c>
      <c r="H2849" s="2" t="b">
        <v>1</v>
      </c>
      <c r="I2849" s="2">
        <v>-1.0</v>
      </c>
      <c r="J2849" s="2" t="b">
        <v>0</v>
      </c>
      <c r="K2849" s="2" t="b">
        <v>0</v>
      </c>
      <c r="L2849" s="2" t="b">
        <v>0</v>
      </c>
      <c r="M2849" s="2" t="b">
        <v>0</v>
      </c>
      <c r="N2849" s="2" t="s">
        <v>33</v>
      </c>
      <c r="O2849" s="2">
        <v>89.0</v>
      </c>
      <c r="P2849" s="2">
        <v>12.0</v>
      </c>
      <c r="Q2849" s="2">
        <v>6.0</v>
      </c>
      <c r="R2849" s="2">
        <v>0.0</v>
      </c>
      <c r="S2849" s="3" t="s">
        <v>11646</v>
      </c>
      <c r="T2849" s="2" t="s">
        <v>11647</v>
      </c>
      <c r="Y2849" s="4" t="str">
        <f>IFERROR(__xludf.DUMMYFUNCTION("""COMPUTED_VALUE"""),"6.5286101")</f>
        <v>6.5286101</v>
      </c>
      <c r="Z2849" s="4" t="str">
        <f>IFERROR(__xludf.DUMMYFUNCTION("""COMPUTED_VALUE"""),"3.1353091")</f>
        <v>3.1353091</v>
      </c>
      <c r="AA2849" s="4" t="str">
        <f t="shared" si="1"/>
        <v>Neighbor</v>
      </c>
      <c r="AC2849" s="4">
        <f>IFERROR(__xludf.DUMMYFUNCTION("IFERROR(ABS(O2849-AVERAGE(FILTER(O2849:O6917,AA2849:AA6917=""Neighbor""))) / STDEV(FILTER(O2849:O6917, AA2849:AA6917 =""Neighbor"")), """")"),1.1469093329594078)</f>
        <v>1.146909333</v>
      </c>
      <c r="AD2849" s="4">
        <f>IFERROR(__xludf.DUMMYFUNCTION("IFERROR(ABS(P2849-AVERAGE(FILTER(O2849:P6917,AA2849:AA6917=""Neighbor""))) / STDEV(FILTER(P2849:P6917, AA2849:AA6917 =""Neighbor"")), """")"),0.8850657020035927)</f>
        <v>0.885065702</v>
      </c>
      <c r="AE2849" s="2">
        <f>IFERROR(__xludf.DUMMYFUNCTION("IFERROR(ABS(Q2849-AVERAGE(FILTER(Q2849:Q6917,AA2849:AA6917=""Neighbor""))) / STDEV(FILTER(Q2849:Q6917, AA2849:AA6917 =""Neighbor"")), """")"),0.5109766839417288)</f>
        <v>0.5109766839</v>
      </c>
      <c r="AF2849" s="2">
        <f>IFERROR(__xludf.DUMMYFUNCTION("IFERROR(ABS(R2849-AVERAGE(FILTER(R2849:R6917,AA2849:AA6917=""Neighbor""))) / STDEV(FILTER(R2849:R6917, AA2849:AA6917 =""Neighbor"")), """")"),0.34065921723680326)</f>
        <v>0.3406592172</v>
      </c>
    </row>
    <row r="2850">
      <c r="A2850" s="2" t="s">
        <v>28</v>
      </c>
      <c r="B2850" s="2" t="s">
        <v>1711</v>
      </c>
      <c r="C2850" s="2" t="s">
        <v>2534</v>
      </c>
      <c r="D2850" s="2" t="s">
        <v>11648</v>
      </c>
      <c r="E2850" s="2" t="s">
        <v>11649</v>
      </c>
      <c r="F2850" s="2">
        <v>154.0</v>
      </c>
      <c r="G2850" s="2">
        <v>750.0</v>
      </c>
      <c r="H2850" s="2" t="b">
        <v>1</v>
      </c>
      <c r="I2850" s="2">
        <v>-1.0</v>
      </c>
      <c r="J2850" s="2" t="b">
        <v>0</v>
      </c>
      <c r="K2850" s="2" t="b">
        <v>0</v>
      </c>
      <c r="L2850" s="2" t="b">
        <v>0</v>
      </c>
      <c r="M2850" s="2" t="b">
        <v>0</v>
      </c>
      <c r="N2850" s="2" t="s">
        <v>33</v>
      </c>
      <c r="O2850" s="2">
        <v>101.0</v>
      </c>
      <c r="P2850" s="2">
        <v>38.0</v>
      </c>
      <c r="Q2850" s="2">
        <v>10.0</v>
      </c>
      <c r="R2850" s="2">
        <v>1.0</v>
      </c>
      <c r="S2850" s="3" t="s">
        <v>11650</v>
      </c>
      <c r="T2850" s="2" t="s">
        <v>11651</v>
      </c>
      <c r="Y2850" s="4" t="str">
        <f>IFERROR(__xludf.DUMMYFUNCTION("""COMPUTED_VALUE"""),"6.5286101")</f>
        <v>6.5286101</v>
      </c>
      <c r="Z2850" s="4" t="str">
        <f>IFERROR(__xludf.DUMMYFUNCTION("""COMPUTED_VALUE"""),"3.1353091")</f>
        <v>3.1353091</v>
      </c>
      <c r="AA2850" s="4" t="str">
        <f t="shared" si="1"/>
        <v>Neighbor</v>
      </c>
      <c r="AC2850" s="4">
        <f>IFERROR(__xludf.DUMMYFUNCTION("IFERROR(ABS(O2850-AVERAGE(FILTER(O2850:O6918,AA2850:AA6918=""Neighbor""))) / STDEV(FILTER(O2850:O6918, AA2850:AA6918 =""Neighbor"")), """")"),1.4915847532769266)</f>
        <v>1.491584753</v>
      </c>
      <c r="AD2850" s="4">
        <f>IFERROR(__xludf.DUMMYFUNCTION("IFERROR(ABS(P2850-AVERAGE(FILTER(O2850:P6918,AA2850:AA6918=""Neighbor""))) / STDEV(FILTER(P2850:P6918, AA2850:AA6918 =""Neighbor"")), """")"),0.1814552881059158)</f>
        <v>0.1814552881</v>
      </c>
      <c r="AE2850" s="2">
        <f>IFERROR(__xludf.DUMMYFUNCTION("IFERROR(ABS(Q2850-AVERAGE(FILTER(Q2850:Q6918,AA2850:AA6918=""Neighbor""))) / STDEV(FILTER(Q2850:Q6918, AA2850:AA6918 =""Neighbor"")), """")"),0.2865206195954348)</f>
        <v>0.2865206196</v>
      </c>
      <c r="AF2850" s="2">
        <f>IFERROR(__xludf.DUMMYFUNCTION("IFERROR(ABS(R2850-AVERAGE(FILTER(R2850:R6918,AA2850:AA6918=""Neighbor""))) / STDEV(FILTER(R2850:R6918, AA2850:AA6918 =""Neighbor"")), """")"),0.769307439987391)</f>
        <v>0.76930744</v>
      </c>
    </row>
    <row r="2851">
      <c r="A2851" s="2" t="s">
        <v>28</v>
      </c>
      <c r="B2851" s="2" t="s">
        <v>1711</v>
      </c>
      <c r="C2851" s="2" t="s">
        <v>2534</v>
      </c>
      <c r="D2851" s="2" t="s">
        <v>11652</v>
      </c>
      <c r="E2851" s="2" t="s">
        <v>11653</v>
      </c>
      <c r="F2851" s="2">
        <v>60.0</v>
      </c>
      <c r="G2851" s="2">
        <v>81.0</v>
      </c>
      <c r="H2851" s="2" t="b">
        <v>1</v>
      </c>
      <c r="I2851" s="2">
        <v>-1.0</v>
      </c>
      <c r="J2851" s="2" t="b">
        <v>0</v>
      </c>
      <c r="K2851" s="2" t="b">
        <v>0</v>
      </c>
      <c r="L2851" s="2" t="b">
        <v>0</v>
      </c>
      <c r="M2851" s="2" t="b">
        <v>0</v>
      </c>
      <c r="N2851" s="2" t="s">
        <v>33</v>
      </c>
      <c r="O2851" s="2">
        <v>46.0</v>
      </c>
      <c r="P2851" s="2">
        <v>8.0</v>
      </c>
      <c r="Q2851" s="2">
        <v>3.0</v>
      </c>
      <c r="R2851" s="2">
        <v>0.0</v>
      </c>
      <c r="S2851" s="3" t="s">
        <v>11654</v>
      </c>
      <c r="T2851" s="2" t="s">
        <v>11655</v>
      </c>
      <c r="Y2851" s="4" t="str">
        <f>IFERROR(__xludf.DUMMYFUNCTION("""COMPUTED_VALUE"""),"6.5286101")</f>
        <v>6.5286101</v>
      </c>
      <c r="Z2851" s="4" t="str">
        <f>IFERROR(__xludf.DUMMYFUNCTION("""COMPUTED_VALUE"""),"3.1353091")</f>
        <v>3.1353091</v>
      </c>
      <c r="AA2851" s="4" t="str">
        <f t="shared" si="1"/>
        <v>Neighbor</v>
      </c>
      <c r="AC2851" s="4">
        <f>IFERROR(__xludf.DUMMYFUNCTION("IFERROR(ABS(O2851-AVERAGE(FILTER(O2851:O6919,AA2851:AA6919=""Neighbor""))) / STDEV(FILTER(O2851:O6919, AA2851:AA6919 =""Neighbor"")), """")"),0.07125269030816477)</f>
        <v>0.07125269031</v>
      </c>
      <c r="AD2851" s="4">
        <f>IFERROR(__xludf.DUMMYFUNCTION("IFERROR(ABS(P2851-AVERAGE(FILTER(O2851:P6919,AA2851:AA6919=""Neighbor""))) / STDEV(FILTER(P2851:P6919, AA2851:AA6919 =""Neighbor"")), """")"),1.0425622730955737)</f>
        <v>1.042562273</v>
      </c>
      <c r="AE2851" s="2">
        <f>IFERROR(__xludf.DUMMYFUNCTION("IFERROR(ABS(Q2851-AVERAGE(FILTER(Q2851:Q6919,AA2851:AA6919=""Neighbor""))) / STDEV(FILTER(Q2851:Q6919, AA2851:AA6919 =""Neighbor"")), """")"),0.6805220673346701)</f>
        <v>0.6805220673</v>
      </c>
      <c r="AF2851" s="2">
        <f>IFERROR(__xludf.DUMMYFUNCTION("IFERROR(ABS(R2851-AVERAGE(FILTER(R2851:R6919,AA2851:AA6919=""Neighbor""))) / STDEV(FILTER(R2851:R6919, AA2851:AA6919 =""Neighbor"")), """")"),0.33920037899443434)</f>
        <v>0.339200379</v>
      </c>
    </row>
    <row r="2852">
      <c r="A2852" s="2" t="s">
        <v>28</v>
      </c>
      <c r="B2852" s="2" t="s">
        <v>1711</v>
      </c>
      <c r="C2852" s="2" t="s">
        <v>2534</v>
      </c>
      <c r="D2852" s="2" t="s">
        <v>11656</v>
      </c>
      <c r="E2852" s="2" t="s">
        <v>11657</v>
      </c>
      <c r="F2852" s="2">
        <v>123.0</v>
      </c>
      <c r="G2852" s="2">
        <v>198.0</v>
      </c>
      <c r="H2852" s="2" t="b">
        <v>1</v>
      </c>
      <c r="I2852" s="2">
        <v>-1.0</v>
      </c>
      <c r="J2852" s="2" t="b">
        <v>0</v>
      </c>
      <c r="K2852" s="2" t="b">
        <v>0</v>
      </c>
      <c r="L2852" s="2" t="b">
        <v>0</v>
      </c>
      <c r="M2852" s="2" t="b">
        <v>0</v>
      </c>
      <c r="N2852" s="2" t="s">
        <v>33</v>
      </c>
      <c r="O2852" s="2">
        <v>68.0</v>
      </c>
      <c r="P2852" s="2">
        <v>4.0</v>
      </c>
      <c r="Q2852" s="2">
        <v>38.0</v>
      </c>
      <c r="R2852" s="2">
        <v>0.0</v>
      </c>
      <c r="S2852" s="3" t="s">
        <v>11658</v>
      </c>
      <c r="T2852" s="2" t="s">
        <v>11659</v>
      </c>
      <c r="Y2852" s="4" t="str">
        <f>IFERROR(__xludf.DUMMYFUNCTION("""COMPUTED_VALUE"""),"6.5187546")</f>
        <v>6.5187546</v>
      </c>
      <c r="Z2852" s="4" t="str">
        <f>IFERROR(__xludf.DUMMYFUNCTION("""COMPUTED_VALUE"""),"3.140796")</f>
        <v>3.140796</v>
      </c>
      <c r="AA2852" s="4" t="str">
        <f t="shared" si="1"/>
        <v>Neighbor</v>
      </c>
      <c r="AC2852" s="4">
        <f>IFERROR(__xludf.DUMMYFUNCTION("IFERROR(ABS(O2852-AVERAGE(FILTER(O2852:O6920,AA2852:AA6920=""Neighbor""))) / STDEV(FILTER(O2852:O6920, AA2852:AA6920 =""Neighbor"")), """")"),0.5552692643884866)</f>
        <v>0.5552692644</v>
      </c>
      <c r="AD2852" s="4">
        <f>IFERROR(__xludf.DUMMYFUNCTION("IFERROR(ABS(P2852-AVERAGE(FILTER(O2852:P6920,AA2852:AA6920=""Neighbor""))) / STDEV(FILTER(P2852:P6920, AA2852:AA6920 =""Neighbor"")), """")"),1.2056827089469666)</f>
        <v>1.205682709</v>
      </c>
      <c r="AE2852" s="2">
        <f>IFERROR(__xludf.DUMMYFUNCTION("IFERROR(ABS(Q2852-AVERAGE(FILTER(Q2852:Q6920,AA2852:AA6920=""Neighbor""))) / STDEV(FILTER(Q2852:Q6920, AA2852:AA6920 =""Neighbor"")), """")"),1.2854375256136914)</f>
        <v>1.285437526</v>
      </c>
      <c r="AF2852" s="2">
        <f>IFERROR(__xludf.DUMMYFUNCTION("IFERROR(ABS(R2852-AVERAGE(FILTER(R2852:R6920,AA2852:AA6920=""Neighbor""))) / STDEV(FILTER(R2852:R6920, AA2852:AA6920 =""Neighbor"")), """")"),0.33962539202772396)</f>
        <v>0.339625392</v>
      </c>
    </row>
    <row r="2853">
      <c r="A2853" s="2" t="s">
        <v>28</v>
      </c>
      <c r="B2853" s="2" t="s">
        <v>1711</v>
      </c>
      <c r="C2853" s="2" t="s">
        <v>2534</v>
      </c>
      <c r="D2853" s="2" t="s">
        <v>11660</v>
      </c>
      <c r="E2853" s="2" t="s">
        <v>11661</v>
      </c>
      <c r="F2853" s="2">
        <v>108.0</v>
      </c>
      <c r="G2853" s="2">
        <v>202.0</v>
      </c>
      <c r="H2853" s="2" t="b">
        <v>1</v>
      </c>
      <c r="I2853" s="2">
        <v>-1.0</v>
      </c>
      <c r="J2853" s="2" t="b">
        <v>0</v>
      </c>
      <c r="K2853" s="2" t="b">
        <v>1</v>
      </c>
      <c r="L2853" s="2" t="b">
        <v>0</v>
      </c>
      <c r="M2853" s="2" t="b">
        <v>0</v>
      </c>
      <c r="N2853" s="2" t="s">
        <v>33</v>
      </c>
      <c r="O2853" s="2">
        <v>86.0</v>
      </c>
      <c r="P2853" s="2">
        <v>11.0</v>
      </c>
      <c r="Q2853" s="2">
        <v>4.0</v>
      </c>
      <c r="R2853" s="2">
        <v>0.0</v>
      </c>
      <c r="S2853" s="3" t="s">
        <v>11662</v>
      </c>
      <c r="T2853" s="2" t="s">
        <v>11663</v>
      </c>
      <c r="Y2853" s="4" t="str">
        <f>IFERROR(__xludf.DUMMYFUNCTION("""COMPUTED_VALUE"""),"6.5286101")</f>
        <v>6.5286101</v>
      </c>
      <c r="Z2853" s="4" t="str">
        <f>IFERROR(__xludf.DUMMYFUNCTION("""COMPUTED_VALUE"""),"3.1353091")</f>
        <v>3.1353091</v>
      </c>
      <c r="AA2853" s="4" t="str">
        <f t="shared" si="1"/>
        <v>Not Neighbor</v>
      </c>
      <c r="AC2853" s="4">
        <f>IFERROR(__xludf.DUMMYFUNCTION("IFERROR(ABS(O2853-AVERAGE(FILTER(O2853:O6921,AA2853:AA6921=""Neighbor""))) / STDEV(FILTER(O2853:O6921, AA2853:AA6921 =""Neighbor"")), """")"),1.0683626046305064)</f>
        <v>1.068362605</v>
      </c>
      <c r="AD2853" s="4">
        <f>IFERROR(__xludf.DUMMYFUNCTION("IFERROR(ABS(P2853-AVERAGE(FILTER(O2853:P6921,AA2853:AA6921=""Neighbor""))) / STDEV(FILTER(P2853:P6921, AA2853:AA6921 =""Neighbor"")), """")"),0.9186844503270941)</f>
        <v>0.9186844503</v>
      </c>
      <c r="AE2853" s="2">
        <f>IFERROR(__xludf.DUMMYFUNCTION("IFERROR(ABS(Q2853-AVERAGE(FILTER(Q2853:Q6921,AA2853:AA6921=""Neighbor""))) / STDEV(FILTER(Q2853:Q6921, AA2853:AA6921 =""Neighbor"")), """")"),0.6230012364702652)</f>
        <v>0.6230012365</v>
      </c>
      <c r="AF2853" s="2">
        <f>IFERROR(__xludf.DUMMYFUNCTION("IFERROR(ABS(R2853-AVERAGE(FILTER(R2853:R6921,AA2853:AA6921=""Neighbor""))) / STDEV(FILTER(R2853:R6921, AA2853:AA6921 =""Neighbor"")), """")"),0.34005200712255457)</f>
        <v>0.3400520071</v>
      </c>
    </row>
    <row r="2854">
      <c r="A2854" s="2" t="s">
        <v>28</v>
      </c>
      <c r="B2854" s="2" t="s">
        <v>1711</v>
      </c>
      <c r="C2854" s="2" t="s">
        <v>2534</v>
      </c>
      <c r="D2854" s="2" t="s">
        <v>11664</v>
      </c>
      <c r="E2854" s="2" t="s">
        <v>11665</v>
      </c>
      <c r="F2854" s="2">
        <v>22.0</v>
      </c>
      <c r="G2854" s="2">
        <v>58.0</v>
      </c>
      <c r="H2854" s="2" t="b">
        <v>1</v>
      </c>
      <c r="I2854" s="2">
        <v>-1.0</v>
      </c>
      <c r="J2854" s="2" t="b">
        <v>0</v>
      </c>
      <c r="K2854" s="2" t="b">
        <v>0</v>
      </c>
      <c r="L2854" s="2" t="b">
        <v>0</v>
      </c>
      <c r="M2854" s="2" t="b">
        <v>0</v>
      </c>
      <c r="N2854" s="2" t="s">
        <v>33</v>
      </c>
      <c r="O2854" s="2">
        <v>9.0</v>
      </c>
      <c r="P2854" s="2">
        <v>12.0</v>
      </c>
      <c r="Q2854" s="2">
        <v>0.0</v>
      </c>
      <c r="R2854" s="2">
        <v>0.0</v>
      </c>
      <c r="S2854" s="3" t="s">
        <v>11666</v>
      </c>
      <c r="T2854" s="2" t="s">
        <v>11667</v>
      </c>
      <c r="Y2854" s="4" t="str">
        <f>IFERROR(__xludf.DUMMYFUNCTION("""COMPUTED_VALUE"""),"6.5542352")</f>
        <v>6.5542352</v>
      </c>
      <c r="Z2854" s="4" t="str">
        <f>IFERROR(__xludf.DUMMYFUNCTION("""COMPUTED_VALUE"""),"3.123769")</f>
        <v>3.123769</v>
      </c>
      <c r="AA2854" s="4" t="str">
        <f t="shared" si="1"/>
        <v>Not Neighbor</v>
      </c>
      <c r="AC2854" s="4">
        <f>IFERROR(__xludf.DUMMYFUNCTION("IFERROR(ABS(O2854-AVERAGE(FILTER(O2854:O6922,AA2854:AA6922=""Neighbor""))) / STDEV(FILTER(O2854:O6922, AA2854:AA6922 =""Neighbor"")), """")"),1.1230334751380568)</f>
        <v>1.123033475</v>
      </c>
      <c r="AD2854" s="4">
        <f>IFERROR(__xludf.DUMMYFUNCTION("IFERROR(ABS(P2854-AVERAGE(FILTER(O2854:P6922,AA2854:AA6922=""Neighbor""))) / STDEV(FILTER(P2854:P6922, AA2854:AA6922 =""Neighbor"")), """")"),0.8778437868554532)</f>
        <v>0.8778437869</v>
      </c>
      <c r="AE2854" s="2">
        <f>IFERROR(__xludf.DUMMYFUNCTION("IFERROR(ABS(Q2854-AVERAGE(FILTER(Q2854:Q6922,AA2854:AA6922=""Neighbor""))) / STDEV(FILTER(Q2854:Q6922, AA2854:AA6922 =""Neighbor"")), """")"),0.8479774319105158)</f>
        <v>0.8479774319</v>
      </c>
      <c r="AF2854" s="2">
        <f>IFERROR(__xludf.DUMMYFUNCTION("IFERROR(ABS(R2854-AVERAGE(FILTER(R2854:R6922,AA2854:AA6922=""Neighbor""))) / STDEV(FILTER(R2854:R6922, AA2854:AA6922 =""Neighbor"")), """")"),0.34005200712255457)</f>
        <v>0.3400520071</v>
      </c>
    </row>
    <row r="2855">
      <c r="A2855" s="2" t="s">
        <v>28</v>
      </c>
      <c r="B2855" s="2" t="s">
        <v>1711</v>
      </c>
      <c r="C2855" s="2" t="s">
        <v>2534</v>
      </c>
      <c r="D2855" s="2" t="s">
        <v>11668</v>
      </c>
      <c r="E2855" s="2" t="s">
        <v>11669</v>
      </c>
      <c r="F2855" s="2">
        <v>204.0</v>
      </c>
      <c r="G2855" s="2">
        <v>361.0</v>
      </c>
      <c r="H2855" s="2" t="b">
        <v>1</v>
      </c>
      <c r="I2855" s="2">
        <v>-1.0</v>
      </c>
      <c r="J2855" s="2" t="b">
        <v>0</v>
      </c>
      <c r="K2855" s="2" t="b">
        <v>0</v>
      </c>
      <c r="L2855" s="2" t="b">
        <v>0</v>
      </c>
      <c r="M2855" s="2" t="b">
        <v>0</v>
      </c>
      <c r="N2855" s="2" t="s">
        <v>33</v>
      </c>
      <c r="O2855" s="2">
        <v>48.0</v>
      </c>
      <c r="P2855" s="2">
        <v>127.0</v>
      </c>
      <c r="Q2855" s="2">
        <v>8.0</v>
      </c>
      <c r="R2855" s="2">
        <v>0.0</v>
      </c>
      <c r="S2855" s="3" t="s">
        <v>11670</v>
      </c>
      <c r="T2855" s="2" t="s">
        <v>11671</v>
      </c>
      <c r="Y2855" s="4" t="str">
        <f>IFERROR(__xludf.DUMMYFUNCTION("""COMPUTED_VALUE"""),"6.5368856")</f>
        <v>6.5368856</v>
      </c>
      <c r="Z2855" s="4" t="str">
        <f>IFERROR(__xludf.DUMMYFUNCTION("""COMPUTED_VALUE"""),"3.1296348")</f>
        <v>3.1296348</v>
      </c>
      <c r="AA2855" s="4" t="str">
        <f t="shared" si="1"/>
        <v>Neighbor</v>
      </c>
      <c r="AC2855" s="4">
        <f>IFERROR(__xludf.DUMMYFUNCTION("IFERROR(ABS(O2855-AVERAGE(FILTER(O2855:O6923,AA2855:AA6923=""Neighbor""))) / STDEV(FILTER(O2855:O6923, AA2855:AA6923 =""Neighbor"")), """")"),0.013105590579953379)</f>
        <v>0.01310559058</v>
      </c>
      <c r="AD2855" s="4">
        <f>IFERROR(__xludf.DUMMYFUNCTION("IFERROR(ABS(P2855-AVERAGE(FILTER(O2855:P6923,AA2855:AA6923=""Neighbor""))) / STDEV(FILTER(P2855:P6923, AA2855:AA6923 =""Neighbor"")), """")"),3.8188325123832634)</f>
        <v>3.818832512</v>
      </c>
      <c r="AE2855" s="2">
        <f>IFERROR(__xludf.DUMMYFUNCTION("IFERROR(ABS(Q2855-AVERAGE(FILTER(Q2855:Q6923,AA2855:AA6923=""Neighbor""))) / STDEV(FILTER(Q2855:Q6923, AA2855:AA6923 =""Neighbor"")), """")"),0.3980250410300145)</f>
        <v>0.398025041</v>
      </c>
      <c r="AF2855" s="2">
        <f>IFERROR(__xludf.DUMMYFUNCTION("IFERROR(ABS(R2855-AVERAGE(FILTER(R2855:R6923,AA2855:AA6923=""Neighbor""))) / STDEV(FILTER(R2855:R6923, AA2855:AA6923 =""Neighbor"")), """")"),0.34005200712255457)</f>
        <v>0.3400520071</v>
      </c>
    </row>
    <row r="2856">
      <c r="A2856" s="2" t="s">
        <v>28</v>
      </c>
      <c r="B2856" s="2" t="s">
        <v>1711</v>
      </c>
      <c r="C2856" s="2" t="s">
        <v>2534</v>
      </c>
      <c r="D2856" s="2" t="s">
        <v>11672</v>
      </c>
      <c r="E2856" s="2" t="s">
        <v>11673</v>
      </c>
      <c r="F2856" s="2">
        <v>199.0</v>
      </c>
      <c r="G2856" s="2">
        <v>750.0</v>
      </c>
      <c r="H2856" s="2" t="b">
        <v>1</v>
      </c>
      <c r="I2856" s="2">
        <v>-1.0</v>
      </c>
      <c r="J2856" s="2" t="b">
        <v>0</v>
      </c>
      <c r="K2856" s="2" t="b">
        <v>0</v>
      </c>
      <c r="L2856" s="2" t="b">
        <v>0</v>
      </c>
      <c r="M2856" s="2" t="b">
        <v>0</v>
      </c>
      <c r="N2856" s="2" t="s">
        <v>33</v>
      </c>
      <c r="O2856" s="2">
        <v>156.0</v>
      </c>
      <c r="P2856" s="2">
        <v>26.0</v>
      </c>
      <c r="Q2856" s="2">
        <v>9.0</v>
      </c>
      <c r="R2856" s="2">
        <v>0.0</v>
      </c>
      <c r="S2856" s="3" t="s">
        <v>11674</v>
      </c>
      <c r="T2856" s="2" t="s">
        <v>11675</v>
      </c>
      <c r="Y2856" s="4" t="str">
        <f>IFERROR(__xludf.DUMMYFUNCTION("""COMPUTED_VALUE"""),"6.5286101")</f>
        <v>6.5286101</v>
      </c>
      <c r="Z2856" s="4" t="str">
        <f>IFERROR(__xludf.DUMMYFUNCTION("""COMPUTED_VALUE"""),"3.1353091")</f>
        <v>3.1353091</v>
      </c>
      <c r="AA2856" s="4" t="str">
        <f t="shared" si="1"/>
        <v>Not Neighbor</v>
      </c>
      <c r="AC2856" s="4">
        <f>IFERROR(__xludf.DUMMYFUNCTION("IFERROR(ABS(O2856-AVERAGE(FILTER(O2856:O6924,AA2856:AA6924=""Neighbor""))) / STDEV(FILTER(O2856:O6924, AA2856:AA6924 =""Neighbor"")), """")"),3.0570477264395337)</f>
        <v>3.057047726</v>
      </c>
      <c r="AD2856" s="4">
        <f>IFERROR(__xludf.DUMMYFUNCTION("IFERROR(ABS(P2856-AVERAGE(FILTER(O2856:P6924,AA2856:AA6924=""Neighbor""))) / STDEV(FILTER(P2856:P6924, AA2856:AA6924 =""Neighbor"")), """")"),0.30766740291282113)</f>
        <v>0.3076674029</v>
      </c>
      <c r="AE2856" s="2">
        <f>IFERROR(__xludf.DUMMYFUNCTION("IFERROR(ABS(Q2856-AVERAGE(FILTER(Q2856:Q6924,AA2856:AA6924=""Neighbor""))) / STDEV(FILTER(Q2856:Q6924, AA2856:AA6924 =""Neighbor"")), """")"),0.3423551317343687)</f>
        <v>0.3423551317</v>
      </c>
      <c r="AF2856" s="2">
        <f>IFERROR(__xludf.DUMMYFUNCTION("IFERROR(ABS(R2856-AVERAGE(FILTER(R2856:R6924,AA2856:AA6924=""Neighbor""))) / STDEV(FILTER(R2856:R6924, AA2856:AA6924 =""Neighbor"")), """")"),0.3404802343715416)</f>
        <v>0.3404802344</v>
      </c>
    </row>
    <row r="2857">
      <c r="A2857" s="2" t="s">
        <v>28</v>
      </c>
      <c r="B2857" s="2" t="s">
        <v>1711</v>
      </c>
      <c r="C2857" s="2" t="s">
        <v>1980</v>
      </c>
      <c r="D2857" s="2" t="s">
        <v>11676</v>
      </c>
      <c r="E2857" s="2" t="s">
        <v>11677</v>
      </c>
      <c r="F2857" s="2">
        <v>100.0</v>
      </c>
      <c r="G2857" s="2">
        <v>190.0</v>
      </c>
      <c r="H2857" s="2" t="b">
        <v>1</v>
      </c>
      <c r="I2857" s="2">
        <v>-1.0</v>
      </c>
      <c r="J2857" s="2" t="b">
        <v>0</v>
      </c>
      <c r="K2857" s="2" t="b">
        <v>1</v>
      </c>
      <c r="L2857" s="2" t="b">
        <v>0</v>
      </c>
      <c r="M2857" s="2" t="b">
        <v>0</v>
      </c>
      <c r="N2857" s="2" t="s">
        <v>33</v>
      </c>
      <c r="O2857" s="2">
        <v>57.0</v>
      </c>
      <c r="P2857" s="2">
        <v>11.0</v>
      </c>
      <c r="Q2857" s="2">
        <v>9.0</v>
      </c>
      <c r="R2857" s="2">
        <v>0.0</v>
      </c>
      <c r="S2857" s="3" t="s">
        <v>11678</v>
      </c>
      <c r="T2857" s="2" t="s">
        <v>11679</v>
      </c>
      <c r="Y2857" s="4" t="str">
        <f>IFERROR(__xludf.DUMMYFUNCTION("""COMPUTED_VALUE"""),"6.6204086")</f>
        <v>6.6204086</v>
      </c>
      <c r="Z2857" s="4" t="str">
        <f>IFERROR(__xludf.DUMMYFUNCTION("""COMPUTED_VALUE"""),"3.2810533")</f>
        <v>3.2810533</v>
      </c>
      <c r="AA2857" s="4" t="str">
        <f t="shared" si="1"/>
        <v>Not Neighbor</v>
      </c>
      <c r="AC2857" s="4">
        <f>IFERROR(__xludf.DUMMYFUNCTION("IFERROR(ABS(O2857-AVERAGE(FILTER(O2857:O6925,AA2857:AA6925=""Neighbor""))) / STDEV(FILTER(O2857:O6925, AA2857:AA6925 =""Neighbor"")), """")"),0.24272696540399735)</f>
        <v>0.2427269654</v>
      </c>
      <c r="AD2857" s="4">
        <f>IFERROR(__xludf.DUMMYFUNCTION("IFERROR(ABS(P2857-AVERAGE(FILTER(O2857:P6925,AA2857:AA6925=""Neighbor""))) / STDEV(FILTER(P2857:P6925, AA2857:AA6925 =""Neighbor"")), """")"),0.9336716629441248)</f>
        <v>0.9336716629</v>
      </c>
      <c r="AE2857" s="2">
        <f>IFERROR(__xludf.DUMMYFUNCTION("IFERROR(ABS(Q2857-AVERAGE(FILTER(Q2857:Q6925,AA2857:AA6925=""Neighbor""))) / STDEV(FILTER(Q2857:Q6925, AA2857:AA6925 =""Neighbor"")), """")"),0.3423551317343687)</f>
        <v>0.3423551317</v>
      </c>
      <c r="AF2857" s="2">
        <f>IFERROR(__xludf.DUMMYFUNCTION("IFERROR(ABS(R2857-AVERAGE(FILTER(R2857:R6925,AA2857:AA6925=""Neighbor""))) / STDEV(FILTER(R2857:R6925, AA2857:AA6925 =""Neighbor"")), """")"),0.3404802343715416)</f>
        <v>0.3404802344</v>
      </c>
    </row>
    <row r="2858">
      <c r="A2858" s="2" t="s">
        <v>28</v>
      </c>
      <c r="B2858" s="2" t="s">
        <v>1711</v>
      </c>
      <c r="C2858" s="2" t="s">
        <v>1980</v>
      </c>
      <c r="D2858" s="2" t="s">
        <v>11680</v>
      </c>
      <c r="E2858" s="2" t="s">
        <v>11681</v>
      </c>
      <c r="F2858" s="2">
        <v>109.0</v>
      </c>
      <c r="G2858" s="2">
        <v>234.0</v>
      </c>
      <c r="H2858" s="2" t="b">
        <v>1</v>
      </c>
      <c r="I2858" s="2">
        <v>-1.0</v>
      </c>
      <c r="J2858" s="2" t="b">
        <v>0</v>
      </c>
      <c r="K2858" s="2" t="b">
        <v>0</v>
      </c>
      <c r="L2858" s="2" t="b">
        <v>0</v>
      </c>
      <c r="M2858" s="2" t="b">
        <v>0</v>
      </c>
      <c r="N2858" s="2" t="s">
        <v>33</v>
      </c>
      <c r="O2858" s="2">
        <v>76.0</v>
      </c>
      <c r="P2858" s="2">
        <v>9.0</v>
      </c>
      <c r="Q2858" s="2">
        <v>3.0</v>
      </c>
      <c r="R2858" s="2">
        <v>0.0</v>
      </c>
      <c r="S2858" s="3" t="s">
        <v>11682</v>
      </c>
      <c r="T2858" s="2" t="s">
        <v>11683</v>
      </c>
      <c r="Y2858" s="4" t="str">
        <f>IFERROR(__xludf.DUMMYFUNCTION("""COMPUTED_VALUE"""),"6.6989357")</f>
        <v>6.6989357</v>
      </c>
      <c r="Z2858" s="4" t="str">
        <f>IFERROR(__xludf.DUMMYFUNCTION("""COMPUTED_VALUE"""),"3.2812268")</f>
        <v>3.2812268</v>
      </c>
      <c r="AA2858" s="4" t="str">
        <f t="shared" si="1"/>
        <v>Neighbor</v>
      </c>
      <c r="AC2858" s="4">
        <f>IFERROR(__xludf.DUMMYFUNCTION("IFERROR(ABS(O2858-AVERAGE(FILTER(O2858:O6926,AA2858:AA6926=""Neighbor""))) / STDEV(FILTER(O2858:O6926, AA2858:AA6926 =""Neighbor"")), """")"),0.7828491316633427)</f>
        <v>0.7828491317</v>
      </c>
      <c r="AD2858" s="4">
        <f>IFERROR(__xludf.DUMMYFUNCTION("IFERROR(ABS(P2858-AVERAGE(FILTER(O2858:P6926,AA2858:AA6926=""Neighbor""))) / STDEV(FILTER(P2858:P6926, AA2858:AA6926 =""Neighbor"")), """")"),1.0171388976149653)</f>
        <v>1.017138898</v>
      </c>
      <c r="AE2858" s="2">
        <f>IFERROR(__xludf.DUMMYFUNCTION("IFERROR(ABS(Q2858-AVERAGE(FILTER(Q2858:Q6926,AA2858:AA6926=""Neighbor""))) / STDEV(FILTER(Q2858:Q6926, AA2858:AA6926 =""Neighbor"")), """")"),0.6794980241812851)</f>
        <v>0.6794980242</v>
      </c>
      <c r="AF2858" s="2">
        <f>IFERROR(__xludf.DUMMYFUNCTION("IFERROR(ABS(R2858-AVERAGE(FILTER(R2858:R6926,AA2858:AA6926=""Neighbor""))) / STDEV(FILTER(R2858:R6926, AA2858:AA6926 =""Neighbor"")), """")"),0.3404802343715416)</f>
        <v>0.3404802344</v>
      </c>
    </row>
    <row r="2859">
      <c r="A2859" s="2" t="s">
        <v>28</v>
      </c>
      <c r="B2859" s="2" t="s">
        <v>1711</v>
      </c>
      <c r="C2859" s="2" t="s">
        <v>1980</v>
      </c>
      <c r="D2859" s="2" t="s">
        <v>11684</v>
      </c>
      <c r="E2859" s="2" t="s">
        <v>11685</v>
      </c>
      <c r="F2859" s="2">
        <v>155.0</v>
      </c>
      <c r="G2859" s="2">
        <v>750.0</v>
      </c>
      <c r="H2859" s="2" t="b">
        <v>1</v>
      </c>
      <c r="I2859" s="2">
        <v>-1.0</v>
      </c>
      <c r="J2859" s="2" t="b">
        <v>0</v>
      </c>
      <c r="K2859" s="2" t="b">
        <v>0</v>
      </c>
      <c r="L2859" s="2" t="b">
        <v>0</v>
      </c>
      <c r="M2859" s="2" t="b">
        <v>0</v>
      </c>
      <c r="N2859" s="2" t="s">
        <v>33</v>
      </c>
      <c r="O2859" s="2">
        <v>115.0</v>
      </c>
      <c r="P2859" s="2">
        <v>18.0</v>
      </c>
      <c r="Q2859" s="2">
        <v>15.0</v>
      </c>
      <c r="R2859" s="2">
        <v>1.0</v>
      </c>
      <c r="S2859" s="3" t="s">
        <v>11686</v>
      </c>
      <c r="T2859" s="2" t="s">
        <v>11687</v>
      </c>
      <c r="Y2859" s="4" t="str">
        <f>IFERROR(__xludf.DUMMYFUNCTION("""COMPUTED_VALUE"""),"6.6992116")</f>
        <v>6.6992116</v>
      </c>
      <c r="Z2859" s="4" t="str">
        <f>IFERROR(__xludf.DUMMYFUNCTION("""COMPUTED_VALUE"""),"3.2875725")</f>
        <v>3.2875725</v>
      </c>
      <c r="AA2859" s="4" t="str">
        <f t="shared" si="1"/>
        <v>Not Neighbor</v>
      </c>
      <c r="AC2859" s="4">
        <f>IFERROR(__xludf.DUMMYFUNCTION("IFERROR(ABS(O2859-AVERAGE(FILTER(O2859:O6927,AA2859:AA6927=""Neighbor""))) / STDEV(FILTER(O2859:O6927, AA2859:AA6927 =""Neighbor"")), """")"),1.8924667131470008)</f>
        <v>1.892466713</v>
      </c>
      <c r="AD2859" s="4">
        <f>IFERROR(__xludf.DUMMYFUNCTION("IFERROR(ABS(P2859-AVERAGE(FILTER(O2859:P6927,AA2859:AA6927=""Neighbor""))) / STDEV(FILTER(P2859:P6927, AA2859:AA6927 =""Neighbor"")), """")"),0.6400549090322282)</f>
        <v>0.640054909</v>
      </c>
      <c r="AE2859" s="2">
        <f>IFERROR(__xludf.DUMMYFUNCTION("IFERROR(ABS(Q2859-AVERAGE(FILTER(Q2859:Q6927,AA2859:AA6927=""Neighbor""))) / STDEV(FILTER(Q2859:Q6927, AA2859:AA6927 =""Neighbor"")), """")"),0.006748932202313435)</f>
        <v>0.006748932202</v>
      </c>
      <c r="AF2859" s="2">
        <f>IFERROR(__xludf.DUMMYFUNCTION("IFERROR(ABS(R2859-AVERAGE(FILTER(R2859:R6927,AA2859:AA6927=""Neighbor""))) / STDEV(FILTER(R2859:R6927, AA2859:AA6927 =""Neighbor"")), """")"),0.7645409971084578)</f>
        <v>0.7645409971</v>
      </c>
    </row>
    <row r="2860">
      <c r="A2860" s="2" t="s">
        <v>28</v>
      </c>
      <c r="B2860" s="2" t="s">
        <v>1711</v>
      </c>
      <c r="C2860" s="2" t="s">
        <v>1980</v>
      </c>
      <c r="D2860" s="2" t="s">
        <v>11688</v>
      </c>
      <c r="E2860" s="2" t="s">
        <v>11689</v>
      </c>
      <c r="F2860" s="2">
        <v>312.0</v>
      </c>
      <c r="G2860" s="2">
        <v>607.0</v>
      </c>
      <c r="H2860" s="2" t="b">
        <v>1</v>
      </c>
      <c r="I2860" s="2">
        <v>-1.0</v>
      </c>
      <c r="J2860" s="2" t="b">
        <v>0</v>
      </c>
      <c r="K2860" s="2" t="b">
        <v>0</v>
      </c>
      <c r="L2860" s="2" t="b">
        <v>0</v>
      </c>
      <c r="M2860" s="2" t="b">
        <v>0</v>
      </c>
      <c r="N2860" s="2" t="s">
        <v>33</v>
      </c>
      <c r="O2860" s="2">
        <v>227.0</v>
      </c>
      <c r="P2860" s="2">
        <v>43.0</v>
      </c>
      <c r="Q2860" s="2">
        <v>18.0</v>
      </c>
      <c r="R2860" s="2">
        <v>3.0</v>
      </c>
      <c r="S2860" s="3" t="s">
        <v>11690</v>
      </c>
      <c r="T2860" s="2" t="s">
        <v>11691</v>
      </c>
      <c r="Y2860" s="4" t="str">
        <f>IFERROR(__xludf.DUMMYFUNCTION("""COMPUTED_VALUE"""),"6.7189461")</f>
        <v>6.7189461</v>
      </c>
      <c r="Z2860" s="4" t="str">
        <f>IFERROR(__xludf.DUMMYFUNCTION("""COMPUTED_VALUE"""),"3.2768267")</f>
        <v>3.2768267</v>
      </c>
      <c r="AA2860" s="4" t="str">
        <f t="shared" si="1"/>
        <v>Not Neighbor</v>
      </c>
      <c r="AC2860" s="4">
        <f>IFERROR(__xludf.DUMMYFUNCTION("IFERROR(ABS(O2860-AVERAGE(FILTER(O2860:O6928,AA2860:AA6928=""Neighbor""))) / STDEV(FILTER(O2860:O6928, AA2860:AA6928 =""Neighbor"")), """")"),5.074949975404215)</f>
        <v>5.074949975</v>
      </c>
      <c r="AD2860" s="4">
        <f>IFERROR(__xludf.DUMMYFUNCTION("IFERROR(ABS(P2860-AVERAGE(FILTER(O2860:P6928,AA2860:AA6928=""Neighbor""))) / STDEV(FILTER(P2860:P6928, AA2860:AA6928 =""Neighbor"")), """")"),0.40227971018199876)</f>
        <v>0.4022797102</v>
      </c>
      <c r="AE2860" s="2">
        <f>IFERROR(__xludf.DUMMYFUNCTION("IFERROR(ABS(Q2860-AVERAGE(FILTER(Q2860:Q6928,AA2860:AA6928=""Neighbor""))) / STDEV(FILTER(Q2860:Q6928, AA2860:AA6928 =""Neighbor"")), """")"),0.16171969616864365)</f>
        <v>0.1617196962</v>
      </c>
      <c r="AF2860" s="2">
        <f>IFERROR(__xludf.DUMMYFUNCTION("IFERROR(ABS(R2860-AVERAGE(FILTER(R2860:R6928,AA2860:AA6928=""Neighbor""))) / STDEV(FILTER(R2860:R6928, AA2860:AA6928 =""Neighbor"")), """")"),2.9754431592384902)</f>
        <v>2.975443159</v>
      </c>
    </row>
    <row r="2861">
      <c r="A2861" s="2" t="s">
        <v>28</v>
      </c>
      <c r="B2861" s="2" t="s">
        <v>1711</v>
      </c>
      <c r="C2861" s="2" t="s">
        <v>1980</v>
      </c>
      <c r="D2861" s="2" t="s">
        <v>11692</v>
      </c>
      <c r="E2861" s="2" t="s">
        <v>11693</v>
      </c>
      <c r="F2861" s="2">
        <v>197.0</v>
      </c>
      <c r="G2861" s="2">
        <v>503.0</v>
      </c>
      <c r="H2861" s="2" t="b">
        <v>1</v>
      </c>
      <c r="I2861" s="2">
        <v>-1.0</v>
      </c>
      <c r="J2861" s="2" t="b">
        <v>0</v>
      </c>
      <c r="K2861" s="2" t="b">
        <v>0</v>
      </c>
      <c r="L2861" s="2" t="b">
        <v>0</v>
      </c>
      <c r="M2861" s="2" t="b">
        <v>0</v>
      </c>
      <c r="N2861" s="2" t="s">
        <v>33</v>
      </c>
      <c r="O2861" s="2">
        <v>90.0</v>
      </c>
      <c r="P2861" s="2">
        <v>89.0</v>
      </c>
      <c r="Q2861" s="2">
        <v>9.0</v>
      </c>
      <c r="R2861" s="2">
        <v>2.0</v>
      </c>
      <c r="S2861" s="3" t="s">
        <v>11694</v>
      </c>
      <c r="T2861" s="2" t="s">
        <v>11695</v>
      </c>
      <c r="Y2861" s="4" t="str">
        <f>IFERROR(__xludf.DUMMYFUNCTION("""COMPUTED_VALUE"""),"6.7400737")</f>
        <v>6.7400737</v>
      </c>
      <c r="Z2861" s="4" t="str">
        <f>IFERROR(__xludf.DUMMYFUNCTION("""COMPUTED_VALUE"""),"3.2513102")</f>
        <v>3.2513102</v>
      </c>
      <c r="AA2861" s="4" t="str">
        <f t="shared" si="1"/>
        <v>Not Neighbor</v>
      </c>
      <c r="AC2861" s="4">
        <f>IFERROR(__xludf.DUMMYFUNCTION("IFERROR(ABS(O2861-AVERAGE(FILTER(O2861:O6929,AA2861:AA6929=""Neighbor""))) / STDEV(FILTER(O2861:O6929, AA2861:AA6929 =""Neighbor"")), """")"),1.1820909849645864)</f>
        <v>1.182090985</v>
      </c>
      <c r="AD2861" s="4">
        <f>IFERROR(__xludf.DUMMYFUNCTION("IFERROR(ABS(P2861-AVERAGE(FILTER(O2861:P6929,AA2861:AA6929=""Neighbor""))) / STDEV(FILTER(P2861:P6929, AA2861:AA6929 =""Neighbor"")), """")"),2.3201754095361764)</f>
        <v>2.32017541</v>
      </c>
      <c r="AE2861" s="2">
        <f>IFERROR(__xludf.DUMMYFUNCTION("IFERROR(ABS(Q2861-AVERAGE(FILTER(Q2861:Q6929,AA2861:AA6929=""Neighbor""))) / STDEV(FILTER(Q2861:Q6929, AA2861:AA6929 =""Neighbor"")), """")"),0.3436861889442276)</f>
        <v>0.3436861889</v>
      </c>
      <c r="AF2861" s="2">
        <f>IFERROR(__xludf.DUMMYFUNCTION("IFERROR(ABS(R2861-AVERAGE(FILTER(R2861:R6929,AA2861:AA6929=""Neighbor""))) / STDEV(FILTER(R2861:R6929, AA2861:AA6929 =""Neighbor"")), """")"),1.869992078173474)</f>
        <v>1.869992078</v>
      </c>
    </row>
    <row r="2862">
      <c r="A2862" s="2" t="s">
        <v>28</v>
      </c>
      <c r="B2862" s="2" t="s">
        <v>1711</v>
      </c>
      <c r="C2862" s="2" t="s">
        <v>1980</v>
      </c>
      <c r="D2862" s="2" t="s">
        <v>11696</v>
      </c>
      <c r="E2862" s="2" t="s">
        <v>11697</v>
      </c>
      <c r="F2862" s="2">
        <v>119.0</v>
      </c>
      <c r="G2862" s="2">
        <v>750.0</v>
      </c>
      <c r="H2862" s="2" t="b">
        <v>1</v>
      </c>
      <c r="I2862" s="2">
        <v>-1.0</v>
      </c>
      <c r="J2862" s="2" t="b">
        <v>0</v>
      </c>
      <c r="K2862" s="2" t="b">
        <v>0</v>
      </c>
      <c r="L2862" s="2" t="b">
        <v>0</v>
      </c>
      <c r="M2862" s="2" t="b">
        <v>0</v>
      </c>
      <c r="N2862" s="2" t="s">
        <v>33</v>
      </c>
      <c r="O2862" s="2">
        <v>78.0</v>
      </c>
      <c r="P2862" s="2">
        <v>13.0</v>
      </c>
      <c r="Q2862" s="2">
        <v>8.0</v>
      </c>
      <c r="R2862" s="2">
        <v>1.0</v>
      </c>
      <c r="S2862" s="3" t="s">
        <v>11698</v>
      </c>
      <c r="T2862" s="2" t="s">
        <v>11699</v>
      </c>
      <c r="Y2862" s="4" t="str">
        <f>IFERROR(__xludf.DUMMYFUNCTION("""COMPUTED_VALUE"""),"6.7034271")</f>
        <v>6.7034271</v>
      </c>
      <c r="Z2862" s="4" t="str">
        <f>IFERROR(__xludf.DUMMYFUNCTION("""COMPUTED_VALUE"""),"3.2749236")</f>
        <v>3.2749236</v>
      </c>
      <c r="AA2862" s="4" t="str">
        <f t="shared" si="1"/>
        <v>Not Neighbor</v>
      </c>
      <c r="AC2862" s="4">
        <f>IFERROR(__xludf.DUMMYFUNCTION("IFERROR(ABS(O2862-AVERAGE(FILTER(O2862:O6930,AA2862:AA6930=""Neighbor""))) / STDEV(FILTER(O2862:O6930, AA2862:AA6930 =""Neighbor"")), """")"),0.8411106354370278)</f>
        <v>0.8411106354</v>
      </c>
      <c r="AD2862" s="4">
        <f>IFERROR(__xludf.DUMMYFUNCTION("IFERROR(ABS(P2862-AVERAGE(FILTER(O2862:P6930,AA2862:AA6930=""Neighbor""))) / STDEV(FILTER(P2862:P6930, AA2862:AA6930 =""Neighbor"")), """")"),0.8485218328750735)</f>
        <v>0.8485218329</v>
      </c>
      <c r="AE2862" s="2">
        <f>IFERROR(__xludf.DUMMYFUNCTION("IFERROR(ABS(Q2862-AVERAGE(FILTER(Q2862:Q6930,AA2862:AA6930=""Neighbor""))) / STDEV(FILTER(Q2862:Q6930, AA2862:AA6930 =""Neighbor"")), """")"),0.39984239840121333)</f>
        <v>0.3998423984</v>
      </c>
      <c r="AF2862" s="2">
        <f>IFERROR(__xludf.DUMMYFUNCTION("IFERROR(ABS(R2862-AVERAGE(FILTER(R2862:R6930,AA2862:AA6930=""Neighbor""))) / STDEV(FILTER(R2862:R6930, AA2862:AA6930 =""Neighbor"")), """")"),0.7645409971084578)</f>
        <v>0.7645409971</v>
      </c>
    </row>
    <row r="2863">
      <c r="A2863" s="2" t="s">
        <v>28</v>
      </c>
      <c r="B2863" s="2" t="s">
        <v>1711</v>
      </c>
      <c r="C2863" s="2" t="s">
        <v>1980</v>
      </c>
      <c r="D2863" s="2" t="s">
        <v>11700</v>
      </c>
      <c r="E2863" s="2" t="s">
        <v>11701</v>
      </c>
      <c r="F2863" s="2">
        <v>115.0</v>
      </c>
      <c r="G2863" s="2">
        <v>750.0</v>
      </c>
      <c r="H2863" s="2" t="b">
        <v>1</v>
      </c>
      <c r="I2863" s="2">
        <v>-1.0</v>
      </c>
      <c r="J2863" s="2" t="b">
        <v>1</v>
      </c>
      <c r="K2863" s="2" t="b">
        <v>0</v>
      </c>
      <c r="L2863" s="2" t="b">
        <v>0</v>
      </c>
      <c r="M2863" s="2" t="b">
        <v>0</v>
      </c>
      <c r="N2863" s="2" t="s">
        <v>33</v>
      </c>
      <c r="O2863" s="2">
        <v>80.0</v>
      </c>
      <c r="P2863" s="2">
        <v>9.0</v>
      </c>
      <c r="Q2863" s="2">
        <v>19.0</v>
      </c>
      <c r="R2863" s="2">
        <v>1.0</v>
      </c>
      <c r="S2863" s="3" t="s">
        <v>11702</v>
      </c>
      <c r="T2863" s="2" t="s">
        <v>11703</v>
      </c>
      <c r="Y2863" s="4" t="str">
        <f>IFERROR(__xludf.DUMMYFUNCTION("""COMPUTED_VALUE"""),"6.7429921")</f>
        <v>6.7429921</v>
      </c>
      <c r="Z2863" s="4" t="str">
        <f>IFERROR(__xludf.DUMMYFUNCTION("""COMPUTED_VALUE"""),"3.2666287")</f>
        <v>3.2666287</v>
      </c>
      <c r="AA2863" s="4" t="str">
        <f t="shared" si="1"/>
        <v>Not Neighbor</v>
      </c>
      <c r="AC2863" s="4">
        <f>IFERROR(__xludf.DUMMYFUNCTION("IFERROR(ABS(O2863-AVERAGE(FILTER(O2863:O6931,AA2863:AA6931=""Neighbor""))) / STDEV(FILTER(O2863:O6931, AA2863:AA6931 =""Neighbor"")), """")"),0.8979406936916209)</f>
        <v>0.8979406937</v>
      </c>
      <c r="AD2863" s="4">
        <f>IFERROR(__xludf.DUMMYFUNCTION("IFERROR(ABS(P2863-AVERAGE(FILTER(O2863:P6931,AA2863:AA6931=""Neighbor""))) / STDEV(FILTER(P2863:P6931, AA2863:AA6931 =""Neighbor"")), """")"),1.0152953719493498)</f>
        <v>1.015295372</v>
      </c>
      <c r="AE2863" s="2">
        <f>IFERROR(__xludf.DUMMYFUNCTION("IFERROR(ABS(Q2863-AVERAGE(FILTER(Q2863:Q6931,AA2863:AA6931=""Neighbor""))) / STDEV(FILTER(Q2863:Q6931, AA2863:AA6931 =""Neighbor"")), """")"),0.21787590562562936)</f>
        <v>0.2178759056</v>
      </c>
      <c r="AF2863" s="2">
        <f>IFERROR(__xludf.DUMMYFUNCTION("IFERROR(ABS(R2863-AVERAGE(FILTER(R2863:R6931,AA2863:AA6931=""Neighbor""))) / STDEV(FILTER(R2863:R6931, AA2863:AA6931 =""Neighbor"")), """")"),0.7645409971084578)</f>
        <v>0.7645409971</v>
      </c>
    </row>
    <row r="2864">
      <c r="A2864" s="2" t="s">
        <v>28</v>
      </c>
      <c r="B2864" s="2" t="s">
        <v>1711</v>
      </c>
      <c r="C2864" s="2" t="s">
        <v>1980</v>
      </c>
      <c r="D2864" s="2" t="s">
        <v>11704</v>
      </c>
      <c r="E2864" s="2" t="s">
        <v>11705</v>
      </c>
      <c r="F2864" s="2">
        <v>132.0</v>
      </c>
      <c r="G2864" s="2">
        <v>750.0</v>
      </c>
      <c r="H2864" s="2" t="b">
        <v>1</v>
      </c>
      <c r="I2864" s="2">
        <v>-1.0</v>
      </c>
      <c r="J2864" s="2" t="b">
        <v>0</v>
      </c>
      <c r="K2864" s="2" t="b">
        <v>0</v>
      </c>
      <c r="L2864" s="2" t="b">
        <v>0</v>
      </c>
      <c r="M2864" s="2" t="b">
        <v>0</v>
      </c>
      <c r="N2864" s="2" t="s">
        <v>33</v>
      </c>
      <c r="O2864" s="2">
        <v>95.0</v>
      </c>
      <c r="P2864" s="2">
        <v>9.0</v>
      </c>
      <c r="Q2864" s="2">
        <v>14.0</v>
      </c>
      <c r="R2864" s="2">
        <v>0.0</v>
      </c>
      <c r="S2864" s="3" t="s">
        <v>11706</v>
      </c>
      <c r="T2864" s="2" t="s">
        <v>11707</v>
      </c>
      <c r="Y2864" s="4" t="str">
        <f>IFERROR(__xludf.DUMMYFUNCTION("""COMPUTED_VALUE"""),"6.6928863")</f>
        <v>6.6928863</v>
      </c>
      <c r="Z2864" s="4" t="str">
        <f>IFERROR(__xludf.DUMMYFUNCTION("""COMPUTED_VALUE"""),"3.279134")</f>
        <v>3.279134</v>
      </c>
      <c r="AA2864" s="4" t="str">
        <f t="shared" si="1"/>
        <v>Not Neighbor</v>
      </c>
      <c r="AC2864" s="4">
        <f>IFERROR(__xludf.DUMMYFUNCTION("IFERROR(ABS(O2864-AVERAGE(FILTER(O2864:O6932,AA2864:AA6932=""Neighbor""))) / STDEV(FILTER(O2864:O6932, AA2864:AA6932 =""Neighbor"")), """")"),1.3241661306010692)</f>
        <v>1.324166131</v>
      </c>
      <c r="AD2864" s="4">
        <f>IFERROR(__xludf.DUMMYFUNCTION("IFERROR(ABS(P2864-AVERAGE(FILTER(O2864:P6932,AA2864:AA6932=""Neighbor""))) / STDEV(FILTER(P2864:P6932, AA2864:AA6932 =""Neighbor"")), """")"),1.0152953719493498)</f>
        <v>1.015295372</v>
      </c>
      <c r="AE2864" s="2">
        <f>IFERROR(__xludf.DUMMYFUNCTION("IFERROR(ABS(Q2864-AVERAGE(FILTER(Q2864:Q6932,AA2864:AA6932=""Neighbor""))) / STDEV(FILTER(Q2864:Q6932, AA2864:AA6932 =""Neighbor"")), """")"),0.06290514165929913)</f>
        <v>0.06290514166</v>
      </c>
      <c r="AF2864" s="2">
        <f>IFERROR(__xludf.DUMMYFUNCTION("IFERROR(ABS(R2864-AVERAGE(FILTER(R2864:R6932,AA2864:AA6932=""Neighbor""))) / STDEV(FILTER(R2864:R6932, AA2864:AA6932 =""Neighbor"")), """")"),0.34091008395655825)</f>
        <v>0.340910084</v>
      </c>
    </row>
    <row r="2865">
      <c r="A2865" s="2" t="s">
        <v>28</v>
      </c>
      <c r="B2865" s="2" t="s">
        <v>1711</v>
      </c>
      <c r="C2865" s="2" t="s">
        <v>1980</v>
      </c>
      <c r="D2865" s="2" t="s">
        <v>11708</v>
      </c>
      <c r="E2865" s="2" t="s">
        <v>11709</v>
      </c>
      <c r="F2865" s="2">
        <v>71.0</v>
      </c>
      <c r="G2865" s="2">
        <v>175.0</v>
      </c>
      <c r="H2865" s="2" t="b">
        <v>1</v>
      </c>
      <c r="I2865" s="2">
        <v>-1.0</v>
      </c>
      <c r="J2865" s="2" t="b">
        <v>0</v>
      </c>
      <c r="K2865" s="2" t="b">
        <v>0</v>
      </c>
      <c r="L2865" s="2" t="b">
        <v>0</v>
      </c>
      <c r="M2865" s="2" t="b">
        <v>0</v>
      </c>
      <c r="N2865" s="2" t="s">
        <v>33</v>
      </c>
      <c r="O2865" s="2">
        <v>39.0</v>
      </c>
      <c r="P2865" s="2">
        <v>14.0</v>
      </c>
      <c r="Q2865" s="2">
        <v>9.0</v>
      </c>
      <c r="R2865" s="2">
        <v>0.0</v>
      </c>
      <c r="S2865" s="3" t="s">
        <v>11710</v>
      </c>
      <c r="T2865" s="2" t="s">
        <v>11711</v>
      </c>
      <c r="Y2865" s="4" t="str">
        <f>IFERROR(__xludf.DUMMYFUNCTION("""COMPUTED_VALUE"""),"6.7429921")</f>
        <v>6.7429921</v>
      </c>
      <c r="Z2865" s="4" t="str">
        <f>IFERROR(__xludf.DUMMYFUNCTION("""COMPUTED_VALUE"""),"3.2666287")</f>
        <v>3.2666287</v>
      </c>
      <c r="AA2865" s="4" t="str">
        <f t="shared" si="1"/>
        <v>Not Neighbor</v>
      </c>
      <c r="AC2865" s="4">
        <f>IFERROR(__xludf.DUMMYFUNCTION("IFERROR(ABS(O2865-AVERAGE(FILTER(O2865:O6933,AA2865:AA6933=""Neighbor""))) / STDEV(FILTER(O2865:O6933, AA2865:AA6933 =""Neighbor"")), """")"),0.267075500527538)</f>
        <v>0.2670755005</v>
      </c>
      <c r="AD2865" s="4">
        <f>IFERROR(__xludf.DUMMYFUNCTION("IFERROR(ABS(P2865-AVERAGE(FILTER(O2865:P6933,AA2865:AA6933=""Neighbor""))) / STDEV(FILTER(P2865:P6933, AA2865:AA6933 =""Neighbor"")), """")"),0.8068284481065044)</f>
        <v>0.8068284481</v>
      </c>
      <c r="AE2865" s="2">
        <f>IFERROR(__xludf.DUMMYFUNCTION("IFERROR(ABS(Q2865-AVERAGE(FILTER(Q2865:Q6933,AA2865:AA6933=""Neighbor""))) / STDEV(FILTER(Q2865:Q6933, AA2865:AA6933 =""Neighbor"")), """")"),0.3436861889442276)</f>
        <v>0.3436861889</v>
      </c>
      <c r="AF2865" s="2">
        <f>IFERROR(__xludf.DUMMYFUNCTION("IFERROR(ABS(R2865-AVERAGE(FILTER(R2865:R6933,AA2865:AA6933=""Neighbor""))) / STDEV(FILTER(R2865:R6933, AA2865:AA6933 =""Neighbor"")), """")"),0.34091008395655825)</f>
        <v>0.340910084</v>
      </c>
    </row>
    <row r="2866">
      <c r="A2866" s="2" t="s">
        <v>28</v>
      </c>
      <c r="B2866" s="2" t="s">
        <v>1711</v>
      </c>
      <c r="C2866" s="2" t="s">
        <v>1980</v>
      </c>
      <c r="D2866" s="2" t="s">
        <v>11712</v>
      </c>
      <c r="E2866" s="2" t="s">
        <v>11713</v>
      </c>
      <c r="F2866" s="2">
        <v>44.0</v>
      </c>
      <c r="G2866" s="2">
        <v>116.0</v>
      </c>
      <c r="H2866" s="2" t="b">
        <v>1</v>
      </c>
      <c r="I2866" s="2">
        <v>-1.0</v>
      </c>
      <c r="J2866" s="2" t="b">
        <v>1</v>
      </c>
      <c r="K2866" s="2" t="b">
        <v>1</v>
      </c>
      <c r="L2866" s="2" t="b">
        <v>0</v>
      </c>
      <c r="M2866" s="2" t="b">
        <v>0</v>
      </c>
      <c r="N2866" s="2" t="s">
        <v>33</v>
      </c>
      <c r="O2866" s="2">
        <v>20.0</v>
      </c>
      <c r="P2866" s="2">
        <v>17.0</v>
      </c>
      <c r="Q2866" s="2">
        <v>4.0</v>
      </c>
      <c r="R2866" s="2">
        <v>0.0</v>
      </c>
      <c r="S2866" s="3" t="s">
        <v>11714</v>
      </c>
      <c r="T2866" s="2" t="s">
        <v>11715</v>
      </c>
      <c r="Y2866" s="4" t="str">
        <f>IFERROR(__xludf.DUMMYFUNCTION("""COMPUTED_VALUE"""),"6.7935281")</f>
        <v>6.7935281</v>
      </c>
      <c r="Z2866" s="4" t="str">
        <f>IFERROR(__xludf.DUMMYFUNCTION("""COMPUTED_VALUE"""),"3.3143896")</f>
        <v>3.3143896</v>
      </c>
      <c r="AA2866" s="4" t="str">
        <f t="shared" si="1"/>
        <v>Not Neighbor</v>
      </c>
      <c r="AC2866" s="4">
        <f>IFERROR(__xludf.DUMMYFUNCTION("IFERROR(ABS(O2866-AVERAGE(FILTER(O2866:O6934,AA2866:AA6934=""Neighbor""))) / STDEV(FILTER(O2866:O6934, AA2866:AA6934 =""Neighbor"")), """")"),0.8069610539461727)</f>
        <v>0.8069610539</v>
      </c>
      <c r="AD2866" s="4">
        <f>IFERROR(__xludf.DUMMYFUNCTION("IFERROR(ABS(P2866-AVERAGE(FILTER(O2866:P6934,AA2866:AA6934=""Neighbor""))) / STDEV(FILTER(P2866:P6934, AA2866:AA6934 =""Neighbor"")), """")"),0.6817482938007972)</f>
        <v>0.6817482938</v>
      </c>
      <c r="AE2866" s="2">
        <f>IFERROR(__xludf.DUMMYFUNCTION("IFERROR(ABS(Q2866-AVERAGE(FILTER(Q2866:Q6934,AA2866:AA6934=""Neighbor""))) / STDEV(FILTER(Q2866:Q6934, AA2866:AA6934 =""Neighbor"")), """")"),0.6244672362291561)</f>
        <v>0.6244672362</v>
      </c>
      <c r="AF2866" s="2">
        <f>IFERROR(__xludf.DUMMYFUNCTION("IFERROR(ABS(R2866-AVERAGE(FILTER(R2866:R6934,AA2866:AA6934=""Neighbor""))) / STDEV(FILTER(R2866:R6934, AA2866:AA6934 =""Neighbor"")), """")"),0.34091008395655825)</f>
        <v>0.340910084</v>
      </c>
    </row>
    <row r="2867">
      <c r="A2867" s="2" t="s">
        <v>28</v>
      </c>
      <c r="B2867" s="2" t="s">
        <v>1711</v>
      </c>
      <c r="C2867" s="2" t="s">
        <v>1980</v>
      </c>
      <c r="D2867" s="2" t="s">
        <v>11716</v>
      </c>
      <c r="E2867" s="2" t="s">
        <v>11717</v>
      </c>
      <c r="F2867" s="2">
        <v>102.0</v>
      </c>
      <c r="G2867" s="2">
        <v>750.0</v>
      </c>
      <c r="H2867" s="2" t="b">
        <v>1</v>
      </c>
      <c r="I2867" s="2">
        <v>-1.0</v>
      </c>
      <c r="J2867" s="2" t="b">
        <v>1</v>
      </c>
      <c r="K2867" s="2" t="b">
        <v>0</v>
      </c>
      <c r="L2867" s="2" t="b">
        <v>0</v>
      </c>
      <c r="M2867" s="2" t="b">
        <v>0</v>
      </c>
      <c r="N2867" s="2" t="s">
        <v>33</v>
      </c>
      <c r="O2867" s="2">
        <v>72.0</v>
      </c>
      <c r="P2867" s="2">
        <v>9.0</v>
      </c>
      <c r="Q2867" s="2">
        <v>12.0</v>
      </c>
      <c r="R2867" s="2">
        <v>0.0</v>
      </c>
      <c r="S2867" s="3" t="s">
        <v>11718</v>
      </c>
      <c r="T2867" s="2" t="s">
        <v>11719</v>
      </c>
      <c r="Y2867" s="4" t="str">
        <f>IFERROR(__xludf.DUMMYFUNCTION("""COMPUTED_VALUE"""),"6.7429921")</f>
        <v>6.7429921</v>
      </c>
      <c r="Z2867" s="4" t="str">
        <f>IFERROR(__xludf.DUMMYFUNCTION("""COMPUTED_VALUE"""),"3.2666287")</f>
        <v>3.2666287</v>
      </c>
      <c r="AA2867" s="4" t="str">
        <f t="shared" si="1"/>
        <v>Not Neighbor</v>
      </c>
      <c r="AC2867" s="4">
        <f>IFERROR(__xludf.DUMMYFUNCTION("IFERROR(ABS(O2867-AVERAGE(FILTER(O2867:O6935,AA2867:AA6935=""Neighbor""))) / STDEV(FILTER(O2867:O6935, AA2867:AA6935 =""Neighbor"")), """")"),0.6706204606732484)</f>
        <v>0.6706204607</v>
      </c>
      <c r="AD2867" s="4">
        <f>IFERROR(__xludf.DUMMYFUNCTION("IFERROR(ABS(P2867-AVERAGE(FILTER(O2867:P6935,AA2867:AA6935=""Neighbor""))) / STDEV(FILTER(P2867:P6935, AA2867:AA6935 =""Neighbor"")), """")"),1.0152953719493498)</f>
        <v>1.015295372</v>
      </c>
      <c r="AE2867" s="2">
        <f>IFERROR(__xludf.DUMMYFUNCTION("IFERROR(ABS(Q2867-AVERAGE(FILTER(Q2867:Q6935,AA2867:AA6935=""Neighbor""))) / STDEV(FILTER(Q2867:Q6935, AA2867:AA6935 =""Neighbor"")), """")"),0.17521756057327054)</f>
        <v>0.1752175606</v>
      </c>
      <c r="AF2867" s="2">
        <f>IFERROR(__xludf.DUMMYFUNCTION("IFERROR(ABS(R2867-AVERAGE(FILTER(R2867:R6935,AA2867:AA6935=""Neighbor""))) / STDEV(FILTER(R2867:R6935, AA2867:AA6935 =""Neighbor"")), """")"),0.34091008395655825)</f>
        <v>0.340910084</v>
      </c>
    </row>
    <row r="2868">
      <c r="A2868" s="2" t="s">
        <v>28</v>
      </c>
      <c r="B2868" s="2" t="s">
        <v>1711</v>
      </c>
      <c r="C2868" s="2" t="s">
        <v>1980</v>
      </c>
      <c r="D2868" s="2" t="s">
        <v>11720</v>
      </c>
      <c r="E2868" s="2" t="s">
        <v>11721</v>
      </c>
      <c r="F2868" s="2">
        <v>104.0</v>
      </c>
      <c r="G2868" s="2">
        <v>195.0</v>
      </c>
      <c r="H2868" s="2" t="b">
        <v>1</v>
      </c>
      <c r="I2868" s="2">
        <v>-1.0</v>
      </c>
      <c r="J2868" s="2" t="b">
        <v>0</v>
      </c>
      <c r="K2868" s="2" t="b">
        <v>0</v>
      </c>
      <c r="L2868" s="2" t="b">
        <v>0</v>
      </c>
      <c r="M2868" s="2" t="b">
        <v>0</v>
      </c>
      <c r="N2868" s="2" t="s">
        <v>33</v>
      </c>
      <c r="O2868" s="2">
        <v>79.0</v>
      </c>
      <c r="P2868" s="2">
        <v>14.0</v>
      </c>
      <c r="Q2868" s="2">
        <v>6.0</v>
      </c>
      <c r="R2868" s="2">
        <v>0.0</v>
      </c>
      <c r="S2868" s="3" t="s">
        <v>11722</v>
      </c>
      <c r="T2868" s="2" t="s">
        <v>11723</v>
      </c>
      <c r="Y2868" s="4" t="str">
        <f>IFERROR(__xludf.DUMMYFUNCTION("""COMPUTED_VALUE"""),"6.7551428")</f>
        <v>6.7551428</v>
      </c>
      <c r="Z2868" s="4" t="str">
        <f>IFERROR(__xludf.DUMMYFUNCTION("""COMPUTED_VALUE"""),"3.2519853")</f>
        <v>3.2519853</v>
      </c>
      <c r="AA2868" s="4" t="str">
        <f t="shared" si="1"/>
        <v>Not Neighbor</v>
      </c>
      <c r="AC2868" s="4">
        <f>IFERROR(__xludf.DUMMYFUNCTION("IFERROR(ABS(O2868-AVERAGE(FILTER(O2868:O6936,AA2868:AA6936=""Neighbor""))) / STDEV(FILTER(O2868:O6936, AA2868:AA6936 =""Neighbor"")), """")"),0.8695256645643243)</f>
        <v>0.8695256646</v>
      </c>
      <c r="AD2868" s="4">
        <f>IFERROR(__xludf.DUMMYFUNCTION("IFERROR(ABS(P2868-AVERAGE(FILTER(O2868:P6936,AA2868:AA6936=""Neighbor""))) / STDEV(FILTER(P2868:P6936, AA2868:AA6936 =""Neighbor"")), """")"),0.8068284481065044)</f>
        <v>0.8068284481</v>
      </c>
      <c r="AE2868" s="2">
        <f>IFERROR(__xludf.DUMMYFUNCTION("IFERROR(ABS(Q2868-AVERAGE(FILTER(Q2868:Q6936,AA2868:AA6936=""Neighbor""))) / STDEV(FILTER(Q2868:Q6936, AA2868:AA6936 =""Neighbor"")), """")"),0.5121548173151848)</f>
        <v>0.5121548173</v>
      </c>
      <c r="AF2868" s="2">
        <f>IFERROR(__xludf.DUMMYFUNCTION("IFERROR(ABS(R2868-AVERAGE(FILTER(R2868:R6936,AA2868:AA6936=""Neighbor""))) / STDEV(FILTER(R2868:R6936, AA2868:AA6936 =""Neighbor"")), """")"),0.34091008395655825)</f>
        <v>0.340910084</v>
      </c>
    </row>
    <row r="2869">
      <c r="A2869" s="2" t="s">
        <v>28</v>
      </c>
      <c r="B2869" s="2" t="s">
        <v>1711</v>
      </c>
      <c r="C2869" s="2" t="s">
        <v>1980</v>
      </c>
      <c r="D2869" s="2" t="s">
        <v>11724</v>
      </c>
      <c r="E2869" s="2" t="s">
        <v>11725</v>
      </c>
      <c r="F2869" s="2">
        <v>117.0</v>
      </c>
      <c r="G2869" s="2">
        <v>265.0</v>
      </c>
      <c r="H2869" s="2" t="b">
        <v>1</v>
      </c>
      <c r="I2869" s="2">
        <v>-1.0</v>
      </c>
      <c r="J2869" s="2" t="b">
        <v>1</v>
      </c>
      <c r="K2869" s="2" t="b">
        <v>1</v>
      </c>
      <c r="L2869" s="2" t="b">
        <v>0</v>
      </c>
      <c r="M2869" s="2" t="b">
        <v>0</v>
      </c>
      <c r="N2869" s="2" t="s">
        <v>33</v>
      </c>
      <c r="O2869" s="2">
        <v>89.0</v>
      </c>
      <c r="P2869" s="2">
        <v>13.0</v>
      </c>
      <c r="Q2869" s="2">
        <v>6.0</v>
      </c>
      <c r="R2869" s="2">
        <v>0.0</v>
      </c>
      <c r="S2869" s="3" t="s">
        <v>11726</v>
      </c>
      <c r="T2869" s="2" t="s">
        <v>11727</v>
      </c>
      <c r="Y2869" s="4" t="str">
        <f>IFERROR(__xludf.DUMMYFUNCTION("""COMPUTED_VALUE"""),"6.7034732")</f>
        <v>6.7034732</v>
      </c>
      <c r="Z2869" s="4" t="str">
        <f>IFERROR(__xludf.DUMMYFUNCTION("""COMPUTED_VALUE"""),"3.2753452")</f>
        <v>3.2753452</v>
      </c>
      <c r="AA2869" s="4" t="str">
        <f t="shared" si="1"/>
        <v>Neighbor</v>
      </c>
      <c r="AC2869" s="4">
        <f>IFERROR(__xludf.DUMMYFUNCTION("IFERROR(ABS(O2869-AVERAGE(FILTER(O2869:O6937,AA2869:AA6937=""Neighbor""))) / STDEV(FILTER(O2869:O6937, AA2869:AA6937 =""Neighbor"")), """")"),1.15367595583729)</f>
        <v>1.153675956</v>
      </c>
      <c r="AD2869" s="4">
        <f>IFERROR(__xludf.DUMMYFUNCTION("IFERROR(ABS(P2869-AVERAGE(FILTER(O2869:P6937,AA2869:AA6937=""Neighbor""))) / STDEV(FILTER(P2869:P6937, AA2869:AA6937 =""Neighbor"")), """")"),0.8485218328750735)</f>
        <v>0.8485218329</v>
      </c>
      <c r="AE2869" s="2">
        <f>IFERROR(__xludf.DUMMYFUNCTION("IFERROR(ABS(Q2869-AVERAGE(FILTER(Q2869:Q6937,AA2869:AA6937=""Neighbor""))) / STDEV(FILTER(Q2869:Q6937, AA2869:AA6937 =""Neighbor"")), """")"),0.5121548173151848)</f>
        <v>0.5121548173</v>
      </c>
      <c r="AF2869" s="2">
        <f>IFERROR(__xludf.DUMMYFUNCTION("IFERROR(ABS(R2869-AVERAGE(FILTER(R2869:R6937,AA2869:AA6937=""Neighbor""))) / STDEV(FILTER(R2869:R6937, AA2869:AA6937 =""Neighbor"")), """")"),0.34091008395655825)</f>
        <v>0.340910084</v>
      </c>
    </row>
    <row r="2870">
      <c r="A2870" s="2" t="s">
        <v>28</v>
      </c>
      <c r="B2870" s="2" t="s">
        <v>1711</v>
      </c>
      <c r="C2870" s="2" t="s">
        <v>1980</v>
      </c>
      <c r="D2870" s="2" t="s">
        <v>11728</v>
      </c>
      <c r="E2870" s="2" t="s">
        <v>11729</v>
      </c>
      <c r="F2870" s="2">
        <v>120.0</v>
      </c>
      <c r="G2870" s="2">
        <v>256.0</v>
      </c>
      <c r="H2870" s="2" t="b">
        <v>1</v>
      </c>
      <c r="I2870" s="2">
        <v>-1.0</v>
      </c>
      <c r="J2870" s="2" t="b">
        <v>0</v>
      </c>
      <c r="K2870" s="2" t="b">
        <v>0</v>
      </c>
      <c r="L2870" s="2" t="b">
        <v>0</v>
      </c>
      <c r="M2870" s="2" t="b">
        <v>0</v>
      </c>
      <c r="N2870" s="2" t="s">
        <v>33</v>
      </c>
      <c r="O2870" s="2">
        <v>74.0</v>
      </c>
      <c r="P2870" s="2">
        <v>15.0</v>
      </c>
      <c r="Q2870" s="2">
        <v>6.0</v>
      </c>
      <c r="R2870" s="2">
        <v>0.0</v>
      </c>
      <c r="S2870" s="3" t="s">
        <v>11730</v>
      </c>
      <c r="T2870" s="2" t="s">
        <v>11731</v>
      </c>
      <c r="Y2870" s="4" t="str">
        <f>IFERROR(__xludf.DUMMYFUNCTION("""COMPUTED_VALUE"""),"6.7016316")</f>
        <v>6.7016316</v>
      </c>
      <c r="Z2870" s="4" t="str">
        <f>IFERROR(__xludf.DUMMYFUNCTION("""COMPUTED_VALUE"""),"3.2802665")</f>
        <v>3.2802665</v>
      </c>
      <c r="AA2870" s="4" t="str">
        <f t="shared" si="1"/>
        <v>Neighbor</v>
      </c>
      <c r="AC2870" s="4">
        <f>IFERROR(__xludf.DUMMYFUNCTION("IFERROR(ABS(O2870-AVERAGE(FILTER(O2870:O6938,AA2870:AA6938=""Neighbor""))) / STDEV(FILTER(O2870:O6938, AA2870:AA6938 =""Neighbor"")), """")"),0.7303503895006078)</f>
        <v>0.7303503895</v>
      </c>
      <c r="AD2870" s="4">
        <f>IFERROR(__xludf.DUMMYFUNCTION("IFERROR(ABS(P2870-AVERAGE(FILTER(O2870:P6938,AA2870:AA6938=""Neighbor""))) / STDEV(FILTER(P2870:P6938, AA2870:AA6938 =""Neighbor"")), """")"),0.7626371416539798)</f>
        <v>0.7626371417</v>
      </c>
      <c r="AE2870" s="2">
        <f>IFERROR(__xludf.DUMMYFUNCTION("IFERROR(ABS(Q2870-AVERAGE(FILTER(Q2870:Q6938,AA2870:AA6938=""Neighbor""))) / STDEV(FILTER(Q2870:Q6938, AA2870:AA6938 =""Neighbor"")), """")"),0.5128884044519814)</f>
        <v>0.5128884045</v>
      </c>
      <c r="AF2870" s="2">
        <f>IFERROR(__xludf.DUMMYFUNCTION("IFERROR(ABS(R2870-AVERAGE(FILTER(R2870:R6938,AA2870:AA6938=""Neighbor""))) / STDEV(FILTER(R2870:R6938, AA2870:AA6938 =""Neighbor"")), """")"),0.34134156614975336)</f>
        <v>0.3413415661</v>
      </c>
    </row>
    <row r="2871">
      <c r="A2871" s="2" t="s">
        <v>28</v>
      </c>
      <c r="B2871" s="2" t="s">
        <v>1711</v>
      </c>
      <c r="C2871" s="2" t="s">
        <v>1980</v>
      </c>
      <c r="D2871" s="2" t="s">
        <v>11732</v>
      </c>
      <c r="E2871" s="2" t="s">
        <v>11733</v>
      </c>
      <c r="F2871" s="2">
        <v>151.0</v>
      </c>
      <c r="G2871" s="2">
        <v>296.0</v>
      </c>
      <c r="H2871" s="2" t="b">
        <v>1</v>
      </c>
      <c r="I2871" s="2">
        <v>-1.0</v>
      </c>
      <c r="J2871" s="2" t="b">
        <v>0</v>
      </c>
      <c r="K2871" s="2" t="b">
        <v>0</v>
      </c>
      <c r="L2871" s="2" t="b">
        <v>0</v>
      </c>
      <c r="M2871" s="2" t="b">
        <v>0</v>
      </c>
      <c r="N2871" s="2" t="s">
        <v>33</v>
      </c>
      <c r="O2871" s="2">
        <v>90.0</v>
      </c>
      <c r="P2871" s="2">
        <v>31.0</v>
      </c>
      <c r="Q2871" s="2">
        <v>2.0</v>
      </c>
      <c r="R2871" s="2">
        <v>0.0</v>
      </c>
      <c r="S2871" s="3" t="s">
        <v>11734</v>
      </c>
      <c r="T2871" s="2" t="s">
        <v>11735</v>
      </c>
      <c r="Y2871" s="4" t="str">
        <f>IFERROR(__xludf.DUMMYFUNCTION("""COMPUTED_VALUE"""),"6.7016316")</f>
        <v>6.7016316</v>
      </c>
      <c r="Z2871" s="4" t="str">
        <f>IFERROR(__xludf.DUMMYFUNCTION("""COMPUTED_VALUE"""),"3.2802665")</f>
        <v>3.2802665</v>
      </c>
      <c r="AA2871" s="4" t="str">
        <f t="shared" si="1"/>
        <v>Not Neighbor</v>
      </c>
      <c r="AC2871" s="4">
        <f>IFERROR(__xludf.DUMMYFUNCTION("IFERROR(ABS(O2871-AVERAGE(FILTER(O2871:O6939,AA2871:AA6939=""Neighbor""))) / STDEV(FILTER(O2871:O6939, AA2871:AA6939 =""Neighbor"")), """")"),1.1861975710453156)</f>
        <v>1.186197571</v>
      </c>
      <c r="AD2871" s="4">
        <f>IFERROR(__xludf.DUMMYFUNCTION("IFERROR(ABS(P2871-AVERAGE(FILTER(O2871:P6939,AA2871:AA6939=""Neighbor""))) / STDEV(FILTER(P2871:P6939, AA2871:AA6939 =""Neighbor"")), """")"),0.0950964648029718)</f>
        <v>0.0950964648</v>
      </c>
      <c r="AE2871" s="2">
        <f>IFERROR(__xludf.DUMMYFUNCTION("IFERROR(ABS(Q2871-AVERAGE(FILTER(Q2871:Q6939,AA2871:AA6939=""Neighbor""))) / STDEV(FILTER(Q2871:Q6939, AA2871:AA6939 =""Neighbor"")), """")"),0.7378732328947128)</f>
        <v>0.7378732329</v>
      </c>
      <c r="AF2871" s="2">
        <f>IFERROR(__xludf.DUMMYFUNCTION("IFERROR(ABS(R2871-AVERAGE(FILTER(R2871:R6939,AA2871:AA6939=""Neighbor""))) / STDEV(FILTER(R2871:R6939, AA2871:AA6939 =""Neighbor"")), """")"),0.341774691314583)</f>
        <v>0.3417746913</v>
      </c>
    </row>
    <row r="2872">
      <c r="A2872" s="2" t="s">
        <v>28</v>
      </c>
      <c r="B2872" s="2" t="s">
        <v>1711</v>
      </c>
      <c r="C2872" s="2" t="s">
        <v>1980</v>
      </c>
      <c r="D2872" s="2" t="s">
        <v>11736</v>
      </c>
      <c r="E2872" s="2" t="s">
        <v>11737</v>
      </c>
      <c r="F2872" s="2">
        <v>188.0</v>
      </c>
      <c r="G2872" s="2">
        <v>750.0</v>
      </c>
      <c r="H2872" s="2" t="b">
        <v>1</v>
      </c>
      <c r="I2872" s="2">
        <v>-1.0</v>
      </c>
      <c r="J2872" s="2" t="b">
        <v>0</v>
      </c>
      <c r="K2872" s="2" t="b">
        <v>0</v>
      </c>
      <c r="L2872" s="2" t="b">
        <v>0</v>
      </c>
      <c r="M2872" s="2" t="b">
        <v>0</v>
      </c>
      <c r="N2872" s="2" t="s">
        <v>33</v>
      </c>
      <c r="O2872" s="2">
        <v>151.0</v>
      </c>
      <c r="P2872" s="2">
        <v>19.0</v>
      </c>
      <c r="Q2872" s="2">
        <v>0.0</v>
      </c>
      <c r="R2872" s="2">
        <v>0.0</v>
      </c>
      <c r="S2872" s="3" t="s">
        <v>11738</v>
      </c>
      <c r="T2872" s="2" t="s">
        <v>11739</v>
      </c>
      <c r="Y2872" s="4" t="str">
        <f>IFERROR(__xludf.DUMMYFUNCTION("""COMPUTED_VALUE"""),"6.7405509")</f>
        <v>6.7405509</v>
      </c>
      <c r="Z2872" s="4" t="str">
        <f>IFERROR(__xludf.DUMMYFUNCTION("""COMPUTED_VALUE"""),"3.258135")</f>
        <v>3.258135</v>
      </c>
      <c r="AA2872" s="4" t="str">
        <f t="shared" si="1"/>
        <v>Neighbor</v>
      </c>
      <c r="AC2872" s="4">
        <f>IFERROR(__xludf.DUMMYFUNCTION("IFERROR(ABS(O2872-AVERAGE(FILTER(O2872:O6940,AA2872:AA6940=""Neighbor""))) / STDEV(FILTER(O2872:O6940, AA2872:AA6940 =""Neighbor"")), """")"),2.919253643663708)</f>
        <v>2.919253644</v>
      </c>
      <c r="AD2872" s="4">
        <f>IFERROR(__xludf.DUMMYFUNCTION("IFERROR(ABS(P2872-AVERAGE(FILTER(O2872:P6940,AA2872:AA6940=""Neighbor""))) / STDEV(FILTER(P2872:P6940, AA2872:AA6940 =""Neighbor"")), """")"),0.5943173682230563)</f>
        <v>0.5943173682</v>
      </c>
      <c r="AE2872" s="2">
        <f>IFERROR(__xludf.DUMMYFUNCTION("IFERROR(ABS(Q2872-AVERAGE(FILTER(Q2872:Q6940,AA2872:AA6940=""Neighbor""))) / STDEV(FILTER(Q2872:Q6940, AA2872:AA6940 =""Neighbor"")), """")"),0.8499972720919364)</f>
        <v>0.8499972721</v>
      </c>
      <c r="AF2872" s="2">
        <f>IFERROR(__xludf.DUMMYFUNCTION("IFERROR(ABS(R2872-AVERAGE(FILTER(R2872:R6940,AA2872:AA6940=""Neighbor""))) / STDEV(FILTER(R2872:R6940, AA2872:AA6940 =""Neighbor"")), """")"),0.341774691314583)</f>
        <v>0.3417746913</v>
      </c>
    </row>
    <row r="2873">
      <c r="A2873" s="2" t="s">
        <v>28</v>
      </c>
      <c r="B2873" s="2" t="s">
        <v>1711</v>
      </c>
      <c r="C2873" s="2" t="s">
        <v>1980</v>
      </c>
      <c r="D2873" s="2" t="s">
        <v>11740</v>
      </c>
      <c r="E2873" s="2" t="s">
        <v>11741</v>
      </c>
      <c r="F2873" s="2">
        <v>99.0</v>
      </c>
      <c r="G2873" s="2">
        <v>750.0</v>
      </c>
      <c r="H2873" s="2" t="b">
        <v>1</v>
      </c>
      <c r="I2873" s="2">
        <v>-1.0</v>
      </c>
      <c r="J2873" s="2" t="b">
        <v>0</v>
      </c>
      <c r="K2873" s="2" t="b">
        <v>0</v>
      </c>
      <c r="L2873" s="2" t="b">
        <v>0</v>
      </c>
      <c r="M2873" s="2" t="b">
        <v>0</v>
      </c>
      <c r="N2873" s="2" t="s">
        <v>33</v>
      </c>
      <c r="O2873" s="2">
        <v>56.0</v>
      </c>
      <c r="P2873" s="2">
        <v>21.0</v>
      </c>
      <c r="Q2873" s="2">
        <v>18.0</v>
      </c>
      <c r="R2873" s="2">
        <v>1.0</v>
      </c>
      <c r="S2873" s="3" t="s">
        <v>11742</v>
      </c>
      <c r="T2873" s="2" t="s">
        <v>11743</v>
      </c>
      <c r="Y2873" s="4" t="str">
        <f>IFERROR(__xludf.DUMMYFUNCTION("""COMPUTED_VALUE"""),"6.7459495")</f>
        <v>6.7459495</v>
      </c>
      <c r="Z2873" s="4" t="str">
        <f>IFERROR(__xludf.DUMMYFUNCTION("""COMPUTED_VALUE"""),"3.2549829")</f>
        <v>3.2549829</v>
      </c>
      <c r="AA2873" s="4" t="str">
        <f t="shared" si="1"/>
        <v>Neighbor</v>
      </c>
      <c r="AC2873" s="4">
        <f>IFERROR(__xludf.DUMMYFUNCTION("IFERROR(ABS(O2873-AVERAGE(FILTER(O2873:O6941,AA2873:AA6941=""Neighbor""))) / STDEV(FILTER(O2873:O6941, AA2873:AA6941 =""Neighbor"")), """")"),0.2288803929333383)</f>
        <v>0.2288803929</v>
      </c>
      <c r="AD2873" s="4">
        <f>IFERROR(__xludf.DUMMYFUNCTION("IFERROR(ABS(P2873-AVERAGE(FILTER(O2873:P6941,AA2873:AA6941=""Neighbor""))) / STDEV(FILTER(P2873:P6941, AA2873:AA6941 =""Neighbor"")), """")"),0.5056242895334104)</f>
        <v>0.5056242895</v>
      </c>
      <c r="AE2873" s="2">
        <f>IFERROR(__xludf.DUMMYFUNCTION("IFERROR(ABS(Q2873-AVERAGE(FILTER(Q2873:Q6941,AA2873:AA6941=""Neighbor""))) / STDEV(FILTER(Q2873:Q6941, AA2873:AA6941 =""Neighbor"")), """")"),0.15712886187464117)</f>
        <v>0.1571288619</v>
      </c>
      <c r="AF2873" s="2">
        <f>IFERROR(__xludf.DUMMYFUNCTION("IFERROR(ABS(R2873-AVERAGE(FILTER(R2873:R6941,AA2873:AA6941=""Neighbor""))) / STDEV(FILTER(R2873:R6941, AA2873:AA6941 =""Neighbor"")), """")"),0.7599063228814007)</f>
        <v>0.7599063229</v>
      </c>
    </row>
    <row r="2874">
      <c r="A2874" s="2" t="s">
        <v>28</v>
      </c>
      <c r="B2874" s="2" t="s">
        <v>1711</v>
      </c>
      <c r="C2874" s="2" t="s">
        <v>1980</v>
      </c>
      <c r="D2874" s="2" t="s">
        <v>11744</v>
      </c>
      <c r="E2874" s="2" t="s">
        <v>11745</v>
      </c>
      <c r="F2874" s="2">
        <v>28.0</v>
      </c>
      <c r="G2874" s="2">
        <v>54.0</v>
      </c>
      <c r="H2874" s="2" t="b">
        <v>1</v>
      </c>
      <c r="I2874" s="2">
        <v>-1.0</v>
      </c>
      <c r="J2874" s="2" t="b">
        <v>0</v>
      </c>
      <c r="K2874" s="2" t="b">
        <v>1</v>
      </c>
      <c r="L2874" s="2" t="b">
        <v>0</v>
      </c>
      <c r="M2874" s="2" t="b">
        <v>0</v>
      </c>
      <c r="N2874" s="2" t="s">
        <v>33</v>
      </c>
      <c r="O2874" s="2">
        <v>18.0</v>
      </c>
      <c r="P2874" s="2">
        <v>3.0</v>
      </c>
      <c r="Q2874" s="2">
        <v>2.0</v>
      </c>
      <c r="R2874" s="2">
        <v>0.0</v>
      </c>
      <c r="S2874" s="3" t="s">
        <v>11746</v>
      </c>
      <c r="T2874" s="2" t="s">
        <v>11747</v>
      </c>
      <c r="Y2874" s="4" t="str">
        <f>IFERROR(__xludf.DUMMYFUNCTION("""COMPUTED_VALUE"""),"6.7459495")</f>
        <v>6.7459495</v>
      </c>
      <c r="Z2874" s="4" t="str">
        <f>IFERROR(__xludf.DUMMYFUNCTION("""COMPUTED_VALUE"""),"3.2549829")</f>
        <v>3.2549829</v>
      </c>
      <c r="AA2874" s="4" t="str">
        <f t="shared" si="1"/>
        <v>Not Neighbor</v>
      </c>
      <c r="AC2874" s="4">
        <f>IFERROR(__xludf.DUMMYFUNCTION("IFERROR(ABS(O2874-AVERAGE(FILTER(O2874:O6942,AA2874:AA6942=""Neighbor""))) / STDEV(FILTER(O2874:O6942, AA2874:AA6942 =""Neighbor"")), """")"),0.8587099787761836)</f>
        <v>0.8587099788</v>
      </c>
      <c r="AD2874" s="4">
        <f>IFERROR(__xludf.DUMMYFUNCTION("IFERROR(ABS(P2874-AVERAGE(FILTER(O2874:P6942,AA2874:AA6942=""Neighbor""))) / STDEV(FILTER(P2874:P6942, AA2874:AA6942 =""Neighbor"")), """")"),1.2516771762789887)</f>
        <v>1.251677176</v>
      </c>
      <c r="AE2874" s="2">
        <f>IFERROR(__xludf.DUMMYFUNCTION("IFERROR(ABS(Q2874-AVERAGE(FILTER(Q2874:Q6942,AA2874:AA6942=""Neighbor""))) / STDEV(FILTER(Q2874:Q6942, AA2874:AA6942 =""Neighbor"")), """")"),0.7383955429386909)</f>
        <v>0.7383955429</v>
      </c>
      <c r="AF2874" s="2">
        <f>IFERROR(__xludf.DUMMYFUNCTION("IFERROR(ABS(R2874-AVERAGE(FILTER(R2874:R6942,AA2874:AA6942=""Neighbor""))) / STDEV(FILTER(R2874:R6942, AA2874:AA6942 =""Neighbor"")), """")"),0.34030620807300216)</f>
        <v>0.3403062081</v>
      </c>
    </row>
    <row r="2875">
      <c r="A2875" s="2" t="s">
        <v>28</v>
      </c>
      <c r="B2875" s="2" t="s">
        <v>1711</v>
      </c>
      <c r="C2875" s="2" t="s">
        <v>1980</v>
      </c>
      <c r="D2875" s="2" t="s">
        <v>11748</v>
      </c>
      <c r="E2875" s="2" t="s">
        <v>11749</v>
      </c>
      <c r="F2875" s="2">
        <v>190.0</v>
      </c>
      <c r="G2875" s="2">
        <v>750.0</v>
      </c>
      <c r="H2875" s="2" t="b">
        <v>1</v>
      </c>
      <c r="I2875" s="2">
        <v>-1.0</v>
      </c>
      <c r="J2875" s="2" t="b">
        <v>0</v>
      </c>
      <c r="K2875" s="2" t="b">
        <v>0</v>
      </c>
      <c r="L2875" s="2" t="b">
        <v>0</v>
      </c>
      <c r="M2875" s="2" t="b">
        <v>0</v>
      </c>
      <c r="N2875" s="2" t="s">
        <v>33</v>
      </c>
      <c r="O2875" s="2">
        <v>60.0</v>
      </c>
      <c r="P2875" s="2">
        <v>0.0</v>
      </c>
      <c r="Q2875" s="2">
        <v>103.0</v>
      </c>
      <c r="R2875" s="2">
        <v>0.0</v>
      </c>
      <c r="S2875" s="3" t="s">
        <v>11750</v>
      </c>
      <c r="T2875" s="2" t="s">
        <v>11751</v>
      </c>
      <c r="Y2875" s="4" t="str">
        <f>IFERROR(__xludf.DUMMYFUNCTION("""COMPUTED_VALUE"""),"6.6787362")</f>
        <v>6.6787362</v>
      </c>
      <c r="Z2875" s="4" t="str">
        <f>IFERROR(__xludf.DUMMYFUNCTION("""COMPUTED_VALUE"""),"3.3710462")</f>
        <v>3.3710462</v>
      </c>
      <c r="AA2875" s="4" t="str">
        <f t="shared" si="1"/>
        <v>Neighbor</v>
      </c>
      <c r="AC2875" s="4">
        <f>IFERROR(__xludf.DUMMYFUNCTION("IFERROR(ABS(O2875-AVERAGE(FILTER(O2875:O6943,AA2875:AA6943=""Neighbor""))) / STDEV(FILTER(O2875:O6943, AA2875:AA6943 =""Neighbor"")), """")"),0.34366742055690114)</f>
        <v>0.3436674206</v>
      </c>
      <c r="AD2875" s="4">
        <f>IFERROR(__xludf.DUMMYFUNCTION("IFERROR(ABS(P2875-AVERAGE(FILTER(O2875:P6943,AA2875:AA6943=""Neighbor""))) / STDEV(FILTER(P2875:P6943, AA2875:AA6943 =""Neighbor"")), """")"),1.376199014046613)</f>
        <v>1.376199014</v>
      </c>
      <c r="AE2875" s="2">
        <f>IFERROR(__xludf.DUMMYFUNCTION("IFERROR(ABS(Q2875-AVERAGE(FILTER(Q2875:Q6943,AA2875:AA6943=""Neighbor""))) / STDEV(FILTER(Q2875:Q6943, AA2875:AA6943 =""Neighbor"")), """")"),4.915762000205826)</f>
        <v>4.915762</v>
      </c>
      <c r="AF2875" s="2">
        <f>IFERROR(__xludf.DUMMYFUNCTION("IFERROR(ABS(R2875-AVERAGE(FILTER(R2875:R6943,AA2875:AA6943=""Neighbor""))) / STDEV(FILTER(R2875:R6943, AA2875:AA6943 =""Neighbor"")), """")"),0.34030620807300216)</f>
        <v>0.3403062081</v>
      </c>
    </row>
    <row r="2876">
      <c r="A2876" s="2" t="s">
        <v>28</v>
      </c>
      <c r="B2876" s="2" t="s">
        <v>1711</v>
      </c>
      <c r="C2876" s="2" t="s">
        <v>1980</v>
      </c>
      <c r="D2876" s="2" t="s">
        <v>11752</v>
      </c>
      <c r="E2876" s="2" t="s">
        <v>11753</v>
      </c>
      <c r="F2876" s="2">
        <v>157.0</v>
      </c>
      <c r="G2876" s="2">
        <v>750.0</v>
      </c>
      <c r="H2876" s="2" t="b">
        <v>1</v>
      </c>
      <c r="I2876" s="2">
        <v>-1.0</v>
      </c>
      <c r="J2876" s="2" t="b">
        <v>0</v>
      </c>
      <c r="K2876" s="2" t="b">
        <v>0</v>
      </c>
      <c r="L2876" s="2" t="b">
        <v>0</v>
      </c>
      <c r="M2876" s="2" t="b">
        <v>0</v>
      </c>
      <c r="N2876" s="2" t="s">
        <v>33</v>
      </c>
      <c r="O2876" s="2">
        <v>95.0</v>
      </c>
      <c r="P2876" s="2">
        <v>50.0</v>
      </c>
      <c r="Q2876" s="2">
        <v>3.0</v>
      </c>
      <c r="R2876" s="2">
        <v>1.0</v>
      </c>
      <c r="S2876" s="3" t="s">
        <v>11754</v>
      </c>
      <c r="T2876" s="2" t="s">
        <v>11755</v>
      </c>
      <c r="Y2876" s="4" t="str">
        <f>IFERROR(__xludf.DUMMYFUNCTION("""COMPUTED_VALUE"""),"6.6696989")</f>
        <v>6.6696989</v>
      </c>
      <c r="Z2876" s="4" t="str">
        <f>IFERROR(__xludf.DUMMYFUNCTION("""COMPUTED_VALUE"""),"3.3692217")</f>
        <v>3.3692217</v>
      </c>
      <c r="AA2876" s="4" t="str">
        <f t="shared" si="1"/>
        <v>Not Neighbor</v>
      </c>
      <c r="AC2876" s="4">
        <f>IFERROR(__xludf.DUMMYFUNCTION("IFERROR(ABS(O2876-AVERAGE(FILTER(O2876:O6944,AA2876:AA6944=""Neighbor""))) / STDEV(FILTER(O2876:O6944, AA2876:AA6944 =""Neighbor"")), """")"),1.3450744621061486)</f>
        <v>1.345074462</v>
      </c>
      <c r="AD2876" s="4">
        <f>IFERROR(__xludf.DUMMYFUNCTION("IFERROR(ABS(P2876-AVERAGE(FILTER(O2876:P6944,AA2876:AA6944=""Neighbor""))) / STDEV(FILTER(P2876:P6944, AA2876:AA6944 =""Neighbor"")), """")"),0.6985268248157211)</f>
        <v>0.6985268248</v>
      </c>
      <c r="AE2876" s="2">
        <f>IFERROR(__xludf.DUMMYFUNCTION("IFERROR(ABS(Q2876-AVERAGE(FILTER(Q2876:Q6944,AA2876:AA6944=""Neighbor""))) / STDEV(FILTER(Q2876:Q6944, AA2876:AA6944 =""Neighbor"")), """")"),0.6898022708283701)</f>
        <v>0.6898022708</v>
      </c>
      <c r="AF2876" s="2">
        <f>IFERROR(__xludf.DUMMYFUNCTION("IFERROR(ABS(R2876-AVERAGE(FILTER(R2876:R6944,AA2876:AA6944=""Neighbor""))) / STDEV(FILTER(R2876:R6944, AA2876:AA6944 =""Neighbor"")), """")"),0.759725577803128)</f>
        <v>0.7597255778</v>
      </c>
    </row>
    <row r="2877">
      <c r="A2877" s="2" t="s">
        <v>28</v>
      </c>
      <c r="B2877" s="2" t="s">
        <v>1711</v>
      </c>
      <c r="C2877" s="2" t="s">
        <v>1980</v>
      </c>
      <c r="D2877" s="2" t="s">
        <v>11756</v>
      </c>
      <c r="E2877" s="2" t="s">
        <v>11757</v>
      </c>
      <c r="F2877" s="2">
        <v>96.0</v>
      </c>
      <c r="G2877" s="2">
        <v>169.0</v>
      </c>
      <c r="H2877" s="2" t="b">
        <v>1</v>
      </c>
      <c r="I2877" s="2">
        <v>-1.0</v>
      </c>
      <c r="J2877" s="2" t="b">
        <v>1</v>
      </c>
      <c r="K2877" s="2" t="b">
        <v>0</v>
      </c>
      <c r="L2877" s="2" t="b">
        <v>0</v>
      </c>
      <c r="M2877" s="2" t="b">
        <v>0</v>
      </c>
      <c r="N2877" s="2" t="s">
        <v>33</v>
      </c>
      <c r="O2877" s="2">
        <v>66.0</v>
      </c>
      <c r="P2877" s="2">
        <v>9.0</v>
      </c>
      <c r="Q2877" s="2">
        <v>13.0</v>
      </c>
      <c r="R2877" s="2">
        <v>1.0</v>
      </c>
      <c r="S2877" s="3" t="s">
        <v>11758</v>
      </c>
      <c r="T2877" s="2" t="s">
        <v>11759</v>
      </c>
      <c r="Y2877" s="4" t="str">
        <f>IFERROR(__xludf.DUMMYFUNCTION("""COMPUTED_VALUE"""),"6.7300351")</f>
        <v>6.7300351</v>
      </c>
      <c r="Z2877" s="4" t="str">
        <f>IFERROR(__xludf.DUMMYFUNCTION("""COMPUTED_VALUE"""),"3.263723")</f>
        <v>3.263723</v>
      </c>
      <c r="AA2877" s="4" t="str">
        <f t="shared" si="1"/>
        <v>Not Neighbor</v>
      </c>
      <c r="AC2877" s="4">
        <f>IFERROR(__xludf.DUMMYFUNCTION("IFERROR(ABS(O2877-AVERAGE(FILTER(O2877:O6945,AA2877:AA6945=""Neighbor""))) / STDEV(FILTER(O2877:O6945, AA2877:AA6945 =""Neighbor"")), """")"),0.5157015225338214)</f>
        <v>0.5157015225</v>
      </c>
      <c r="AD2877" s="4">
        <f>IFERROR(__xludf.DUMMYFUNCTION("IFERROR(ABS(P2877-AVERAGE(FILTER(O2877:P6945,AA2877:AA6945=""Neighbor""))) / STDEV(FILTER(P2877:P6945, AA2877:AA6945 =""Neighbor"")), """")"),1.0024492711393034)</f>
        <v>1.002449271</v>
      </c>
      <c r="AE2877" s="2">
        <f>IFERROR(__xludf.DUMMYFUNCTION("IFERROR(ABS(Q2877-AVERAGE(FILTER(Q2877:Q6945,AA2877:AA6945=""Neighbor""))) / STDEV(FILTER(Q2877:Q6945, AA2877:AA6945 =""Neighbor"")), """")"),0.11441717405934511)</f>
        <v>0.1144171741</v>
      </c>
      <c r="AF2877" s="2">
        <f>IFERROR(__xludf.DUMMYFUNCTION("IFERROR(ABS(R2877-AVERAGE(FILTER(R2877:R6945,AA2877:AA6945=""Neighbor""))) / STDEV(FILTER(R2877:R6945, AA2877:AA6945 =""Neighbor"")), """")"),0.759725577803128)</f>
        <v>0.7597255778</v>
      </c>
    </row>
    <row r="2878">
      <c r="A2878" s="2" t="s">
        <v>28</v>
      </c>
      <c r="B2878" s="2" t="s">
        <v>1711</v>
      </c>
      <c r="C2878" s="2" t="s">
        <v>1980</v>
      </c>
      <c r="D2878" s="2" t="s">
        <v>11760</v>
      </c>
      <c r="E2878" s="2" t="s">
        <v>11761</v>
      </c>
      <c r="F2878" s="2">
        <v>100.0</v>
      </c>
      <c r="G2878" s="2">
        <v>173.0</v>
      </c>
      <c r="H2878" s="2" t="b">
        <v>1</v>
      </c>
      <c r="I2878" s="2">
        <v>-1.0</v>
      </c>
      <c r="J2878" s="2" t="b">
        <v>0</v>
      </c>
      <c r="K2878" s="2" t="b">
        <v>0</v>
      </c>
      <c r="L2878" s="2" t="b">
        <v>0</v>
      </c>
      <c r="M2878" s="2" t="b">
        <v>0</v>
      </c>
      <c r="N2878" s="2" t="s">
        <v>33</v>
      </c>
      <c r="O2878" s="2">
        <v>54.0</v>
      </c>
      <c r="P2878" s="2">
        <v>8.0</v>
      </c>
      <c r="Q2878" s="2">
        <v>18.0</v>
      </c>
      <c r="R2878" s="2">
        <v>2.0</v>
      </c>
      <c r="S2878" s="3" t="s">
        <v>11762</v>
      </c>
      <c r="T2878" s="2" t="s">
        <v>11763</v>
      </c>
      <c r="Y2878" s="4" t="str">
        <f>IFERROR(__xludf.DUMMYFUNCTION("""COMPUTED_VALUE"""),"6.7037611")</f>
        <v>6.7037611</v>
      </c>
      <c r="Z2878" s="4" t="str">
        <f>IFERROR(__xludf.DUMMYFUNCTION("""COMPUTED_VALUE"""),"3.2952095")</f>
        <v>3.2952095</v>
      </c>
      <c r="AA2878" s="4" t="str">
        <f t="shared" si="1"/>
        <v>Not Neighbor</v>
      </c>
      <c r="AC2878" s="4">
        <f>IFERROR(__xludf.DUMMYFUNCTION("IFERROR(ABS(O2878-AVERAGE(FILTER(O2878:O6946,AA2878:AA6946=""Neighbor""))) / STDEV(FILTER(O2878:O6946, AA2878:AA6946 =""Neighbor"")), """")"),0.1725127199521687)</f>
        <v>0.17251272</v>
      </c>
      <c r="AD2878" s="4">
        <f>IFERROR(__xludf.DUMMYFUNCTION("IFERROR(ABS(P2878-AVERAGE(FILTER(O2878:P6946,AA2878:AA6946=""Neighbor""))) / STDEV(FILTER(P2878:P6946, AA2878:AA6946 =""Neighbor"")), """")"),1.0439364929918649)</f>
        <v>1.043936493</v>
      </c>
      <c r="AE2878" s="2">
        <f>IFERROR(__xludf.DUMMYFUNCTION("IFERROR(ABS(Q2878-AVERAGE(FILTER(Q2878:Q6946,AA2878:AA6946=""Neighbor""))) / STDEV(FILTER(Q2878:Q6946, AA2878:AA6946 =""Neighbor"")), """")"),0.1732753743251674)</f>
        <v>0.1732753743</v>
      </c>
      <c r="AF2878" s="2">
        <f>IFERROR(__xludf.DUMMYFUNCTION("IFERROR(ABS(R2878-AVERAGE(FILTER(R2878:R6946,AA2878:AA6946=""Neighbor""))) / STDEV(FILTER(R2878:R6946, AA2878:AA6946 =""Neighbor"")), """")"),1.8601918632588217)</f>
        <v>1.860191863</v>
      </c>
    </row>
    <row r="2879">
      <c r="A2879" s="2" t="s">
        <v>28</v>
      </c>
      <c r="B2879" s="2" t="s">
        <v>1711</v>
      </c>
      <c r="C2879" s="2" t="s">
        <v>1980</v>
      </c>
      <c r="D2879" s="2" t="s">
        <v>11764</v>
      </c>
      <c r="E2879" s="2" t="s">
        <v>11765</v>
      </c>
      <c r="F2879" s="2">
        <v>128.0</v>
      </c>
      <c r="G2879" s="2">
        <v>251.0</v>
      </c>
      <c r="H2879" s="2" t="b">
        <v>1</v>
      </c>
      <c r="I2879" s="2">
        <v>-1.0</v>
      </c>
      <c r="J2879" s="2" t="b">
        <v>0</v>
      </c>
      <c r="K2879" s="2" t="b">
        <v>0</v>
      </c>
      <c r="L2879" s="2" t="b">
        <v>0</v>
      </c>
      <c r="M2879" s="2" t="b">
        <v>0</v>
      </c>
      <c r="N2879" s="2" t="s">
        <v>33</v>
      </c>
      <c r="O2879" s="2">
        <v>90.0</v>
      </c>
      <c r="P2879" s="2">
        <v>89.0</v>
      </c>
      <c r="Q2879" s="2">
        <v>9.0</v>
      </c>
      <c r="R2879" s="2">
        <v>2.0</v>
      </c>
      <c r="S2879" s="3" t="s">
        <v>11766</v>
      </c>
      <c r="T2879" s="2" t="s">
        <v>11767</v>
      </c>
      <c r="Y2879" s="4" t="str">
        <f>IFERROR(__xludf.DUMMYFUNCTION("""COMPUTED_VALUE"""),"6.7429921")</f>
        <v>6.7429921</v>
      </c>
      <c r="Z2879" s="4" t="str">
        <f>IFERROR(__xludf.DUMMYFUNCTION("""COMPUTED_VALUE"""),"3.2666287")</f>
        <v>3.2666287</v>
      </c>
      <c r="AA2879" s="4" t="str">
        <f t="shared" si="1"/>
        <v>Not Neighbor</v>
      </c>
      <c r="AC2879" s="4">
        <f>IFERROR(__xludf.DUMMYFUNCTION("IFERROR(ABS(O2879-AVERAGE(FILTER(O2879:O6947,AA2879:AA6947=""Neighbor""))) / STDEV(FILTER(O2879:O6947, AA2879:AA6947 =""Neighbor"")), """")"),1.2020791276971268)</f>
        <v>1.202079128</v>
      </c>
      <c r="AD2879" s="4">
        <f>IFERROR(__xludf.DUMMYFUNCTION("IFERROR(ABS(P2879-AVERAGE(FILTER(O2879:P6947,AA2879:AA6947=""Neighbor""))) / STDEV(FILTER(P2879:P6947, AA2879:AA6947 =""Neighbor"")), """")"),2.3165284770656225)</f>
        <v>2.316528477</v>
      </c>
      <c r="AE2879" s="2">
        <f>IFERROR(__xludf.DUMMYFUNCTION("IFERROR(ABS(Q2879-AVERAGE(FILTER(Q2879:Q6947,AA2879:AA6947=""Neighbor""))) / STDEV(FILTER(Q2879:Q6947, AA2879:AA6947 =""Neighbor"")), """")"),0.3445712127669551)</f>
        <v>0.3445712128</v>
      </c>
      <c r="AF2879" s="2">
        <f>IFERROR(__xludf.DUMMYFUNCTION("IFERROR(ABS(R2879-AVERAGE(FILTER(R2879:R6947,AA2879:AA6947=""Neighbor""))) / STDEV(FILTER(R2879:R6947, AA2879:AA6947 =""Neighbor"")), """")"),1.8601918632588217)</f>
        <v>1.860191863</v>
      </c>
    </row>
    <row r="2880">
      <c r="A2880" s="2" t="s">
        <v>28</v>
      </c>
      <c r="B2880" s="2" t="s">
        <v>1711</v>
      </c>
      <c r="C2880" s="2" t="s">
        <v>1980</v>
      </c>
      <c r="D2880" s="2" t="s">
        <v>11768</v>
      </c>
      <c r="E2880" s="2" t="s">
        <v>11769</v>
      </c>
      <c r="F2880" s="2">
        <v>74.0</v>
      </c>
      <c r="G2880" s="2">
        <v>110.0</v>
      </c>
      <c r="H2880" s="2" t="b">
        <v>1</v>
      </c>
      <c r="I2880" s="2">
        <v>-1.0</v>
      </c>
      <c r="J2880" s="2" t="b">
        <v>0</v>
      </c>
      <c r="K2880" s="2" t="b">
        <v>0</v>
      </c>
      <c r="L2880" s="2" t="b">
        <v>0</v>
      </c>
      <c r="M2880" s="2" t="b">
        <v>0</v>
      </c>
      <c r="N2880" s="2" t="s">
        <v>33</v>
      </c>
      <c r="O2880" s="2">
        <v>54.0</v>
      </c>
      <c r="P2880" s="2">
        <v>12.0</v>
      </c>
      <c r="Q2880" s="2">
        <v>5.0</v>
      </c>
      <c r="R2880" s="2">
        <v>1.0</v>
      </c>
      <c r="S2880" s="3" t="s">
        <v>11770</v>
      </c>
      <c r="T2880" s="2" t="s">
        <v>11771</v>
      </c>
      <c r="Y2880" s="4" t="str">
        <f>IFERROR(__xludf.DUMMYFUNCTION("""COMPUTED_VALUE"""),"6.7011444")</f>
        <v>6.7011444</v>
      </c>
      <c r="Z2880" s="4" t="str">
        <f>IFERROR(__xludf.DUMMYFUNCTION("""COMPUTED_VALUE"""),"3.2795281")</f>
        <v>3.2795281</v>
      </c>
      <c r="AA2880" s="4" t="str">
        <f t="shared" si="1"/>
        <v>Not Neighbor</v>
      </c>
      <c r="AC2880" s="4">
        <f>IFERROR(__xludf.DUMMYFUNCTION("IFERROR(ABS(O2880-AVERAGE(FILTER(O2880:O6948,AA2880:AA6948=""Neighbor""))) / STDEV(FILTER(O2880:O6948, AA2880:AA6948 =""Neighbor"")), """")"),0.1725127199521687)</f>
        <v>0.17251272</v>
      </c>
      <c r="AD2880" s="4">
        <f>IFERROR(__xludf.DUMMYFUNCTION("IFERROR(ABS(P2880-AVERAGE(FILTER(O2880:P6948,AA2880:AA6948=""Neighbor""))) / STDEV(FILTER(P2880:P6948, AA2880:AA6948 =""Neighbor"")), """")"),0.8779876055816186)</f>
        <v>0.8779876056</v>
      </c>
      <c r="AE2880" s="2">
        <f>IFERROR(__xludf.DUMMYFUNCTION("IFERROR(ABS(Q2880-AVERAGE(FILTER(Q2880:Q6948,AA2880:AA6948=""Neighbor""))) / STDEV(FILTER(Q2880:Q6948, AA2880:AA6948 =""Neighbor"")), """")"),0.5747252514745651)</f>
        <v>0.5747252515</v>
      </c>
      <c r="AF2880" s="2">
        <f>IFERROR(__xludf.DUMMYFUNCTION("IFERROR(ABS(R2880-AVERAGE(FILTER(R2880:R6948,AA2880:AA6948=""Neighbor""))) / STDEV(FILTER(R2880:R6948, AA2880:AA6948 =""Neighbor"")), """")"),0.759725577803128)</f>
        <v>0.7597255778</v>
      </c>
    </row>
    <row r="2881">
      <c r="A2881" s="2" t="s">
        <v>28</v>
      </c>
      <c r="B2881" s="2" t="s">
        <v>1711</v>
      </c>
      <c r="C2881" s="2" t="s">
        <v>1980</v>
      </c>
      <c r="D2881" s="2" t="s">
        <v>11772</v>
      </c>
      <c r="E2881" s="2" t="s">
        <v>11773</v>
      </c>
      <c r="F2881" s="2">
        <v>119.0</v>
      </c>
      <c r="G2881" s="2">
        <v>298.0</v>
      </c>
      <c r="H2881" s="2" t="b">
        <v>1</v>
      </c>
      <c r="I2881" s="2">
        <v>-1.0</v>
      </c>
      <c r="J2881" s="2" t="b">
        <v>0</v>
      </c>
      <c r="K2881" s="2" t="b">
        <v>0</v>
      </c>
      <c r="L2881" s="2" t="b">
        <v>0</v>
      </c>
      <c r="M2881" s="2" t="b">
        <v>0</v>
      </c>
      <c r="N2881" s="2" t="s">
        <v>33</v>
      </c>
      <c r="O2881" s="2">
        <v>76.0</v>
      </c>
      <c r="P2881" s="2">
        <v>27.0</v>
      </c>
      <c r="Q2881" s="2">
        <v>6.0</v>
      </c>
      <c r="R2881" s="2">
        <v>0.0</v>
      </c>
      <c r="S2881" s="3" t="s">
        <v>11774</v>
      </c>
      <c r="T2881" s="2" t="s">
        <v>11775</v>
      </c>
      <c r="Y2881" s="4" t="str">
        <f>IFERROR(__xludf.DUMMYFUNCTION("""COMPUTED_VALUE"""),"6.7429921")</f>
        <v>6.7429921</v>
      </c>
      <c r="Z2881" s="4" t="str">
        <f>IFERROR(__xludf.DUMMYFUNCTION("""COMPUTED_VALUE"""),"3.2666287")</f>
        <v>3.2666287</v>
      </c>
      <c r="AA2881" s="4" t="str">
        <f t="shared" si="1"/>
        <v>Neighbor</v>
      </c>
      <c r="AC2881" s="4">
        <f>IFERROR(__xludf.DUMMYFUNCTION("IFERROR(ABS(O2881-AVERAGE(FILTER(O2881:O6949,AA2881:AA6949=""Neighbor""))) / STDEV(FILTER(O2881:O6949, AA2881:AA6949 =""Neighbor"")), """")"),0.8016921913518652)</f>
        <v>0.8016921914</v>
      </c>
      <c r="AD2881" s="4">
        <f>IFERROR(__xludf.DUMMYFUNCTION("IFERROR(ABS(P2881-AVERAGE(FILTER(O2881:P6949,AA2881:AA6949=""Neighbor""))) / STDEV(FILTER(P2881:P6949, AA2881:AA6949 =""Neighbor"")), """")"),0.255679277793195)</f>
        <v>0.2556792778</v>
      </c>
      <c r="AE2881" s="2">
        <f>IFERROR(__xludf.DUMMYFUNCTION("IFERROR(ABS(Q2881-AVERAGE(FILTER(Q2881:Q6949,AA2881:AA6949=""Neighbor""))) / STDEV(FILTER(Q2881:Q6949, AA2881:AA6949 =""Neighbor"")), """")"),0.5171867417976627)</f>
        <v>0.5171867418</v>
      </c>
      <c r="AF2881" s="2">
        <f>IFERROR(__xludf.DUMMYFUNCTION("IFERROR(ABS(R2881-AVERAGE(FILTER(R2881:R6949,AA2881:AA6949=""Neighbor""))) / STDEV(FILTER(R2881:R6949, AA2881:AA6949 =""Neighbor"")), """")"),0.34074070765256564)</f>
        <v>0.3407407077</v>
      </c>
    </row>
    <row r="2882">
      <c r="A2882" s="2" t="s">
        <v>28</v>
      </c>
      <c r="B2882" s="2" t="s">
        <v>1711</v>
      </c>
      <c r="C2882" s="2" t="s">
        <v>1980</v>
      </c>
      <c r="D2882" s="2" t="s">
        <v>11776</v>
      </c>
      <c r="E2882" s="2" t="s">
        <v>11777</v>
      </c>
      <c r="F2882" s="2">
        <v>126.0</v>
      </c>
      <c r="G2882" s="2">
        <v>251.0</v>
      </c>
      <c r="H2882" s="2" t="b">
        <v>1</v>
      </c>
      <c r="I2882" s="2">
        <v>-1.0</v>
      </c>
      <c r="J2882" s="2" t="b">
        <v>0</v>
      </c>
      <c r="K2882" s="2" t="b">
        <v>0</v>
      </c>
      <c r="L2882" s="2" t="b">
        <v>0</v>
      </c>
      <c r="M2882" s="2" t="b">
        <v>0</v>
      </c>
      <c r="N2882" s="2" t="s">
        <v>33</v>
      </c>
      <c r="O2882" s="2">
        <v>73.0</v>
      </c>
      <c r="P2882" s="2">
        <v>11.0</v>
      </c>
      <c r="Q2882" s="2">
        <v>34.0</v>
      </c>
      <c r="R2882" s="2">
        <v>0.0</v>
      </c>
      <c r="S2882" s="3" t="s">
        <v>11778</v>
      </c>
      <c r="T2882" s="2" t="s">
        <v>11779</v>
      </c>
      <c r="Y2882" s="4" t="str">
        <f>IFERROR(__xludf.DUMMYFUNCTION("""COMPUTED_VALUE"""),"6.7429921")</f>
        <v>6.7429921</v>
      </c>
      <c r="Z2882" s="4" t="str">
        <f>IFERROR(__xludf.DUMMYFUNCTION("""COMPUTED_VALUE"""),"3.2666287")</f>
        <v>3.2666287</v>
      </c>
      <c r="AA2882" s="4" t="str">
        <f t="shared" si="1"/>
        <v>Not Neighbor</v>
      </c>
      <c r="AC2882" s="4">
        <f>IFERROR(__xludf.DUMMYFUNCTION("IFERROR(ABS(O2882-AVERAGE(FILTER(O2882:O6950,AA2882:AA6950=""Neighbor""))) / STDEV(FILTER(O2882:O6950, AA2882:AA6950 =""Neighbor"")), """")"),0.717443925598774)</f>
        <v>0.7174439256</v>
      </c>
      <c r="AD2882" s="4">
        <f>IFERROR(__xludf.DUMMYFUNCTION("IFERROR(ABS(P2882-AVERAGE(FILTER(O2882:P6950,AA2882:AA6950=""Neighbor""))) / STDEV(FILTER(P2882:P6950, AA2882:AA6950 =""Neighbor"")), """")"),0.9168062840973079)</f>
        <v>0.9168062841</v>
      </c>
      <c r="AE2882" s="2">
        <f>IFERROR(__xludf.DUMMYFUNCTION("IFERROR(ABS(Q2882-AVERAGE(FILTER(Q2882:Q6950,AA2882:AA6950=""Neighbor""))) / STDEV(FILTER(Q2882:Q6950, AA2882:AA6950 =""Neighbor"")), """")"),1.0917823842526704)</f>
        <v>1.091782384</v>
      </c>
      <c r="AF2882" s="2">
        <f>IFERROR(__xludf.DUMMYFUNCTION("IFERROR(ABS(R2882-AVERAGE(FILTER(R2882:R6950,AA2882:AA6950=""Neighbor""))) / STDEV(FILTER(R2882:R6950, AA2882:AA6950 =""Neighbor"")), """")"),0.3411768762594478)</f>
        <v>0.3411768763</v>
      </c>
    </row>
    <row r="2883">
      <c r="A2883" s="2" t="s">
        <v>28</v>
      </c>
      <c r="B2883" s="2" t="s">
        <v>1711</v>
      </c>
      <c r="C2883" s="2" t="s">
        <v>1980</v>
      </c>
      <c r="D2883" s="2" t="s">
        <v>11780</v>
      </c>
      <c r="E2883" s="2" t="s">
        <v>11781</v>
      </c>
      <c r="F2883" s="2">
        <v>77.0</v>
      </c>
      <c r="G2883" s="2">
        <v>188.0</v>
      </c>
      <c r="H2883" s="2" t="b">
        <v>1</v>
      </c>
      <c r="I2883" s="2">
        <v>-1.0</v>
      </c>
      <c r="J2883" s="2" t="b">
        <v>0</v>
      </c>
      <c r="K2883" s="2" t="b">
        <v>1</v>
      </c>
      <c r="L2883" s="2" t="b">
        <v>0</v>
      </c>
      <c r="M2883" s="2" t="b">
        <v>0</v>
      </c>
      <c r="N2883" s="2" t="s">
        <v>33</v>
      </c>
      <c r="O2883" s="2">
        <v>50.0</v>
      </c>
      <c r="P2883" s="2">
        <v>5.0</v>
      </c>
      <c r="Q2883" s="2">
        <v>7.0</v>
      </c>
      <c r="R2883" s="2">
        <v>0.0</v>
      </c>
      <c r="S2883" s="3" t="s">
        <v>11782</v>
      </c>
      <c r="T2883" s="2" t="s">
        <v>11783</v>
      </c>
      <c r="Y2883" s="4" t="str">
        <f>IFERROR(__xludf.DUMMYFUNCTION("""COMPUTED_VALUE"""),"6.742272")</f>
        <v>6.742272</v>
      </c>
      <c r="Z2883" s="4" t="str">
        <f>IFERROR(__xludf.DUMMYFUNCTION("""COMPUTED_VALUE"""),"3.2497269")</f>
        <v>3.2497269</v>
      </c>
      <c r="AA2883" s="4" t="str">
        <f t="shared" si="1"/>
        <v>Not Neighbor</v>
      </c>
      <c r="AC2883" s="4">
        <f>IFERROR(__xludf.DUMMYFUNCTION("IFERROR(ABS(O2883-AVERAGE(FILTER(O2883:O6951,AA2883:AA6951=""Neighbor""))) / STDEV(FILTER(O2883:O6951, AA2883:AA6951 =""Neighbor"")), """")"),0.059934859406987465)</f>
        <v>0.05993485941</v>
      </c>
      <c r="AD2883" s="4">
        <f>IFERROR(__xludf.DUMMYFUNCTION("IFERROR(ABS(P2883-AVERAGE(FILTER(O2883:P6951,AA2883:AA6951=""Neighbor""))) / STDEV(FILTER(P2883:P6951, AA2883:AA6951 =""Neighbor"")), """")"),1.1654801631821583)</f>
        <v>1.165480163</v>
      </c>
      <c r="AE2883" s="2">
        <f>IFERROR(__xludf.DUMMYFUNCTION("IFERROR(ABS(Q2883-AVERAGE(FILTER(Q2883:Q6951,AA2883:AA6951=""Neighbor""))) / STDEV(FILTER(Q2883:Q6951, AA2883:AA6951 =""Neighbor"")), """")"),0.4604490771984388)</f>
        <v>0.4604490772</v>
      </c>
      <c r="AF2883" s="2">
        <f>IFERROR(__xludf.DUMMYFUNCTION("IFERROR(ABS(R2883-AVERAGE(FILTER(R2883:R6951,AA2883:AA6951=""Neighbor""))) / STDEV(FILTER(R2883:R6951, AA2883:AA6951 =""Neighbor"")), """")"),0.3411768762594478)</f>
        <v>0.3411768763</v>
      </c>
    </row>
    <row r="2884">
      <c r="A2884" s="2" t="s">
        <v>28</v>
      </c>
      <c r="B2884" s="2" t="s">
        <v>1711</v>
      </c>
      <c r="C2884" s="2" t="s">
        <v>1980</v>
      </c>
      <c r="D2884" s="2" t="s">
        <v>11784</v>
      </c>
      <c r="E2884" s="2" t="s">
        <v>11785</v>
      </c>
      <c r="F2884" s="2">
        <v>104.0</v>
      </c>
      <c r="G2884" s="2">
        <v>239.0</v>
      </c>
      <c r="H2884" s="2" t="b">
        <v>1</v>
      </c>
      <c r="I2884" s="2">
        <v>-1.0</v>
      </c>
      <c r="J2884" s="2" t="b">
        <v>0</v>
      </c>
      <c r="K2884" s="2" t="b">
        <v>0</v>
      </c>
      <c r="L2884" s="2" t="b">
        <v>0</v>
      </c>
      <c r="M2884" s="2" t="b">
        <v>0</v>
      </c>
      <c r="N2884" s="2" t="s">
        <v>33</v>
      </c>
      <c r="O2884" s="2">
        <v>106.0</v>
      </c>
      <c r="P2884" s="2">
        <v>17.0</v>
      </c>
      <c r="Q2884" s="2">
        <v>8.0</v>
      </c>
      <c r="R2884" s="2">
        <v>1.0</v>
      </c>
      <c r="S2884" s="3" t="s">
        <v>11786</v>
      </c>
      <c r="T2884" s="2" t="s">
        <v>11787</v>
      </c>
      <c r="Y2884" s="4" t="str">
        <f>IFERROR(__xludf.DUMMYFUNCTION("""COMPUTED_VALUE"""),"6.7057672")</f>
        <v>6.7057672</v>
      </c>
      <c r="Z2884" s="4" t="str">
        <f>IFERROR(__xludf.DUMMYFUNCTION("""COMPUTED_VALUE"""),"3.2629109")</f>
        <v>3.2629109</v>
      </c>
      <c r="AA2884" s="4" t="str">
        <f t="shared" si="1"/>
        <v>Not Neighbor</v>
      </c>
      <c r="AC2884" s="4">
        <f>IFERROR(__xludf.DUMMYFUNCTION("IFERROR(ABS(O2884-AVERAGE(FILTER(O2884:O6952,AA2884:AA6952=""Neighbor""))) / STDEV(FILTER(O2884:O6952, AA2884:AA6952 =""Neighbor"")), """")"),1.660826498830468)</f>
        <v>1.660826499</v>
      </c>
      <c r="AD2884" s="4">
        <f>IFERROR(__xludf.DUMMYFUNCTION("IFERROR(ABS(P2884-AVERAGE(FILTER(O2884:P6952,AA2884:AA6952=""Neighbor""))) / STDEV(FILTER(P2884:P6952, AA2884:AA6952 =""Neighbor"")), """")"),0.6681324050124574)</f>
        <v>0.668132405</v>
      </c>
      <c r="AE2884" s="2">
        <f>IFERROR(__xludf.DUMMYFUNCTION("IFERROR(ABS(Q2884-AVERAGE(FILTER(Q2884:Q6952,AA2884:AA6952=""Neighbor""))) / STDEV(FILTER(Q2884:Q6952, AA2884:AA6952 =""Neighbor"")), """")"),0.40295902307062)</f>
        <v>0.4029590231</v>
      </c>
      <c r="AF2884" s="2">
        <f>IFERROR(__xludf.DUMMYFUNCTION("IFERROR(ABS(R2884-AVERAGE(FILTER(R2884:R6952,AA2884:AA6952=""Neighbor""))) / STDEV(FILTER(R2884:R6952, AA2884:AA6952 =""Neighbor"")), """")"),0.7581708361321062)</f>
        <v>0.7581708361</v>
      </c>
    </row>
    <row r="2885">
      <c r="A2885" s="2" t="s">
        <v>28</v>
      </c>
      <c r="B2885" s="2" t="s">
        <v>1711</v>
      </c>
      <c r="C2885" s="2" t="s">
        <v>1980</v>
      </c>
      <c r="D2885" s="2" t="s">
        <v>11788</v>
      </c>
      <c r="E2885" s="2" t="s">
        <v>11789</v>
      </c>
      <c r="F2885" s="2">
        <v>189.0</v>
      </c>
      <c r="G2885" s="2">
        <v>443.0</v>
      </c>
      <c r="H2885" s="2" t="b">
        <v>1</v>
      </c>
      <c r="I2885" s="2">
        <v>-1.0</v>
      </c>
      <c r="J2885" s="2" t="b">
        <v>0</v>
      </c>
      <c r="K2885" s="2" t="b">
        <v>0</v>
      </c>
      <c r="L2885" s="2" t="b">
        <v>0</v>
      </c>
      <c r="M2885" s="2" t="b">
        <v>0</v>
      </c>
      <c r="N2885" s="2" t="s">
        <v>33</v>
      </c>
      <c r="O2885" s="2">
        <v>131.0</v>
      </c>
      <c r="P2885" s="2">
        <v>6.0</v>
      </c>
      <c r="Q2885" s="2">
        <v>11.0</v>
      </c>
      <c r="R2885" s="2">
        <v>0.0</v>
      </c>
      <c r="S2885" s="3" t="s">
        <v>11790</v>
      </c>
      <c r="T2885" s="2" t="s">
        <v>11791</v>
      </c>
      <c r="Y2885" s="4" t="str">
        <f>IFERROR(__xludf.DUMMYFUNCTION("""COMPUTED_VALUE"""),"6.7520243")</f>
        <v>6.7520243</v>
      </c>
      <c r="Z2885" s="4" t="str">
        <f>IFERROR(__xludf.DUMMYFUNCTION("""COMPUTED_VALUE"""),"3.249464")</f>
        <v>3.249464</v>
      </c>
      <c r="AA2885" s="4" t="str">
        <f t="shared" si="1"/>
        <v>Not Neighbor</v>
      </c>
      <c r="AC2885" s="4">
        <f>IFERROR(__xludf.DUMMYFUNCTION("IFERROR(ABS(O2885-AVERAGE(FILTER(O2885:O6953,AA2885:AA6953=""Neighbor""))) / STDEV(FILTER(O2885:O6953, AA2885:AA6953 =""Neighbor"")), """")"),2.375510266430236)</f>
        <v>2.375510266</v>
      </c>
      <c r="AD2885" s="4">
        <f>IFERROR(__xludf.DUMMYFUNCTION("IFERROR(ABS(P2885-AVERAGE(FILTER(O2885:P6953,AA2885:AA6953=""Neighbor""))) / STDEV(FILTER(P2885:P6953, AA2885:AA6953 =""Neighbor"")), """")"),1.1240345166680166)</f>
        <v>1.124034517</v>
      </c>
      <c r="AE2885" s="2">
        <f>IFERROR(__xludf.DUMMYFUNCTION("IFERROR(ABS(Q2885-AVERAGE(FILTER(Q2885:Q6953,AA2885:AA6953=""Neighbor""))) / STDEV(FILTER(Q2885:Q6953, AA2885:AA6953 =""Neighbor"")), """")"),0.2304888606871634)</f>
        <v>0.2304888607</v>
      </c>
      <c r="AF2885" s="2">
        <f>IFERROR(__xludf.DUMMYFUNCTION("IFERROR(ABS(R2885-AVERAGE(FILTER(R2885:R6953,AA2885:AA6953=""Neighbor""))) / STDEV(FILTER(R2885:R6953, AA2885:AA6953 =""Neighbor"")), """")"),0.3411768762594478)</f>
        <v>0.3411768763</v>
      </c>
    </row>
    <row r="2886">
      <c r="A2886" s="2" t="s">
        <v>28</v>
      </c>
      <c r="B2886" s="2" t="s">
        <v>1711</v>
      </c>
      <c r="C2886" s="2" t="s">
        <v>1980</v>
      </c>
      <c r="D2886" s="2" t="s">
        <v>11792</v>
      </c>
      <c r="E2886" s="2" t="s">
        <v>11793</v>
      </c>
      <c r="F2886" s="2">
        <v>64.0</v>
      </c>
      <c r="G2886" s="2">
        <v>115.0</v>
      </c>
      <c r="H2886" s="2" t="b">
        <v>1</v>
      </c>
      <c r="I2886" s="2">
        <v>-1.0</v>
      </c>
      <c r="J2886" s="2" t="b">
        <v>0</v>
      </c>
      <c r="K2886" s="2" t="b">
        <v>0</v>
      </c>
      <c r="L2886" s="2" t="b">
        <v>0</v>
      </c>
      <c r="M2886" s="2" t="b">
        <v>0</v>
      </c>
      <c r="N2886" s="2" t="s">
        <v>33</v>
      </c>
      <c r="O2886" s="2">
        <v>41.0</v>
      </c>
      <c r="P2886" s="2">
        <v>7.0</v>
      </c>
      <c r="Q2886" s="2">
        <v>8.0</v>
      </c>
      <c r="R2886" s="2">
        <v>0.0</v>
      </c>
      <c r="S2886" s="3" t="s">
        <v>11794</v>
      </c>
      <c r="T2886" s="2" t="s">
        <v>11795</v>
      </c>
      <c r="Y2886" s="4" t="str">
        <f>IFERROR(__xludf.DUMMYFUNCTION("""COMPUTED_VALUE"""),"6.7429921")</f>
        <v>6.7429921</v>
      </c>
      <c r="Z2886" s="4" t="str">
        <f>IFERROR(__xludf.DUMMYFUNCTION("""COMPUTED_VALUE"""),"3.2666287")</f>
        <v>3.2666287</v>
      </c>
      <c r="AA2886" s="4" t="str">
        <f t="shared" si="1"/>
        <v>Not Neighbor</v>
      </c>
      <c r="AC2886" s="4">
        <f>IFERROR(__xludf.DUMMYFUNCTION("IFERROR(ABS(O2886-AVERAGE(FILTER(O2886:O6954,AA2886:AA6954=""Neighbor""))) / STDEV(FILTER(O2886:O6954, AA2886:AA6954 =""Neighbor"")), """")"),0.19735129692892903)</f>
        <v>0.1973512969</v>
      </c>
      <c r="AD2886" s="4">
        <f>IFERROR(__xludf.DUMMYFUNCTION("IFERROR(ABS(P2886-AVERAGE(FILTER(O2886:P6954,AA2886:AA6954=""Neighbor""))) / STDEV(FILTER(P2886:P6954, AA2886:AA6954 =""Neighbor"")), """")"),1.0825888701538748)</f>
        <v>1.08258887</v>
      </c>
      <c r="AE2886" s="2">
        <f>IFERROR(__xludf.DUMMYFUNCTION("IFERROR(ABS(Q2886-AVERAGE(FILTER(Q2886:Q6954,AA2886:AA6954=""Neighbor""))) / STDEV(FILTER(Q2886:Q6954, AA2886:AA6954 =""Neighbor"")), """")"),0.40295902307062)</f>
        <v>0.4029590231</v>
      </c>
      <c r="AF2886" s="2">
        <f>IFERROR(__xludf.DUMMYFUNCTION("IFERROR(ABS(R2886-AVERAGE(FILTER(R2886:R6954,AA2886:AA6954=""Neighbor""))) / STDEV(FILTER(R2886:R6954, AA2886:AA6954 =""Neighbor"")), """")"),0.3411768762594478)</f>
        <v>0.3411768763</v>
      </c>
    </row>
    <row r="2887">
      <c r="A2887" s="2" t="s">
        <v>28</v>
      </c>
      <c r="B2887" s="2" t="s">
        <v>1711</v>
      </c>
      <c r="C2887" s="2" t="s">
        <v>1980</v>
      </c>
      <c r="D2887" s="2" t="s">
        <v>11796</v>
      </c>
      <c r="E2887" s="2" t="s">
        <v>11797</v>
      </c>
      <c r="F2887" s="2">
        <v>113.0</v>
      </c>
      <c r="G2887" s="2">
        <v>258.0</v>
      </c>
      <c r="H2887" s="2" t="b">
        <v>1</v>
      </c>
      <c r="I2887" s="2">
        <v>-1.0</v>
      </c>
      <c r="J2887" s="2" t="b">
        <v>0</v>
      </c>
      <c r="K2887" s="2" t="b">
        <v>0</v>
      </c>
      <c r="L2887" s="2" t="b">
        <v>0</v>
      </c>
      <c r="M2887" s="2" t="b">
        <v>0</v>
      </c>
      <c r="N2887" s="2" t="s">
        <v>33</v>
      </c>
      <c r="O2887" s="2">
        <v>60.0</v>
      </c>
      <c r="P2887" s="2">
        <v>30.0</v>
      </c>
      <c r="Q2887" s="2">
        <v>1.0</v>
      </c>
      <c r="R2887" s="2">
        <v>1.0</v>
      </c>
      <c r="S2887" s="3" t="s">
        <v>11798</v>
      </c>
      <c r="T2887" s="2" t="s">
        <v>11799</v>
      </c>
      <c r="Y2887" s="4" t="str">
        <f>IFERROR(__xludf.DUMMYFUNCTION("""COMPUTED_VALUE"""),"6.7400737")</f>
        <v>6.7400737</v>
      </c>
      <c r="Z2887" s="4" t="str">
        <f>IFERROR(__xludf.DUMMYFUNCTION("""COMPUTED_VALUE"""),"3.2513102")</f>
        <v>3.2513102</v>
      </c>
      <c r="AA2887" s="4" t="str">
        <f t="shared" si="1"/>
        <v>Not Neighbor</v>
      </c>
      <c r="AC2887" s="4">
        <f>IFERROR(__xludf.DUMMYFUNCTION("IFERROR(ABS(O2887-AVERAGE(FILTER(O2887:O6955,AA2887:AA6955=""Neighbor""))) / STDEV(FILTER(O2887:O6955, AA2887:AA6955 =""Neighbor"")), """")"),0.34580836644689467)</f>
        <v>0.3458083664</v>
      </c>
      <c r="AD2887" s="4">
        <f>IFERROR(__xludf.DUMMYFUNCTION("IFERROR(ABS(P2887-AVERAGE(FILTER(O2887:P6955,AA2887:AA6955=""Neighbor""))) / STDEV(FILTER(P2887:P6955, AA2887:AA6955 =""Neighbor"")), """")"),0.12933900032861473)</f>
        <v>0.1293390003</v>
      </c>
      <c r="AE2887" s="2">
        <f>IFERROR(__xludf.DUMMYFUNCTION("IFERROR(ABS(Q2887-AVERAGE(FILTER(Q2887:Q6955,AA2887:AA6955=""Neighbor""))) / STDEV(FILTER(Q2887:Q6955, AA2887:AA6955 =""Neighbor"")), """")"),0.8053894019653519)</f>
        <v>0.805389402</v>
      </c>
      <c r="AF2887" s="2">
        <f>IFERROR(__xludf.DUMMYFUNCTION("IFERROR(ABS(R2887-AVERAGE(FILTER(R2887:R6955,AA2887:AA6955=""Neighbor""))) / STDEV(FILTER(R2887:R6955, AA2887:AA6955 =""Neighbor"")), """")"),0.7581708361321062)</f>
        <v>0.7581708361</v>
      </c>
    </row>
    <row r="2888">
      <c r="A2888" s="2" t="s">
        <v>28</v>
      </c>
      <c r="B2888" s="2" t="s">
        <v>1711</v>
      </c>
      <c r="C2888" s="2" t="s">
        <v>1980</v>
      </c>
      <c r="D2888" s="2" t="s">
        <v>11800</v>
      </c>
      <c r="E2888" s="2" t="s">
        <v>11801</v>
      </c>
      <c r="F2888" s="2">
        <v>57.0</v>
      </c>
      <c r="G2888" s="2">
        <v>227.0</v>
      </c>
      <c r="H2888" s="2" t="b">
        <v>1</v>
      </c>
      <c r="I2888" s="2">
        <v>-1.0</v>
      </c>
      <c r="J2888" s="2" t="b">
        <v>0</v>
      </c>
      <c r="K2888" s="2" t="b">
        <v>0</v>
      </c>
      <c r="L2888" s="2" t="b">
        <v>0</v>
      </c>
      <c r="M2888" s="2" t="b">
        <v>0</v>
      </c>
      <c r="N2888" s="2" t="s">
        <v>33</v>
      </c>
      <c r="O2888" s="2">
        <v>30.0</v>
      </c>
      <c r="P2888" s="2">
        <v>10.0</v>
      </c>
      <c r="Q2888" s="2">
        <v>10.0</v>
      </c>
      <c r="R2888" s="2">
        <v>0.0</v>
      </c>
      <c r="S2888" s="3" t="s">
        <v>11802</v>
      </c>
      <c r="T2888" s="2" t="s">
        <v>11803</v>
      </c>
      <c r="Y2888" s="4" t="str">
        <f>IFERROR(__xludf.DUMMYFUNCTION("""COMPUTED_VALUE"""),"6.7524608")</f>
        <v>6.7524608</v>
      </c>
      <c r="Z2888" s="4" t="str">
        <f>IFERROR(__xludf.DUMMYFUNCTION("""COMPUTED_VALUE"""),"3.267456")</f>
        <v>3.267456</v>
      </c>
      <c r="AA2888" s="4" t="str">
        <f t="shared" si="1"/>
        <v>Not Neighbor</v>
      </c>
      <c r="AC2888" s="4">
        <f>IFERROR(__xludf.DUMMYFUNCTION("IFERROR(ABS(O2888-AVERAGE(FILTER(O2888:O6956,AA2888:AA6956=""Neighbor""))) / STDEV(FILTER(O2888:O6956, AA2888:AA6956 =""Neighbor"")), """")"),0.5118121546728269)</f>
        <v>0.5118121547</v>
      </c>
      <c r="AD2888" s="4">
        <f>IFERROR(__xludf.DUMMYFUNCTION("IFERROR(ABS(P2888-AVERAGE(FILTER(O2888:P6956,AA2888:AA6956=""Neighbor""))) / STDEV(FILTER(P2888:P6956, AA2888:AA6956 =""Neighbor"")), """")"),0.9582519306114496)</f>
        <v>0.9582519306</v>
      </c>
      <c r="AE2888" s="2">
        <f>IFERROR(__xludf.DUMMYFUNCTION("IFERROR(ABS(Q2888-AVERAGE(FILTER(Q2888:Q6956,AA2888:AA6956=""Neighbor""))) / STDEV(FILTER(Q2888:Q6956, AA2888:AA6956 =""Neighbor"")), """")"),0.2879789148149822)</f>
        <v>0.2879789148</v>
      </c>
      <c r="AF2888" s="2">
        <f>IFERROR(__xludf.DUMMYFUNCTION("IFERROR(ABS(R2888-AVERAGE(FILTER(R2888:R6956,AA2888:AA6956=""Neighbor""))) / STDEV(FILTER(R2888:R6956, AA2888:AA6956 =""Neighbor"")), """")"),0.3411768762594478)</f>
        <v>0.3411768763</v>
      </c>
    </row>
    <row r="2889">
      <c r="A2889" s="2" t="s">
        <v>28</v>
      </c>
      <c r="B2889" s="2" t="s">
        <v>1711</v>
      </c>
      <c r="C2889" s="2" t="s">
        <v>1980</v>
      </c>
      <c r="D2889" s="2" t="s">
        <v>11804</v>
      </c>
      <c r="E2889" s="2" t="s">
        <v>11805</v>
      </c>
      <c r="F2889" s="2">
        <v>93.0</v>
      </c>
      <c r="G2889" s="2">
        <v>219.0</v>
      </c>
      <c r="H2889" s="2" t="b">
        <v>1</v>
      </c>
      <c r="I2889" s="2">
        <v>-1.0</v>
      </c>
      <c r="J2889" s="2" t="b">
        <v>0</v>
      </c>
      <c r="K2889" s="2" t="b">
        <v>0</v>
      </c>
      <c r="L2889" s="2" t="b">
        <v>0</v>
      </c>
      <c r="M2889" s="2" t="b">
        <v>0</v>
      </c>
      <c r="N2889" s="2" t="s">
        <v>33</v>
      </c>
      <c r="O2889" s="2">
        <v>36.0</v>
      </c>
      <c r="P2889" s="2">
        <v>19.0</v>
      </c>
      <c r="Q2889" s="2">
        <v>19.0</v>
      </c>
      <c r="R2889" s="2">
        <v>0.0</v>
      </c>
      <c r="S2889" s="3" t="s">
        <v>11806</v>
      </c>
      <c r="T2889" s="2" t="s">
        <v>11807</v>
      </c>
      <c r="Y2889" s="4" t="str">
        <f>IFERROR(__xludf.DUMMYFUNCTION("""COMPUTED_VALUE"""),"6.5589513")</f>
        <v>6.5589513</v>
      </c>
      <c r="Z2889" s="4" t="str">
        <f>IFERROR(__xludf.DUMMYFUNCTION("""COMPUTED_VALUE"""),"3.2649838")</f>
        <v>3.2649838</v>
      </c>
      <c r="AA2889" s="4" t="str">
        <f t="shared" si="1"/>
        <v>Not Neighbor</v>
      </c>
      <c r="AC2889" s="4">
        <f>IFERROR(__xludf.DUMMYFUNCTION("IFERROR(ABS(O2889-AVERAGE(FILTER(O2889:O6957,AA2889:AA6957=""Neighbor""))) / STDEV(FILTER(O2889:O6957, AA2889:AA6957 =""Neighbor"")), """")"),0.34028805044888266)</f>
        <v>0.3402880504</v>
      </c>
      <c r="AD2889" s="4">
        <f>IFERROR(__xludf.DUMMYFUNCTION("IFERROR(ABS(P2889-AVERAGE(FILTER(O2889:P6957,AA2889:AA6957=""Neighbor""))) / STDEV(FILTER(P2889:P6957, AA2889:AA6957 =""Neighbor"")), """")"),0.585241111984174)</f>
        <v>0.585241112</v>
      </c>
      <c r="AE2889" s="2">
        <f>IFERROR(__xludf.DUMMYFUNCTION("IFERROR(ABS(Q2889-AVERAGE(FILTER(Q2889:Q6957,AA2889:AA6957=""Neighbor""))) / STDEV(FILTER(Q2889:Q6957, AA2889:AA6957 =""Neighbor"")), """")"),0.22943157233538744)</f>
        <v>0.2294315723</v>
      </c>
      <c r="AF2889" s="2">
        <f>IFERROR(__xludf.DUMMYFUNCTION("IFERROR(ABS(R2889-AVERAGE(FILTER(R2889:R6957,AA2889:AA6957=""Neighbor""))) / STDEV(FILTER(R2889:R6957, AA2889:AA6957 =""Neighbor"")), """")"),0.3411768762594478)</f>
        <v>0.3411768763</v>
      </c>
    </row>
    <row r="2890">
      <c r="A2890" s="2" t="s">
        <v>28</v>
      </c>
      <c r="B2890" s="2" t="s">
        <v>1711</v>
      </c>
      <c r="C2890" s="2" t="s">
        <v>1980</v>
      </c>
      <c r="D2890" s="2" t="s">
        <v>11808</v>
      </c>
      <c r="E2890" s="2" t="s">
        <v>11809</v>
      </c>
      <c r="F2890" s="2">
        <v>104.0</v>
      </c>
      <c r="G2890" s="2">
        <v>200.0</v>
      </c>
      <c r="H2890" s="2" t="b">
        <v>1</v>
      </c>
      <c r="I2890" s="2">
        <v>-1.0</v>
      </c>
      <c r="J2890" s="2" t="b">
        <v>0</v>
      </c>
      <c r="K2890" s="2" t="b">
        <v>0</v>
      </c>
      <c r="L2890" s="2" t="b">
        <v>0</v>
      </c>
      <c r="M2890" s="2" t="b">
        <v>0</v>
      </c>
      <c r="N2890" s="2" t="s">
        <v>33</v>
      </c>
      <c r="O2890" s="2">
        <v>65.0</v>
      </c>
      <c r="P2890" s="2">
        <v>9.0</v>
      </c>
      <c r="Q2890" s="2">
        <v>4.0</v>
      </c>
      <c r="R2890" s="2">
        <v>1.0</v>
      </c>
      <c r="S2890" s="3" t="s">
        <v>11810</v>
      </c>
      <c r="T2890" s="2" t="s">
        <v>11811</v>
      </c>
      <c r="Y2890" s="4" t="str">
        <f>IFERROR(__xludf.DUMMYFUNCTION("""COMPUTED_VALUE"""),"6.7478977")</f>
        <v>6.7478977</v>
      </c>
      <c r="Z2890" s="4" t="str">
        <f>IFERROR(__xludf.DUMMYFUNCTION("""COMPUTED_VALUE"""),"3.2878486")</f>
        <v>3.2878486</v>
      </c>
      <c r="AA2890" s="4" t="str">
        <f t="shared" si="1"/>
        <v>Not Neighbor</v>
      </c>
      <c r="AC2890" s="4">
        <f>IFERROR(__xludf.DUMMYFUNCTION("IFERROR(ABS(O2890-AVERAGE(FILTER(O2890:O6958,AA2890:AA6958=""Neighbor""))) / STDEV(FILTER(O2890:O6958, AA2890:AA6958 =""Neighbor"")), """")"),0.4887451199668483)</f>
        <v>0.48874512</v>
      </c>
      <c r="AD2890" s="4">
        <f>IFERROR(__xludf.DUMMYFUNCTION("IFERROR(ABS(P2890-AVERAGE(FILTER(O2890:P6958,AA2890:AA6958=""Neighbor""))) / STDEV(FILTER(P2890:P6958, AA2890:AA6958 =""Neighbor"")), """")"),0.9996975771255914)</f>
        <v>0.9996975771</v>
      </c>
      <c r="AE2890" s="2">
        <f>IFERROR(__xludf.DUMMYFUNCTION("IFERROR(ABS(Q2890-AVERAGE(FILTER(Q2890:Q6958,AA2890:AA6958=""Neighbor""))) / STDEV(FILTER(Q2890:Q6958, AA2890:AA6958 =""Neighbor"")), """")"),0.6329192395818953)</f>
        <v>0.6329192396</v>
      </c>
      <c r="AF2890" s="2">
        <f>IFERROR(__xludf.DUMMYFUNCTION("IFERROR(ABS(R2890-AVERAGE(FILTER(R2890:R6958,AA2890:AA6958=""Neighbor""))) / STDEV(FILTER(R2890:R6958, AA2890:AA6958 =""Neighbor"")), """")"),0.7581708361321062)</f>
        <v>0.7581708361</v>
      </c>
    </row>
    <row r="2891">
      <c r="A2891" s="2" t="s">
        <v>28</v>
      </c>
      <c r="B2891" s="2" t="s">
        <v>1711</v>
      </c>
      <c r="C2891" s="2" t="s">
        <v>1980</v>
      </c>
      <c r="D2891" s="2" t="s">
        <v>11812</v>
      </c>
      <c r="E2891" s="2" t="s">
        <v>11813</v>
      </c>
      <c r="F2891" s="2">
        <v>106.0</v>
      </c>
      <c r="G2891" s="2">
        <v>208.0</v>
      </c>
      <c r="H2891" s="2" t="b">
        <v>1</v>
      </c>
      <c r="I2891" s="2">
        <v>-1.0</v>
      </c>
      <c r="J2891" s="2" t="b">
        <v>0</v>
      </c>
      <c r="K2891" s="2" t="b">
        <v>0</v>
      </c>
      <c r="L2891" s="2" t="b">
        <v>0</v>
      </c>
      <c r="M2891" s="2" t="b">
        <v>0</v>
      </c>
      <c r="N2891" s="2" t="s">
        <v>33</v>
      </c>
      <c r="O2891" s="2">
        <v>74.0</v>
      </c>
      <c r="P2891" s="2">
        <v>8.0</v>
      </c>
      <c r="Q2891" s="2">
        <v>0.0</v>
      </c>
      <c r="R2891" s="2">
        <v>0.0</v>
      </c>
      <c r="S2891" s="3" t="s">
        <v>11814</v>
      </c>
      <c r="T2891" s="2" t="s">
        <v>11815</v>
      </c>
      <c r="Y2891" s="4" t="str">
        <f>IFERROR(__xludf.DUMMYFUNCTION("""COMPUTED_VALUE"""),"6.6967138")</f>
        <v>6.6967138</v>
      </c>
      <c r="Z2891" s="4" t="str">
        <f>IFERROR(__xludf.DUMMYFUNCTION("""COMPUTED_VALUE"""),"3.287524")</f>
        <v>3.287524</v>
      </c>
      <c r="AA2891" s="4" t="str">
        <f t="shared" si="1"/>
        <v>Neighbor</v>
      </c>
      <c r="AC2891" s="4">
        <f>IFERROR(__xludf.DUMMYFUNCTION("IFERROR(ABS(O2891-AVERAGE(FILTER(O2891:O6959,AA2891:AA6959=""Neighbor""))) / STDEV(FILTER(O2891:O6959, AA2891:AA6959 =""Neighbor"")), """")"),0.7460312763027648)</f>
        <v>0.7460312763</v>
      </c>
      <c r="AD2891" s="4">
        <f>IFERROR(__xludf.DUMMYFUNCTION("IFERROR(ABS(P2891-AVERAGE(FILTER(O2891:P6959,AA2891:AA6959=""Neighbor""))) / STDEV(FILTER(P2891:P6959, AA2891:AA6959 =""Neighbor"")), """")"),1.041143223639733)</f>
        <v>1.041143224</v>
      </c>
      <c r="AE2891" s="2">
        <f>IFERROR(__xludf.DUMMYFUNCTION("IFERROR(ABS(Q2891-AVERAGE(FILTER(Q2891:Q6959,AA2891:AA6959=""Neighbor""))) / STDEV(FILTER(Q2891:Q6959, AA2891:AA6959 =""Neighbor"")), """")"),0.8628794560931708)</f>
        <v>0.8628794561</v>
      </c>
      <c r="AF2891" s="2">
        <f>IFERROR(__xludf.DUMMYFUNCTION("IFERROR(ABS(R2891-AVERAGE(FILTER(R2891:R6959,AA2891:AA6959=""Neighbor""))) / STDEV(FILTER(R2891:R6959, AA2891:AA6959 =""Neighbor"")), """")"),0.3411768762594478)</f>
        <v>0.3411768763</v>
      </c>
    </row>
    <row r="2892">
      <c r="A2892" s="2" t="s">
        <v>28</v>
      </c>
      <c r="B2892" s="2" t="s">
        <v>1711</v>
      </c>
      <c r="C2892" s="2" t="s">
        <v>1980</v>
      </c>
      <c r="D2892" s="2" t="s">
        <v>11816</v>
      </c>
      <c r="E2892" s="2" t="s">
        <v>11817</v>
      </c>
      <c r="F2892" s="2">
        <v>63.0</v>
      </c>
      <c r="G2892" s="2">
        <v>124.0</v>
      </c>
      <c r="H2892" s="2" t="b">
        <v>1</v>
      </c>
      <c r="I2892" s="2">
        <v>-1.0</v>
      </c>
      <c r="J2892" s="2" t="b">
        <v>0</v>
      </c>
      <c r="K2892" s="2" t="b">
        <v>0</v>
      </c>
      <c r="L2892" s="2" t="b">
        <v>0</v>
      </c>
      <c r="M2892" s="2" t="b">
        <v>0</v>
      </c>
      <c r="N2892" s="2" t="s">
        <v>33</v>
      </c>
      <c r="O2892" s="2">
        <v>54.0</v>
      </c>
      <c r="P2892" s="2">
        <v>4.0</v>
      </c>
      <c r="Q2892" s="2">
        <v>3.0</v>
      </c>
      <c r="R2892" s="2">
        <v>0.0</v>
      </c>
      <c r="S2892" s="3" t="s">
        <v>11818</v>
      </c>
      <c r="T2892" s="2" t="s">
        <v>11819</v>
      </c>
      <c r="Y2892" s="4" t="str">
        <f>IFERROR(__xludf.DUMMYFUNCTION("""COMPUTED_VALUE"""),"6.7011444")</f>
        <v>6.7011444</v>
      </c>
      <c r="Z2892" s="4" t="str">
        <f>IFERROR(__xludf.DUMMYFUNCTION("""COMPUTED_VALUE"""),"3.2795281")</f>
        <v>3.2795281</v>
      </c>
      <c r="AA2892" s="4" t="str">
        <f t="shared" si="1"/>
        <v>Not Neighbor</v>
      </c>
      <c r="AC2892" s="4">
        <f>IFERROR(__xludf.DUMMYFUNCTION("IFERROR(ABS(O2892-AVERAGE(FILTER(O2892:O6960,AA2892:AA6960=""Neighbor""))) / STDEV(FILTER(O2892:O6960, AA2892:AA6960 =""Neighbor"")), """")"),0.1759134348255309)</f>
        <v>0.1759134348</v>
      </c>
      <c r="AD2892" s="4">
        <f>IFERROR(__xludf.DUMMYFUNCTION("IFERROR(ABS(P2892-AVERAGE(FILTER(O2892:P6960,AA2892:AA6960=""Neighbor""))) / STDEV(FILTER(P2892:P6960, AA2892:AA6960 =""Neighbor"")), """")"),1.20503843511946)</f>
        <v>1.205038435</v>
      </c>
      <c r="AE2892" s="2">
        <f>IFERROR(__xludf.DUMMYFUNCTION("IFERROR(ABS(Q2892-AVERAGE(FILTER(Q2892:Q6960,AA2892:AA6960=""Neighbor""))) / STDEV(FILTER(Q2892:Q6960, AA2892:AA6960 =""Neighbor"")), """")"),0.6921947234845075)</f>
        <v>0.6921947235</v>
      </c>
      <c r="AF2892" s="2">
        <f>IFERROR(__xludf.DUMMYFUNCTION("IFERROR(ABS(R2892-AVERAGE(FILTER(R2892:R6960,AA2892:AA6960=""Neighbor""))) / STDEV(FILTER(R2892:R6960, AA2892:AA6960 =""Neighbor"")), """")"),0.3416147246090488)</f>
        <v>0.3416147246</v>
      </c>
    </row>
    <row r="2893">
      <c r="A2893" s="2" t="s">
        <v>28</v>
      </c>
      <c r="B2893" s="2" t="s">
        <v>1711</v>
      </c>
      <c r="C2893" s="2" t="s">
        <v>1980</v>
      </c>
      <c r="D2893" s="2" t="s">
        <v>11820</v>
      </c>
      <c r="E2893" s="2" t="s">
        <v>11821</v>
      </c>
      <c r="F2893" s="2">
        <v>38.0</v>
      </c>
      <c r="G2893" s="2">
        <v>70.0</v>
      </c>
      <c r="H2893" s="2" t="b">
        <v>1</v>
      </c>
      <c r="I2893" s="2">
        <v>-1.0</v>
      </c>
      <c r="J2893" s="2" t="b">
        <v>1</v>
      </c>
      <c r="K2893" s="2" t="b">
        <v>1</v>
      </c>
      <c r="L2893" s="2" t="b">
        <v>0</v>
      </c>
      <c r="M2893" s="2" t="b">
        <v>0</v>
      </c>
      <c r="N2893" s="2" t="s">
        <v>33</v>
      </c>
      <c r="O2893" s="2">
        <v>21.0</v>
      </c>
      <c r="P2893" s="2">
        <v>3.0</v>
      </c>
      <c r="Q2893" s="2">
        <v>9.0</v>
      </c>
      <c r="R2893" s="2">
        <v>1.0</v>
      </c>
      <c r="S2893" s="3" t="s">
        <v>11822</v>
      </c>
      <c r="T2893" s="2" t="s">
        <v>11823</v>
      </c>
      <c r="Y2893" s="4" t="str">
        <f>IFERROR(__xludf.DUMMYFUNCTION("""COMPUTED_VALUE"""),"6.7429921")</f>
        <v>6.7429921</v>
      </c>
      <c r="Z2893" s="4" t="str">
        <f>IFERROR(__xludf.DUMMYFUNCTION("""COMPUTED_VALUE"""),"3.2666287")</f>
        <v>3.2666287</v>
      </c>
      <c r="AA2893" s="4" t="str">
        <f t="shared" si="1"/>
        <v>Neighbor</v>
      </c>
      <c r="AC2893" s="4">
        <f>IFERROR(__xludf.DUMMYFUNCTION("IFERROR(ABS(O2893-AVERAGE(FILTER(O2893:O6961,AA2893:AA6961=""Neighbor""))) / STDEV(FILTER(O2893:O6961, AA2893:AA6961 =""Neighbor"")), """")"),0.7669878427086205)</f>
        <v>0.7669878427</v>
      </c>
      <c r="AD2893" s="4">
        <f>IFERROR(__xludf.DUMMYFUNCTION("IFERROR(ABS(P2893-AVERAGE(FILTER(O2893:P6961,AA2893:AA6961=""Neighbor""))) / STDEV(FILTER(P2893:P6961, AA2893:AA6961 =""Neighbor"")), """")"),1.2464450841707126)</f>
        <v>1.246445084</v>
      </c>
      <c r="AE2893" s="2">
        <f>IFERROR(__xludf.DUMMYFUNCTION("IFERROR(ABS(Q2893-AVERAGE(FILTER(Q2893:Q6961,AA2893:AA6961=""Neighbor""))) / STDEV(FILTER(Q2893:Q6961, AA2893:AA6961 =""Neighbor"")), """")"),0.34735541605124604)</f>
        <v>0.3473554161</v>
      </c>
      <c r="AF2893" s="2">
        <f>IFERROR(__xludf.DUMMYFUNCTION("IFERROR(ABS(R2893-AVERAGE(FILTER(R2893:R6961,AA2893:AA6961=""Neighbor""))) / STDEV(FILTER(R2893:R6961, AA2893:AA6961 =""Neighbor"")), """")"),0.7566133530230043)</f>
        <v>0.756613353</v>
      </c>
    </row>
    <row r="2894">
      <c r="A2894" s="2" t="s">
        <v>28</v>
      </c>
      <c r="B2894" s="2" t="s">
        <v>1711</v>
      </c>
      <c r="C2894" s="2" t="s">
        <v>1980</v>
      </c>
      <c r="D2894" s="2" t="s">
        <v>11824</v>
      </c>
      <c r="E2894" s="2" t="s">
        <v>11825</v>
      </c>
      <c r="F2894" s="2">
        <v>53.0</v>
      </c>
      <c r="G2894" s="2">
        <v>148.0</v>
      </c>
      <c r="H2894" s="2" t="b">
        <v>1</v>
      </c>
      <c r="I2894" s="2">
        <v>-1.0</v>
      </c>
      <c r="J2894" s="2" t="b">
        <v>0</v>
      </c>
      <c r="K2894" s="2" t="b">
        <v>1</v>
      </c>
      <c r="L2894" s="2" t="b">
        <v>0</v>
      </c>
      <c r="M2894" s="2" t="b">
        <v>0</v>
      </c>
      <c r="N2894" s="2" t="s">
        <v>33</v>
      </c>
      <c r="O2894" s="2">
        <v>37.0</v>
      </c>
      <c r="P2894" s="2">
        <v>10.0</v>
      </c>
      <c r="Q2894" s="2">
        <v>3.0</v>
      </c>
      <c r="R2894" s="2">
        <v>0.0</v>
      </c>
      <c r="S2894" s="3" t="s">
        <v>11826</v>
      </c>
      <c r="T2894" s="2" t="s">
        <v>11827</v>
      </c>
      <c r="Y2894" s="4" t="str">
        <f>IFERROR(__xludf.DUMMYFUNCTION("""COMPUTED_VALUE"""),"6.7429921")</f>
        <v>6.7429921</v>
      </c>
      <c r="Z2894" s="4" t="str">
        <f>IFERROR(__xludf.DUMMYFUNCTION("""COMPUTED_VALUE"""),"3.2666287")</f>
        <v>3.2666287</v>
      </c>
      <c r="AA2894" s="4" t="str">
        <f t="shared" si="1"/>
        <v>Neighbor</v>
      </c>
      <c r="AC2894" s="4">
        <f>IFERROR(__xludf.DUMMYFUNCTION("IFERROR(ABS(O2894-AVERAGE(FILTER(O2894:O6962,AA2894:AA6962=""Neighbor""))) / STDEV(FILTER(O2894:O6962, AA2894:AA6962 =""Neighbor"")), """")"),0.311447029651686)</f>
        <v>0.3114470297</v>
      </c>
      <c r="AD2894" s="4">
        <f>IFERROR(__xludf.DUMMYFUNCTION("IFERROR(ABS(P2894-AVERAGE(FILTER(O2894:P6962,AA2894:AA6962=""Neighbor""))) / STDEV(FILTER(P2894:P6962, AA2894:AA6962 =""Neighbor"")), """")"),0.9579576306835763)</f>
        <v>0.9579576307</v>
      </c>
      <c r="AE2894" s="2">
        <f>IFERROR(__xludf.DUMMYFUNCTION("IFERROR(ABS(Q2894-AVERAGE(FILTER(Q2894:Q6962,AA2894:AA6962=""Neighbor""))) / STDEV(FILTER(Q2894:Q6962, AA2894:AA6962 =""Neighbor"")), """")"),0.6922929235150472)</f>
        <v>0.6922929235</v>
      </c>
      <c r="AF2894" s="2">
        <f>IFERROR(__xludf.DUMMYFUNCTION("IFERROR(ABS(R2894-AVERAGE(FILTER(R2894:R6962,AA2894:AA6962=""Neighbor""))) / STDEV(FILTER(R2894:R6962, AA2894:AA6962 =""Neighbor"")), """")"),0.339699815894325)</f>
        <v>0.3396998159</v>
      </c>
    </row>
    <row r="2895">
      <c r="A2895" s="2" t="s">
        <v>28</v>
      </c>
      <c r="B2895" s="2" t="s">
        <v>1711</v>
      </c>
      <c r="C2895" s="2" t="s">
        <v>1980</v>
      </c>
      <c r="D2895" s="2" t="s">
        <v>11828</v>
      </c>
      <c r="E2895" s="2" t="s">
        <v>11829</v>
      </c>
      <c r="F2895" s="2">
        <v>98.0</v>
      </c>
      <c r="G2895" s="2">
        <v>195.0</v>
      </c>
      <c r="H2895" s="2" t="b">
        <v>1</v>
      </c>
      <c r="I2895" s="2">
        <v>-1.0</v>
      </c>
      <c r="J2895" s="2" t="b">
        <v>0</v>
      </c>
      <c r="K2895" s="2" t="b">
        <v>1</v>
      </c>
      <c r="L2895" s="2" t="b">
        <v>0</v>
      </c>
      <c r="M2895" s="2" t="b">
        <v>0</v>
      </c>
      <c r="N2895" s="2" t="s">
        <v>33</v>
      </c>
      <c r="O2895" s="2">
        <v>62.0</v>
      </c>
      <c r="P2895" s="2">
        <v>9.0</v>
      </c>
      <c r="Q2895" s="2">
        <v>8.0</v>
      </c>
      <c r="R2895" s="2">
        <v>0.0</v>
      </c>
      <c r="S2895" s="3" t="s">
        <v>11830</v>
      </c>
      <c r="T2895" s="2" t="s">
        <v>11831</v>
      </c>
      <c r="Y2895" s="4" t="str">
        <f>IFERROR(__xludf.DUMMYFUNCTION("""COMPUTED_VALUE"""),"6.7429921")</f>
        <v>6.7429921</v>
      </c>
      <c r="Z2895" s="4" t="str">
        <f>IFERROR(__xludf.DUMMYFUNCTION("""COMPUTED_VALUE"""),"3.2666287")</f>
        <v>3.2666287</v>
      </c>
      <c r="AA2895" s="4" t="str">
        <f t="shared" si="1"/>
        <v>Not Neighbor</v>
      </c>
      <c r="AC2895" s="4">
        <f>IFERROR(__xludf.DUMMYFUNCTION("IFERROR(ABS(O2895-AVERAGE(FILTER(O2895:O6963,AA2895:AA6963=""Neighbor""))) / STDEV(FILTER(O2895:O6963, AA2895:AA6963 =""Neighbor"")), """")"),0.4013919820543598)</f>
        <v>0.4013919821</v>
      </c>
      <c r="AD2895" s="4">
        <f>IFERROR(__xludf.DUMMYFUNCTION("IFERROR(ABS(P2895-AVERAGE(FILTER(O2895:P6963,AA2895:AA6963=""Neighbor""))) / STDEV(FILTER(P2895:P6963, AA2895:AA6963 =""Neighbor"")), """")"),0.9992418270542555)</f>
        <v>0.9992418271</v>
      </c>
      <c r="AE2895" s="2">
        <f>IFERROR(__xludf.DUMMYFUNCTION("IFERROR(ABS(Q2895-AVERAGE(FILTER(Q2895:Q6963,AA2895:AA6963=""Neighbor""))) / STDEV(FILTER(Q2895:Q6963, AA2895:AA6963 =""Neighbor"")), """")"),0.406576281448086)</f>
        <v>0.4065762814</v>
      </c>
      <c r="AF2895" s="2">
        <f>IFERROR(__xludf.DUMMYFUNCTION("IFERROR(ABS(R2895-AVERAGE(FILTER(R2895:R6963,AA2895:AA6963=""Neighbor""))) / STDEV(FILTER(R2895:R6963, AA2895:AA6963 =""Neighbor"")), """")"),0.3401373855445551)</f>
        <v>0.3401373855</v>
      </c>
    </row>
    <row r="2896">
      <c r="A2896" s="2" t="s">
        <v>28</v>
      </c>
      <c r="B2896" s="2" t="s">
        <v>1711</v>
      </c>
      <c r="C2896" s="2" t="s">
        <v>2098</v>
      </c>
      <c r="D2896" s="2" t="s">
        <v>11832</v>
      </c>
      <c r="E2896" s="2" t="s">
        <v>11833</v>
      </c>
      <c r="F2896" s="2">
        <v>236.0</v>
      </c>
      <c r="G2896" s="2">
        <v>750.0</v>
      </c>
      <c r="H2896" s="2" t="b">
        <v>1</v>
      </c>
      <c r="I2896" s="2">
        <v>-1.0</v>
      </c>
      <c r="J2896" s="2" t="b">
        <v>0</v>
      </c>
      <c r="K2896" s="2" t="b">
        <v>0</v>
      </c>
      <c r="L2896" s="2" t="b">
        <v>0</v>
      </c>
      <c r="M2896" s="2" t="b">
        <v>0</v>
      </c>
      <c r="N2896" s="2" t="s">
        <v>33</v>
      </c>
      <c r="O2896" s="2">
        <v>128.0</v>
      </c>
      <c r="P2896" s="2">
        <v>66.0</v>
      </c>
      <c r="Q2896" s="2">
        <v>18.0</v>
      </c>
      <c r="R2896" s="2">
        <v>2.0</v>
      </c>
      <c r="S2896" s="3" t="s">
        <v>11834</v>
      </c>
      <c r="T2896" s="2" t="s">
        <v>11835</v>
      </c>
      <c r="Y2896" s="4" t="str">
        <f>IFERROR(__xludf.DUMMYFUNCTION("""COMPUTED_VALUE"""),"6.675666")</f>
        <v>6.675666</v>
      </c>
      <c r="Z2896" s="4" t="str">
        <f>IFERROR(__xludf.DUMMYFUNCTION("""COMPUTED_VALUE"""),"3.1237785")</f>
        <v>3.1237785</v>
      </c>
      <c r="AA2896" s="4" t="str">
        <f t="shared" si="1"/>
        <v>Not Neighbor</v>
      </c>
      <c r="AC2896" s="4">
        <f>IFERROR(__xludf.DUMMYFUNCTION("IFERROR(ABS(O2896-AVERAGE(FILTER(O2896:O6964,AA2896:AA6964=""Neighbor""))) / STDEV(FILTER(O2896:O6964, AA2896:AA6964 =""Neighbor"")), """")"),2.2843285059658287)</f>
        <v>2.284328506</v>
      </c>
      <c r="AD2896" s="4">
        <f>IFERROR(__xludf.DUMMYFUNCTION("IFERROR(ABS(P2896-AVERAGE(FILTER(O2896:P6964,AA2896:AA6964=""Neighbor""))) / STDEV(FILTER(P2896:P6964, AA2896:AA6964 =""Neighbor"")), """")"),1.3569135640578753)</f>
        <v>1.356913564</v>
      </c>
      <c r="AE2896" s="2">
        <f>IFERROR(__xludf.DUMMYFUNCTION("IFERROR(ABS(Q2896-AVERAGE(FILTER(Q2896:Q6964,AA2896:AA6964=""Neighbor""))) / STDEV(FILTER(Q2896:Q6964, AA2896:AA6964 =""Neighbor"")), """")"),0.16722624578344988)</f>
        <v>0.1672262458</v>
      </c>
      <c r="AF2896" s="2">
        <f>IFERROR(__xludf.DUMMYFUNCTION("IFERROR(ABS(R2896-AVERAGE(FILTER(R2896:R6964,AA2896:AA6964=""Neighbor""))) / STDEV(FILTER(R2896:R6964, AA2896:AA6964 =""Neighbor"")), """")"),1.8529872496083972)</f>
        <v>1.85298725</v>
      </c>
    </row>
    <row r="2897">
      <c r="A2897" s="2" t="s">
        <v>28</v>
      </c>
      <c r="B2897" s="2" t="s">
        <v>1711</v>
      </c>
      <c r="C2897" s="2" t="s">
        <v>2098</v>
      </c>
      <c r="D2897" s="2" t="s">
        <v>11836</v>
      </c>
      <c r="E2897" s="2" t="s">
        <v>11837</v>
      </c>
      <c r="F2897" s="2">
        <v>92.0</v>
      </c>
      <c r="G2897" s="2">
        <v>155.0</v>
      </c>
      <c r="H2897" s="2" t="b">
        <v>1</v>
      </c>
      <c r="I2897" s="2">
        <v>-1.0</v>
      </c>
      <c r="J2897" s="2" t="b">
        <v>0</v>
      </c>
      <c r="K2897" s="2" t="b">
        <v>0</v>
      </c>
      <c r="L2897" s="2" t="b">
        <v>0</v>
      </c>
      <c r="M2897" s="2" t="b">
        <v>0</v>
      </c>
      <c r="N2897" s="2" t="s">
        <v>33</v>
      </c>
      <c r="O2897" s="2">
        <v>51.0</v>
      </c>
      <c r="P2897" s="2">
        <v>17.0</v>
      </c>
      <c r="Q2897" s="2">
        <v>1.0</v>
      </c>
      <c r="R2897" s="2">
        <v>1.0</v>
      </c>
      <c r="S2897" s="3" t="s">
        <v>11838</v>
      </c>
      <c r="T2897" s="2" t="s">
        <v>11839</v>
      </c>
      <c r="Y2897" s="4" t="str">
        <f>IFERROR(__xludf.DUMMYFUNCTION("""COMPUTED_VALUE"""),"6.6117188")</f>
        <v>6.6117188</v>
      </c>
      <c r="Z2897" s="4" t="str">
        <f>IFERROR(__xludf.DUMMYFUNCTION("""COMPUTED_VALUE"""),"3.0576199")</f>
        <v>3.0576199</v>
      </c>
      <c r="AA2897" s="4" t="str">
        <f t="shared" si="1"/>
        <v>Not Neighbor</v>
      </c>
      <c r="AC2897" s="4">
        <f>IFERROR(__xludf.DUMMYFUNCTION("IFERROR(ABS(O2897-AVERAGE(FILTER(O2897:O6965,AA2897:AA6965=""Neighbor""))) / STDEV(FILTER(O2897:O6965, AA2897:AA6965 =""Neighbor"")), """")"),0.08756922806911499)</f>
        <v>0.08756922807</v>
      </c>
      <c r="AD2897" s="4">
        <f>IFERROR(__xludf.DUMMYFUNCTION("IFERROR(ABS(P2897-AVERAGE(FILTER(O2897:P6965,AA2897:AA6965=""Neighbor""))) / STDEV(FILTER(P2897:P6965, AA2897:AA6965 =""Neighbor"")), """")"),0.6685533511086932)</f>
        <v>0.6685533511</v>
      </c>
      <c r="AE2897" s="2">
        <f>IFERROR(__xludf.DUMMYFUNCTION("IFERROR(ABS(Q2897-AVERAGE(FILTER(Q2897:Q6965,AA2897:AA6965=""Neighbor""))) / STDEV(FILTER(Q2897:Q6965, AA2897:AA6965 =""Neighbor"")), """")"),0.8082380505101611)</f>
        <v>0.8082380505</v>
      </c>
      <c r="AF2897" s="2">
        <f>IFERROR(__xludf.DUMMYFUNCTION("IFERROR(ABS(R2897-AVERAGE(FILTER(R2897:R6965,AA2897:AA6965=""Neighbor""))) / STDEV(FILTER(R2897:R6965, AA2897:AA6965 =""Neighbor"")), """")"),0.7564249320319211)</f>
        <v>0.756424932</v>
      </c>
    </row>
    <row r="2898">
      <c r="A2898" s="2" t="s">
        <v>28</v>
      </c>
      <c r="B2898" s="2" t="s">
        <v>1711</v>
      </c>
      <c r="C2898" s="2" t="s">
        <v>2098</v>
      </c>
      <c r="D2898" s="2" t="s">
        <v>11840</v>
      </c>
      <c r="E2898" s="2" t="s">
        <v>11841</v>
      </c>
      <c r="F2898" s="2">
        <v>171.0</v>
      </c>
      <c r="G2898" s="2">
        <v>352.0</v>
      </c>
      <c r="H2898" s="2" t="b">
        <v>1</v>
      </c>
      <c r="I2898" s="2">
        <v>-1.0</v>
      </c>
      <c r="J2898" s="2" t="b">
        <v>0</v>
      </c>
      <c r="K2898" s="2" t="b">
        <v>0</v>
      </c>
      <c r="L2898" s="2" t="b">
        <v>0</v>
      </c>
      <c r="M2898" s="2" t="b">
        <v>0</v>
      </c>
      <c r="N2898" s="2" t="s">
        <v>33</v>
      </c>
      <c r="O2898" s="2">
        <v>142.0</v>
      </c>
      <c r="P2898" s="2">
        <v>14.0</v>
      </c>
      <c r="Q2898" s="2">
        <v>7.0</v>
      </c>
      <c r="R2898" s="2">
        <v>2.0</v>
      </c>
      <c r="S2898" s="3" t="s">
        <v>11842</v>
      </c>
      <c r="T2898" s="2" t="s">
        <v>11843</v>
      </c>
      <c r="Y2898" s="4" t="str">
        <f>IFERROR(__xludf.DUMMYFUNCTION("""COMPUTED_VALUE"""),"6.6748496")</f>
        <v>6.6748496</v>
      </c>
      <c r="Z2898" s="4" t="str">
        <f>IFERROR(__xludf.DUMMYFUNCTION("""COMPUTED_VALUE"""),"3.1182041")</f>
        <v>3.1182041</v>
      </c>
      <c r="AA2898" s="4" t="str">
        <f t="shared" si="1"/>
        <v>Not Neighbor</v>
      </c>
      <c r="AC2898" s="4">
        <f>IFERROR(__xludf.DUMMYFUNCTION("IFERROR(ABS(O2898-AVERAGE(FILTER(O2898:O6966,AA2898:AA6966=""Neighbor""))) / STDEV(FILTER(O2898:O6966, AA2898:AA6966 =""Neighbor"")), """")"),2.683739283765231)</f>
        <v>2.683739284</v>
      </c>
      <c r="AD2898" s="4">
        <f>IFERROR(__xludf.DUMMYFUNCTION("IFERROR(ABS(P2898-AVERAGE(FILTER(O2898:P6966,AA2898:AA6966=""Neighbor""))) / STDEV(FILTER(P2898:P6966, AA2898:AA6966 =""Neighbor"")), """")"),0.7925615295882791)</f>
        <v>0.7925615296</v>
      </c>
      <c r="AE2898" s="2">
        <f>IFERROR(__xludf.DUMMYFUNCTION("IFERROR(ABS(Q2898-AVERAGE(FILTER(Q2898:Q6966,AA2898:AA6966=""Neighbor""))) / STDEV(FILTER(Q2898:Q6966, AA2898:AA6966 =""Neighbor"")), """")"),0.46395653417123955)</f>
        <v>0.4639565342</v>
      </c>
      <c r="AF2898" s="2">
        <f>IFERROR(__xludf.DUMMYFUNCTION("IFERROR(ABS(R2898-AVERAGE(FILTER(R2898:R6966,AA2898:AA6966=""Neighbor""))) / STDEV(FILTER(R2898:R6966, AA2898:AA6966 =""Neighbor"")), """")"),1.8529872496083972)</f>
        <v>1.85298725</v>
      </c>
    </row>
    <row r="2899">
      <c r="A2899" s="2" t="s">
        <v>28</v>
      </c>
      <c r="B2899" s="2" t="s">
        <v>1711</v>
      </c>
      <c r="C2899" s="2" t="s">
        <v>2098</v>
      </c>
      <c r="D2899" s="2" t="s">
        <v>11844</v>
      </c>
      <c r="E2899" s="2" t="s">
        <v>11845</v>
      </c>
      <c r="F2899" s="2">
        <v>261.0</v>
      </c>
      <c r="G2899" s="2">
        <v>750.0</v>
      </c>
      <c r="H2899" s="2" t="b">
        <v>1</v>
      </c>
      <c r="I2899" s="2">
        <v>-1.0</v>
      </c>
      <c r="J2899" s="2" t="b">
        <v>0</v>
      </c>
      <c r="K2899" s="2" t="b">
        <v>1</v>
      </c>
      <c r="L2899" s="2" t="b">
        <v>0</v>
      </c>
      <c r="M2899" s="2" t="b">
        <v>0</v>
      </c>
      <c r="N2899" s="2" t="s">
        <v>33</v>
      </c>
      <c r="O2899" s="2">
        <v>170.0</v>
      </c>
      <c r="P2899" s="2">
        <v>53.0</v>
      </c>
      <c r="Q2899" s="2">
        <v>22.0</v>
      </c>
      <c r="R2899" s="2">
        <v>1.0</v>
      </c>
      <c r="S2899" s="3" t="s">
        <v>11846</v>
      </c>
      <c r="T2899" s="2" t="s">
        <v>11847</v>
      </c>
      <c r="Y2899" s="4" t="str">
        <f>IFERROR(__xludf.DUMMYFUNCTION("""COMPUTED_VALUE"""),"6.5745819")</f>
        <v>6.5745819</v>
      </c>
      <c r="Z2899" s="4" t="str">
        <f>IFERROR(__xludf.DUMMYFUNCTION("""COMPUTED_VALUE"""),"3.1509286")</f>
        <v>3.1509286</v>
      </c>
      <c r="AA2899" s="4" t="str">
        <f t="shared" si="1"/>
        <v>Not Neighbor</v>
      </c>
      <c r="AC2899" s="4">
        <f>IFERROR(__xludf.DUMMYFUNCTION("IFERROR(ABS(O2899-AVERAGE(FILTER(O2899:O6967,AA2899:AA6967=""Neighbor""))) / STDEV(FILTER(O2899:O6967, AA2899:AA6967 =""Neighbor"")), """")"),3.482560839364036)</f>
        <v>3.482560839</v>
      </c>
      <c r="AD2899" s="4">
        <f>IFERROR(__xludf.DUMMYFUNCTION("IFERROR(ABS(P2899-AVERAGE(FILTER(O2899:P6967,AA2899:AA6967=""Neighbor""))) / STDEV(FILTER(P2899:P6967, AA2899:AA6967 =""Neighbor"")), """")"),0.8195447906463368)</f>
        <v>0.8195447906</v>
      </c>
      <c r="AE2899" s="2">
        <f>IFERROR(__xludf.DUMMYFUNCTION("IFERROR(ABS(Q2899-AVERAGE(FILTER(Q2899:Q6967,AA2899:AA6967=""Neighbor""))) / STDEV(FILTER(Q2899:Q6967, AA2899:AA6967 =""Neighbor"")), """")"),0.39674725667606425)</f>
        <v>0.3967472567</v>
      </c>
      <c r="AF2899" s="2">
        <f>IFERROR(__xludf.DUMMYFUNCTION("IFERROR(ABS(R2899-AVERAGE(FILTER(R2899:R6967,AA2899:AA6967=""Neighbor""))) / STDEV(FILTER(R2899:R6967, AA2899:AA6967 =""Neighbor"")), """")"),0.7564249320319211)</f>
        <v>0.756424932</v>
      </c>
    </row>
    <row r="2900">
      <c r="A2900" s="2" t="s">
        <v>28</v>
      </c>
      <c r="B2900" s="2" t="s">
        <v>1711</v>
      </c>
      <c r="C2900" s="2" t="s">
        <v>2098</v>
      </c>
      <c r="D2900" s="2" t="s">
        <v>11848</v>
      </c>
      <c r="E2900" s="2" t="s">
        <v>11849</v>
      </c>
      <c r="F2900" s="2">
        <v>134.0</v>
      </c>
      <c r="G2900" s="2">
        <v>308.0</v>
      </c>
      <c r="H2900" s="2" t="b">
        <v>1</v>
      </c>
      <c r="I2900" s="2">
        <v>-1.0</v>
      </c>
      <c r="J2900" s="2" t="b">
        <v>0</v>
      </c>
      <c r="K2900" s="2" t="b">
        <v>0</v>
      </c>
      <c r="L2900" s="2" t="b">
        <v>0</v>
      </c>
      <c r="M2900" s="2" t="b">
        <v>0</v>
      </c>
      <c r="N2900" s="2" t="s">
        <v>33</v>
      </c>
      <c r="O2900" s="2">
        <v>97.0</v>
      </c>
      <c r="P2900" s="2">
        <v>17.0</v>
      </c>
      <c r="Q2900" s="2">
        <v>17.0</v>
      </c>
      <c r="R2900" s="2">
        <v>1.0</v>
      </c>
      <c r="S2900" s="3" t="s">
        <v>11850</v>
      </c>
      <c r="T2900" s="2" t="s">
        <v>11851</v>
      </c>
      <c r="Y2900" s="4" t="str">
        <f>IFERROR(__xludf.DUMMYFUNCTION("""COMPUTED_VALUE"""),"6.7046247")</f>
        <v>6.7046247</v>
      </c>
      <c r="Z2900" s="4" t="str">
        <f>IFERROR(__xludf.DUMMYFUNCTION("""COMPUTED_VALUE"""),"3.1403256")</f>
        <v>3.1403256</v>
      </c>
      <c r="AA2900" s="4" t="str">
        <f t="shared" si="1"/>
        <v>Not Neighbor</v>
      </c>
      <c r="AC2900" s="4">
        <f>IFERROR(__xludf.DUMMYFUNCTION("IFERROR(ABS(O2900-AVERAGE(FILTER(O2900:O6968,AA2900:AA6968=""Neighbor""))) / STDEV(FILTER(O2900:O6968, AA2900:AA6968 =""Neighbor"")), """")"),1.399918926552866)</f>
        <v>1.399918927</v>
      </c>
      <c r="AD2900" s="4">
        <f>IFERROR(__xludf.DUMMYFUNCTION("IFERROR(ABS(P2900-AVERAGE(FILTER(O2900:P6968,AA2900:AA6968=""Neighbor""))) / STDEV(FILTER(P2900:P6968, AA2900:AA6968 =""Neighbor"")), """")"),0.6685533511086932)</f>
        <v>0.6685533511</v>
      </c>
      <c r="AE2900" s="2">
        <f>IFERROR(__xludf.DUMMYFUNCTION("IFERROR(ABS(Q2900-AVERAGE(FILTER(Q2900:Q6968,AA2900:AA6968=""Neighbor""))) / STDEV(FILTER(Q2900:Q6968, AA2900:AA6968 =""Neighbor"")), """")"),0.1098459930602963)</f>
        <v>0.1098459931</v>
      </c>
      <c r="AF2900" s="2">
        <f>IFERROR(__xludf.DUMMYFUNCTION("IFERROR(ABS(R2900-AVERAGE(FILTER(R2900:R6968,AA2900:AA6968=""Neighbor""))) / STDEV(FILTER(R2900:R6968, AA2900:AA6968 =""Neighbor"")), """")"),0.7564249320319211)</f>
        <v>0.756424932</v>
      </c>
    </row>
    <row r="2901">
      <c r="A2901" s="2" t="s">
        <v>28</v>
      </c>
      <c r="B2901" s="2" t="s">
        <v>1711</v>
      </c>
      <c r="C2901" s="2" t="s">
        <v>2098</v>
      </c>
      <c r="D2901" s="2" t="s">
        <v>11852</v>
      </c>
      <c r="E2901" s="2" t="s">
        <v>11853</v>
      </c>
      <c r="F2901" s="2">
        <v>166.0</v>
      </c>
      <c r="G2901" s="2">
        <v>289.0</v>
      </c>
      <c r="H2901" s="2" t="b">
        <v>1</v>
      </c>
      <c r="I2901" s="2">
        <v>-1.0</v>
      </c>
      <c r="J2901" s="2" t="b">
        <v>0</v>
      </c>
      <c r="K2901" s="2" t="b">
        <v>0</v>
      </c>
      <c r="L2901" s="2" t="b">
        <v>0</v>
      </c>
      <c r="M2901" s="2" t="b">
        <v>0</v>
      </c>
      <c r="N2901" s="2" t="s">
        <v>33</v>
      </c>
      <c r="O2901" s="2">
        <v>88.0</v>
      </c>
      <c r="P2901" s="2">
        <v>33.0</v>
      </c>
      <c r="Q2901" s="2">
        <v>30.0</v>
      </c>
      <c r="R2901" s="2">
        <v>0.0</v>
      </c>
      <c r="S2901" s="3" t="s">
        <v>11854</v>
      </c>
      <c r="T2901" s="2" t="s">
        <v>11855</v>
      </c>
      <c r="Y2901" s="4" t="str">
        <f>IFERROR(__xludf.DUMMYFUNCTION("""COMPUTED_VALUE"""),"6.6335474")</f>
        <v>6.6335474</v>
      </c>
      <c r="Z2901" s="4" t="str">
        <f>IFERROR(__xludf.DUMMYFUNCTION("""COMPUTED_VALUE"""),"3.1756205")</f>
        <v>3.1756205</v>
      </c>
      <c r="AA2901" s="4" t="str">
        <f t="shared" si="1"/>
        <v>Not Neighbor</v>
      </c>
      <c r="AC2901" s="4">
        <f>IFERROR(__xludf.DUMMYFUNCTION("IFERROR(ABS(O2901-AVERAGE(FILTER(O2901:O6969,AA2901:AA6969=""Neighbor""))) / STDEV(FILTER(O2901:O6969, AA2901:AA6969 =""Neighbor"")), """")"),1.143154855110393)</f>
        <v>1.143154855</v>
      </c>
      <c r="AD2901" s="4">
        <f>IFERROR(__xludf.DUMMYFUNCTION("IFERROR(ABS(P2901-AVERAGE(FILTER(O2901:P6969,AA2901:AA6969=""Neighbor""))) / STDEV(FILTER(P2901:P6969, AA2901:AA6969 =""Neighbor"")), """")"),0.0071763992175687555)</f>
        <v>0.007176399218</v>
      </c>
      <c r="AE2901" s="2">
        <f>IFERROR(__xludf.DUMMYFUNCTION("IFERROR(ABS(Q2901-AVERAGE(FILTER(Q2901:Q6969,AA2901:AA6969=""Neighbor""))) / STDEV(FILTER(Q2901:Q6969, AA2901:AA6969 =""Neighbor"")), """")"),0.8557892784612929)</f>
        <v>0.8557892785</v>
      </c>
      <c r="AF2901" s="2">
        <f>IFERROR(__xludf.DUMMYFUNCTION("IFERROR(ABS(R2901-AVERAGE(FILTER(R2901:R6969,AA2901:AA6969=""Neighbor""))) / STDEV(FILTER(R2901:R6969, AA2901:AA6969 =""Neighbor"")), """")"),0.3401373855445551)</f>
        <v>0.3401373855</v>
      </c>
    </row>
    <row r="2902">
      <c r="A2902" s="2" t="s">
        <v>28</v>
      </c>
      <c r="B2902" s="2" t="s">
        <v>1711</v>
      </c>
      <c r="C2902" s="2" t="s">
        <v>2098</v>
      </c>
      <c r="D2902" s="2" t="s">
        <v>11856</v>
      </c>
      <c r="E2902" s="2" t="s">
        <v>11857</v>
      </c>
      <c r="F2902" s="2">
        <v>77.0</v>
      </c>
      <c r="G2902" s="2">
        <v>102.0</v>
      </c>
      <c r="H2902" s="2" t="b">
        <v>1</v>
      </c>
      <c r="I2902" s="2">
        <v>-1.0</v>
      </c>
      <c r="J2902" s="2" t="b">
        <v>0</v>
      </c>
      <c r="K2902" s="2" t="b">
        <v>0</v>
      </c>
      <c r="L2902" s="2" t="b">
        <v>0</v>
      </c>
      <c r="M2902" s="2" t="b">
        <v>0</v>
      </c>
      <c r="N2902" s="2" t="s">
        <v>33</v>
      </c>
      <c r="O2902" s="2">
        <v>66.0</v>
      </c>
      <c r="P2902" s="2">
        <v>6.0</v>
      </c>
      <c r="Q2902" s="2">
        <v>1.0</v>
      </c>
      <c r="R2902" s="2">
        <v>0.0</v>
      </c>
      <c r="S2902" s="3" t="s">
        <v>11858</v>
      </c>
      <c r="T2902" s="2" t="s">
        <v>11859</v>
      </c>
      <c r="Y2902" s="4" t="str">
        <f>IFERROR(__xludf.DUMMYFUNCTION("""COMPUTED_VALUE"""),"6.6689235")</f>
        <v>6.6689235</v>
      </c>
      <c r="Z2902" s="4" t="str">
        <f>IFERROR(__xludf.DUMMYFUNCTION("""COMPUTED_VALUE"""),"3.1702494")</f>
        <v>3.1702494</v>
      </c>
      <c r="AA2902" s="4" t="str">
        <f t="shared" si="1"/>
        <v>Neighbor</v>
      </c>
      <c r="AC2902" s="4">
        <f>IFERROR(__xludf.DUMMYFUNCTION("IFERROR(ABS(O2902-AVERAGE(FILTER(O2902:O6970,AA2902:AA6970=""Neighbor""))) / STDEV(FILTER(O2902:O6970, AA2902:AA6970 =""Neighbor"")), """")"),0.5155093471399034)</f>
        <v>0.5155093471</v>
      </c>
      <c r="AD2902" s="4">
        <f>IFERROR(__xludf.DUMMYFUNCTION("IFERROR(ABS(P2902-AVERAGE(FILTER(O2902:P6970,AA2902:AA6970=""Neighbor""))) / STDEV(FILTER(P2902:P6970, AA2902:AA6970 =""Neighbor"")), """")"),1.1232500055338412)</f>
        <v>1.123250006</v>
      </c>
      <c r="AE2902" s="2">
        <f>IFERROR(__xludf.DUMMYFUNCTION("IFERROR(ABS(Q2902-AVERAGE(FILTER(Q2902:Q6970,AA2902:AA6970=""Neighbor""))) / STDEV(FILTER(Q2902:Q6970, AA2902:AA6970 =""Neighbor"")), """")"),0.8082380505101611)</f>
        <v>0.8082380505</v>
      </c>
      <c r="AF2902" s="2">
        <f>IFERROR(__xludf.DUMMYFUNCTION("IFERROR(ABS(R2902-AVERAGE(FILTER(R2902:R6970,AA2902:AA6970=""Neighbor""))) / STDEV(FILTER(R2902:R6970, AA2902:AA6970 =""Neighbor"")), """")"),0.3401373855445551)</f>
        <v>0.3401373855</v>
      </c>
    </row>
    <row r="2903">
      <c r="A2903" s="2" t="s">
        <v>28</v>
      </c>
      <c r="B2903" s="2" t="s">
        <v>1711</v>
      </c>
      <c r="C2903" s="2" t="s">
        <v>2098</v>
      </c>
      <c r="D2903" s="2" t="s">
        <v>11860</v>
      </c>
      <c r="E2903" s="2" t="s">
        <v>11861</v>
      </c>
      <c r="F2903" s="2">
        <v>60.0</v>
      </c>
      <c r="G2903" s="2">
        <v>164.0</v>
      </c>
      <c r="H2903" s="2" t="b">
        <v>1</v>
      </c>
      <c r="I2903" s="2">
        <v>-1.0</v>
      </c>
      <c r="J2903" s="2" t="b">
        <v>0</v>
      </c>
      <c r="K2903" s="2" t="b">
        <v>0</v>
      </c>
      <c r="L2903" s="2" t="b">
        <v>0</v>
      </c>
      <c r="M2903" s="2" t="b">
        <v>0</v>
      </c>
      <c r="N2903" s="2" t="s">
        <v>33</v>
      </c>
      <c r="O2903" s="2">
        <v>39.0</v>
      </c>
      <c r="P2903" s="2">
        <v>11.0</v>
      </c>
      <c r="Q2903" s="2">
        <v>3.0</v>
      </c>
      <c r="R2903" s="2">
        <v>0.0</v>
      </c>
      <c r="S2903" s="3" t="s">
        <v>11862</v>
      </c>
      <c r="T2903" s="2" t="s">
        <v>11863</v>
      </c>
      <c r="Y2903" s="4" t="str">
        <f>IFERROR(__xludf.DUMMYFUNCTION("""COMPUTED_VALUE"""),"6.6689235")</f>
        <v>6.6689235</v>
      </c>
      <c r="Z2903" s="4" t="str">
        <f>IFERROR(__xludf.DUMMYFUNCTION("""COMPUTED_VALUE"""),"3.1702494")</f>
        <v>3.1702494</v>
      </c>
      <c r="AA2903" s="4" t="str">
        <f t="shared" si="1"/>
        <v>Neighbor</v>
      </c>
      <c r="AC2903" s="4">
        <f>IFERROR(__xludf.DUMMYFUNCTION("IFERROR(ABS(O2903-AVERAGE(FILTER(O2903:O6971,AA2903:AA6971=""Neighbor""))) / STDEV(FILTER(O2903:O6971, AA2903:AA6971 =""Neighbor"")), """")"),0.2533707409171934)</f>
        <v>0.2533707409</v>
      </c>
      <c r="AD2903" s="4">
        <f>IFERROR(__xludf.DUMMYFUNCTION("IFERROR(ABS(P2903-AVERAGE(FILTER(O2903:P6971,AA2903:AA6971=""Neighbor""))) / STDEV(FILTER(P2903:P6971, AA2903:AA6971 =""Neighbor"")), """")"),0.9155155064355904)</f>
        <v>0.9155155064</v>
      </c>
      <c r="AE2903" s="2">
        <f>IFERROR(__xludf.DUMMYFUNCTION("IFERROR(ABS(Q2903-AVERAGE(FILTER(Q2903:Q6971,AA2903:AA6971=""Neighbor""))) / STDEV(FILTER(Q2903:Q6971, AA2903:AA6971 =""Neighbor"")), """")"),0.6950738351720169)</f>
        <v>0.6950738352</v>
      </c>
      <c r="AF2903" s="2">
        <f>IFERROR(__xludf.DUMMYFUNCTION("IFERROR(ABS(R2903-AVERAGE(FILTER(R2903:R6971,AA2903:AA6971=""Neighbor""))) / STDEV(FILTER(R2903:R6971, AA2903:AA6971 =""Neighbor"")), """")"),0.34057665095443224)</f>
        <v>0.340576651</v>
      </c>
    </row>
    <row r="2904">
      <c r="A2904" s="2" t="s">
        <v>28</v>
      </c>
      <c r="B2904" s="2" t="s">
        <v>1711</v>
      </c>
      <c r="C2904" s="2" t="s">
        <v>2098</v>
      </c>
      <c r="D2904" s="2" t="s">
        <v>11864</v>
      </c>
      <c r="E2904" s="2" t="s">
        <v>11865</v>
      </c>
      <c r="F2904" s="2">
        <v>53.0</v>
      </c>
      <c r="G2904" s="2">
        <v>66.0</v>
      </c>
      <c r="H2904" s="2" t="b">
        <v>1</v>
      </c>
      <c r="I2904" s="2">
        <v>-1.0</v>
      </c>
      <c r="J2904" s="2" t="b">
        <v>0</v>
      </c>
      <c r="K2904" s="2" t="b">
        <v>0</v>
      </c>
      <c r="L2904" s="2" t="b">
        <v>0</v>
      </c>
      <c r="M2904" s="2" t="b">
        <v>0</v>
      </c>
      <c r="N2904" s="2" t="s">
        <v>33</v>
      </c>
      <c r="O2904" s="2">
        <v>40.0</v>
      </c>
      <c r="P2904" s="2">
        <v>3.0</v>
      </c>
      <c r="Q2904" s="2">
        <v>6.0</v>
      </c>
      <c r="R2904" s="2">
        <v>0.0</v>
      </c>
      <c r="S2904" s="3" t="s">
        <v>11866</v>
      </c>
      <c r="T2904" s="2" t="s">
        <v>11867</v>
      </c>
      <c r="Y2904" s="4" t="str">
        <f>IFERROR(__xludf.DUMMYFUNCTION("""COMPUTED_VALUE"""),"6.6689235")</f>
        <v>6.6689235</v>
      </c>
      <c r="Z2904" s="4" t="str">
        <f>IFERROR(__xludf.DUMMYFUNCTION("""COMPUTED_VALUE"""),"3.1702494")</f>
        <v>3.1702494</v>
      </c>
      <c r="AA2904" s="4" t="str">
        <f t="shared" si="1"/>
        <v>Neighbor</v>
      </c>
      <c r="AC2904" s="4">
        <f>IFERROR(__xludf.DUMMYFUNCTION("IFERROR(ABS(O2904-AVERAGE(FILTER(O2904:O6972,AA2904:AA6972=""Neighbor""))) / STDEV(FILTER(O2904:O6972, AA2904:AA6972 =""Neighbor"")), """")"),0.2252094816520672)</f>
        <v>0.2252094817</v>
      </c>
      <c r="AD2904" s="4">
        <f>IFERROR(__xludf.DUMMYFUNCTION("IFERROR(ABS(P2904-AVERAGE(FILTER(O2904:P6972,AA2904:AA6972=""Neighbor""))) / STDEV(FILTER(P2904:P6972, AA2904:AA6972 =""Neighbor"")), """")"),1.2453925420530714)</f>
        <v>1.245392542</v>
      </c>
      <c r="AE2904" s="2">
        <f>IFERROR(__xludf.DUMMYFUNCTION("IFERROR(ABS(Q2904-AVERAGE(FILTER(Q2904:Q6972,AA2904:AA6972=""Neighbor""))) / STDEV(FILTER(Q2904:Q6972, AA2904:AA6972 =""Neighbor"")), """")"),0.5243035225797195)</f>
        <v>0.5243035226</v>
      </c>
      <c r="AF2904" s="2">
        <f>IFERROR(__xludf.DUMMYFUNCTION("IFERROR(ABS(R2904-AVERAGE(FILTER(R2904:R6972,AA2904:AA6972=""Neighbor""))) / STDEV(FILTER(R2904:R6972, AA2904:AA6972 =""Neighbor"")), """")"),0.34101762310801725)</f>
        <v>0.3410176231</v>
      </c>
    </row>
    <row r="2905">
      <c r="A2905" s="2" t="s">
        <v>28</v>
      </c>
      <c r="B2905" s="2" t="s">
        <v>1711</v>
      </c>
      <c r="C2905" s="2" t="s">
        <v>2098</v>
      </c>
      <c r="D2905" s="2" t="s">
        <v>11868</v>
      </c>
      <c r="E2905" s="2" t="s">
        <v>11869</v>
      </c>
      <c r="F2905" s="2">
        <v>129.0</v>
      </c>
      <c r="G2905" s="2">
        <v>750.0</v>
      </c>
      <c r="H2905" s="2" t="b">
        <v>1</v>
      </c>
      <c r="I2905" s="2">
        <v>-1.0</v>
      </c>
      <c r="J2905" s="2" t="b">
        <v>0</v>
      </c>
      <c r="K2905" s="2" t="b">
        <v>1</v>
      </c>
      <c r="L2905" s="2" t="b">
        <v>0</v>
      </c>
      <c r="M2905" s="2" t="b">
        <v>0</v>
      </c>
      <c r="N2905" s="2" t="s">
        <v>33</v>
      </c>
      <c r="O2905" s="2">
        <v>0.0</v>
      </c>
      <c r="P2905" s="2">
        <v>0.0</v>
      </c>
      <c r="Q2905" s="2">
        <v>0.0</v>
      </c>
      <c r="R2905" s="2">
        <v>0.0</v>
      </c>
      <c r="S2905" s="3" t="s">
        <v>11870</v>
      </c>
      <c r="T2905" s="2" t="s">
        <v>11871</v>
      </c>
      <c r="Y2905" s="4" t="str">
        <f>IFERROR(__xludf.DUMMYFUNCTION("""COMPUTED_VALUE"""),"6.6689235")</f>
        <v>6.6689235</v>
      </c>
      <c r="Z2905" s="4" t="str">
        <f>IFERROR(__xludf.DUMMYFUNCTION("""COMPUTED_VALUE"""),"3.1702494")</f>
        <v>3.1702494</v>
      </c>
      <c r="AA2905" s="4" t="str">
        <f t="shared" si="1"/>
        <v>Not Neighbor</v>
      </c>
      <c r="AC2905" s="4">
        <f>IFERROR(__xludf.DUMMYFUNCTION("IFERROR(ABS(O2905-AVERAGE(FILTER(O2905:O6973,AA2905:AA6973=""Neighbor""))) / STDEV(FILTER(O2905:O6973, AA2905:AA6973 =""Neighbor"")), """")"),1.3631837737537613)</f>
        <v>1.363183774</v>
      </c>
      <c r="AD2905" s="4">
        <f>IFERROR(__xludf.DUMMYFUNCTION("IFERROR(ABS(P2905-AVERAGE(FILTER(O2905:P6973,AA2905:AA6973=""Neighbor""))) / STDEV(FILTER(P2905:P6973, AA2905:AA6973 =""Neighbor"")), """")"),1.3693412713796602)</f>
        <v>1.369341271</v>
      </c>
      <c r="AE2905" s="2">
        <f>IFERROR(__xludf.DUMMYFUNCTION("IFERROR(ABS(Q2905-AVERAGE(FILTER(Q2905:Q6973,AA2905:AA6973=""Neighbor""))) / STDEV(FILTER(Q2905:Q6973, AA2905:AA6973 =""Neighbor"")), """")"),0.8687274614018612)</f>
        <v>0.8687274614</v>
      </c>
      <c r="AF2905" s="2">
        <f>IFERROR(__xludf.DUMMYFUNCTION("IFERROR(ABS(R2905-AVERAGE(FILTER(R2905:R6973,AA2905:AA6973=""Neighbor""))) / STDEV(FILTER(R2905:R6973, AA2905:AA6973 =""Neighbor"")), """")"),0.34146031308925895)</f>
        <v>0.3414603131</v>
      </c>
    </row>
    <row r="2906">
      <c r="A2906" s="2" t="s">
        <v>28</v>
      </c>
      <c r="B2906" s="2" t="s">
        <v>1711</v>
      </c>
      <c r="C2906" s="2" t="s">
        <v>2098</v>
      </c>
      <c r="D2906" s="2" t="s">
        <v>11872</v>
      </c>
      <c r="E2906" s="2" t="s">
        <v>11873</v>
      </c>
      <c r="F2906" s="2">
        <v>137.0</v>
      </c>
      <c r="G2906" s="2">
        <v>229.0</v>
      </c>
      <c r="H2906" s="2" t="b">
        <v>1</v>
      </c>
      <c r="I2906" s="2">
        <v>-1.0</v>
      </c>
      <c r="J2906" s="2" t="b">
        <v>0</v>
      </c>
      <c r="K2906" s="2" t="b">
        <v>0</v>
      </c>
      <c r="L2906" s="2" t="b">
        <v>0</v>
      </c>
      <c r="M2906" s="2" t="b">
        <v>0</v>
      </c>
      <c r="N2906" s="2" t="s">
        <v>33</v>
      </c>
      <c r="O2906" s="2">
        <v>95.0</v>
      </c>
      <c r="P2906" s="2">
        <v>29.0</v>
      </c>
      <c r="Q2906" s="2">
        <v>7.0</v>
      </c>
      <c r="R2906" s="2">
        <v>0.0</v>
      </c>
      <c r="S2906" s="3" t="s">
        <v>11874</v>
      </c>
      <c r="T2906" s="2" t="s">
        <v>11875</v>
      </c>
      <c r="Y2906" s="4" t="str">
        <f>IFERROR(__xludf.DUMMYFUNCTION("""COMPUTED_VALUE"""),"6.5224048")</f>
        <v>6.5224048</v>
      </c>
      <c r="Z2906" s="4" t="str">
        <f>IFERROR(__xludf.DUMMYFUNCTION("""COMPUTED_VALUE"""),"3.2221284")</f>
        <v>3.2221284</v>
      </c>
      <c r="AA2906" s="4" t="str">
        <f t="shared" si="1"/>
        <v>Not Neighbor</v>
      </c>
      <c r="AC2906" s="4">
        <f>IFERROR(__xludf.DUMMYFUNCTION("IFERROR(ABS(O2906-AVERAGE(FILTER(O2906:O6974,AA2906:AA6974=""Neighbor""))) / STDEV(FILTER(O2906:O6974, AA2906:AA6974 =""Neighbor"")), """")"),1.3388518616401661)</f>
        <v>1.338851862</v>
      </c>
      <c r="AD2906" s="4">
        <f>IFERROR(__xludf.DUMMYFUNCTION("IFERROR(ABS(P2906-AVERAGE(FILTER(O2906:P6974,AA2906:AA6974=""Neighbor""))) / STDEV(FILTER(P2906:P6974, AA2906:AA6974 =""Neighbor"")), """")"),0.17370841478181814)</f>
        <v>0.1737084148</v>
      </c>
      <c r="AE2906" s="2">
        <f>IFERROR(__xludf.DUMMYFUNCTION("IFERROR(ABS(Q2906-AVERAGE(FILTER(Q2906:Q6974,AA2906:AA6974=""Neighbor""))) / STDEV(FILTER(Q2906:Q6974, AA2906:AA6974 =""Neighbor"")), """")"),0.4678071345861567)</f>
        <v>0.4678071346</v>
      </c>
      <c r="AF2906" s="2">
        <f>IFERROR(__xludf.DUMMYFUNCTION("IFERROR(ABS(R2906-AVERAGE(FILTER(R2906:R6974,AA2906:AA6974=""Neighbor""))) / STDEV(FILTER(R2906:R6974, AA2906:AA6974 =""Neighbor"")), """")"),0.34146031308925895)</f>
        <v>0.3414603131</v>
      </c>
    </row>
    <row r="2907">
      <c r="A2907" s="2" t="s">
        <v>28</v>
      </c>
      <c r="B2907" s="2" t="s">
        <v>1711</v>
      </c>
      <c r="C2907" s="2" t="s">
        <v>2098</v>
      </c>
      <c r="D2907" s="2" t="s">
        <v>11876</v>
      </c>
      <c r="E2907" s="2" t="s">
        <v>11877</v>
      </c>
      <c r="F2907" s="2">
        <v>199.0</v>
      </c>
      <c r="G2907" s="2">
        <v>309.0</v>
      </c>
      <c r="H2907" s="2" t="b">
        <v>1</v>
      </c>
      <c r="I2907" s="2">
        <v>-1.0</v>
      </c>
      <c r="J2907" s="2" t="b">
        <v>0</v>
      </c>
      <c r="K2907" s="2" t="b">
        <v>0</v>
      </c>
      <c r="L2907" s="2" t="b">
        <v>0</v>
      </c>
      <c r="M2907" s="2" t="b">
        <v>0</v>
      </c>
      <c r="N2907" s="2" t="s">
        <v>33</v>
      </c>
      <c r="O2907" s="2">
        <v>124.0</v>
      </c>
      <c r="P2907" s="2">
        <v>62.0</v>
      </c>
      <c r="Q2907" s="2">
        <v>4.0</v>
      </c>
      <c r="R2907" s="2">
        <v>0.0</v>
      </c>
      <c r="S2907" s="3" t="s">
        <v>11878</v>
      </c>
      <c r="T2907" s="2" t="s">
        <v>11879</v>
      </c>
      <c r="Y2907" s="4" t="str">
        <f>IFERROR(__xludf.DUMMYFUNCTION("""COMPUTED_VALUE"""),"6.6865159")</f>
        <v>6.6865159</v>
      </c>
      <c r="Z2907" s="4" t="str">
        <f>IFERROR(__xludf.DUMMYFUNCTION("""COMPUTED_VALUE"""),"3.2213049")</f>
        <v>3.2213049</v>
      </c>
      <c r="AA2907" s="4" t="str">
        <f t="shared" si="1"/>
        <v>Not Neighbor</v>
      </c>
      <c r="AC2907" s="4">
        <f>IFERROR(__xludf.DUMMYFUNCTION("IFERROR(ABS(O2907-AVERAGE(FILTER(O2907:O6975,AA2907:AA6975=""Neighbor""))) / STDEV(FILTER(O2907:O6975, AA2907:AA6975 =""Neighbor"")), """")"),2.1636837924446284)</f>
        <v>2.163683792</v>
      </c>
      <c r="AD2907" s="4">
        <f>IFERROR(__xludf.DUMMYFUNCTION("IFERROR(ABS(P2907-AVERAGE(FILTER(O2907:P6975,AA2907:AA6975=""Neighbor""))) / STDEV(FILTER(P2907:P6975, AA2907:AA6975 =""Neighbor"")), """")"),1.18683931858814)</f>
        <v>1.186839319</v>
      </c>
      <c r="AE2907" s="2">
        <f>IFERROR(__xludf.DUMMYFUNCTION("IFERROR(ABS(Q2907-AVERAGE(FILTER(Q2907:Q6975,AA2907:AA6975=""Neighbor""))) / STDEV(FILTER(Q2907:Q6975, AA2907:AA6975 =""Neighbor"")), """")"),0.6396301317928872)</f>
        <v>0.6396301318</v>
      </c>
      <c r="AF2907" s="2">
        <f>IFERROR(__xludf.DUMMYFUNCTION("IFERROR(ABS(R2907-AVERAGE(FILTER(R2907:R6975,AA2907:AA6975=""Neighbor""))) / STDEV(FILTER(R2907:R6975, AA2907:AA6975 =""Neighbor"")), """")"),0.34146031308925895)</f>
        <v>0.3414603131</v>
      </c>
    </row>
    <row r="2908">
      <c r="A2908" s="2" t="s">
        <v>28</v>
      </c>
      <c r="B2908" s="2" t="s">
        <v>1711</v>
      </c>
      <c r="C2908" s="2" t="s">
        <v>2098</v>
      </c>
      <c r="D2908" s="2" t="s">
        <v>11880</v>
      </c>
      <c r="E2908" s="2" t="s">
        <v>11881</v>
      </c>
      <c r="F2908" s="2">
        <v>437.0</v>
      </c>
      <c r="G2908" s="2">
        <v>699.0</v>
      </c>
      <c r="H2908" s="2" t="b">
        <v>1</v>
      </c>
      <c r="I2908" s="2">
        <v>-1.0</v>
      </c>
      <c r="J2908" s="2" t="b">
        <v>0</v>
      </c>
      <c r="K2908" s="2" t="b">
        <v>0</v>
      </c>
      <c r="L2908" s="2" t="b">
        <v>0</v>
      </c>
      <c r="M2908" s="2" t="b">
        <v>0</v>
      </c>
      <c r="N2908" s="2" t="s">
        <v>33</v>
      </c>
      <c r="O2908" s="2">
        <v>46.0</v>
      </c>
      <c r="P2908" s="2">
        <v>380.0</v>
      </c>
      <c r="Q2908" s="2">
        <v>6.0</v>
      </c>
      <c r="R2908" s="2">
        <v>0.0</v>
      </c>
      <c r="S2908" s="3" t="s">
        <v>11882</v>
      </c>
      <c r="T2908" s="2" t="s">
        <v>11883</v>
      </c>
      <c r="Y2908" s="4" t="str">
        <f>IFERROR(__xludf.DUMMYFUNCTION("""COMPUTED_VALUE"""),"6.6772098")</f>
        <v>6.6772098</v>
      </c>
      <c r="Z2908" s="4" t="str">
        <f>IFERROR(__xludf.DUMMYFUNCTION("""COMPUTED_VALUE"""),"3.1673677")</f>
        <v>3.1673677</v>
      </c>
      <c r="AA2908" s="4" t="str">
        <f t="shared" si="1"/>
        <v>Not Neighbor</v>
      </c>
      <c r="AC2908" s="4">
        <f>IFERROR(__xludf.DUMMYFUNCTION("IFERROR(ABS(O2908-AVERAGE(FILTER(O2908:O6976,AA2908:AA6976=""Neighbor""))) / STDEV(FILTER(O2908:O6976, AA2908:AA6976 =""Neighbor"")), """")"),0.05482967661564911)</f>
        <v>0.05482967662</v>
      </c>
      <c r="AD2908" s="4">
        <f>IFERROR(__xludf.DUMMYFUNCTION("IFERROR(ABS(P2908-AVERAGE(FILTER(O2908:P6976,AA2908:AA6976=""Neighbor""))) / STDEV(FILTER(P2908:P6976, AA2908:AA6976 =""Neighbor"")), """")"),14.297572021971373)</f>
        <v>14.29757202</v>
      </c>
      <c r="AE2908" s="2">
        <f>IFERROR(__xludf.DUMMYFUNCTION("IFERROR(ABS(Q2908-AVERAGE(FILTER(Q2908:Q6976,AA2908:AA6976=""Neighbor""))) / STDEV(FILTER(Q2908:Q6976, AA2908:AA6976 =""Neighbor"")), """")"),0.5250814669884002)</f>
        <v>0.525081467</v>
      </c>
      <c r="AF2908" s="2">
        <f>IFERROR(__xludf.DUMMYFUNCTION("IFERROR(ABS(R2908-AVERAGE(FILTER(R2908:R6976,AA2908:AA6976=""Neighbor""))) / STDEV(FILTER(R2908:R6976, AA2908:AA6976 =""Neighbor"")), """")"),0.34146031308925895)</f>
        <v>0.3414603131</v>
      </c>
    </row>
    <row r="2909">
      <c r="A2909" s="2" t="s">
        <v>28</v>
      </c>
      <c r="B2909" s="2" t="s">
        <v>1711</v>
      </c>
      <c r="C2909" s="2" t="s">
        <v>2098</v>
      </c>
      <c r="D2909" s="2" t="s">
        <v>11884</v>
      </c>
      <c r="E2909" s="2" t="s">
        <v>11885</v>
      </c>
      <c r="F2909" s="2">
        <v>103.0</v>
      </c>
      <c r="G2909" s="2">
        <v>168.0</v>
      </c>
      <c r="H2909" s="2" t="b">
        <v>1</v>
      </c>
      <c r="I2909" s="2">
        <v>-1.0</v>
      </c>
      <c r="J2909" s="2" t="b">
        <v>0</v>
      </c>
      <c r="K2909" s="2" t="b">
        <v>0</v>
      </c>
      <c r="L2909" s="2" t="b">
        <v>0</v>
      </c>
      <c r="M2909" s="2" t="b">
        <v>0</v>
      </c>
      <c r="N2909" s="2" t="s">
        <v>33</v>
      </c>
      <c r="O2909" s="2">
        <v>48.0</v>
      </c>
      <c r="P2909" s="2">
        <v>44.0</v>
      </c>
      <c r="Q2909" s="2">
        <v>7.0</v>
      </c>
      <c r="R2909" s="2">
        <v>0.0</v>
      </c>
      <c r="S2909" s="3" t="s">
        <v>11886</v>
      </c>
      <c r="T2909" s="2" t="s">
        <v>11887</v>
      </c>
      <c r="Y2909" s="4" t="str">
        <f>IFERROR(__xludf.DUMMYFUNCTION("""COMPUTED_VALUE"""),"6.67002")</f>
        <v>6.67002</v>
      </c>
      <c r="Z2909" s="4" t="str">
        <f>IFERROR(__xludf.DUMMYFUNCTION("""COMPUTED_VALUE"""),"3.1347543")</f>
        <v>3.1347543</v>
      </c>
      <c r="AA2909" s="4" t="str">
        <f t="shared" si="1"/>
        <v>Neighbor</v>
      </c>
      <c r="AC2909" s="4">
        <f>IFERROR(__xludf.DUMMYFUNCTION("IFERROR(ABS(O2909-AVERAGE(FILTER(O2909:O6977,AA2909:AA6977=""Neighbor""))) / STDEV(FILTER(O2909:O6977, AA2909:AA6977 =""Neighbor"")), """")"),0.002055284129486206)</f>
        <v>0.002055284129</v>
      </c>
      <c r="AD2909" s="4">
        <f>IFERROR(__xludf.DUMMYFUNCTION("IFERROR(ABS(P2909-AVERAGE(FILTER(O2909:P6977,AA2909:AA6977=""Neighbor""))) / STDEV(FILTER(P2909:P6977, AA2909:AA6977 =""Neighbor"")), """")"),0.4447223731136174)</f>
        <v>0.4447223731</v>
      </c>
      <c r="AE2909" s="2">
        <f>IFERROR(__xludf.DUMMYFUNCTION("IFERROR(ABS(Q2909-AVERAGE(FILTER(Q2909:Q6977,AA2909:AA6977=""Neighbor""))) / STDEV(FILTER(Q2909:Q6977, AA2909:AA6977 =""Neighbor"")), """")"),0.4678071345861567)</f>
        <v>0.4678071346</v>
      </c>
      <c r="AF2909" s="2">
        <f>IFERROR(__xludf.DUMMYFUNCTION("IFERROR(ABS(R2909-AVERAGE(FILTER(R2909:R6977,AA2909:AA6977=""Neighbor""))) / STDEV(FILTER(R2909:R6977, AA2909:AA6977 =""Neighbor"")), """")"),0.34146031308925895)</f>
        <v>0.3414603131</v>
      </c>
    </row>
    <row r="2910">
      <c r="A2910" s="2" t="s">
        <v>28</v>
      </c>
      <c r="B2910" s="2" t="s">
        <v>1711</v>
      </c>
      <c r="C2910" s="2" t="s">
        <v>2098</v>
      </c>
      <c r="D2910" s="2" t="s">
        <v>11888</v>
      </c>
      <c r="E2910" s="2" t="s">
        <v>11889</v>
      </c>
      <c r="F2910" s="2">
        <v>199.0</v>
      </c>
      <c r="G2910" s="2">
        <v>310.0</v>
      </c>
      <c r="H2910" s="2" t="b">
        <v>1</v>
      </c>
      <c r="I2910" s="2">
        <v>-1.0</v>
      </c>
      <c r="J2910" s="2" t="b">
        <v>0</v>
      </c>
      <c r="K2910" s="2" t="b">
        <v>0</v>
      </c>
      <c r="L2910" s="2" t="b">
        <v>0</v>
      </c>
      <c r="M2910" s="2" t="b">
        <v>0</v>
      </c>
      <c r="N2910" s="2" t="s">
        <v>33</v>
      </c>
      <c r="O2910" s="2">
        <v>107.0</v>
      </c>
      <c r="P2910" s="2">
        <v>70.0</v>
      </c>
      <c r="Q2910" s="2">
        <v>9.0</v>
      </c>
      <c r="R2910" s="2">
        <v>2.0</v>
      </c>
      <c r="S2910" s="3" t="s">
        <v>11890</v>
      </c>
      <c r="T2910" s="2" t="s">
        <v>11891</v>
      </c>
      <c r="Y2910" s="4" t="str">
        <f>IFERROR(__xludf.DUMMYFUNCTION("""COMPUTED_VALUE"""),"6.670027")</f>
        <v>6.670027</v>
      </c>
      <c r="Z2910" s="4" t="str">
        <f>IFERROR(__xludf.DUMMYFUNCTION("""COMPUTED_VALUE"""),"3.1347552")</f>
        <v>3.1347552</v>
      </c>
      <c r="AA2910" s="4" t="str">
        <f t="shared" si="1"/>
        <v>Not Neighbor</v>
      </c>
      <c r="AC2910" s="4">
        <f>IFERROR(__xludf.DUMMYFUNCTION("IFERROR(ABS(O2910-AVERAGE(FILTER(O2910:O6978,AA2910:AA6978=""Neighbor""))) / STDEV(FILTER(O2910:O6978, AA2910:AA6978 =""Neighbor"")), """")"),1.678202477386555)</f>
        <v>1.678202477</v>
      </c>
      <c r="AD2910" s="4">
        <f>IFERROR(__xludf.DUMMYFUNCTION("IFERROR(ABS(P2910-AVERAGE(FILTER(O2910:P6978,AA2910:AA6978=""Neighbor""))) / STDEV(FILTER(P2910:P6978, AA2910:AA6978 =""Neighbor"")), """")"),1.5180927669917972)</f>
        <v>1.518092767</v>
      </c>
      <c r="AE2910" s="2">
        <f>IFERROR(__xludf.DUMMYFUNCTION("IFERROR(ABS(Q2910-AVERAGE(FILTER(Q2910:Q6978,AA2910:AA6978=""Neighbor""))) / STDEV(FILTER(Q2910:Q6978, AA2910:AA6978 =""Neighbor"")), """")"),0.3540280063183002)</f>
        <v>0.3540280063</v>
      </c>
      <c r="AF2910" s="2">
        <f>IFERROR(__xludf.DUMMYFUNCTION("IFERROR(ABS(R2910-AVERAGE(FILTER(R2910:R6978,AA2910:AA6978=""Neighbor""))) / STDEV(FILTER(R2910:R6978, AA2910:AA6978 =""Neighbor"")), """")"),1.8422031086869024)</f>
        <v>1.842203109</v>
      </c>
    </row>
    <row r="2911">
      <c r="A2911" s="2" t="s">
        <v>28</v>
      </c>
      <c r="B2911" s="2" t="s">
        <v>1711</v>
      </c>
      <c r="C2911" s="2" t="s">
        <v>2098</v>
      </c>
      <c r="D2911" s="2" t="s">
        <v>11892</v>
      </c>
      <c r="E2911" s="2" t="s">
        <v>11893</v>
      </c>
      <c r="F2911" s="2">
        <v>238.0</v>
      </c>
      <c r="G2911" s="2">
        <v>750.0</v>
      </c>
      <c r="H2911" s="2" t="b">
        <v>1</v>
      </c>
      <c r="I2911" s="2">
        <v>-1.0</v>
      </c>
      <c r="J2911" s="2" t="b">
        <v>1</v>
      </c>
      <c r="K2911" s="2" t="b">
        <v>0</v>
      </c>
      <c r="L2911" s="2" t="b">
        <v>0</v>
      </c>
      <c r="M2911" s="2" t="b">
        <v>0</v>
      </c>
      <c r="N2911" s="2" t="s">
        <v>33</v>
      </c>
      <c r="O2911" s="2">
        <v>122.0</v>
      </c>
      <c r="P2911" s="2">
        <v>62.0</v>
      </c>
      <c r="Q2911" s="2">
        <v>11.0</v>
      </c>
      <c r="R2911" s="2">
        <v>0.0</v>
      </c>
      <c r="S2911" s="3" t="s">
        <v>11894</v>
      </c>
      <c r="T2911" s="2" t="s">
        <v>11895</v>
      </c>
      <c r="Y2911" s="4" t="str">
        <f>IFERROR(__xludf.DUMMYFUNCTION("""COMPUTED_VALUE"""),"6.69675")</f>
        <v>6.69675</v>
      </c>
      <c r="Z2911" s="4" t="str">
        <f>IFERROR(__xludf.DUMMYFUNCTION("""COMPUTED_VALUE"""),"3.181979")</f>
        <v>3.181979</v>
      </c>
      <c r="AA2911" s="4" t="str">
        <f t="shared" si="1"/>
        <v>Not Neighbor</v>
      </c>
      <c r="AC2911" s="4">
        <f>IFERROR(__xludf.DUMMYFUNCTION("IFERROR(ABS(O2911-AVERAGE(FILTER(O2911:O6979,AA2911:AA6979=""Neighbor""))) / STDEV(FILTER(O2911:O6979, AA2911:AA6979 =""Neighbor"")), """")"),2.104340985665702)</f>
        <v>2.104340986</v>
      </c>
      <c r="AD2911" s="4">
        <f>IFERROR(__xludf.DUMMYFUNCTION("IFERROR(ABS(P2911-AVERAGE(FILTER(O2911:P6979,AA2911:AA6979=""Neighbor""))) / STDEV(FILTER(P2911:P6979, AA2911:AA6979 =""Neighbor"")), """")"),1.1882213004406366)</f>
        <v>1.1882213</v>
      </c>
      <c r="AE2911" s="2">
        <f>IFERROR(__xludf.DUMMYFUNCTION("IFERROR(ABS(Q2911-AVERAGE(FILTER(Q2911:Q6979,AA2911:AA6979=""Neighbor""))) / STDEV(FILTER(Q2911:Q6979, AA2911:AA6979 =""Neighbor"")), """")"),0.2395839075990914)</f>
        <v>0.2395839076</v>
      </c>
      <c r="AF2911" s="2">
        <f>IFERROR(__xludf.DUMMYFUNCTION("IFERROR(ABS(R2911-AVERAGE(FILTER(R2911:R6979,AA2911:AA6979=""Neighbor""))) / STDEV(FILTER(R2911:R6979, AA2911:AA6979 =""Neighbor"")), """")"),0.3419047320831647)</f>
        <v>0.3419047321</v>
      </c>
    </row>
    <row r="2912">
      <c r="A2912" s="2" t="s">
        <v>28</v>
      </c>
      <c r="B2912" s="2" t="s">
        <v>1711</v>
      </c>
      <c r="C2912" s="2" t="s">
        <v>2098</v>
      </c>
      <c r="D2912" s="2" t="s">
        <v>11896</v>
      </c>
      <c r="E2912" s="2" t="s">
        <v>11897</v>
      </c>
      <c r="F2912" s="2">
        <v>125.0</v>
      </c>
      <c r="G2912" s="2">
        <v>295.0</v>
      </c>
      <c r="H2912" s="2" t="b">
        <v>1</v>
      </c>
      <c r="I2912" s="2">
        <v>-1.0</v>
      </c>
      <c r="J2912" s="2" t="b">
        <v>0</v>
      </c>
      <c r="K2912" s="2" t="b">
        <v>0</v>
      </c>
      <c r="L2912" s="2" t="b">
        <v>0</v>
      </c>
      <c r="M2912" s="2" t="b">
        <v>0</v>
      </c>
      <c r="N2912" s="2" t="s">
        <v>33</v>
      </c>
      <c r="O2912" s="2">
        <v>72.0</v>
      </c>
      <c r="P2912" s="2">
        <v>34.0</v>
      </c>
      <c r="Q2912" s="2">
        <v>8.0</v>
      </c>
      <c r="R2912" s="2">
        <v>1.0</v>
      </c>
      <c r="S2912" s="3" t="s">
        <v>11898</v>
      </c>
      <c r="T2912" s="2" t="s">
        <v>11899</v>
      </c>
      <c r="Y2912" s="4" t="str">
        <f>IFERROR(__xludf.DUMMYFUNCTION("""COMPUTED_VALUE"""),"6.6838367")</f>
        <v>6.6838367</v>
      </c>
      <c r="Z2912" s="4" t="str">
        <f>IFERROR(__xludf.DUMMYFUNCTION("""COMPUTED_VALUE"""),"3.1994306")</f>
        <v>3.1994306</v>
      </c>
      <c r="AA2912" s="4" t="str">
        <f t="shared" si="1"/>
        <v>Not Neighbor</v>
      </c>
      <c r="AC2912" s="4">
        <f>IFERROR(__xludf.DUMMYFUNCTION("IFERROR(ABS(O2912-AVERAGE(FILTER(O2912:O6980,AA2912:AA6980=""Neighbor""))) / STDEV(FILTER(O2912:O6980, AA2912:AA6980 =""Neighbor"")), """")"),0.6838792914018778)</f>
        <v>0.6838792914</v>
      </c>
      <c r="AD2912" s="4">
        <f>IFERROR(__xludf.DUMMYFUNCTION("IFERROR(ABS(P2912-AVERAGE(FILTER(O2912:P6980,AA2912:AA6980=""Neighbor""))) / STDEV(FILTER(P2912:P6980, AA2912:AA6980 =""Neighbor"")), """")"),0.03367116751157424)</f>
        <v>0.03367116751</v>
      </c>
      <c r="AE2912" s="2">
        <f>IFERROR(__xludf.DUMMYFUNCTION("IFERROR(ABS(Q2912-AVERAGE(FILTER(Q2912:Q6980,AA2912:AA6980=""Neighbor""))) / STDEV(FILTER(Q2912:Q6980, AA2912:AA6980 =""Neighbor"")), """")"),0.4112500556779047)</f>
        <v>0.4112500557</v>
      </c>
      <c r="AF2912" s="2">
        <f>IFERROR(__xludf.DUMMYFUNCTION("IFERROR(ABS(R2912-AVERAGE(FILTER(R2912:R6980,AA2912:AA6980=""Neighbor""))) / STDEV(FILTER(R2912:R6980, AA2912:AA6980 =""Neighbor"")), """")"),0.7501491883018689)</f>
        <v>0.7501491883</v>
      </c>
    </row>
    <row r="2913">
      <c r="A2913" s="2" t="s">
        <v>28</v>
      </c>
      <c r="B2913" s="2" t="s">
        <v>1711</v>
      </c>
      <c r="C2913" s="2" t="s">
        <v>2098</v>
      </c>
      <c r="D2913" s="2" t="s">
        <v>11900</v>
      </c>
      <c r="E2913" s="2" t="s">
        <v>11901</v>
      </c>
      <c r="F2913" s="2">
        <v>46.0</v>
      </c>
      <c r="G2913" s="2">
        <v>100.0</v>
      </c>
      <c r="H2913" s="2" t="b">
        <v>1</v>
      </c>
      <c r="I2913" s="2">
        <v>-1.0</v>
      </c>
      <c r="J2913" s="2" t="b">
        <v>0</v>
      </c>
      <c r="K2913" s="2" t="b">
        <v>1</v>
      </c>
      <c r="L2913" s="2" t="b">
        <v>0</v>
      </c>
      <c r="M2913" s="2" t="b">
        <v>0</v>
      </c>
      <c r="N2913" s="2" t="s">
        <v>33</v>
      </c>
      <c r="O2913" s="2">
        <v>29.0</v>
      </c>
      <c r="P2913" s="2">
        <v>0.0</v>
      </c>
      <c r="Q2913" s="2">
        <v>2.0</v>
      </c>
      <c r="R2913" s="2">
        <v>0.0</v>
      </c>
      <c r="S2913" s="3" t="s">
        <v>11902</v>
      </c>
      <c r="T2913" s="2" t="s">
        <v>11903</v>
      </c>
      <c r="Y2913" s="4" t="str">
        <f>IFERROR(__xludf.DUMMYFUNCTION("""COMPUTED_VALUE"""),"6.5160063")</f>
        <v>6.5160063</v>
      </c>
      <c r="Z2913" s="4" t="str">
        <f>IFERROR(__xludf.DUMMYFUNCTION("""COMPUTED_VALUE"""),"3.2391963")</f>
        <v>3.2391963</v>
      </c>
      <c r="AA2913" s="4" t="str">
        <f t="shared" si="1"/>
        <v>Not Neighbor</v>
      </c>
      <c r="AC2913" s="4">
        <f>IFERROR(__xludf.DUMMYFUNCTION("IFERROR(ABS(O2913-AVERAGE(FILTER(O2913:O6981,AA2913:AA6981=""Neighbor""))) / STDEV(FILTER(O2913:O6981, AA2913:AA6981 =""Neighbor"")), """")"),0.5377177656650114)</f>
        <v>0.5377177657</v>
      </c>
      <c r="AD2913" s="4">
        <f>IFERROR(__xludf.DUMMYFUNCTION("IFERROR(ABS(P2913-AVERAGE(FILTER(O2913:P6981,AA2913:AA6981=""Neighbor""))) / STDEV(FILTER(P2913:P6981, AA2913:AA6981 =""Neighbor"")), """")"),1.3682825653308586)</f>
        <v>1.368282565</v>
      </c>
      <c r="AE2913" s="2">
        <f>IFERROR(__xludf.DUMMYFUNCTION("IFERROR(ABS(Q2913-AVERAGE(FILTER(Q2913:Q6981,AA2913:AA6981=""Neighbor""))) / STDEV(FILTER(Q2913:Q6981, AA2913:AA6981 =""Neighbor"")), """")"),0.7545823518355311)</f>
        <v>0.7545823518</v>
      </c>
      <c r="AF2913" s="2">
        <f>IFERROR(__xludf.DUMMYFUNCTION("IFERROR(ABS(R2913-AVERAGE(FILTER(R2913:R6981,AA2913:AA6981=""Neighbor""))) / STDEV(FILTER(R2913:R6981, AA2913:AA6981 =""Neighbor"")), """")"),0.3419047320831647)</f>
        <v>0.3419047321</v>
      </c>
    </row>
    <row r="2914">
      <c r="A2914" s="2" t="s">
        <v>28</v>
      </c>
      <c r="B2914" s="2" t="s">
        <v>1711</v>
      </c>
      <c r="C2914" s="2" t="s">
        <v>2098</v>
      </c>
      <c r="D2914" s="2" t="s">
        <v>11904</v>
      </c>
      <c r="E2914" s="2" t="s">
        <v>11905</v>
      </c>
      <c r="F2914" s="2">
        <v>64.0</v>
      </c>
      <c r="G2914" s="2">
        <v>100.0</v>
      </c>
      <c r="H2914" s="2" t="b">
        <v>1</v>
      </c>
      <c r="I2914" s="2">
        <v>-1.0</v>
      </c>
      <c r="J2914" s="2" t="b">
        <v>0</v>
      </c>
      <c r="K2914" s="2" t="b">
        <v>0</v>
      </c>
      <c r="L2914" s="2" t="b">
        <v>0</v>
      </c>
      <c r="M2914" s="2" t="b">
        <v>0</v>
      </c>
      <c r="N2914" s="2" t="s">
        <v>33</v>
      </c>
      <c r="O2914" s="2">
        <v>38.0</v>
      </c>
      <c r="P2914" s="2">
        <v>20.0</v>
      </c>
      <c r="Q2914" s="2">
        <v>2.0</v>
      </c>
      <c r="R2914" s="2">
        <v>0.0</v>
      </c>
      <c r="S2914" s="3" t="s">
        <v>11906</v>
      </c>
      <c r="T2914" s="2" t="s">
        <v>11907</v>
      </c>
      <c r="Y2914" s="4" t="str">
        <f>IFERROR(__xludf.DUMMYFUNCTION("""COMPUTED_VALUE"""),"6.67002")</f>
        <v>6.67002</v>
      </c>
      <c r="Z2914" s="4" t="str">
        <f>IFERROR(__xludf.DUMMYFUNCTION("""COMPUTED_VALUE"""),"3.1347543")</f>
        <v>3.1347543</v>
      </c>
      <c r="AA2914" s="4" t="str">
        <f t="shared" si="1"/>
        <v>Not Neighbor</v>
      </c>
      <c r="AC2914" s="4">
        <f>IFERROR(__xludf.DUMMYFUNCTION("IFERROR(ABS(O2914-AVERAGE(FILTER(O2914:O6982,AA2914:AA6982=""Neighbor""))) / STDEV(FILTER(O2914:O6982, AA2914:AA6982 =""Neighbor"")), """")"),0.2820346606975229)</f>
        <v>0.2820346607</v>
      </c>
      <c r="AD2914" s="4">
        <f>IFERROR(__xludf.DUMMYFUNCTION("IFERROR(ABS(P2914-AVERAGE(FILTER(O2914:P6982,AA2914:AA6982=""Neighbor""))) / STDEV(FILTER(P2914:P6982, AA2914:AA6982 =""Neighbor"")), """")"),0.5436038989529569)</f>
        <v>0.543603899</v>
      </c>
      <c r="AE2914" s="2">
        <f>IFERROR(__xludf.DUMMYFUNCTION("IFERROR(ABS(Q2914-AVERAGE(FILTER(Q2914:Q6982,AA2914:AA6982=""Neighbor""))) / STDEV(FILTER(Q2914:Q6982, AA2914:AA6982 =""Neighbor"")), """")"),0.7545823518355311)</f>
        <v>0.7545823518</v>
      </c>
      <c r="AF2914" s="2">
        <f>IFERROR(__xludf.DUMMYFUNCTION("IFERROR(ABS(R2914-AVERAGE(FILTER(R2914:R6982,AA2914:AA6982=""Neighbor""))) / STDEV(FILTER(R2914:R6982, AA2914:AA6982 =""Neighbor"")), """")"),0.3419047320831647)</f>
        <v>0.3419047321</v>
      </c>
    </row>
    <row r="2915">
      <c r="A2915" s="2" t="s">
        <v>28</v>
      </c>
      <c r="B2915" s="2" t="s">
        <v>1711</v>
      </c>
      <c r="C2915" s="2" t="s">
        <v>2098</v>
      </c>
      <c r="D2915" s="2" t="s">
        <v>11908</v>
      </c>
      <c r="E2915" s="2" t="s">
        <v>11909</v>
      </c>
      <c r="F2915" s="2">
        <v>227.0</v>
      </c>
      <c r="G2915" s="2">
        <v>426.0</v>
      </c>
      <c r="H2915" s="2" t="b">
        <v>1</v>
      </c>
      <c r="I2915" s="2">
        <v>-1.0</v>
      </c>
      <c r="J2915" s="2" t="b">
        <v>0</v>
      </c>
      <c r="K2915" s="2" t="b">
        <v>0</v>
      </c>
      <c r="L2915" s="2" t="b">
        <v>0</v>
      </c>
      <c r="M2915" s="2" t="b">
        <v>0</v>
      </c>
      <c r="N2915" s="2" t="s">
        <v>33</v>
      </c>
      <c r="O2915" s="2">
        <v>116.0</v>
      </c>
      <c r="P2915" s="2">
        <v>88.0</v>
      </c>
      <c r="Q2915" s="2">
        <v>5.0</v>
      </c>
      <c r="R2915" s="2">
        <v>0.0</v>
      </c>
      <c r="S2915" s="3" t="s">
        <v>11910</v>
      </c>
      <c r="T2915" s="2" t="s">
        <v>11911</v>
      </c>
      <c r="Y2915" s="4" t="str">
        <f>IFERROR(__xludf.DUMMYFUNCTION("""COMPUTED_VALUE"""),"6.6962535")</f>
        <v>6.6962535</v>
      </c>
      <c r="Z2915" s="4" t="str">
        <f>IFERROR(__xludf.DUMMYFUNCTION("""COMPUTED_VALUE"""),"3.2380602")</f>
        <v>3.2380602</v>
      </c>
      <c r="AA2915" s="4" t="str">
        <f t="shared" si="1"/>
        <v>Not Neighbor</v>
      </c>
      <c r="AC2915" s="4">
        <f>IFERROR(__xludf.DUMMYFUNCTION("IFERROR(ABS(O2915-AVERAGE(FILTER(O2915:O6983,AA2915:AA6983=""Neighbor""))) / STDEV(FILTER(O2915:O6983, AA2915:AA6983 =""Neighbor"")), """")"),1.9338855823540433)</f>
        <v>1.933885582</v>
      </c>
      <c r="AD2915" s="4">
        <f>IFERROR(__xludf.DUMMYFUNCTION("IFERROR(ABS(P2915-AVERAGE(FILTER(O2915:P6983,AA2915:AA6983=""Neighbor""))) / STDEV(FILTER(P2915:P6983, AA2915:AA6983 =""Neighbor"")), """")"),2.260303566731909)</f>
        <v>2.260303567</v>
      </c>
      <c r="AE2915" s="2">
        <f>IFERROR(__xludf.DUMMYFUNCTION("IFERROR(ABS(Q2915-AVERAGE(FILTER(Q2915:Q6983,AA2915:AA6983=""Neighbor""))) / STDEV(FILTER(Q2915:Q6983, AA2915:AA6983 =""Neighbor"")), """")"),0.5829162037567179)</f>
        <v>0.5829162038</v>
      </c>
      <c r="AF2915" s="2">
        <f>IFERROR(__xludf.DUMMYFUNCTION("IFERROR(ABS(R2915-AVERAGE(FILTER(R2915:R6983,AA2915:AA6983=""Neighbor""))) / STDEV(FILTER(R2915:R6983, AA2915:AA6983 =""Neighbor"")), """")"),0.3419047320831647)</f>
        <v>0.3419047321</v>
      </c>
    </row>
    <row r="2916">
      <c r="A2916" s="2" t="s">
        <v>28</v>
      </c>
      <c r="B2916" s="2" t="s">
        <v>1711</v>
      </c>
      <c r="C2916" s="2" t="s">
        <v>2098</v>
      </c>
      <c r="D2916" s="2" t="s">
        <v>11912</v>
      </c>
      <c r="E2916" s="2" t="s">
        <v>11913</v>
      </c>
      <c r="F2916" s="2">
        <v>84.0</v>
      </c>
      <c r="G2916" s="2">
        <v>147.0</v>
      </c>
      <c r="H2916" s="2" t="b">
        <v>1</v>
      </c>
      <c r="I2916" s="2">
        <v>-1.0</v>
      </c>
      <c r="J2916" s="2" t="b">
        <v>0</v>
      </c>
      <c r="K2916" s="2" t="b">
        <v>0</v>
      </c>
      <c r="L2916" s="2" t="b">
        <v>0</v>
      </c>
      <c r="M2916" s="2" t="b">
        <v>0</v>
      </c>
      <c r="N2916" s="2" t="s">
        <v>33</v>
      </c>
      <c r="O2916" s="2">
        <v>52.0</v>
      </c>
      <c r="P2916" s="2">
        <v>21.0</v>
      </c>
      <c r="Q2916" s="2">
        <v>2.0</v>
      </c>
      <c r="R2916" s="2">
        <v>0.0</v>
      </c>
      <c r="S2916" s="3" t="s">
        <v>11914</v>
      </c>
      <c r="T2916" s="2" t="s">
        <v>11915</v>
      </c>
      <c r="Y2916" s="4" t="str">
        <f>IFERROR(__xludf.DUMMYFUNCTION("""COMPUTED_VALUE"""),"6.583333")</f>
        <v>6.583333</v>
      </c>
      <c r="Z2916" s="4" t="str">
        <f>IFERROR(__xludf.DUMMYFUNCTION("""COMPUTED_VALUE"""),"3.2")</f>
        <v>3.2</v>
      </c>
      <c r="AA2916" s="4" t="str">
        <f t="shared" si="1"/>
        <v>Neighbor</v>
      </c>
      <c r="AC2916" s="4">
        <f>IFERROR(__xludf.DUMMYFUNCTION("IFERROR(ABS(O2916-AVERAGE(FILTER(O2916:O6984,AA2916:AA6984=""Neighbor""))) / STDEV(FILTER(O2916:O6984, AA2916:AA6984 =""Neighbor"")), """")"),0.11569461369634793)</f>
        <v>0.1156946137</v>
      </c>
      <c r="AD2916" s="4">
        <f>IFERROR(__xludf.DUMMYFUNCTION("IFERROR(ABS(P2916-AVERAGE(FILTER(O2916:P6984,AA2916:AA6984=""Neighbor""))) / STDEV(FILTER(P2916:P6984, AA2916:AA6984 =""Neighbor"")), """")"),0.5023699656340619)</f>
        <v>0.5023699656</v>
      </c>
      <c r="AE2916" s="2">
        <f>IFERROR(__xludf.DUMMYFUNCTION("IFERROR(ABS(Q2916-AVERAGE(FILTER(Q2916:Q6984,AA2916:AA6984=""Neighbor""))) / STDEV(FILTER(Q2916:Q6984, AA2916:AA6984 =""Neighbor"")), """")"),0.7545823518355311)</f>
        <v>0.7545823518</v>
      </c>
      <c r="AF2916" s="2">
        <f>IFERROR(__xludf.DUMMYFUNCTION("IFERROR(ABS(R2916-AVERAGE(FILTER(R2916:R6984,AA2916:AA6984=""Neighbor""))) / STDEV(FILTER(R2916:R6984, AA2916:AA6984 =""Neighbor"")), """")"),0.3419047320831647)</f>
        <v>0.3419047321</v>
      </c>
    </row>
    <row r="2917">
      <c r="A2917" s="2" t="s">
        <v>28</v>
      </c>
      <c r="B2917" s="2" t="s">
        <v>1711</v>
      </c>
      <c r="C2917" s="2" t="s">
        <v>2098</v>
      </c>
      <c r="D2917" s="2" t="s">
        <v>11916</v>
      </c>
      <c r="E2917" s="2" t="s">
        <v>11917</v>
      </c>
      <c r="F2917" s="2">
        <v>113.0</v>
      </c>
      <c r="G2917" s="2">
        <v>177.0</v>
      </c>
      <c r="H2917" s="2" t="b">
        <v>1</v>
      </c>
      <c r="I2917" s="2">
        <v>-1.0</v>
      </c>
      <c r="J2917" s="2" t="b">
        <v>0</v>
      </c>
      <c r="K2917" s="2" t="b">
        <v>0</v>
      </c>
      <c r="L2917" s="2" t="b">
        <v>0</v>
      </c>
      <c r="M2917" s="2" t="b">
        <v>0</v>
      </c>
      <c r="N2917" s="2" t="s">
        <v>33</v>
      </c>
      <c r="O2917" s="2">
        <v>77.0</v>
      </c>
      <c r="P2917" s="2">
        <v>25.0</v>
      </c>
      <c r="Q2917" s="2">
        <v>6.0</v>
      </c>
      <c r="R2917" s="2">
        <v>1.0</v>
      </c>
      <c r="S2917" s="3" t="s">
        <v>11918</v>
      </c>
      <c r="T2917" s="2" t="s">
        <v>11919</v>
      </c>
      <c r="Y2917" s="4" t="str">
        <f>IFERROR(__xludf.DUMMYFUNCTION("""COMPUTED_VALUE"""),"6.583333")</f>
        <v>6.583333</v>
      </c>
      <c r="Z2917" s="4" t="str">
        <f>IFERROR(__xludf.DUMMYFUNCTION("""COMPUTED_VALUE"""),"3.2")</f>
        <v>3.2</v>
      </c>
      <c r="AA2917" s="4" t="str">
        <f t="shared" si="1"/>
        <v>Neighbor</v>
      </c>
      <c r="AC2917" s="4">
        <f>IFERROR(__xludf.DUMMYFUNCTION("IFERROR(ABS(O2917-AVERAGE(FILTER(O2917:O6985,AA2917:AA6985=""Neighbor""))) / STDEV(FILTER(O2917:O6985, AA2917:AA6985 =""Neighbor"")), """")"),0.825241363103266)</f>
        <v>0.8252413631</v>
      </c>
      <c r="AD2917" s="4">
        <f>IFERROR(__xludf.DUMMYFUNCTION("IFERROR(ABS(P2917-AVERAGE(FILTER(O2917:P6985,AA2917:AA6985=""Neighbor""))) / STDEV(FILTER(P2917:P6985, AA2917:AA6985 =""Neighbor"")), """")"),0.33672338861200857)</f>
        <v>0.3367233886</v>
      </c>
      <c r="AE2917" s="2">
        <f>IFERROR(__xludf.DUMMYFUNCTION("IFERROR(ABS(Q2917-AVERAGE(FILTER(Q2917:Q6985,AA2917:AA6985=""Neighbor""))) / STDEV(FILTER(Q2917:Q6985, AA2917:AA6985 =""Neighbor"")), """")"),0.5271957705496594)</f>
        <v>0.5271957705</v>
      </c>
      <c r="AF2917" s="2">
        <f>IFERROR(__xludf.DUMMYFUNCTION("IFERROR(ABS(R2917-AVERAGE(FILTER(R2917:R6985,AA2917:AA6985=""Neighbor""))) / STDEV(FILTER(R2917:R6985, AA2917:AA6985 =""Neighbor"")), """")"),0.7485732177123721)</f>
        <v>0.7485732177</v>
      </c>
    </row>
    <row r="2918">
      <c r="A2918" s="2" t="s">
        <v>28</v>
      </c>
      <c r="B2918" s="2" t="s">
        <v>1711</v>
      </c>
      <c r="C2918" s="2" t="s">
        <v>2098</v>
      </c>
      <c r="D2918" s="2" t="s">
        <v>11920</v>
      </c>
      <c r="E2918" s="2" t="s">
        <v>11921</v>
      </c>
      <c r="F2918" s="2">
        <v>134.0</v>
      </c>
      <c r="G2918" s="2">
        <v>225.0</v>
      </c>
      <c r="H2918" s="2" t="b">
        <v>1</v>
      </c>
      <c r="I2918" s="2">
        <v>-1.0</v>
      </c>
      <c r="J2918" s="2" t="b">
        <v>0</v>
      </c>
      <c r="K2918" s="2" t="b">
        <v>0</v>
      </c>
      <c r="L2918" s="2" t="b">
        <v>0</v>
      </c>
      <c r="M2918" s="2" t="b">
        <v>0</v>
      </c>
      <c r="N2918" s="2" t="s">
        <v>33</v>
      </c>
      <c r="O2918" s="2">
        <v>98.0</v>
      </c>
      <c r="P2918" s="2">
        <v>20.0</v>
      </c>
      <c r="Q2918" s="2">
        <v>7.0</v>
      </c>
      <c r="R2918" s="2">
        <v>0.0</v>
      </c>
      <c r="S2918" s="3" t="s">
        <v>11922</v>
      </c>
      <c r="T2918" s="2" t="s">
        <v>11923</v>
      </c>
      <c r="Y2918" s="4" t="str">
        <f>IFERROR(__xludf.DUMMYFUNCTION("""COMPUTED_VALUE"""),"6.583333")</f>
        <v>6.583333</v>
      </c>
      <c r="Z2918" s="4" t="str">
        <f>IFERROR(__xludf.DUMMYFUNCTION("""COMPUTED_VALUE"""),"3.2")</f>
        <v>3.2</v>
      </c>
      <c r="AA2918" s="4" t="str">
        <f t="shared" si="1"/>
        <v>Neighbor</v>
      </c>
      <c r="AC2918" s="4">
        <f>IFERROR(__xludf.DUMMYFUNCTION("IFERROR(ABS(O2918-AVERAGE(FILTER(O2918:O6986,AA2918:AA6986=""Neighbor""))) / STDEV(FILTER(O2918:O6986, AA2918:AA6986 =""Neighbor"")), """")"),1.42255176399364)</f>
        <v>1.422551764</v>
      </c>
      <c r="AD2918" s="4">
        <f>IFERROR(__xludf.DUMMYFUNCTION("IFERROR(ABS(P2918-AVERAGE(FILTER(O2918:P6986,AA2918:AA6986=""Neighbor""))) / STDEV(FILTER(P2918:P6986, AA2918:AA6986 =""Neighbor"")), """")"),0.5403421464310848)</f>
        <v>0.5403421464</v>
      </c>
      <c r="AE2918" s="2">
        <f>IFERROR(__xludf.DUMMYFUNCTION("IFERROR(ABS(Q2918-AVERAGE(FILTER(Q2918:Q6986,AA2918:AA6986=""Neighbor""))) / STDEV(FILTER(Q2918:Q6986, AA2918:AA6986 =""Neighbor"")), """")"),0.4708406364209597)</f>
        <v>0.4708406364</v>
      </c>
      <c r="AF2918" s="2">
        <f>IFERROR(__xludf.DUMMYFUNCTION("IFERROR(ABS(R2918-AVERAGE(FILTER(R2918:R6986,AA2918:AA6986=""Neighbor""))) / STDEV(FILTER(R2918:R6986, AA2918:AA6986 =""Neighbor"")), """")"),0.34041817775246036)</f>
        <v>0.3404181778</v>
      </c>
    </row>
    <row r="2919">
      <c r="A2919" s="2" t="s">
        <v>28</v>
      </c>
      <c r="B2919" s="2" t="s">
        <v>1711</v>
      </c>
      <c r="C2919" s="2" t="s">
        <v>2098</v>
      </c>
      <c r="D2919" s="2" t="s">
        <v>11924</v>
      </c>
      <c r="E2919" s="2" t="s">
        <v>11925</v>
      </c>
      <c r="F2919" s="2">
        <v>284.0</v>
      </c>
      <c r="G2919" s="2">
        <v>522.0</v>
      </c>
      <c r="H2919" s="2" t="b">
        <v>1</v>
      </c>
      <c r="I2919" s="2">
        <v>-1.0</v>
      </c>
      <c r="J2919" s="2" t="b">
        <v>0</v>
      </c>
      <c r="K2919" s="2" t="b">
        <v>1</v>
      </c>
      <c r="L2919" s="2" t="b">
        <v>0</v>
      </c>
      <c r="M2919" s="2" t="b">
        <v>0</v>
      </c>
      <c r="N2919" s="2" t="s">
        <v>33</v>
      </c>
      <c r="O2919" s="2">
        <v>195.0</v>
      </c>
      <c r="P2919" s="2">
        <v>68.0</v>
      </c>
      <c r="Q2919" s="2">
        <v>9.0</v>
      </c>
      <c r="R2919" s="2">
        <v>2.0</v>
      </c>
      <c r="S2919" s="3" t="s">
        <v>11926</v>
      </c>
      <c r="T2919" s="2" t="s">
        <v>11927</v>
      </c>
      <c r="Y2919" s="4" t="str">
        <f>IFERROR(__xludf.DUMMYFUNCTION("""COMPUTED_VALUE"""),"6.583333")</f>
        <v>6.583333</v>
      </c>
      <c r="Z2919" s="4" t="str">
        <f>IFERROR(__xludf.DUMMYFUNCTION("""COMPUTED_VALUE"""),"3.2")</f>
        <v>3.2</v>
      </c>
      <c r="AA2919" s="4" t="str">
        <f t="shared" si="1"/>
        <v>Neighbor</v>
      </c>
      <c r="AC2919" s="4">
        <f>IFERROR(__xludf.DUMMYFUNCTION("IFERROR(ABS(O2919-AVERAGE(FILTER(O2919:O6987,AA2919:AA6987=""Neighbor""))) / STDEV(FILTER(O2919:O6987, AA2919:AA6987 =""Neighbor"")), """")"),4.1824573695529335)</f>
        <v>4.18245737</v>
      </c>
      <c r="AD2919" s="4">
        <f>IFERROR(__xludf.DUMMYFUNCTION("IFERROR(ABS(P2919-AVERAGE(FILTER(O2919:P6987,AA2919:AA6987=""Neighbor""))) / STDEV(FILTER(P2919:P6987, AA2919:AA6987 =""Neighbor"")), """")"),1.435261385523654)</f>
        <v>1.435261386</v>
      </c>
      <c r="AE2919" s="2">
        <f>IFERROR(__xludf.DUMMYFUNCTION("IFERROR(ABS(Q2919-AVERAGE(FILTER(Q2919:Q6987,AA2919:AA6987=""Neighbor""))) / STDEV(FILTER(Q2919:Q6987, AA2919:AA6987 =""Neighbor"")), """")"),0.35733137977621354)</f>
        <v>0.3573313798</v>
      </c>
      <c r="AF2919" s="2">
        <f>IFERROR(__xludf.DUMMYFUNCTION("IFERROR(ABS(R2919-AVERAGE(FILTER(R2919:R6987,AA2919:AA6987=""Neighbor""))) / STDEV(FILTER(R2919:R6987, AA2919:AA6987 =""Neighbor"")), """")"),1.837590540320092)</f>
        <v>1.83759054</v>
      </c>
    </row>
    <row r="2920">
      <c r="A2920" s="2" t="s">
        <v>28</v>
      </c>
      <c r="B2920" s="2" t="s">
        <v>1711</v>
      </c>
      <c r="C2920" s="2" t="s">
        <v>2098</v>
      </c>
      <c r="D2920" s="2" t="s">
        <v>11928</v>
      </c>
      <c r="E2920" s="2" t="s">
        <v>11929</v>
      </c>
      <c r="F2920" s="2">
        <v>92.0</v>
      </c>
      <c r="G2920" s="2">
        <v>161.0</v>
      </c>
      <c r="H2920" s="2" t="b">
        <v>1</v>
      </c>
      <c r="I2920" s="2">
        <v>-1.0</v>
      </c>
      <c r="J2920" s="2" t="b">
        <v>0</v>
      </c>
      <c r="K2920" s="2" t="b">
        <v>0</v>
      </c>
      <c r="L2920" s="2" t="b">
        <v>0</v>
      </c>
      <c r="M2920" s="2" t="b">
        <v>0</v>
      </c>
      <c r="N2920" s="2" t="s">
        <v>33</v>
      </c>
      <c r="O2920" s="2">
        <v>43.0</v>
      </c>
      <c r="P2920" s="2">
        <v>34.0</v>
      </c>
      <c r="Q2920" s="2">
        <v>2.0</v>
      </c>
      <c r="R2920" s="2">
        <v>0.0</v>
      </c>
      <c r="S2920" s="3" t="s">
        <v>11930</v>
      </c>
      <c r="T2920" s="2" t="s">
        <v>11931</v>
      </c>
      <c r="Y2920" s="4" t="str">
        <f>IFERROR(__xludf.DUMMYFUNCTION("""COMPUTED_VALUE"""),"6.583333")</f>
        <v>6.583333</v>
      </c>
      <c r="Z2920" s="4" t="str">
        <f>IFERROR(__xludf.DUMMYFUNCTION("""COMPUTED_VALUE"""),"3.2")</f>
        <v>3.2</v>
      </c>
      <c r="AA2920" s="4" t="str">
        <f t="shared" si="1"/>
        <v>Neighbor</v>
      </c>
      <c r="AC2920" s="4">
        <f>IFERROR(__xludf.DUMMYFUNCTION("IFERROR(ABS(O2920-AVERAGE(FILTER(O2920:O6988,AA2920:AA6988=""Neighbor""))) / STDEV(FILTER(O2920:O6988, AA2920:AA6988 =""Neighbor"")), """")"),0.12702644843799465)</f>
        <v>0.1270264484</v>
      </c>
      <c r="AD2920" s="4">
        <f>IFERROR(__xludf.DUMMYFUNCTION("IFERROR(ABS(P2920-AVERAGE(FILTER(O2920:P6988,AA2920:AA6988=""Neighbor""))) / STDEV(FILTER(P2920:P6988, AA2920:AA6988 =""Neighbor"")), """")"),0.04781408381018899)</f>
        <v>0.04781408381</v>
      </c>
      <c r="AE2920" s="2">
        <f>IFERROR(__xludf.DUMMYFUNCTION("IFERROR(ABS(Q2920-AVERAGE(FILTER(Q2920:Q6988,AA2920:AA6988=""Neighbor""))) / STDEV(FILTER(Q2920:Q6988, AA2920:AA6988 =""Neighbor"")), """")"),0.7570411631527856)</f>
        <v>0.7570411632</v>
      </c>
      <c r="AF2920" s="2">
        <f>IFERROR(__xludf.DUMMYFUNCTION("IFERROR(ABS(R2920-AVERAGE(FILTER(R2920:R6988,AA2920:AA6988=""Neighbor""))) / STDEV(FILTER(R2920:R6988, AA2920:AA6988 =""Neighbor"")), """")"),0.3374827754461812)</f>
        <v>0.3374827754</v>
      </c>
    </row>
    <row r="2921">
      <c r="A2921" s="2" t="s">
        <v>28</v>
      </c>
      <c r="B2921" s="2" t="s">
        <v>1711</v>
      </c>
      <c r="C2921" s="2" t="s">
        <v>2098</v>
      </c>
      <c r="D2921" s="2" t="s">
        <v>11932</v>
      </c>
      <c r="E2921" s="2" t="s">
        <v>11933</v>
      </c>
      <c r="F2921" s="2">
        <v>165.0</v>
      </c>
      <c r="G2921" s="2">
        <v>291.0</v>
      </c>
      <c r="H2921" s="2" t="b">
        <v>1</v>
      </c>
      <c r="I2921" s="2">
        <v>-1.0</v>
      </c>
      <c r="J2921" s="2" t="b">
        <v>0</v>
      </c>
      <c r="K2921" s="2" t="b">
        <v>0</v>
      </c>
      <c r="L2921" s="2" t="b">
        <v>0</v>
      </c>
      <c r="M2921" s="2" t="b">
        <v>0</v>
      </c>
      <c r="N2921" s="2" t="s">
        <v>33</v>
      </c>
      <c r="O2921" s="2">
        <v>116.0</v>
      </c>
      <c r="P2921" s="2">
        <v>34.0</v>
      </c>
      <c r="Q2921" s="2">
        <v>7.0</v>
      </c>
      <c r="R2921" s="2">
        <v>4.0</v>
      </c>
      <c r="S2921" s="3" t="s">
        <v>11934</v>
      </c>
      <c r="T2921" s="2" t="s">
        <v>11935</v>
      </c>
      <c r="Y2921" s="4" t="str">
        <f>IFERROR(__xludf.DUMMYFUNCTION("""COMPUTED_VALUE"""),"6.583333")</f>
        <v>6.583333</v>
      </c>
      <c r="Z2921" s="4" t="str">
        <f>IFERROR(__xludf.DUMMYFUNCTION("""COMPUTED_VALUE"""),"3.2")</f>
        <v>3.2</v>
      </c>
      <c r="AA2921" s="4" t="str">
        <f t="shared" si="1"/>
        <v>Neighbor</v>
      </c>
      <c r="AC2921" s="4">
        <f>IFERROR(__xludf.DUMMYFUNCTION("IFERROR(ABS(O2921-AVERAGE(FILTER(O2921:O6989,AA2921:AA6989=""Neighbor""))) / STDEV(FILTER(O2921:O6989, AA2921:AA6989 =""Neighbor"")), """")"),1.9853268132391264)</f>
        <v>1.985326813</v>
      </c>
      <c r="AD2921" s="4">
        <f>IFERROR(__xludf.DUMMYFUNCTION("IFERROR(ABS(P2921-AVERAGE(FILTER(O2921:P6989,AA2921:AA6989=""Neighbor""))) / STDEV(FILTER(P2921:P6989, AA2921:AA6989 =""Neighbor"")), """")"),0.04833274942612965)</f>
        <v>0.04833274943</v>
      </c>
      <c r="AE2921" s="2">
        <f>IFERROR(__xludf.DUMMYFUNCTION("IFERROR(ABS(Q2921-AVERAGE(FILTER(Q2921:Q6989,AA2921:AA6989=""Neighbor""))) / STDEV(FILTER(Q2921:Q6989, AA2921:AA6989 =""Neighbor"")), """")"),0.4734239114917274)</f>
        <v>0.4734239115</v>
      </c>
      <c r="AF2921" s="2">
        <f>IFERROR(__xludf.DUMMYFUNCTION("IFERROR(ABS(R2921-AVERAGE(FILTER(R2921:R6989,AA2921:AA6989=""Neighbor""))) / STDEV(FILTER(R2921:R6989, AA2921:AA6989 =""Neighbor"")), """")"),4.026737919829522)</f>
        <v>4.02673792</v>
      </c>
    </row>
    <row r="2922">
      <c r="A2922" s="2" t="s">
        <v>28</v>
      </c>
      <c r="B2922" s="2" t="s">
        <v>1711</v>
      </c>
      <c r="C2922" s="2" t="s">
        <v>2098</v>
      </c>
      <c r="D2922" s="2" t="s">
        <v>11936</v>
      </c>
      <c r="E2922" s="2" t="s">
        <v>11937</v>
      </c>
      <c r="F2922" s="2">
        <v>181.0</v>
      </c>
      <c r="G2922" s="2">
        <v>750.0</v>
      </c>
      <c r="H2922" s="2" t="b">
        <v>1</v>
      </c>
      <c r="I2922" s="2">
        <v>-1.0</v>
      </c>
      <c r="J2922" s="2" t="b">
        <v>0</v>
      </c>
      <c r="K2922" s="2" t="b">
        <v>0</v>
      </c>
      <c r="L2922" s="2" t="b">
        <v>0</v>
      </c>
      <c r="M2922" s="2" t="b">
        <v>0</v>
      </c>
      <c r="N2922" s="2" t="s">
        <v>33</v>
      </c>
      <c r="O2922" s="2">
        <v>126.0</v>
      </c>
      <c r="P2922" s="2">
        <v>34.0</v>
      </c>
      <c r="Q2922" s="2">
        <v>6.0</v>
      </c>
      <c r="R2922" s="2">
        <v>1.0</v>
      </c>
      <c r="S2922" s="3" t="s">
        <v>11938</v>
      </c>
      <c r="T2922" s="2" t="s">
        <v>11939</v>
      </c>
      <c r="Y2922" s="4" t="str">
        <f>IFERROR(__xludf.DUMMYFUNCTION("""COMPUTED_VALUE"""),"6.583333")</f>
        <v>6.583333</v>
      </c>
      <c r="Z2922" s="4" t="str">
        <f>IFERROR(__xludf.DUMMYFUNCTION("""COMPUTED_VALUE"""),"3.2")</f>
        <v>3.2</v>
      </c>
      <c r="AA2922" s="4" t="str">
        <f t="shared" si="1"/>
        <v>Not Neighbor</v>
      </c>
      <c r="AC2922" s="4">
        <f>IFERROR(__xludf.DUMMYFUNCTION("IFERROR(ABS(O2922-AVERAGE(FILTER(O2922:O6990,AA2922:AA6990=""Neighbor""))) / STDEV(FILTER(O2922:O6990, AA2922:AA6990 =""Neighbor"")), """")"),2.287446332900509)</f>
        <v>2.287446333</v>
      </c>
      <c r="AD2922" s="4">
        <f>IFERROR(__xludf.DUMMYFUNCTION("IFERROR(ABS(P2922-AVERAGE(FILTER(O2922:P6990,AA2922:AA6990=""Neighbor""))) / STDEV(FILTER(P2922:P6990, AA2922:AA6990 =""Neighbor"")), """")"),0.05241602297464352)</f>
        <v>0.05241602297</v>
      </c>
      <c r="AE2922" s="2">
        <f>IFERROR(__xludf.DUMMYFUNCTION("IFERROR(ABS(Q2922-AVERAGE(FILTER(Q2922:Q6990,AA2922:AA6990=""Neighbor""))) / STDEV(FILTER(Q2922:Q6990, AA2922:AA6990 =""Neighbor"")), """")"),0.5310619051323586)</f>
        <v>0.5310619051</v>
      </c>
      <c r="AF2922" s="2">
        <f>IFERROR(__xludf.DUMMYFUNCTION("IFERROR(ABS(R2922-AVERAGE(FILTER(R2922:R6990,AA2922:AA6990=""Neighbor""))) / STDEV(FILTER(R2922:R6990, AA2922:AA6990 =""Neighbor"")), """")"),0.7769870942607631)</f>
        <v>0.7769870943</v>
      </c>
    </row>
    <row r="2923">
      <c r="A2923" s="2" t="s">
        <v>28</v>
      </c>
      <c r="B2923" s="2" t="s">
        <v>1711</v>
      </c>
      <c r="C2923" s="2" t="s">
        <v>2098</v>
      </c>
      <c r="D2923" s="2" t="s">
        <v>11940</v>
      </c>
      <c r="E2923" s="2" t="s">
        <v>11941</v>
      </c>
      <c r="F2923" s="2">
        <v>175.0</v>
      </c>
      <c r="G2923" s="2">
        <v>313.0</v>
      </c>
      <c r="H2923" s="2" t="b">
        <v>1</v>
      </c>
      <c r="I2923" s="2">
        <v>-1.0</v>
      </c>
      <c r="J2923" s="2" t="b">
        <v>0</v>
      </c>
      <c r="K2923" s="2" t="b">
        <v>0</v>
      </c>
      <c r="L2923" s="2" t="b">
        <v>0</v>
      </c>
      <c r="M2923" s="2" t="b">
        <v>0</v>
      </c>
      <c r="N2923" s="2" t="s">
        <v>33</v>
      </c>
      <c r="O2923" s="2">
        <v>101.0</v>
      </c>
      <c r="P2923" s="2">
        <v>61.0</v>
      </c>
      <c r="Q2923" s="2">
        <v>5.0</v>
      </c>
      <c r="R2923" s="2">
        <v>1.0</v>
      </c>
      <c r="S2923" s="3" t="s">
        <v>11942</v>
      </c>
      <c r="T2923" s="2" t="s">
        <v>11943</v>
      </c>
      <c r="Y2923" s="4" t="str">
        <f>IFERROR(__xludf.DUMMYFUNCTION("""COMPUTED_VALUE"""),"6.6818213")</f>
        <v>6.6818213</v>
      </c>
      <c r="Z2923" s="4" t="str">
        <f>IFERROR(__xludf.DUMMYFUNCTION("""COMPUTED_VALUE"""),"3.1641109")</f>
        <v>3.1641109</v>
      </c>
      <c r="AA2923" s="4" t="str">
        <f t="shared" si="1"/>
        <v>Not Neighbor</v>
      </c>
      <c r="AC2923" s="4">
        <f>IFERROR(__xludf.DUMMYFUNCTION("IFERROR(ABS(O2923-AVERAGE(FILTER(O2923:O6991,AA2923:AA6991=""Neighbor""))) / STDEV(FILTER(O2923:O6991, AA2923:AA6991 =""Neighbor"")), """")"),1.5614367416820865)</f>
        <v>1.561436742</v>
      </c>
      <c r="AD2923" s="4">
        <f>IFERROR(__xludf.DUMMYFUNCTION("IFERROR(ABS(P2923-AVERAGE(FILTER(O2923:P6991,AA2923:AA6991=""Neighbor""))) / STDEV(FILTER(P2923:P6991, AA2923:AA6991 =""Neighbor"")), """")"),1.1645727562578625)</f>
        <v>1.164572756</v>
      </c>
      <c r="AE2923" s="2">
        <f>IFERROR(__xludf.DUMMYFUNCTION("IFERROR(ABS(Q2923-AVERAGE(FILTER(Q2923:Q6991,AA2923:AA6991=""Neighbor""))) / STDEV(FILTER(Q2923:Q6991, AA2923:AA6991 =""Neighbor"")), """")"),0.588014414399412)</f>
        <v>0.5880144144</v>
      </c>
      <c r="AF2923" s="2">
        <f>IFERROR(__xludf.DUMMYFUNCTION("IFERROR(ABS(R2923-AVERAGE(FILTER(R2923:R6991,AA2923:AA6991=""Neighbor""))) / STDEV(FILTER(R2923:R6991, AA2923:AA6991 =""Neighbor"")), """")"),0.7769870942607631)</f>
        <v>0.7769870943</v>
      </c>
    </row>
    <row r="2924">
      <c r="A2924" s="2" t="s">
        <v>28</v>
      </c>
      <c r="B2924" s="2" t="s">
        <v>1711</v>
      </c>
      <c r="C2924" s="2" t="s">
        <v>2098</v>
      </c>
      <c r="D2924" s="2" t="s">
        <v>11944</v>
      </c>
      <c r="E2924" s="2" t="s">
        <v>11945</v>
      </c>
      <c r="F2924" s="2">
        <v>0.0</v>
      </c>
      <c r="G2924" s="2">
        <v>404.0</v>
      </c>
      <c r="H2924" s="2" t="b">
        <v>1</v>
      </c>
      <c r="I2924" s="2">
        <v>-1.0</v>
      </c>
      <c r="J2924" s="2" t="b">
        <v>0</v>
      </c>
      <c r="K2924" s="2" t="b">
        <v>0</v>
      </c>
      <c r="L2924" s="2" t="b">
        <v>0</v>
      </c>
      <c r="M2924" s="2" t="b">
        <v>0</v>
      </c>
      <c r="N2924" s="2" t="s">
        <v>33</v>
      </c>
      <c r="O2924" s="2">
        <v>122.0</v>
      </c>
      <c r="P2924" s="2">
        <v>58.0</v>
      </c>
      <c r="Q2924" s="2">
        <v>0.0</v>
      </c>
      <c r="R2924" s="2">
        <v>0.0</v>
      </c>
      <c r="S2924" s="3" t="s">
        <v>11946</v>
      </c>
      <c r="T2924" s="2" t="s">
        <v>11947</v>
      </c>
      <c r="Y2924" s="4" t="str">
        <f>IFERROR(__xludf.DUMMYFUNCTION("""COMPUTED_VALUE"""),"6.6039195")</f>
        <v>6.6039195</v>
      </c>
      <c r="Z2924" s="4" t="str">
        <f>IFERROR(__xludf.DUMMYFUNCTION("""COMPUTED_VALUE"""),"3.2304726")</f>
        <v>3.2304726</v>
      </c>
      <c r="AA2924" s="4" t="str">
        <f t="shared" si="1"/>
        <v>Neighbor</v>
      </c>
      <c r="AC2924" s="4">
        <f>IFERROR(__xludf.DUMMYFUNCTION("IFERROR(ABS(O2924-AVERAGE(FILTER(O2924:O6992,AA2924:AA6992=""Neighbor""))) / STDEV(FILTER(O2924:O6992, AA2924:AA6992 =""Neighbor"")), """")"),2.171284798305561)</f>
        <v>2.171284798</v>
      </c>
      <c r="AD2924" s="4">
        <f>IFERROR(__xludf.DUMMYFUNCTION("IFERROR(ABS(P2924-AVERAGE(FILTER(O2924:P6992,AA2924:AA6992=""Neighbor""))) / STDEV(FILTER(P2924:P6992, AA2924:AA6992 =""Neighbor"")), """")"),1.0409997858930604)</f>
        <v>1.040999786</v>
      </c>
      <c r="AE2924" s="2">
        <f>IFERROR(__xludf.DUMMYFUNCTION("IFERROR(ABS(Q2924-AVERAGE(FILTER(Q2924:Q6992,AA2924:AA6992=""Neighbor""))) / STDEV(FILTER(Q2924:Q6992, AA2924:AA6992 =""Neighbor"")), """")"),0.8727769607346794)</f>
        <v>0.8727769607</v>
      </c>
      <c r="AF2924" s="2">
        <f>IFERROR(__xludf.DUMMYFUNCTION("IFERROR(ABS(R2924-AVERAGE(FILTER(R2924:R6992,AA2924:AA6992=""Neighbor""))) / STDEV(FILTER(R2924:R6992, AA2924:AA6992 =""Neighbor"")), """")"),0.33449952871565053)</f>
        <v>0.3344995287</v>
      </c>
    </row>
    <row r="2925">
      <c r="A2925" s="2" t="s">
        <v>28</v>
      </c>
      <c r="B2925" s="2" t="s">
        <v>1711</v>
      </c>
      <c r="C2925" s="2" t="s">
        <v>2098</v>
      </c>
      <c r="D2925" s="2" t="s">
        <v>11948</v>
      </c>
      <c r="E2925" s="2" t="s">
        <v>11949</v>
      </c>
      <c r="F2925" s="2">
        <v>211.0</v>
      </c>
      <c r="G2925" s="2">
        <v>750.0</v>
      </c>
      <c r="H2925" s="2" t="b">
        <v>1</v>
      </c>
      <c r="I2925" s="2">
        <v>-1.0</v>
      </c>
      <c r="J2925" s="2" t="b">
        <v>0</v>
      </c>
      <c r="K2925" s="2" t="b">
        <v>1</v>
      </c>
      <c r="L2925" s="2" t="b">
        <v>0</v>
      </c>
      <c r="M2925" s="2" t="b">
        <v>0</v>
      </c>
      <c r="N2925" s="2" t="s">
        <v>33</v>
      </c>
      <c r="O2925" s="2">
        <v>149.0</v>
      </c>
      <c r="P2925" s="2">
        <v>44.0</v>
      </c>
      <c r="Q2925" s="2">
        <v>8.0</v>
      </c>
      <c r="R2925" s="2">
        <v>0.0</v>
      </c>
      <c r="S2925" s="3" t="s">
        <v>11950</v>
      </c>
      <c r="T2925" s="2" t="s">
        <v>11951</v>
      </c>
      <c r="Y2925" s="4" t="str">
        <f>IFERROR(__xludf.DUMMYFUNCTION("""COMPUTED_VALUE"""),"6.6039195")</f>
        <v>6.6039195</v>
      </c>
      <c r="Z2925" s="4" t="str">
        <f>IFERROR(__xludf.DUMMYFUNCTION("""COMPUTED_VALUE"""),"3.2304726")</f>
        <v>3.2304726</v>
      </c>
      <c r="AA2925" s="4" t="str">
        <f t="shared" si="1"/>
        <v>Neighbor</v>
      </c>
      <c r="AC2925" s="4">
        <f>IFERROR(__xludf.DUMMYFUNCTION("IFERROR(ABS(O2925-AVERAGE(FILTER(O2925:O6993,AA2925:AA6993=""Neighbor""))) / STDEV(FILTER(O2925:O6993, AA2925:AA6993 =""Neighbor"")), """")"),2.9737515484466943)</f>
        <v>2.973751548</v>
      </c>
      <c r="AD2925" s="4">
        <f>IFERROR(__xludf.DUMMYFUNCTION("IFERROR(ABS(P2925-AVERAGE(FILTER(O2925:P6993,AA2925:AA6993=""Neighbor""))) / STDEV(FILTER(P2925:P6993, AA2925:AA6993 =""Neighbor"")), """")"),0.4708783608995279)</f>
        <v>0.4708783609</v>
      </c>
      <c r="AE2925" s="2">
        <f>IFERROR(__xludf.DUMMYFUNCTION("IFERROR(ABS(Q2925-AVERAGE(FILTER(Q2925:Q6993,AA2925:AA6993=""Neighbor""))) / STDEV(FILTER(Q2925:Q6993, AA2925:AA6993 =""Neighbor"")), """")"),0.4191120320617682)</f>
        <v>0.4191120321</v>
      </c>
      <c r="AF2925" s="2">
        <f>IFERROR(__xludf.DUMMYFUNCTION("IFERROR(ABS(R2925-AVERAGE(FILTER(R2925:R6993,AA2925:AA6993=""Neighbor""))) / STDEV(FILTER(R2925:R6993, AA2925:AA6993 =""Neighbor"")), """")"),0.33494023371712156)</f>
        <v>0.3349402337</v>
      </c>
    </row>
    <row r="2926">
      <c r="A2926" s="2" t="s">
        <v>28</v>
      </c>
      <c r="B2926" s="2" t="s">
        <v>1711</v>
      </c>
      <c r="C2926" s="2" t="s">
        <v>2098</v>
      </c>
      <c r="D2926" s="2" t="s">
        <v>11952</v>
      </c>
      <c r="E2926" s="2" t="s">
        <v>11953</v>
      </c>
      <c r="F2926" s="2">
        <v>157.0</v>
      </c>
      <c r="G2926" s="2">
        <v>302.0</v>
      </c>
      <c r="H2926" s="2" t="b">
        <v>1</v>
      </c>
      <c r="I2926" s="2">
        <v>-1.0</v>
      </c>
      <c r="J2926" s="2" t="b">
        <v>0</v>
      </c>
      <c r="K2926" s="2" t="b">
        <v>0</v>
      </c>
      <c r="L2926" s="2" t="b">
        <v>0</v>
      </c>
      <c r="M2926" s="2" t="b">
        <v>0</v>
      </c>
      <c r="N2926" s="2" t="s">
        <v>33</v>
      </c>
      <c r="O2926" s="2">
        <v>92.0</v>
      </c>
      <c r="P2926" s="2">
        <v>57.0</v>
      </c>
      <c r="Q2926" s="2">
        <v>4.0</v>
      </c>
      <c r="R2926" s="2">
        <v>0.0</v>
      </c>
      <c r="S2926" s="3" t="s">
        <v>11954</v>
      </c>
      <c r="T2926" s="2" t="s">
        <v>11955</v>
      </c>
      <c r="Y2926" s="4" t="str">
        <f>IFERROR(__xludf.DUMMYFUNCTION("""COMPUTED_VALUE"""),"6.6039195")</f>
        <v>6.6039195</v>
      </c>
      <c r="Z2926" s="4" t="str">
        <f>IFERROR(__xludf.DUMMYFUNCTION("""COMPUTED_VALUE"""),"3.2304726")</f>
        <v>3.2304726</v>
      </c>
      <c r="AA2926" s="4" t="str">
        <f t="shared" si="1"/>
        <v>Not Neighbor</v>
      </c>
      <c r="AC2926" s="4">
        <f>IFERROR(__xludf.DUMMYFUNCTION("IFERROR(ABS(O2926-AVERAGE(FILTER(O2926:O6994,AA2926:AA6994=""Neighbor""))) / STDEV(FILTER(O2926:O6994, AA2926:AA6994 =""Neighbor"")), """")"),1.3306860687892546)</f>
        <v>1.330686069</v>
      </c>
      <c r="AD2926" s="4">
        <f>IFERROR(__xludf.DUMMYFUNCTION("IFERROR(ABS(P2926-AVERAGE(FILTER(O2926:P6994,AA2926:AA6994=""Neighbor""))) / STDEV(FILTER(P2926:P6994, AA2926:AA6994 =""Neighbor"")), """")"),1.0138958600965648)</f>
        <v>1.01389586</v>
      </c>
      <c r="AE2926" s="2">
        <f>IFERROR(__xludf.DUMMYFUNCTION("IFERROR(ABS(Q2926-AVERAGE(FILTER(Q2926:Q6994,AA2926:AA6994=""Neighbor""))) / STDEV(FILTER(Q2926:Q6994, AA2926:AA6994 =""Neighbor"")), """")"),0.6472198178173302)</f>
        <v>0.6472198178</v>
      </c>
      <c r="AF2926" s="2">
        <f>IFERROR(__xludf.DUMMYFUNCTION("IFERROR(ABS(R2926-AVERAGE(FILTER(R2926:R6994,AA2926:AA6994=""Neighbor""))) / STDEV(FILTER(R2926:R6994, AA2926:AA6994 =""Neighbor"")), """")"),0.3353826857122772)</f>
        <v>0.3353826857</v>
      </c>
    </row>
    <row r="2927">
      <c r="A2927" s="2" t="s">
        <v>28</v>
      </c>
      <c r="B2927" s="2" t="s">
        <v>1711</v>
      </c>
      <c r="C2927" s="2" t="s">
        <v>2098</v>
      </c>
      <c r="D2927" s="2" t="s">
        <v>11956</v>
      </c>
      <c r="E2927" s="2" t="s">
        <v>11957</v>
      </c>
      <c r="F2927" s="2">
        <v>113.0</v>
      </c>
      <c r="G2927" s="2">
        <v>191.0</v>
      </c>
      <c r="H2927" s="2" t="b">
        <v>1</v>
      </c>
      <c r="I2927" s="2">
        <v>-1.0</v>
      </c>
      <c r="J2927" s="2" t="b">
        <v>0</v>
      </c>
      <c r="K2927" s="2" t="b">
        <v>0</v>
      </c>
      <c r="L2927" s="2" t="b">
        <v>0</v>
      </c>
      <c r="M2927" s="2" t="b">
        <v>0</v>
      </c>
      <c r="N2927" s="2" t="s">
        <v>33</v>
      </c>
      <c r="O2927" s="2">
        <v>77.0</v>
      </c>
      <c r="P2927" s="2">
        <v>13.0</v>
      </c>
      <c r="Q2927" s="2">
        <v>17.0</v>
      </c>
      <c r="R2927" s="2">
        <v>0.0</v>
      </c>
      <c r="S2927" s="3" t="s">
        <v>11958</v>
      </c>
      <c r="T2927" s="2" t="s">
        <v>11959</v>
      </c>
      <c r="Y2927" s="4" t="str">
        <f>IFERROR(__xludf.DUMMYFUNCTION("""COMPUTED_VALUE"""),"6.6117188")</f>
        <v>6.6117188</v>
      </c>
      <c r="Z2927" s="4" t="str">
        <f>IFERROR(__xludf.DUMMYFUNCTION("""COMPUTED_VALUE"""),"3.0576199")</f>
        <v>3.0576199</v>
      </c>
      <c r="AA2927" s="4" t="str">
        <f t="shared" si="1"/>
        <v>Not Neighbor</v>
      </c>
      <c r="AC2927" s="4">
        <f>IFERROR(__xludf.DUMMYFUNCTION("IFERROR(ABS(O2927-AVERAGE(FILTER(O2927:O6995,AA2927:AA6995=""Neighbor""))) / STDEV(FILTER(O2927:O6995, AA2927:AA6995 =""Neighbor"")), """")"),0.888970370734968)</f>
        <v>0.8889703707</v>
      </c>
      <c r="AD2927" s="4">
        <f>IFERROR(__xludf.DUMMYFUNCTION("IFERROR(ABS(P2927-AVERAGE(FILTER(O2927:P6995,AA2927:AA6995=""Neighbor""))) / STDEV(FILTER(P2927:P6995, AA2927:AA6995 =""Neighbor"")), """")"),0.8024771217835689)</f>
        <v>0.8024771218</v>
      </c>
      <c r="AE2927" s="2">
        <f>IFERROR(__xludf.DUMMYFUNCTION("IFERROR(ABS(Q2927-AVERAGE(FILTER(Q2927:Q6995,AA2927:AA6995=""Neighbor""))) / STDEV(FILTER(Q2927:Q6995, AA2927:AA6995 =""Neighbor"")), """")"),0.0922278083142084)</f>
        <v>0.09222780831</v>
      </c>
      <c r="AF2927" s="2">
        <f>IFERROR(__xludf.DUMMYFUNCTION("IFERROR(ABS(R2927-AVERAGE(FILTER(R2927:R6995,AA2927:AA6995=""Neighbor""))) / STDEV(FILTER(R2927:R6995, AA2927:AA6995 =""Neighbor"")), """")"),0.3353826857122772)</f>
        <v>0.3353826857</v>
      </c>
    </row>
    <row r="2928">
      <c r="A2928" s="2" t="s">
        <v>28</v>
      </c>
      <c r="B2928" s="2" t="s">
        <v>1711</v>
      </c>
      <c r="C2928" s="2" t="s">
        <v>2098</v>
      </c>
      <c r="D2928" s="2" t="s">
        <v>11960</v>
      </c>
      <c r="E2928" s="2" t="s">
        <v>11961</v>
      </c>
      <c r="F2928" s="2">
        <v>70.0</v>
      </c>
      <c r="G2928" s="2">
        <v>120.0</v>
      </c>
      <c r="H2928" s="2" t="b">
        <v>1</v>
      </c>
      <c r="I2928" s="2">
        <v>-1.0</v>
      </c>
      <c r="J2928" s="2" t="b">
        <v>0</v>
      </c>
      <c r="K2928" s="2" t="b">
        <v>0</v>
      </c>
      <c r="L2928" s="2" t="b">
        <v>0</v>
      </c>
      <c r="M2928" s="2" t="b">
        <v>0</v>
      </c>
      <c r="N2928" s="2" t="s">
        <v>33</v>
      </c>
      <c r="O2928" s="2">
        <v>56.0</v>
      </c>
      <c r="P2928" s="2">
        <v>6.0</v>
      </c>
      <c r="Q2928" s="2">
        <v>2.0</v>
      </c>
      <c r="R2928" s="2">
        <v>0.0</v>
      </c>
      <c r="S2928" s="3" t="s">
        <v>11962</v>
      </c>
      <c r="T2928" s="2" t="s">
        <v>11963</v>
      </c>
      <c r="Y2928" s="4" t="str">
        <f>IFERROR(__xludf.DUMMYFUNCTION("""COMPUTED_VALUE"""),"7.2137631")</f>
        <v>7.2137631</v>
      </c>
      <c r="Z2928" s="4" t="str">
        <f>IFERROR(__xludf.DUMMYFUNCTION("""COMPUTED_VALUE"""),"3.3779454")</f>
        <v>3.3779454</v>
      </c>
      <c r="AA2928" s="4" t="str">
        <f t="shared" si="1"/>
        <v>Not Neighbor</v>
      </c>
      <c r="AC2928" s="4">
        <f>IFERROR(__xludf.DUMMYFUNCTION("IFERROR(ABS(O2928-AVERAGE(FILTER(O2928:O6996,AA2928:AA6996=""Neighbor""))) / STDEV(FILTER(O2928:O6996, AA2928:AA6996 =""Neighbor"")), """")"),0.2705683934589669)</f>
        <v>0.2705683935</v>
      </c>
      <c r="AD2928" s="4">
        <f>IFERROR(__xludf.DUMMYFUNCTION("IFERROR(ABS(P2928-AVERAGE(FILTER(O2928:P6996,AA2928:AA6996=""Neighbor""))) / STDEV(FILTER(P2928:P6996, AA2928:AA6996 =""Neighbor"")), """")"),1.0914455507190448)</f>
        <v>1.091445551</v>
      </c>
      <c r="AE2928" s="2">
        <f>IFERROR(__xludf.DUMMYFUNCTION("IFERROR(ABS(Q2928-AVERAGE(FILTER(Q2928:Q6996,AA2928:AA6996=""Neighbor""))) / STDEV(FILTER(Q2928:Q6996, AA2928:AA6996 =""Neighbor"")), """")"),0.760980991068336)</f>
        <v>0.7609809911</v>
      </c>
      <c r="AF2928" s="2">
        <f>IFERROR(__xludf.DUMMYFUNCTION("IFERROR(ABS(R2928-AVERAGE(FILTER(R2928:R6996,AA2928:AA6996=""Neighbor""))) / STDEV(FILTER(R2928:R6996, AA2928:AA6996 =""Neighbor"")), """")"),0.3353826857122772)</f>
        <v>0.3353826857</v>
      </c>
    </row>
    <row r="2929">
      <c r="A2929" s="2" t="s">
        <v>28</v>
      </c>
      <c r="B2929" s="2" t="s">
        <v>1711</v>
      </c>
      <c r="C2929" s="2" t="s">
        <v>2098</v>
      </c>
      <c r="D2929" s="2" t="s">
        <v>11964</v>
      </c>
      <c r="E2929" s="2" t="s">
        <v>11965</v>
      </c>
      <c r="F2929" s="2">
        <v>167.0</v>
      </c>
      <c r="G2929" s="2">
        <v>345.0</v>
      </c>
      <c r="H2929" s="2" t="b">
        <v>1</v>
      </c>
      <c r="I2929" s="2">
        <v>-1.0</v>
      </c>
      <c r="J2929" s="2" t="b">
        <v>0</v>
      </c>
      <c r="K2929" s="2" t="b">
        <v>0</v>
      </c>
      <c r="L2929" s="2" t="b">
        <v>0</v>
      </c>
      <c r="M2929" s="2" t="b">
        <v>0</v>
      </c>
      <c r="N2929" s="2" t="s">
        <v>33</v>
      </c>
      <c r="O2929" s="2">
        <v>126.0</v>
      </c>
      <c r="P2929" s="2">
        <v>15.0</v>
      </c>
      <c r="Q2929" s="2">
        <v>11.0</v>
      </c>
      <c r="R2929" s="2">
        <v>1.0</v>
      </c>
      <c r="S2929" s="3" t="s">
        <v>11966</v>
      </c>
      <c r="T2929" s="2" t="s">
        <v>11967</v>
      </c>
      <c r="Y2929" s="4" t="str">
        <f>IFERROR(__xludf.DUMMYFUNCTION("""COMPUTED_VALUE"""),"6.670027")</f>
        <v>6.670027</v>
      </c>
      <c r="Z2929" s="4" t="str">
        <f>IFERROR(__xludf.DUMMYFUNCTION("""COMPUTED_VALUE"""),"3.1347552")</f>
        <v>3.1347552</v>
      </c>
      <c r="AA2929" s="4" t="str">
        <f t="shared" si="1"/>
        <v>Not Neighbor</v>
      </c>
      <c r="AC2929" s="4">
        <f>IFERROR(__xludf.DUMMYFUNCTION("IFERROR(ABS(O2929-AVERAGE(FILTER(O2929:O6997,AA2929:AA6997=""Neighbor""))) / STDEV(FILTER(O2929:O6997, AA2929:AA6997 =""Neighbor"")), """")"),2.331908317712304)</f>
        <v>2.331908318</v>
      </c>
      <c r="AD2929" s="4">
        <f>IFERROR(__xludf.DUMMYFUNCTION("IFERROR(ABS(P2929-AVERAGE(FILTER(O2929:P6997,AA2929:AA6997=""Neighbor""))) / STDEV(FILTER(P2929:P6997, AA2929:AA6997 =""Neighbor"")), """")"),0.7199147135162901)</f>
        <v>0.7199147135</v>
      </c>
      <c r="AE2929" s="2">
        <f>IFERROR(__xludf.DUMMYFUNCTION("IFERROR(ABS(Q2929-AVERAGE(FILTER(Q2929:Q6997,AA2929:AA6997=""Neighbor""))) / STDEV(FILTER(Q2929:Q6997, AA2929:AA6997 =""Neighbor"")), """")"),0.2490557114388094)</f>
        <v>0.2490557114</v>
      </c>
      <c r="AF2929" s="2">
        <f>IFERROR(__xludf.DUMMYFUNCTION("IFERROR(ABS(R2929-AVERAGE(FILTER(R2929:R6997,AA2929:AA6997=""Neighbor""))) / STDEV(FILTER(R2929:R6997, AA2929:AA6997 =""Neighbor"")), """")"),0.7737569048322616)</f>
        <v>0.7737569048</v>
      </c>
    </row>
    <row r="2930">
      <c r="A2930" s="2" t="s">
        <v>28</v>
      </c>
      <c r="B2930" s="2" t="s">
        <v>1711</v>
      </c>
      <c r="C2930" s="2" t="s">
        <v>2098</v>
      </c>
      <c r="D2930" s="2" t="s">
        <v>11968</v>
      </c>
      <c r="E2930" s="2" t="s">
        <v>11969</v>
      </c>
      <c r="F2930" s="2">
        <v>148.0</v>
      </c>
      <c r="G2930" s="2">
        <v>259.0</v>
      </c>
      <c r="H2930" s="2" t="b">
        <v>1</v>
      </c>
      <c r="I2930" s="2">
        <v>-1.0</v>
      </c>
      <c r="J2930" s="2" t="b">
        <v>0</v>
      </c>
      <c r="K2930" s="2" t="b">
        <v>0</v>
      </c>
      <c r="L2930" s="2" t="b">
        <v>0</v>
      </c>
      <c r="M2930" s="2" t="b">
        <v>0</v>
      </c>
      <c r="N2930" s="2" t="s">
        <v>33</v>
      </c>
      <c r="O2930" s="2">
        <v>106.0</v>
      </c>
      <c r="P2930" s="2">
        <v>24.0</v>
      </c>
      <c r="Q2930" s="2">
        <v>15.0</v>
      </c>
      <c r="R2930" s="2">
        <v>0.0</v>
      </c>
      <c r="S2930" s="3" t="s">
        <v>11970</v>
      </c>
      <c r="T2930" s="2" t="s">
        <v>11971</v>
      </c>
      <c r="Y2930" s="4" t="str">
        <f>IFERROR(__xludf.DUMMYFUNCTION("""COMPUTED_VALUE"""),"6.6117188")</f>
        <v>6.6117188</v>
      </c>
      <c r="Z2930" s="4" t="str">
        <f>IFERROR(__xludf.DUMMYFUNCTION("""COMPUTED_VALUE"""),"3.0576199")</f>
        <v>3.0576199</v>
      </c>
      <c r="AA2930" s="4" t="str">
        <f t="shared" si="1"/>
        <v>Not Neighbor</v>
      </c>
      <c r="AC2930" s="4">
        <f>IFERROR(__xludf.DUMMYFUNCTION("IFERROR(ABS(O2930-AVERAGE(FILTER(O2930:O6998,AA2930:AA6998=""Neighbor""))) / STDEV(FILTER(O2930:O6998, AA2930:AA6998 =""Neighbor"")), """")"),1.742954053639922)</f>
        <v>1.742954054</v>
      </c>
      <c r="AD2930" s="4">
        <f>IFERROR(__xludf.DUMMYFUNCTION("IFERROR(ABS(P2930-AVERAGE(FILTER(O2930:P6998,AA2930:AA6998=""Neighbor""))) / STDEV(FILTER(P2930:P6998, AA2930:AA6998 =""Neighbor"")), """")"),0.3483838763135355)</f>
        <v>0.3483838763</v>
      </c>
      <c r="AE2930" s="2">
        <f>IFERROR(__xludf.DUMMYFUNCTION("IFERROR(ABS(Q2930-AVERAGE(FILTER(Q2930:Q6998,AA2930:AA6998=""Neighbor""))) / STDEV(FILTER(Q2930:Q6998, AA2930:AA6998 =""Neighbor"")), """")"),0.021533364936797524)</f>
        <v>0.02153336494</v>
      </c>
      <c r="AF2930" s="2">
        <f>IFERROR(__xludf.DUMMYFUNCTION("IFERROR(ABS(R2930-AVERAGE(FILTER(R2930:R6998,AA2930:AA6998=""Neighbor""))) / STDEV(FILTER(R2930:R6998, AA2930:AA6998 =""Neighbor"")), """")"),0.3353826857122772)</f>
        <v>0.3353826857</v>
      </c>
    </row>
    <row r="2931">
      <c r="A2931" s="2" t="s">
        <v>28</v>
      </c>
      <c r="B2931" s="2" t="s">
        <v>1711</v>
      </c>
      <c r="C2931" s="2" t="s">
        <v>2098</v>
      </c>
      <c r="D2931" s="2" t="s">
        <v>11972</v>
      </c>
      <c r="E2931" s="2" t="s">
        <v>11973</v>
      </c>
      <c r="F2931" s="2">
        <v>57.0</v>
      </c>
      <c r="G2931" s="2">
        <v>79.0</v>
      </c>
      <c r="H2931" s="2" t="b">
        <v>1</v>
      </c>
      <c r="I2931" s="2">
        <v>-1.0</v>
      </c>
      <c r="J2931" s="2" t="b">
        <v>0</v>
      </c>
      <c r="K2931" s="2" t="b">
        <v>0</v>
      </c>
      <c r="L2931" s="2" t="b">
        <v>0</v>
      </c>
      <c r="M2931" s="2" t="b">
        <v>0</v>
      </c>
      <c r="N2931" s="2" t="s">
        <v>33</v>
      </c>
      <c r="O2931" s="2">
        <v>39.0</v>
      </c>
      <c r="P2931" s="2">
        <v>5.0</v>
      </c>
      <c r="Q2931" s="2">
        <v>11.0</v>
      </c>
      <c r="R2931" s="2">
        <v>0.0</v>
      </c>
      <c r="S2931" s="3" t="s">
        <v>11974</v>
      </c>
      <c r="T2931" s="2" t="s">
        <v>11975</v>
      </c>
      <c r="Y2931" s="4" t="str">
        <f>IFERROR(__xludf.DUMMYFUNCTION("""COMPUTED_VALUE"""),"6.7046247")</f>
        <v>6.7046247</v>
      </c>
      <c r="Z2931" s="4" t="str">
        <f>IFERROR(__xludf.DUMMYFUNCTION("""COMPUTED_VALUE"""),"3.1403256")</f>
        <v>3.1403256</v>
      </c>
      <c r="AA2931" s="4" t="str">
        <f t="shared" si="1"/>
        <v>Not Neighbor</v>
      </c>
      <c r="AC2931" s="4">
        <f>IFERROR(__xludf.DUMMYFUNCTION("IFERROR(ABS(O2931-AVERAGE(FILTER(O2931:O6999,AA2931:AA6999=""Neighbor""))) / STDEV(FILTER(O2931:O6999, AA2931:AA6999 =""Neighbor"")), """")"),0.23004273100255784)</f>
        <v>0.230042731</v>
      </c>
      <c r="AD2931" s="4">
        <f>IFERROR(__xludf.DUMMYFUNCTION("IFERROR(ABS(P2931-AVERAGE(FILTER(O2931:P6999,AA2931:AA6999=""Neighbor""))) / STDEV(FILTER(P2931:P6999, AA2931:AA6999 =""Neighbor"")), """")"),1.1327267548526843)</f>
        <v>1.132726755</v>
      </c>
      <c r="AE2931" s="2">
        <f>IFERROR(__xludf.DUMMYFUNCTION("IFERROR(ABS(Q2931-AVERAGE(FILTER(Q2931:Q6999,AA2931:AA6999=""Neighbor""))) / STDEV(FILTER(Q2931:Q6999, AA2931:AA6999 =""Neighbor"")), """")"),0.2490557114388094)</f>
        <v>0.2490557114</v>
      </c>
      <c r="AF2931" s="2">
        <f>IFERROR(__xludf.DUMMYFUNCTION("IFERROR(ABS(R2931-AVERAGE(FILTER(R2931:R6999,AA2931:AA6999=""Neighbor""))) / STDEV(FILTER(R2931:R6999, AA2931:AA6999 =""Neighbor"")), """")"),0.3353826857122772)</f>
        <v>0.3353826857</v>
      </c>
    </row>
    <row r="2932">
      <c r="A2932" s="2" t="s">
        <v>28</v>
      </c>
      <c r="B2932" s="2" t="s">
        <v>1711</v>
      </c>
      <c r="C2932" s="2" t="s">
        <v>2098</v>
      </c>
      <c r="D2932" s="2" t="s">
        <v>11976</v>
      </c>
      <c r="E2932" s="2" t="s">
        <v>11977</v>
      </c>
      <c r="F2932" s="2">
        <v>152.0</v>
      </c>
      <c r="G2932" s="2">
        <v>256.0</v>
      </c>
      <c r="H2932" s="2" t="b">
        <v>1</v>
      </c>
      <c r="I2932" s="2">
        <v>-1.0</v>
      </c>
      <c r="J2932" s="2" t="b">
        <v>0</v>
      </c>
      <c r="K2932" s="2" t="b">
        <v>0</v>
      </c>
      <c r="L2932" s="2" t="b">
        <v>0</v>
      </c>
      <c r="M2932" s="2" t="b">
        <v>0</v>
      </c>
      <c r="N2932" s="2" t="s">
        <v>33</v>
      </c>
      <c r="O2932" s="2">
        <v>89.0</v>
      </c>
      <c r="P2932" s="2">
        <v>27.0</v>
      </c>
      <c r="Q2932" s="2">
        <v>20.0</v>
      </c>
      <c r="R2932" s="2">
        <v>1.0</v>
      </c>
      <c r="S2932" s="3" t="s">
        <v>11978</v>
      </c>
      <c r="T2932" s="2" t="s">
        <v>11979</v>
      </c>
      <c r="Y2932" s="4" t="str">
        <f>IFERROR(__xludf.DUMMYFUNCTION("""COMPUTED_VALUE"""),"7.3108412")</f>
        <v>7.3108412</v>
      </c>
      <c r="Z2932" s="4" t="str">
        <f>IFERROR(__xludf.DUMMYFUNCTION("""COMPUTED_VALUE"""),"4.1718542")</f>
        <v>4.1718542</v>
      </c>
      <c r="AA2932" s="4" t="str">
        <f t="shared" si="1"/>
        <v>Not Neighbor</v>
      </c>
      <c r="AC2932" s="4">
        <f>IFERROR(__xludf.DUMMYFUNCTION("IFERROR(ABS(O2932-AVERAGE(FILTER(O2932:O7000,AA2932:AA7000=""Neighbor""))) / STDEV(FILTER(O2932:O7000, AA2932:AA7000 =""Neighbor"")), """")"),1.2423429291783972)</f>
        <v>1.242342929</v>
      </c>
      <c r="AD2932" s="4">
        <f>IFERROR(__xludf.DUMMYFUNCTION("IFERROR(ABS(P2932-AVERAGE(FILTER(O2932:P7000,AA2932:AA7000=""Neighbor""))) / STDEV(FILTER(P2932:P7000, AA2932:AA7000 =""Neighbor"")), """")"),0.22454026391261728)</f>
        <v>0.2245402639</v>
      </c>
      <c r="AE2932" s="2">
        <f>IFERROR(__xludf.DUMMYFUNCTION("IFERROR(ABS(Q2932-AVERAGE(FILTER(Q2932:Q7000,AA2932:AA7000=""Neighbor""))) / STDEV(FILTER(Q2932:Q7000, AA2932:AA7000 =""Neighbor"")), """")"),0.2628695681907173)</f>
        <v>0.2628695682</v>
      </c>
      <c r="AF2932" s="2">
        <f>IFERROR(__xludf.DUMMYFUNCTION("IFERROR(ABS(R2932-AVERAGE(FILTER(R2932:R7000,AA2932:AA7000=""Neighbor""))) / STDEV(FILTER(R2932:R7000, AA2932:AA7000 =""Neighbor"")), """")"),0.7737569048322616)</f>
        <v>0.7737569048</v>
      </c>
    </row>
    <row r="2933">
      <c r="A2933" s="2" t="s">
        <v>28</v>
      </c>
      <c r="B2933" s="2" t="s">
        <v>1711</v>
      </c>
      <c r="C2933" s="2" t="s">
        <v>2098</v>
      </c>
      <c r="D2933" s="2" t="s">
        <v>11980</v>
      </c>
      <c r="E2933" s="2" t="s">
        <v>11981</v>
      </c>
      <c r="F2933" s="2">
        <v>229.0</v>
      </c>
      <c r="G2933" s="2">
        <v>429.0</v>
      </c>
      <c r="H2933" s="2" t="b">
        <v>1</v>
      </c>
      <c r="I2933" s="2">
        <v>-1.0</v>
      </c>
      <c r="J2933" s="2" t="b">
        <v>1</v>
      </c>
      <c r="K2933" s="2" t="b">
        <v>0</v>
      </c>
      <c r="L2933" s="2" t="b">
        <v>0</v>
      </c>
      <c r="M2933" s="2" t="b">
        <v>0</v>
      </c>
      <c r="N2933" s="2" t="s">
        <v>33</v>
      </c>
      <c r="O2933" s="2">
        <v>153.0</v>
      </c>
      <c r="P2933" s="2">
        <v>37.0</v>
      </c>
      <c r="Q2933" s="2">
        <v>14.0</v>
      </c>
      <c r="R2933" s="2">
        <v>2.0</v>
      </c>
      <c r="S2933" s="3" t="s">
        <v>11982</v>
      </c>
      <c r="T2933" s="2" t="s">
        <v>11983</v>
      </c>
      <c r="Y2933" s="4" t="str">
        <f>IFERROR(__xludf.DUMMYFUNCTION("""COMPUTED_VALUE"""),"6.67002")</f>
        <v>6.67002</v>
      </c>
      <c r="Z2933" s="4" t="str">
        <f>IFERROR(__xludf.DUMMYFUNCTION("""COMPUTED_VALUE"""),"3.1347543")</f>
        <v>3.1347543</v>
      </c>
      <c r="AA2933" s="4" t="str">
        <f t="shared" si="1"/>
        <v>Neighbor</v>
      </c>
      <c r="AC2933" s="4">
        <f>IFERROR(__xludf.DUMMYFUNCTION("IFERROR(ABS(O2933-AVERAGE(FILTER(O2933:O7001,AA2933:AA7001=""Neighbor""))) / STDEV(FILTER(O2933:O7001, AA2933:AA7001 =""Neighbor"")), """")"),3.1269965742100196)</f>
        <v>3.126996574</v>
      </c>
      <c r="AD2933" s="4">
        <f>IFERROR(__xludf.DUMMYFUNCTION("IFERROR(ABS(P2933-AVERAGE(FILTER(O2933:P7001,AA2933:AA7001=""Neighbor""))) / STDEV(FILTER(P2933:P7001, AA2933:AA7001 =""Neighbor"")), """")"),0.18827177742377676)</f>
        <v>0.1882717774</v>
      </c>
      <c r="AE2933" s="2">
        <f>IFERROR(__xludf.DUMMYFUNCTION("IFERROR(ABS(Q2933-AVERAGE(FILTER(Q2933:Q7001,AA2933:AA7001=""Neighbor""))) / STDEV(FILTER(Q2933:Q7001, AA2933:AA7001 =""Neighbor"")), """")"),0.0784139515623005)</f>
        <v>0.07841395156</v>
      </c>
      <c r="AF2933" s="2">
        <f>IFERROR(__xludf.DUMMYFUNCTION("IFERROR(ABS(R2933-AVERAGE(FILTER(R2933:R7001,AA2933:AA7001=""Neighbor""))) / STDEV(FILTER(R2933:R7001, AA2933:AA7001 =""Neighbor"")), """")"),1.8828964953768004)</f>
        <v>1.882896495</v>
      </c>
    </row>
    <row r="2934">
      <c r="A2934" s="2" t="s">
        <v>28</v>
      </c>
      <c r="B2934" s="2" t="s">
        <v>1711</v>
      </c>
      <c r="C2934" s="2" t="s">
        <v>2098</v>
      </c>
      <c r="D2934" s="2" t="s">
        <v>11984</v>
      </c>
      <c r="E2934" s="2" t="s">
        <v>11985</v>
      </c>
      <c r="F2934" s="2">
        <v>170.0</v>
      </c>
      <c r="G2934" s="2">
        <v>358.0</v>
      </c>
      <c r="H2934" s="2" t="b">
        <v>1</v>
      </c>
      <c r="I2934" s="2">
        <v>-1.0</v>
      </c>
      <c r="J2934" s="2" t="b">
        <v>0</v>
      </c>
      <c r="K2934" s="2" t="b">
        <v>0</v>
      </c>
      <c r="L2934" s="2" t="b">
        <v>0</v>
      </c>
      <c r="M2934" s="2" t="b">
        <v>0</v>
      </c>
      <c r="N2934" s="2" t="s">
        <v>33</v>
      </c>
      <c r="O2934" s="2">
        <v>95.0</v>
      </c>
      <c r="P2934" s="2">
        <v>49.0</v>
      </c>
      <c r="Q2934" s="2">
        <v>8.0</v>
      </c>
      <c r="R2934" s="2">
        <v>0.0</v>
      </c>
      <c r="S2934" s="3" t="s">
        <v>11986</v>
      </c>
      <c r="T2934" s="2" t="s">
        <v>11987</v>
      </c>
      <c r="Y2934" s="4" t="str">
        <f>IFERROR(__xludf.DUMMYFUNCTION("""COMPUTED_VALUE"""),"6.67002")</f>
        <v>6.67002</v>
      </c>
      <c r="Z2934" s="4" t="str">
        <f>IFERROR(__xludf.DUMMYFUNCTION("""COMPUTED_VALUE"""),"3.1347543")</f>
        <v>3.1347543</v>
      </c>
      <c r="AA2934" s="4" t="str">
        <f t="shared" si="1"/>
        <v>Not Neighbor</v>
      </c>
      <c r="AC2934" s="4">
        <f>IFERROR(__xludf.DUMMYFUNCTION("IFERROR(ABS(O2934-AVERAGE(FILTER(O2934:O7002,AA2934:AA7002=""Neighbor""))) / STDEV(FILTER(O2934:O7002, AA2934:AA7002 =""Neighbor"")), """")"),1.4417517869932088)</f>
        <v>1.441751787</v>
      </c>
      <c r="AD2934" s="4">
        <f>IFERROR(__xludf.DUMMYFUNCTION("IFERROR(ABS(P2934-AVERAGE(FILTER(O2934:P7002,AA2934:AA7002=""Neighbor""))) / STDEV(FILTER(P2934:P7002, AA2934:AA7002 =""Neighbor"")), """")"),0.6894902599161449)</f>
        <v>0.6894902599</v>
      </c>
      <c r="AE2934" s="2">
        <f>IFERROR(__xludf.DUMMYFUNCTION("IFERROR(ABS(Q2934-AVERAGE(FILTER(Q2934:Q7002,AA2934:AA7002=""Neighbor""))) / STDEV(FILTER(Q2934:Q7002, AA2934:AA7002 =""Neighbor"")), """")"),0.41938634640352596)</f>
        <v>0.4193863464</v>
      </c>
      <c r="AF2934" s="2">
        <f>IFERROR(__xludf.DUMMYFUNCTION("IFERROR(ABS(R2934-AVERAGE(FILTER(R2934:R7002,AA2934:AA7002=""Neighbor""))) / STDEV(FILTER(R2934:R7002, AA2934:AA7002 =""Neighbor"")), """")"),0.33190433325730284)</f>
        <v>0.3319043333</v>
      </c>
    </row>
    <row r="2935">
      <c r="A2935" s="2" t="s">
        <v>28</v>
      </c>
      <c r="B2935" s="2" t="s">
        <v>1711</v>
      </c>
      <c r="C2935" s="2" t="s">
        <v>2098</v>
      </c>
      <c r="D2935" s="2" t="s">
        <v>11988</v>
      </c>
      <c r="E2935" s="2" t="s">
        <v>11989</v>
      </c>
      <c r="F2935" s="2">
        <v>93.0</v>
      </c>
      <c r="G2935" s="2">
        <v>214.0</v>
      </c>
      <c r="H2935" s="2" t="b">
        <v>1</v>
      </c>
      <c r="I2935" s="2">
        <v>-1.0</v>
      </c>
      <c r="J2935" s="2" t="b">
        <v>0</v>
      </c>
      <c r="K2935" s="2" t="b">
        <v>0</v>
      </c>
      <c r="L2935" s="2" t="b">
        <v>0</v>
      </c>
      <c r="M2935" s="2" t="b">
        <v>0</v>
      </c>
      <c r="N2935" s="2" t="s">
        <v>33</v>
      </c>
      <c r="O2935" s="2">
        <v>56.0</v>
      </c>
      <c r="P2935" s="2">
        <v>17.0</v>
      </c>
      <c r="Q2935" s="2">
        <v>7.0</v>
      </c>
      <c r="R2935" s="2">
        <v>0.0</v>
      </c>
      <c r="S2935" s="3" t="s">
        <v>11990</v>
      </c>
      <c r="T2935" s="2" t="s">
        <v>11991</v>
      </c>
      <c r="Y2935" s="4" t="str">
        <f>IFERROR(__xludf.DUMMYFUNCTION("""COMPUTED_VALUE"""),"6.6292041")</f>
        <v>6.6292041</v>
      </c>
      <c r="Z2935" s="4" t="str">
        <f>IFERROR(__xludf.DUMMYFUNCTION("""COMPUTED_VALUE"""),"3.2181579")</f>
        <v>3.2181579</v>
      </c>
      <c r="AA2935" s="4" t="str">
        <f t="shared" si="1"/>
        <v>Not Neighbor</v>
      </c>
      <c r="AC2935" s="4">
        <f>IFERROR(__xludf.DUMMYFUNCTION("IFERROR(ABS(O2935-AVERAGE(FILTER(O2935:O7003,AA2935:AA7003=""Neighbor""))) / STDEV(FILTER(O2935:O7003, AA2935:AA7003 =""Neighbor"")), """")"),0.2810055707417419)</f>
        <v>0.2810055707</v>
      </c>
      <c r="AD2935" s="4">
        <f>IFERROR(__xludf.DUMMYFUNCTION("IFERROR(ABS(P2935-AVERAGE(FILTER(O2935:P7003,AA2935:AA7003=""Neighbor""))) / STDEV(FILTER(P2935:P7003, AA2935:AA7003 =""Neighbor"")), """")"),0.6308961437053177)</f>
        <v>0.6308961437</v>
      </c>
      <c r="AE2935" s="2">
        <f>IFERROR(__xludf.DUMMYFUNCTION("IFERROR(ABS(Q2935-AVERAGE(FILTER(Q2935:Q7003,AA2935:AA7003=""Neighbor""))) / STDEV(FILTER(Q2935:Q7003, AA2935:AA7003 =""Neighbor"")), """")"),0.4761994337436738)</f>
        <v>0.4761994337</v>
      </c>
      <c r="AF2935" s="2">
        <f>IFERROR(__xludf.DUMMYFUNCTION("IFERROR(ABS(R2935-AVERAGE(FILTER(R2935:R7003,AA2935:AA7003=""Neighbor""))) / STDEV(FILTER(R2935:R7003, AA2935:AA7003 =""Neighbor"")), """")"),0.33190433325730284)</f>
        <v>0.3319043333</v>
      </c>
    </row>
    <row r="2936">
      <c r="A2936" s="2" t="s">
        <v>28</v>
      </c>
      <c r="B2936" s="2" t="s">
        <v>1711</v>
      </c>
      <c r="C2936" s="2" t="s">
        <v>2098</v>
      </c>
      <c r="D2936" s="2" t="s">
        <v>11992</v>
      </c>
      <c r="E2936" s="2" t="s">
        <v>11993</v>
      </c>
      <c r="F2936" s="2">
        <v>155.0</v>
      </c>
      <c r="G2936" s="2">
        <v>379.0</v>
      </c>
      <c r="H2936" s="2" t="b">
        <v>1</v>
      </c>
      <c r="I2936" s="2">
        <v>-1.0</v>
      </c>
      <c r="J2936" s="2" t="b">
        <v>0</v>
      </c>
      <c r="K2936" s="2" t="b">
        <v>1</v>
      </c>
      <c r="L2936" s="2" t="b">
        <v>0</v>
      </c>
      <c r="M2936" s="2" t="b">
        <v>0</v>
      </c>
      <c r="N2936" s="2" t="s">
        <v>33</v>
      </c>
      <c r="O2936" s="2">
        <v>118.0</v>
      </c>
      <c r="P2936" s="2">
        <v>30.0</v>
      </c>
      <c r="Q2936" s="2">
        <v>2.0</v>
      </c>
      <c r="R2936" s="2">
        <v>0.0</v>
      </c>
      <c r="S2936" s="3" t="s">
        <v>11994</v>
      </c>
      <c r="T2936" s="2" t="s">
        <v>11995</v>
      </c>
      <c r="Y2936" s="4" t="str">
        <f>IFERROR(__xludf.DUMMYFUNCTION("""COMPUTED_VALUE"""),"6.583333")</f>
        <v>6.583333</v>
      </c>
      <c r="Z2936" s="4" t="str">
        <f>IFERROR(__xludf.DUMMYFUNCTION("""COMPUTED_VALUE"""),"3.2")</f>
        <v>3.2</v>
      </c>
      <c r="AA2936" s="4" t="str">
        <f t="shared" si="1"/>
        <v>Not Neighbor</v>
      </c>
      <c r="AC2936" s="4">
        <f>IFERROR(__xludf.DUMMYFUNCTION("IFERROR(ABS(O2936-AVERAGE(FILTER(O2936:O7004,AA2936:AA7004=""Neighbor""))) / STDEV(FILTER(O2936:O7004, AA2936:AA7004 =""Neighbor"")), """")"),2.1262944273466378)</f>
        <v>2.126294427</v>
      </c>
      <c r="AD2936" s="4">
        <f>IFERROR(__xludf.DUMMYFUNCTION("IFERROR(ABS(P2936-AVERAGE(FILTER(O2936:P7004,AA2936:AA7004=""Neighbor""))) / STDEV(FILTER(P2936:P7004, AA2936:AA7004 =""Neighbor"")), """")"),0.09448916723409848)</f>
        <v>0.09448916723</v>
      </c>
      <c r="AE2936" s="2">
        <f>IFERROR(__xludf.DUMMYFUNCTION("IFERROR(ABS(Q2936-AVERAGE(FILTER(Q2936:Q7004,AA2936:AA7004=""Neighbor""))) / STDEV(FILTER(Q2936:Q7004, AA2936:AA7004 =""Neighbor"")), """")"),0.7602648704444132)</f>
        <v>0.7602648704</v>
      </c>
      <c r="AF2936" s="2">
        <f>IFERROR(__xludf.DUMMYFUNCTION("IFERROR(ABS(R2936-AVERAGE(FILTER(R2936:R7004,AA2936:AA7004=""Neighbor""))) / STDEV(FILTER(R2936:R7004, AA2936:AA7004 =""Neighbor"")), """")"),0.33190433325730284)</f>
        <v>0.3319043333</v>
      </c>
    </row>
    <row r="2937">
      <c r="A2937" s="2" t="s">
        <v>28</v>
      </c>
      <c r="B2937" s="2" t="s">
        <v>1711</v>
      </c>
      <c r="C2937" s="2" t="s">
        <v>2098</v>
      </c>
      <c r="D2937" s="2" t="s">
        <v>11996</v>
      </c>
      <c r="E2937" s="2" t="s">
        <v>11997</v>
      </c>
      <c r="F2937" s="2">
        <v>49.0</v>
      </c>
      <c r="G2937" s="2">
        <v>101.0</v>
      </c>
      <c r="H2937" s="2" t="b">
        <v>1</v>
      </c>
      <c r="I2937" s="2">
        <v>-1.0</v>
      </c>
      <c r="J2937" s="2" t="b">
        <v>0</v>
      </c>
      <c r="K2937" s="2" t="b">
        <v>0</v>
      </c>
      <c r="L2937" s="2" t="b">
        <v>0</v>
      </c>
      <c r="M2937" s="2" t="b">
        <v>0</v>
      </c>
      <c r="N2937" s="2" t="s">
        <v>33</v>
      </c>
      <c r="O2937" s="2">
        <v>13.0</v>
      </c>
      <c r="P2937" s="2">
        <v>28.0</v>
      </c>
      <c r="Q2937" s="2">
        <v>6.0</v>
      </c>
      <c r="R2937" s="2">
        <v>0.0</v>
      </c>
      <c r="S2937" s="3" t="s">
        <v>11998</v>
      </c>
      <c r="T2937" s="2" t="s">
        <v>11999</v>
      </c>
      <c r="Y2937" s="4" t="str">
        <f>IFERROR(__xludf.DUMMYFUNCTION("""COMPUTED_VALUE"""),"6.67002")</f>
        <v>6.67002</v>
      </c>
      <c r="Z2937" s="4" t="str">
        <f>IFERROR(__xludf.DUMMYFUNCTION("""COMPUTED_VALUE"""),"3.1347543")</f>
        <v>3.1347543</v>
      </c>
      <c r="AA2937" s="4" t="str">
        <f t="shared" si="1"/>
        <v>Not Neighbor</v>
      </c>
      <c r="AC2937" s="4">
        <f>IFERROR(__xludf.DUMMYFUNCTION("IFERROR(ABS(O2937-AVERAGE(FILTER(O2937:O7005,AA2937:AA7005=""Neighbor""))) / STDEV(FILTER(O2937:O7005, AA2937:AA7005 =""Neighbor"")), """")"),0.9987915394842345)</f>
        <v>0.9987915395</v>
      </c>
      <c r="AD2937" s="4">
        <f>IFERROR(__xludf.DUMMYFUNCTION("IFERROR(ABS(P2937-AVERAGE(FILTER(O2937:P7005,AA2937:AA7005=""Neighbor""))) / STDEV(FILTER(P2937:P7005, AA2937:AA7005 =""Neighbor"")), """")"),0.17701331746043988)</f>
        <v>0.1770133175</v>
      </c>
      <c r="AE2937" s="2">
        <f>IFERROR(__xludf.DUMMYFUNCTION("IFERROR(ABS(Q2937-AVERAGE(FILTER(Q2937:Q7005,AA2937:AA7005=""Neighbor""))) / STDEV(FILTER(Q2937:Q7005, AA2937:AA7005 =""Neighbor"")), """")"),0.5330125210838217)</f>
        <v>0.5330125211</v>
      </c>
      <c r="AF2937" s="2">
        <f>IFERROR(__xludf.DUMMYFUNCTION("IFERROR(ABS(R2937-AVERAGE(FILTER(R2937:R7005,AA2937:AA7005=""Neighbor""))) / STDEV(FILTER(R2937:R7005, AA2937:AA7005 =""Neighbor"")), """")"),0.33190433325730284)</f>
        <v>0.3319043333</v>
      </c>
    </row>
    <row r="2938">
      <c r="A2938" s="2" t="s">
        <v>28</v>
      </c>
      <c r="B2938" s="2" t="s">
        <v>1711</v>
      </c>
      <c r="C2938" s="2" t="s">
        <v>2098</v>
      </c>
      <c r="D2938" s="2" t="s">
        <v>12000</v>
      </c>
      <c r="E2938" s="2" t="s">
        <v>12001</v>
      </c>
      <c r="F2938" s="2">
        <v>192.0</v>
      </c>
      <c r="G2938" s="2">
        <v>534.0</v>
      </c>
      <c r="H2938" s="2" t="b">
        <v>1</v>
      </c>
      <c r="I2938" s="2">
        <v>-1.0</v>
      </c>
      <c r="J2938" s="2" t="b">
        <v>0</v>
      </c>
      <c r="K2938" s="2" t="b">
        <v>0</v>
      </c>
      <c r="L2938" s="2" t="b">
        <v>0</v>
      </c>
      <c r="M2938" s="2" t="b">
        <v>0</v>
      </c>
      <c r="N2938" s="2" t="s">
        <v>33</v>
      </c>
      <c r="O2938" s="2">
        <v>105.0</v>
      </c>
      <c r="P2938" s="2">
        <v>31.0</v>
      </c>
      <c r="Q2938" s="2">
        <v>38.0</v>
      </c>
      <c r="R2938" s="2">
        <v>2.0</v>
      </c>
      <c r="S2938" s="3" t="s">
        <v>12002</v>
      </c>
      <c r="T2938" s="2" t="s">
        <v>12003</v>
      </c>
      <c r="Y2938" s="4" t="str">
        <f>IFERROR(__xludf.DUMMYFUNCTION("""COMPUTED_VALUE"""),"6.9272559")</f>
        <v>6.9272559</v>
      </c>
      <c r="Z2938" s="4" t="str">
        <f>IFERROR(__xludf.DUMMYFUNCTION("""COMPUTED_VALUE"""),"3.2163853")</f>
        <v>3.2163853</v>
      </c>
      <c r="AA2938" s="4" t="str">
        <f t="shared" si="1"/>
        <v>Not Neighbor</v>
      </c>
      <c r="AC2938" s="4">
        <f>IFERROR(__xludf.DUMMYFUNCTION("IFERROR(ABS(O2938-AVERAGE(FILTER(O2938:O7006,AA2938:AA7006=""Neighbor""))) / STDEV(FILTER(O2938:O7006, AA2938:AA7006 =""Neighbor"")), """")"),1.7393790219294825)</f>
        <v>1.739379022</v>
      </c>
      <c r="AD2938" s="4">
        <f>IFERROR(__xludf.DUMMYFUNCTION("IFERROR(ABS(P2938-AVERAGE(FILTER(O2938:P7006,AA2938:AA7006=""Neighbor""))) / STDEV(FILTER(P2938:P7006, AA2938:AA7006 =""Neighbor"")), """")"),0.05322709212092777)</f>
        <v>0.05322709212</v>
      </c>
      <c r="AE2938" s="2">
        <f>IFERROR(__xludf.DUMMYFUNCTION("IFERROR(ABS(Q2938-AVERAGE(FILTER(Q2938:Q7006,AA2938:AA7006=""Neighbor""))) / STDEV(FILTER(Q2938:Q7006, AA2938:AA7006 =""Neighbor"")), """")"),1.28500627380091)</f>
        <v>1.285006274</v>
      </c>
      <c r="AF2938" s="2">
        <f>IFERROR(__xludf.DUMMYFUNCTION("IFERROR(ABS(R2938-AVERAGE(FILTER(R2938:R7006,AA2938:AA7006=""Neighbor""))) / STDEV(FILTER(R2938:R7006, AA2938:AA7006 =""Neighbor"")), """")"),1.8931823168996555)</f>
        <v>1.893182317</v>
      </c>
    </row>
    <row r="2939">
      <c r="A2939" s="2" t="s">
        <v>28</v>
      </c>
      <c r="B2939" s="2" t="s">
        <v>1711</v>
      </c>
      <c r="C2939" s="2" t="s">
        <v>2098</v>
      </c>
      <c r="D2939" s="2" t="s">
        <v>12004</v>
      </c>
      <c r="E2939" s="2" t="s">
        <v>12005</v>
      </c>
      <c r="F2939" s="2">
        <v>45.0</v>
      </c>
      <c r="G2939" s="2">
        <v>89.0</v>
      </c>
      <c r="H2939" s="2" t="b">
        <v>1</v>
      </c>
      <c r="I2939" s="2">
        <v>-1.0</v>
      </c>
      <c r="J2939" s="2" t="b">
        <v>0</v>
      </c>
      <c r="K2939" s="2" t="b">
        <v>0</v>
      </c>
      <c r="L2939" s="2" t="b">
        <v>0</v>
      </c>
      <c r="M2939" s="2" t="b">
        <v>0</v>
      </c>
      <c r="N2939" s="2" t="s">
        <v>33</v>
      </c>
      <c r="O2939" s="2">
        <v>37.0</v>
      </c>
      <c r="P2939" s="2">
        <v>7.0</v>
      </c>
      <c r="Q2939" s="2">
        <v>0.0</v>
      </c>
      <c r="R2939" s="2">
        <v>0.0</v>
      </c>
      <c r="S2939" s="3" t="s">
        <v>12006</v>
      </c>
      <c r="T2939" s="2" t="s">
        <v>12007</v>
      </c>
      <c r="Y2939" s="4" t="str">
        <f>IFERROR(__xludf.DUMMYFUNCTION("""COMPUTED_VALUE"""),"6.6017225")</f>
        <v>6.6017225</v>
      </c>
      <c r="Z2939" s="4" t="str">
        <f>IFERROR(__xludf.DUMMYFUNCTION("""COMPUTED_VALUE"""),"3.1641611")</f>
        <v>3.1641611</v>
      </c>
      <c r="AA2939" s="4" t="str">
        <f t="shared" si="1"/>
        <v>Neighbor</v>
      </c>
      <c r="AC2939" s="4">
        <f>IFERROR(__xludf.DUMMYFUNCTION("IFERROR(ABS(O2939-AVERAGE(FILTER(O2939:O7007,AA2939:AA7007=""Neighbor""))) / STDEV(FILTER(O2939:O7007, AA2939:AA7007 =""Neighbor"")), """")"),0.2844861756371779)</f>
        <v>0.2844861756</v>
      </c>
      <c r="AD2939" s="4">
        <f>IFERROR(__xludf.DUMMYFUNCTION("IFERROR(ABS(P2939-AVERAGE(FILTER(O2939:P7007,AA2939:AA7007=""Neighbor""))) / STDEV(FILTER(P2939:P7007, AA2939:AA7007 =""Neighbor"")), """")"),1.0435168948370246)</f>
        <v>1.043516895</v>
      </c>
      <c r="AE2939" s="2">
        <f>IFERROR(__xludf.DUMMYFUNCTION("IFERROR(ABS(Q2939-AVERAGE(FILTER(Q2939:Q7007,AA2939:AA7007=""Neighbor""))) / STDEV(FILTER(Q2939:Q7007, AA2939:AA7007 =""Neighbor"")), """")"),0.8738910451247089)</f>
        <v>0.8738910451</v>
      </c>
      <c r="AF2939" s="2">
        <f>IFERROR(__xludf.DUMMYFUNCTION("IFERROR(ABS(R2939-AVERAGE(FILTER(R2939:R7007,AA2939:AA7007=""Neighbor""))) / STDEV(FILTER(R2939:R7007, AA2939:AA7007 =""Neighbor"")), """")"),0.33190433325730284)</f>
        <v>0.3319043333</v>
      </c>
    </row>
    <row r="2940">
      <c r="A2940" s="2" t="s">
        <v>28</v>
      </c>
      <c r="B2940" s="2" t="s">
        <v>1711</v>
      </c>
      <c r="C2940" s="2" t="s">
        <v>2098</v>
      </c>
      <c r="D2940" s="2" t="s">
        <v>12008</v>
      </c>
      <c r="E2940" s="2" t="s">
        <v>12009</v>
      </c>
      <c r="F2940" s="2">
        <v>119.0</v>
      </c>
      <c r="G2940" s="2">
        <v>750.0</v>
      </c>
      <c r="H2940" s="2" t="b">
        <v>1</v>
      </c>
      <c r="I2940" s="2">
        <v>-1.0</v>
      </c>
      <c r="J2940" s="2" t="b">
        <v>0</v>
      </c>
      <c r="K2940" s="2" t="b">
        <v>0</v>
      </c>
      <c r="L2940" s="2" t="b">
        <v>0</v>
      </c>
      <c r="M2940" s="2" t="b">
        <v>0</v>
      </c>
      <c r="N2940" s="2" t="s">
        <v>33</v>
      </c>
      <c r="O2940" s="2">
        <v>87.0</v>
      </c>
      <c r="P2940" s="2">
        <v>24.0</v>
      </c>
      <c r="Q2940" s="2">
        <v>2.0</v>
      </c>
      <c r="R2940" s="2">
        <v>0.0</v>
      </c>
      <c r="S2940" s="3" t="s">
        <v>12010</v>
      </c>
      <c r="T2940" s="2" t="s">
        <v>12011</v>
      </c>
      <c r="Y2940" s="4" t="str">
        <f>IFERROR(__xludf.DUMMYFUNCTION("""COMPUTED_VALUE"""),"6.6017225")</f>
        <v>6.6017225</v>
      </c>
      <c r="Z2940" s="4" t="str">
        <f>IFERROR(__xludf.DUMMYFUNCTION("""COMPUTED_VALUE"""),"3.1641611")</f>
        <v>3.1641611</v>
      </c>
      <c r="AA2940" s="4" t="str">
        <f t="shared" si="1"/>
        <v>Neighbor</v>
      </c>
      <c r="AC2940" s="4">
        <f>IFERROR(__xludf.DUMMYFUNCTION("IFERROR(ABS(O2940-AVERAGE(FILTER(O2940:O7008,AA2940:AA7008=""Neighbor""))) / STDEV(FILTER(O2940:O7008, AA2940:AA7008 =""Neighbor"")), """")"),1.2016462040448221)</f>
        <v>1.201646204</v>
      </c>
      <c r="AD2940" s="4">
        <f>IFERROR(__xludf.DUMMYFUNCTION("IFERROR(ABS(P2940-AVERAGE(FILTER(O2940:P7008,AA2940:AA7008=""Neighbor""))) / STDEV(FILTER(P2940:P7008, AA2940:AA7008 =""Neighbor"")), """")"),0.34275175345453235)</f>
        <v>0.3427517535</v>
      </c>
      <c r="AE2940" s="2">
        <f>IFERROR(__xludf.DUMMYFUNCTION("IFERROR(ABS(Q2940-AVERAGE(FILTER(Q2940:Q7008,AA2940:AA7008=""Neighbor""))) / STDEV(FILTER(Q2940:Q7008, AA2940:AA7008 =""Neighbor"")), """")"),0.762141265352979)</f>
        <v>0.7621412654</v>
      </c>
      <c r="AF2940" s="2">
        <f>IFERROR(__xludf.DUMMYFUNCTION("IFERROR(ABS(R2940-AVERAGE(FILTER(R2940:R7008,AA2940:AA7008=""Neighbor""))) / STDEV(FILTER(R2940:R7008, AA2940:AA7008 =""Neighbor"")), """")"),0.3323440608614838)</f>
        <v>0.3323440609</v>
      </c>
    </row>
    <row r="2941">
      <c r="A2941" s="2" t="s">
        <v>28</v>
      </c>
      <c r="B2941" s="2" t="s">
        <v>1711</v>
      </c>
      <c r="C2941" s="2" t="s">
        <v>2098</v>
      </c>
      <c r="D2941" s="2" t="s">
        <v>12012</v>
      </c>
      <c r="E2941" s="2" t="s">
        <v>12013</v>
      </c>
      <c r="F2941" s="2">
        <v>41.0</v>
      </c>
      <c r="G2941" s="2">
        <v>65.0</v>
      </c>
      <c r="H2941" s="2" t="b">
        <v>1</v>
      </c>
      <c r="I2941" s="2">
        <v>-1.0</v>
      </c>
      <c r="J2941" s="2" t="b">
        <v>0</v>
      </c>
      <c r="K2941" s="2" t="b">
        <v>0</v>
      </c>
      <c r="L2941" s="2" t="b">
        <v>0</v>
      </c>
      <c r="M2941" s="2" t="b">
        <v>0</v>
      </c>
      <c r="N2941" s="2" t="s">
        <v>33</v>
      </c>
      <c r="O2941" s="2">
        <v>29.0</v>
      </c>
      <c r="P2941" s="2">
        <v>8.0</v>
      </c>
      <c r="Q2941" s="2">
        <v>2.0</v>
      </c>
      <c r="R2941" s="2">
        <v>0.0</v>
      </c>
      <c r="S2941" s="3" t="s">
        <v>12014</v>
      </c>
      <c r="T2941" s="2" t="s">
        <v>12015</v>
      </c>
      <c r="Y2941" s="4" t="str">
        <f>IFERROR(__xludf.DUMMYFUNCTION("""COMPUTED_VALUE"""),"6.6017225")</f>
        <v>6.6017225</v>
      </c>
      <c r="Z2941" s="4" t="str">
        <f>IFERROR(__xludf.DUMMYFUNCTION("""COMPUTED_VALUE"""),"3.1641611")</f>
        <v>3.1641611</v>
      </c>
      <c r="AA2941" s="4" t="str">
        <f t="shared" si="1"/>
        <v>Not Neighbor</v>
      </c>
      <c r="AC2941" s="4">
        <f>IFERROR(__xludf.DUMMYFUNCTION("IFERROR(ABS(O2941-AVERAGE(FILTER(O2941:O7009,AA2941:AA7009=""Neighbor""))) / STDEV(FILTER(O2941:O7009, AA2941:AA7009 =""Neighbor"")), """")"),0.5200910971957494)</f>
        <v>0.5200910972</v>
      </c>
      <c r="AD2941" s="4">
        <f>IFERROR(__xludf.DUMMYFUNCTION("IFERROR(ABS(P2941-AVERAGE(FILTER(O2941:P7009,AA2941:AA7009=""Neighbor""))) / STDEV(FILTER(P2941:P7009, AA2941:AA7009 =""Neighbor"")), """")"),0.9988988326539079)</f>
        <v>0.9988988327</v>
      </c>
      <c r="AE2941" s="2">
        <f>IFERROR(__xludf.DUMMYFUNCTION("IFERROR(ABS(Q2941-AVERAGE(FILTER(Q2941:Q7009,AA2941:AA7009=""Neighbor""))) / STDEV(FILTER(Q2941:Q7009, AA2941:AA7009 =""Neighbor"")), """")"),0.763585641602308)</f>
        <v>0.7635856416</v>
      </c>
      <c r="AF2941" s="2">
        <f>IFERROR(__xludf.DUMMYFUNCTION("IFERROR(ABS(R2941-AVERAGE(FILTER(R2941:R7009,AA2941:AA7009=""Neighbor""))) / STDEV(FILTER(R2941:R7009, AA2941:AA7009 =""Neighbor"")), """")"),0.3327855413414037)</f>
        <v>0.3327855413</v>
      </c>
    </row>
    <row r="2942">
      <c r="A2942" s="2" t="s">
        <v>28</v>
      </c>
      <c r="B2942" s="2" t="s">
        <v>1711</v>
      </c>
      <c r="C2942" s="2" t="s">
        <v>2098</v>
      </c>
      <c r="D2942" s="2" t="s">
        <v>12016</v>
      </c>
      <c r="E2942" s="2" t="s">
        <v>12017</v>
      </c>
      <c r="F2942" s="2">
        <v>124.0</v>
      </c>
      <c r="G2942" s="2">
        <v>276.0</v>
      </c>
      <c r="H2942" s="2" t="b">
        <v>1</v>
      </c>
      <c r="I2942" s="2">
        <v>-1.0</v>
      </c>
      <c r="J2942" s="2" t="b">
        <v>0</v>
      </c>
      <c r="K2942" s="2" t="b">
        <v>0</v>
      </c>
      <c r="L2942" s="2" t="b">
        <v>0</v>
      </c>
      <c r="M2942" s="2" t="b">
        <v>0</v>
      </c>
      <c r="N2942" s="2" t="s">
        <v>33</v>
      </c>
      <c r="O2942" s="2">
        <v>66.0</v>
      </c>
      <c r="P2942" s="2">
        <v>32.0</v>
      </c>
      <c r="Q2942" s="2">
        <v>18.0</v>
      </c>
      <c r="R2942" s="2">
        <v>0.0</v>
      </c>
      <c r="S2942" s="3" t="s">
        <v>12018</v>
      </c>
      <c r="T2942" s="2" t="s">
        <v>12019</v>
      </c>
      <c r="Y2942" s="4" t="str">
        <f>IFERROR(__xludf.DUMMYFUNCTION("""COMPUTED_VALUE"""),"6.6689235")</f>
        <v>6.6689235</v>
      </c>
      <c r="Z2942" s="4" t="str">
        <f>IFERROR(__xludf.DUMMYFUNCTION("""COMPUTED_VALUE"""),"3.1702494")</f>
        <v>3.1702494</v>
      </c>
      <c r="AA2942" s="4" t="str">
        <f t="shared" si="1"/>
        <v>Not Neighbor</v>
      </c>
      <c r="AC2942" s="4">
        <f>IFERROR(__xludf.DUMMYFUNCTION("IFERROR(ABS(O2942-AVERAGE(FILTER(O2942:O7010,AA2942:AA7010=""Neighbor""))) / STDEV(FILTER(O2942:O7010, AA2942:AA7010 =""Neighbor"")), """")"),0.5805104030968328)</f>
        <v>0.5805104031</v>
      </c>
      <c r="AD2942" s="4">
        <f>IFERROR(__xludf.DUMMYFUNCTION("IFERROR(ABS(P2942-AVERAGE(FILTER(O2942:P7010,AA2942:AA7010=""Neighbor""))) / STDEV(FILTER(P2942:P7010, AA2942:AA7010 =""Neighbor"")), """")"),0.010664400348618312)</f>
        <v>0.01066440035</v>
      </c>
      <c r="AE2942" s="2">
        <f>IFERROR(__xludf.DUMMYFUNCTION("IFERROR(ABS(Q2942-AVERAGE(FILTER(Q2942:Q7010,AA2942:AA7010=""Neighbor""))) / STDEV(FILTER(Q2942:Q7010, AA2942:AA7010 =""Neighbor"")), """")"),0.14471234391571638)</f>
        <v>0.1447123439</v>
      </c>
      <c r="AF2942" s="2">
        <f>IFERROR(__xludf.DUMMYFUNCTION("IFERROR(ABS(R2942-AVERAGE(FILTER(R2942:R7010,AA2942:AA7010=""Neighbor""))) / STDEV(FILTER(R2942:R7010, AA2942:AA7010 =""Neighbor"")), """")"),0.3327855413414037)</f>
        <v>0.3327855413</v>
      </c>
    </row>
    <row r="2943">
      <c r="A2943" s="2" t="s">
        <v>28</v>
      </c>
      <c r="B2943" s="2" t="s">
        <v>1711</v>
      </c>
      <c r="C2943" s="2" t="s">
        <v>2098</v>
      </c>
      <c r="D2943" s="2" t="s">
        <v>12020</v>
      </c>
      <c r="E2943" s="2" t="s">
        <v>12021</v>
      </c>
      <c r="F2943" s="2">
        <v>61.0</v>
      </c>
      <c r="G2943" s="2">
        <v>85.0</v>
      </c>
      <c r="H2943" s="2" t="b">
        <v>1</v>
      </c>
      <c r="I2943" s="2">
        <v>-1.0</v>
      </c>
      <c r="J2943" s="2" t="b">
        <v>0</v>
      </c>
      <c r="K2943" s="2" t="b">
        <v>0</v>
      </c>
      <c r="L2943" s="2" t="b">
        <v>0</v>
      </c>
      <c r="M2943" s="2" t="b">
        <v>0</v>
      </c>
      <c r="N2943" s="2" t="s">
        <v>33</v>
      </c>
      <c r="O2943" s="2">
        <v>44.0</v>
      </c>
      <c r="P2943" s="2">
        <v>11.0</v>
      </c>
      <c r="Q2943" s="2">
        <v>2.0</v>
      </c>
      <c r="R2943" s="2">
        <v>0.0</v>
      </c>
      <c r="S2943" s="3" t="s">
        <v>12022</v>
      </c>
      <c r="T2943" s="2" t="s">
        <v>12023</v>
      </c>
      <c r="Y2943" s="4" t="str">
        <f>IFERROR(__xludf.DUMMYFUNCTION("""COMPUTED_VALUE"""),"6.6017225")</f>
        <v>6.6017225</v>
      </c>
      <c r="Z2943" s="4" t="str">
        <f>IFERROR(__xludf.DUMMYFUNCTION("""COMPUTED_VALUE"""),"3.1641611")</f>
        <v>3.1641611</v>
      </c>
      <c r="AA2943" s="4" t="str">
        <f t="shared" si="1"/>
        <v>Not Neighbor</v>
      </c>
      <c r="AC2943" s="4">
        <f>IFERROR(__xludf.DUMMYFUNCTION("IFERROR(ABS(O2943-AVERAGE(FILTER(O2943:O7011,AA2943:AA7011=""Neighbor""))) / STDEV(FILTER(O2943:O7011, AA2943:AA7011 =""Neighbor"")), """")"),0.07390129977983773)</f>
        <v>0.07390129978</v>
      </c>
      <c r="AD2943" s="4">
        <f>IFERROR(__xludf.DUMMYFUNCTION("IFERROR(ABS(P2943-AVERAGE(FILTER(O2943:P7011,AA2943:AA7011=""Neighbor""))) / STDEV(FILTER(P2943:P7011, AA2943:AA7011 =""Neighbor"")), """")"),0.8753695286157467)</f>
        <v>0.8753695286</v>
      </c>
      <c r="AE2943" s="2">
        <f>IFERROR(__xludf.DUMMYFUNCTION("IFERROR(ABS(Q2943-AVERAGE(FILTER(Q2943:Q7011,AA2943:AA7011=""Neighbor""))) / STDEV(FILTER(Q2943:Q7011, AA2943:AA7011 =""Neighbor"")), """")"),0.763585641602308)</f>
        <v>0.7635856416</v>
      </c>
      <c r="AF2943" s="2">
        <f>IFERROR(__xludf.DUMMYFUNCTION("IFERROR(ABS(R2943-AVERAGE(FILTER(R2943:R7011,AA2943:AA7011=""Neighbor""))) / STDEV(FILTER(R2943:R7011, AA2943:AA7011 =""Neighbor"")), """")"),0.3327855413414037)</f>
        <v>0.3327855413</v>
      </c>
    </row>
    <row r="2944">
      <c r="A2944" s="2" t="s">
        <v>28</v>
      </c>
      <c r="B2944" s="2" t="s">
        <v>1711</v>
      </c>
      <c r="C2944" s="2" t="s">
        <v>2152</v>
      </c>
      <c r="D2944" s="2" t="s">
        <v>12024</v>
      </c>
      <c r="E2944" s="2" t="s">
        <v>12025</v>
      </c>
      <c r="F2944" s="2">
        <v>165.0</v>
      </c>
      <c r="G2944" s="2">
        <v>277.0</v>
      </c>
      <c r="H2944" s="2" t="b">
        <v>1</v>
      </c>
      <c r="I2944" s="2">
        <v>-1.0</v>
      </c>
      <c r="J2944" s="2" t="b">
        <v>0</v>
      </c>
      <c r="K2944" s="2" t="b">
        <v>0</v>
      </c>
      <c r="L2944" s="2" t="b">
        <v>0</v>
      </c>
      <c r="M2944" s="2" t="b">
        <v>0</v>
      </c>
      <c r="N2944" s="2" t="s">
        <v>33</v>
      </c>
      <c r="O2944" s="2">
        <v>89.0</v>
      </c>
      <c r="P2944" s="2">
        <v>50.0</v>
      </c>
      <c r="Q2944" s="2">
        <v>6.0</v>
      </c>
      <c r="R2944" s="2">
        <v>0.0</v>
      </c>
      <c r="S2944" s="3" t="s">
        <v>12026</v>
      </c>
      <c r="T2944" s="2" t="s">
        <v>12027</v>
      </c>
      <c r="Y2944" s="4" t="str">
        <f>IFERROR(__xludf.DUMMYFUNCTION("""COMPUTED_VALUE"""),"6.7510548")</f>
        <v>6.7510548</v>
      </c>
      <c r="Z2944" s="4" t="str">
        <f>IFERROR(__xludf.DUMMYFUNCTION("""COMPUTED_VALUE"""),"3.2290067")</f>
        <v>3.2290067</v>
      </c>
      <c r="AA2944" s="4" t="str">
        <f t="shared" si="1"/>
        <v>Not Neighbor</v>
      </c>
      <c r="AC2944" s="4">
        <f>IFERROR(__xludf.DUMMYFUNCTION("IFERROR(ABS(O2944-AVERAGE(FILTER(O2944:O7012,AA2944:AA7012=""Neighbor""))) / STDEV(FILTER(O2944:O7012, AA2944:AA7012 =""Neighbor"")), """")"),1.2646680924678975)</f>
        <v>1.264668092</v>
      </c>
      <c r="AD2944" s="4">
        <f>IFERROR(__xludf.DUMMYFUNCTION("IFERROR(ABS(P2944-AVERAGE(FILTER(O2944:P7012,AA2944:AA7012=""Neighbor""))) / STDEV(FILTER(P2944:P7012, AA2944:AA7012 =""Neighbor"")), """")"),0.7305114238803488)</f>
        <v>0.7305114239</v>
      </c>
      <c r="AE2944" s="2">
        <f>IFERROR(__xludf.DUMMYFUNCTION("IFERROR(ABS(Q2944-AVERAGE(FILTER(Q2944:Q7012,AA2944:AA7012=""Neighbor""))) / STDEV(FILTER(Q2944:Q7012, AA2944:AA7012 =""Neighbor"")), """")"),0.536511145222802)</f>
        <v>0.5365111452</v>
      </c>
      <c r="AF2944" s="2">
        <f>IFERROR(__xludf.DUMMYFUNCTION("IFERROR(ABS(R2944-AVERAGE(FILTER(R2944:R7012,AA2944:AA7012=""Neighbor""))) / STDEV(FILTER(R2944:R7012, AA2944:AA7012 =""Neighbor"")), """")"),0.3327855413414037)</f>
        <v>0.3327855413</v>
      </c>
    </row>
    <row r="2945">
      <c r="A2945" s="2" t="s">
        <v>28</v>
      </c>
      <c r="B2945" s="2" t="s">
        <v>1711</v>
      </c>
      <c r="C2945" s="2" t="s">
        <v>2152</v>
      </c>
      <c r="D2945" s="2" t="s">
        <v>12028</v>
      </c>
      <c r="E2945" s="2" t="s">
        <v>12029</v>
      </c>
      <c r="F2945" s="2">
        <v>106.0</v>
      </c>
      <c r="G2945" s="2">
        <v>196.0</v>
      </c>
      <c r="H2945" s="2" t="b">
        <v>1</v>
      </c>
      <c r="I2945" s="2">
        <v>-1.0</v>
      </c>
      <c r="J2945" s="2" t="b">
        <v>0</v>
      </c>
      <c r="K2945" s="2" t="b">
        <v>0</v>
      </c>
      <c r="L2945" s="2" t="b">
        <v>0</v>
      </c>
      <c r="M2945" s="2" t="b">
        <v>0</v>
      </c>
      <c r="N2945" s="2" t="s">
        <v>33</v>
      </c>
      <c r="O2945" s="2">
        <v>81.0</v>
      </c>
      <c r="P2945" s="2">
        <v>14.0</v>
      </c>
      <c r="Q2945" s="2">
        <v>2.0</v>
      </c>
      <c r="R2945" s="2">
        <v>1.0</v>
      </c>
      <c r="S2945" s="3" t="s">
        <v>12030</v>
      </c>
      <c r="T2945" s="2" t="s">
        <v>12031</v>
      </c>
      <c r="Y2945" s="4" t="str">
        <f>IFERROR(__xludf.DUMMYFUNCTION("""COMPUTED_VALUE"""),"6.7284914")</f>
        <v>6.7284914</v>
      </c>
      <c r="Z2945" s="4" t="str">
        <f>IFERROR(__xludf.DUMMYFUNCTION("""COMPUTED_VALUE"""),"3.1679257")</f>
        <v>3.1679257</v>
      </c>
      <c r="AA2945" s="4" t="str">
        <f t="shared" si="1"/>
        <v>Neighbor</v>
      </c>
      <c r="AC2945" s="4">
        <f>IFERROR(__xludf.DUMMYFUNCTION("IFERROR(ABS(O2945-AVERAGE(FILTER(O2945:O7013,AA2945:AA7013=""Neighbor""))) / STDEV(FILTER(O2945:O7013, AA2945:AA7013 =""Neighbor"")), """")"),1.0267002005127446)</f>
        <v>1.026700201</v>
      </c>
      <c r="AD2945" s="4">
        <f>IFERROR(__xludf.DUMMYFUNCTION("IFERROR(ABS(P2945-AVERAGE(FILTER(O2945:P7013,AA2945:AA7013=""Neighbor""))) / STDEV(FILTER(P2945:P7013, AA2945:AA7013 =""Neighbor"")), """")"),0.7518402245775855)</f>
        <v>0.7518402246</v>
      </c>
      <c r="AE2945" s="2">
        <f>IFERROR(__xludf.DUMMYFUNCTION("IFERROR(ABS(Q2945-AVERAGE(FILTER(Q2945:Q7013,AA2945:AA7013=""Neighbor""))) / STDEV(FILTER(Q2945:Q7013, AA2945:AA7013 =""Neighbor"")), """")"),0.763585641602308)</f>
        <v>0.7635856416</v>
      </c>
      <c r="AF2945" s="2">
        <f>IFERROR(__xludf.DUMMYFUNCTION("IFERROR(ABS(R2945-AVERAGE(FILTER(R2945:R7013,AA2945:AA7013=""Neighbor""))) / STDEV(FILTER(R2945:R7013, AA2945:AA7013 =""Neighbor"")), """")"),0.7773870245735189)</f>
        <v>0.7773870246</v>
      </c>
    </row>
    <row r="2946">
      <c r="A2946" s="2" t="s">
        <v>28</v>
      </c>
      <c r="B2946" s="2" t="s">
        <v>1711</v>
      </c>
      <c r="C2946" s="2" t="s">
        <v>2152</v>
      </c>
      <c r="D2946" s="2" t="s">
        <v>12032</v>
      </c>
      <c r="E2946" s="2" t="s">
        <v>12033</v>
      </c>
      <c r="F2946" s="2">
        <v>129.0</v>
      </c>
      <c r="G2946" s="2">
        <v>750.0</v>
      </c>
      <c r="H2946" s="2" t="b">
        <v>1</v>
      </c>
      <c r="I2946" s="2">
        <v>-1.0</v>
      </c>
      <c r="J2946" s="2" t="b">
        <v>0</v>
      </c>
      <c r="K2946" s="2" t="b">
        <v>0</v>
      </c>
      <c r="L2946" s="2" t="b">
        <v>0</v>
      </c>
      <c r="M2946" s="2" t="b">
        <v>0</v>
      </c>
      <c r="N2946" s="2" t="s">
        <v>33</v>
      </c>
      <c r="O2946" s="2">
        <v>0.0</v>
      </c>
      <c r="P2946" s="2">
        <v>0.0</v>
      </c>
      <c r="Q2946" s="2">
        <v>0.0</v>
      </c>
      <c r="R2946" s="2">
        <v>0.0</v>
      </c>
      <c r="S2946" s="3" t="s">
        <v>12034</v>
      </c>
      <c r="T2946" s="2" t="s">
        <v>12035</v>
      </c>
      <c r="Y2946" s="4" t="str">
        <f>IFERROR(__xludf.DUMMYFUNCTION("""COMPUTED_VALUE"""),"6.7284914")</f>
        <v>6.7284914</v>
      </c>
      <c r="Z2946" s="4" t="str">
        <f>IFERROR(__xludf.DUMMYFUNCTION("""COMPUTED_VALUE"""),"3.1679257")</f>
        <v>3.1679257</v>
      </c>
      <c r="AA2946" s="4" t="str">
        <f t="shared" si="1"/>
        <v>Neighbor</v>
      </c>
      <c r="AC2946" s="4">
        <f>IFERROR(__xludf.DUMMYFUNCTION("IFERROR(ABS(O2946-AVERAGE(FILTER(O2946:O7014,AA2946:AA7014=""Neighbor""))) / STDEV(FILTER(O2946:O7014, AA2946:AA7014 =""Neighbor"")), """")"),1.3803508879157342)</f>
        <v>1.380350888</v>
      </c>
      <c r="AD2946" s="4">
        <f>IFERROR(__xludf.DUMMYFUNCTION("IFERROR(ABS(P2946-AVERAGE(FILTER(O2946:P7014,AA2946:AA7014=""Neighbor""))) / STDEV(FILTER(P2946:P7014, AA2946:AA7014 =""Neighbor"")), """")"),1.3252500999449994)</f>
        <v>1.3252501</v>
      </c>
      <c r="AE2946" s="2">
        <f>IFERROR(__xludf.DUMMYFUNCTION("IFERROR(ABS(Q2946-AVERAGE(FILTER(Q2946:Q7014,AA2946:AA7014=""Neighbor""))) / STDEV(FILTER(Q2946:Q7014, AA2946:AA7014 =""Neighbor"")), """")"),0.87851871621483)</f>
        <v>0.8785187162</v>
      </c>
      <c r="AF2946" s="2">
        <f>IFERROR(__xludf.DUMMYFUNCTION("IFERROR(ABS(R2946-AVERAGE(FILTER(R2946:R7014,AA2946:AA7014=""Neighbor""))) / STDEV(FILTER(R2946:R7014, AA2946:AA7014 =""Neighbor"")), """")"),0.3307597622068349)</f>
        <v>0.3307597622</v>
      </c>
    </row>
    <row r="2947">
      <c r="A2947" s="2" t="s">
        <v>28</v>
      </c>
      <c r="B2947" s="2" t="s">
        <v>1711</v>
      </c>
      <c r="C2947" s="2" t="s">
        <v>2152</v>
      </c>
      <c r="D2947" s="2" t="s">
        <v>12036</v>
      </c>
      <c r="E2947" s="2" t="s">
        <v>12037</v>
      </c>
      <c r="F2947" s="2">
        <v>52.0</v>
      </c>
      <c r="G2947" s="2">
        <v>106.0</v>
      </c>
      <c r="H2947" s="2" t="b">
        <v>1</v>
      </c>
      <c r="I2947" s="2">
        <v>-1.0</v>
      </c>
      <c r="J2947" s="2" t="b">
        <v>0</v>
      </c>
      <c r="K2947" s="2" t="b">
        <v>0</v>
      </c>
      <c r="L2947" s="2" t="b">
        <v>0</v>
      </c>
      <c r="M2947" s="2" t="b">
        <v>0</v>
      </c>
      <c r="N2947" s="2" t="s">
        <v>33</v>
      </c>
      <c r="O2947" s="2">
        <v>36.0</v>
      </c>
      <c r="P2947" s="2">
        <v>3.0</v>
      </c>
      <c r="Q2947" s="2">
        <v>5.0</v>
      </c>
      <c r="R2947" s="2">
        <v>0.0</v>
      </c>
      <c r="S2947" s="3" t="s">
        <v>12038</v>
      </c>
      <c r="T2947" s="2" t="s">
        <v>12039</v>
      </c>
      <c r="Y2947" s="4" t="str">
        <f>IFERROR(__xludf.DUMMYFUNCTION("""COMPUTED_VALUE"""),"6.7284914")</f>
        <v>6.7284914</v>
      </c>
      <c r="Z2947" s="4" t="str">
        <f>IFERROR(__xludf.DUMMYFUNCTION("""COMPUTED_VALUE"""),"3.1679257")</f>
        <v>3.1679257</v>
      </c>
      <c r="AA2947" s="4" t="str">
        <f t="shared" si="1"/>
        <v>Not Neighbor</v>
      </c>
      <c r="AC2947" s="4">
        <f>IFERROR(__xludf.DUMMYFUNCTION("IFERROR(ABS(O2947-AVERAGE(FILTER(O2947:O7015,AA2947:AA7015=""Neighbor""))) / STDEV(FILTER(O2947:O7015, AA2947:AA7015 =""Neighbor"")), """")"),0.3130927013689438)</f>
        <v>0.3130927014</v>
      </c>
      <c r="AD2947" s="4">
        <f>IFERROR(__xludf.DUMMYFUNCTION("IFERROR(ABS(P2947-AVERAGE(FILTER(O2947:P7015,AA2947:AA7015=""Neighbor""))) / STDEV(FILTER(P2947:P7015, AA2947:AA7015 =""Neighbor"")), """")"),1.2044071799608032)</f>
        <v>1.20440718</v>
      </c>
      <c r="AE2947" s="2">
        <f>IFERROR(__xludf.DUMMYFUNCTION("IFERROR(ABS(Q2947-AVERAGE(FILTER(Q2947:Q7015,AA2947:AA7015=""Neighbor""))) / STDEV(FILTER(Q2947:Q7015, AA2947:AA7015 =""Neighbor"")), """")"),0.5967713930039494)</f>
        <v>0.596771393</v>
      </c>
      <c r="AF2947" s="2">
        <f>IFERROR(__xludf.DUMMYFUNCTION("IFERROR(ABS(R2947-AVERAGE(FILTER(R2947:R7015,AA2947:AA7015=""Neighbor""))) / STDEV(FILTER(R2947:R7015, AA2947:AA7015 =""Neighbor"")), """")"),0.33120083031221725)</f>
        <v>0.3312008303</v>
      </c>
    </row>
    <row r="2948">
      <c r="A2948" s="2" t="s">
        <v>28</v>
      </c>
      <c r="B2948" s="2" t="s">
        <v>1711</v>
      </c>
      <c r="C2948" s="2" t="s">
        <v>2152</v>
      </c>
      <c r="D2948" s="2" t="s">
        <v>12040</v>
      </c>
      <c r="E2948" s="2" t="s">
        <v>12041</v>
      </c>
      <c r="F2948" s="2">
        <v>157.0</v>
      </c>
      <c r="G2948" s="2">
        <v>345.0</v>
      </c>
      <c r="H2948" s="2" t="b">
        <v>1</v>
      </c>
      <c r="I2948" s="2">
        <v>-1.0</v>
      </c>
      <c r="J2948" s="2" t="b">
        <v>0</v>
      </c>
      <c r="K2948" s="2" t="b">
        <v>0</v>
      </c>
      <c r="L2948" s="2" t="b">
        <v>0</v>
      </c>
      <c r="M2948" s="2" t="b">
        <v>0</v>
      </c>
      <c r="N2948" s="2" t="s">
        <v>33</v>
      </c>
      <c r="O2948" s="2">
        <v>79.0</v>
      </c>
      <c r="P2948" s="2">
        <v>14.0</v>
      </c>
      <c r="Q2948" s="2">
        <v>17.0</v>
      </c>
      <c r="R2948" s="2">
        <v>0.0</v>
      </c>
      <c r="S2948" s="3" t="s">
        <v>12042</v>
      </c>
      <c r="T2948" s="2" t="s">
        <v>12043</v>
      </c>
      <c r="Y2948" s="4" t="str">
        <f>IFERROR(__xludf.DUMMYFUNCTION("""COMPUTED_VALUE"""),"6.70006")</f>
        <v>6.70006</v>
      </c>
      <c r="Z2948" s="4" t="str">
        <f>IFERROR(__xludf.DUMMYFUNCTION("""COMPUTED_VALUE"""),"3.1974939")</f>
        <v>3.1974939</v>
      </c>
      <c r="AA2948" s="4" t="str">
        <f t="shared" si="1"/>
        <v>Not Neighbor</v>
      </c>
      <c r="AC2948" s="4">
        <f>IFERROR(__xludf.DUMMYFUNCTION("IFERROR(ABS(O2948-AVERAGE(FILTER(O2948:O7016,AA2948:AA7016=""Neighbor""))) / STDEV(FILTER(O2948:O7016, AA2948:AA7016 =""Neighbor"")), """")"),0.967480128319069)</f>
        <v>0.9674801283</v>
      </c>
      <c r="AD2948" s="4">
        <f>IFERROR(__xludf.DUMMYFUNCTION("IFERROR(ABS(P2948-AVERAGE(FILTER(O2948:P7016,AA2948:AA7016=""Neighbor""))) / STDEV(FILTER(P2948:P7016, AA2948:AA7016 =""Neighbor"")), """")"),0.7522406618867814)</f>
        <v>0.7522406619</v>
      </c>
      <c r="AE2948" s="2">
        <f>IFERROR(__xludf.DUMMYFUNCTION("IFERROR(ABS(Q2948-AVERAGE(FILTER(Q2948:Q7016,AA2948:AA7016=""Neighbor""))) / STDEV(FILTER(Q2948:Q7016, AA2948:AA7016 =""Neighbor"")), """")"),0.08392524858094938)</f>
        <v>0.08392524858</v>
      </c>
      <c r="AF2948" s="2">
        <f>IFERROR(__xludf.DUMMYFUNCTION("IFERROR(ABS(R2948-AVERAGE(FILTER(R2948:R7016,AA2948:AA7016=""Neighbor""))) / STDEV(FILTER(R2948:R7016, AA2948:AA7016 =""Neighbor"")), """")"),0.33120083031221725)</f>
        <v>0.3312008303</v>
      </c>
    </row>
    <row r="2949">
      <c r="A2949" s="2" t="s">
        <v>28</v>
      </c>
      <c r="B2949" s="2" t="s">
        <v>1711</v>
      </c>
      <c r="C2949" s="2" t="s">
        <v>2152</v>
      </c>
      <c r="D2949" s="2" t="s">
        <v>12044</v>
      </c>
      <c r="E2949" s="2" t="s">
        <v>12045</v>
      </c>
      <c r="F2949" s="2">
        <v>272.0</v>
      </c>
      <c r="G2949" s="2">
        <v>596.0</v>
      </c>
      <c r="H2949" s="2" t="b">
        <v>1</v>
      </c>
      <c r="I2949" s="2">
        <v>-1.0</v>
      </c>
      <c r="J2949" s="2" t="b">
        <v>0</v>
      </c>
      <c r="K2949" s="2" t="b">
        <v>0</v>
      </c>
      <c r="L2949" s="2" t="b">
        <v>0</v>
      </c>
      <c r="M2949" s="2" t="b">
        <v>0</v>
      </c>
      <c r="N2949" s="2" t="s">
        <v>33</v>
      </c>
      <c r="O2949" s="2">
        <v>139.0</v>
      </c>
      <c r="P2949" s="2">
        <v>28.0</v>
      </c>
      <c r="Q2949" s="2">
        <v>83.0</v>
      </c>
      <c r="R2949" s="2">
        <v>5.0</v>
      </c>
      <c r="S2949" s="3" t="s">
        <v>12046</v>
      </c>
      <c r="T2949" s="2" t="s">
        <v>12047</v>
      </c>
      <c r="Y2949" s="4" t="str">
        <f>IFERROR(__xludf.DUMMYFUNCTION("""COMPUTED_VALUE"""),"6.7284914")</f>
        <v>6.7284914</v>
      </c>
      <c r="Z2949" s="4" t="str">
        <f>IFERROR(__xludf.DUMMYFUNCTION("""COMPUTED_VALUE"""),"3.1679257")</f>
        <v>3.1679257</v>
      </c>
      <c r="AA2949" s="4" t="str">
        <f t="shared" si="1"/>
        <v>Not Neighbor</v>
      </c>
      <c r="AC2949" s="4">
        <f>IFERROR(__xludf.DUMMYFUNCTION("IFERROR(ABS(O2949-AVERAGE(FILTER(O2949:O7017,AA2949:AA7017=""Neighbor""))) / STDEV(FILTER(O2949:O7017, AA2949:AA7017 =""Neighbor"")), """")"),2.7543259371860636)</f>
        <v>2.754325937</v>
      </c>
      <c r="AD2949" s="4">
        <f>IFERROR(__xludf.DUMMYFUNCTION("IFERROR(ABS(P2949-AVERAGE(FILTER(O2949:P7017,AA2949:AA7017=""Neighbor""))) / STDEV(FILTER(P2949:P7017, AA2949:AA7017 =""Neighbor"")), """")"),0.17675600251984472)</f>
        <v>0.1767560025</v>
      </c>
      <c r="AE2949" s="2">
        <f>IFERROR(__xludf.DUMMYFUNCTION("IFERROR(ABS(Q2949-AVERAGE(FILTER(Q2949:Q7017,AA2949:AA7017=""Neighbor""))) / STDEV(FILTER(Q2949:Q7017, AA2949:AA7017 =""Neighbor"")), """")"),3.827756777297893)</f>
        <v>3.827756777</v>
      </c>
      <c r="AF2949" s="2">
        <f>IFERROR(__xludf.DUMMYFUNCTION("IFERROR(ABS(R2949-AVERAGE(FILTER(R2949:R7017,AA2949:AA7017=""Neighbor""))) / STDEV(FILTER(R2949:R7017, AA2949:AA7017 =""Neighbor"")), """")"),5.211071128541417)</f>
        <v>5.211071129</v>
      </c>
    </row>
    <row r="2950">
      <c r="A2950" s="2" t="s">
        <v>28</v>
      </c>
      <c r="B2950" s="2" t="s">
        <v>1711</v>
      </c>
      <c r="C2950" s="2" t="s">
        <v>2152</v>
      </c>
      <c r="D2950" s="2" t="s">
        <v>12048</v>
      </c>
      <c r="E2950" s="2" t="s">
        <v>12049</v>
      </c>
      <c r="F2950" s="2">
        <v>177.0</v>
      </c>
      <c r="G2950" s="2">
        <v>300.0</v>
      </c>
      <c r="H2950" s="2" t="b">
        <v>1</v>
      </c>
      <c r="I2950" s="2">
        <v>-1.0</v>
      </c>
      <c r="J2950" s="2" t="b">
        <v>0</v>
      </c>
      <c r="K2950" s="2" t="b">
        <v>0</v>
      </c>
      <c r="L2950" s="2" t="b">
        <v>0</v>
      </c>
      <c r="M2950" s="2" t="b">
        <v>0</v>
      </c>
      <c r="N2950" s="2" t="s">
        <v>33</v>
      </c>
      <c r="O2950" s="2">
        <v>124.0</v>
      </c>
      <c r="P2950" s="2">
        <v>15.0</v>
      </c>
      <c r="Q2950" s="2">
        <v>24.0</v>
      </c>
      <c r="R2950" s="2">
        <v>2.0</v>
      </c>
      <c r="S2950" s="3" t="s">
        <v>12050</v>
      </c>
      <c r="T2950" s="2" t="s">
        <v>12051</v>
      </c>
      <c r="Y2950" s="4" t="str">
        <f>IFERROR(__xludf.DUMMYFUNCTION("""COMPUTED_VALUE"""),"6.7400702")</f>
        <v>6.7400702</v>
      </c>
      <c r="Z2950" s="4" t="str">
        <f>IFERROR(__xludf.DUMMYFUNCTION("""COMPUTED_VALUE"""),"3.1885504")</f>
        <v>3.1885504</v>
      </c>
      <c r="AA2950" s="4" t="str">
        <f t="shared" si="1"/>
        <v>Not Neighbor</v>
      </c>
      <c r="AC2950" s="4">
        <f>IFERROR(__xludf.DUMMYFUNCTION("IFERROR(ABS(O2950-AVERAGE(FILTER(O2950:O7018,AA2950:AA7018=""Neighbor""))) / STDEV(FILTER(O2950:O7018, AA2950:AA7018 =""Neighbor"")), """")"),2.307614484969315)</f>
        <v>2.307614485</v>
      </c>
      <c r="AD2950" s="4">
        <f>IFERROR(__xludf.DUMMYFUNCTION("IFERROR(ABS(P2950-AVERAGE(FILTER(O2950:P7018,AA2950:AA7018=""Neighbor""))) / STDEV(FILTER(P2950:P7018, AA2950:AA7018 =""Neighbor"")), """")"),0.7111346147891431)</f>
        <v>0.7111346148</v>
      </c>
      <c r="AE2950" s="2">
        <f>IFERROR(__xludf.DUMMYFUNCTION("IFERROR(ABS(Q2950-AVERAGE(FILTER(Q2950:Q7018,AA2950:AA7018=""Neighbor""))) / STDEV(FILTER(Q2950:Q7018, AA2950:AA7018 =""Neighbor"")), """")"),0.4809982895054737)</f>
        <v>0.4809982895</v>
      </c>
      <c r="AF2950" s="2">
        <f>IFERROR(__xludf.DUMMYFUNCTION("IFERROR(ABS(R2950-AVERAGE(FILTER(R2950:R7018,AA2950:AA7018=""Neighbor""))) / STDEV(FILTER(R2950:R7018, AA2950:AA7018 =""Neighbor"")), """")"),1.885707953229237)</f>
        <v>1.885707953</v>
      </c>
    </row>
    <row r="2951">
      <c r="A2951" s="2" t="s">
        <v>28</v>
      </c>
      <c r="B2951" s="2" t="s">
        <v>1711</v>
      </c>
      <c r="C2951" s="2" t="s">
        <v>2152</v>
      </c>
      <c r="D2951" s="2" t="s">
        <v>12052</v>
      </c>
      <c r="E2951" s="2" t="s">
        <v>12053</v>
      </c>
      <c r="F2951" s="2">
        <v>135.0</v>
      </c>
      <c r="G2951" s="2">
        <v>368.0</v>
      </c>
      <c r="H2951" s="2" t="b">
        <v>1</v>
      </c>
      <c r="I2951" s="2">
        <v>-1.0</v>
      </c>
      <c r="J2951" s="2" t="b">
        <v>0</v>
      </c>
      <c r="K2951" s="2" t="b">
        <v>0</v>
      </c>
      <c r="L2951" s="2" t="b">
        <v>0</v>
      </c>
      <c r="M2951" s="2" t="b">
        <v>0</v>
      </c>
      <c r="N2951" s="2" t="s">
        <v>33</v>
      </c>
      <c r="O2951" s="2">
        <v>80.0</v>
      </c>
      <c r="P2951" s="2">
        <v>23.0</v>
      </c>
      <c r="Q2951" s="2">
        <v>23.0</v>
      </c>
      <c r="R2951" s="2">
        <v>0.0</v>
      </c>
      <c r="S2951" s="3" t="s">
        <v>12054</v>
      </c>
      <c r="T2951" s="2" t="s">
        <v>12055</v>
      </c>
      <c r="Y2951" s="4" t="str">
        <f>IFERROR(__xludf.DUMMYFUNCTION("""COMPUTED_VALUE"""),"6.7284914")</f>
        <v>6.7284914</v>
      </c>
      <c r="Z2951" s="4" t="str">
        <f>IFERROR(__xludf.DUMMYFUNCTION("""COMPUTED_VALUE"""),"3.1679257")</f>
        <v>3.1679257</v>
      </c>
      <c r="AA2951" s="4" t="str">
        <f t="shared" si="1"/>
        <v>Not Neighbor</v>
      </c>
      <c r="AC2951" s="4">
        <f>IFERROR(__xludf.DUMMYFUNCTION("IFERROR(ABS(O2951-AVERAGE(FILTER(O2951:O7019,AA2951:AA7019=""Neighbor""))) / STDEV(FILTER(O2951:O7019, AA2951:AA7019 =""Neighbor"")), """")"),0.9972608918001856)</f>
        <v>0.9972608918</v>
      </c>
      <c r="AD2951" s="4">
        <f>IFERROR(__xludf.DUMMYFUNCTION("IFERROR(ABS(P2951-AVERAGE(FILTER(O2951:P7019,AA2951:AA7019=""Neighbor""))) / STDEV(FILTER(P2951:P7019, AA2951:AA7019 =""Neighbor"")), """")"),0.3822862380080364)</f>
        <v>0.382286238</v>
      </c>
      <c r="AE2951" s="2">
        <f>IFERROR(__xludf.DUMMYFUNCTION("IFERROR(ABS(Q2951-AVERAGE(FILTER(Q2951:Q7019,AA2951:AA7019=""Neighbor""))) / STDEV(FILTER(Q2951:Q7019, AA2951:AA7019 =""Neighbor"")), """")"),0.42427356937339883)</f>
        <v>0.4242735694</v>
      </c>
      <c r="AF2951" s="2">
        <f>IFERROR(__xludf.DUMMYFUNCTION("IFERROR(ABS(R2951-AVERAGE(FILTER(R2951:R7019,AA2951:AA7019=""Neighbor""))) / STDEV(FILTER(R2951:R7019, AA2951:AA7019 =""Neighbor"")), """")"),0.33120083031221725)</f>
        <v>0.3312008303</v>
      </c>
    </row>
    <row r="2952">
      <c r="A2952" s="2" t="s">
        <v>28</v>
      </c>
      <c r="B2952" s="2" t="s">
        <v>1711</v>
      </c>
      <c r="C2952" s="2" t="s">
        <v>2152</v>
      </c>
      <c r="D2952" s="2" t="s">
        <v>12056</v>
      </c>
      <c r="E2952" s="2" t="s">
        <v>12057</v>
      </c>
      <c r="F2952" s="2">
        <v>186.0</v>
      </c>
      <c r="G2952" s="2">
        <v>701.0</v>
      </c>
      <c r="H2952" s="2" t="b">
        <v>1</v>
      </c>
      <c r="I2952" s="2">
        <v>-1.0</v>
      </c>
      <c r="J2952" s="2" t="b">
        <v>0</v>
      </c>
      <c r="K2952" s="2" t="b">
        <v>0</v>
      </c>
      <c r="L2952" s="2" t="b">
        <v>0</v>
      </c>
      <c r="M2952" s="2" t="b">
        <v>0</v>
      </c>
      <c r="N2952" s="2" t="s">
        <v>33</v>
      </c>
      <c r="O2952" s="2">
        <v>130.0</v>
      </c>
      <c r="P2952" s="2">
        <v>33.0</v>
      </c>
      <c r="Q2952" s="2">
        <v>20.0</v>
      </c>
      <c r="R2952" s="2">
        <v>0.0</v>
      </c>
      <c r="S2952" s="3" t="s">
        <v>12058</v>
      </c>
      <c r="T2952" s="2" t="s">
        <v>12059</v>
      </c>
      <c r="Y2952" s="4" t="str">
        <f>IFERROR(__xludf.DUMMYFUNCTION("""COMPUTED_VALUE"""),"6.7326966")</f>
        <v>6.7326966</v>
      </c>
      <c r="Z2952" s="4" t="str">
        <f>IFERROR(__xludf.DUMMYFUNCTION("""COMPUTED_VALUE"""),"3.214216")</f>
        <v>3.214216</v>
      </c>
      <c r="AA2952" s="4" t="str">
        <f t="shared" si="1"/>
        <v>Not Neighbor</v>
      </c>
      <c r="AC2952" s="4">
        <f>IFERROR(__xludf.DUMMYFUNCTION("IFERROR(ABS(O2952-AVERAGE(FILTER(O2952:O7020,AA2952:AA7020=""Neighbor""))) / STDEV(FILTER(O2952:O7020, AA2952:AA7020 =""Neighbor"")), """")"),2.4862990658560147)</f>
        <v>2.486299066</v>
      </c>
      <c r="AD2952" s="4">
        <f>IFERROR(__xludf.DUMMYFUNCTION("IFERROR(ABS(P2952-AVERAGE(FILTER(O2952:P7020,AA2952:AA7020=""Neighbor""))) / STDEV(FILTER(P2952:P7020, AA2952:AA7020 =""Neighbor"")), """")"),0.02877423296834695)</f>
        <v>0.02877423297</v>
      </c>
      <c r="AE2952" s="2">
        <f>IFERROR(__xludf.DUMMYFUNCTION("IFERROR(ABS(Q2952-AVERAGE(FILTER(Q2952:Q7020,AA2952:AA7020=""Neighbor""))) / STDEV(FILTER(Q2952:Q7020, AA2952:AA7020 =""Neighbor"")), """")"),0.2540994089771741)</f>
        <v>0.254099409</v>
      </c>
      <c r="AF2952" s="2">
        <f>IFERROR(__xludf.DUMMYFUNCTION("IFERROR(ABS(R2952-AVERAGE(FILTER(R2952:R7020,AA2952:AA7020=""Neighbor""))) / STDEV(FILTER(R2952:R7020, AA2952:AA7020 =""Neighbor"")), """")"),0.33120083031221725)</f>
        <v>0.3312008303</v>
      </c>
    </row>
    <row r="2953">
      <c r="A2953" s="2" t="s">
        <v>28</v>
      </c>
      <c r="B2953" s="2" t="s">
        <v>1711</v>
      </c>
      <c r="C2953" s="2" t="s">
        <v>2152</v>
      </c>
      <c r="D2953" s="2" t="s">
        <v>12060</v>
      </c>
      <c r="E2953" s="2" t="s">
        <v>12061</v>
      </c>
      <c r="F2953" s="2">
        <v>268.0</v>
      </c>
      <c r="G2953" s="2">
        <v>551.0</v>
      </c>
      <c r="H2953" s="2" t="b">
        <v>1</v>
      </c>
      <c r="I2953" s="2">
        <v>-1.0</v>
      </c>
      <c r="J2953" s="2" t="b">
        <v>0</v>
      </c>
      <c r="K2953" s="2" t="b">
        <v>0</v>
      </c>
      <c r="L2953" s="2" t="b">
        <v>0</v>
      </c>
      <c r="M2953" s="2" t="b">
        <v>0</v>
      </c>
      <c r="N2953" s="2" t="s">
        <v>33</v>
      </c>
      <c r="O2953" s="2">
        <v>152.0</v>
      </c>
      <c r="P2953" s="2">
        <v>81.0</v>
      </c>
      <c r="Q2953" s="2">
        <v>11.0</v>
      </c>
      <c r="R2953" s="2">
        <v>0.0</v>
      </c>
      <c r="S2953" s="3" t="s">
        <v>12062</v>
      </c>
      <c r="T2953" s="2" t="s">
        <v>12063</v>
      </c>
      <c r="Y2953" s="4" t="str">
        <f>IFERROR(__xludf.DUMMYFUNCTION("""COMPUTED_VALUE"""),"6.6957161")</f>
        <v>6.6957161</v>
      </c>
      <c r="Z2953" s="4" t="str">
        <f>IFERROR(__xludf.DUMMYFUNCTION("""COMPUTED_VALUE"""),"3.2197891")</f>
        <v>3.2197891</v>
      </c>
      <c r="AA2953" s="4" t="str">
        <f t="shared" si="1"/>
        <v>Neighbor</v>
      </c>
      <c r="AC2953" s="4">
        <f>IFERROR(__xludf.DUMMYFUNCTION("IFERROR(ABS(O2953-AVERAGE(FILTER(O2953:O7021,AA2953:AA7021=""Neighbor""))) / STDEV(FILTER(O2953:O7021, AA2953:AA7021 =""Neighbor"")), """")"),3.141475862440579)</f>
        <v>3.141475862</v>
      </c>
      <c r="AD2953" s="4">
        <f>IFERROR(__xludf.DUMMYFUNCTION("IFERROR(ABS(P2953-AVERAGE(FILTER(O2953:P7021,AA2953:AA7021=""Neighbor""))) / STDEV(FILTER(P2953:P7021, AA2953:AA7021 =""Neighbor"")), """")"),2.001864493654987)</f>
        <v>2.001864494</v>
      </c>
      <c r="AE2953" s="2">
        <f>IFERROR(__xludf.DUMMYFUNCTION("IFERROR(ABS(Q2953-AVERAGE(FILTER(Q2953:Q7021,AA2953:AA7021=""Neighbor""))) / STDEV(FILTER(Q2953:Q7021, AA2953:AA7021 =""Neighbor"")), """")"),0.25642307221150007)</f>
        <v>0.2564230722</v>
      </c>
      <c r="AF2953" s="2">
        <f>IFERROR(__xludf.DUMMYFUNCTION("IFERROR(ABS(R2953-AVERAGE(FILTER(R2953:R7021,AA2953:AA7021=""Neighbor""))) / STDEV(FILTER(R2953:R7021, AA2953:AA7021 =""Neighbor"")), """")"),0.33120083031221725)</f>
        <v>0.3312008303</v>
      </c>
    </row>
    <row r="2954">
      <c r="A2954" s="2" t="s">
        <v>28</v>
      </c>
      <c r="B2954" s="2" t="s">
        <v>1711</v>
      </c>
      <c r="C2954" s="2" t="s">
        <v>2152</v>
      </c>
      <c r="D2954" s="2" t="s">
        <v>12064</v>
      </c>
      <c r="E2954" s="2" t="s">
        <v>12065</v>
      </c>
      <c r="F2954" s="2">
        <v>198.0</v>
      </c>
      <c r="G2954" s="2">
        <v>589.0</v>
      </c>
      <c r="H2954" s="2" t="b">
        <v>1</v>
      </c>
      <c r="I2954" s="2">
        <v>-1.0</v>
      </c>
      <c r="J2954" s="2" t="b">
        <v>0</v>
      </c>
      <c r="K2954" s="2" t="b">
        <v>0</v>
      </c>
      <c r="L2954" s="2" t="b">
        <v>0</v>
      </c>
      <c r="M2954" s="2" t="b">
        <v>0</v>
      </c>
      <c r="N2954" s="2" t="s">
        <v>33</v>
      </c>
      <c r="O2954" s="2">
        <v>124.0</v>
      </c>
      <c r="P2954" s="2">
        <v>40.0</v>
      </c>
      <c r="Q2954" s="2">
        <v>25.0</v>
      </c>
      <c r="R2954" s="2">
        <v>0.0</v>
      </c>
      <c r="S2954" s="3" t="s">
        <v>12066</v>
      </c>
      <c r="T2954" s="2" t="s">
        <v>12067</v>
      </c>
      <c r="Y2954" s="4" t="str">
        <f>IFERROR(__xludf.DUMMYFUNCTION("""COMPUTED_VALUE"""),"6.7002301")</f>
        <v>6.7002301</v>
      </c>
      <c r="Z2954" s="4" t="str">
        <f>IFERROR(__xludf.DUMMYFUNCTION("""COMPUTED_VALUE"""),"3.2269237")</f>
        <v>3.2269237</v>
      </c>
      <c r="AA2954" s="4" t="str">
        <f t="shared" si="1"/>
        <v>Not Neighbor</v>
      </c>
      <c r="AC2954" s="4">
        <f>IFERROR(__xludf.DUMMYFUNCTION("IFERROR(ABS(O2954-AVERAGE(FILTER(O2954:O7022,AA2954:AA7022=""Neighbor""))) / STDEV(FILTER(O2954:O7022, AA2954:AA7022 =""Neighbor"")), """")"),2.3405379229110777)</f>
        <v>2.340537923</v>
      </c>
      <c r="AD2954" s="4">
        <f>IFERROR(__xludf.DUMMYFUNCTION("IFERROR(ABS(P2954-AVERAGE(FILTER(O2954:P7022,AA2954:AA7022=""Neighbor""))) / STDEV(FILTER(P2954:P7022, AA2954:AA7022 =""Neighbor"")), """")"),0.3271438049822903)</f>
        <v>0.327143805</v>
      </c>
      <c r="AE2954" s="2">
        <f>IFERROR(__xludf.DUMMYFUNCTION("IFERROR(ABS(Q2954-AVERAGE(FILTER(Q2954:Q7022,AA2954:AA7022=""Neighbor""))) / STDEV(FILTER(Q2954:Q7022, AA2954:AA7022 =""Neighbor"")), """")"),0.5364972708746111)</f>
        <v>0.5364972709</v>
      </c>
      <c r="AF2954" s="2">
        <f>IFERROR(__xludf.DUMMYFUNCTION("IFERROR(ABS(R2954-AVERAGE(FILTER(R2954:R7022,AA2954:AA7022=""Neighbor""))) / STDEV(FILTER(R2954:R7022, AA2954:AA7022 =""Neighbor"")), """")"),0.33164366813097745)</f>
        <v>0.3316436681</v>
      </c>
    </row>
    <row r="2955">
      <c r="A2955" s="2" t="s">
        <v>28</v>
      </c>
      <c r="B2955" s="2" t="s">
        <v>1711</v>
      </c>
      <c r="C2955" s="2" t="s">
        <v>2152</v>
      </c>
      <c r="D2955" s="2" t="s">
        <v>12068</v>
      </c>
      <c r="E2955" s="2" t="s">
        <v>12069</v>
      </c>
      <c r="F2955" s="2">
        <v>116.0</v>
      </c>
      <c r="G2955" s="2">
        <v>211.0</v>
      </c>
      <c r="H2955" s="2" t="b">
        <v>1</v>
      </c>
      <c r="I2955" s="2">
        <v>-1.0</v>
      </c>
      <c r="J2955" s="2" t="b">
        <v>0</v>
      </c>
      <c r="K2955" s="2" t="b">
        <v>0</v>
      </c>
      <c r="L2955" s="2" t="b">
        <v>0</v>
      </c>
      <c r="M2955" s="2" t="b">
        <v>0</v>
      </c>
      <c r="N2955" s="2" t="s">
        <v>33</v>
      </c>
      <c r="O2955" s="2">
        <v>48.0</v>
      </c>
      <c r="P2955" s="2">
        <v>42.0</v>
      </c>
      <c r="Q2955" s="2">
        <v>13.0</v>
      </c>
      <c r="R2955" s="2">
        <v>0.0</v>
      </c>
      <c r="S2955" s="3" t="s">
        <v>12070</v>
      </c>
      <c r="T2955" s="2" t="s">
        <v>12071</v>
      </c>
      <c r="Y2955" s="4" t="str">
        <f>IFERROR(__xludf.DUMMYFUNCTION("""COMPUTED_VALUE"""),"6.7163185")</f>
        <v>6.7163185</v>
      </c>
      <c r="Z2955" s="4" t="str">
        <f>IFERROR(__xludf.DUMMYFUNCTION("""COMPUTED_VALUE"""),"3.2034815")</f>
        <v>3.2034815</v>
      </c>
      <c r="AA2955" s="4" t="str">
        <f t="shared" si="1"/>
        <v>Not Neighbor</v>
      </c>
      <c r="AC2955" s="4">
        <f>IFERROR(__xludf.DUMMYFUNCTION("IFERROR(ABS(O2955-AVERAGE(FILTER(O2955:O7023,AA2955:AA7023=""Neighbor""))) / STDEV(FILTER(O2955:O7023, AA2955:AA7023 =""Neighbor"")), """")"),0.05243212187102345)</f>
        <v>0.05243212187</v>
      </c>
      <c r="AD2955" s="4">
        <f>IFERROR(__xludf.DUMMYFUNCTION("IFERROR(ABS(P2955-AVERAGE(FILTER(O2955:P7023,AA2955:AA7023=""Neighbor""))) / STDEV(FILTER(P2955:P7023, AA2955:AA7023 =""Neighbor"")), """")"),0.40992958448269873)</f>
        <v>0.4099295845</v>
      </c>
      <c r="AE2955" s="2">
        <f>IFERROR(__xludf.DUMMYFUNCTION("IFERROR(ABS(Q2955-AVERAGE(FILTER(Q2955:Q7023,AA2955:AA7023=""Neighbor""))) / STDEV(FILTER(Q2955:Q7023, AA2955:AA7023 =""Neighbor"")), """")"),0.143430903029743)</f>
        <v>0.143430903</v>
      </c>
      <c r="AF2955" s="2">
        <f>IFERROR(__xludf.DUMMYFUNCTION("IFERROR(ABS(R2955-AVERAGE(FILTER(R2955:R7023,AA2955:AA7023=""Neighbor""))) / STDEV(FILTER(R2955:R7023, AA2955:AA7023 =""Neighbor"")), """")"),0.33164366813097745)</f>
        <v>0.3316436681</v>
      </c>
    </row>
    <row r="2956">
      <c r="A2956" s="2" t="s">
        <v>28</v>
      </c>
      <c r="B2956" s="2" t="s">
        <v>1711</v>
      </c>
      <c r="C2956" s="2" t="s">
        <v>2152</v>
      </c>
      <c r="D2956" s="2" t="s">
        <v>12072</v>
      </c>
      <c r="E2956" s="2" t="s">
        <v>12073</v>
      </c>
      <c r="F2956" s="2">
        <v>231.0</v>
      </c>
      <c r="G2956" s="2">
        <v>750.0</v>
      </c>
      <c r="H2956" s="2" t="b">
        <v>1</v>
      </c>
      <c r="I2956" s="2">
        <v>-1.0</v>
      </c>
      <c r="J2956" s="2" t="b">
        <v>0</v>
      </c>
      <c r="K2956" s="2" t="b">
        <v>0</v>
      </c>
      <c r="L2956" s="2" t="b">
        <v>0</v>
      </c>
      <c r="M2956" s="2" t="b">
        <v>0</v>
      </c>
      <c r="N2956" s="2" t="s">
        <v>33</v>
      </c>
      <c r="O2956" s="2">
        <v>97.0</v>
      </c>
      <c r="P2956" s="2">
        <v>21.0</v>
      </c>
      <c r="Q2956" s="2">
        <v>92.0</v>
      </c>
      <c r="R2956" s="2">
        <v>0.0</v>
      </c>
      <c r="S2956" s="3" t="s">
        <v>12074</v>
      </c>
      <c r="T2956" s="2" t="s">
        <v>12075</v>
      </c>
      <c r="Y2956" s="4" t="str">
        <f>IFERROR(__xludf.DUMMYFUNCTION("""COMPUTED_VALUE"""),"6.7284914")</f>
        <v>6.7284914</v>
      </c>
      <c r="Z2956" s="4" t="str">
        <f>IFERROR(__xludf.DUMMYFUNCTION("""COMPUTED_VALUE"""),"3.1679257")</f>
        <v>3.1679257</v>
      </c>
      <c r="AA2956" s="4" t="str">
        <f t="shared" si="1"/>
        <v>Neighbor</v>
      </c>
      <c r="AC2956" s="4">
        <f>IFERROR(__xludf.DUMMYFUNCTION("IFERROR(ABS(O2956-AVERAGE(FILTER(O2956:O7024,AA2956:AA7024=""Neighbor""))) / STDEV(FILTER(O2956:O7024, AA2956:AA7024 =""Neighbor"")), """")"),1.5276582304363215)</f>
        <v>1.52765823</v>
      </c>
      <c r="AD2956" s="4">
        <f>IFERROR(__xludf.DUMMYFUNCTION("IFERROR(ABS(P2956-AVERAGE(FILTER(O2956:P7024,AA2956:AA7024=""Neighbor""))) / STDEV(FILTER(P2956:P7024, AA2956:AA7024 =""Neighbor"")), """")"),0.45932110027158946)</f>
        <v>0.4593211003</v>
      </c>
      <c r="AE2956" s="2">
        <f>IFERROR(__xludf.DUMMYFUNCTION("IFERROR(ABS(Q2956-AVERAGE(FILTER(Q2956:Q7024,AA2956:AA7024=""Neighbor""))) / STDEV(FILTER(Q2956:Q7024, AA2956:AA7024 =""Neighbor"")), """")"),4.332762908507254)</f>
        <v>4.332762909</v>
      </c>
      <c r="AF2956" s="2">
        <f>IFERROR(__xludf.DUMMYFUNCTION("IFERROR(ABS(R2956-AVERAGE(FILTER(R2956:R7024,AA2956:AA7024=""Neighbor""))) / STDEV(FILTER(R2956:R7024, AA2956:AA7024 =""Neighbor"")), """")"),0.33164366813097745)</f>
        <v>0.3316436681</v>
      </c>
    </row>
    <row r="2957">
      <c r="A2957" s="2" t="s">
        <v>28</v>
      </c>
      <c r="B2957" s="2" t="s">
        <v>1711</v>
      </c>
      <c r="C2957" s="2" t="s">
        <v>2152</v>
      </c>
      <c r="D2957" s="2" t="s">
        <v>12076</v>
      </c>
      <c r="E2957" s="2" t="s">
        <v>12077</v>
      </c>
      <c r="F2957" s="2">
        <v>162.0</v>
      </c>
      <c r="G2957" s="2">
        <v>443.0</v>
      </c>
      <c r="H2957" s="2" t="b">
        <v>1</v>
      </c>
      <c r="I2957" s="2">
        <v>-1.0</v>
      </c>
      <c r="J2957" s="2" t="b">
        <v>0</v>
      </c>
      <c r="K2957" s="2" t="b">
        <v>1</v>
      </c>
      <c r="L2957" s="2" t="b">
        <v>0</v>
      </c>
      <c r="M2957" s="2" t="b">
        <v>0</v>
      </c>
      <c r="N2957" s="2" t="s">
        <v>33</v>
      </c>
      <c r="O2957" s="2">
        <v>82.0</v>
      </c>
      <c r="P2957" s="2">
        <v>8.0</v>
      </c>
      <c r="Q2957" s="2">
        <v>60.0</v>
      </c>
      <c r="R2957" s="2">
        <v>0.0</v>
      </c>
      <c r="S2957" s="3" t="s">
        <v>12078</v>
      </c>
      <c r="T2957" s="2" t="s">
        <v>12079</v>
      </c>
      <c r="Y2957" s="4" t="str">
        <f>IFERROR(__xludf.DUMMYFUNCTION("""COMPUTED_VALUE"""),"6.7284914")</f>
        <v>6.7284914</v>
      </c>
      <c r="Z2957" s="4" t="str">
        <f>IFERROR(__xludf.DUMMYFUNCTION("""COMPUTED_VALUE"""),"3.1679257")</f>
        <v>3.1679257</v>
      </c>
      <c r="AA2957" s="4" t="str">
        <f t="shared" si="1"/>
        <v>Not Neighbor</v>
      </c>
      <c r="AC2957" s="4">
        <f>IFERROR(__xludf.DUMMYFUNCTION("IFERROR(ABS(O2957-AVERAGE(FILTER(O2957:O7025,AA2957:AA7025=""Neighbor""))) / STDEV(FILTER(O2957:O7025, AA2957:AA7025 =""Neighbor"")), """")"),1.0815167397949166)</f>
        <v>1.08151674</v>
      </c>
      <c r="AD2957" s="4">
        <f>IFERROR(__xludf.DUMMYFUNCTION("IFERROR(ABS(P2957-AVERAGE(FILTER(O2957:P7025,AA2957:AA7025=""Neighbor""))) / STDEV(FILTER(P2957:P7025, AA2957:AA7025 =""Neighbor"")), """")"),0.9935466821693516)</f>
        <v>0.9935466822</v>
      </c>
      <c r="AE2957" s="2">
        <f>IFERROR(__xludf.DUMMYFUNCTION("IFERROR(ABS(Q2957-AVERAGE(FILTER(Q2957:Q7025,AA2957:AA7025=""Neighbor""))) / STDEV(FILTER(Q2957:Q7025, AA2957:AA7025 =""Neighbor"")), """")"),2.5866646634930475)</f>
        <v>2.586664663</v>
      </c>
      <c r="AF2957" s="2">
        <f>IFERROR(__xludf.DUMMYFUNCTION("IFERROR(ABS(R2957-AVERAGE(FILTER(R2957:R7025,AA2957:AA7025=""Neighbor""))) / STDEV(FILTER(R2957:R7025, AA2957:AA7025 =""Neighbor"")), """")"),0.33208828753232683)</f>
        <v>0.3320882875</v>
      </c>
    </row>
    <row r="2958">
      <c r="A2958" s="2" t="s">
        <v>28</v>
      </c>
      <c r="B2958" s="2" t="s">
        <v>1711</v>
      </c>
      <c r="C2958" s="2" t="s">
        <v>2152</v>
      </c>
      <c r="D2958" s="2" t="s">
        <v>12080</v>
      </c>
      <c r="E2958" s="2" t="s">
        <v>12081</v>
      </c>
      <c r="F2958" s="2">
        <v>67.0</v>
      </c>
      <c r="G2958" s="2">
        <v>750.0</v>
      </c>
      <c r="H2958" s="2" t="b">
        <v>1</v>
      </c>
      <c r="I2958" s="2">
        <v>-1.0</v>
      </c>
      <c r="J2958" s="2" t="b">
        <v>0</v>
      </c>
      <c r="K2958" s="2" t="b">
        <v>0</v>
      </c>
      <c r="L2958" s="2" t="b">
        <v>0</v>
      </c>
      <c r="M2958" s="2" t="b">
        <v>0</v>
      </c>
      <c r="N2958" s="2" t="s">
        <v>33</v>
      </c>
      <c r="O2958" s="2">
        <v>0.0</v>
      </c>
      <c r="P2958" s="2">
        <v>0.0</v>
      </c>
      <c r="Q2958" s="2">
        <v>0.0</v>
      </c>
      <c r="R2958" s="2">
        <v>0.0</v>
      </c>
      <c r="S2958" s="3" t="s">
        <v>12082</v>
      </c>
      <c r="T2958" s="2" t="s">
        <v>12083</v>
      </c>
      <c r="Y2958" s="4" t="str">
        <f>IFERROR(__xludf.DUMMYFUNCTION("""COMPUTED_VALUE"""),"6.6287567")</f>
        <v>6.6287567</v>
      </c>
      <c r="Z2958" s="4" t="str">
        <f>IFERROR(__xludf.DUMMYFUNCTION("""COMPUTED_VALUE"""),"3.2794599")</f>
        <v>3.2794599</v>
      </c>
      <c r="AA2958" s="4" t="str">
        <f t="shared" si="1"/>
        <v>Not Neighbor</v>
      </c>
      <c r="AC2958" s="4">
        <f>IFERROR(__xludf.DUMMYFUNCTION("IFERROR(ABS(O2958-AVERAGE(FILTER(O2958:O7026,AA2958:AA7026=""Neighbor""))) / STDEV(FILTER(O2958:O7026, AA2958:AA7026 =""Neighbor"")), """")"),1.3912516851237064)</f>
        <v>1.391251685</v>
      </c>
      <c r="AD2958" s="4">
        <f>IFERROR(__xludf.DUMMYFUNCTION("IFERROR(ABS(P2958-AVERAGE(FILTER(O2958:P7026,AA2958:AA7026=""Neighbor""))) / STDEV(FILTER(P2958:P7026, AA2958:AA7026 =""Neighbor"")), """")"),1.324295119236106)</f>
        <v>1.324295119</v>
      </c>
      <c r="AE2958" s="2">
        <f>IFERROR(__xludf.DUMMYFUNCTION("IFERROR(ABS(Q2958-AVERAGE(FILTER(Q2958:Q7026,AA2958:AA7026=""Neighbor""))) / STDEV(FILTER(Q2958:Q7026, AA2958:AA7026 =""Neighbor"")), """")"),0.8889643551251998)</f>
        <v>0.8889643551</v>
      </c>
      <c r="AF2958" s="2">
        <f>IFERROR(__xludf.DUMMYFUNCTION("IFERROR(ABS(R2958-AVERAGE(FILTER(R2958:R7026,AA2958:AA7026=""Neighbor""))) / STDEV(FILTER(R2958:R7026, AA2958:AA7026 =""Neighbor"")), """")"),0.33208828753232683)</f>
        <v>0.3320882875</v>
      </c>
    </row>
    <row r="2959">
      <c r="A2959" s="2" t="s">
        <v>28</v>
      </c>
      <c r="B2959" s="2" t="s">
        <v>1711</v>
      </c>
      <c r="C2959" s="2" t="s">
        <v>2152</v>
      </c>
      <c r="D2959" s="2" t="s">
        <v>12084</v>
      </c>
      <c r="E2959" s="2" t="s">
        <v>12085</v>
      </c>
      <c r="F2959" s="2">
        <v>33.0</v>
      </c>
      <c r="G2959" s="2">
        <v>98.0</v>
      </c>
      <c r="H2959" s="2" t="b">
        <v>1</v>
      </c>
      <c r="I2959" s="2">
        <v>-1.0</v>
      </c>
      <c r="J2959" s="2" t="b">
        <v>0</v>
      </c>
      <c r="K2959" s="2" t="b">
        <v>0</v>
      </c>
      <c r="L2959" s="2" t="b">
        <v>0</v>
      </c>
      <c r="M2959" s="2" t="b">
        <v>0</v>
      </c>
      <c r="N2959" s="2" t="s">
        <v>33</v>
      </c>
      <c r="O2959" s="2">
        <v>23.0</v>
      </c>
      <c r="P2959" s="2">
        <v>2.0</v>
      </c>
      <c r="Q2959" s="2">
        <v>5.0</v>
      </c>
      <c r="R2959" s="2">
        <v>0.0</v>
      </c>
      <c r="S2959" s="3" t="s">
        <v>12086</v>
      </c>
      <c r="T2959" s="2" t="s">
        <v>12087</v>
      </c>
      <c r="Y2959" s="4" t="str">
        <f>IFERROR(__xludf.DUMMYFUNCTION("""COMPUTED_VALUE"""),"6.7284914")</f>
        <v>6.7284914</v>
      </c>
      <c r="Z2959" s="4" t="str">
        <f>IFERROR(__xludf.DUMMYFUNCTION("""COMPUTED_VALUE"""),"3.1679257")</f>
        <v>3.1679257</v>
      </c>
      <c r="AA2959" s="4" t="str">
        <f t="shared" si="1"/>
        <v>Neighbor</v>
      </c>
      <c r="AC2959" s="4">
        <f>IFERROR(__xludf.DUMMYFUNCTION("IFERROR(ABS(O2959-AVERAGE(FILTER(O2959:O7027,AA2959:AA7027=""Neighbor""))) / STDEV(FILTER(O2959:O7027, AA2959:AA7027 =""Neighbor"")), """")"),0.6976702976465317)</f>
        <v>0.6976702976</v>
      </c>
      <c r="AD2959" s="4">
        <f>IFERROR(__xludf.DUMMYFUNCTION("IFERROR(ABS(P2959-AVERAGE(FILTER(O2959:P7027,AA2959:AA7027=""Neighbor""))) / STDEV(FILTER(P2959:P7027, AA2959:AA7027 =""Neighbor"")), """")"),1.2416080099694173)</f>
        <v>1.24160801</v>
      </c>
      <c r="AE2959" s="2">
        <f>IFERROR(__xludf.DUMMYFUNCTION("IFERROR(ABS(Q2959-AVERAGE(FILTER(Q2959:Q7027,AA2959:AA7027=""Neighbor""))) / STDEV(FILTER(Q2959:Q7027, AA2959:AA7027 =""Neighbor"")), """")"),0.5993286035736792)</f>
        <v>0.5993286036</v>
      </c>
      <c r="AF2959" s="2">
        <f>IFERROR(__xludf.DUMMYFUNCTION("IFERROR(ABS(R2959-AVERAGE(FILTER(R2959:R7027,AA2959:AA7027=""Neighbor""))) / STDEV(FILTER(R2959:R7027, AA2959:AA7027 =""Neighbor"")), """")"),0.33208828753232683)</f>
        <v>0.3320882875</v>
      </c>
    </row>
    <row r="2960">
      <c r="A2960" s="2" t="s">
        <v>28</v>
      </c>
      <c r="B2960" s="2" t="s">
        <v>1711</v>
      </c>
      <c r="C2960" s="2" t="s">
        <v>2152</v>
      </c>
      <c r="D2960" s="2" t="s">
        <v>12088</v>
      </c>
      <c r="E2960" s="2" t="s">
        <v>12089</v>
      </c>
      <c r="F2960" s="2">
        <v>162.0</v>
      </c>
      <c r="G2960" s="2">
        <v>244.0</v>
      </c>
      <c r="H2960" s="2" t="b">
        <v>1</v>
      </c>
      <c r="I2960" s="2">
        <v>-1.0</v>
      </c>
      <c r="J2960" s="2" t="b">
        <v>0</v>
      </c>
      <c r="K2960" s="2" t="b">
        <v>0</v>
      </c>
      <c r="L2960" s="2" t="b">
        <v>0</v>
      </c>
      <c r="M2960" s="2" t="b">
        <v>0</v>
      </c>
      <c r="N2960" s="2" t="s">
        <v>33</v>
      </c>
      <c r="O2960" s="2">
        <v>137.0</v>
      </c>
      <c r="P2960" s="2">
        <v>11.0</v>
      </c>
      <c r="Q2960" s="2">
        <v>2.0</v>
      </c>
      <c r="R2960" s="2">
        <v>0.0</v>
      </c>
      <c r="S2960" s="3" t="s">
        <v>12090</v>
      </c>
      <c r="T2960" s="2" t="s">
        <v>12091</v>
      </c>
      <c r="Y2960" s="4" t="str">
        <f>IFERROR(__xludf.DUMMYFUNCTION("""COMPUTED_VALUE"""),"6.7284914")</f>
        <v>6.7284914</v>
      </c>
      <c r="Z2960" s="4" t="str">
        <f>IFERROR(__xludf.DUMMYFUNCTION("""COMPUTED_VALUE"""),"3.1679257")</f>
        <v>3.1679257</v>
      </c>
      <c r="AA2960" s="4" t="str">
        <f t="shared" si="1"/>
        <v>Neighbor</v>
      </c>
      <c r="AC2960" s="4">
        <f>IFERROR(__xludf.DUMMYFUNCTION("IFERROR(ABS(O2960-AVERAGE(FILTER(O2960:O7028,AA2960:AA7028=""Neighbor""))) / STDEV(FILTER(O2960:O7028, AA2960:AA7028 =""Neighbor"")), """")"),2.7366832338527116)</f>
        <v>2.736683234</v>
      </c>
      <c r="AD2960" s="4">
        <f>IFERROR(__xludf.DUMMYFUNCTION("IFERROR(ABS(P2960-AVERAGE(FILTER(O2960:P7028,AA2960:AA7028=""Neighbor""))) / STDEV(FILTER(P2960:P7028, AA2960:AA7028 =""Neighbor"")), """")"),0.8708772281459752)</f>
        <v>0.8708772281</v>
      </c>
      <c r="AE2960" s="2">
        <f>IFERROR(__xludf.DUMMYFUNCTION("IFERROR(ABS(Q2960-AVERAGE(FILTER(Q2960:Q7028,AA2960:AA7028=""Neighbor""))) / STDEV(FILTER(Q2960:Q7028, AA2960:AA7028 =""Neighbor"")), """")"),0.7739624341638536)</f>
        <v>0.7739624342</v>
      </c>
      <c r="AF2960" s="2">
        <f>IFERROR(__xludf.DUMMYFUNCTION("IFERROR(ABS(R2960-AVERAGE(FILTER(R2960:R7028,AA2960:AA7028=""Neighbor""))) / STDEV(FILTER(R2960:R7028, AA2960:AA7028 =""Neighbor"")), """")"),0.3325347004972487)</f>
        <v>0.3325347005</v>
      </c>
    </row>
    <row r="2961">
      <c r="A2961" s="2" t="s">
        <v>28</v>
      </c>
      <c r="B2961" s="2" t="s">
        <v>1711</v>
      </c>
      <c r="C2961" s="2" t="s">
        <v>2152</v>
      </c>
      <c r="D2961" s="2" t="s">
        <v>12092</v>
      </c>
      <c r="E2961" s="2" t="s">
        <v>12093</v>
      </c>
      <c r="F2961" s="2">
        <v>192.0</v>
      </c>
      <c r="G2961" s="2">
        <v>750.0</v>
      </c>
      <c r="H2961" s="2" t="b">
        <v>1</v>
      </c>
      <c r="I2961" s="2">
        <v>-1.0</v>
      </c>
      <c r="J2961" s="2" t="b">
        <v>0</v>
      </c>
      <c r="K2961" s="2" t="b">
        <v>0</v>
      </c>
      <c r="L2961" s="2" t="b">
        <v>0</v>
      </c>
      <c r="M2961" s="2" t="b">
        <v>0</v>
      </c>
      <c r="N2961" s="2" t="s">
        <v>33</v>
      </c>
      <c r="O2961" s="2">
        <v>149.0</v>
      </c>
      <c r="P2961" s="2">
        <v>29.0</v>
      </c>
      <c r="Q2961" s="2">
        <v>8.0</v>
      </c>
      <c r="R2961" s="2">
        <v>0.0</v>
      </c>
      <c r="S2961" s="3" t="s">
        <v>12094</v>
      </c>
      <c r="T2961" s="2" t="s">
        <v>12095</v>
      </c>
      <c r="Y2961" s="4" t="str">
        <f>IFERROR(__xludf.DUMMYFUNCTION("""COMPUTED_VALUE"""),"6.7284914")</f>
        <v>6.7284914</v>
      </c>
      <c r="Z2961" s="4" t="str">
        <f>IFERROR(__xludf.DUMMYFUNCTION("""COMPUTED_VALUE"""),"3.1679257")</f>
        <v>3.1679257</v>
      </c>
      <c r="AA2961" s="4" t="str">
        <f t="shared" si="1"/>
        <v>Neighbor</v>
      </c>
      <c r="AC2961" s="4">
        <f>IFERROR(__xludf.DUMMYFUNCTION("IFERROR(ABS(O2961-AVERAGE(FILTER(O2961:O7029,AA2961:AA7029=""Neighbor""))) / STDEV(FILTER(O2961:O7029, AA2961:AA7029 =""Neighbor"")), """")"),3.1299241193130434)</f>
        <v>3.129924119</v>
      </c>
      <c r="AD2961" s="4">
        <f>IFERROR(__xludf.DUMMYFUNCTION("IFERROR(ABS(P2961-AVERAGE(FILTER(O2961:P7029,AA2961:AA7029=""Neighbor""))) / STDEV(FILTER(P2961:P7029, AA2961:AA7029 =""Neighbor"")), """")"),0.12285317185879696)</f>
        <v>0.1228531719</v>
      </c>
      <c r="AE2961" s="2">
        <f>IFERROR(__xludf.DUMMYFUNCTION("IFERROR(ABS(Q2961-AVERAGE(FILTER(Q2961:Q7029,AA2961:AA7029=""Neighbor""))) / STDEV(FILTER(Q2961:Q7029, AA2961:AA7029 =""Neighbor"")), """")"),0.4283442681219399)</f>
        <v>0.4283442681</v>
      </c>
      <c r="AF2961" s="2">
        <f>IFERROR(__xludf.DUMMYFUNCTION("IFERROR(ABS(R2961-AVERAGE(FILTER(R2961:R7029,AA2961:AA7029=""Neighbor""))) / STDEV(FILTER(R2961:R7029, AA2961:AA7029 =""Neighbor"")), """")"),0.33298291911985506)</f>
        <v>0.3329829191</v>
      </c>
    </row>
    <row r="2962">
      <c r="A2962" s="2" t="s">
        <v>28</v>
      </c>
      <c r="B2962" s="2" t="s">
        <v>1711</v>
      </c>
      <c r="C2962" s="2" t="s">
        <v>2152</v>
      </c>
      <c r="D2962" s="2" t="s">
        <v>12096</v>
      </c>
      <c r="E2962" s="2" t="s">
        <v>12097</v>
      </c>
      <c r="F2962" s="2">
        <v>60.0</v>
      </c>
      <c r="G2962" s="2">
        <v>83.0</v>
      </c>
      <c r="H2962" s="2" t="b">
        <v>1</v>
      </c>
      <c r="I2962" s="2">
        <v>-1.0</v>
      </c>
      <c r="J2962" s="2" t="b">
        <v>0</v>
      </c>
      <c r="K2962" s="2" t="b">
        <v>0</v>
      </c>
      <c r="L2962" s="2" t="b">
        <v>0</v>
      </c>
      <c r="M2962" s="2" t="b">
        <v>0</v>
      </c>
      <c r="N2962" s="2" t="s">
        <v>33</v>
      </c>
      <c r="O2962" s="2">
        <v>43.0</v>
      </c>
      <c r="P2962" s="2">
        <v>8.0</v>
      </c>
      <c r="Q2962" s="2">
        <v>5.0</v>
      </c>
      <c r="R2962" s="2">
        <v>0.0</v>
      </c>
      <c r="S2962" s="3" t="s">
        <v>12098</v>
      </c>
      <c r="T2962" s="2" t="s">
        <v>12099</v>
      </c>
      <c r="Y2962" s="4" t="str">
        <f>IFERROR(__xludf.DUMMYFUNCTION("""COMPUTED_VALUE"""),"6.7284914")</f>
        <v>6.7284914</v>
      </c>
      <c r="Z2962" s="4" t="str">
        <f>IFERROR(__xludf.DUMMYFUNCTION("""COMPUTED_VALUE"""),"3.1679257")</f>
        <v>3.1679257</v>
      </c>
      <c r="AA2962" s="4" t="str">
        <f t="shared" si="1"/>
        <v>Neighbor</v>
      </c>
      <c r="AC2962" s="4">
        <f>IFERROR(__xludf.DUMMYFUNCTION("IFERROR(ABS(O2962-AVERAGE(FILTER(O2962:O7030,AA2962:AA7030=""Neighbor""))) / STDEV(FILTER(O2962:O7030, AA2962:AA7030 =""Neighbor"")), """")"),0.08352156841173432)</f>
        <v>0.08352156841</v>
      </c>
      <c r="AD2962" s="4">
        <f>IFERROR(__xludf.DUMMYFUNCTION("IFERROR(ABS(P2962-AVERAGE(FILTER(O2962:P7030,AA2962:AA7030=""Neighbor""))) / STDEV(FILTER(P2962:P7030, AA2962:AA7030 =""Neighbor"")), """")"),0.982810949349849)</f>
        <v>0.9828109493</v>
      </c>
      <c r="AE2962" s="2">
        <f>IFERROR(__xludf.DUMMYFUNCTION("IFERROR(ABS(Q2962-AVERAGE(FILTER(Q2962:Q7030,AA2962:AA7030=""Neighbor""))) / STDEV(FILTER(Q2962:Q7030, AA2962:AA7030 =""Neighbor"")), """")"),0.6023501534466303)</f>
        <v>0.6023501534</v>
      </c>
      <c r="AF2962" s="2">
        <f>IFERROR(__xludf.DUMMYFUNCTION("IFERROR(ABS(R2962-AVERAGE(FILTER(R2962:R7030,AA2962:AA7030=""Neighbor""))) / STDEV(FILTER(R2962:R7030, AA2962:AA7030 =""Neighbor"")), """")"),0.3334329556087646)</f>
        <v>0.3334329556</v>
      </c>
    </row>
    <row r="2963">
      <c r="A2963" s="2" t="s">
        <v>28</v>
      </c>
      <c r="B2963" s="2" t="s">
        <v>1711</v>
      </c>
      <c r="C2963" s="2" t="s">
        <v>2152</v>
      </c>
      <c r="D2963" s="2" t="s">
        <v>12100</v>
      </c>
      <c r="E2963" s="2" t="s">
        <v>12101</v>
      </c>
      <c r="F2963" s="2">
        <v>182.0</v>
      </c>
      <c r="G2963" s="2">
        <v>437.0</v>
      </c>
      <c r="H2963" s="2" t="b">
        <v>1</v>
      </c>
      <c r="I2963" s="2">
        <v>-1.0</v>
      </c>
      <c r="J2963" s="2" t="b">
        <v>0</v>
      </c>
      <c r="K2963" s="2" t="b">
        <v>0</v>
      </c>
      <c r="L2963" s="2" t="b">
        <v>0</v>
      </c>
      <c r="M2963" s="2" t="b">
        <v>0</v>
      </c>
      <c r="N2963" s="2" t="s">
        <v>33</v>
      </c>
      <c r="O2963" s="2">
        <v>119.0</v>
      </c>
      <c r="P2963" s="2">
        <v>29.0</v>
      </c>
      <c r="Q2963" s="2">
        <v>5.0</v>
      </c>
      <c r="R2963" s="2">
        <v>0.0</v>
      </c>
      <c r="S2963" s="3" t="s">
        <v>12102</v>
      </c>
      <c r="T2963" s="2" t="s">
        <v>12103</v>
      </c>
      <c r="Y2963" s="4" t="str">
        <f>IFERROR(__xludf.DUMMYFUNCTION("""COMPUTED_VALUE"""),"6.7284914")</f>
        <v>6.7284914</v>
      </c>
      <c r="Z2963" s="4" t="str">
        <f>IFERROR(__xludf.DUMMYFUNCTION("""COMPUTED_VALUE"""),"3.1679257")</f>
        <v>3.1679257</v>
      </c>
      <c r="AA2963" s="4" t="str">
        <f t="shared" si="1"/>
        <v>Neighbor</v>
      </c>
      <c r="AC2963" s="4">
        <f>IFERROR(__xludf.DUMMYFUNCTION("IFERROR(ABS(O2963-AVERAGE(FILTER(O2963:O7031,AA2963:AA7031=""Neighbor""))) / STDEV(FILTER(O2963:O7031, AA2963:AA7031 =""Neighbor"")), """")"),2.24765015452368)</f>
        <v>2.247650155</v>
      </c>
      <c r="AD2963" s="4">
        <f>IFERROR(__xludf.DUMMYFUNCTION("IFERROR(ABS(P2963-AVERAGE(FILTER(O2963:P7031,AA2963:AA7031=""Neighbor""))) / STDEV(FILTER(P2963:P7031, AA2963:AA7031 =""Neighbor"")), """")"),0.11751935413539429)</f>
        <v>0.1175193541</v>
      </c>
      <c r="AE2963" s="2">
        <f>IFERROR(__xludf.DUMMYFUNCTION("IFERROR(ABS(Q2963-AVERAGE(FILTER(Q2963:Q7031,AA2963:AA7031=""Neighbor""))) / STDEV(FILTER(Q2963:Q7031, AA2963:AA7031 =""Neighbor"")), """")"),0.6033526030290844)</f>
        <v>0.603352603</v>
      </c>
      <c r="AF2963" s="2">
        <f>IFERROR(__xludf.DUMMYFUNCTION("IFERROR(ABS(R2963-AVERAGE(FILTER(R2963:R7031,AA2963:AA7031=""Neighbor""))) / STDEV(FILTER(R2963:R7031, AA2963:AA7031 =""Neighbor"")), """")"),0.3338848222885005)</f>
        <v>0.3338848223</v>
      </c>
    </row>
    <row r="2964">
      <c r="A2964" s="2" t="s">
        <v>28</v>
      </c>
      <c r="B2964" s="2" t="s">
        <v>1711</v>
      </c>
      <c r="C2964" s="2" t="s">
        <v>2152</v>
      </c>
      <c r="D2964" s="2" t="s">
        <v>12104</v>
      </c>
      <c r="E2964" s="2" t="s">
        <v>12105</v>
      </c>
      <c r="F2964" s="2">
        <v>84.0</v>
      </c>
      <c r="G2964" s="2">
        <v>155.0</v>
      </c>
      <c r="H2964" s="2" t="b">
        <v>1</v>
      </c>
      <c r="I2964" s="2">
        <v>-1.0</v>
      </c>
      <c r="J2964" s="2" t="b">
        <v>0</v>
      </c>
      <c r="K2964" s="2" t="b">
        <v>0</v>
      </c>
      <c r="L2964" s="2" t="b">
        <v>0</v>
      </c>
      <c r="M2964" s="2" t="b">
        <v>0</v>
      </c>
      <c r="N2964" s="2" t="s">
        <v>33</v>
      </c>
      <c r="O2964" s="2">
        <v>42.0</v>
      </c>
      <c r="P2964" s="2">
        <v>6.0</v>
      </c>
      <c r="Q2964" s="2">
        <v>32.0</v>
      </c>
      <c r="R2964" s="2">
        <v>0.0</v>
      </c>
      <c r="S2964" s="3" t="s">
        <v>12106</v>
      </c>
      <c r="T2964" s="2" t="s">
        <v>12107</v>
      </c>
      <c r="Y2964" s="4" t="str">
        <f>IFERROR(__xludf.DUMMYFUNCTION("""COMPUTED_VALUE"""),"6.7284914")</f>
        <v>6.7284914</v>
      </c>
      <c r="Z2964" s="4" t="str">
        <f>IFERROR(__xludf.DUMMYFUNCTION("""COMPUTED_VALUE"""),"3.1679257")</f>
        <v>3.1679257</v>
      </c>
      <c r="AA2964" s="4" t="str">
        <f t="shared" si="1"/>
        <v>Not Neighbor</v>
      </c>
      <c r="AC2964" s="4">
        <f>IFERROR(__xludf.DUMMYFUNCTION("IFERROR(ABS(O2964-AVERAGE(FILTER(O2964:O7032,AA2964:AA7032=""Neighbor""))) / STDEV(FILTER(O2964:O7032, AA2964:AA7032 =""Neighbor"")), """")"),0.10933708141078609)</f>
        <v>0.1093370814</v>
      </c>
      <c r="AD2964" s="4">
        <f>IFERROR(__xludf.DUMMYFUNCTION("IFERROR(ABS(P2964-AVERAGE(FILTER(O2964:P7032,AA2964:AA7032=""Neighbor""))) / STDEV(FILTER(P2964:P7032, AA2964:AA7032 =""Neighbor"")), """")"),1.0595370193460611)</f>
        <v>1.059537019</v>
      </c>
      <c r="AE2964" s="2">
        <f>IFERROR(__xludf.DUMMYFUNCTION("IFERROR(ABS(Q2964-AVERAGE(FILTER(Q2964:Q7032,AA2964:AA7032=""Neighbor""))) / STDEV(FILTER(Q2964:Q7032, AA2964:AA7032 =""Neighbor"")), """")"),0.9537093382598332)</f>
        <v>0.9537093383</v>
      </c>
      <c r="AF2964" s="2">
        <f>IFERROR(__xludf.DUMMYFUNCTION("IFERROR(ABS(R2964-AVERAGE(FILTER(R2964:R7032,AA2964:AA7032=""Neighbor""))) / STDEV(FILTER(R2964:R7032, AA2964:AA7032 =""Neighbor"")), """")"),0.3343385316009094)</f>
        <v>0.3343385316</v>
      </c>
    </row>
    <row r="2965">
      <c r="A2965" s="2" t="s">
        <v>28</v>
      </c>
      <c r="B2965" s="2" t="s">
        <v>1711</v>
      </c>
      <c r="C2965" s="2" t="s">
        <v>2152</v>
      </c>
      <c r="D2965" s="2" t="s">
        <v>12108</v>
      </c>
      <c r="E2965" s="2" t="s">
        <v>12109</v>
      </c>
      <c r="F2965" s="2">
        <v>61.0</v>
      </c>
      <c r="G2965" s="2">
        <v>109.0</v>
      </c>
      <c r="H2965" s="2" t="b">
        <v>1</v>
      </c>
      <c r="I2965" s="2">
        <v>-1.0</v>
      </c>
      <c r="J2965" s="2" t="b">
        <v>0</v>
      </c>
      <c r="K2965" s="2" t="b">
        <v>1</v>
      </c>
      <c r="L2965" s="2" t="b">
        <v>0</v>
      </c>
      <c r="M2965" s="2" t="b">
        <v>0</v>
      </c>
      <c r="N2965" s="2" t="s">
        <v>33</v>
      </c>
      <c r="O2965" s="2">
        <v>36.0</v>
      </c>
      <c r="P2965" s="2">
        <v>7.0</v>
      </c>
      <c r="Q2965" s="2">
        <v>14.0</v>
      </c>
      <c r="R2965" s="2">
        <v>0.0</v>
      </c>
      <c r="S2965" s="3" t="s">
        <v>12110</v>
      </c>
      <c r="T2965" s="2" t="s">
        <v>12111</v>
      </c>
      <c r="Y2965" s="4" t="str">
        <f>IFERROR(__xludf.DUMMYFUNCTION("""COMPUTED_VALUE"""),"6.7511134")</f>
        <v>6.7511134</v>
      </c>
      <c r="Z2965" s="4" t="str">
        <f>IFERROR(__xludf.DUMMYFUNCTION("""COMPUTED_VALUE"""),"3.2306027")</f>
        <v>3.2306027</v>
      </c>
      <c r="AA2965" s="4" t="str">
        <f t="shared" si="1"/>
        <v>Neighbor</v>
      </c>
      <c r="AC2965" s="4">
        <f>IFERROR(__xludf.DUMMYFUNCTION("IFERROR(ABS(O2965-AVERAGE(FILTER(O2965:O7033,AA2965:AA7033=""Neighbor""))) / STDEV(FILTER(O2965:O7033, AA2965:AA7033 =""Neighbor"")), """")"),0.29431094132343594)</f>
        <v>0.2943109413</v>
      </c>
      <c r="AD2965" s="4">
        <f>IFERROR(__xludf.DUMMYFUNCTION("IFERROR(ABS(P2965-AVERAGE(FILTER(O2965:P7033,AA2965:AA7033=""Neighbor""))) / STDEV(FILTER(P2965:P7033, AA2965:AA7033 =""Neighbor"")), """")"),1.0183899506335927)</f>
        <v>1.018389951</v>
      </c>
      <c r="AE2965" s="2">
        <f>IFERROR(__xludf.DUMMYFUNCTION("IFERROR(ABS(Q2965-AVERAGE(FILTER(Q2965:Q7033,AA2965:AA7033=""Neighbor""))) / STDEV(FILTER(Q2965:Q7033, AA2965:AA7033 =""Neighbor"")), """")"),0.0850036055604567)</f>
        <v>0.08500360556</v>
      </c>
      <c r="AF2965" s="2">
        <f>IFERROR(__xludf.DUMMYFUNCTION("IFERROR(ABS(R2965-AVERAGE(FILTER(R2965:R7033,AA2965:AA7033=""Neighbor""))) / STDEV(FILTER(R2965:R7033, AA2965:AA7033 =""Neighbor"")), """")"),0.3343385316009094)</f>
        <v>0.3343385316</v>
      </c>
    </row>
    <row r="2966">
      <c r="A2966" s="2" t="s">
        <v>28</v>
      </c>
      <c r="B2966" s="2" t="s">
        <v>1711</v>
      </c>
      <c r="C2966" s="2" t="s">
        <v>2152</v>
      </c>
      <c r="D2966" s="2" t="s">
        <v>12112</v>
      </c>
      <c r="E2966" s="2" t="s">
        <v>12113</v>
      </c>
      <c r="F2966" s="2">
        <v>45.0</v>
      </c>
      <c r="G2966" s="2">
        <v>61.0</v>
      </c>
      <c r="H2966" s="2" t="b">
        <v>1</v>
      </c>
      <c r="I2966" s="2">
        <v>-1.0</v>
      </c>
      <c r="J2966" s="2" t="b">
        <v>1</v>
      </c>
      <c r="K2966" s="2" t="b">
        <v>0</v>
      </c>
      <c r="L2966" s="2" t="b">
        <v>0</v>
      </c>
      <c r="M2966" s="2" t="b">
        <v>0</v>
      </c>
      <c r="N2966" s="2" t="s">
        <v>33</v>
      </c>
      <c r="O2966" s="2">
        <v>26.0</v>
      </c>
      <c r="P2966" s="2">
        <v>4.0</v>
      </c>
      <c r="Q2966" s="2">
        <v>9.0</v>
      </c>
      <c r="R2966" s="2">
        <v>0.0</v>
      </c>
      <c r="S2966" s="3" t="s">
        <v>12114</v>
      </c>
      <c r="T2966" s="2" t="s">
        <v>12115</v>
      </c>
      <c r="Y2966" s="4" t="str">
        <f>IFERROR(__xludf.DUMMYFUNCTION("""COMPUTED_VALUE"""),"6.7467499")</f>
        <v>6.7467499</v>
      </c>
      <c r="Z2966" s="4" t="str">
        <f>IFERROR(__xludf.DUMMYFUNCTION("""COMPUTED_VALUE"""),"3.2303426")</f>
        <v>3.2303426</v>
      </c>
      <c r="AA2966" s="4" t="str">
        <f t="shared" si="1"/>
        <v>Not Neighbor</v>
      </c>
      <c r="AC2966" s="4">
        <f>IFERROR(__xludf.DUMMYFUNCTION("IFERROR(ABS(O2966-AVERAGE(FILTER(O2966:O7034,AA2966:AA7034=""Neighbor""))) / STDEV(FILTER(O2966:O7034, AA2966:AA7034 =""Neighbor"")), """")"),0.6026464801366529)</f>
        <v>0.6026464801</v>
      </c>
      <c r="AD2966" s="4">
        <f>IFERROR(__xludf.DUMMYFUNCTION("IFERROR(ABS(P2966-AVERAGE(FILTER(O2966:P7034,AA2966:AA7034=""Neighbor""))) / STDEV(FILTER(P2966:P7034, AA2966:AA7034 =""Neighbor"")), """")"),1.141748194930129)</f>
        <v>1.141748195</v>
      </c>
      <c r="AE2966" s="2">
        <f>IFERROR(__xludf.DUMMYFUNCTION("IFERROR(ABS(Q2966-AVERAGE(FILTER(Q2966:Q7034,AA2966:AA7034=""Neighbor""))) / STDEV(FILTER(Q2966:Q7034, AA2966:AA7034 =""Neighbor"")), """")"),0.3732877274865548)</f>
        <v>0.3732877275</v>
      </c>
      <c r="AF2966" s="2">
        <f>IFERROR(__xludf.DUMMYFUNCTION("IFERROR(ABS(R2966-AVERAGE(FILTER(R2966:R7034,AA2966:AA7034=""Neighbor""))) / STDEV(FILTER(R2966:R7034, AA2966:AA7034 =""Neighbor"")), """")"),0.3347940961066018)</f>
        <v>0.3347940961</v>
      </c>
    </row>
    <row r="2967">
      <c r="A2967" s="2" t="s">
        <v>28</v>
      </c>
      <c r="B2967" s="2" t="s">
        <v>1711</v>
      </c>
      <c r="C2967" s="2" t="s">
        <v>2152</v>
      </c>
      <c r="D2967" s="2" t="s">
        <v>12116</v>
      </c>
      <c r="E2967" s="2" t="s">
        <v>12117</v>
      </c>
      <c r="F2967" s="2">
        <v>122.0</v>
      </c>
      <c r="G2967" s="2">
        <v>219.0</v>
      </c>
      <c r="H2967" s="2" t="b">
        <v>1</v>
      </c>
      <c r="I2967" s="2">
        <v>-1.0</v>
      </c>
      <c r="J2967" s="2" t="b">
        <v>0</v>
      </c>
      <c r="K2967" s="2" t="b">
        <v>1</v>
      </c>
      <c r="L2967" s="2" t="b">
        <v>0</v>
      </c>
      <c r="M2967" s="2" t="b">
        <v>0</v>
      </c>
      <c r="N2967" s="2" t="s">
        <v>33</v>
      </c>
      <c r="O2967" s="2">
        <v>89.0</v>
      </c>
      <c r="P2967" s="2">
        <v>8.0</v>
      </c>
      <c r="Q2967" s="2">
        <v>15.0</v>
      </c>
      <c r="R2967" s="2">
        <v>2.0</v>
      </c>
      <c r="S2967" s="3" t="s">
        <v>12118</v>
      </c>
      <c r="T2967" s="2" t="s">
        <v>12119</v>
      </c>
      <c r="Y2967" s="4" t="str">
        <f>IFERROR(__xludf.DUMMYFUNCTION("""COMPUTED_VALUE"""),"6.7587857")</f>
        <v>6.7587857</v>
      </c>
      <c r="Z2967" s="4" t="str">
        <f>IFERROR(__xludf.DUMMYFUNCTION("""COMPUTED_VALUE"""),"3.2444786")</f>
        <v>3.2444786</v>
      </c>
      <c r="AA2967" s="4" t="str">
        <f t="shared" si="1"/>
        <v>Not Neighbor</v>
      </c>
      <c r="AC2967" s="4">
        <f>IFERROR(__xludf.DUMMYFUNCTION("IFERROR(ABS(O2967-AVERAGE(FILTER(O2967:O7035,AA2967:AA7035=""Neighbor""))) / STDEV(FILTER(O2967:O7035, AA2967:AA7035 =""Neighbor"")), """")"),1.3373985163710578)</f>
        <v>1.337398516</v>
      </c>
      <c r="AD2967" s="4">
        <f>IFERROR(__xludf.DUMMYFUNCTION("IFERROR(ABS(P2967-AVERAGE(FILTER(O2967:P7035,AA2967:AA7035=""Neighbor""))) / STDEV(FILTER(P2967:P7035, AA2967:AA7035 =""Neighbor"")), """")"),0.9773211029449681)</f>
        <v>0.9773211029</v>
      </c>
      <c r="AE2967" s="2">
        <f>IFERROR(__xludf.DUMMYFUNCTION("IFERROR(ABS(Q2967-AVERAGE(FILTER(Q2967:Q7035,AA2967:AA7035=""Neighbor""))) / STDEV(FILTER(Q2967:Q7035, AA2967:AA7035 =""Neighbor"")), """")"),0.027472617273289698)</f>
        <v>0.02747261727</v>
      </c>
      <c r="AF2967" s="2">
        <f>IFERROR(__xludf.DUMMYFUNCTION("IFERROR(ABS(R2967-AVERAGE(FILTER(R2967:R7035,AA2967:AA7035=""Neighbor""))) / STDEV(FILTER(R2967:R7035, AA2967:AA7035 =""Neighbor"")), """")"),1.8629671476899614)</f>
        <v>1.862967148</v>
      </c>
    </row>
    <row r="2968">
      <c r="A2968" s="2" t="s">
        <v>28</v>
      </c>
      <c r="B2968" s="2" t="s">
        <v>1711</v>
      </c>
      <c r="C2968" s="2" t="s">
        <v>2152</v>
      </c>
      <c r="D2968" s="2" t="s">
        <v>12120</v>
      </c>
      <c r="E2968" s="2" t="s">
        <v>12121</v>
      </c>
      <c r="F2968" s="2">
        <v>138.0</v>
      </c>
      <c r="G2968" s="2">
        <v>750.0</v>
      </c>
      <c r="H2968" s="2" t="b">
        <v>1</v>
      </c>
      <c r="I2968" s="2">
        <v>-1.0</v>
      </c>
      <c r="J2968" s="2" t="b">
        <v>0</v>
      </c>
      <c r="K2968" s="2" t="b">
        <v>0</v>
      </c>
      <c r="L2968" s="2" t="b">
        <v>0</v>
      </c>
      <c r="M2968" s="2" t="b">
        <v>0</v>
      </c>
      <c r="N2968" s="2" t="s">
        <v>33</v>
      </c>
      <c r="O2968" s="2">
        <v>84.0</v>
      </c>
      <c r="P2968" s="2">
        <v>22.0</v>
      </c>
      <c r="Q2968" s="2">
        <v>19.0</v>
      </c>
      <c r="R2968" s="2">
        <v>1.0</v>
      </c>
      <c r="S2968" s="3" t="s">
        <v>12122</v>
      </c>
      <c r="T2968" s="2" t="s">
        <v>12123</v>
      </c>
      <c r="Y2968" s="4" t="str">
        <f>IFERROR(__xludf.DUMMYFUNCTION("""COMPUTED_VALUE"""),"6.6054857")</f>
        <v>6.6054857</v>
      </c>
      <c r="Z2968" s="4" t="str">
        <f>IFERROR(__xludf.DUMMYFUNCTION("""COMPUTED_VALUE"""),"3.2798081")</f>
        <v>3.2798081</v>
      </c>
      <c r="AA2968" s="4" t="str">
        <f t="shared" si="1"/>
        <v>Not Neighbor</v>
      </c>
      <c r="AC2968" s="4">
        <f>IFERROR(__xludf.DUMMYFUNCTION("IFERROR(ABS(O2968-AVERAGE(FILTER(O2968:O7036,AA2968:AA7036=""Neighbor""))) / STDEV(FILTER(O2968:O7036, AA2968:AA7036 =""Neighbor"")), """")"),1.1834266912513982)</f>
        <v>1.183426691</v>
      </c>
      <c r="AD2968" s="4">
        <f>IFERROR(__xludf.DUMMYFUNCTION("IFERROR(ABS(P2968-AVERAGE(FILTER(O2968:P7036,AA2968:AA7036=""Neighbor""))) / STDEV(FILTER(P2968:P7036, AA2968:AA7036 =""Neighbor"")), """")"),0.4018262809969055)</f>
        <v>0.401826281</v>
      </c>
      <c r="AE2968" s="2">
        <f>IFERROR(__xludf.DUMMYFUNCTION("IFERROR(ABS(Q2968-AVERAGE(FILTER(Q2968:Q7036,AA2968:AA7036=""Neighbor""))) / STDEV(FILTER(Q2968:Q7036, AA2968:AA7036 =""Neighbor"")), """")"),0.20307078953555371)</f>
        <v>0.2030707895</v>
      </c>
      <c r="AF2968" s="2">
        <f>IFERROR(__xludf.DUMMYFUNCTION("IFERROR(ABS(R2968-AVERAGE(FILTER(R2968:R7036,AA2968:AA7036=""Neighbor""))) / STDEV(FILTER(R2968:R7036, AA2968:AA7036 =""Neighbor"")), """")"),0.7640865257916798)</f>
        <v>0.7640865258</v>
      </c>
    </row>
    <row r="2969">
      <c r="A2969" s="2" t="s">
        <v>28</v>
      </c>
      <c r="B2969" s="2" t="s">
        <v>1711</v>
      </c>
      <c r="C2969" s="2" t="s">
        <v>2152</v>
      </c>
      <c r="D2969" s="2" t="s">
        <v>12124</v>
      </c>
      <c r="E2969" s="2" t="s">
        <v>12125</v>
      </c>
      <c r="F2969" s="2">
        <v>55.0</v>
      </c>
      <c r="G2969" s="2">
        <v>616.0</v>
      </c>
      <c r="H2969" s="2" t="b">
        <v>1</v>
      </c>
      <c r="I2969" s="2">
        <v>-1.0</v>
      </c>
      <c r="J2969" s="2" t="b">
        <v>0</v>
      </c>
      <c r="K2969" s="2" t="b">
        <v>0</v>
      </c>
      <c r="L2969" s="2" t="b">
        <v>0</v>
      </c>
      <c r="M2969" s="2" t="b">
        <v>0</v>
      </c>
      <c r="N2969" s="2" t="s">
        <v>33</v>
      </c>
      <c r="O2969" s="2">
        <v>25.0</v>
      </c>
      <c r="P2969" s="2">
        <v>8.0</v>
      </c>
      <c r="Q2969" s="2">
        <v>10.0</v>
      </c>
      <c r="R2969" s="2">
        <v>0.0</v>
      </c>
      <c r="S2969" s="3" t="s">
        <v>12126</v>
      </c>
      <c r="T2969" s="2" t="s">
        <v>12127</v>
      </c>
      <c r="Y2969" s="4" t="str">
        <f>IFERROR(__xludf.DUMMYFUNCTION("""COMPUTED_VALUE"""),"6.7587857")</f>
        <v>6.7587857</v>
      </c>
      <c r="Z2969" s="4" t="str">
        <f>IFERROR(__xludf.DUMMYFUNCTION("""COMPUTED_VALUE"""),"3.2444786")</f>
        <v>3.2444786</v>
      </c>
      <c r="AA2969" s="4" t="str">
        <f t="shared" si="1"/>
        <v>Not Neighbor</v>
      </c>
      <c r="AC2969" s="4">
        <f>IFERROR(__xludf.DUMMYFUNCTION("IFERROR(ABS(O2969-AVERAGE(FILTER(O2969:O7037,AA2969:AA7037=""Neighbor""))) / STDEV(FILTER(O2969:O7037, AA2969:AA7037 =""Neighbor"")), """")"),0.6334408451605849)</f>
        <v>0.6334408452</v>
      </c>
      <c r="AD2969" s="4">
        <f>IFERROR(__xludf.DUMMYFUNCTION("IFERROR(ABS(P2969-AVERAGE(FILTER(O2969:P7037,AA2969:AA7037=""Neighbor""))) / STDEV(FILTER(P2969:P7037, AA2969:AA7037 =""Neighbor"")), """")"),0.9773211029449681)</f>
        <v>0.9773211029</v>
      </c>
      <c r="AE2969" s="2">
        <f>IFERROR(__xludf.DUMMYFUNCTION("IFERROR(ABS(Q2969-AVERAGE(FILTER(Q2969:Q7037,AA2969:AA7037=""Neighbor""))) / STDEV(FILTER(Q2969:Q7037, AA2969:AA7037 =""Neighbor"")), """")"),0.31565187578434395)</f>
        <v>0.3156518758</v>
      </c>
      <c r="AF2969" s="2">
        <f>IFERROR(__xludf.DUMMYFUNCTION("IFERROR(ABS(R2969-AVERAGE(FILTER(R2969:R7037,AA2969:AA7037=""Neighbor""))) / STDEV(FILTER(R2969:R7037, AA2969:AA7037 =""Neighbor"")), """")"),0.3347940961066018)</f>
        <v>0.3347940961</v>
      </c>
    </row>
    <row r="2970">
      <c r="A2970" s="2" t="s">
        <v>28</v>
      </c>
      <c r="B2970" s="2" t="s">
        <v>1711</v>
      </c>
      <c r="C2970" s="2" t="s">
        <v>2152</v>
      </c>
      <c r="D2970" s="2" t="s">
        <v>12128</v>
      </c>
      <c r="E2970" s="2" t="s">
        <v>12129</v>
      </c>
      <c r="F2970" s="2">
        <v>46.0</v>
      </c>
      <c r="G2970" s="2">
        <v>77.0</v>
      </c>
      <c r="H2970" s="2" t="b">
        <v>1</v>
      </c>
      <c r="I2970" s="2">
        <v>-1.0</v>
      </c>
      <c r="J2970" s="2" t="b">
        <v>0</v>
      </c>
      <c r="K2970" s="2" t="b">
        <v>0</v>
      </c>
      <c r="L2970" s="2" t="b">
        <v>0</v>
      </c>
      <c r="M2970" s="2" t="b">
        <v>0</v>
      </c>
      <c r="N2970" s="2" t="s">
        <v>33</v>
      </c>
      <c r="O2970" s="2">
        <v>25.0</v>
      </c>
      <c r="P2970" s="2">
        <v>3.0</v>
      </c>
      <c r="Q2970" s="2">
        <v>6.0</v>
      </c>
      <c r="R2970" s="2">
        <v>1.0</v>
      </c>
      <c r="S2970" s="3" t="s">
        <v>12130</v>
      </c>
      <c r="T2970" s="2" t="s">
        <v>12131</v>
      </c>
      <c r="Y2970" s="4" t="str">
        <f>IFERROR(__xludf.DUMMYFUNCTION("""COMPUTED_VALUE"""),"6.7284914")</f>
        <v>6.7284914</v>
      </c>
      <c r="Z2970" s="4" t="str">
        <f>IFERROR(__xludf.DUMMYFUNCTION("""COMPUTED_VALUE"""),"3.1679257")</f>
        <v>3.1679257</v>
      </c>
      <c r="AA2970" s="4" t="str">
        <f t="shared" si="1"/>
        <v>Not Neighbor</v>
      </c>
      <c r="AC2970" s="4">
        <f>IFERROR(__xludf.DUMMYFUNCTION("IFERROR(ABS(O2970-AVERAGE(FILTER(O2970:O7038,AA2970:AA7038=""Neighbor""))) / STDEV(FILTER(O2970:O7038, AA2970:AA7038 =""Neighbor"")), """")"),0.6334408451605849)</f>
        <v>0.6334408452</v>
      </c>
      <c r="AD2970" s="4">
        <f>IFERROR(__xludf.DUMMYFUNCTION("IFERROR(ABS(P2970-AVERAGE(FILTER(O2970:P7038,AA2970:AA7038=""Neighbor""))) / STDEV(FILTER(P2970:P7038, AA2970:AA7038 =""Neighbor"")), """")"),1.182854967926419)</f>
        <v>1.182854968</v>
      </c>
      <c r="AE2970" s="2">
        <f>IFERROR(__xludf.DUMMYFUNCTION("IFERROR(ABS(Q2970-AVERAGE(FILTER(Q2970:Q7038,AA2970:AA7038=""Neighbor""))) / STDEV(FILTER(Q2970:Q7038, AA2970:AA7038 =""Neighbor"")), """")"),0.5461952825931874)</f>
        <v>0.5461952826</v>
      </c>
      <c r="AF2970" s="2">
        <f>IFERROR(__xludf.DUMMYFUNCTION("IFERROR(ABS(R2970-AVERAGE(FILTER(R2970:R7038,AA2970:AA7038=""Neighbor""))) / STDEV(FILTER(R2970:R7038, AA2970:AA7038 =""Neighbor"")), """")"),0.7640865257916798)</f>
        <v>0.7640865258</v>
      </c>
    </row>
    <row r="2971">
      <c r="A2971" s="2" t="s">
        <v>28</v>
      </c>
      <c r="B2971" s="2" t="s">
        <v>1711</v>
      </c>
      <c r="C2971" s="2" t="s">
        <v>2152</v>
      </c>
      <c r="D2971" s="2" t="s">
        <v>12132</v>
      </c>
      <c r="E2971" s="2" t="s">
        <v>12133</v>
      </c>
      <c r="F2971" s="2">
        <v>45.0</v>
      </c>
      <c r="G2971" s="2">
        <v>84.0</v>
      </c>
      <c r="H2971" s="2" t="b">
        <v>1</v>
      </c>
      <c r="I2971" s="2">
        <v>-1.0</v>
      </c>
      <c r="J2971" s="2" t="b">
        <v>1</v>
      </c>
      <c r="K2971" s="2" t="b">
        <v>0</v>
      </c>
      <c r="L2971" s="2" t="b">
        <v>0</v>
      </c>
      <c r="M2971" s="2" t="b">
        <v>0</v>
      </c>
      <c r="N2971" s="2" t="s">
        <v>33</v>
      </c>
      <c r="O2971" s="2">
        <v>0.0</v>
      </c>
      <c r="P2971" s="2">
        <v>0.0</v>
      </c>
      <c r="Q2971" s="2">
        <v>0.0</v>
      </c>
      <c r="R2971" s="2">
        <v>0.0</v>
      </c>
      <c r="S2971" s="3" t="s">
        <v>12134</v>
      </c>
      <c r="T2971" s="2" t="s">
        <v>12135</v>
      </c>
      <c r="Y2971" s="4" t="str">
        <f>IFERROR(__xludf.DUMMYFUNCTION("""COMPUTED_VALUE"""),"6.7356862")</f>
        <v>6.7356862</v>
      </c>
      <c r="Z2971" s="4" t="str">
        <f>IFERROR(__xludf.DUMMYFUNCTION("""COMPUTED_VALUE"""),"3.2289443")</f>
        <v>3.2289443</v>
      </c>
      <c r="AA2971" s="4" t="str">
        <f t="shared" si="1"/>
        <v>Neighbor</v>
      </c>
      <c r="AC2971" s="4">
        <f>IFERROR(__xludf.DUMMYFUNCTION("IFERROR(ABS(O2971-AVERAGE(FILTER(O2971:O7039,AA2971:AA7039=""Neighbor""))) / STDEV(FILTER(O2971:O7039, AA2971:AA7039 =""Neighbor"")), """")"),1.403299970758883)</f>
        <v>1.403299971</v>
      </c>
      <c r="AD2971" s="4">
        <f>IFERROR(__xludf.DUMMYFUNCTION("IFERROR(ABS(P2971-AVERAGE(FILTER(O2971:P7039,AA2971:AA7039=""Neighbor""))) / STDEV(FILTER(P2971:P7039, AA2971:AA7039 =""Neighbor"")), """")"),1.3061752869152896)</f>
        <v>1.306175287</v>
      </c>
      <c r="AE2971" s="2">
        <f>IFERROR(__xludf.DUMMYFUNCTION("IFERROR(ABS(Q2971-AVERAGE(FILTER(Q2971:Q7039,AA2971:AA7039=""Neighbor""))) / STDEV(FILTER(Q2971:Q7039, AA2971:AA7039 =""Neighbor"")), """")"),0.8920103928064524)</f>
        <v>0.8920103928</v>
      </c>
      <c r="AF2971" s="2">
        <f>IFERROR(__xludf.DUMMYFUNCTION("IFERROR(ABS(R2971-AVERAGE(FILTER(R2971:R7039,AA2971:AA7039=""Neighbor""))) / STDEV(FILTER(R2971:R7039, AA2971:AA7039 =""Neighbor"")), """")"),0.3347940961066018)</f>
        <v>0.3347940961</v>
      </c>
    </row>
    <row r="2972">
      <c r="A2972" s="2" t="s">
        <v>28</v>
      </c>
      <c r="B2972" s="2" t="s">
        <v>1711</v>
      </c>
      <c r="C2972" s="2" t="s">
        <v>2152</v>
      </c>
      <c r="D2972" s="2" t="s">
        <v>12136</v>
      </c>
      <c r="E2972" s="2" t="s">
        <v>12137</v>
      </c>
      <c r="F2972" s="2">
        <v>100.0</v>
      </c>
      <c r="G2972" s="2">
        <v>750.0</v>
      </c>
      <c r="H2972" s="2" t="b">
        <v>1</v>
      </c>
      <c r="I2972" s="2">
        <v>-1.0</v>
      </c>
      <c r="J2972" s="2" t="b">
        <v>0</v>
      </c>
      <c r="K2972" s="2" t="b">
        <v>0</v>
      </c>
      <c r="L2972" s="2" t="b">
        <v>0</v>
      </c>
      <c r="M2972" s="2" t="b">
        <v>0</v>
      </c>
      <c r="N2972" s="2" t="s">
        <v>33</v>
      </c>
      <c r="O2972" s="2">
        <v>70.0</v>
      </c>
      <c r="P2972" s="2">
        <v>17.0</v>
      </c>
      <c r="Q2972" s="2">
        <v>9.0</v>
      </c>
      <c r="R2972" s="2">
        <v>0.0</v>
      </c>
      <c r="S2972" s="3" t="s">
        <v>12138</v>
      </c>
      <c r="T2972" s="2" t="s">
        <v>12139</v>
      </c>
      <c r="Y2972" s="4" t="str">
        <f>IFERROR(__xludf.DUMMYFUNCTION("""COMPUTED_VALUE"""),"6.7308028")</f>
        <v>6.7308028</v>
      </c>
      <c r="Z2972" s="4" t="str">
        <f>IFERROR(__xludf.DUMMYFUNCTION("""COMPUTED_VALUE"""),"3.2239899")</f>
        <v>3.2239899</v>
      </c>
      <c r="AA2972" s="4" t="str">
        <f t="shared" si="1"/>
        <v>Neighbor</v>
      </c>
      <c r="AC2972" s="4">
        <f>IFERROR(__xludf.DUMMYFUNCTION("IFERROR(ABS(O2972-AVERAGE(FILTER(O2972:O7040,AA2972:AA7040=""Neighbor""))) / STDEV(FILTER(O2972:O7040, AA2972:AA7040 =""Neighbor"")), """")"),0.7497513663890029)</f>
        <v>0.7497513664</v>
      </c>
      <c r="AD2972" s="4">
        <f>IFERROR(__xludf.DUMMYFUNCTION("IFERROR(ABS(P2972-AVERAGE(FILTER(O2972:P7040,AA2972:AA7040=""Neighbor""))) / STDEV(FILTER(P2972:P7040, AA2972:AA7040 =""Neighbor"")), """")"),0.6102366194585858)</f>
        <v>0.6102366195</v>
      </c>
      <c r="AE2972" s="2">
        <f>IFERROR(__xludf.DUMMYFUNCTION("IFERROR(ABS(Q2972-AVERAGE(FILTER(Q2972:Q7040,AA2972:AA7040=""Neighbor""))) / STDEV(FILTER(Q2972:Q7040, AA2972:AA7040 =""Neighbor"")), """")"),0.37539102734583446)</f>
        <v>0.3753910273</v>
      </c>
      <c r="AF2972" s="2">
        <f>IFERROR(__xludf.DUMMYFUNCTION("IFERROR(ABS(R2972-AVERAGE(FILTER(R2972:R7040,AA2972:AA7040=""Neighbor""))) / STDEV(FILTER(R2972:R7040, AA2972:AA7040 =""Neighbor"")), """")"),0.3352515284864132)</f>
        <v>0.3352515285</v>
      </c>
    </row>
    <row r="2973">
      <c r="A2973" s="2" t="s">
        <v>28</v>
      </c>
      <c r="B2973" s="2" t="s">
        <v>1711</v>
      </c>
      <c r="C2973" s="2" t="s">
        <v>2152</v>
      </c>
      <c r="D2973" s="2" t="s">
        <v>12140</v>
      </c>
      <c r="E2973" s="2" t="s">
        <v>12141</v>
      </c>
      <c r="F2973" s="2">
        <v>115.0</v>
      </c>
      <c r="G2973" s="2">
        <v>750.0</v>
      </c>
      <c r="H2973" s="2" t="b">
        <v>1</v>
      </c>
      <c r="I2973" s="2">
        <v>-1.0</v>
      </c>
      <c r="J2973" s="2" t="b">
        <v>0</v>
      </c>
      <c r="K2973" s="2" t="b">
        <v>0</v>
      </c>
      <c r="L2973" s="2" t="b">
        <v>0</v>
      </c>
      <c r="M2973" s="2" t="b">
        <v>0</v>
      </c>
      <c r="N2973" s="2" t="s">
        <v>33</v>
      </c>
      <c r="O2973" s="2">
        <v>0.0</v>
      </c>
      <c r="P2973" s="2">
        <v>0.0</v>
      </c>
      <c r="Q2973" s="2">
        <v>0.0</v>
      </c>
      <c r="R2973" s="2">
        <v>0.0</v>
      </c>
      <c r="S2973" s="3" t="s">
        <v>12142</v>
      </c>
      <c r="T2973" s="2" t="s">
        <v>12143</v>
      </c>
      <c r="Y2973" s="4" t="str">
        <f>IFERROR(__xludf.DUMMYFUNCTION("""COMPUTED_VALUE"""),"6.7239811")</f>
        <v>6.7239811</v>
      </c>
      <c r="Z2973" s="4" t="str">
        <f>IFERROR(__xludf.DUMMYFUNCTION("""COMPUTED_VALUE"""),"3.2299697")</f>
        <v>3.2299697</v>
      </c>
      <c r="AA2973" s="4" t="str">
        <f t="shared" si="1"/>
        <v>Not Neighbor</v>
      </c>
      <c r="AC2973" s="4">
        <f>IFERROR(__xludf.DUMMYFUNCTION("IFERROR(ABS(O2973-AVERAGE(FILTER(O2973:O7041,AA2973:AA7041=""Neighbor""))) / STDEV(FILTER(O2973:O7041, AA2973:AA7041 =""Neighbor"")), """")"),1.4058407154887869)</f>
        <v>1.405840715</v>
      </c>
      <c r="AD2973" s="4">
        <f>IFERROR(__xludf.DUMMYFUNCTION("IFERROR(ABS(P2973-AVERAGE(FILTER(O2973:P7041,AA2973:AA7041=""Neighbor""))) / STDEV(FILTER(P2973:P7041, AA2973:AA7041 =""Neighbor"")), """")"),1.305868064486178)</f>
        <v>1.305868064</v>
      </c>
      <c r="AE2973" s="2">
        <f>IFERROR(__xludf.DUMMYFUNCTION("IFERROR(ABS(Q2973-AVERAGE(FILTER(Q2973:Q7041,AA2973:AA7041=""Neighbor""))) / STDEV(FILTER(Q2973:Q7041, AA2973:AA7041 =""Neighbor"")), """")"),0.8939614549344226)</f>
        <v>0.8939614549</v>
      </c>
      <c r="AF2973" s="2">
        <f>IFERROR(__xludf.DUMMYFUNCTION("IFERROR(ABS(R2973-AVERAGE(FILTER(R2973:R7041,AA2973:AA7041=""Neighbor""))) / STDEV(FILTER(R2973:R7041, AA2973:AA7041 =""Neighbor"")), """")"),0.3357108415428885)</f>
        <v>0.3357108415</v>
      </c>
    </row>
    <row r="2974">
      <c r="A2974" s="2" t="s">
        <v>28</v>
      </c>
      <c r="B2974" s="2" t="s">
        <v>1711</v>
      </c>
      <c r="C2974" s="2" t="s">
        <v>2473</v>
      </c>
      <c r="D2974" s="2" t="s">
        <v>12144</v>
      </c>
      <c r="E2974" s="2" t="s">
        <v>12145</v>
      </c>
      <c r="F2974" s="2">
        <v>108.0</v>
      </c>
      <c r="G2974" s="2">
        <v>185.0</v>
      </c>
      <c r="H2974" s="2" t="b">
        <v>1</v>
      </c>
      <c r="I2974" s="2">
        <v>-1.0</v>
      </c>
      <c r="J2974" s="2" t="b">
        <v>0</v>
      </c>
      <c r="K2974" s="2" t="b">
        <v>0</v>
      </c>
      <c r="L2974" s="2" t="b">
        <v>0</v>
      </c>
      <c r="M2974" s="2" t="b">
        <v>0</v>
      </c>
      <c r="N2974" s="2" t="s">
        <v>33</v>
      </c>
      <c r="O2974" s="2">
        <v>0.0</v>
      </c>
      <c r="P2974" s="2">
        <v>0.0</v>
      </c>
      <c r="Q2974" s="2">
        <v>0.0</v>
      </c>
      <c r="R2974" s="2">
        <v>0.0</v>
      </c>
      <c r="S2974" s="3" t="s">
        <v>12146</v>
      </c>
      <c r="T2974" s="2" t="s">
        <v>12147</v>
      </c>
      <c r="Y2974" s="4" t="str">
        <f>IFERROR(__xludf.DUMMYFUNCTION("""COMPUTED_VALUE"""),"6.5439411")</f>
        <v>6.5439411</v>
      </c>
      <c r="Z2974" s="4" t="str">
        <f>IFERROR(__xludf.DUMMYFUNCTION("""COMPUTED_VALUE"""),"3.0238266")</f>
        <v>3.0238266</v>
      </c>
      <c r="AA2974" s="4" t="str">
        <f t="shared" si="1"/>
        <v>Not Neighbor</v>
      </c>
      <c r="AC2974" s="4">
        <f>IFERROR(__xludf.DUMMYFUNCTION("IFERROR(ABS(O2974-AVERAGE(FILTER(O2974:O7042,AA2974:AA7042=""Neighbor""))) / STDEV(FILTER(O2974:O7042, AA2974:AA7042 =""Neighbor"")), """")"),1.4058407154887869)</f>
        <v>1.405840715</v>
      </c>
      <c r="AD2974" s="4">
        <f>IFERROR(__xludf.DUMMYFUNCTION("IFERROR(ABS(P2974-AVERAGE(FILTER(O2974:P7042,AA2974:AA7042=""Neighbor""))) / STDEV(FILTER(P2974:P7042, AA2974:AA7042 =""Neighbor"")), """")"),1.305868064486178)</f>
        <v>1.305868064</v>
      </c>
      <c r="AE2974" s="2">
        <f>IFERROR(__xludf.DUMMYFUNCTION("IFERROR(ABS(Q2974-AVERAGE(FILTER(Q2974:Q7042,AA2974:AA7042=""Neighbor""))) / STDEV(FILTER(Q2974:Q7042, AA2974:AA7042 =""Neighbor"")), """")"),0.8939614549344226)</f>
        <v>0.8939614549</v>
      </c>
      <c r="AF2974" s="2">
        <f>IFERROR(__xludf.DUMMYFUNCTION("IFERROR(ABS(R2974-AVERAGE(FILTER(R2974:R7042,AA2974:AA7042=""Neighbor""))) / STDEV(FILTER(R2974:R7042, AA2974:AA7042 =""Neighbor"")), """")"),0.3357108415428885)</f>
        <v>0.3357108415</v>
      </c>
    </row>
    <row r="2975">
      <c r="A2975" s="2" t="s">
        <v>28</v>
      </c>
      <c r="B2975" s="2" t="s">
        <v>1711</v>
      </c>
      <c r="C2975" s="2" t="s">
        <v>2473</v>
      </c>
      <c r="D2975" s="2" t="s">
        <v>12148</v>
      </c>
      <c r="E2975" s="2" t="s">
        <v>12149</v>
      </c>
      <c r="F2975" s="2">
        <v>111.0</v>
      </c>
      <c r="G2975" s="2">
        <v>175.0</v>
      </c>
      <c r="H2975" s="2" t="b">
        <v>1</v>
      </c>
      <c r="I2975" s="2">
        <v>-1.0</v>
      </c>
      <c r="J2975" s="2" t="b">
        <v>0</v>
      </c>
      <c r="K2975" s="2" t="b">
        <v>0</v>
      </c>
      <c r="L2975" s="2" t="b">
        <v>0</v>
      </c>
      <c r="M2975" s="2" t="b">
        <v>0</v>
      </c>
      <c r="N2975" s="2" t="s">
        <v>33</v>
      </c>
      <c r="O2975" s="2">
        <v>66.0</v>
      </c>
      <c r="P2975" s="2">
        <v>31.0</v>
      </c>
      <c r="Q2975" s="2">
        <v>6.0</v>
      </c>
      <c r="R2975" s="2">
        <v>0.0</v>
      </c>
      <c r="S2975" s="3" t="s">
        <v>12150</v>
      </c>
      <c r="T2975" s="2" t="s">
        <v>12151</v>
      </c>
      <c r="Y2975" s="4" t="str">
        <f>IFERROR(__xludf.DUMMYFUNCTION("""COMPUTED_VALUE"""),"6.521017")</f>
        <v>6.521017</v>
      </c>
      <c r="Z2975" s="4" t="str">
        <f>IFERROR(__xludf.DUMMYFUNCTION("""COMPUTED_VALUE"""),"3.0621666")</f>
        <v>3.0621666</v>
      </c>
      <c r="AA2975" s="4" t="str">
        <f t="shared" si="1"/>
        <v>Neighbor</v>
      </c>
      <c r="AC2975" s="4">
        <f>IFERROR(__xludf.DUMMYFUNCTION("IFERROR(ABS(O2975-AVERAGE(FILTER(O2975:O7043,AA2975:AA7043=""Neighbor""))) / STDEV(FILTER(O2975:O7043, AA2975:AA7043 =""Neighbor"")), """")"),0.6279376210926536)</f>
        <v>0.6279376211</v>
      </c>
      <c r="AD2975" s="4">
        <f>IFERROR(__xludf.DUMMYFUNCTION("IFERROR(ABS(P2975-AVERAGE(FILTER(O2975:P7043,AA2975:AA7043=""Neighbor""))) / STDEV(FILTER(P2975:P7043, AA2975:AA7043 =""Neighbor"")), """")"),0.033839703121916594)</f>
        <v>0.03383970312</v>
      </c>
      <c r="AE2975" s="2">
        <f>IFERROR(__xludf.DUMMYFUNCTION("IFERROR(ABS(Q2975-AVERAGE(FILTER(Q2975:Q7043,AA2975:AA7043=""Neighbor""))) / STDEV(FILTER(Q2975:Q7043, AA2975:AA7043 =""Neighbor"")), """")"),0.5485995574001384)</f>
        <v>0.5485995574</v>
      </c>
      <c r="AF2975" s="2">
        <f>IFERROR(__xludf.DUMMYFUNCTION("IFERROR(ABS(R2975-AVERAGE(FILTER(R2975:R7043,AA2975:AA7043=""Neighbor""))) / STDEV(FILTER(R2975:R7043, AA2975:AA7043 =""Neighbor"")), """")"),0.3357108415428885)</f>
        <v>0.3357108415</v>
      </c>
    </row>
    <row r="2976">
      <c r="A2976" s="2" t="s">
        <v>28</v>
      </c>
      <c r="B2976" s="2" t="s">
        <v>1711</v>
      </c>
      <c r="C2976" s="2" t="s">
        <v>2473</v>
      </c>
      <c r="D2976" s="2" t="s">
        <v>12152</v>
      </c>
      <c r="E2976" s="2" t="s">
        <v>12153</v>
      </c>
      <c r="F2976" s="2">
        <v>61.0</v>
      </c>
      <c r="G2976" s="2">
        <v>97.0</v>
      </c>
      <c r="H2976" s="2" t="b">
        <v>1</v>
      </c>
      <c r="I2976" s="2">
        <v>-1.0</v>
      </c>
      <c r="J2976" s="2" t="b">
        <v>1</v>
      </c>
      <c r="K2976" s="2" t="b">
        <v>0</v>
      </c>
      <c r="L2976" s="2" t="b">
        <v>0</v>
      </c>
      <c r="M2976" s="2" t="b">
        <v>0</v>
      </c>
      <c r="N2976" s="2" t="s">
        <v>33</v>
      </c>
      <c r="O2976" s="2">
        <v>31.0</v>
      </c>
      <c r="P2976" s="2">
        <v>22.0</v>
      </c>
      <c r="Q2976" s="2">
        <v>6.0</v>
      </c>
      <c r="R2976" s="2">
        <v>0.0</v>
      </c>
      <c r="S2976" s="3" t="s">
        <v>12154</v>
      </c>
      <c r="T2976" s="2" t="s">
        <v>12155</v>
      </c>
      <c r="Y2976" s="4" t="str">
        <f>IFERROR(__xludf.DUMMYFUNCTION("""COMPUTED_VALUE"""),"6.521017")</f>
        <v>6.521017</v>
      </c>
      <c r="Z2976" s="4" t="str">
        <f>IFERROR(__xludf.DUMMYFUNCTION("""COMPUTED_VALUE"""),"3.0621666")</f>
        <v>3.0621666</v>
      </c>
      <c r="AA2976" s="4" t="str">
        <f t="shared" si="1"/>
        <v>Neighbor</v>
      </c>
      <c r="AC2976" s="4">
        <f>IFERROR(__xludf.DUMMYFUNCTION("IFERROR(ABS(O2976-AVERAGE(FILTER(O2976:O7044,AA2976:AA7044=""Neighbor""))) / STDEV(FILTER(O2976:O7044, AA2976:AA7044 =""Neighbor"")), """")"),0.44869037957766394)</f>
        <v>0.4486903796</v>
      </c>
      <c r="AD2976" s="4">
        <f>IFERROR(__xludf.DUMMYFUNCTION("IFERROR(ABS(P2976-AVERAGE(FILTER(O2976:P7044,AA2976:AA7044=""Neighbor""))) / STDEV(FILTER(P2976:P7044, AA2976:AA7044 =""Neighbor"")), """")"),0.40108848152250076)</f>
        <v>0.4010884815</v>
      </c>
      <c r="AE2976" s="2">
        <f>IFERROR(__xludf.DUMMYFUNCTION("IFERROR(ABS(Q2976-AVERAGE(FILTER(Q2976:Q7044,AA2976:AA7044=""Neighbor""))) / STDEV(FILTER(Q2976:Q7044, AA2976:AA7044 =""Neighbor"")), """")"),0.5494816291804978)</f>
        <v>0.5494816292</v>
      </c>
      <c r="AF2976" s="2">
        <f>IFERROR(__xludf.DUMMYFUNCTION("IFERROR(ABS(R2976-AVERAGE(FILTER(R2976:R7044,AA2976:AA7044=""Neighbor""))) / STDEV(FILTER(R2976:R7044, AA2976:AA7044 =""Neighbor"")), """")"),0.3361720482017881)</f>
        <v>0.3361720482</v>
      </c>
    </row>
    <row r="2977">
      <c r="A2977" s="2" t="s">
        <v>28</v>
      </c>
      <c r="B2977" s="2" t="s">
        <v>1711</v>
      </c>
      <c r="C2977" s="2" t="s">
        <v>2473</v>
      </c>
      <c r="D2977" s="2" t="s">
        <v>12156</v>
      </c>
      <c r="E2977" s="2" t="s">
        <v>12157</v>
      </c>
      <c r="F2977" s="2">
        <v>76.0</v>
      </c>
      <c r="G2977" s="2">
        <v>124.0</v>
      </c>
      <c r="H2977" s="2" t="b">
        <v>1</v>
      </c>
      <c r="I2977" s="2">
        <v>-1.0</v>
      </c>
      <c r="J2977" s="2" t="b">
        <v>0</v>
      </c>
      <c r="K2977" s="2" t="b">
        <v>0</v>
      </c>
      <c r="L2977" s="2" t="b">
        <v>0</v>
      </c>
      <c r="M2977" s="2" t="b">
        <v>0</v>
      </c>
      <c r="N2977" s="2" t="s">
        <v>33</v>
      </c>
      <c r="O2977" s="2">
        <v>27.0</v>
      </c>
      <c r="P2977" s="2">
        <v>38.0</v>
      </c>
      <c r="Q2977" s="2">
        <v>8.0</v>
      </c>
      <c r="R2977" s="2">
        <v>0.0</v>
      </c>
      <c r="S2977" s="3" t="s">
        <v>12158</v>
      </c>
      <c r="T2977" s="2" t="s">
        <v>12159</v>
      </c>
      <c r="Y2977" s="4" t="str">
        <f>IFERROR(__xludf.DUMMYFUNCTION("""COMPUTED_VALUE"""),"6.521017")</f>
        <v>6.521017</v>
      </c>
      <c r="Z2977" s="4" t="str">
        <f>IFERROR(__xludf.DUMMYFUNCTION("""COMPUTED_VALUE"""),"3.0621666")</f>
        <v>3.0621666</v>
      </c>
      <c r="AA2977" s="4" t="str">
        <f t="shared" si="1"/>
        <v>Neighbor</v>
      </c>
      <c r="AC2977" s="4">
        <f>IFERROR(__xludf.DUMMYFUNCTION("IFERROR(ABS(O2977-AVERAGE(FILTER(O2977:O7045,AA2977:AA7045=""Neighbor""))) / STDEV(FILTER(O2977:O7045, AA2977:AA7045 =""Neighbor"")), """")"),0.5724026988888841)</f>
        <v>0.5724026989</v>
      </c>
      <c r="AD2977" s="4">
        <f>IFERROR(__xludf.DUMMYFUNCTION("IFERROR(ABS(P2977-AVERAGE(FILTER(O2977:P7045,AA2977:AA7045=""Neighbor""))) / STDEV(FILTER(P2977:P7045, AA2977:AA7045 =""Neighbor"")), """")"),0.254015199936191)</f>
        <v>0.2540151999</v>
      </c>
      <c r="AE2977" s="2">
        <f>IFERROR(__xludf.DUMMYFUNCTION("IFERROR(ABS(Q2977-AVERAGE(FILTER(Q2977:Q7045,AA2977:AA7045=""Neighbor""))) / STDEV(FILTER(Q2977:Q7045, AA2977:AA7045 =""Neighbor"")), """")"),0.43544657677483034)</f>
        <v>0.4354465768</v>
      </c>
      <c r="AF2977" s="2">
        <f>IFERROR(__xludf.DUMMYFUNCTION("IFERROR(ABS(R2977-AVERAGE(FILTER(R2977:R7045,AA2977:AA7045=""Neighbor""))) / STDEV(FILTER(R2977:R7045, AA2977:AA7045 =""Neighbor"")), """")"),0.33663516151361794)</f>
        <v>0.3366351615</v>
      </c>
    </row>
    <row r="2978">
      <c r="A2978" s="2" t="s">
        <v>28</v>
      </c>
      <c r="B2978" s="2" t="s">
        <v>1711</v>
      </c>
      <c r="C2978" s="2" t="s">
        <v>2473</v>
      </c>
      <c r="D2978" s="2" t="s">
        <v>12160</v>
      </c>
      <c r="E2978" s="2" t="s">
        <v>12161</v>
      </c>
      <c r="F2978" s="2">
        <v>71.0</v>
      </c>
      <c r="G2978" s="2">
        <v>140.0</v>
      </c>
      <c r="H2978" s="2" t="b">
        <v>1</v>
      </c>
      <c r="I2978" s="2">
        <v>-1.0</v>
      </c>
      <c r="J2978" s="2" t="b">
        <v>0</v>
      </c>
      <c r="K2978" s="2" t="b">
        <v>0</v>
      </c>
      <c r="L2978" s="2" t="b">
        <v>0</v>
      </c>
      <c r="M2978" s="2" t="b">
        <v>0</v>
      </c>
      <c r="N2978" s="2" t="s">
        <v>33</v>
      </c>
      <c r="O2978" s="2">
        <v>28.0</v>
      </c>
      <c r="P2978" s="2">
        <v>34.0</v>
      </c>
      <c r="Q2978" s="2">
        <v>3.0</v>
      </c>
      <c r="R2978" s="2">
        <v>0.0</v>
      </c>
      <c r="S2978" s="3" t="s">
        <v>12162</v>
      </c>
      <c r="T2978" s="2" t="s">
        <v>12163</v>
      </c>
      <c r="Y2978" s="4" t="str">
        <f>IFERROR(__xludf.DUMMYFUNCTION("""COMPUTED_VALUE"""),"6.521017")</f>
        <v>6.521017</v>
      </c>
      <c r="Z2978" s="4" t="str">
        <f>IFERROR(__xludf.DUMMYFUNCTION("""COMPUTED_VALUE"""),"3.0621666")</f>
        <v>3.0621666</v>
      </c>
      <c r="AA2978" s="4" t="str">
        <f t="shared" si="1"/>
        <v>Not Neighbor</v>
      </c>
      <c r="AC2978" s="4">
        <f>IFERROR(__xludf.DUMMYFUNCTION("IFERROR(ABS(O2978-AVERAGE(FILTER(O2978:O7046,AA2978:AA7046=""Neighbor""))) / STDEV(FILTER(O2978:O7046, AA2978:AA7046 =""Neighbor"")), """")"),0.5426112241053866)</f>
        <v>0.5426112241</v>
      </c>
      <c r="AD2978" s="4">
        <f>IFERROR(__xludf.DUMMYFUNCTION("IFERROR(ABS(P2978-AVERAGE(FILTER(O2978:P7046,AA2978:AA7046=""Neighbor""))) / STDEV(FILTER(P2978:P7046, AA2978:AA7046 =""Neighbor"")), """")"),0.09026109765347325)</f>
        <v>0.09026109765</v>
      </c>
      <c r="AE2978" s="2">
        <f>IFERROR(__xludf.DUMMYFUNCTION("IFERROR(ABS(Q2978-AVERAGE(FILTER(Q2978:Q7046,AA2978:AA7046=""Neighbor""))) / STDEV(FILTER(Q2978:Q7046, AA2978:AA7046 =""Neighbor"")), """")"),0.723103394116904)</f>
        <v>0.7231033941</v>
      </c>
      <c r="AF2978" s="2">
        <f>IFERROR(__xludf.DUMMYFUNCTION("IFERROR(ABS(R2978-AVERAGE(FILTER(R2978:R7046,AA2978:AA7046=""Neighbor""))) / STDEV(FILTER(R2978:R7046, AA2978:AA7046 =""Neighbor"")), """")"),0.33710019465518093)</f>
        <v>0.3371001947</v>
      </c>
    </row>
    <row r="2979">
      <c r="A2979" s="2" t="s">
        <v>28</v>
      </c>
      <c r="B2979" s="2" t="s">
        <v>1711</v>
      </c>
      <c r="C2979" s="2" t="s">
        <v>2473</v>
      </c>
      <c r="D2979" s="2" t="s">
        <v>12164</v>
      </c>
      <c r="E2979" s="2" t="s">
        <v>12165</v>
      </c>
      <c r="F2979" s="2">
        <v>118.0</v>
      </c>
      <c r="G2979" s="2">
        <v>750.0</v>
      </c>
      <c r="H2979" s="2" t="b">
        <v>1</v>
      </c>
      <c r="I2979" s="2">
        <v>-1.0</v>
      </c>
      <c r="J2979" s="2" t="b">
        <v>0</v>
      </c>
      <c r="K2979" s="2" t="b">
        <v>0</v>
      </c>
      <c r="L2979" s="2" t="b">
        <v>0</v>
      </c>
      <c r="M2979" s="2" t="b">
        <v>0</v>
      </c>
      <c r="N2979" s="2" t="s">
        <v>33</v>
      </c>
      <c r="O2979" s="2">
        <v>55.0</v>
      </c>
      <c r="P2979" s="2">
        <v>46.0</v>
      </c>
      <c r="Q2979" s="2">
        <v>11.0</v>
      </c>
      <c r="R2979" s="2">
        <v>0.0</v>
      </c>
      <c r="S2979" s="3" t="s">
        <v>12166</v>
      </c>
      <c r="T2979" s="2" t="s">
        <v>12167</v>
      </c>
      <c r="Y2979" s="4" t="str">
        <f>IFERROR(__xludf.DUMMYFUNCTION("""COMPUTED_VALUE"""),"6.5983682")</f>
        <v>6.5983682</v>
      </c>
      <c r="Z2979" s="4" t="str">
        <f>IFERROR(__xludf.DUMMYFUNCTION("""COMPUTED_VALUE"""),"3.0601241")</f>
        <v>3.0601241</v>
      </c>
      <c r="AA2979" s="4" t="str">
        <f t="shared" si="1"/>
        <v>Not Neighbor</v>
      </c>
      <c r="AC2979" s="4">
        <f>IFERROR(__xludf.DUMMYFUNCTION("IFERROR(ABS(O2979-AVERAGE(FILTER(O2979:O7047,AA2979:AA7047=""Neighbor""))) / STDEV(FILTER(O2979:O7047, AA2979:AA7047 =""Neighbor"")), """")"),0.28724677595659265)</f>
        <v>0.287246776</v>
      </c>
      <c r="AD2979" s="4">
        <f>IFERROR(__xludf.DUMMYFUNCTION("IFERROR(ABS(P2979-AVERAGE(FILTER(O2979:P7047,AA2979:AA7047=""Neighbor""))) / STDEV(FILTER(P2979:P7047, AA2979:AA7047 =""Neighbor"")), """")"),0.5814280858997847)</f>
        <v>0.5814280859</v>
      </c>
      <c r="AE2979" s="2">
        <f>IFERROR(__xludf.DUMMYFUNCTION("IFERROR(ABS(Q2979-AVERAGE(FILTER(Q2979:Q7047,AA2979:AA7047=""Neighbor""))) / STDEV(FILTER(Q2979:Q7047, AA2979:AA7047 =""Neighbor"")), """")"),0.2638813333981119)</f>
        <v>0.2638813334</v>
      </c>
      <c r="AF2979" s="2">
        <f>IFERROR(__xludf.DUMMYFUNCTION("IFERROR(ABS(R2979-AVERAGE(FILTER(R2979:R7047,AA2979:AA7047=""Neighbor""))) / STDEV(FILTER(R2979:R7047, AA2979:AA7047 =""Neighbor"")), """")"),0.33710019465518093)</f>
        <v>0.3371001947</v>
      </c>
    </row>
    <row r="2980">
      <c r="A2980" s="2" t="s">
        <v>28</v>
      </c>
      <c r="B2980" s="2" t="s">
        <v>1711</v>
      </c>
      <c r="C2980" s="2" t="s">
        <v>2473</v>
      </c>
      <c r="D2980" s="2" t="s">
        <v>12168</v>
      </c>
      <c r="E2980" s="2" t="s">
        <v>12169</v>
      </c>
      <c r="F2980" s="2">
        <v>184.0</v>
      </c>
      <c r="G2980" s="2">
        <v>722.0</v>
      </c>
      <c r="H2980" s="2" t="b">
        <v>1</v>
      </c>
      <c r="I2980" s="2">
        <v>-1.0</v>
      </c>
      <c r="J2980" s="2" t="b">
        <v>0</v>
      </c>
      <c r="K2980" s="2" t="b">
        <v>0</v>
      </c>
      <c r="L2980" s="2" t="b">
        <v>0</v>
      </c>
      <c r="M2980" s="2" t="b">
        <v>0</v>
      </c>
      <c r="N2980" s="2" t="s">
        <v>33</v>
      </c>
      <c r="O2980" s="2">
        <v>106.0</v>
      </c>
      <c r="P2980" s="2">
        <v>57.0</v>
      </c>
      <c r="Q2980" s="2">
        <v>10.0</v>
      </c>
      <c r="R2980" s="2">
        <v>0.0</v>
      </c>
      <c r="S2980" s="3" t="s">
        <v>12170</v>
      </c>
      <c r="T2980" s="2" t="s">
        <v>12171</v>
      </c>
      <c r="Y2980" s="4" t="str">
        <f>IFERROR(__xludf.DUMMYFUNCTION("""COMPUTED_VALUE"""),"6.5902612")</f>
        <v>6.5902612</v>
      </c>
      <c r="Z2980" s="4" t="str">
        <f>IFERROR(__xludf.DUMMYFUNCTION("""COMPUTED_VALUE"""),"3.0776568")</f>
        <v>3.0776568</v>
      </c>
      <c r="AA2980" s="4" t="str">
        <f t="shared" si="1"/>
        <v>Not Neighbor</v>
      </c>
      <c r="AC2980" s="4">
        <f>IFERROR(__xludf.DUMMYFUNCTION("IFERROR(ABS(O2980-AVERAGE(FILTER(O2980:O7048,AA2980:AA7048=""Neighbor""))) / STDEV(FILTER(O2980:O7048, AA2980:AA7048 =""Neighbor"")), """")"),1.8547563316292202)</f>
        <v>1.854756332</v>
      </c>
      <c r="AD2980" s="4">
        <f>IFERROR(__xludf.DUMMYFUNCTION("IFERROR(ABS(P2980-AVERAGE(FILTER(O2980:P7048,AA2980:AA7048=""Neighbor""))) / STDEV(FILTER(P2980:P7048, AA2980:AA7048 =""Neighbor"")), """")"),1.0316644917922368)</f>
        <v>1.031664492</v>
      </c>
      <c r="AE2980" s="2">
        <f>IFERROR(__xludf.DUMMYFUNCTION("IFERROR(ABS(Q2980-AVERAGE(FILTER(Q2980:Q7048,AA2980:AA7048=""Neighbor""))) / STDEV(FILTER(Q2980:Q7048, AA2980:AA7048 =""Neighbor"")), """")"),0.3212840909879609)</f>
        <v>0.321284091</v>
      </c>
      <c r="AF2980" s="2">
        <f>IFERROR(__xludf.DUMMYFUNCTION("IFERROR(ABS(R2980-AVERAGE(FILTER(R2980:R7048,AA2980:AA7048=""Neighbor""))) / STDEV(FILTER(R2980:R7048, AA2980:AA7048 =""Neighbor"")), """")"),0.33710019465518093)</f>
        <v>0.3371001947</v>
      </c>
    </row>
    <row r="2981">
      <c r="A2981" s="2" t="s">
        <v>28</v>
      </c>
      <c r="B2981" s="2" t="s">
        <v>1711</v>
      </c>
      <c r="C2981" s="2" t="s">
        <v>2473</v>
      </c>
      <c r="D2981" s="2" t="s">
        <v>12172</v>
      </c>
      <c r="E2981" s="2" t="s">
        <v>12173</v>
      </c>
      <c r="F2981" s="2">
        <v>188.0</v>
      </c>
      <c r="G2981" s="2">
        <v>356.0</v>
      </c>
      <c r="H2981" s="2" t="b">
        <v>1</v>
      </c>
      <c r="I2981" s="2">
        <v>-1.0</v>
      </c>
      <c r="J2981" s="2" t="b">
        <v>0</v>
      </c>
      <c r="K2981" s="2" t="b">
        <v>0</v>
      </c>
      <c r="L2981" s="2" t="b">
        <v>0</v>
      </c>
      <c r="M2981" s="2" t="b">
        <v>0</v>
      </c>
      <c r="N2981" s="2" t="s">
        <v>33</v>
      </c>
      <c r="O2981" s="2">
        <v>72.0</v>
      </c>
      <c r="P2981" s="2">
        <v>83.0</v>
      </c>
      <c r="Q2981" s="2">
        <v>12.0</v>
      </c>
      <c r="R2981" s="2">
        <v>1.0</v>
      </c>
      <c r="S2981" s="3" t="s">
        <v>12174</v>
      </c>
      <c r="T2981" s="2" t="s">
        <v>12175</v>
      </c>
      <c r="Y2981" s="4" t="str">
        <f>IFERROR(__xludf.DUMMYFUNCTION("""COMPUTED_VALUE"""),"6.5983682")</f>
        <v>6.5983682</v>
      </c>
      <c r="Z2981" s="4" t="str">
        <f>IFERROR(__xludf.DUMMYFUNCTION("""COMPUTED_VALUE"""),"3.0601241")</f>
        <v>3.0601241</v>
      </c>
      <c r="AA2981" s="4" t="str">
        <f t="shared" si="1"/>
        <v>Not Neighbor</v>
      </c>
      <c r="AC2981" s="4">
        <f>IFERROR(__xludf.DUMMYFUNCTION("IFERROR(ABS(O2981-AVERAGE(FILTER(O2981:O7049,AA2981:AA7049=""Neighbor""))) / STDEV(FILTER(O2981:O7049, AA2981:AA7049 =""Neighbor"")), """")"),0.8097499611808018)</f>
        <v>0.8097499612</v>
      </c>
      <c r="AD2981" s="4">
        <f>IFERROR(__xludf.DUMMYFUNCTION("IFERROR(ABS(P2981-AVERAGE(FILTER(O2981:P7049,AA2981:AA7049=""Neighbor""))) / STDEV(FILTER(P2981:P7049, AA2981:AA7049 =""Neighbor"")), """")"),2.0958596329925787)</f>
        <v>2.095859633</v>
      </c>
      <c r="AE2981" s="2">
        <f>IFERROR(__xludf.DUMMYFUNCTION("IFERROR(ABS(Q2981-AVERAGE(FILTER(Q2981:Q7049,AA2981:AA7049=""Neighbor""))) / STDEV(FILTER(Q2981:Q7049, AA2981:AA7049 =""Neighbor"")), """")"),0.20647857580826287)</f>
        <v>0.2064785758</v>
      </c>
      <c r="AF2981" s="2">
        <f>IFERROR(__xludf.DUMMYFUNCTION("IFERROR(ABS(R2981-AVERAGE(FILTER(R2981:R7049,AA2981:AA7049=""Neighbor""))) / STDEV(FILTER(R2981:R7049, AA2981:AA7049 =""Neighbor"")), """")"),0.7557568880172606)</f>
        <v>0.755756888</v>
      </c>
    </row>
    <row r="2982">
      <c r="A2982" s="2" t="s">
        <v>28</v>
      </c>
      <c r="B2982" s="2" t="s">
        <v>1711</v>
      </c>
      <c r="C2982" s="2" t="s">
        <v>2473</v>
      </c>
      <c r="D2982" s="2" t="s">
        <v>12176</v>
      </c>
      <c r="E2982" s="2" t="s">
        <v>12177</v>
      </c>
      <c r="F2982" s="2">
        <v>148.0</v>
      </c>
      <c r="G2982" s="2">
        <v>529.0</v>
      </c>
      <c r="H2982" s="2" t="b">
        <v>1</v>
      </c>
      <c r="I2982" s="2">
        <v>-1.0</v>
      </c>
      <c r="J2982" s="2" t="b">
        <v>0</v>
      </c>
      <c r="K2982" s="2" t="b">
        <v>0</v>
      </c>
      <c r="L2982" s="2" t="b">
        <v>0</v>
      </c>
      <c r="M2982" s="2" t="b">
        <v>0</v>
      </c>
      <c r="N2982" s="2" t="s">
        <v>33</v>
      </c>
      <c r="O2982" s="2">
        <v>65.0</v>
      </c>
      <c r="P2982" s="2">
        <v>45.0</v>
      </c>
      <c r="Q2982" s="2">
        <v>31.0</v>
      </c>
      <c r="R2982" s="2">
        <v>0.0</v>
      </c>
      <c r="S2982" s="3" t="s">
        <v>12178</v>
      </c>
      <c r="T2982" s="2" t="s">
        <v>12179</v>
      </c>
      <c r="Y2982" s="4" t="str">
        <f>IFERROR(__xludf.DUMMYFUNCTION("""COMPUTED_VALUE"""),"6.5902612")</f>
        <v>6.5902612</v>
      </c>
      <c r="Z2982" s="4" t="str">
        <f>IFERROR(__xludf.DUMMYFUNCTION("""COMPUTED_VALUE"""),"3.0776568")</f>
        <v>3.0776568</v>
      </c>
      <c r="AA2982" s="4" t="str">
        <f t="shared" si="1"/>
        <v>Neighbor</v>
      </c>
      <c r="AC2982" s="4">
        <f>IFERROR(__xludf.DUMMYFUNCTION("IFERROR(ABS(O2982-AVERAGE(FILTER(O2982:O7050,AA2982:AA7050=""Neighbor""))) / STDEV(FILTER(O2982:O7050, AA2982:AA7050 =""Neighbor"")), """")"),0.5946015907943627)</f>
        <v>0.5946015908</v>
      </c>
      <c r="AD2982" s="4">
        <f>IFERROR(__xludf.DUMMYFUNCTION("IFERROR(ABS(P2982-AVERAGE(FILTER(O2982:P7050,AA2982:AA7050=""Neighbor""))) / STDEV(FILTER(P2982:P7050, AA2982:AA7050 =""Neighbor"")), """")"),0.5404975035459254)</f>
        <v>0.5404975035</v>
      </c>
      <c r="AE2982" s="2">
        <f>IFERROR(__xludf.DUMMYFUNCTION("IFERROR(ABS(Q2982-AVERAGE(FILTER(Q2982:Q7050,AA2982:AA7050=""Neighbor""))) / STDEV(FILTER(Q2982:Q7050, AA2982:AA7050 =""Neighbor"")), """")"),0.8841738183988684)</f>
        <v>0.8841738184</v>
      </c>
      <c r="AF2982" s="2">
        <f>IFERROR(__xludf.DUMMYFUNCTION("IFERROR(ABS(R2982-AVERAGE(FILTER(R2982:R7050,AA2982:AA7050=""Neighbor""))) / STDEV(FILTER(R2982:R7050, AA2982:AA7050 =""Neighbor"")), """")"),0.33710019465518093)</f>
        <v>0.3371001947</v>
      </c>
    </row>
    <row r="2983">
      <c r="A2983" s="2" t="s">
        <v>28</v>
      </c>
      <c r="B2983" s="2" t="s">
        <v>1711</v>
      </c>
      <c r="C2983" s="2" t="s">
        <v>2473</v>
      </c>
      <c r="D2983" s="2" t="s">
        <v>12180</v>
      </c>
      <c r="E2983" s="2" t="s">
        <v>12181</v>
      </c>
      <c r="F2983" s="2">
        <v>206.0</v>
      </c>
      <c r="G2983" s="2">
        <v>359.0</v>
      </c>
      <c r="H2983" s="2" t="b">
        <v>1</v>
      </c>
      <c r="I2983" s="2">
        <v>-1.0</v>
      </c>
      <c r="J2983" s="2" t="b">
        <v>0</v>
      </c>
      <c r="K2983" s="2" t="b">
        <v>0</v>
      </c>
      <c r="L2983" s="2" t="b">
        <v>0</v>
      </c>
      <c r="M2983" s="2" t="b">
        <v>0</v>
      </c>
      <c r="N2983" s="2" t="s">
        <v>33</v>
      </c>
      <c r="O2983" s="2">
        <v>69.0</v>
      </c>
      <c r="P2983" s="2">
        <v>72.0</v>
      </c>
      <c r="Q2983" s="2">
        <v>39.0</v>
      </c>
      <c r="R2983" s="2">
        <v>1.0</v>
      </c>
      <c r="S2983" s="3" t="s">
        <v>12182</v>
      </c>
      <c r="T2983" s="2" t="s">
        <v>12183</v>
      </c>
      <c r="Y2983" s="4" t="str">
        <f>IFERROR(__xludf.DUMMYFUNCTION("""COMPUTED_VALUE"""),"6.5902612")</f>
        <v>6.5902612</v>
      </c>
      <c r="Z2983" s="4" t="str">
        <f>IFERROR(__xludf.DUMMYFUNCTION("""COMPUTED_VALUE"""),"3.0776568")</f>
        <v>3.0776568</v>
      </c>
      <c r="AA2983" s="4" t="str">
        <f t="shared" si="1"/>
        <v>Not Neighbor</v>
      </c>
      <c r="AC2983" s="4">
        <f>IFERROR(__xludf.DUMMYFUNCTION("IFERROR(ABS(O2983-AVERAGE(FILTER(O2983:O7051,AA2983:AA7051=""Neighbor""))) / STDEV(FILTER(O2983:O7051, AA2983:AA7051 =""Neighbor"")), """")"),0.7184467902749929)</f>
        <v>0.7184467903</v>
      </c>
      <c r="AD2983" s="4">
        <f>IFERROR(__xludf.DUMMYFUNCTION("IFERROR(ABS(P2983-AVERAGE(FILTER(O2983:P7051,AA2983:AA7051=""Neighbor""))) / STDEV(FILTER(P2983:P7051, AA2983:AA7051 =""Neighbor"")), """")"),1.6484662721171448)</f>
        <v>1.648466272</v>
      </c>
      <c r="AE2983" s="2">
        <f>IFERROR(__xludf.DUMMYFUNCTION("IFERROR(ABS(Q2983-AVERAGE(FILTER(Q2983:Q7051,AA2983:AA7051=""Neighbor""))) / STDEV(FILTER(Q2983:Q7051, AA2983:AA7051 =""Neighbor"")), """")"),1.3452371536647054)</f>
        <v>1.345237154</v>
      </c>
      <c r="AF2983" s="2">
        <f>IFERROR(__xludf.DUMMYFUNCTION("IFERROR(ABS(R2983-AVERAGE(FILTER(R2983:R7051,AA2983:AA7051=""Neighbor""))) / STDEV(FILTER(R2983:R7051, AA2983:AA7051 =""Neighbor"")), """")"),0.7540814804671725)</f>
        <v>0.7540814805</v>
      </c>
    </row>
    <row r="2984">
      <c r="A2984" s="2" t="s">
        <v>28</v>
      </c>
      <c r="B2984" s="2" t="s">
        <v>1711</v>
      </c>
      <c r="C2984" s="2" t="s">
        <v>2473</v>
      </c>
      <c r="D2984" s="2" t="s">
        <v>12184</v>
      </c>
      <c r="E2984" s="2" t="s">
        <v>12185</v>
      </c>
      <c r="F2984" s="2">
        <v>231.0</v>
      </c>
      <c r="G2984" s="2">
        <v>750.0</v>
      </c>
      <c r="H2984" s="2" t="b">
        <v>1</v>
      </c>
      <c r="I2984" s="2">
        <v>-1.0</v>
      </c>
      <c r="J2984" s="2" t="b">
        <v>0</v>
      </c>
      <c r="K2984" s="2" t="b">
        <v>0</v>
      </c>
      <c r="L2984" s="2" t="b">
        <v>0</v>
      </c>
      <c r="M2984" s="2" t="b">
        <v>0</v>
      </c>
      <c r="N2984" s="2" t="s">
        <v>33</v>
      </c>
      <c r="O2984" s="2">
        <v>64.0</v>
      </c>
      <c r="P2984" s="2">
        <v>144.0</v>
      </c>
      <c r="Q2984" s="2">
        <v>13.0</v>
      </c>
      <c r="R2984" s="2">
        <v>1.0</v>
      </c>
      <c r="S2984" s="3" t="s">
        <v>12186</v>
      </c>
      <c r="T2984" s="2" t="s">
        <v>12187</v>
      </c>
      <c r="Y2984" s="4" t="str">
        <f>IFERROR(__xludf.DUMMYFUNCTION("""COMPUTED_VALUE"""),"6.5101887")</f>
        <v>6.5101887</v>
      </c>
      <c r="Z2984" s="4" t="str">
        <f>IFERROR(__xludf.DUMMYFUNCTION("""COMPUTED_VALUE"""),"3.0926551")</f>
        <v>3.0926551</v>
      </c>
      <c r="AA2984" s="4" t="str">
        <f t="shared" si="1"/>
        <v>Neighbor</v>
      </c>
      <c r="AC2984" s="4">
        <f>IFERROR(__xludf.DUMMYFUNCTION("IFERROR(ABS(O2984-AVERAGE(FILTER(O2984:O7052,AA2984:AA7052=""Neighbor""))) / STDEV(FILTER(O2984:O7052, AA2984:AA7052 =""Neighbor"")), """")"),0.5648932443309186)</f>
        <v>0.5648932443</v>
      </c>
      <c r="AD2984" s="4">
        <f>IFERROR(__xludf.DUMMYFUNCTION("IFERROR(ABS(P2984-AVERAGE(FILTER(O2984:P7052,AA2984:AA7052=""Neighbor""))) / STDEV(FILTER(P2984:P7052, AA2984:AA7052 =""Neighbor"")), """")"),4.596316645816702)</f>
        <v>4.596316646</v>
      </c>
      <c r="AE2984" s="2">
        <f>IFERROR(__xludf.DUMMYFUNCTION("IFERROR(ABS(Q2984-AVERAGE(FILTER(Q2984:Q7052,AA2984:AA7052=""Neighbor""))) / STDEV(FILTER(Q2984:Q7052, AA2984:AA7052 =""Neighbor"")), """")"),0.1468312042191477)</f>
        <v>0.1468312042</v>
      </c>
      <c r="AF2984" s="2">
        <f>IFERROR(__xludf.DUMMYFUNCTION("IFERROR(ABS(R2984-AVERAGE(FILTER(R2984:R7052,AA2984:AA7052=""Neighbor""))) / STDEV(FILTER(R2984:R7052, AA2984:AA7052 =""Neighbor"")), """")"),0.7540814804671725)</f>
        <v>0.7540814805</v>
      </c>
    </row>
    <row r="2985">
      <c r="A2985" s="2" t="s">
        <v>28</v>
      </c>
      <c r="B2985" s="2" t="s">
        <v>1711</v>
      </c>
      <c r="C2985" s="2" t="s">
        <v>2473</v>
      </c>
      <c r="D2985" s="2" t="s">
        <v>12188</v>
      </c>
      <c r="E2985" s="2" t="s">
        <v>12189</v>
      </c>
      <c r="F2985" s="2">
        <v>200.0</v>
      </c>
      <c r="G2985" s="2">
        <v>527.0</v>
      </c>
      <c r="H2985" s="2" t="b">
        <v>1</v>
      </c>
      <c r="I2985" s="2">
        <v>-1.0</v>
      </c>
      <c r="J2985" s="2" t="b">
        <v>0</v>
      </c>
      <c r="K2985" s="2" t="b">
        <v>0</v>
      </c>
      <c r="L2985" s="2" t="b">
        <v>0</v>
      </c>
      <c r="M2985" s="2" t="b">
        <v>0</v>
      </c>
      <c r="N2985" s="2" t="s">
        <v>33</v>
      </c>
      <c r="O2985" s="2">
        <v>65.0</v>
      </c>
      <c r="P2985" s="2">
        <v>118.0</v>
      </c>
      <c r="Q2985" s="2">
        <v>7.0</v>
      </c>
      <c r="R2985" s="2">
        <v>0.0</v>
      </c>
      <c r="S2985" s="3" t="s">
        <v>12190</v>
      </c>
      <c r="T2985" s="2" t="s">
        <v>12191</v>
      </c>
      <c r="Y2985" s="4" t="str">
        <f>IFERROR(__xludf.DUMMYFUNCTION("""COMPUTED_VALUE"""),"6.5061679")</f>
        <v>6.5061679</v>
      </c>
      <c r="Z2985" s="4" t="str">
        <f>IFERROR(__xludf.DUMMYFUNCTION("""COMPUTED_VALUE"""),"3.0914401")</f>
        <v>3.0914401</v>
      </c>
      <c r="AA2985" s="4" t="str">
        <f t="shared" si="1"/>
        <v>Not Neighbor</v>
      </c>
      <c r="AC2985" s="4">
        <f>IFERROR(__xludf.DUMMYFUNCTION("IFERROR(ABS(O2985-AVERAGE(FILTER(O2985:O7053,AA2985:AA7053=""Neighbor""))) / STDEV(FILTER(O2985:O7053, AA2985:AA7053 =""Neighbor"")), """")"),0.5965080273469062)</f>
        <v>0.5965080273</v>
      </c>
      <c r="AD2985" s="4">
        <f>IFERROR(__xludf.DUMMYFUNCTION("IFERROR(ABS(P2985-AVERAGE(FILTER(O2985:P7053,AA2985:AA7053=""Neighbor""))) / STDEV(FILTER(P2985:P7053, AA2985:AA7053 =""Neighbor"")), """")"),3.6591854128313903)</f>
        <v>3.659185413</v>
      </c>
      <c r="AE2985" s="2">
        <f>IFERROR(__xludf.DUMMYFUNCTION("IFERROR(ABS(Q2985-AVERAGE(FILTER(Q2985:Q7053,AA2985:AA7053=""Neighbor""))) / STDEV(FILTER(Q2985:Q7053, AA2985:AA7053 =""Neighbor"")), """")"),0.49092022595220214)</f>
        <v>0.490920226</v>
      </c>
      <c r="AF2985" s="2">
        <f>IFERROR(__xludf.DUMMYFUNCTION("IFERROR(ABS(R2985-AVERAGE(FILTER(R2985:R7053,AA2985:AA7053=""Neighbor""))) / STDEV(FILTER(R2985:R7053, AA2985:AA7053 =""Neighbor"")), """")"),0.33550124744324483)</f>
        <v>0.3355012474</v>
      </c>
    </row>
    <row r="2986">
      <c r="A2986" s="2" t="s">
        <v>28</v>
      </c>
      <c r="B2986" s="2" t="s">
        <v>1711</v>
      </c>
      <c r="C2986" s="2" t="s">
        <v>2473</v>
      </c>
      <c r="D2986" s="2" t="s">
        <v>12192</v>
      </c>
      <c r="E2986" s="2" t="s">
        <v>12193</v>
      </c>
      <c r="F2986" s="2">
        <v>285.0</v>
      </c>
      <c r="G2986" s="2">
        <v>750.0</v>
      </c>
      <c r="H2986" s="2" t="b">
        <v>1</v>
      </c>
      <c r="I2986" s="2">
        <v>-1.0</v>
      </c>
      <c r="J2986" s="2" t="b">
        <v>0</v>
      </c>
      <c r="K2986" s="2" t="b">
        <v>0</v>
      </c>
      <c r="L2986" s="2" t="b">
        <v>0</v>
      </c>
      <c r="M2986" s="2" t="b">
        <v>0</v>
      </c>
      <c r="N2986" s="2" t="s">
        <v>33</v>
      </c>
      <c r="O2986" s="2">
        <v>154.0</v>
      </c>
      <c r="P2986" s="2">
        <v>104.0</v>
      </c>
      <c r="Q2986" s="2">
        <v>12.0</v>
      </c>
      <c r="R2986" s="2">
        <v>0.0</v>
      </c>
      <c r="S2986" s="3" t="s">
        <v>12194</v>
      </c>
      <c r="T2986" s="2" t="s">
        <v>12195</v>
      </c>
      <c r="Y2986" s="4" t="str">
        <f>IFERROR(__xludf.DUMMYFUNCTION("""COMPUTED_VALUE"""),"7.5628964")</f>
        <v>7.5628964</v>
      </c>
      <c r="Z2986" s="4" t="str">
        <f>IFERROR(__xludf.DUMMYFUNCTION("""COMPUTED_VALUE"""),"4.5199593")</f>
        <v>4.5199593</v>
      </c>
      <c r="AA2986" s="4" t="str">
        <f t="shared" si="1"/>
        <v>Not Neighbor</v>
      </c>
      <c r="AC2986" s="4">
        <f>IFERROR(__xludf.DUMMYFUNCTION("IFERROR(ABS(O2986-AVERAGE(FILTER(O2986:O7054,AA2986:AA7054=""Neighbor""))) / STDEV(FILTER(O2986:O7054, AA2986:AA7054 =""Neighbor"")), """")"),3.3274346957560965)</f>
        <v>3.327434696</v>
      </c>
      <c r="AD2986" s="4">
        <f>IFERROR(__xludf.DUMMYFUNCTION("IFERROR(ABS(P2986-AVERAGE(FILTER(O2986:P7054,AA2986:AA7054=""Neighbor""))) / STDEV(FILTER(P2986:P7054, AA2986:AA7054 =""Neighbor"")), """")"),3.0665619347934814)</f>
        <v>3.066561935</v>
      </c>
      <c r="AE2986" s="2">
        <f>IFERROR(__xludf.DUMMYFUNCTION("IFERROR(ABS(Q2986-AVERAGE(FILTER(Q2986:Q7054,AA2986:AA7054=""Neighbor""))) / STDEV(FILTER(Q2986:Q7054, AA2986:AA7054 =""Neighbor"")), """")"),0.20433515534379457)</f>
        <v>0.2043351553</v>
      </c>
      <c r="AF2986" s="2">
        <f>IFERROR(__xludf.DUMMYFUNCTION("IFERROR(ABS(R2986-AVERAGE(FILTER(R2986:R7054,AA2986:AA7054=""Neighbor""))) / STDEV(FILTER(R2986:R7054, AA2986:AA7054 =""Neighbor"")), """")"),0.33550124744324483)</f>
        <v>0.3355012474</v>
      </c>
    </row>
    <row r="2987">
      <c r="A2987" s="2" t="s">
        <v>28</v>
      </c>
      <c r="B2987" s="2" t="s">
        <v>1711</v>
      </c>
      <c r="C2987" s="2" t="s">
        <v>1712</v>
      </c>
      <c r="D2987" s="2" t="s">
        <v>12196</v>
      </c>
      <c r="E2987" s="2" t="s">
        <v>12197</v>
      </c>
      <c r="F2987" s="2">
        <v>242.0</v>
      </c>
      <c r="G2987" s="2">
        <v>750.0</v>
      </c>
      <c r="H2987" s="2" t="b">
        <v>1</v>
      </c>
      <c r="I2987" s="2">
        <v>-1.0</v>
      </c>
      <c r="J2987" s="2" t="b">
        <v>0</v>
      </c>
      <c r="K2987" s="2" t="b">
        <v>0</v>
      </c>
      <c r="L2987" s="2" t="b">
        <v>0</v>
      </c>
      <c r="M2987" s="2" t="b">
        <v>0</v>
      </c>
      <c r="N2987" s="2" t="s">
        <v>33</v>
      </c>
      <c r="O2987" s="2">
        <v>160.0</v>
      </c>
      <c r="P2987" s="2">
        <v>47.0</v>
      </c>
      <c r="Q2987" s="2">
        <v>24.0</v>
      </c>
      <c r="R2987" s="2">
        <v>1.0</v>
      </c>
      <c r="S2987" s="3" t="s">
        <v>12198</v>
      </c>
      <c r="T2987" s="2" t="s">
        <v>12199</v>
      </c>
      <c r="Y2987" s="4" t="str">
        <f>IFERROR(__xludf.DUMMYFUNCTION("""COMPUTED_VALUE"""),"6.6818083")</f>
        <v>6.6818083</v>
      </c>
      <c r="Z2987" s="4" t="str">
        <f>IFERROR(__xludf.DUMMYFUNCTION("""COMPUTED_VALUE"""),"3.2282368")</f>
        <v>3.2282368</v>
      </c>
      <c r="AA2987" s="4" t="str">
        <f t="shared" si="1"/>
        <v>Neighbor</v>
      </c>
      <c r="AC2987" s="4">
        <f>IFERROR(__xludf.DUMMYFUNCTION("IFERROR(ABS(O2987-AVERAGE(FILTER(O2987:O7055,AA2987:AA7055=""Neighbor""))) / STDEV(FILTER(O2987:O7055, AA2987:AA7055 =""Neighbor"")), """")"),3.5115421116039074)</f>
        <v>3.511542112</v>
      </c>
      <c r="AD2987" s="4">
        <f>IFERROR(__xludf.DUMMYFUNCTION("IFERROR(ABS(P2987-AVERAGE(FILTER(O2987:P7055,AA2987:AA7055=""Neighbor""))) / STDEV(FILTER(P2987:P7055, AA2987:AA7055 =""Neighbor"")), """")"),0.653737774210568)</f>
        <v>0.6537377742</v>
      </c>
      <c r="AE2987" s="2">
        <f>IFERROR(__xludf.DUMMYFUNCTION("IFERROR(ABS(Q2987-AVERAGE(FILTER(Q2987:Q7055,AA2987:AA7055=""Neighbor""))) / STDEV(FILTER(Q2987:Q7055, AA2987:AA7055 =""Neighbor"")), """")"),0.4834690141163836)</f>
        <v>0.4834690141</v>
      </c>
      <c r="AF2987" s="2">
        <f>IFERROR(__xludf.DUMMYFUNCTION("IFERROR(ABS(R2987-AVERAGE(FILTER(R2987:R7055,AA2987:AA7055=""Neighbor""))) / STDEV(FILTER(R2987:R7055, AA2987:AA7055 =""Neighbor"")), """")"),0.7555597198518603)</f>
        <v>0.7555597199</v>
      </c>
    </row>
    <row r="2988">
      <c r="A2988" s="2" t="s">
        <v>28</v>
      </c>
      <c r="B2988" s="2" t="s">
        <v>1711</v>
      </c>
      <c r="C2988" s="2" t="s">
        <v>1712</v>
      </c>
      <c r="D2988" s="2" t="s">
        <v>12200</v>
      </c>
      <c r="E2988" s="2" t="s">
        <v>12201</v>
      </c>
      <c r="F2988" s="2">
        <v>194.0</v>
      </c>
      <c r="G2988" s="2">
        <v>349.0</v>
      </c>
      <c r="H2988" s="2" t="b">
        <v>1</v>
      </c>
      <c r="I2988" s="2">
        <v>-1.0</v>
      </c>
      <c r="J2988" s="2" t="b">
        <v>0</v>
      </c>
      <c r="K2988" s="2" t="b">
        <v>0</v>
      </c>
      <c r="L2988" s="2" t="b">
        <v>0</v>
      </c>
      <c r="M2988" s="2" t="b">
        <v>0</v>
      </c>
      <c r="N2988" s="2" t="s">
        <v>33</v>
      </c>
      <c r="O2988" s="2">
        <v>104.0</v>
      </c>
      <c r="P2988" s="2">
        <v>30.0</v>
      </c>
      <c r="Q2988" s="2">
        <v>33.0</v>
      </c>
      <c r="R2988" s="2">
        <v>0.0</v>
      </c>
      <c r="S2988" s="3" t="s">
        <v>12202</v>
      </c>
      <c r="T2988" s="2" t="s">
        <v>12203</v>
      </c>
      <c r="Y2988" s="4" t="str">
        <f>IFERROR(__xludf.DUMMYFUNCTION("""COMPUTED_VALUE"""),"6.6818083")</f>
        <v>6.6818083</v>
      </c>
      <c r="Z2988" s="4" t="str">
        <f>IFERROR(__xludf.DUMMYFUNCTION("""COMPUTED_VALUE"""),"3.2282368")</f>
        <v>3.2282368</v>
      </c>
      <c r="AA2988" s="4" t="str">
        <f t="shared" si="1"/>
        <v>Neighbor</v>
      </c>
      <c r="AC2988" s="4">
        <f>IFERROR(__xludf.DUMMYFUNCTION("IFERROR(ABS(O2988-AVERAGE(FILTER(O2988:O7056,AA2988:AA7056=""Neighbor""))) / STDEV(FILTER(O2988:O7056, AA2988:AA7056 =""Neighbor"")), """")"),1.8282924635321132)</f>
        <v>1.828292464</v>
      </c>
      <c r="AD2988" s="4">
        <f>IFERROR(__xludf.DUMMYFUNCTION("IFERROR(ABS(P2988-AVERAGE(FILTER(O2988:P7056,AA2988:AA7056=""Neighbor""))) / STDEV(FILTER(P2988:P7056, AA2988:AA7056 =""Neighbor"")), """")"),0.05828472636148345)</f>
        <v>0.05828472636</v>
      </c>
      <c r="AE2988" s="2">
        <f>IFERROR(__xludf.DUMMYFUNCTION("IFERROR(ABS(Q2988-AVERAGE(FILTER(Q2988:Q7056,AA2988:AA7056=""Neighbor""))) / STDEV(FILTER(Q2988:Q7056, AA2988:AA7056 =""Neighbor"")), """")"),0.9995728165301211)</f>
        <v>0.9995728165</v>
      </c>
      <c r="AF2988" s="2">
        <f>IFERROR(__xludf.DUMMYFUNCTION("IFERROR(ABS(R2988-AVERAGE(FILTER(R2988:R7056,AA2988:AA7056=""Neighbor""))) / STDEV(FILTER(R2988:R7056, AA2988:AA7056 =""Neighbor"")), """")"),0.33342850769499993)</f>
        <v>0.3334285077</v>
      </c>
    </row>
    <row r="2989">
      <c r="A2989" s="2" t="s">
        <v>28</v>
      </c>
      <c r="B2989" s="2" t="s">
        <v>1711</v>
      </c>
      <c r="C2989" s="2" t="s">
        <v>1712</v>
      </c>
      <c r="D2989" s="2" t="s">
        <v>12204</v>
      </c>
      <c r="E2989" s="2" t="s">
        <v>12205</v>
      </c>
      <c r="F2989" s="2">
        <v>79.0</v>
      </c>
      <c r="G2989" s="2">
        <v>113.0</v>
      </c>
      <c r="H2989" s="2" t="b">
        <v>1</v>
      </c>
      <c r="I2989" s="2">
        <v>-1.0</v>
      </c>
      <c r="J2989" s="2" t="b">
        <v>0</v>
      </c>
      <c r="K2989" s="2" t="b">
        <v>0</v>
      </c>
      <c r="L2989" s="2" t="b">
        <v>0</v>
      </c>
      <c r="M2989" s="2" t="b">
        <v>0</v>
      </c>
      <c r="N2989" s="2" t="s">
        <v>33</v>
      </c>
      <c r="O2989" s="2">
        <v>39.0</v>
      </c>
      <c r="P2989" s="2">
        <v>29.0</v>
      </c>
      <c r="Q2989" s="2">
        <v>8.0</v>
      </c>
      <c r="R2989" s="2">
        <v>0.0</v>
      </c>
      <c r="S2989" s="3" t="s">
        <v>12206</v>
      </c>
      <c r="T2989" s="2" t="s">
        <v>12207</v>
      </c>
      <c r="Y2989" s="4" t="str">
        <f>IFERROR(__xludf.DUMMYFUNCTION("""COMPUTED_VALUE"""),"6.68442")</f>
        <v>6.68442</v>
      </c>
      <c r="Z2989" s="4" t="str">
        <f>IFERROR(__xludf.DUMMYFUNCTION("""COMPUTED_VALUE"""),"3.2269192")</f>
        <v>3.2269192</v>
      </c>
      <c r="AA2989" s="4" t="str">
        <f t="shared" si="1"/>
        <v>Neighbor</v>
      </c>
      <c r="AC2989" s="4">
        <f>IFERROR(__xludf.DUMMYFUNCTION("IFERROR(ABS(O2989-AVERAGE(FILTER(O2989:O7057,AA2989:AA7057=""Neighbor""))) / STDEV(FILTER(O2989:O7057, AA2989:AA7057 =""Neighbor"")), """")"),0.19127121380082332)</f>
        <v>0.1912712138</v>
      </c>
      <c r="AD2989" s="4">
        <f>IFERROR(__xludf.DUMMYFUNCTION("IFERROR(ABS(P2989-AVERAGE(FILTER(O2989:P7057,AA2989:AA7057=""Neighbor""))) / STDEV(FILTER(P2989:P7057, AA2989:AA7057 =""Neighbor"")), """")"),0.09676566402862735)</f>
        <v>0.09676566403</v>
      </c>
      <c r="AE2989" s="2">
        <f>IFERROR(__xludf.DUMMYFUNCTION("IFERROR(ABS(Q2989-AVERAGE(FILTER(Q2989:Q7057,AA2989:AA7057=""Neighbor""))) / STDEV(FILTER(Q2989:Q7057, AA2989:AA7057 =""Neighbor"")), """")"),0.4294655984176616)</f>
        <v>0.4294655984</v>
      </c>
      <c r="AF2989" s="2">
        <f>IFERROR(__xludf.DUMMYFUNCTION("IFERROR(ABS(R2989-AVERAGE(FILTER(R2989:R7057,AA2989:AA7057=""Neighbor""))) / STDEV(FILTER(R2989:R7057, AA2989:AA7057 =""Neighbor"")), """")"),0.3338928252594904)</f>
        <v>0.3338928253</v>
      </c>
    </row>
    <row r="2990">
      <c r="A2990" s="2" t="s">
        <v>28</v>
      </c>
      <c r="B2990" s="2" t="s">
        <v>1711</v>
      </c>
      <c r="C2990" s="2" t="s">
        <v>1712</v>
      </c>
      <c r="D2990" s="2" t="s">
        <v>12208</v>
      </c>
      <c r="E2990" s="2" t="s">
        <v>12209</v>
      </c>
      <c r="F2990" s="2">
        <v>76.0</v>
      </c>
      <c r="G2990" s="2">
        <v>93.0</v>
      </c>
      <c r="H2990" s="2" t="b">
        <v>1</v>
      </c>
      <c r="I2990" s="2">
        <v>-1.0</v>
      </c>
      <c r="J2990" s="2" t="b">
        <v>0</v>
      </c>
      <c r="K2990" s="2" t="b">
        <v>0</v>
      </c>
      <c r="L2990" s="2" t="b">
        <v>0</v>
      </c>
      <c r="M2990" s="2" t="b">
        <v>0</v>
      </c>
      <c r="N2990" s="2" t="s">
        <v>33</v>
      </c>
      <c r="O2990" s="2">
        <v>50.0</v>
      </c>
      <c r="P2990" s="2">
        <v>11.0</v>
      </c>
      <c r="Q2990" s="2">
        <v>4.0</v>
      </c>
      <c r="R2990" s="2">
        <v>0.0</v>
      </c>
      <c r="S2990" s="3" t="s">
        <v>12210</v>
      </c>
      <c r="T2990" s="2" t="s">
        <v>12211</v>
      </c>
      <c r="Y2990" s="4" t="str">
        <f>IFERROR(__xludf.DUMMYFUNCTION("""COMPUTED_VALUE"""),"6.6926435")</f>
        <v>6.6926435</v>
      </c>
      <c r="Z2990" s="4" t="str">
        <f>IFERROR(__xludf.DUMMYFUNCTION("""COMPUTED_VALUE"""),"3.236561")</f>
        <v>3.236561</v>
      </c>
      <c r="AA2990" s="4" t="str">
        <f t="shared" si="1"/>
        <v>Not Neighbor</v>
      </c>
      <c r="AC2990" s="4">
        <f>IFERROR(__xludf.DUMMYFUNCTION("IFERROR(ABS(O2990-AVERAGE(FILTER(O2990:O7058,AA2990:AA7058=""Neighbor""))) / STDEV(FILTER(O2990:O7058, AA2990:AA7058 =""Neighbor"")), """")"),0.151535053701)</f>
        <v>0.1515350537</v>
      </c>
      <c r="AD2990" s="4">
        <f>IFERROR(__xludf.DUMMYFUNCTION("IFERROR(ABS(P2990-AVERAGE(FILTER(O2990:P7058,AA2990:AA7058=""Neighbor""))) / STDEV(FILTER(P2990:P7058, AA2990:AA7058 =""Neighbor"")), """")"),0.8574439597502728)</f>
        <v>0.8574439598</v>
      </c>
      <c r="AE2990" s="2">
        <f>IFERROR(__xludf.DUMMYFUNCTION("IFERROR(ABS(Q2990-AVERAGE(FILTER(Q2990:Q7058,AA2990:AA7058=""Neighbor""))) / STDEV(FILTER(Q2990:Q7058, AA2990:AA7058 =""Neighbor"")), """")"),0.6589179115416651)</f>
        <v>0.6589179115</v>
      </c>
      <c r="AF2990" s="2">
        <f>IFERROR(__xludf.DUMMYFUNCTION("IFERROR(ABS(R2990-AVERAGE(FILTER(R2990:R7058,AA2990:AA7058=""Neighbor""))) / STDEV(FILTER(R2990:R7058, AA2990:AA7058 =""Neighbor"")), """")"),0.33435908858799135)</f>
        <v>0.3343590886</v>
      </c>
    </row>
    <row r="2991">
      <c r="A2991" s="2" t="s">
        <v>28</v>
      </c>
      <c r="B2991" s="2" t="s">
        <v>1711</v>
      </c>
      <c r="C2991" s="2" t="s">
        <v>1712</v>
      </c>
      <c r="D2991" s="2" t="s">
        <v>12212</v>
      </c>
      <c r="E2991" s="2" t="s">
        <v>12213</v>
      </c>
      <c r="F2991" s="2">
        <v>198.0</v>
      </c>
      <c r="G2991" s="2">
        <v>750.0</v>
      </c>
      <c r="H2991" s="2" t="b">
        <v>1</v>
      </c>
      <c r="I2991" s="2">
        <v>-1.0</v>
      </c>
      <c r="J2991" s="2" t="b">
        <v>0</v>
      </c>
      <c r="K2991" s="2" t="b">
        <v>0</v>
      </c>
      <c r="L2991" s="2" t="b">
        <v>0</v>
      </c>
      <c r="M2991" s="2" t="b">
        <v>0</v>
      </c>
      <c r="N2991" s="2" t="s">
        <v>33</v>
      </c>
      <c r="O2991" s="2">
        <v>84.0</v>
      </c>
      <c r="P2991" s="2">
        <v>95.0</v>
      </c>
      <c r="Q2991" s="2">
        <v>16.0</v>
      </c>
      <c r="R2991" s="2">
        <v>1.0</v>
      </c>
      <c r="S2991" s="3" t="s">
        <v>12214</v>
      </c>
      <c r="T2991" s="2" t="s">
        <v>12215</v>
      </c>
      <c r="Y2991" s="4" t="str">
        <f>IFERROR(__xludf.DUMMYFUNCTION("""COMPUTED_VALUE"""),"6.6783621")</f>
        <v>6.6783621</v>
      </c>
      <c r="Z2991" s="4" t="str">
        <f>IFERROR(__xludf.DUMMYFUNCTION("""COMPUTED_VALUE"""),"3.2449866")</f>
        <v>3.2449866</v>
      </c>
      <c r="AA2991" s="4" t="str">
        <f t="shared" si="1"/>
        <v>Not Neighbor</v>
      </c>
      <c r="AC2991" s="4">
        <f>IFERROR(__xludf.DUMMYFUNCTION("IFERROR(ABS(O2991-AVERAGE(FILTER(O2991:O7059,AA2991:AA7059=""Neighbor""))) / STDEV(FILTER(O2991:O7059, AA2991:AA7059 =""Neighbor"")), """")"),1.211887648235006)</f>
        <v>1.211887648</v>
      </c>
      <c r="AD2991" s="4">
        <f>IFERROR(__xludf.DUMMYFUNCTION("IFERROR(ABS(P2991-AVERAGE(FILTER(O2991:P7059,AA2991:AA7059=""Neighbor""))) / STDEV(FILTER(P2991:P7059, AA2991:AA7059 =""Neighbor"")), """")"),2.6941696497084404)</f>
        <v>2.69416965</v>
      </c>
      <c r="AE2991" s="2">
        <f>IFERROR(__xludf.DUMMYFUNCTION("IFERROR(ABS(Q2991-AVERAGE(FILTER(Q2991:Q7059,AA2991:AA7059=""Neighbor""))) / STDEV(FILTER(Q2991:Q7059, AA2991:AA7059 =""Neighbor"")), """")"),0.02752095366377823)</f>
        <v>0.02752095366</v>
      </c>
      <c r="AF2991" s="2">
        <f>IFERROR(__xludf.DUMMYFUNCTION("IFERROR(ABS(R2991-AVERAGE(FILTER(R2991:R7059,AA2991:AA7059=""Neighbor""))) / STDEV(FILTER(R2991:R7059, AA2991:AA7059 =""Neighbor"")), """")"),0.7536782734565377)</f>
        <v>0.7536782735</v>
      </c>
    </row>
    <row r="2992">
      <c r="A2992" s="2" t="s">
        <v>28</v>
      </c>
      <c r="B2992" s="2" t="s">
        <v>1711</v>
      </c>
      <c r="C2992" s="2" t="s">
        <v>1712</v>
      </c>
      <c r="D2992" s="2" t="s">
        <v>12216</v>
      </c>
      <c r="E2992" s="2" t="s">
        <v>12217</v>
      </c>
      <c r="F2992" s="2">
        <v>172.0</v>
      </c>
      <c r="G2992" s="2">
        <v>750.0</v>
      </c>
      <c r="H2992" s="2" t="b">
        <v>1</v>
      </c>
      <c r="I2992" s="2">
        <v>-1.0</v>
      </c>
      <c r="J2992" s="2" t="b">
        <v>0</v>
      </c>
      <c r="K2992" s="2" t="b">
        <v>1</v>
      </c>
      <c r="L2992" s="2" t="b">
        <v>0</v>
      </c>
      <c r="M2992" s="2" t="b">
        <v>0</v>
      </c>
      <c r="N2992" s="2" t="s">
        <v>33</v>
      </c>
      <c r="O2992" s="2">
        <v>80.0</v>
      </c>
      <c r="P2992" s="2">
        <v>37.0</v>
      </c>
      <c r="Q2992" s="2">
        <v>36.0</v>
      </c>
      <c r="R2992" s="2">
        <v>0.0</v>
      </c>
      <c r="S2992" s="3" t="s">
        <v>12218</v>
      </c>
      <c r="T2992" s="2" t="s">
        <v>12219</v>
      </c>
      <c r="Y2992" s="4" t="str">
        <f>IFERROR(__xludf.DUMMYFUNCTION("""COMPUTED_VALUE"""),"6.6117188")</f>
        <v>6.6117188</v>
      </c>
      <c r="Z2992" s="4" t="str">
        <f>IFERROR(__xludf.DUMMYFUNCTION("""COMPUTED_VALUE"""),"3.0576199")</f>
        <v>3.0576199</v>
      </c>
      <c r="AA2992" s="4" t="str">
        <f t="shared" si="1"/>
        <v>Not Neighbor</v>
      </c>
      <c r="AC2992" s="4">
        <f>IFERROR(__xludf.DUMMYFUNCTION("IFERROR(ABS(O2992-AVERAGE(FILTER(O2992:O7060,AA2992:AA7060=""Neighbor""))) / STDEV(FILTER(O2992:O7060, AA2992:AA7060 =""Neighbor"")), """")"),1.0871402841721818)</f>
        <v>1.087140284</v>
      </c>
      <c r="AD2992" s="4">
        <f>IFERROR(__xludf.DUMMYFUNCTION("IFERROR(ABS(P2992-AVERAGE(FILTER(O2992:P7060,AA2992:AA7060=""Neighbor""))) / STDEV(FILTER(P2992:P7060, AA2992:AA7060 =""Neighbor"")), """")"),0.24186501460599558)</f>
        <v>0.2418650146</v>
      </c>
      <c r="AE2992" s="2">
        <f>IFERROR(__xludf.DUMMYFUNCTION("IFERROR(ABS(Q2992-AVERAGE(FILTER(Q2992:Q7060,AA2992:AA7060=""Neighbor""))) / STDEV(FILTER(Q2992:Q7060, AA2992:AA7060 =""Neighbor"")), """")"),1.171585729006184)</f>
        <v>1.171585729</v>
      </c>
      <c r="AF2992" s="2">
        <f>IFERROR(__xludf.DUMMYFUNCTION("IFERROR(ABS(R2992-AVERAGE(FILTER(R2992:R7060,AA2992:AA7060=""Neighbor""))) / STDEV(FILTER(R2992:R7060, AA2992:AA7060 =""Neighbor"")), """")"),0.33435908858799135)</f>
        <v>0.3343590886</v>
      </c>
    </row>
    <row r="2993">
      <c r="A2993" s="2" t="s">
        <v>28</v>
      </c>
      <c r="B2993" s="2" t="s">
        <v>1711</v>
      </c>
      <c r="C2993" s="2" t="s">
        <v>1712</v>
      </c>
      <c r="D2993" s="2" t="s">
        <v>12220</v>
      </c>
      <c r="E2993" s="2" t="s">
        <v>12221</v>
      </c>
      <c r="F2993" s="2">
        <v>127.0</v>
      </c>
      <c r="G2993" s="2">
        <v>750.0</v>
      </c>
      <c r="H2993" s="2" t="b">
        <v>1</v>
      </c>
      <c r="I2993" s="2">
        <v>-1.0</v>
      </c>
      <c r="J2993" s="2" t="b">
        <v>0</v>
      </c>
      <c r="K2993" s="2" t="b">
        <v>0</v>
      </c>
      <c r="L2993" s="2" t="b">
        <v>0</v>
      </c>
      <c r="M2993" s="2" t="b">
        <v>0</v>
      </c>
      <c r="N2993" s="2" t="s">
        <v>33</v>
      </c>
      <c r="O2993" s="2">
        <v>55.0</v>
      </c>
      <c r="P2993" s="2">
        <v>34.0</v>
      </c>
      <c r="Q2993" s="2">
        <v>15.0</v>
      </c>
      <c r="R2993" s="2">
        <v>1.0</v>
      </c>
      <c r="S2993" s="3" t="s">
        <v>12222</v>
      </c>
      <c r="T2993" s="2" t="s">
        <v>12223</v>
      </c>
      <c r="Y2993" s="4" t="str">
        <f>IFERROR(__xludf.DUMMYFUNCTION("""COMPUTED_VALUE"""),"6.6805993")</f>
        <v>6.6805993</v>
      </c>
      <c r="Z2993" s="4" t="str">
        <f>IFERROR(__xludf.DUMMYFUNCTION("""COMPUTED_VALUE"""),"3.2507419")</f>
        <v>3.2507419</v>
      </c>
      <c r="AA2993" s="4" t="str">
        <f t="shared" si="1"/>
        <v>Not Neighbor</v>
      </c>
      <c r="AC2993" s="4">
        <f>IFERROR(__xludf.DUMMYFUNCTION("IFERROR(ABS(O2993-AVERAGE(FILTER(O2993:O7061,AA2993:AA7061=""Neighbor""))) / STDEV(FILTER(O2993:O7061, AA2993:AA7061 =""Neighbor"")), """")"),0.3074692587795303)</f>
        <v>0.3074692588</v>
      </c>
      <c r="AD2993" s="4">
        <f>IFERROR(__xludf.DUMMYFUNCTION("IFERROR(ABS(P2993-AVERAGE(FILTER(O2993:P7061,AA2993:AA7061=""Neighbor""))) / STDEV(FILTER(P2993:P7061, AA2993:AA7061 =""Neighbor"")), """")"),0.11502167141104153)</f>
        <v>0.1150216714</v>
      </c>
      <c r="AE2993" s="2">
        <f>IFERROR(__xludf.DUMMYFUNCTION("IFERROR(ABS(Q2993-AVERAGE(FILTER(Q2993:Q7061,AA2993:AA7061=""Neighbor""))) / STDEV(FILTER(Q2993:Q7061, AA2993:AA7061 =""Neighbor"")), """")"),0.029682285103342053)</f>
        <v>0.0296822851</v>
      </c>
      <c r="AF2993" s="2">
        <f>IFERROR(__xludf.DUMMYFUNCTION("IFERROR(ABS(R2993-AVERAGE(FILTER(R2993:R7061,AA2993:AA7061=""Neighbor""))) / STDEV(FILTER(R2993:R7061, AA2993:AA7061 =""Neighbor"")), """")"),0.7536782734565377)</f>
        <v>0.7536782735</v>
      </c>
    </row>
    <row r="2994">
      <c r="A2994" s="2" t="s">
        <v>28</v>
      </c>
      <c r="B2994" s="2" t="s">
        <v>1711</v>
      </c>
      <c r="C2994" s="2" t="s">
        <v>1712</v>
      </c>
      <c r="D2994" s="2" t="s">
        <v>12224</v>
      </c>
      <c r="E2994" s="2" t="s">
        <v>12225</v>
      </c>
      <c r="F2994" s="2">
        <v>107.0</v>
      </c>
      <c r="G2994" s="2">
        <v>198.0</v>
      </c>
      <c r="H2994" s="2" t="b">
        <v>1</v>
      </c>
      <c r="I2994" s="2">
        <v>-1.0</v>
      </c>
      <c r="J2994" s="2" t="b">
        <v>0</v>
      </c>
      <c r="K2994" s="2" t="b">
        <v>0</v>
      </c>
      <c r="L2994" s="2" t="b">
        <v>0</v>
      </c>
      <c r="M2994" s="2" t="b">
        <v>0</v>
      </c>
      <c r="N2994" s="2" t="s">
        <v>33</v>
      </c>
      <c r="O2994" s="2">
        <v>73.0</v>
      </c>
      <c r="P2994" s="2">
        <v>23.0</v>
      </c>
      <c r="Q2994" s="2">
        <v>3.0</v>
      </c>
      <c r="R2994" s="2">
        <v>1.0</v>
      </c>
      <c r="S2994" s="3" t="s">
        <v>12226</v>
      </c>
      <c r="T2994" s="2" t="s">
        <v>12227</v>
      </c>
      <c r="Y2994" s="4" t="str">
        <f>IFERROR(__xludf.DUMMYFUNCTION("""COMPUTED_VALUE"""),"6.6809795")</f>
        <v>6.6809795</v>
      </c>
      <c r="Z2994" s="4" t="str">
        <f>IFERROR(__xludf.DUMMYFUNCTION("""COMPUTED_VALUE"""),"3.2295568")</f>
        <v>3.2295568</v>
      </c>
      <c r="AA2994" s="4" t="str">
        <f t="shared" si="1"/>
        <v>Not Neighbor</v>
      </c>
      <c r="AC2994" s="4">
        <f>IFERROR(__xludf.DUMMYFUNCTION("IFERROR(ABS(O2994-AVERAGE(FILTER(O2994:O7062,AA2994:AA7062=""Neighbor""))) / STDEV(FILTER(O2994:O7062, AA2994:AA7062 =""Neighbor"")), """")"),0.8688323970622394)</f>
        <v>0.8688323971</v>
      </c>
      <c r="AD2994" s="4">
        <f>IFERROR(__xludf.DUMMYFUNCTION("IFERROR(ABS(P2994-AVERAGE(FILTER(O2994:P7062,AA2994:AA7062=""Neighbor""))) / STDEV(FILTER(P2994:P7062, AA2994:AA7062 =""Neighbor"")), """")"),0.3500705869704566)</f>
        <v>0.350070587</v>
      </c>
      <c r="AE2994" s="2">
        <f>IFERROR(__xludf.DUMMYFUNCTION("IFERROR(ABS(Q2994-AVERAGE(FILTER(Q2994:Q7062,AA2994:AA7062=""Neighbor""))) / STDEV(FILTER(Q2994:Q7062, AA2994:AA7062 =""Neighbor"")), """")"),0.7161211503087854)</f>
        <v>0.7161211503</v>
      </c>
      <c r="AF2994" s="2">
        <f>IFERROR(__xludf.DUMMYFUNCTION("IFERROR(ABS(R2994-AVERAGE(FILTER(R2994:R7062,AA2994:AA7062=""Neighbor""))) / STDEV(FILTER(R2994:R7062, AA2994:AA7062 =""Neighbor"")), """")"),0.7536782734565377)</f>
        <v>0.7536782735</v>
      </c>
    </row>
    <row r="2995">
      <c r="A2995" s="2" t="s">
        <v>28</v>
      </c>
      <c r="B2995" s="2" t="s">
        <v>1711</v>
      </c>
      <c r="C2995" s="2" t="s">
        <v>1712</v>
      </c>
      <c r="D2995" s="2" t="s">
        <v>12228</v>
      </c>
      <c r="E2995" s="2" t="s">
        <v>12229</v>
      </c>
      <c r="F2995" s="2">
        <v>75.0</v>
      </c>
      <c r="G2995" s="2">
        <v>143.0</v>
      </c>
      <c r="H2995" s="2" t="b">
        <v>1</v>
      </c>
      <c r="I2995" s="2">
        <v>-1.0</v>
      </c>
      <c r="J2995" s="2" t="b">
        <v>0</v>
      </c>
      <c r="K2995" s="2" t="b">
        <v>0</v>
      </c>
      <c r="L2995" s="2" t="b">
        <v>0</v>
      </c>
      <c r="M2995" s="2" t="b">
        <v>0</v>
      </c>
      <c r="N2995" s="2" t="s">
        <v>33</v>
      </c>
      <c r="O2995" s="2">
        <v>41.0</v>
      </c>
      <c r="P2995" s="2">
        <v>23.0</v>
      </c>
      <c r="Q2995" s="2">
        <v>7.0</v>
      </c>
      <c r="R2995" s="2">
        <v>0.0</v>
      </c>
      <c r="S2995" s="3" t="s">
        <v>12230</v>
      </c>
      <c r="T2995" s="2" t="s">
        <v>12231</v>
      </c>
      <c r="Y2995" s="4" t="str">
        <f>IFERROR(__xludf.DUMMYFUNCTION("""COMPUTED_VALUE"""),"6.8530276")</f>
        <v>6.8530276</v>
      </c>
      <c r="Z2995" s="4" t="str">
        <f>IFERROR(__xludf.DUMMYFUNCTION("""COMPUTED_VALUE"""),"5.7523644")</f>
        <v>5.7523644</v>
      </c>
      <c r="AA2995" s="4" t="str">
        <f t="shared" si="1"/>
        <v>Not Neighbor</v>
      </c>
      <c r="AC2995" s="4">
        <f>IFERROR(__xludf.DUMMYFUNCTION("IFERROR(ABS(O2995-AVERAGE(FILTER(O2995:O7063,AA2995:AA7063=""Neighbor""))) / STDEV(FILTER(O2995:O7063, AA2995:AA7063 =""Neighbor"")), """")"),0.12914651544035455)</f>
        <v>0.1291465154</v>
      </c>
      <c r="AD2995" s="4">
        <f>IFERROR(__xludf.DUMMYFUNCTION("IFERROR(ABS(P2995-AVERAGE(FILTER(O2995:P7063,AA2995:AA7063=""Neighbor""))) / STDEV(FILTER(P2995:P7063, AA2995:AA7063 =""Neighbor"")), """")"),0.3500705869704566)</f>
        <v>0.350070587</v>
      </c>
      <c r="AE2995" s="2">
        <f>IFERROR(__xludf.DUMMYFUNCTION("IFERROR(ABS(Q2995-AVERAGE(FILTER(Q2995:Q7063,AA2995:AA7063=""Neighbor""))) / STDEV(FILTER(Q2995:Q7063, AA2995:AA7063 =""Neighbor"")), """")"),0.48730819524030433)</f>
        <v>0.4873081952</v>
      </c>
      <c r="AF2995" s="2">
        <f>IFERROR(__xludf.DUMMYFUNCTION("IFERROR(ABS(R2995-AVERAGE(FILTER(R2995:R7063,AA2995:AA7063=""Neighbor""))) / STDEV(FILTER(R2995:R7063, AA2995:AA7063 =""Neighbor"")), """")"),0.33435908858799135)</f>
        <v>0.3343590886</v>
      </c>
    </row>
    <row r="2996">
      <c r="A2996" s="2" t="s">
        <v>28</v>
      </c>
      <c r="B2996" s="2" t="s">
        <v>1711</v>
      </c>
      <c r="C2996" s="2" t="s">
        <v>1712</v>
      </c>
      <c r="D2996" s="2" t="s">
        <v>12232</v>
      </c>
      <c r="E2996" s="2" t="s">
        <v>12233</v>
      </c>
      <c r="F2996" s="2">
        <v>75.0</v>
      </c>
      <c r="G2996" s="2">
        <v>156.0</v>
      </c>
      <c r="H2996" s="2" t="b">
        <v>1</v>
      </c>
      <c r="I2996" s="2">
        <v>-1.0</v>
      </c>
      <c r="J2996" s="2" t="b">
        <v>0</v>
      </c>
      <c r="K2996" s="2" t="b">
        <v>0</v>
      </c>
      <c r="L2996" s="2" t="b">
        <v>0</v>
      </c>
      <c r="M2996" s="2" t="b">
        <v>0</v>
      </c>
      <c r="N2996" s="2" t="s">
        <v>33</v>
      </c>
      <c r="O2996" s="2">
        <v>54.0</v>
      </c>
      <c r="P2996" s="2">
        <v>14.0</v>
      </c>
      <c r="Q2996" s="2">
        <v>2.0</v>
      </c>
      <c r="R2996" s="2">
        <v>1.0</v>
      </c>
      <c r="S2996" s="3" t="s">
        <v>12234</v>
      </c>
      <c r="T2996" s="2" t="s">
        <v>12235</v>
      </c>
      <c r="Y2996" s="4" t="str">
        <f>IFERROR(__xludf.DUMMYFUNCTION("""COMPUTED_VALUE"""),"6.7320871")</f>
        <v>6.7320871</v>
      </c>
      <c r="Z2996" s="4" t="str">
        <f>IFERROR(__xludf.DUMMYFUNCTION("""COMPUTED_VALUE"""),"3.2785903")</f>
        <v>3.2785903</v>
      </c>
      <c r="AA2996" s="4" t="str">
        <f t="shared" si="1"/>
        <v>Not Neighbor</v>
      </c>
      <c r="AC2996" s="4">
        <f>IFERROR(__xludf.DUMMYFUNCTION("IFERROR(ABS(O2996-AVERAGE(FILTER(O2996:O7064,AA2996:AA7064=""Neighbor""))) / STDEV(FILTER(O2996:O7064, AA2996:AA7064 =""Neighbor"")), """")"),0.27628241776382423)</f>
        <v>0.2762824178</v>
      </c>
      <c r="AD2996" s="4">
        <f>IFERROR(__xludf.DUMMYFUNCTION("IFERROR(ABS(P2996-AVERAGE(FILTER(O2996:P7064,AA2996:AA7064=""Neighbor""))) / STDEV(FILTER(P2996:P7064, AA2996:AA7064 =""Neighbor"")), """")"),0.7306006165553187)</f>
        <v>0.7306006166</v>
      </c>
      <c r="AE2996" s="2">
        <f>IFERROR(__xludf.DUMMYFUNCTION("IFERROR(ABS(Q2996-AVERAGE(FILTER(Q2996:Q7064,AA2996:AA7064=""Neighbor""))) / STDEV(FILTER(Q2996:Q7064, AA2996:AA7064 =""Neighbor"")), """")"),0.7733243890759057)</f>
        <v>0.7733243891</v>
      </c>
      <c r="AF2996" s="2">
        <f>IFERROR(__xludf.DUMMYFUNCTION("IFERROR(ABS(R2996-AVERAGE(FILTER(R2996:R7064,AA2996:AA7064=""Neighbor""))) / STDEV(FILTER(R2996:R7064, AA2996:AA7064 =""Neighbor"")), """")"),0.7536782734565377)</f>
        <v>0.7536782735</v>
      </c>
    </row>
    <row r="2997">
      <c r="A2997" s="2" t="s">
        <v>28</v>
      </c>
      <c r="B2997" s="2" t="s">
        <v>1711</v>
      </c>
      <c r="C2997" s="2" t="s">
        <v>1712</v>
      </c>
      <c r="D2997" s="2" t="s">
        <v>12236</v>
      </c>
      <c r="E2997" s="2" t="s">
        <v>12237</v>
      </c>
      <c r="F2997" s="2">
        <v>45.0</v>
      </c>
      <c r="G2997" s="2">
        <v>73.0</v>
      </c>
      <c r="H2997" s="2" t="b">
        <v>1</v>
      </c>
      <c r="I2997" s="2">
        <v>-1.0</v>
      </c>
      <c r="J2997" s="2" t="b">
        <v>0</v>
      </c>
      <c r="K2997" s="2" t="b">
        <v>0</v>
      </c>
      <c r="L2997" s="2" t="b">
        <v>0</v>
      </c>
      <c r="M2997" s="2" t="b">
        <v>0</v>
      </c>
      <c r="N2997" s="2" t="s">
        <v>33</v>
      </c>
      <c r="O2997" s="2">
        <v>31.0</v>
      </c>
      <c r="P2997" s="2">
        <v>11.0</v>
      </c>
      <c r="Q2997" s="2">
        <v>0.0</v>
      </c>
      <c r="R2997" s="2">
        <v>0.0</v>
      </c>
      <c r="S2997" s="3" t="s">
        <v>12238</v>
      </c>
      <c r="T2997" s="2" t="s">
        <v>12239</v>
      </c>
      <c r="Y2997" s="4" t="str">
        <f>IFERROR(__xludf.DUMMYFUNCTION("""COMPUTED_VALUE"""),"6.6117188")</f>
        <v>6.6117188</v>
      </c>
      <c r="Z2997" s="4" t="str">
        <f>IFERROR(__xludf.DUMMYFUNCTION("""COMPUTED_VALUE"""),"3.0576199")</f>
        <v>3.0576199</v>
      </c>
      <c r="AA2997" s="4" t="str">
        <f t="shared" si="1"/>
        <v>Not Neighbor</v>
      </c>
      <c r="AC2997" s="4">
        <f>IFERROR(__xludf.DUMMYFUNCTION("IFERROR(ABS(O2997-AVERAGE(FILTER(O2997:O7065,AA2997:AA7065=""Neighbor""))) / STDEV(FILTER(O2997:O7065, AA2997:AA7065 =""Neighbor"")), """")"),0.4410149255974151)</f>
        <v>0.4410149256</v>
      </c>
      <c r="AD2997" s="4">
        <f>IFERROR(__xludf.DUMMYFUNCTION("IFERROR(ABS(P2997-AVERAGE(FILTER(O2997:P7065,AA2997:AA7065=""Neighbor""))) / STDEV(FILTER(P2997:P7065, AA2997:AA7065 =""Neighbor"")), """")"),0.8574439597502728)</f>
        <v>0.8574439598</v>
      </c>
      <c r="AE2997" s="2">
        <f>IFERROR(__xludf.DUMMYFUNCTION("IFERROR(ABS(Q2997-AVERAGE(FILTER(Q2997:Q7065,AA2997:AA7065=""Neighbor""))) / STDEV(FILTER(Q2997:Q7065, AA2997:AA7065 =""Neighbor"")), """")"),0.8877308666101463)</f>
        <v>0.8877308666</v>
      </c>
      <c r="AF2997" s="2">
        <f>IFERROR(__xludf.DUMMYFUNCTION("IFERROR(ABS(R2997-AVERAGE(FILTER(R2997:R7065,AA2997:AA7065=""Neighbor""))) / STDEV(FILTER(R2997:R7065, AA2997:AA7065 =""Neighbor"")), """")"),0.33435908858799135)</f>
        <v>0.3343590886</v>
      </c>
    </row>
    <row r="2998">
      <c r="A2998" s="2" t="s">
        <v>28</v>
      </c>
      <c r="B2998" s="2" t="s">
        <v>1711</v>
      </c>
      <c r="C2998" s="2" t="s">
        <v>1712</v>
      </c>
      <c r="D2998" s="2" t="s">
        <v>12240</v>
      </c>
      <c r="E2998" s="2" t="s">
        <v>12241</v>
      </c>
      <c r="F2998" s="2">
        <v>138.0</v>
      </c>
      <c r="G2998" s="2">
        <v>198.0</v>
      </c>
      <c r="H2998" s="2" t="b">
        <v>1</v>
      </c>
      <c r="I2998" s="2">
        <v>-1.0</v>
      </c>
      <c r="J2998" s="2" t="b">
        <v>0</v>
      </c>
      <c r="K2998" s="2" t="b">
        <v>0</v>
      </c>
      <c r="L2998" s="2" t="b">
        <v>0</v>
      </c>
      <c r="M2998" s="2" t="b">
        <v>0</v>
      </c>
      <c r="N2998" s="2" t="s">
        <v>33</v>
      </c>
      <c r="O2998" s="2">
        <v>96.0</v>
      </c>
      <c r="P2998" s="2">
        <v>20.0</v>
      </c>
      <c r="Q2998" s="2">
        <v>4.0</v>
      </c>
      <c r="R2998" s="2">
        <v>0.0</v>
      </c>
      <c r="S2998" s="3" t="s">
        <v>12242</v>
      </c>
      <c r="T2998" s="2" t="s">
        <v>12243</v>
      </c>
      <c r="Y2998" s="4" t="str">
        <f>IFERROR(__xludf.DUMMYFUNCTION("""COMPUTED_VALUE"""),"6.6818083")</f>
        <v>6.6818083</v>
      </c>
      <c r="Z2998" s="4" t="str">
        <f>IFERROR(__xludf.DUMMYFUNCTION("""COMPUTED_VALUE"""),"3.2282368")</f>
        <v>3.2282368</v>
      </c>
      <c r="AA2998" s="4" t="str">
        <f t="shared" si="1"/>
        <v>Not Neighbor</v>
      </c>
      <c r="AC2998" s="4">
        <f>IFERROR(__xludf.DUMMYFUNCTION("IFERROR(ABS(O2998-AVERAGE(FILTER(O2998:O7066,AA2998:AA7066=""Neighbor""))) / STDEV(FILTER(O2998:O7066, AA2998:AA7066 =""Neighbor"")), """")"),1.5861297404234787)</f>
        <v>1.58612974</v>
      </c>
      <c r="AD2998" s="4">
        <f>IFERROR(__xludf.DUMMYFUNCTION("IFERROR(ABS(P2998-AVERAGE(FILTER(O2998:P7066,AA2998:AA7066=""Neighbor""))) / STDEV(FILTER(P2998:P7066, AA2998:AA7066 =""Neighbor"")), """")"),0.47691393016541067)</f>
        <v>0.4769139302</v>
      </c>
      <c r="AE2998" s="2">
        <f>IFERROR(__xludf.DUMMYFUNCTION("IFERROR(ABS(Q2998-AVERAGE(FILTER(Q2998:Q7066,AA2998:AA7066=""Neighbor""))) / STDEV(FILTER(Q2998:Q7066, AA2998:AA7066 =""Neighbor"")), """")"),0.6589179115416651)</f>
        <v>0.6589179115</v>
      </c>
      <c r="AF2998" s="2">
        <f>IFERROR(__xludf.DUMMYFUNCTION("IFERROR(ABS(R2998-AVERAGE(FILTER(R2998:R7066,AA2998:AA7066=""Neighbor""))) / STDEV(FILTER(R2998:R7066, AA2998:AA7066 =""Neighbor"")), """")"),0.33435908858799135)</f>
        <v>0.3343590886</v>
      </c>
    </row>
    <row r="2999">
      <c r="A2999" s="2" t="s">
        <v>28</v>
      </c>
      <c r="B2999" s="2" t="s">
        <v>1711</v>
      </c>
      <c r="C2999" s="2" t="s">
        <v>1712</v>
      </c>
      <c r="D2999" s="2" t="s">
        <v>12244</v>
      </c>
      <c r="E2999" s="2" t="s">
        <v>12245</v>
      </c>
      <c r="F2999" s="2">
        <v>83.0</v>
      </c>
      <c r="G2999" s="2">
        <v>116.0</v>
      </c>
      <c r="H2999" s="2" t="b">
        <v>1</v>
      </c>
      <c r="I2999" s="2">
        <v>-1.0</v>
      </c>
      <c r="J2999" s="2" t="b">
        <v>0</v>
      </c>
      <c r="K2999" s="2" t="b">
        <v>0</v>
      </c>
      <c r="L2999" s="2" t="b">
        <v>0</v>
      </c>
      <c r="M2999" s="2" t="b">
        <v>0</v>
      </c>
      <c r="N2999" s="2" t="s">
        <v>33</v>
      </c>
      <c r="O2999" s="2">
        <v>52.0</v>
      </c>
      <c r="P2999" s="2">
        <v>28.0</v>
      </c>
      <c r="Q2999" s="2">
        <v>2.0</v>
      </c>
      <c r="R2999" s="2">
        <v>0.0</v>
      </c>
      <c r="S2999" s="3" t="s">
        <v>12246</v>
      </c>
      <c r="T2999" s="2" t="s">
        <v>12247</v>
      </c>
      <c r="Y2999" s="4" t="str">
        <f>IFERROR(__xludf.DUMMYFUNCTION("""COMPUTED_VALUE"""),"6.6618962")</f>
        <v>6.6618962</v>
      </c>
      <c r="Z2999" s="4" t="str">
        <f>IFERROR(__xludf.DUMMYFUNCTION("""COMPUTED_VALUE"""),"3.230783")</f>
        <v>3.230783</v>
      </c>
      <c r="AA2999" s="4" t="str">
        <f t="shared" si="1"/>
        <v>Not Neighbor</v>
      </c>
      <c r="AC2999" s="4">
        <f>IFERROR(__xludf.DUMMYFUNCTION("IFERROR(ABS(O2999-AVERAGE(FILTER(O2999:O7067,AA2999:AA7067=""Neighbor""))) / STDEV(FILTER(O2999:O7067, AA2999:AA7067 =""Neighbor"")), """")"),0.21390873573241212)</f>
        <v>0.2139087357</v>
      </c>
      <c r="AD2999" s="4">
        <f>IFERROR(__xludf.DUMMYFUNCTION("IFERROR(ABS(P2999-AVERAGE(FILTER(O2999:P7067,AA2999:AA7067=""Neighbor""))) / STDEV(FILTER(P2999:P7067, AA2999:AA7067 =""Neighbor"")), """")"),0.13866501497886657)</f>
        <v>0.138665015</v>
      </c>
      <c r="AE2999" s="2">
        <f>IFERROR(__xludf.DUMMYFUNCTION("IFERROR(ABS(Q2999-AVERAGE(FILTER(Q2999:Q7067,AA2999:AA7067=""Neighbor""))) / STDEV(FILTER(Q2999:Q7067, AA2999:AA7067 =""Neighbor"")), """")"),0.7733243890759057)</f>
        <v>0.7733243891</v>
      </c>
      <c r="AF2999" s="2">
        <f>IFERROR(__xludf.DUMMYFUNCTION("IFERROR(ABS(R2999-AVERAGE(FILTER(R2999:R7067,AA2999:AA7067=""Neighbor""))) / STDEV(FILTER(R2999:R7067, AA2999:AA7067 =""Neighbor"")), """")"),0.33435908858799135)</f>
        <v>0.3343590886</v>
      </c>
    </row>
    <row r="3000">
      <c r="A3000" s="2" t="s">
        <v>28</v>
      </c>
      <c r="B3000" s="2" t="s">
        <v>1711</v>
      </c>
      <c r="C3000" s="2" t="s">
        <v>1712</v>
      </c>
      <c r="D3000" s="2" t="s">
        <v>12248</v>
      </c>
      <c r="E3000" s="2" t="s">
        <v>12249</v>
      </c>
      <c r="F3000" s="2">
        <v>81.0</v>
      </c>
      <c r="G3000" s="2">
        <v>140.0</v>
      </c>
      <c r="H3000" s="2" t="b">
        <v>1</v>
      </c>
      <c r="I3000" s="2">
        <v>-1.0</v>
      </c>
      <c r="J3000" s="2" t="b">
        <v>0</v>
      </c>
      <c r="K3000" s="2" t="b">
        <v>0</v>
      </c>
      <c r="L3000" s="2" t="b">
        <v>0</v>
      </c>
      <c r="M3000" s="2" t="b">
        <v>0</v>
      </c>
      <c r="N3000" s="2" t="s">
        <v>33</v>
      </c>
      <c r="O3000" s="2">
        <v>38.0</v>
      </c>
      <c r="P3000" s="2">
        <v>35.0</v>
      </c>
      <c r="Q3000" s="2">
        <v>5.0</v>
      </c>
      <c r="R3000" s="2">
        <v>0.0</v>
      </c>
      <c r="S3000" s="3" t="s">
        <v>12250</v>
      </c>
      <c r="T3000" s="2" t="s">
        <v>12251</v>
      </c>
      <c r="Y3000" s="4" t="str">
        <f>IFERROR(__xludf.DUMMYFUNCTION("""COMPUTED_VALUE"""),"6.7172976")</f>
        <v>6.7172976</v>
      </c>
      <c r="Z3000" s="4" t="str">
        <f>IFERROR(__xludf.DUMMYFUNCTION("""COMPUTED_VALUE"""),"3.3057601")</f>
        <v>3.3057601</v>
      </c>
      <c r="AA3000" s="4" t="str">
        <f t="shared" si="1"/>
        <v>Not Neighbor</v>
      </c>
      <c r="AC3000" s="4">
        <f>IFERROR(__xludf.DUMMYFUNCTION("IFERROR(ABS(O3000-AVERAGE(FILTER(O3000:O7068,AA3000:AA7068=""Neighbor""))) / STDEV(FILTER(O3000:O7068, AA3000:AA7068 =""Neighbor"")), """")"),0.22270703848747272)</f>
        <v>0.2227070385</v>
      </c>
      <c r="AD3000" s="4">
        <f>IFERROR(__xludf.DUMMYFUNCTION("IFERROR(ABS(P3000-AVERAGE(FILTER(O3000:P7068,AA3000:AA7068=""Neighbor""))) / STDEV(FILTER(P3000:P7068, AA3000:AA7068 =""Neighbor"")), """")"),0.15730278580935952)</f>
        <v>0.1573027858</v>
      </c>
      <c r="AE3000" s="2">
        <f>IFERROR(__xludf.DUMMYFUNCTION("IFERROR(ABS(Q3000-AVERAGE(FILTER(Q3000:Q7068,AA3000:AA7068=""Neighbor""))) / STDEV(FILTER(Q3000:Q7068, AA3000:AA7068 =""Neighbor"")), """")"),0.6017146727745449)</f>
        <v>0.6017146728</v>
      </c>
      <c r="AF3000" s="2">
        <f>IFERROR(__xludf.DUMMYFUNCTION("IFERROR(ABS(R3000-AVERAGE(FILTER(R3000:R7068,AA3000:AA7068=""Neighbor""))) / STDEV(FILTER(R3000:R7068, AA3000:AA7068 =""Neighbor"")), """")"),0.33435908858799135)</f>
        <v>0.3343590886</v>
      </c>
    </row>
    <row r="3001">
      <c r="A3001" s="2" t="s">
        <v>28</v>
      </c>
      <c r="B3001" s="2" t="s">
        <v>1711</v>
      </c>
      <c r="C3001" s="2" t="s">
        <v>1712</v>
      </c>
      <c r="D3001" s="2" t="s">
        <v>12252</v>
      </c>
      <c r="E3001" s="2" t="s">
        <v>12253</v>
      </c>
      <c r="F3001" s="2">
        <v>126.0</v>
      </c>
      <c r="G3001" s="2">
        <v>228.0</v>
      </c>
      <c r="H3001" s="2" t="b">
        <v>1</v>
      </c>
      <c r="I3001" s="2">
        <v>-1.0</v>
      </c>
      <c r="J3001" s="2" t="b">
        <v>0</v>
      </c>
      <c r="K3001" s="2" t="b">
        <v>0</v>
      </c>
      <c r="L3001" s="2" t="b">
        <v>0</v>
      </c>
      <c r="M3001" s="2" t="b">
        <v>0</v>
      </c>
      <c r="N3001" s="2" t="s">
        <v>33</v>
      </c>
      <c r="O3001" s="2">
        <v>56.0</v>
      </c>
      <c r="P3001" s="2">
        <v>38.0</v>
      </c>
      <c r="Q3001" s="2">
        <v>13.0</v>
      </c>
      <c r="R3001" s="2">
        <v>0.0</v>
      </c>
      <c r="S3001" s="3" t="s">
        <v>12254</v>
      </c>
      <c r="T3001" s="2" t="s">
        <v>12255</v>
      </c>
      <c r="Y3001" s="4" t="str">
        <f>IFERROR(__xludf.DUMMYFUNCTION("""COMPUTED_VALUE"""),"6.6442016")</f>
        <v>6.6442016</v>
      </c>
      <c r="Z3001" s="4" t="str">
        <f>IFERROR(__xludf.DUMMYFUNCTION("""COMPUTED_VALUE"""),"3.1979419")</f>
        <v>3.1979419</v>
      </c>
      <c r="AA3001" s="4" t="str">
        <f t="shared" si="1"/>
        <v>Not Neighbor</v>
      </c>
      <c r="AC3001" s="4">
        <f>IFERROR(__xludf.DUMMYFUNCTION("IFERROR(ABS(O3001-AVERAGE(FILTER(O3001:O7069,AA3001:AA7069=""Neighbor""))) / STDEV(FILTER(O3001:O7069, AA3001:AA7069 =""Neighbor"")), """")"),0.33865609979523636)</f>
        <v>0.3386560998</v>
      </c>
      <c r="AD3001" s="4">
        <f>IFERROR(__xludf.DUMMYFUNCTION("IFERROR(ABS(P3001-AVERAGE(FILTER(O3001:P7069,AA3001:AA7069=""Neighbor""))) / STDEV(FILTER(P3001:P7069, AA3001:AA7069 =""Neighbor"")), """")"),0.2841461290043136)</f>
        <v>0.284146129</v>
      </c>
      <c r="AE3001" s="2">
        <f>IFERROR(__xludf.DUMMYFUNCTION("IFERROR(ABS(Q3001-AVERAGE(FILTER(Q3001:Q7069,AA3001:AA7069=""Neighbor""))) / STDEV(FILTER(Q3001:Q7069, AA3001:AA7069 =""Neighbor"")), """")"),0.1440887626375826)</f>
        <v>0.1440887626</v>
      </c>
      <c r="AF3001" s="2">
        <f>IFERROR(__xludf.DUMMYFUNCTION("IFERROR(ABS(R3001-AVERAGE(FILTER(R3001:R7069,AA3001:AA7069=""Neighbor""))) / STDEV(FILTER(R3001:R7069, AA3001:AA7069 =""Neighbor"")), """")"),0.33435908858799135)</f>
        <v>0.3343590886</v>
      </c>
    </row>
    <row r="3002">
      <c r="A3002" s="2" t="s">
        <v>28</v>
      </c>
      <c r="B3002" s="2" t="s">
        <v>1711</v>
      </c>
      <c r="C3002" s="2" t="s">
        <v>1712</v>
      </c>
      <c r="D3002" s="2" t="s">
        <v>12256</v>
      </c>
      <c r="E3002" s="2" t="s">
        <v>12257</v>
      </c>
      <c r="F3002" s="2">
        <v>100.0</v>
      </c>
      <c r="G3002" s="2">
        <v>198.0</v>
      </c>
      <c r="H3002" s="2" t="b">
        <v>1</v>
      </c>
      <c r="I3002" s="2">
        <v>-1.0</v>
      </c>
      <c r="J3002" s="2" t="b">
        <v>0</v>
      </c>
      <c r="K3002" s="2" t="b">
        <v>0</v>
      </c>
      <c r="L3002" s="2" t="b">
        <v>0</v>
      </c>
      <c r="M3002" s="2" t="b">
        <v>0</v>
      </c>
      <c r="N3002" s="2" t="s">
        <v>33</v>
      </c>
      <c r="O3002" s="2">
        <v>44.0</v>
      </c>
      <c r="P3002" s="2">
        <v>35.0</v>
      </c>
      <c r="Q3002" s="2">
        <v>13.0</v>
      </c>
      <c r="R3002" s="2">
        <v>0.0</v>
      </c>
      <c r="S3002" s="3" t="s">
        <v>12258</v>
      </c>
      <c r="T3002" s="2" t="s">
        <v>12259</v>
      </c>
      <c r="Y3002" s="4" t="str">
        <f>IFERROR(__xludf.DUMMYFUNCTION("""COMPUTED_VALUE"""),"6.6926435")</f>
        <v>6.6926435</v>
      </c>
      <c r="Z3002" s="4" t="str">
        <f>IFERROR(__xludf.DUMMYFUNCTION("""COMPUTED_VALUE"""),"3.236561")</f>
        <v>3.236561</v>
      </c>
      <c r="AA3002" s="4" t="str">
        <f t="shared" si="1"/>
        <v>Not Neighbor</v>
      </c>
      <c r="AC3002" s="4">
        <f>IFERROR(__xludf.DUMMYFUNCTION("IFERROR(ABS(O3002-AVERAGE(FILTER(O3002:O7070,AA3002:AA7070=""Neighbor""))) / STDEV(FILTER(O3002:O7070, AA3002:AA7070 =""Neighbor"")), """")"),0.03558599239323636)</f>
        <v>0.03558599239</v>
      </c>
      <c r="AD3002" s="4">
        <f>IFERROR(__xludf.DUMMYFUNCTION("IFERROR(ABS(P3002-AVERAGE(FILTER(O3002:P7070,AA3002:AA7070=""Neighbor""))) / STDEV(FILTER(P3002:P7070, AA3002:AA7070 =""Neighbor"")), """")"),0.15730278580935952)</f>
        <v>0.1573027858</v>
      </c>
      <c r="AE3002" s="2">
        <f>IFERROR(__xludf.DUMMYFUNCTION("IFERROR(ABS(Q3002-AVERAGE(FILTER(Q3002:Q7070,AA3002:AA7070=""Neighbor""))) / STDEV(FILTER(Q3002:Q7070, AA3002:AA7070 =""Neighbor"")), """")"),0.1440887626375826)</f>
        <v>0.1440887626</v>
      </c>
      <c r="AF3002" s="2">
        <f>IFERROR(__xludf.DUMMYFUNCTION("IFERROR(ABS(R3002-AVERAGE(FILTER(R3002:R7070,AA3002:AA7070=""Neighbor""))) / STDEV(FILTER(R3002:R7070, AA3002:AA7070 =""Neighbor"")), """")"),0.33435908858799135)</f>
        <v>0.3343590886</v>
      </c>
    </row>
    <row r="3003">
      <c r="A3003" s="2" t="s">
        <v>28</v>
      </c>
      <c r="B3003" s="2" t="s">
        <v>1711</v>
      </c>
      <c r="C3003" s="2" t="s">
        <v>1712</v>
      </c>
      <c r="D3003" s="2" t="s">
        <v>12260</v>
      </c>
      <c r="E3003" s="2" t="s">
        <v>12261</v>
      </c>
      <c r="F3003" s="2">
        <v>215.0</v>
      </c>
      <c r="G3003" s="2">
        <v>736.0</v>
      </c>
      <c r="H3003" s="2" t="b">
        <v>1</v>
      </c>
      <c r="I3003" s="2">
        <v>-1.0</v>
      </c>
      <c r="J3003" s="2" t="b">
        <v>0</v>
      </c>
      <c r="K3003" s="2" t="b">
        <v>0</v>
      </c>
      <c r="L3003" s="2" t="b">
        <v>0</v>
      </c>
      <c r="M3003" s="2" t="b">
        <v>0</v>
      </c>
      <c r="N3003" s="2" t="s">
        <v>33</v>
      </c>
      <c r="O3003" s="2">
        <v>80.0</v>
      </c>
      <c r="P3003" s="2">
        <v>50.0</v>
      </c>
      <c r="Q3003" s="2">
        <v>30.0</v>
      </c>
      <c r="R3003" s="2">
        <v>1.0</v>
      </c>
      <c r="S3003" s="3" t="s">
        <v>12262</v>
      </c>
      <c r="T3003" s="2" t="s">
        <v>12263</v>
      </c>
      <c r="Y3003" s="4" t="str">
        <f>IFERROR(__xludf.DUMMYFUNCTION("""COMPUTED_VALUE"""),"6.6748956")</f>
        <v>6.6748956</v>
      </c>
      <c r="Z3003" s="4" t="str">
        <f>IFERROR(__xludf.DUMMYFUNCTION("""COMPUTED_VALUE"""),"3.238781")</f>
        <v>3.238781</v>
      </c>
      <c r="AA3003" s="4" t="str">
        <f t="shared" si="1"/>
        <v>Not Neighbor</v>
      </c>
      <c r="AC3003" s="4">
        <f>IFERROR(__xludf.DUMMYFUNCTION("IFERROR(ABS(O3003-AVERAGE(FILTER(O3003:O7071,AA3003:AA7071=""Neighbor""))) / STDEV(FILTER(O3003:O7071, AA3003:AA7071 =""Neighbor"")), """")"),1.0871402841721818)</f>
        <v>1.087140284</v>
      </c>
      <c r="AD3003" s="4">
        <f>IFERROR(__xludf.DUMMYFUNCTION("IFERROR(ABS(P3003-AVERAGE(FILTER(O3003:P7071,AA3003:AA7071=""Neighbor""))) / STDEV(FILTER(P3003:P7071, AA3003:AA7071 =""Neighbor"")), """")"),0.7915195017841298)</f>
        <v>0.7915195018</v>
      </c>
      <c r="AE3003" s="2">
        <f>IFERROR(__xludf.DUMMYFUNCTION("IFERROR(ABS(Q3003-AVERAGE(FILTER(Q3003:Q7071,AA3003:AA7071=""Neighbor""))) / STDEV(FILTER(Q3003:Q7071, AA3003:AA7071 =""Neighbor"")), """")"),0.8283662964034622)</f>
        <v>0.8283662964</v>
      </c>
      <c r="AF3003" s="2">
        <f>IFERROR(__xludf.DUMMYFUNCTION("IFERROR(ABS(R3003-AVERAGE(FILTER(R3003:R7071,AA3003:AA7071=""Neighbor""))) / STDEV(FILTER(R3003:R7071, AA3003:AA7071 =""Neighbor"")), """")"),0.7536782734565377)</f>
        <v>0.7536782735</v>
      </c>
    </row>
    <row r="3004">
      <c r="A3004" s="2" t="s">
        <v>28</v>
      </c>
      <c r="B3004" s="2" t="s">
        <v>1711</v>
      </c>
      <c r="C3004" s="2" t="s">
        <v>1712</v>
      </c>
      <c r="D3004" s="2" t="s">
        <v>12264</v>
      </c>
      <c r="E3004" s="2" t="s">
        <v>12265</v>
      </c>
      <c r="F3004" s="2">
        <v>89.0</v>
      </c>
      <c r="G3004" s="2">
        <v>171.0</v>
      </c>
      <c r="H3004" s="2" t="b">
        <v>1</v>
      </c>
      <c r="I3004" s="2">
        <v>-1.0</v>
      </c>
      <c r="J3004" s="2" t="b">
        <v>0</v>
      </c>
      <c r="K3004" s="2" t="b">
        <v>0</v>
      </c>
      <c r="L3004" s="2" t="b">
        <v>0</v>
      </c>
      <c r="M3004" s="2" t="b">
        <v>0</v>
      </c>
      <c r="N3004" s="2" t="s">
        <v>33</v>
      </c>
      <c r="O3004" s="2">
        <v>49.0</v>
      </c>
      <c r="P3004" s="2">
        <v>18.0</v>
      </c>
      <c r="Q3004" s="2">
        <v>4.0</v>
      </c>
      <c r="R3004" s="2">
        <v>0.0</v>
      </c>
      <c r="S3004" s="3" t="s">
        <v>12266</v>
      </c>
      <c r="T3004" s="2" t="s">
        <v>12267</v>
      </c>
      <c r="Y3004" s="4" t="str">
        <f>IFERROR(__xludf.DUMMYFUNCTION("""COMPUTED_VALUE"""),"6.6117188")</f>
        <v>6.6117188</v>
      </c>
      <c r="Z3004" s="4" t="str">
        <f>IFERROR(__xludf.DUMMYFUNCTION("""COMPUTED_VALUE"""),"3.0576199")</f>
        <v>3.0576199</v>
      </c>
      <c r="AA3004" s="4" t="str">
        <f t="shared" si="1"/>
        <v>Not Neighbor</v>
      </c>
      <c r="AC3004" s="4">
        <f>IFERROR(__xludf.DUMMYFUNCTION("IFERROR(ABS(O3004-AVERAGE(FILTER(O3004:O7072,AA3004:AA7072=""Neighbor""))) / STDEV(FILTER(O3004:O7072, AA3004:AA7072 =""Neighbor"")), """")"),0.12034821268529394)</f>
        <v>0.1203482127</v>
      </c>
      <c r="AD3004" s="4">
        <f>IFERROR(__xludf.DUMMYFUNCTION("IFERROR(ABS(P3004-AVERAGE(FILTER(O3004:P7072,AA3004:AA7072=""Neighbor""))) / STDEV(FILTER(P3004:P7072, AA3004:AA7072 =""Neighbor"")), """")"),0.5614761589620467)</f>
        <v>0.561476159</v>
      </c>
      <c r="AE3004" s="2">
        <f>IFERROR(__xludf.DUMMYFUNCTION("IFERROR(ABS(Q3004-AVERAGE(FILTER(Q3004:Q7072,AA3004:AA7072=""Neighbor""))) / STDEV(FILTER(Q3004:Q7072, AA3004:AA7072 =""Neighbor"")), """")"),0.6589179115416651)</f>
        <v>0.6589179115</v>
      </c>
      <c r="AF3004" s="2">
        <f>IFERROR(__xludf.DUMMYFUNCTION("IFERROR(ABS(R3004-AVERAGE(FILTER(R3004:R7072,AA3004:AA7072=""Neighbor""))) / STDEV(FILTER(R3004:R7072, AA3004:AA7072 =""Neighbor"")), """")"),0.33435908858799135)</f>
        <v>0.3343590886</v>
      </c>
    </row>
    <row r="3005">
      <c r="A3005" s="2" t="s">
        <v>28</v>
      </c>
      <c r="B3005" s="2" t="s">
        <v>1711</v>
      </c>
      <c r="C3005" s="2" t="s">
        <v>1712</v>
      </c>
      <c r="D3005" s="2" t="s">
        <v>12268</v>
      </c>
      <c r="E3005" s="2" t="s">
        <v>12269</v>
      </c>
      <c r="F3005" s="2">
        <v>103.0</v>
      </c>
      <c r="G3005" s="2">
        <v>192.0</v>
      </c>
      <c r="H3005" s="2" t="b">
        <v>1</v>
      </c>
      <c r="I3005" s="2">
        <v>-1.0</v>
      </c>
      <c r="J3005" s="2" t="b">
        <v>0</v>
      </c>
      <c r="K3005" s="2" t="b">
        <v>0</v>
      </c>
      <c r="L3005" s="2" t="b">
        <v>0</v>
      </c>
      <c r="M3005" s="2" t="b">
        <v>0</v>
      </c>
      <c r="N3005" s="2" t="s">
        <v>33</v>
      </c>
      <c r="O3005" s="2">
        <v>44.0</v>
      </c>
      <c r="P3005" s="2">
        <v>31.0</v>
      </c>
      <c r="Q3005" s="2">
        <v>2.0</v>
      </c>
      <c r="R3005" s="2">
        <v>3.0</v>
      </c>
      <c r="S3005" s="3" t="s">
        <v>12270</v>
      </c>
      <c r="T3005" s="2" t="s">
        <v>12271</v>
      </c>
      <c r="Y3005" s="4" t="str">
        <f>IFERROR(__xludf.DUMMYFUNCTION("""COMPUTED_VALUE"""),"6.6926435")</f>
        <v>6.6926435</v>
      </c>
      <c r="Z3005" s="4" t="str">
        <f>IFERROR(__xludf.DUMMYFUNCTION("""COMPUTED_VALUE"""),"3.236561")</f>
        <v>3.236561</v>
      </c>
      <c r="AA3005" s="4" t="str">
        <f t="shared" si="1"/>
        <v>Neighbor</v>
      </c>
      <c r="AC3005" s="4">
        <f>IFERROR(__xludf.DUMMYFUNCTION("IFERROR(ABS(O3005-AVERAGE(FILTER(O3005:O7073,AA3005:AA7073=""Neighbor""))) / STDEV(FILTER(O3005:O7073, AA3005:AA7073 =""Neighbor"")), """")"),0.03558599239323636)</f>
        <v>0.03558599239</v>
      </c>
      <c r="AD3005" s="4">
        <f>IFERROR(__xludf.DUMMYFUNCTION("IFERROR(ABS(P3005-AVERAGE(FILTER(O3005:P7073,AA3005:AA7073=""Neighbor""))) / STDEV(FILTER(P3005:P7073, AA3005:AA7073 =""Neighbor"")), """")"),0.011821671783912522)</f>
        <v>0.01182167178</v>
      </c>
      <c r="AE3005" s="2">
        <f>IFERROR(__xludf.DUMMYFUNCTION("IFERROR(ABS(Q3005-AVERAGE(FILTER(Q3005:Q7073,AA3005:AA7073=""Neighbor""))) / STDEV(FILTER(Q3005:Q7073, AA3005:AA7073 =""Neighbor"")), """")"),0.7733243890759057)</f>
        <v>0.7733243891</v>
      </c>
      <c r="AF3005" s="2">
        <f>IFERROR(__xludf.DUMMYFUNCTION("IFERROR(ABS(R3005-AVERAGE(FILTER(R3005:R7073,AA3005:AA7073=""Neighbor""))) / STDEV(FILTER(R3005:R7073, AA3005:AA7073 =""Neighbor"")), """")"),2.929752997545596)</f>
        <v>2.929752998</v>
      </c>
    </row>
    <row r="3006">
      <c r="A3006" s="2" t="s">
        <v>28</v>
      </c>
      <c r="B3006" s="2" t="s">
        <v>1711</v>
      </c>
      <c r="C3006" s="2" t="s">
        <v>1712</v>
      </c>
      <c r="D3006" s="2" t="s">
        <v>12272</v>
      </c>
      <c r="E3006" s="2" t="s">
        <v>12273</v>
      </c>
      <c r="F3006" s="2">
        <v>102.0</v>
      </c>
      <c r="G3006" s="2">
        <v>161.0</v>
      </c>
      <c r="H3006" s="2" t="b">
        <v>1</v>
      </c>
      <c r="I3006" s="2">
        <v>-1.0</v>
      </c>
      <c r="J3006" s="2" t="b">
        <v>0</v>
      </c>
      <c r="K3006" s="2" t="b">
        <v>0</v>
      </c>
      <c r="L3006" s="2" t="b">
        <v>0</v>
      </c>
      <c r="M3006" s="2" t="b">
        <v>0</v>
      </c>
      <c r="N3006" s="2" t="s">
        <v>33</v>
      </c>
      <c r="O3006" s="2">
        <v>45.0</v>
      </c>
      <c r="P3006" s="2">
        <v>22.0</v>
      </c>
      <c r="Q3006" s="2">
        <v>10.0</v>
      </c>
      <c r="R3006" s="2">
        <v>0.0</v>
      </c>
      <c r="S3006" s="3" t="s">
        <v>12274</v>
      </c>
      <c r="T3006" s="2" t="s">
        <v>12275</v>
      </c>
      <c r="Y3006" s="4" t="str">
        <f>IFERROR(__xludf.DUMMYFUNCTION("""COMPUTED_VALUE"""),"6.6926435")</f>
        <v>6.6926435</v>
      </c>
      <c r="Z3006" s="4" t="str">
        <f>IFERROR(__xludf.DUMMYFUNCTION("""COMPUTED_VALUE"""),"3.236561")</f>
        <v>3.236561</v>
      </c>
      <c r="AA3006" s="4" t="str">
        <f t="shared" si="1"/>
        <v>Not Neighbor</v>
      </c>
      <c r="AC3006" s="4">
        <f>IFERROR(__xludf.DUMMYFUNCTION("IFERROR(ABS(O3006-AVERAGE(FILTER(O3006:O7074,AA3006:AA7074=""Neighbor""))) / STDEV(FILTER(O3006:O7074, AA3006:AA7074 =""Neighbor"")), """")"),0.0044833506504144485)</f>
        <v>0.00448335065</v>
      </c>
      <c r="AD3006" s="4">
        <f>IFERROR(__xludf.DUMMYFUNCTION("IFERROR(ABS(P3006-AVERAGE(FILTER(O3006:P7074,AA3006:AA7074=""Neighbor""))) / STDEV(FILTER(P3006:P7074, AA3006:AA7074 =""Neighbor"")), """")"),0.3913560754452763)</f>
        <v>0.3913560754</v>
      </c>
      <c r="AE3006" s="2">
        <f>IFERROR(__xludf.DUMMYFUNCTION("IFERROR(ABS(Q3006-AVERAGE(FILTER(Q3006:Q7074,AA3006:AA7074=""Neighbor""))) / STDEV(FILTER(Q3006:Q7074, AA3006:AA7074 =""Neighbor"")), """")"),0.31749041988179844)</f>
        <v>0.3174904199</v>
      </c>
      <c r="AF3006" s="2">
        <f>IFERROR(__xludf.DUMMYFUNCTION("IFERROR(ABS(R3006-AVERAGE(FILTER(R3006:R7074,AA3006:AA7074=""Neighbor""))) / STDEV(FILTER(R3006:R7074, AA3006:AA7074 =""Neighbor"")), """")"),0.33015448269582637)</f>
        <v>0.3301544827</v>
      </c>
    </row>
    <row r="3007">
      <c r="A3007" s="2" t="s">
        <v>28</v>
      </c>
      <c r="B3007" s="2" t="s">
        <v>1711</v>
      </c>
      <c r="C3007" s="2" t="s">
        <v>1712</v>
      </c>
      <c r="D3007" s="2" t="s">
        <v>12276</v>
      </c>
      <c r="E3007" s="2" t="s">
        <v>12277</v>
      </c>
      <c r="F3007" s="2">
        <v>77.0</v>
      </c>
      <c r="G3007" s="2">
        <v>146.0</v>
      </c>
      <c r="H3007" s="2" t="b">
        <v>1</v>
      </c>
      <c r="I3007" s="2">
        <v>-1.0</v>
      </c>
      <c r="J3007" s="2" t="b">
        <v>0</v>
      </c>
      <c r="K3007" s="2" t="b">
        <v>0</v>
      </c>
      <c r="L3007" s="2" t="b">
        <v>0</v>
      </c>
      <c r="M3007" s="2" t="b">
        <v>0</v>
      </c>
      <c r="N3007" s="2" t="s">
        <v>33</v>
      </c>
      <c r="O3007" s="2">
        <v>47.0</v>
      </c>
      <c r="P3007" s="2">
        <v>19.0</v>
      </c>
      <c r="Q3007" s="2">
        <v>2.0</v>
      </c>
      <c r="R3007" s="2">
        <v>0.0</v>
      </c>
      <c r="S3007" s="3" t="s">
        <v>12278</v>
      </c>
      <c r="T3007" s="2" t="s">
        <v>12279</v>
      </c>
      <c r="Y3007" s="4" t="str">
        <f>IFERROR(__xludf.DUMMYFUNCTION("""COMPUTED_VALUE"""),"6.8530276")</f>
        <v>6.8530276</v>
      </c>
      <c r="Z3007" s="4" t="str">
        <f>IFERROR(__xludf.DUMMYFUNCTION("""COMPUTED_VALUE"""),"5.7523644")</f>
        <v>5.7523644</v>
      </c>
      <c r="AA3007" s="4" t="str">
        <f t="shared" si="1"/>
        <v>Not Neighbor</v>
      </c>
      <c r="AC3007" s="4">
        <f>IFERROR(__xludf.DUMMYFUNCTION("IFERROR(ABS(O3007-AVERAGE(FILTER(O3007:O7075,AA3007:AA7075=""Neighbor""))) / STDEV(FILTER(O3007:O7075, AA3007:AA7075 =""Neighbor"")), """")"),0.057811626807977086)</f>
        <v>0.05781162681</v>
      </c>
      <c r="AD3007" s="4">
        <f>IFERROR(__xludf.DUMMYFUNCTION("IFERROR(ABS(P3007-AVERAGE(FILTER(O3007:P7075,AA3007:AA7075=""Neighbor""))) / STDEV(FILTER(P3007:P7075, AA3007:AA7075 =""Neighbor"")), """")"),0.5180920758893237)</f>
        <v>0.5180920759</v>
      </c>
      <c r="AE3007" s="2">
        <f>IFERROR(__xludf.DUMMYFUNCTION("IFERROR(ABS(Q3007-AVERAGE(FILTER(Q3007:Q7075,AA3007:AA7075=""Neighbor""))) / STDEV(FILTER(Q3007:Q7075, AA3007:AA7075 =""Neighbor"")), """")"),0.774884530925699)</f>
        <v>0.7748845309</v>
      </c>
      <c r="AF3007" s="2">
        <f>IFERROR(__xludf.DUMMYFUNCTION("IFERROR(ABS(R3007-AVERAGE(FILTER(R3007:R7075,AA3007:AA7075=""Neighbor""))) / STDEV(FILTER(R3007:R7075, AA3007:AA7075 =""Neighbor"")), """")"),0.33015448269582637)</f>
        <v>0.3301544827</v>
      </c>
    </row>
    <row r="3008">
      <c r="A3008" s="2" t="s">
        <v>28</v>
      </c>
      <c r="B3008" s="2" t="s">
        <v>1711</v>
      </c>
      <c r="C3008" s="2" t="s">
        <v>1712</v>
      </c>
      <c r="D3008" s="2" t="s">
        <v>12280</v>
      </c>
      <c r="E3008" s="2" t="s">
        <v>12281</v>
      </c>
      <c r="F3008" s="2">
        <v>122.0</v>
      </c>
      <c r="G3008" s="2">
        <v>202.0</v>
      </c>
      <c r="H3008" s="2" t="b">
        <v>1</v>
      </c>
      <c r="I3008" s="2">
        <v>-1.0</v>
      </c>
      <c r="J3008" s="2" t="b">
        <v>0</v>
      </c>
      <c r="K3008" s="2" t="b">
        <v>0</v>
      </c>
      <c r="L3008" s="2" t="b">
        <v>0</v>
      </c>
      <c r="M3008" s="2" t="b">
        <v>0</v>
      </c>
      <c r="N3008" s="2" t="s">
        <v>33</v>
      </c>
      <c r="O3008" s="2">
        <v>69.0</v>
      </c>
      <c r="P3008" s="2">
        <v>31.0</v>
      </c>
      <c r="Q3008" s="2">
        <v>11.0</v>
      </c>
      <c r="R3008" s="2">
        <v>2.0</v>
      </c>
      <c r="S3008" s="3" t="s">
        <v>12282</v>
      </c>
      <c r="T3008" s="2" t="s">
        <v>12283</v>
      </c>
      <c r="Y3008" s="4" t="str">
        <f>IFERROR(__xludf.DUMMYFUNCTION("""COMPUTED_VALUE"""),"6.6926435")</f>
        <v>6.6926435</v>
      </c>
      <c r="Z3008" s="4" t="str">
        <f>IFERROR(__xludf.DUMMYFUNCTION("""COMPUTED_VALUE"""),"3.236561")</f>
        <v>3.236561</v>
      </c>
      <c r="AA3008" s="4" t="str">
        <f t="shared" si="1"/>
        <v>Not Neighbor</v>
      </c>
      <c r="AC3008" s="4">
        <f>IFERROR(__xludf.DUMMYFUNCTION("IFERROR(ABS(O3008-AVERAGE(FILTER(O3008:O7076,AA3008:AA7076=""Neighbor""))) / STDEV(FILTER(O3008:O7076, AA3008:AA7076 =""Neighbor"")), """")"),0.743056378850284)</f>
        <v>0.7430563789</v>
      </c>
      <c r="AD3008" s="4">
        <f>IFERROR(__xludf.DUMMYFUNCTION("IFERROR(ABS(P3008-AVERAGE(FILTER(O3008:P7076,AA3008:AA7076=""Neighbor""))) / STDEV(FILTER(P3008:P7076, AA3008:AA7076 =""Neighbor"")), """")"),0.011148074113133823)</f>
        <v>0.01114807411</v>
      </c>
      <c r="AE3008" s="2">
        <f>IFERROR(__xludf.DUMMYFUNCTION("IFERROR(ABS(Q3008-AVERAGE(FILTER(Q3008:Q7076,AA3008:AA7076=""Neighbor""))) / STDEV(FILTER(Q3008:Q7076, AA3008:AA7076 =""Neighbor"")), """")"),0.26031615600131086)</f>
        <v>0.260316156</v>
      </c>
      <c r="AF3008" s="2">
        <f>IFERROR(__xludf.DUMMYFUNCTION("IFERROR(ABS(R3008-AVERAGE(FILTER(R3008:R7076,AA3008:AA7076=""Neighbor""))) / STDEV(FILTER(R3008:R7076, AA3008:AA7076 =""Neighbor"")), """")"),1.867176192052867)</f>
        <v>1.867176192</v>
      </c>
    </row>
    <row r="3009">
      <c r="A3009" s="2" t="s">
        <v>28</v>
      </c>
      <c r="B3009" s="2" t="s">
        <v>1711</v>
      </c>
      <c r="C3009" s="2" t="s">
        <v>1712</v>
      </c>
      <c r="D3009" s="2" t="s">
        <v>12284</v>
      </c>
      <c r="E3009" s="2" t="s">
        <v>12285</v>
      </c>
      <c r="F3009" s="2">
        <v>83.0</v>
      </c>
      <c r="G3009" s="2">
        <v>120.0</v>
      </c>
      <c r="H3009" s="2" t="b">
        <v>1</v>
      </c>
      <c r="I3009" s="2">
        <v>-1.0</v>
      </c>
      <c r="J3009" s="2" t="b">
        <v>0</v>
      </c>
      <c r="K3009" s="2" t="b">
        <v>0</v>
      </c>
      <c r="L3009" s="2" t="b">
        <v>0</v>
      </c>
      <c r="M3009" s="2" t="b">
        <v>0</v>
      </c>
      <c r="N3009" s="2" t="s">
        <v>33</v>
      </c>
      <c r="O3009" s="2">
        <v>0.0</v>
      </c>
      <c r="P3009" s="2">
        <v>0.0</v>
      </c>
      <c r="Q3009" s="2">
        <v>0.0</v>
      </c>
      <c r="R3009" s="2">
        <v>0.0</v>
      </c>
      <c r="S3009" s="3" t="s">
        <v>12286</v>
      </c>
      <c r="T3009" s="2" t="s">
        <v>12287</v>
      </c>
      <c r="Y3009" s="4" t="str">
        <f>IFERROR(__xludf.DUMMYFUNCTION("""COMPUTED_VALUE"""),"6.6117188")</f>
        <v>6.6117188</v>
      </c>
      <c r="Z3009" s="4" t="str">
        <f>IFERROR(__xludf.DUMMYFUNCTION("""COMPUTED_VALUE"""),"3.0576199")</f>
        <v>3.0576199</v>
      </c>
      <c r="AA3009" s="4" t="str">
        <f t="shared" si="1"/>
        <v>Not Neighbor</v>
      </c>
      <c r="AC3009" s="4">
        <f>IFERROR(__xludf.DUMMYFUNCTION("IFERROR(ABS(O3009-AVERAGE(FILTER(O3009:O7077,AA3009:AA7077=""Neighbor""))) / STDEV(FILTER(O3009:O7077, AA3009:AA7077 =""Neighbor"")), """")"),1.406120343464224)</f>
        <v>1.406120343</v>
      </c>
      <c r="AD3009" s="4">
        <f>IFERROR(__xludf.DUMMYFUNCTION("IFERROR(ABS(P3009-AVERAGE(FILTER(O3009:P7077,AA3009:AA7077=""Neighbor""))) / STDEV(FILTER(P3009:P7077, AA3009:AA7077 =""Neighbor"")), """")"),1.3207534120349578)</f>
        <v>1.320753412</v>
      </c>
      <c r="AE3009" s="2">
        <f>IFERROR(__xludf.DUMMYFUNCTION("IFERROR(ABS(Q3009-AVERAGE(FILTER(Q3009:Q7077,AA3009:AA7077=""Neighbor""))) / STDEV(FILTER(Q3009:Q7077, AA3009:AA7077 =""Neighbor"")), """")"),0.8892330586866741)</f>
        <v>0.8892330587</v>
      </c>
      <c r="AF3009" s="2">
        <f>IFERROR(__xludf.DUMMYFUNCTION("IFERROR(ABS(R3009-AVERAGE(FILTER(R3009:R7077,AA3009:AA7077=""Neighbor""))) / STDEV(FILTER(R3009:R7077, AA3009:AA7077 =""Neighbor"")), """")"),0.33015448269582637)</f>
        <v>0.3301544827</v>
      </c>
    </row>
    <row r="3010">
      <c r="A3010" s="2" t="s">
        <v>28</v>
      </c>
      <c r="B3010" s="2" t="s">
        <v>1711</v>
      </c>
      <c r="C3010" s="2" t="s">
        <v>1712</v>
      </c>
      <c r="D3010" s="2" t="s">
        <v>12288</v>
      </c>
      <c r="E3010" s="2" t="s">
        <v>12289</v>
      </c>
      <c r="F3010" s="2">
        <v>54.0</v>
      </c>
      <c r="G3010" s="2">
        <v>115.0</v>
      </c>
      <c r="H3010" s="2" t="b">
        <v>1</v>
      </c>
      <c r="I3010" s="2">
        <v>-1.0</v>
      </c>
      <c r="J3010" s="2" t="b">
        <v>0</v>
      </c>
      <c r="K3010" s="2" t="b">
        <v>0</v>
      </c>
      <c r="L3010" s="2" t="b">
        <v>0</v>
      </c>
      <c r="M3010" s="2" t="b">
        <v>0</v>
      </c>
      <c r="N3010" s="2" t="s">
        <v>33</v>
      </c>
      <c r="O3010" s="2">
        <v>33.0</v>
      </c>
      <c r="P3010" s="2">
        <v>13.0</v>
      </c>
      <c r="Q3010" s="2">
        <v>7.0</v>
      </c>
      <c r="R3010" s="2">
        <v>0.0</v>
      </c>
      <c r="S3010" s="3" t="s">
        <v>12290</v>
      </c>
      <c r="T3010" s="2" t="s">
        <v>12291</v>
      </c>
      <c r="Y3010" s="4" t="str">
        <f>IFERROR(__xludf.DUMMYFUNCTION("""COMPUTED_VALUE"""),"6.6843771")</f>
        <v>6.6843771</v>
      </c>
      <c r="Z3010" s="4" t="str">
        <f>IFERROR(__xludf.DUMMYFUNCTION("""COMPUTED_VALUE"""),"3.2268574")</f>
        <v>3.2268574</v>
      </c>
      <c r="AA3010" s="4" t="str">
        <f t="shared" si="1"/>
        <v>Neighbor</v>
      </c>
      <c r="AC3010" s="4">
        <f>IFERROR(__xludf.DUMMYFUNCTION("IFERROR(ABS(O3010-AVERAGE(FILTER(O3010:O7078,AA3010:AA7078=""Neighbor""))) / STDEV(FILTER(O3010:O7078, AA3010:AA7078 =""Neighbor"")), """")"),0.3782532154007636)</f>
        <v>0.3782532154</v>
      </c>
      <c r="AD3010" s="4">
        <f>IFERROR(__xludf.DUMMYFUNCTION("IFERROR(ABS(P3010-AVERAGE(FILTER(O3010:P7078,AA3010:AA7078=""Neighbor""))) / STDEV(FILTER(P3010:P7078, AA3010:AA7078 =""Neighbor"")), """")"),0.7715640767774187)</f>
        <v>0.7715640768</v>
      </c>
      <c r="AE3010" s="2">
        <f>IFERROR(__xludf.DUMMYFUNCTION("IFERROR(ABS(Q3010-AVERAGE(FILTER(Q3010:Q7078,AA3010:AA7078=""Neighbor""))) / STDEV(FILTER(Q3010:Q7078, AA3010:AA7078 =""Neighbor"")), """")"),0.48901321152326116)</f>
        <v>0.4890132115</v>
      </c>
      <c r="AF3010" s="2">
        <f>IFERROR(__xludf.DUMMYFUNCTION("IFERROR(ABS(R3010-AVERAGE(FILTER(R3010:R7078,AA3010:AA7078=""Neighbor""))) / STDEV(FILTER(R3010:R7078, AA3010:AA7078 =""Neighbor"")), """")"),0.33015448269582637)</f>
        <v>0.3301544827</v>
      </c>
    </row>
    <row r="3011">
      <c r="A3011" s="2" t="s">
        <v>28</v>
      </c>
      <c r="B3011" s="2" t="s">
        <v>1711</v>
      </c>
      <c r="C3011" s="2" t="s">
        <v>1712</v>
      </c>
      <c r="D3011" s="2" t="s">
        <v>12292</v>
      </c>
      <c r="E3011" s="2" t="s">
        <v>12293</v>
      </c>
      <c r="F3011" s="2">
        <v>63.0</v>
      </c>
      <c r="G3011" s="2">
        <v>120.0</v>
      </c>
      <c r="H3011" s="2" t="b">
        <v>1</v>
      </c>
      <c r="I3011" s="2">
        <v>-1.0</v>
      </c>
      <c r="J3011" s="2" t="b">
        <v>0</v>
      </c>
      <c r="K3011" s="2" t="b">
        <v>0</v>
      </c>
      <c r="L3011" s="2" t="b">
        <v>0</v>
      </c>
      <c r="M3011" s="2" t="b">
        <v>0</v>
      </c>
      <c r="N3011" s="2" t="s">
        <v>33</v>
      </c>
      <c r="O3011" s="2">
        <v>23.0</v>
      </c>
      <c r="P3011" s="2">
        <v>27.0</v>
      </c>
      <c r="Q3011" s="2">
        <v>6.0</v>
      </c>
      <c r="R3011" s="2">
        <v>0.0</v>
      </c>
      <c r="S3011" s="3" t="s">
        <v>12294</v>
      </c>
      <c r="T3011" s="2" t="s">
        <v>12295</v>
      </c>
      <c r="Y3011" s="4" t="str">
        <f>IFERROR(__xludf.DUMMYFUNCTION("""COMPUTED_VALUE"""),"6.6809795")</f>
        <v>6.6809795</v>
      </c>
      <c r="Z3011" s="4" t="str">
        <f>IFERROR(__xludf.DUMMYFUNCTION("""COMPUTED_VALUE"""),"3.2295568")</f>
        <v>3.2295568</v>
      </c>
      <c r="AA3011" s="4" t="str">
        <f t="shared" si="1"/>
        <v>Not Neighbor</v>
      </c>
      <c r="AC3011" s="4">
        <f>IFERROR(__xludf.DUMMYFUNCTION("IFERROR(ABS(O3011-AVERAGE(FILTER(O3011:O7079,AA3011:AA7079=""Neighbor""))) / STDEV(FILTER(O3011:O7079, AA3011:AA7079 =""Neighbor"")), """")"),0.6899361468391619)</f>
        <v>0.6899361468</v>
      </c>
      <c r="AD3011" s="4">
        <f>IFERROR(__xludf.DUMMYFUNCTION("IFERROR(ABS(P3011-AVERAGE(FILTER(O3011:P7079,AA3011:AA7079=""Neighbor""))) / STDEV(FILTER(P3011:P7079, AA3011:AA7079 =""Neighbor"")), """")"),0.18079182593742504)</f>
        <v>0.1807918259</v>
      </c>
      <c r="AE3011" s="2">
        <f>IFERROR(__xludf.DUMMYFUNCTION("IFERROR(ABS(Q3011-AVERAGE(FILTER(Q3011:Q7079,AA3011:AA7079=""Neighbor""))) / STDEV(FILTER(Q3011:Q7079, AA3011:AA7079 =""Neighbor"")), """")"),0.5468980917419687)</f>
        <v>0.5468980917</v>
      </c>
      <c r="AF3011" s="2">
        <f>IFERROR(__xludf.DUMMYFUNCTION("IFERROR(ABS(R3011-AVERAGE(FILTER(R3011:R7079,AA3011:AA7079=""Neighbor""))) / STDEV(FILTER(R3011:R7079, AA3011:AA7079 =""Neighbor"")), """")"),0.3306168124651007)</f>
        <v>0.3306168125</v>
      </c>
    </row>
    <row r="3012">
      <c r="A3012" s="2" t="s">
        <v>28</v>
      </c>
      <c r="B3012" s="2" t="s">
        <v>1711</v>
      </c>
      <c r="C3012" s="2" t="s">
        <v>1712</v>
      </c>
      <c r="D3012" s="2" t="s">
        <v>12296</v>
      </c>
      <c r="E3012" s="2" t="s">
        <v>12297</v>
      </c>
      <c r="F3012" s="2">
        <v>122.0</v>
      </c>
      <c r="G3012" s="2">
        <v>167.0</v>
      </c>
      <c r="H3012" s="2" t="b">
        <v>1</v>
      </c>
      <c r="I3012" s="2">
        <v>-1.0</v>
      </c>
      <c r="J3012" s="2" t="b">
        <v>0</v>
      </c>
      <c r="K3012" s="2" t="b">
        <v>0</v>
      </c>
      <c r="L3012" s="2" t="b">
        <v>0</v>
      </c>
      <c r="M3012" s="2" t="b">
        <v>0</v>
      </c>
      <c r="N3012" s="2" t="s">
        <v>33</v>
      </c>
      <c r="O3012" s="2">
        <v>96.0</v>
      </c>
      <c r="P3012" s="2">
        <v>12.0</v>
      </c>
      <c r="Q3012" s="2">
        <v>10.0</v>
      </c>
      <c r="R3012" s="2">
        <v>0.0</v>
      </c>
      <c r="S3012" s="3" t="s">
        <v>12298</v>
      </c>
      <c r="T3012" s="2" t="s">
        <v>12299</v>
      </c>
      <c r="Y3012" s="4" t="str">
        <f>IFERROR(__xludf.DUMMYFUNCTION("""COMPUTED_VALUE"""),"6.6926435")</f>
        <v>6.6926435</v>
      </c>
      <c r="Z3012" s="4" t="str">
        <f>IFERROR(__xludf.DUMMYFUNCTION("""COMPUTED_VALUE"""),"3.236561")</f>
        <v>3.236561</v>
      </c>
      <c r="AA3012" s="4" t="str">
        <f t="shared" si="1"/>
        <v>Not Neighbor</v>
      </c>
      <c r="AC3012" s="4">
        <f>IFERROR(__xludf.DUMMYFUNCTION("IFERROR(ABS(O3012-AVERAGE(FILTER(O3012:O7080,AA3012:AA7080=""Neighbor""))) / STDEV(FILTER(O3012:O7080, AA3012:AA7080 =""Neighbor"")), """")"),1.581362950558627)</f>
        <v>1.581362951</v>
      </c>
      <c r="AD3012" s="4">
        <f>IFERROR(__xludf.DUMMYFUNCTION("IFERROR(ABS(P3012-AVERAGE(FILTER(O3012:P7080,AA3012:AA7080=""Neighbor""))) / STDEV(FILTER(P3012:P7080, AA3012:AA7080 =""Neighbor"")), """")"),0.8136967409620887)</f>
        <v>0.813696741</v>
      </c>
      <c r="AE3012" s="2">
        <f>IFERROR(__xludf.DUMMYFUNCTION("IFERROR(ABS(Q3012-AVERAGE(FILTER(Q3012:Q7080,AA3012:AA7080=""Neighbor""))) / STDEV(FILTER(Q3012:Q7080, AA3012:AA7080 =""Neighbor"")), """")"),0.31842136383284375)</f>
        <v>0.3184213638</v>
      </c>
      <c r="AF3012" s="2">
        <f>IFERROR(__xludf.DUMMYFUNCTION("IFERROR(ABS(R3012-AVERAGE(FILTER(R3012:R7080,AA3012:AA7080=""Neighbor""))) / STDEV(FILTER(R3012:R7080, AA3012:AA7080 =""Neighbor"")), """")"),0.3306168124651007)</f>
        <v>0.3306168125</v>
      </c>
    </row>
    <row r="3013">
      <c r="A3013" s="2" t="s">
        <v>28</v>
      </c>
      <c r="B3013" s="2" t="s">
        <v>1711</v>
      </c>
      <c r="C3013" s="2" t="s">
        <v>1712</v>
      </c>
      <c r="D3013" s="2" t="s">
        <v>12300</v>
      </c>
      <c r="E3013" s="2" t="s">
        <v>12301</v>
      </c>
      <c r="F3013" s="2">
        <v>48.0</v>
      </c>
      <c r="G3013" s="2">
        <v>65.0</v>
      </c>
      <c r="H3013" s="2" t="b">
        <v>1</v>
      </c>
      <c r="I3013" s="2">
        <v>-1.0</v>
      </c>
      <c r="J3013" s="2" t="b">
        <v>0</v>
      </c>
      <c r="K3013" s="2" t="b">
        <v>1</v>
      </c>
      <c r="L3013" s="2" t="b">
        <v>0</v>
      </c>
      <c r="M3013" s="2" t="b">
        <v>0</v>
      </c>
      <c r="N3013" s="2" t="s">
        <v>33</v>
      </c>
      <c r="O3013" s="2">
        <v>33.0</v>
      </c>
      <c r="P3013" s="2">
        <v>8.0</v>
      </c>
      <c r="Q3013" s="2">
        <v>6.0</v>
      </c>
      <c r="R3013" s="2">
        <v>0.0</v>
      </c>
      <c r="S3013" s="3" t="s">
        <v>12302</v>
      </c>
      <c r="T3013" s="2" t="s">
        <v>12303</v>
      </c>
      <c r="Y3013" s="4" t="str">
        <f>IFERROR(__xludf.DUMMYFUNCTION("""COMPUTED_VALUE"""),"6.640711")</f>
        <v>6.640711</v>
      </c>
      <c r="Z3013" s="4" t="str">
        <f>IFERROR(__xludf.DUMMYFUNCTION("""COMPUTED_VALUE"""),"3.3395103")</f>
        <v>3.3395103</v>
      </c>
      <c r="AA3013" s="4" t="str">
        <f t="shared" si="1"/>
        <v>Not Neighbor</v>
      </c>
      <c r="AC3013" s="4">
        <f>IFERROR(__xludf.DUMMYFUNCTION("IFERROR(ABS(O3013-AVERAGE(FILTER(O3013:O7081,AA3013:AA7081=""Neighbor""))) / STDEV(FILTER(O3013:O7081, AA3013:AA7081 =""Neighbor"")), """")"),0.37879928418193054)</f>
        <v>0.3787992842</v>
      </c>
      <c r="AD3013" s="4">
        <f>IFERROR(__xludf.DUMMYFUNCTION("IFERROR(ABS(P3013-AVERAGE(FILTER(O3013:P7081,AA3013:AA7081=""Neighbor""))) / STDEV(FILTER(P3013:P7081, AA3013:AA7081 =""Neighbor"")), """")"),0.9824713849686656)</f>
        <v>0.982471385</v>
      </c>
      <c r="AE3013" s="2">
        <f>IFERROR(__xludf.DUMMYFUNCTION("IFERROR(ABS(Q3013-AVERAGE(FILTER(Q3013:Q7081,AA3013:AA7081=""Neighbor""))) / STDEV(FILTER(Q3013:Q7081, AA3013:AA7081 =""Neighbor"")), """")"),0.5468980917419687)</f>
        <v>0.5468980917</v>
      </c>
      <c r="AF3013" s="2">
        <f>IFERROR(__xludf.DUMMYFUNCTION("IFERROR(ABS(R3013-AVERAGE(FILTER(R3013:R7081,AA3013:AA7081=""Neighbor""))) / STDEV(FILTER(R3013:R7081, AA3013:AA7081 =""Neighbor"")), """")"),0.3306168124651007)</f>
        <v>0.3306168125</v>
      </c>
    </row>
    <row r="3014">
      <c r="A3014" s="2" t="s">
        <v>28</v>
      </c>
      <c r="B3014" s="2" t="s">
        <v>1711</v>
      </c>
      <c r="C3014" s="2" t="s">
        <v>1769</v>
      </c>
      <c r="D3014" s="2" t="s">
        <v>12304</v>
      </c>
      <c r="E3014" s="2" t="s">
        <v>12305</v>
      </c>
      <c r="F3014" s="2">
        <v>149.0</v>
      </c>
      <c r="G3014" s="2">
        <v>301.0</v>
      </c>
      <c r="H3014" s="2" t="b">
        <v>1</v>
      </c>
      <c r="I3014" s="2">
        <v>-1.0</v>
      </c>
      <c r="J3014" s="2" t="b">
        <v>0</v>
      </c>
      <c r="K3014" s="2" t="b">
        <v>0</v>
      </c>
      <c r="L3014" s="2" t="b">
        <v>0</v>
      </c>
      <c r="M3014" s="2" t="b">
        <v>0</v>
      </c>
      <c r="N3014" s="2" t="s">
        <v>33</v>
      </c>
      <c r="O3014" s="2">
        <v>31.0</v>
      </c>
      <c r="P3014" s="2">
        <v>94.0</v>
      </c>
      <c r="Q3014" s="2">
        <v>2.0</v>
      </c>
      <c r="R3014" s="2">
        <v>0.0</v>
      </c>
      <c r="S3014" s="3" t="s">
        <v>12306</v>
      </c>
      <c r="T3014" s="2" t="s">
        <v>12307</v>
      </c>
      <c r="Y3014" s="4" t="str">
        <f>IFERROR(__xludf.DUMMYFUNCTION("""COMPUTED_VALUE"""),"6.6871453")</f>
        <v>6.6871453</v>
      </c>
      <c r="Z3014" s="4" t="str">
        <f>IFERROR(__xludf.DUMMYFUNCTION("""COMPUTED_VALUE"""),"3.2086339")</f>
        <v>3.2086339</v>
      </c>
      <c r="AA3014" s="4" t="str">
        <f t="shared" si="1"/>
        <v>Not Neighbor</v>
      </c>
      <c r="AC3014" s="4">
        <f>IFERROR(__xludf.DUMMYFUNCTION("IFERROR(ABS(O3014-AVERAGE(FILTER(O3014:O7082,AA3014:AA7082=""Neighbor""))) / STDEV(FILTER(O3014:O7082, AA3014:AA7082 =""Neighbor"")), """")"),0.4410266567133768)</f>
        <v>0.4410266567</v>
      </c>
      <c r="AD3014" s="4">
        <f>IFERROR(__xludf.DUMMYFUNCTION("IFERROR(ABS(P3014-AVERAGE(FILTER(O3014:P7082,AA3014:AA7082=""Neighbor""))) / STDEV(FILTER(P3014:P7082, AA3014:AA7082 =""Neighbor"")), """")"),2.6461834611727393)</f>
        <v>2.646183461</v>
      </c>
      <c r="AE3014" s="2">
        <f>IFERROR(__xludf.DUMMYFUNCTION("IFERROR(ABS(Q3014-AVERAGE(FILTER(Q3014:Q7082,AA3014:AA7082=""Neighbor""))) / STDEV(FILTER(Q3014:Q7082, AA3014:AA7082 =""Neighbor"")), """")"),0.7753748196510937)</f>
        <v>0.7753748197</v>
      </c>
      <c r="AF3014" s="2">
        <f>IFERROR(__xludf.DUMMYFUNCTION("IFERROR(ABS(R3014-AVERAGE(FILTER(R3014:R7082,AA3014:AA7082=""Neighbor""))) / STDEV(FILTER(R3014:R7082, AA3014:AA7082 =""Neighbor"")), """")"),0.3306168124651007)</f>
        <v>0.3306168125</v>
      </c>
    </row>
    <row r="3015">
      <c r="A3015" s="2" t="s">
        <v>28</v>
      </c>
      <c r="B3015" s="2" t="s">
        <v>1711</v>
      </c>
      <c r="C3015" s="2" t="s">
        <v>1769</v>
      </c>
      <c r="D3015" s="2" t="s">
        <v>12308</v>
      </c>
      <c r="E3015" s="2" t="s">
        <v>12309</v>
      </c>
      <c r="F3015" s="2">
        <v>93.0</v>
      </c>
      <c r="G3015" s="2">
        <v>181.0</v>
      </c>
      <c r="H3015" s="2" t="b">
        <v>1</v>
      </c>
      <c r="I3015" s="2">
        <v>-1.0</v>
      </c>
      <c r="J3015" s="2" t="b">
        <v>0</v>
      </c>
      <c r="K3015" s="2" t="b">
        <v>0</v>
      </c>
      <c r="L3015" s="2" t="b">
        <v>0</v>
      </c>
      <c r="M3015" s="2" t="b">
        <v>0</v>
      </c>
      <c r="N3015" s="2" t="s">
        <v>33</v>
      </c>
      <c r="O3015" s="2">
        <v>16.0</v>
      </c>
      <c r="P3015" s="2">
        <v>72.0</v>
      </c>
      <c r="Q3015" s="2">
        <v>4.0</v>
      </c>
      <c r="R3015" s="2">
        <v>0.0</v>
      </c>
      <c r="S3015" s="3" t="s">
        <v>12310</v>
      </c>
      <c r="T3015" s="2" t="s">
        <v>12311</v>
      </c>
      <c r="Y3015" s="4" t="str">
        <f>IFERROR(__xludf.DUMMYFUNCTION("""COMPUTED_VALUE"""),"6.5664079")</f>
        <v>6.5664079</v>
      </c>
      <c r="Z3015" s="4" t="str">
        <f>IFERROR(__xludf.DUMMYFUNCTION("""COMPUTED_VALUE"""),"3.2402112")</f>
        <v>3.2402112</v>
      </c>
      <c r="AA3015" s="4" t="str">
        <f t="shared" si="1"/>
        <v>Not Neighbor</v>
      </c>
      <c r="AC3015" s="4">
        <f>IFERROR(__xludf.DUMMYFUNCTION("IFERROR(ABS(O3015-AVERAGE(FILTER(O3015:O7083,AA3015:AA7083=""Neighbor""))) / STDEV(FILTER(O3015:O7083, AA3015:AA7083 =""Neighbor"")), """")"),0.9077319506992239)</f>
        <v>0.9077319507</v>
      </c>
      <c r="AD3015" s="4">
        <f>IFERROR(__xludf.DUMMYFUNCTION("IFERROR(ABS(P3015-AVERAGE(FILTER(O3015:P7083,AA3015:AA7083=""Neighbor""))) / STDEV(FILTER(P3015:P7083, AA3015:AA7083 =""Neighbor"")), """")"),1.717922919136566)</f>
        <v>1.717922919</v>
      </c>
      <c r="AE3015" s="2">
        <f>IFERROR(__xludf.DUMMYFUNCTION("IFERROR(ABS(Q3015-AVERAGE(FILTER(Q3015:Q7083,AA3015:AA7083=""Neighbor""))) / STDEV(FILTER(Q3015:Q7083, AA3015:AA7083 =""Neighbor"")), """")"),0.6611364556965312)</f>
        <v>0.6611364557</v>
      </c>
      <c r="AF3015" s="2">
        <f>IFERROR(__xludf.DUMMYFUNCTION("IFERROR(ABS(R3015-AVERAGE(FILTER(R3015:R7083,AA3015:AA7083=""Neighbor""))) / STDEV(FILTER(R3015:R7083, AA3015:AA7083 =""Neighbor"")), """")"),0.3306168124651007)</f>
        <v>0.3306168125</v>
      </c>
    </row>
    <row r="3016">
      <c r="A3016" s="2" t="s">
        <v>28</v>
      </c>
      <c r="B3016" s="2" t="s">
        <v>1711</v>
      </c>
      <c r="C3016" s="2" t="s">
        <v>1769</v>
      </c>
      <c r="D3016" s="2" t="s">
        <v>12312</v>
      </c>
      <c r="E3016" s="2" t="s">
        <v>12313</v>
      </c>
      <c r="F3016" s="2">
        <v>44.0</v>
      </c>
      <c r="G3016" s="2">
        <v>117.0</v>
      </c>
      <c r="H3016" s="2" t="b">
        <v>1</v>
      </c>
      <c r="I3016" s="2">
        <v>-1.0</v>
      </c>
      <c r="J3016" s="2" t="b">
        <v>0</v>
      </c>
      <c r="K3016" s="2" t="b">
        <v>0</v>
      </c>
      <c r="L3016" s="2" t="b">
        <v>0</v>
      </c>
      <c r="M3016" s="2" t="b">
        <v>0</v>
      </c>
      <c r="N3016" s="2" t="s">
        <v>33</v>
      </c>
      <c r="O3016" s="2">
        <v>19.0</v>
      </c>
      <c r="P3016" s="2">
        <v>23.0</v>
      </c>
      <c r="Q3016" s="2">
        <v>1.0</v>
      </c>
      <c r="R3016" s="2">
        <v>0.0</v>
      </c>
      <c r="S3016" s="3" t="s">
        <v>12314</v>
      </c>
      <c r="T3016" s="2" t="s">
        <v>12315</v>
      </c>
      <c r="Y3016" s="4" t="str">
        <f>IFERROR(__xludf.DUMMYFUNCTION("""COMPUTED_VALUE"""),"6.6839715")</f>
        <v>6.6839715</v>
      </c>
      <c r="Z3016" s="4" t="str">
        <f>IFERROR(__xludf.DUMMYFUNCTION("""COMPUTED_VALUE"""),"3.2132494")</f>
        <v>3.2132494</v>
      </c>
      <c r="AA3016" s="4" t="str">
        <f t="shared" si="1"/>
        <v>Neighbor</v>
      </c>
      <c r="AC3016" s="4">
        <f>IFERROR(__xludf.DUMMYFUNCTION("IFERROR(ABS(O3016-AVERAGE(FILTER(O3016:O7084,AA3016:AA7084=""Neighbor""))) / STDEV(FILTER(O3016:O7084, AA3016:AA7084 =""Neighbor"")), """")"),0.8143908919020545)</f>
        <v>0.8143908919</v>
      </c>
      <c r="AD3016" s="4">
        <f>IFERROR(__xludf.DUMMYFUNCTION("IFERROR(ABS(P3016-AVERAGE(FILTER(O3016:P7084,AA3016:AA7084=""Neighbor""))) / STDEV(FILTER(P3016:P7084, AA3016:AA7084 =""Neighbor"")), """")"),0.349566469944002)</f>
        <v>0.3495664699</v>
      </c>
      <c r="AE3016" s="2">
        <f>IFERROR(__xludf.DUMMYFUNCTION("IFERROR(ABS(Q3016-AVERAGE(FILTER(Q3016:Q7084,AA3016:AA7084=""Neighbor""))) / STDEV(FILTER(Q3016:Q7084, AA3016:AA7084 =""Neighbor"")), """")"),0.832494001628375)</f>
        <v>0.8324940016</v>
      </c>
      <c r="AF3016" s="2">
        <f>IFERROR(__xludf.DUMMYFUNCTION("IFERROR(ABS(R3016-AVERAGE(FILTER(R3016:R7084,AA3016:AA7084=""Neighbor""))) / STDEV(FILTER(R3016:R7084, AA3016:AA7084 =""Neighbor"")), """")"),0.3306168124651007)</f>
        <v>0.3306168125</v>
      </c>
    </row>
    <row r="3017">
      <c r="A3017" s="2" t="s">
        <v>28</v>
      </c>
      <c r="B3017" s="2" t="s">
        <v>1711</v>
      </c>
      <c r="C3017" s="2" t="s">
        <v>1769</v>
      </c>
      <c r="D3017" s="2" t="s">
        <v>12316</v>
      </c>
      <c r="E3017" s="2" t="s">
        <v>12317</v>
      </c>
      <c r="F3017" s="2">
        <v>38.0</v>
      </c>
      <c r="G3017" s="2">
        <v>82.0</v>
      </c>
      <c r="H3017" s="2" t="b">
        <v>1</v>
      </c>
      <c r="I3017" s="2">
        <v>-1.0</v>
      </c>
      <c r="J3017" s="2" t="b">
        <v>0</v>
      </c>
      <c r="K3017" s="2" t="b">
        <v>0</v>
      </c>
      <c r="L3017" s="2" t="b">
        <v>0</v>
      </c>
      <c r="M3017" s="2" t="b">
        <v>0</v>
      </c>
      <c r="N3017" s="2" t="s">
        <v>33</v>
      </c>
      <c r="O3017" s="2">
        <v>24.0</v>
      </c>
      <c r="P3017" s="2">
        <v>10.0</v>
      </c>
      <c r="Q3017" s="2">
        <v>3.0</v>
      </c>
      <c r="R3017" s="2">
        <v>0.0</v>
      </c>
      <c r="S3017" s="3" t="s">
        <v>12318</v>
      </c>
      <c r="T3017" s="2" t="s">
        <v>12319</v>
      </c>
      <c r="Y3017" s="4" t="str">
        <f>IFERROR(__xludf.DUMMYFUNCTION("""COMPUTED_VALUE"""),"6.6761137")</f>
        <v>6.6761137</v>
      </c>
      <c r="Z3017" s="4" t="str">
        <f>IFERROR(__xludf.DUMMYFUNCTION("""COMPUTED_VALUE"""),"3.2175569")</f>
        <v>3.2175569</v>
      </c>
      <c r="AA3017" s="4" t="str">
        <f t="shared" si="1"/>
        <v>Neighbor</v>
      </c>
      <c r="AC3017" s="4">
        <f>IFERROR(__xludf.DUMMYFUNCTION("IFERROR(ABS(O3017-AVERAGE(FILTER(O3017:O7085,AA3017:AA7085=""Neighbor""))) / STDEV(FILTER(O3017:O7085, AA3017:AA7085 =""Neighbor"")), """")"),0.6606078750263357)</f>
        <v>0.660607875</v>
      </c>
      <c r="AD3017" s="4">
        <f>IFERROR(__xludf.DUMMYFUNCTION("IFERROR(ABS(P3017-AVERAGE(FILTER(O3017:P7085,AA3017:AA7085=""Neighbor""))) / STDEV(FILTER(P3017:P7085, AA3017:AA7085 =""Neighbor"")), """")"),0.8981075560017628)</f>
        <v>0.898107556</v>
      </c>
      <c r="AE3017" s="2">
        <f>IFERROR(__xludf.DUMMYFUNCTION("IFERROR(ABS(Q3017-AVERAGE(FILTER(Q3017:Q7085,AA3017:AA7085=""Neighbor""))) / STDEV(FILTER(Q3017:Q7085, AA3017:AA7085 =""Neighbor"")), """")"),0.7200890186115184)</f>
        <v>0.7200890186</v>
      </c>
      <c r="AF3017" s="2">
        <f>IFERROR(__xludf.DUMMYFUNCTION("IFERROR(ABS(R3017-AVERAGE(FILTER(R3017:R7085,AA3017:AA7085=""Neighbor""))) / STDEV(FILTER(R3017:R7085, AA3017:AA7085 =""Neighbor"")), """")"),0.3310810905299303)</f>
        <v>0.3310810905</v>
      </c>
    </row>
    <row r="3018">
      <c r="A3018" s="2" t="s">
        <v>28</v>
      </c>
      <c r="B3018" s="2" t="s">
        <v>1711</v>
      </c>
      <c r="C3018" s="2" t="s">
        <v>1769</v>
      </c>
      <c r="D3018" s="2" t="s">
        <v>12320</v>
      </c>
      <c r="E3018" s="2" t="s">
        <v>12321</v>
      </c>
      <c r="F3018" s="2">
        <v>60.0</v>
      </c>
      <c r="G3018" s="2">
        <v>133.0</v>
      </c>
      <c r="H3018" s="2" t="b">
        <v>1</v>
      </c>
      <c r="I3018" s="2">
        <v>-1.0</v>
      </c>
      <c r="J3018" s="2" t="b">
        <v>0</v>
      </c>
      <c r="K3018" s="2" t="b">
        <v>0</v>
      </c>
      <c r="L3018" s="2" t="b">
        <v>0</v>
      </c>
      <c r="M3018" s="2" t="b">
        <v>0</v>
      </c>
      <c r="N3018" s="2" t="s">
        <v>33</v>
      </c>
      <c r="O3018" s="2">
        <v>36.0</v>
      </c>
      <c r="P3018" s="2">
        <v>19.0</v>
      </c>
      <c r="Q3018" s="2">
        <v>4.0</v>
      </c>
      <c r="R3018" s="2">
        <v>0.0</v>
      </c>
      <c r="S3018" s="3" t="s">
        <v>12322</v>
      </c>
      <c r="T3018" s="2" t="s">
        <v>12323</v>
      </c>
      <c r="Y3018" s="4" t="str">
        <f>IFERROR(__xludf.DUMMYFUNCTION("""COMPUTED_VALUE"""),"6.6781329")</f>
        <v>6.6781329</v>
      </c>
      <c r="Z3018" s="4" t="str">
        <f>IFERROR(__xludf.DUMMYFUNCTION("""COMPUTED_VALUE"""),"3.2112391")</f>
        <v>3.2112391</v>
      </c>
      <c r="AA3018" s="4" t="str">
        <f t="shared" si="1"/>
        <v>Not Neighbor</v>
      </c>
      <c r="AC3018" s="4">
        <f>IFERROR(__xludf.DUMMYFUNCTION("IFERROR(ABS(O3018-AVERAGE(FILTER(O3018:O7086,AA3018:AA7086=""Neighbor""))) / STDEV(FILTER(O3018:O7086, AA3018:AA7086 =""Neighbor"")), """")"),0.28887646289813174)</f>
        <v>0.2888764629</v>
      </c>
      <c r="AD3018" s="4">
        <f>IFERROR(__xludf.DUMMYFUNCTION("IFERROR(ABS(P3018-AVERAGE(FILTER(O3018:P7086,AA3018:AA7086=""Neighbor""))) / STDEV(FILTER(P3018:P7086, AA3018:AA7086 =""Neighbor"")), """")"),0.5197561444067772)</f>
        <v>0.5197561444</v>
      </c>
      <c r="AE3018" s="2">
        <f>IFERROR(__xludf.DUMMYFUNCTION("IFERROR(ABS(Q3018-AVERAGE(FILTER(Q3018:Q7086,AA3018:AA7086=""Neighbor""))) / STDEV(FILTER(Q3018:Q7086, AA3018:AA7086 =""Neighbor"")), """")"),0.6644174991786161)</f>
        <v>0.6644174992</v>
      </c>
      <c r="AF3018" s="2">
        <f>IFERROR(__xludf.DUMMYFUNCTION("IFERROR(ABS(R3018-AVERAGE(FILTER(R3018:R7086,AA3018:AA7086=""Neighbor""))) / STDEV(FILTER(R3018:R7086, AA3018:AA7086 =""Neighbor"")), """")"),0.3315473306162932)</f>
        <v>0.3315473306</v>
      </c>
    </row>
    <row r="3019">
      <c r="A3019" s="2" t="s">
        <v>28</v>
      </c>
      <c r="B3019" s="2" t="s">
        <v>1711</v>
      </c>
      <c r="C3019" s="2" t="s">
        <v>1769</v>
      </c>
      <c r="D3019" s="2" t="s">
        <v>12324</v>
      </c>
      <c r="E3019" s="2" t="s">
        <v>12325</v>
      </c>
      <c r="F3019" s="2">
        <v>55.0</v>
      </c>
      <c r="G3019" s="2">
        <v>103.0</v>
      </c>
      <c r="H3019" s="2" t="b">
        <v>1</v>
      </c>
      <c r="I3019" s="2">
        <v>-1.0</v>
      </c>
      <c r="J3019" s="2" t="b">
        <v>0</v>
      </c>
      <c r="K3019" s="2" t="b">
        <v>0</v>
      </c>
      <c r="L3019" s="2" t="b">
        <v>0</v>
      </c>
      <c r="M3019" s="2" t="b">
        <v>0</v>
      </c>
      <c r="N3019" s="2" t="s">
        <v>33</v>
      </c>
      <c r="O3019" s="2">
        <v>19.0</v>
      </c>
      <c r="P3019" s="2">
        <v>10.0</v>
      </c>
      <c r="Q3019" s="2">
        <v>12.0</v>
      </c>
      <c r="R3019" s="2">
        <v>0.0</v>
      </c>
      <c r="S3019" s="3" t="s">
        <v>12326</v>
      </c>
      <c r="T3019" s="2" t="s">
        <v>12327</v>
      </c>
      <c r="Y3019" s="4" t="str">
        <f>IFERROR(__xludf.DUMMYFUNCTION("""COMPUTED_VALUE"""),"6.6927446")</f>
        <v>6.6927446</v>
      </c>
      <c r="Z3019" s="4" t="str">
        <f>IFERROR(__xludf.DUMMYFUNCTION("""COMPUTED_VALUE"""),"3.2364854")</f>
        <v>3.2364854</v>
      </c>
      <c r="AA3019" s="4" t="str">
        <f t="shared" si="1"/>
        <v>Neighbor</v>
      </c>
      <c r="AC3019" s="4">
        <f>IFERROR(__xludf.DUMMYFUNCTION("IFERROR(ABS(O3019-AVERAGE(FILTER(O3019:O7087,AA3019:AA7087=""Neighbor""))) / STDEV(FILTER(O3019:O7087, AA3019:AA7087 =""Neighbor"")), """")"),0.8172048638350107)</f>
        <v>0.8172048638</v>
      </c>
      <c r="AD3019" s="4">
        <f>IFERROR(__xludf.DUMMYFUNCTION("IFERROR(ABS(P3019-AVERAGE(FILTER(O3019:P7087,AA3019:AA7087=""Neighbor""))) / STDEV(FILTER(P3019:P7087, AA3019:AA7087 =""Neighbor"")), """")"),0.8986077637301715)</f>
        <v>0.8986077637</v>
      </c>
      <c r="AE3019" s="2">
        <f>IFERROR(__xludf.DUMMYFUNCTION("IFERROR(ABS(Q3019-AVERAGE(FILTER(Q3019:Q7087,AA3019:AA7087=""Neighbor""))) / STDEV(FILTER(Q3019:Q7087, AA3019:AA7087 =""Neighbor"")), """")"),0.20792086075694452)</f>
        <v>0.2079208608</v>
      </c>
      <c r="AF3019" s="2">
        <f>IFERROR(__xludf.DUMMYFUNCTION("IFERROR(ABS(R3019-AVERAGE(FILTER(R3019:R7087,AA3019:AA7087=""Neighbor""))) / STDEV(FILTER(R3019:R7087, AA3019:AA7087 =""Neighbor"")), """")"),0.3315473306162932)</f>
        <v>0.3315473306</v>
      </c>
    </row>
    <row r="3020">
      <c r="A3020" s="2" t="s">
        <v>28</v>
      </c>
      <c r="B3020" s="2" t="s">
        <v>1711</v>
      </c>
      <c r="C3020" s="2" t="s">
        <v>1769</v>
      </c>
      <c r="D3020" s="2" t="s">
        <v>12328</v>
      </c>
      <c r="E3020" s="2" t="s">
        <v>12329</v>
      </c>
      <c r="F3020" s="2">
        <v>39.0</v>
      </c>
      <c r="G3020" s="2">
        <v>81.0</v>
      </c>
      <c r="H3020" s="2" t="b">
        <v>1</v>
      </c>
      <c r="I3020" s="2">
        <v>-1.0</v>
      </c>
      <c r="J3020" s="2" t="b">
        <v>0</v>
      </c>
      <c r="K3020" s="2" t="b">
        <v>0</v>
      </c>
      <c r="L3020" s="2" t="b">
        <v>0</v>
      </c>
      <c r="M3020" s="2" t="b">
        <v>0</v>
      </c>
      <c r="N3020" s="2" t="s">
        <v>33</v>
      </c>
      <c r="O3020" s="2">
        <v>14.0</v>
      </c>
      <c r="P3020" s="2">
        <v>15.0</v>
      </c>
      <c r="Q3020" s="2">
        <v>1.0</v>
      </c>
      <c r="R3020" s="2">
        <v>0.0</v>
      </c>
      <c r="S3020" s="3" t="s">
        <v>12330</v>
      </c>
      <c r="T3020" s="2" t="s">
        <v>12331</v>
      </c>
      <c r="Y3020" s="4" t="str">
        <f>IFERROR(__xludf.DUMMYFUNCTION("""COMPUTED_VALUE"""),"6.6927446")</f>
        <v>6.6927446</v>
      </c>
      <c r="Z3020" s="4" t="str">
        <f>IFERROR(__xludf.DUMMYFUNCTION("""COMPUTED_VALUE"""),"3.2364854")</f>
        <v>3.2364854</v>
      </c>
      <c r="AA3020" s="4" t="str">
        <f t="shared" si="1"/>
        <v>Not Neighbor</v>
      </c>
      <c r="AC3020" s="4">
        <f>IFERROR(__xludf.DUMMYFUNCTION("IFERROR(ABS(O3020-AVERAGE(FILTER(O3020:O7088,AA3020:AA7088=""Neighbor""))) / STDEV(FILTER(O3020:O7088, AA3020:AA7088 =""Neighbor"")), """")"),0.9742686380867901)</f>
        <v>0.9742686381</v>
      </c>
      <c r="AD3020" s="4">
        <f>IFERROR(__xludf.DUMMYFUNCTION("IFERROR(ABS(P3020-AVERAGE(FILTER(O3020:P7088,AA3020:AA7088=""Neighbor""))) / STDEV(FILTER(P3020:P7088, AA3020:AA7088 =""Neighbor"")), """")"),0.6891486913967866)</f>
        <v>0.6891486914</v>
      </c>
      <c r="AE3020" s="2">
        <f>IFERROR(__xludf.DUMMYFUNCTION("IFERROR(ABS(Q3020-AVERAGE(FILTER(Q3020:Q7088,AA3020:AA7088=""Neighbor""))) / STDEV(FILTER(Q3020:Q7088, AA3020:AA7088 =""Neighbor"")), """")"),0.8351131385722628)</f>
        <v>0.8351131386</v>
      </c>
      <c r="AF3020" s="2">
        <f>IFERROR(__xludf.DUMMYFUNCTION("IFERROR(ABS(R3020-AVERAGE(FILTER(R3020:R7088,AA3020:AA7088=""Neighbor""))) / STDEV(FILTER(R3020:R7088, AA3020:AA7088 =""Neighbor"")), """")"),0.3320155465859644)</f>
        <v>0.3320155466</v>
      </c>
    </row>
    <row r="3021">
      <c r="A3021" s="2" t="s">
        <v>28</v>
      </c>
      <c r="B3021" s="2" t="s">
        <v>1711</v>
      </c>
      <c r="C3021" s="2" t="s">
        <v>1769</v>
      </c>
      <c r="D3021" s="2" t="s">
        <v>12332</v>
      </c>
      <c r="E3021" s="2" t="s">
        <v>12333</v>
      </c>
      <c r="F3021" s="2">
        <v>57.0</v>
      </c>
      <c r="G3021" s="2">
        <v>95.0</v>
      </c>
      <c r="H3021" s="2" t="b">
        <v>1</v>
      </c>
      <c r="I3021" s="2">
        <v>-1.0</v>
      </c>
      <c r="J3021" s="2" t="b">
        <v>0</v>
      </c>
      <c r="K3021" s="2" t="b">
        <v>0</v>
      </c>
      <c r="L3021" s="2" t="b">
        <v>0</v>
      </c>
      <c r="M3021" s="2" t="b">
        <v>0</v>
      </c>
      <c r="N3021" s="2" t="s">
        <v>33</v>
      </c>
      <c r="O3021" s="2">
        <v>15.0</v>
      </c>
      <c r="P3021" s="2">
        <v>26.0</v>
      </c>
      <c r="Q3021" s="2">
        <v>0.0</v>
      </c>
      <c r="R3021" s="2">
        <v>0.0</v>
      </c>
      <c r="S3021" s="3" t="s">
        <v>12334</v>
      </c>
      <c r="T3021" s="2" t="s">
        <v>12335</v>
      </c>
      <c r="Y3021" s="4" t="str">
        <f>IFERROR(__xludf.DUMMYFUNCTION("""COMPUTED_VALUE"""),"6.690738")</f>
        <v>6.690738</v>
      </c>
      <c r="Z3021" s="4" t="str">
        <f>IFERROR(__xludf.DUMMYFUNCTION("""COMPUTED_VALUE"""),"3.2231727")</f>
        <v>3.2231727</v>
      </c>
      <c r="AA3021" s="4" t="str">
        <f t="shared" si="1"/>
        <v>Not Neighbor</v>
      </c>
      <c r="AC3021" s="4">
        <f>IFERROR(__xludf.DUMMYFUNCTION("IFERROR(ABS(O3021-AVERAGE(FILTER(O3021:O7089,AA3021:AA7089=""Neighbor""))) / STDEV(FILTER(O3021:O7089, AA3021:AA7089 =""Neighbor"")), """")"),0.9432036221334779)</f>
        <v>0.9432036221</v>
      </c>
      <c r="AD3021" s="4">
        <f>IFERROR(__xludf.DUMMYFUNCTION("IFERROR(ABS(P3021-AVERAGE(FILTER(O3021:P7089,AA3021:AA7089=""Neighbor""))) / STDEV(FILTER(P3021:P7089, AA3021:AA7089 =""Neighbor"")), """")"),0.22664142955975253)</f>
        <v>0.2266414296</v>
      </c>
      <c r="AE3021" s="2">
        <f>IFERROR(__xludf.DUMMYFUNCTION("IFERROR(ABS(Q3021-AVERAGE(FILTER(Q3021:Q7089,AA3021:AA7089=""Neighbor""))) / STDEV(FILTER(Q3021:Q7089, AA3021:AA7089 =""Neighbor"")), """")"),0.8921055393940467)</f>
        <v>0.8921055394</v>
      </c>
      <c r="AF3021" s="2">
        <f>IFERROR(__xludf.DUMMYFUNCTION("IFERROR(ABS(R3021-AVERAGE(FILTER(R3021:R7089,AA3021:AA7089=""Neighbor""))) / STDEV(FILTER(R3021:R7089, AA3021:AA7089 =""Neighbor"")), """")"),0.3320155465859644)</f>
        <v>0.3320155466</v>
      </c>
    </row>
    <row r="3022">
      <c r="A3022" s="2" t="s">
        <v>28</v>
      </c>
      <c r="B3022" s="2" t="s">
        <v>1711</v>
      </c>
      <c r="C3022" s="2" t="s">
        <v>1769</v>
      </c>
      <c r="D3022" s="2" t="s">
        <v>12336</v>
      </c>
      <c r="E3022" s="2" t="s">
        <v>12337</v>
      </c>
      <c r="F3022" s="2">
        <v>100.0</v>
      </c>
      <c r="G3022" s="2">
        <v>189.0</v>
      </c>
      <c r="H3022" s="2" t="b">
        <v>1</v>
      </c>
      <c r="I3022" s="2">
        <v>-1.0</v>
      </c>
      <c r="J3022" s="2" t="b">
        <v>0</v>
      </c>
      <c r="K3022" s="2" t="b">
        <v>0</v>
      </c>
      <c r="L3022" s="2" t="b">
        <v>0</v>
      </c>
      <c r="M3022" s="2" t="b">
        <v>0</v>
      </c>
      <c r="N3022" s="2" t="s">
        <v>33</v>
      </c>
      <c r="O3022" s="2">
        <v>53.0</v>
      </c>
      <c r="P3022" s="2">
        <v>18.0</v>
      </c>
      <c r="Q3022" s="2">
        <v>12.0</v>
      </c>
      <c r="R3022" s="2">
        <v>0.0</v>
      </c>
      <c r="S3022" s="3" t="s">
        <v>12338</v>
      </c>
      <c r="T3022" s="2" t="s">
        <v>12339</v>
      </c>
      <c r="Y3022" s="4" t="str">
        <f>IFERROR(__xludf.DUMMYFUNCTION("""COMPUTED_VALUE"""),"6.6933759")</f>
        <v>6.6933759</v>
      </c>
      <c r="Z3022" s="4" t="str">
        <f>IFERROR(__xludf.DUMMYFUNCTION("""COMPUTED_VALUE"""),"3.2081417")</f>
        <v>3.2081417</v>
      </c>
      <c r="AA3022" s="4" t="str">
        <f t="shared" si="1"/>
        <v>Not Neighbor</v>
      </c>
      <c r="AC3022" s="4">
        <f>IFERROR(__xludf.DUMMYFUNCTION("IFERROR(ABS(O3022-AVERAGE(FILTER(O3022:O7090,AA3022:AA7090=""Neighbor""))) / STDEV(FILTER(O3022:O7090, AA3022:AA7090 =""Neighbor"")), """")"),0.23726698409239047)</f>
        <v>0.2372669841</v>
      </c>
      <c r="AD3022" s="4">
        <f>IFERROR(__xludf.DUMMYFUNCTION("IFERROR(ABS(P3022-AVERAGE(FILTER(O3022:P7090,AA3022:AA7090=""Neighbor""))) / STDEV(FILTER(P3022:P7090, AA3022:AA7090 =""Neighbor"")), """")"),0.5630103472594137)</f>
        <v>0.5630103473</v>
      </c>
      <c r="AE3022" s="2">
        <f>IFERROR(__xludf.DUMMYFUNCTION("IFERROR(ABS(Q3022-AVERAGE(FILTER(Q3022:Q7090,AA3022:AA7090=""Neighbor""))) / STDEV(FILTER(Q3022:Q7090, AA3022:AA7090 =""Neighbor"")), """")"),0.20819672953263935)</f>
        <v>0.2081967295</v>
      </c>
      <c r="AF3022" s="2">
        <f>IFERROR(__xludf.DUMMYFUNCTION("IFERROR(ABS(R3022-AVERAGE(FILTER(R3022:R7090,AA3022:AA7090=""Neighbor""))) / STDEV(FILTER(R3022:R7090, AA3022:AA7090 =""Neighbor"")), """")"),0.3320155465859644)</f>
        <v>0.3320155466</v>
      </c>
    </row>
    <row r="3023">
      <c r="A3023" s="2" t="s">
        <v>28</v>
      </c>
      <c r="B3023" s="2" t="s">
        <v>1711</v>
      </c>
      <c r="C3023" s="2" t="s">
        <v>1769</v>
      </c>
      <c r="D3023" s="2" t="s">
        <v>12340</v>
      </c>
      <c r="E3023" s="2" t="s">
        <v>12341</v>
      </c>
      <c r="F3023" s="2">
        <v>50.0</v>
      </c>
      <c r="G3023" s="2">
        <v>113.0</v>
      </c>
      <c r="H3023" s="2" t="b">
        <v>1</v>
      </c>
      <c r="I3023" s="2">
        <v>-1.0</v>
      </c>
      <c r="J3023" s="2" t="b">
        <v>0</v>
      </c>
      <c r="K3023" s="2" t="b">
        <v>0</v>
      </c>
      <c r="L3023" s="2" t="b">
        <v>0</v>
      </c>
      <c r="M3023" s="2" t="b">
        <v>0</v>
      </c>
      <c r="N3023" s="2" t="s">
        <v>33</v>
      </c>
      <c r="O3023" s="2">
        <v>30.0</v>
      </c>
      <c r="P3023" s="2">
        <v>9.0</v>
      </c>
      <c r="Q3023" s="2">
        <v>3.0</v>
      </c>
      <c r="R3023" s="2">
        <v>0.0</v>
      </c>
      <c r="S3023" s="3" t="s">
        <v>12342</v>
      </c>
      <c r="T3023" s="2" t="s">
        <v>12343</v>
      </c>
      <c r="Y3023" s="4" t="str">
        <f>IFERROR(__xludf.DUMMYFUNCTION("""COMPUTED_VALUE"""),"6.6289332")</f>
        <v>6.6289332</v>
      </c>
      <c r="Z3023" s="4" t="str">
        <f>IFERROR(__xludf.DUMMYFUNCTION("""COMPUTED_VALUE"""),"3.3181859")</f>
        <v>3.3181859</v>
      </c>
      <c r="AA3023" s="4" t="str">
        <f t="shared" si="1"/>
        <v>Not Neighbor</v>
      </c>
      <c r="AC3023" s="4">
        <f>IFERROR(__xludf.DUMMYFUNCTION("IFERROR(ABS(O3023-AVERAGE(FILTER(O3023:O7091,AA3023:AA7091=""Neighbor""))) / STDEV(FILTER(O3023:O7091, AA3023:AA7091 =""Neighbor"")), """")"),0.477228382833793)</f>
        <v>0.4772283828</v>
      </c>
      <c r="AD3023" s="4">
        <f>IFERROR(__xludf.DUMMYFUNCTION("IFERROR(ABS(P3023-AVERAGE(FILTER(O3023:P7091,AA3023:AA7091=""Neighbor""))) / STDEV(FILTER(P3023:P7091, AA3023:AA7091 =""Neighbor"")), """")"),0.9414253796715324)</f>
        <v>0.9414253797</v>
      </c>
      <c r="AE3023" s="2">
        <f>IFERROR(__xludf.DUMMYFUNCTION("IFERROR(ABS(Q3023-AVERAGE(FILTER(Q3023:Q7091,AA3023:AA7091=""Neighbor""))) / STDEV(FILTER(Q3023:Q7091, AA3023:AA7091 =""Neighbor"")), """")"),0.7211283369286949)</f>
        <v>0.7211283369</v>
      </c>
      <c r="AF3023" s="2">
        <f>IFERROR(__xludf.DUMMYFUNCTION("IFERROR(ABS(R3023-AVERAGE(FILTER(R3023:R7091,AA3023:AA7091=""Neighbor""))) / STDEV(FILTER(R3023:R7091, AA3023:AA7091 =""Neighbor"")), """")"),0.3320155465859644)</f>
        <v>0.3320155466</v>
      </c>
    </row>
    <row r="3024">
      <c r="A3024" s="2" t="s">
        <v>28</v>
      </c>
      <c r="B3024" s="2" t="s">
        <v>1711</v>
      </c>
      <c r="C3024" s="2" t="s">
        <v>1769</v>
      </c>
      <c r="D3024" s="2" t="s">
        <v>12344</v>
      </c>
      <c r="E3024" s="2" t="s">
        <v>12345</v>
      </c>
      <c r="F3024" s="2">
        <v>43.0</v>
      </c>
      <c r="G3024" s="2">
        <v>82.0</v>
      </c>
      <c r="H3024" s="2" t="b">
        <v>1</v>
      </c>
      <c r="I3024" s="2">
        <v>-1.0</v>
      </c>
      <c r="J3024" s="2" t="b">
        <v>0</v>
      </c>
      <c r="K3024" s="2" t="b">
        <v>0</v>
      </c>
      <c r="L3024" s="2" t="b">
        <v>0</v>
      </c>
      <c r="M3024" s="2" t="b">
        <v>0</v>
      </c>
      <c r="N3024" s="2" t="s">
        <v>33</v>
      </c>
      <c r="O3024" s="2">
        <v>22.0</v>
      </c>
      <c r="P3024" s="2">
        <v>14.0</v>
      </c>
      <c r="Q3024" s="2">
        <v>3.0</v>
      </c>
      <c r="R3024" s="2">
        <v>0.0</v>
      </c>
      <c r="S3024" s="3" t="s">
        <v>12346</v>
      </c>
      <c r="T3024" s="2" t="s">
        <v>12347</v>
      </c>
      <c r="Y3024" s="4" t="str">
        <f>IFERROR(__xludf.DUMMYFUNCTION("""COMPUTED_VALUE"""),"6.690738")</f>
        <v>6.690738</v>
      </c>
      <c r="Z3024" s="4" t="str">
        <f>IFERROR(__xludf.DUMMYFUNCTION("""COMPUTED_VALUE"""),"3.2231727")</f>
        <v>3.2231727</v>
      </c>
      <c r="AA3024" s="4" t="str">
        <f t="shared" si="1"/>
        <v>Not Neighbor</v>
      </c>
      <c r="AC3024" s="4">
        <f>IFERROR(__xludf.DUMMYFUNCTION("IFERROR(ABS(O3024-AVERAGE(FILTER(O3024:O7092,AA3024:AA7092=""Neighbor""))) / STDEV(FILTER(O3024:O7092, AA3024:AA7092 =""Neighbor"")), """")"),0.7257485104602915)</f>
        <v>0.7257485105</v>
      </c>
      <c r="AD3024" s="4">
        <f>IFERROR(__xludf.DUMMYFUNCTION("IFERROR(ABS(P3024-AVERAGE(FILTER(O3024:P7092,AA3024:AA7092=""Neighbor""))) / STDEV(FILTER(P3024:P7092, AA3024:AA7092 =""Neighbor"")), """")"),0.7311948061092441)</f>
        <v>0.7311948061</v>
      </c>
      <c r="AE3024" s="2">
        <f>IFERROR(__xludf.DUMMYFUNCTION("IFERROR(ABS(Q3024-AVERAGE(FILTER(Q3024:Q7092,AA3024:AA7092=""Neighbor""))) / STDEV(FILTER(Q3024:Q7092, AA3024:AA7092 =""Neighbor"")), """")"),0.7211283369286949)</f>
        <v>0.7211283369</v>
      </c>
      <c r="AF3024" s="2">
        <f>IFERROR(__xludf.DUMMYFUNCTION("IFERROR(ABS(R3024-AVERAGE(FILTER(R3024:R7092,AA3024:AA7092=""Neighbor""))) / STDEV(FILTER(R3024:R7092, AA3024:AA7092 =""Neighbor"")), """")"),0.3320155465859644)</f>
        <v>0.3320155466</v>
      </c>
    </row>
    <row r="3025">
      <c r="A3025" s="2" t="s">
        <v>28</v>
      </c>
      <c r="B3025" s="2" t="s">
        <v>1711</v>
      </c>
      <c r="C3025" s="2" t="s">
        <v>1769</v>
      </c>
      <c r="D3025" s="2" t="s">
        <v>12348</v>
      </c>
      <c r="E3025" s="2" t="s">
        <v>12349</v>
      </c>
      <c r="F3025" s="2">
        <v>57.0</v>
      </c>
      <c r="G3025" s="2">
        <v>140.0</v>
      </c>
      <c r="H3025" s="2" t="b">
        <v>1</v>
      </c>
      <c r="I3025" s="2">
        <v>-1.0</v>
      </c>
      <c r="J3025" s="2" t="b">
        <v>0</v>
      </c>
      <c r="K3025" s="2" t="b">
        <v>0</v>
      </c>
      <c r="L3025" s="2" t="b">
        <v>0</v>
      </c>
      <c r="M3025" s="2" t="b">
        <v>0</v>
      </c>
      <c r="N3025" s="2" t="s">
        <v>33</v>
      </c>
      <c r="O3025" s="2">
        <v>24.0</v>
      </c>
      <c r="P3025" s="2">
        <v>22.0</v>
      </c>
      <c r="Q3025" s="2">
        <v>3.0</v>
      </c>
      <c r="R3025" s="2">
        <v>1.0</v>
      </c>
      <c r="S3025" s="3" t="s">
        <v>12350</v>
      </c>
      <c r="T3025" s="2" t="s">
        <v>12351</v>
      </c>
      <c r="Y3025" s="4" t="str">
        <f>IFERROR(__xludf.DUMMYFUNCTION("""COMPUTED_VALUE"""),"6.6938213")</f>
        <v>6.6938213</v>
      </c>
      <c r="Z3025" s="4" t="str">
        <f>IFERROR(__xludf.DUMMYFUNCTION("""COMPUTED_VALUE"""),"3.2033697")</f>
        <v>3.2033697</v>
      </c>
      <c r="AA3025" s="4" t="str">
        <f t="shared" si="1"/>
        <v>Not Neighbor</v>
      </c>
      <c r="AC3025" s="4">
        <f>IFERROR(__xludf.DUMMYFUNCTION("IFERROR(ABS(O3025-AVERAGE(FILTER(O3025:O7093,AA3025:AA7093=""Neighbor""))) / STDEV(FILTER(O3025:O7093, AA3025:AA7093 =""Neighbor"")), """")"),0.663618478553667)</f>
        <v>0.6636184786</v>
      </c>
      <c r="AD3025" s="4">
        <f>IFERROR(__xludf.DUMMYFUNCTION("IFERROR(ABS(P3025-AVERAGE(FILTER(O3025:P7093,AA3025:AA7093=""Neighbor""))) / STDEV(FILTER(P3025:P7093, AA3025:AA7093 =""Neighbor"")), """")"),0.3948258884095831)</f>
        <v>0.3948258884</v>
      </c>
      <c r="AE3025" s="2">
        <f>IFERROR(__xludf.DUMMYFUNCTION("IFERROR(ABS(Q3025-AVERAGE(FILTER(Q3025:Q7093,AA3025:AA7093=""Neighbor""))) / STDEV(FILTER(Q3025:Q7093, AA3025:AA7093 =""Neighbor"")), """")"),0.7211283369286949)</f>
        <v>0.7211283369</v>
      </c>
      <c r="AF3025" s="2">
        <f>IFERROR(__xludf.DUMMYFUNCTION("IFERROR(ABS(R3025-AVERAGE(FILTER(R3025:R7093,AA3025:AA7093=""Neighbor""))) / STDEV(FILTER(R3025:R7093, AA3025:AA7093 =""Neighbor"")), """")"),0.7616827245207418)</f>
        <v>0.7616827245</v>
      </c>
    </row>
    <row r="3026">
      <c r="A3026" s="2" t="s">
        <v>28</v>
      </c>
      <c r="B3026" s="2" t="s">
        <v>1711</v>
      </c>
      <c r="C3026" s="2" t="s">
        <v>1769</v>
      </c>
      <c r="D3026" s="2" t="s">
        <v>12352</v>
      </c>
      <c r="E3026" s="2" t="s">
        <v>12353</v>
      </c>
      <c r="F3026" s="2">
        <v>94.0</v>
      </c>
      <c r="G3026" s="2">
        <v>168.0</v>
      </c>
      <c r="H3026" s="2" t="b">
        <v>1</v>
      </c>
      <c r="I3026" s="2">
        <v>-1.0</v>
      </c>
      <c r="J3026" s="2" t="b">
        <v>0</v>
      </c>
      <c r="K3026" s="2" t="b">
        <v>1</v>
      </c>
      <c r="L3026" s="2" t="b">
        <v>0</v>
      </c>
      <c r="M3026" s="2" t="b">
        <v>0</v>
      </c>
      <c r="N3026" s="2" t="s">
        <v>33</v>
      </c>
      <c r="O3026" s="2">
        <v>58.0</v>
      </c>
      <c r="P3026" s="2">
        <v>25.0</v>
      </c>
      <c r="Q3026" s="2">
        <v>5.0</v>
      </c>
      <c r="R3026" s="2">
        <v>0.0</v>
      </c>
      <c r="S3026" s="3" t="s">
        <v>12354</v>
      </c>
      <c r="T3026" s="2" t="s">
        <v>12355</v>
      </c>
      <c r="Y3026" s="4" t="str">
        <f>IFERROR(__xludf.DUMMYFUNCTION("""COMPUTED_VALUE"""),"6.6951358")</f>
        <v>6.6951358</v>
      </c>
      <c r="Z3026" s="4" t="str">
        <f>IFERROR(__xludf.DUMMYFUNCTION("""COMPUTED_VALUE"""),"3.2146751")</f>
        <v>3.2146751</v>
      </c>
      <c r="AA3026" s="4" t="str">
        <f t="shared" si="1"/>
        <v>Neighbor</v>
      </c>
      <c r="AC3026" s="4">
        <f>IFERROR(__xludf.DUMMYFUNCTION("IFERROR(ABS(O3026-AVERAGE(FILTER(O3026:O7094,AA3026:AA7094=""Neighbor""))) / STDEV(FILTER(O3026:O7094, AA3026:AA7094 =""Neighbor"")), """")"),0.39259206385895207)</f>
        <v>0.3925920639</v>
      </c>
      <c r="AD3026" s="4">
        <f>IFERROR(__xludf.DUMMYFUNCTION("IFERROR(ABS(P3026-AVERAGE(FILTER(O3026:P7094,AA3026:AA7094=""Neighbor""))) / STDEV(FILTER(P3026:P7094, AA3026:AA7094 =""Neighbor"")), """")"),0.26868754427221014)</f>
        <v>0.2686875443</v>
      </c>
      <c r="AE3026" s="2">
        <f>IFERROR(__xludf.DUMMYFUNCTION("IFERROR(ABS(Q3026-AVERAGE(FILTER(Q3026:Q7094,AA3026:AA7094=""Neighbor""))) / STDEV(FILTER(Q3026:Q7094, AA3026:AA7094 =""Neighbor"")), """")"),0.607143535285127)</f>
        <v>0.6071435353</v>
      </c>
      <c r="AF3026" s="2">
        <f>IFERROR(__xludf.DUMMYFUNCTION("IFERROR(ABS(R3026-AVERAGE(FILTER(R3026:R7094,AA3026:AA7094=""Neighbor""))) / STDEV(FILTER(R3026:R7094, AA3026:AA7094 =""Neighbor"")), """")"),0.3320155465859644)</f>
        <v>0.3320155466</v>
      </c>
    </row>
    <row r="3027">
      <c r="A3027" s="2" t="s">
        <v>28</v>
      </c>
      <c r="B3027" s="2" t="s">
        <v>1711</v>
      </c>
      <c r="C3027" s="2" t="s">
        <v>1769</v>
      </c>
      <c r="D3027" s="2" t="s">
        <v>12356</v>
      </c>
      <c r="E3027" s="2" t="s">
        <v>12357</v>
      </c>
      <c r="F3027" s="2">
        <v>207.0</v>
      </c>
      <c r="G3027" s="2">
        <v>369.0</v>
      </c>
      <c r="H3027" s="2" t="b">
        <v>1</v>
      </c>
      <c r="I3027" s="2">
        <v>-1.0</v>
      </c>
      <c r="J3027" s="2" t="b">
        <v>0</v>
      </c>
      <c r="K3027" s="2" t="b">
        <v>0</v>
      </c>
      <c r="L3027" s="2" t="b">
        <v>0</v>
      </c>
      <c r="M3027" s="2" t="b">
        <v>0</v>
      </c>
      <c r="N3027" s="2" t="s">
        <v>33</v>
      </c>
      <c r="O3027" s="2">
        <v>141.0</v>
      </c>
      <c r="P3027" s="2">
        <v>40.0</v>
      </c>
      <c r="Q3027" s="2">
        <v>7.0</v>
      </c>
      <c r="R3027" s="2">
        <v>0.0</v>
      </c>
      <c r="S3027" s="3" t="s">
        <v>12358</v>
      </c>
      <c r="T3027" s="2" t="s">
        <v>12359</v>
      </c>
      <c r="Y3027" s="4" t="str">
        <f>IFERROR(__xludf.DUMMYFUNCTION("""COMPUTED_VALUE"""),"6.7017975")</f>
        <v>6.7017975</v>
      </c>
      <c r="Z3027" s="4" t="str">
        <f>IFERROR(__xludf.DUMMYFUNCTION("""COMPUTED_VALUE"""),"3.216975")</f>
        <v>3.216975</v>
      </c>
      <c r="AA3027" s="4" t="str">
        <f t="shared" si="1"/>
        <v>Neighbor</v>
      </c>
      <c r="AC3027" s="4">
        <f>IFERROR(__xludf.DUMMYFUNCTION("IFERROR(ABS(O3027-AVERAGE(FILTER(O3027:O7095,AA3027:AA7095=""Neighbor""))) / STDEV(FILTER(O3027:O7095, AA3027:AA7095 =""Neighbor"")), """")"),2.9687762111151947)</f>
        <v>2.968776211</v>
      </c>
      <c r="AD3027" s="4">
        <f>IFERROR(__xludf.DUMMYFUNCTION("IFERROR(ABS(P3027-AVERAGE(FILTER(O3027:P7095,AA3027:AA7095=""Neighbor""))) / STDEV(FILTER(P3027:P7095, AA3027:AA7095 =""Neighbor"")), """")"),0.36267396458507256)</f>
        <v>0.3626739646</v>
      </c>
      <c r="AE3027" s="2">
        <f>IFERROR(__xludf.DUMMYFUNCTION("IFERROR(ABS(Q3027-AVERAGE(FILTER(Q3027:Q7095,AA3027:AA7095=""Neighbor""))) / STDEV(FILTER(Q3027:Q7095, AA3027:AA7095 =""Neighbor"")), """")"),0.4943121645891949)</f>
        <v>0.4943121646</v>
      </c>
      <c r="AF3027" s="2">
        <f>IFERROR(__xludf.DUMMYFUNCTION("IFERROR(ABS(R3027-AVERAGE(FILTER(R3027:R7095,AA3027:AA7095=""Neighbor""))) / STDEV(FILTER(R3027:R7095, AA3027:AA7095 =""Neighbor"")), """")"),0.33248575243824635)</f>
        <v>0.3324857524</v>
      </c>
    </row>
    <row r="3028">
      <c r="A3028" s="2" t="s">
        <v>28</v>
      </c>
      <c r="B3028" s="2" t="s">
        <v>1711</v>
      </c>
      <c r="C3028" s="2" t="s">
        <v>1769</v>
      </c>
      <c r="D3028" s="2" t="s">
        <v>12360</v>
      </c>
      <c r="E3028" s="2" t="s">
        <v>12361</v>
      </c>
      <c r="F3028" s="2">
        <v>31.0</v>
      </c>
      <c r="G3028" s="2">
        <v>65.0</v>
      </c>
      <c r="H3028" s="2" t="b">
        <v>1</v>
      </c>
      <c r="I3028" s="2">
        <v>-1.0</v>
      </c>
      <c r="J3028" s="2" t="b">
        <v>0</v>
      </c>
      <c r="K3028" s="2" t="b">
        <v>0</v>
      </c>
      <c r="L3028" s="2" t="b">
        <v>0</v>
      </c>
      <c r="M3028" s="2" t="b">
        <v>0</v>
      </c>
      <c r="N3028" s="2" t="s">
        <v>33</v>
      </c>
      <c r="O3028" s="2">
        <v>15.0</v>
      </c>
      <c r="P3028" s="2">
        <v>10.0</v>
      </c>
      <c r="Q3028" s="2">
        <v>3.0</v>
      </c>
      <c r="R3028" s="2">
        <v>0.0</v>
      </c>
      <c r="S3028" s="3" t="s">
        <v>12362</v>
      </c>
      <c r="T3028" s="2" t="s">
        <v>12363</v>
      </c>
      <c r="Y3028" s="4" t="str">
        <f>IFERROR(__xludf.DUMMYFUNCTION("""COMPUTED_VALUE"""),"6.6920531")</f>
        <v>6.6920531</v>
      </c>
      <c r="Z3028" s="4" t="str">
        <f>IFERROR(__xludf.DUMMYFUNCTION("""COMPUTED_VALUE"""),"3.2198369")</f>
        <v>3.2198369</v>
      </c>
      <c r="AA3028" s="4" t="str">
        <f t="shared" si="1"/>
        <v>Neighbor</v>
      </c>
      <c r="AC3028" s="4">
        <f>IFERROR(__xludf.DUMMYFUNCTION("IFERROR(ABS(O3028-AVERAGE(FILTER(O3028:O7096,AA3028:AA7096=""Neighbor""))) / STDEV(FILTER(O3028:O7096, AA3028:AA7096 =""Neighbor"")), """")"),0.9431153147704192)</f>
        <v>0.9431153148</v>
      </c>
      <c r="AD3028" s="4">
        <f>IFERROR(__xludf.DUMMYFUNCTION("IFERROR(ABS(P3028-AVERAGE(FILTER(O3028:P7096,AA3028:AA7096=""Neighbor""))) / STDEV(FILTER(P3028:P7096, AA3028:AA7096 =""Neighbor"")), """")"),0.8907807325559602)</f>
        <v>0.8907807326</v>
      </c>
      <c r="AE3028" s="2">
        <f>IFERROR(__xludf.DUMMYFUNCTION("IFERROR(ABS(Q3028-AVERAGE(FILTER(Q3028:Q7096,AA3028:AA7096=""Neighbor""))) / STDEV(FILTER(Q3028:Q7096, AA3028:AA7096 =""Neighbor"")), """")"),0.7226642148991894)</f>
        <v>0.7226642149</v>
      </c>
      <c r="AF3028" s="2">
        <f>IFERROR(__xludf.DUMMYFUNCTION("IFERROR(ABS(R3028-AVERAGE(FILTER(R3028:R7096,AA3028:AA7096=""Neighbor""))) / STDEV(FILTER(R3028:R7096, AA3028:AA7096 =""Neighbor"")), """")"),0.33295796231173064)</f>
        <v>0.3329579623</v>
      </c>
    </row>
    <row r="3029">
      <c r="A3029" s="2" t="s">
        <v>28</v>
      </c>
      <c r="B3029" s="2" t="s">
        <v>1711</v>
      </c>
      <c r="C3029" s="2" t="s">
        <v>1769</v>
      </c>
      <c r="D3029" s="2" t="s">
        <v>12364</v>
      </c>
      <c r="E3029" s="2" t="s">
        <v>12365</v>
      </c>
      <c r="F3029" s="2">
        <v>71.0</v>
      </c>
      <c r="G3029" s="2">
        <v>122.0</v>
      </c>
      <c r="H3029" s="2" t="b">
        <v>1</v>
      </c>
      <c r="I3029" s="2">
        <v>-1.0</v>
      </c>
      <c r="J3029" s="2" t="b">
        <v>0</v>
      </c>
      <c r="K3029" s="2" t="b">
        <v>0</v>
      </c>
      <c r="L3029" s="2" t="b">
        <v>0</v>
      </c>
      <c r="M3029" s="2" t="b">
        <v>0</v>
      </c>
      <c r="N3029" s="2" t="s">
        <v>33</v>
      </c>
      <c r="O3029" s="2">
        <v>49.0</v>
      </c>
      <c r="P3029" s="2">
        <v>14.0</v>
      </c>
      <c r="Q3029" s="2">
        <v>2.0</v>
      </c>
      <c r="R3029" s="2">
        <v>0.0</v>
      </c>
      <c r="S3029" s="3" t="s">
        <v>12366</v>
      </c>
      <c r="T3029" s="2" t="s">
        <v>12367</v>
      </c>
      <c r="Y3029" s="4" t="str">
        <f>IFERROR(__xludf.DUMMYFUNCTION("""COMPUTED_VALUE"""),"6.6888288")</f>
        <v>6.6888288</v>
      </c>
      <c r="Z3029" s="4" t="str">
        <f>IFERROR(__xludf.DUMMYFUNCTION("""COMPUTED_VALUE"""),"3.2265151")</f>
        <v>3.2265151</v>
      </c>
      <c r="AA3029" s="4" t="str">
        <f t="shared" si="1"/>
        <v>Neighbor</v>
      </c>
      <c r="AC3029" s="4">
        <f>IFERROR(__xludf.DUMMYFUNCTION("IFERROR(ABS(O3029-AVERAGE(FILTER(O3029:O7097,AA3029:AA7097=""Neighbor""))) / STDEV(FILTER(O3029:O7097, AA3029:AA7097 =""Neighbor"")), """")"),0.12030120213594823)</f>
        <v>0.1203012021</v>
      </c>
      <c r="AD3029" s="4">
        <f>IFERROR(__xludf.DUMMYFUNCTION("IFERROR(ABS(P3029-AVERAGE(FILTER(O3029:P7097,AA3029:AA7097=""Neighbor""))) / STDEV(FILTER(P3029:P7097, AA3029:AA7097 =""Neighbor"")), """")"),0.7239869308820311)</f>
        <v>0.7239869309</v>
      </c>
      <c r="AE3029" s="2">
        <f>IFERROR(__xludf.DUMMYFUNCTION("IFERROR(ABS(Q3029-AVERAGE(FILTER(Q3029:Q7097,AA3029:AA7097=""Neighbor""))) / STDEV(FILTER(Q3029:Q7097, AA3029:AA7097 =""Neighbor"")), """")"),0.7809338754963335)</f>
        <v>0.7809338755</v>
      </c>
      <c r="AF3029" s="2">
        <f>IFERROR(__xludf.DUMMYFUNCTION("IFERROR(ABS(R3029-AVERAGE(FILTER(R3029:R7097,AA3029:AA7097=""Neighbor""))) / STDEV(FILTER(R3029:R7097, AA3029:AA7097 =""Neighbor"")), """")"),0.33343219048608463)</f>
        <v>0.3334321905</v>
      </c>
    </row>
    <row r="3030">
      <c r="A3030" s="2" t="s">
        <v>28</v>
      </c>
      <c r="B3030" s="2" t="s">
        <v>1711</v>
      </c>
      <c r="C3030" s="2" t="s">
        <v>1769</v>
      </c>
      <c r="D3030" s="2" t="s">
        <v>12368</v>
      </c>
      <c r="E3030" s="2" t="s">
        <v>12369</v>
      </c>
      <c r="F3030" s="2">
        <v>140.0</v>
      </c>
      <c r="G3030" s="2">
        <v>750.0</v>
      </c>
      <c r="H3030" s="2" t="b">
        <v>1</v>
      </c>
      <c r="I3030" s="2">
        <v>-1.0</v>
      </c>
      <c r="J3030" s="2" t="b">
        <v>0</v>
      </c>
      <c r="K3030" s="2" t="b">
        <v>0</v>
      </c>
      <c r="L3030" s="2" t="b">
        <v>0</v>
      </c>
      <c r="M3030" s="2" t="b">
        <v>0</v>
      </c>
      <c r="N3030" s="2" t="s">
        <v>33</v>
      </c>
      <c r="O3030" s="2">
        <v>62.0</v>
      </c>
      <c r="P3030" s="2">
        <v>22.0</v>
      </c>
      <c r="Q3030" s="2">
        <v>36.0</v>
      </c>
      <c r="R3030" s="2">
        <v>3.0</v>
      </c>
      <c r="S3030" s="3" t="s">
        <v>12370</v>
      </c>
      <c r="T3030" s="2" t="s">
        <v>12371</v>
      </c>
      <c r="Y3030" s="4" t="str">
        <f>IFERROR(__xludf.DUMMYFUNCTION("""COMPUTED_VALUE"""),"6.6875695")</f>
        <v>6.6875695</v>
      </c>
      <c r="Z3030" s="4" t="str">
        <f>IFERROR(__xludf.DUMMYFUNCTION("""COMPUTED_VALUE"""),"3.2235755")</f>
        <v>3.2235755</v>
      </c>
      <c r="AA3030" s="4" t="str">
        <f t="shared" si="1"/>
        <v>Neighbor</v>
      </c>
      <c r="AC3030" s="4">
        <f>IFERROR(__xludf.DUMMYFUNCTION("IFERROR(ABS(O3030-AVERAGE(FILTER(O3030:O7098,AA3030:AA7098=""Neighbor""))) / STDEV(FILTER(O3030:O7098, AA3030:AA7098 =""Neighbor"")), """")"),0.5274171655623)</f>
        <v>0.5274171656</v>
      </c>
      <c r="AD3030" s="4">
        <f>IFERROR(__xludf.DUMMYFUNCTION("IFERROR(ABS(P3030-AVERAGE(FILTER(O3030:P7098,AA3030:AA7098=""Neighbor""))) / STDEV(FILTER(P3030:P7098, AA3030:AA7098 =""Neighbor"")), """")"),0.3879206554718209)</f>
        <v>0.3879206555</v>
      </c>
      <c r="AE3030" s="2">
        <f>IFERROR(__xludf.DUMMYFUNCTION("IFERROR(ABS(Q3030-AVERAGE(FILTER(Q3030:Q7098,AA3030:AA7098=""Neighbor""))) / STDEV(FILTER(Q3030:Q7098, AA3030:AA7098 =""Neighbor"")), """")"),1.1495910492634929)</f>
        <v>1.149591049</v>
      </c>
      <c r="AF3030" s="2">
        <f>IFERROR(__xludf.DUMMYFUNCTION("IFERROR(ABS(R3030-AVERAGE(FILTER(R3030:R7098,AA3030:AA7098=""Neighbor""))) / STDEV(FILTER(R3030:R7098, AA3030:AA7098 =""Neighbor"")), """")"),2.9322212747574854)</f>
        <v>2.932221275</v>
      </c>
    </row>
    <row r="3031">
      <c r="A3031" s="2" t="s">
        <v>28</v>
      </c>
      <c r="B3031" s="2" t="s">
        <v>1711</v>
      </c>
      <c r="C3031" s="2" t="s">
        <v>1769</v>
      </c>
      <c r="D3031" s="2" t="s">
        <v>12372</v>
      </c>
      <c r="E3031" s="2" t="s">
        <v>12373</v>
      </c>
      <c r="F3031" s="2">
        <v>56.0</v>
      </c>
      <c r="G3031" s="2">
        <v>93.0</v>
      </c>
      <c r="H3031" s="2" t="b">
        <v>1</v>
      </c>
      <c r="I3031" s="2">
        <v>-1.0</v>
      </c>
      <c r="J3031" s="2" t="b">
        <v>1</v>
      </c>
      <c r="K3031" s="2" t="b">
        <v>1</v>
      </c>
      <c r="L3031" s="2" t="b">
        <v>0</v>
      </c>
      <c r="M3031" s="2" t="b">
        <v>0</v>
      </c>
      <c r="N3031" s="2" t="s">
        <v>33</v>
      </c>
      <c r="O3031" s="2">
        <v>0.0</v>
      </c>
      <c r="P3031" s="2">
        <v>0.0</v>
      </c>
      <c r="Q3031" s="2">
        <v>0.0</v>
      </c>
      <c r="R3031" s="2">
        <v>0.0</v>
      </c>
      <c r="S3031" s="3" t="s">
        <v>12374</v>
      </c>
      <c r="T3031" s="2" t="s">
        <v>12375</v>
      </c>
      <c r="Y3031" s="4" t="str">
        <f>IFERROR(__xludf.DUMMYFUNCTION("""COMPUTED_VALUE"""),"6.690738")</f>
        <v>6.690738</v>
      </c>
      <c r="Z3031" s="4" t="str">
        <f>IFERROR(__xludf.DUMMYFUNCTION("""COMPUTED_VALUE"""),"3.2231727")</f>
        <v>3.2231727</v>
      </c>
      <c r="AA3031" s="4" t="str">
        <f t="shared" si="1"/>
        <v>Neighbor</v>
      </c>
      <c r="AC3031" s="4">
        <f>IFERROR(__xludf.DUMMYFUNCTION("IFERROR(ABS(O3031-AVERAGE(FILTER(O3031:O7099,AA3031:AA7099=""Neighbor""))) / STDEV(FILTER(O3031:O7099, AA3031:AA7099 =""Neighbor"")), """")"),1.4107850835834794)</f>
        <v>1.410785084</v>
      </c>
      <c r="AD3031" s="4">
        <f>IFERROR(__xludf.DUMMYFUNCTION("IFERROR(ABS(P3031-AVERAGE(FILTER(O3031:P7099,AA3031:AA7099=""Neighbor""))) / STDEV(FILTER(P3031:P7099, AA3031:AA7099 =""Neighbor"")), """")"),1.3067253510180297)</f>
        <v>1.306725351</v>
      </c>
      <c r="AE3031" s="2">
        <f>IFERROR(__xludf.DUMMYFUNCTION("IFERROR(ABS(Q3031-AVERAGE(FILTER(Q3031:Q7099,AA3031:AA7099=""Neighbor""))) / STDEV(FILTER(Q3031:Q7099, AA3031:AA7099 =""Neighbor"")), """")"),0.8936151345723777)</f>
        <v>0.8936151346</v>
      </c>
      <c r="AF3031" s="2">
        <f>IFERROR(__xludf.DUMMYFUNCTION("IFERROR(ABS(R3031-AVERAGE(FILTER(R3031:R7099,AA3031:AA7099=""Neighbor""))) / STDEV(FILTER(R3031:R7099, AA3031:AA7099 =""Neighbor"")), """")"),0.32960124627500226)</f>
        <v>0.3296012463</v>
      </c>
    </row>
    <row r="3032">
      <c r="A3032" s="2" t="s">
        <v>28</v>
      </c>
      <c r="B3032" s="2" t="s">
        <v>1711</v>
      </c>
      <c r="C3032" s="2" t="s">
        <v>1769</v>
      </c>
      <c r="D3032" s="2" t="s">
        <v>12376</v>
      </c>
      <c r="E3032" s="2" t="s">
        <v>12377</v>
      </c>
      <c r="F3032" s="2">
        <v>35.0</v>
      </c>
      <c r="G3032" s="2">
        <v>74.0</v>
      </c>
      <c r="H3032" s="2" t="b">
        <v>1</v>
      </c>
      <c r="I3032" s="2">
        <v>-1.0</v>
      </c>
      <c r="J3032" s="2" t="b">
        <v>0</v>
      </c>
      <c r="K3032" s="2" t="b">
        <v>0</v>
      </c>
      <c r="L3032" s="2" t="b">
        <v>0</v>
      </c>
      <c r="M3032" s="2" t="b">
        <v>0</v>
      </c>
      <c r="N3032" s="2" t="s">
        <v>33</v>
      </c>
      <c r="O3032" s="2">
        <v>20.0</v>
      </c>
      <c r="P3032" s="2">
        <v>6.0</v>
      </c>
      <c r="Q3032" s="2">
        <v>0.0</v>
      </c>
      <c r="R3032" s="2">
        <v>0.0</v>
      </c>
      <c r="S3032" s="3" t="s">
        <v>12378</v>
      </c>
      <c r="T3032" s="2" t="s">
        <v>12379</v>
      </c>
      <c r="Y3032" s="4" t="str">
        <f>IFERROR(__xludf.DUMMYFUNCTION("""COMPUTED_VALUE"""),"6.690738")</f>
        <v>6.690738</v>
      </c>
      <c r="Z3032" s="4" t="str">
        <f>IFERROR(__xludf.DUMMYFUNCTION("""COMPUTED_VALUE"""),"3.2231727")</f>
        <v>3.2231727</v>
      </c>
      <c r="AA3032" s="4" t="str">
        <f t="shared" si="1"/>
        <v>Not Neighbor</v>
      </c>
      <c r="AC3032" s="4">
        <f>IFERROR(__xludf.DUMMYFUNCTION("IFERROR(ABS(O3032-AVERAGE(FILTER(O3032:O7100,AA3032:AA7100=""Neighbor""))) / STDEV(FILTER(O3032:O7100, AA3032:AA7100 =""Neighbor"")), """")"),0.7899548484789243)</f>
        <v>0.7899548485</v>
      </c>
      <c r="AD3032" s="4">
        <f>IFERROR(__xludf.DUMMYFUNCTION("IFERROR(ABS(P3032-AVERAGE(FILTER(O3032:P7100,AA3032:AA7100=""Neighbor""))) / STDEV(FILTER(P3032:P7100, AA3032:AA7100 =""Neighbor"")), """")"),1.058431621812606)</f>
        <v>1.058431622</v>
      </c>
      <c r="AE3032" s="2">
        <f>IFERROR(__xludf.DUMMYFUNCTION("IFERROR(ABS(Q3032-AVERAGE(FILTER(Q3032:Q7100,AA3032:AA7100=""Neighbor""))) / STDEV(FILTER(Q3032:Q7100, AA3032:AA7100 =""Neighbor"")), """")"),0.8956982982724132)</f>
        <v>0.8956982983</v>
      </c>
      <c r="AF3032" s="2">
        <f>IFERROR(__xludf.DUMMYFUNCTION("IFERROR(ABS(R3032-AVERAGE(FILTER(R3032:R7100,AA3032:AA7100=""Neighbor""))) / STDEV(FILTER(R3032:R7100, AA3032:AA7100 =""Neighbor"")), """")"),0.33007337925803193)</f>
        <v>0.3300733793</v>
      </c>
    </row>
    <row r="3033">
      <c r="A3033" s="2" t="s">
        <v>28</v>
      </c>
      <c r="B3033" s="2" t="s">
        <v>1711</v>
      </c>
      <c r="C3033" s="2" t="s">
        <v>1769</v>
      </c>
      <c r="D3033" s="2" t="s">
        <v>12380</v>
      </c>
      <c r="E3033" s="2" t="s">
        <v>12381</v>
      </c>
      <c r="F3033" s="2">
        <v>145.0</v>
      </c>
      <c r="G3033" s="2">
        <v>750.0</v>
      </c>
      <c r="H3033" s="2" t="b">
        <v>1</v>
      </c>
      <c r="I3033" s="2">
        <v>-1.0</v>
      </c>
      <c r="J3033" s="2" t="b">
        <v>0</v>
      </c>
      <c r="K3033" s="2" t="b">
        <v>0</v>
      </c>
      <c r="L3033" s="2" t="b">
        <v>0</v>
      </c>
      <c r="M3033" s="2" t="b">
        <v>0</v>
      </c>
      <c r="N3033" s="2" t="s">
        <v>33</v>
      </c>
      <c r="O3033" s="2">
        <v>64.0</v>
      </c>
      <c r="P3033" s="2">
        <v>47.0</v>
      </c>
      <c r="Q3033" s="2">
        <v>23.0</v>
      </c>
      <c r="R3033" s="2">
        <v>0.0</v>
      </c>
      <c r="S3033" s="3" t="s">
        <v>12382</v>
      </c>
      <c r="T3033" s="2" t="s">
        <v>12383</v>
      </c>
      <c r="Y3033" s="4" t="str">
        <f>IFERROR(__xludf.DUMMYFUNCTION("""COMPUTED_VALUE"""),"6.7510548")</f>
        <v>6.7510548</v>
      </c>
      <c r="Z3033" s="4" t="str">
        <f>IFERROR(__xludf.DUMMYFUNCTION("""COMPUTED_VALUE"""),"3.2290067")</f>
        <v>3.2290067</v>
      </c>
      <c r="AA3033" s="4" t="str">
        <f t="shared" si="1"/>
        <v>Not Neighbor</v>
      </c>
      <c r="AC3033" s="4">
        <f>IFERROR(__xludf.DUMMYFUNCTION("IFERROR(ABS(O3033-AVERAGE(FILTER(O3033:O7101,AA3033:AA7101=""Neighbor""))) / STDEV(FILTER(O3033:O7101, AA3033:AA7101 =""Neighbor"")), """")"),0.5879431844435414)</f>
        <v>0.5879431844</v>
      </c>
      <c r="AD3033" s="4">
        <f>IFERROR(__xludf.DUMMYFUNCTION("IFERROR(ABS(P3033-AVERAGE(FILTER(O3033:P7101,AA3033:AA7101=""Neighbor""))) / STDEV(FILTER(P3033:P7101, AA3033:AA7101 =""Neighbor"")), """")"),0.6559004677182816)</f>
        <v>0.6559004677</v>
      </c>
      <c r="AE3033" s="2">
        <f>IFERROR(__xludf.DUMMYFUNCTION("IFERROR(ABS(Q3033-AVERAGE(FILTER(Q3033:Q7101,AA3033:AA7101=""Neighbor""))) / STDEV(FILTER(Q3033:Q7101, AA3033:AA7101 =""Neighbor"")), """")"),0.4115529744651316)</f>
        <v>0.4115529745</v>
      </c>
      <c r="AF3033" s="2">
        <f>IFERROR(__xludf.DUMMYFUNCTION("IFERROR(ABS(R3033-AVERAGE(FILTER(R3033:R7101,AA3033:AA7101=""Neighbor""))) / STDEV(FILTER(R3033:R7101, AA3033:AA7101 =""Neighbor"")), """")"),0.33007337925803193)</f>
        <v>0.3300733793</v>
      </c>
    </row>
    <row r="3034">
      <c r="A3034" s="2" t="s">
        <v>28</v>
      </c>
      <c r="B3034" s="2" t="s">
        <v>1711</v>
      </c>
      <c r="C3034" s="2" t="s">
        <v>1769</v>
      </c>
      <c r="D3034" s="2" t="s">
        <v>12384</v>
      </c>
      <c r="E3034" s="2" t="s">
        <v>12385</v>
      </c>
      <c r="F3034" s="2">
        <v>128.0</v>
      </c>
      <c r="G3034" s="2">
        <v>750.0</v>
      </c>
      <c r="H3034" s="2" t="b">
        <v>1</v>
      </c>
      <c r="I3034" s="2">
        <v>-1.0</v>
      </c>
      <c r="J3034" s="2" t="b">
        <v>0</v>
      </c>
      <c r="K3034" s="2" t="b">
        <v>0</v>
      </c>
      <c r="L3034" s="2" t="b">
        <v>0</v>
      </c>
      <c r="M3034" s="2" t="b">
        <v>0</v>
      </c>
      <c r="N3034" s="2" t="s">
        <v>33</v>
      </c>
      <c r="O3034" s="2">
        <v>50.0</v>
      </c>
      <c r="P3034" s="2">
        <v>60.0</v>
      </c>
      <c r="Q3034" s="2">
        <v>8.0</v>
      </c>
      <c r="R3034" s="2">
        <v>1.0</v>
      </c>
      <c r="S3034" s="3" t="s">
        <v>12386</v>
      </c>
      <c r="T3034" s="2" t="s">
        <v>12387</v>
      </c>
      <c r="Y3034" s="4" t="str">
        <f>IFERROR(__xludf.DUMMYFUNCTION("""COMPUTED_VALUE"""),"6.6830017")</f>
        <v>6.6830017</v>
      </c>
      <c r="Z3034" s="4" t="str">
        <f>IFERROR(__xludf.DUMMYFUNCTION("""COMPUTED_VALUE"""),"3.2158941")</f>
        <v>3.2158941</v>
      </c>
      <c r="AA3034" s="4" t="str">
        <f t="shared" si="1"/>
        <v>Neighbor</v>
      </c>
      <c r="AC3034" s="4">
        <f>IFERROR(__xludf.DUMMYFUNCTION("IFERROR(ABS(O3034-AVERAGE(FILTER(O3034:O7102,AA3034:AA7102=""Neighbor""))) / STDEV(FILTER(O3034:O7102, AA3034:AA7102 =""Neighbor"")), """")"),0.1495210830591205)</f>
        <v>0.1495210831</v>
      </c>
      <c r="AD3034" s="4">
        <f>IFERROR(__xludf.DUMMYFUNCTION("IFERROR(ABS(P3034-AVERAGE(FILTER(O3034:P7102,AA3034:AA7102=""Neighbor""))) / STDEV(FILTER(P3034:P7102, AA3034:AA7102 =""Neighbor"")), """")"),1.1994691790329532)</f>
        <v>1.199469179</v>
      </c>
      <c r="AE3034" s="2">
        <f>IFERROR(__xludf.DUMMYFUNCTION("IFERROR(ABS(Q3034-AVERAGE(FILTER(Q3034:Q7102,AA3034:AA7102=""Neighbor""))) / STDEV(FILTER(Q3034:Q7102, AA3034:AA7102 =""Neighbor"")), """")"),0.44100220340718027)</f>
        <v>0.4410022034</v>
      </c>
      <c r="AF3034" s="2">
        <f>IFERROR(__xludf.DUMMYFUNCTION("IFERROR(ABS(R3034-AVERAGE(FILTER(R3034:R7102,AA3034:AA7102=""Neighbor""))) / STDEV(FILTER(R3034:R7102, AA3034:AA7102 =""Neighbor"")), """")"),0.7682742448247296)</f>
        <v>0.7682742448</v>
      </c>
    </row>
    <row r="3035">
      <c r="A3035" s="2" t="s">
        <v>28</v>
      </c>
      <c r="B3035" s="2" t="s">
        <v>1711</v>
      </c>
      <c r="C3035" s="2" t="s">
        <v>1769</v>
      </c>
      <c r="D3035" s="2" t="s">
        <v>12388</v>
      </c>
      <c r="E3035" s="2" t="s">
        <v>12389</v>
      </c>
      <c r="F3035" s="2">
        <v>189.0</v>
      </c>
      <c r="G3035" s="2">
        <v>293.0</v>
      </c>
      <c r="H3035" s="2" t="b">
        <v>1</v>
      </c>
      <c r="I3035" s="2">
        <v>-1.0</v>
      </c>
      <c r="J3035" s="2" t="b">
        <v>0</v>
      </c>
      <c r="K3035" s="2" t="b">
        <v>0</v>
      </c>
      <c r="L3035" s="2" t="b">
        <v>0</v>
      </c>
      <c r="M3035" s="2" t="b">
        <v>0</v>
      </c>
      <c r="N3035" s="2" t="s">
        <v>33</v>
      </c>
      <c r="O3035" s="2">
        <v>116.0</v>
      </c>
      <c r="P3035" s="2">
        <v>58.0</v>
      </c>
      <c r="Q3035" s="2">
        <v>11.0</v>
      </c>
      <c r="R3035" s="2">
        <v>0.0</v>
      </c>
      <c r="S3035" s="3" t="s">
        <v>12390</v>
      </c>
      <c r="T3035" s="2" t="s">
        <v>12391</v>
      </c>
      <c r="Y3035" s="4" t="str">
        <f>IFERROR(__xludf.DUMMYFUNCTION("""COMPUTED_VALUE"""),"6.690738")</f>
        <v>6.690738</v>
      </c>
      <c r="Z3035" s="4" t="str">
        <f>IFERROR(__xludf.DUMMYFUNCTION("""COMPUTED_VALUE"""),"3.2231727")</f>
        <v>3.2231727</v>
      </c>
      <c r="AA3035" s="4" t="str">
        <f t="shared" si="1"/>
        <v>Not Neighbor</v>
      </c>
      <c r="AC3035" s="4">
        <f>IFERROR(__xludf.DUMMYFUNCTION("IFERROR(ABS(O3035-AVERAGE(FILTER(O3035:O7103,AA3035:AA7103=""Neighbor""))) / STDEV(FILTER(O3035:O7103, AA3035:AA7103 =""Neighbor"")), """")"),2.2139401710137725)</f>
        <v>2.213940171</v>
      </c>
      <c r="AD3035" s="4">
        <f>IFERROR(__xludf.DUMMYFUNCTION("IFERROR(ABS(P3035-AVERAGE(FILTER(O3035:P7103,AA3035:AA7103=""Neighbor""))) / STDEV(FILTER(P3035:P7103, AA3035:AA7103 =""Neighbor"")), """")"),1.121605127174168)</f>
        <v>1.121605127</v>
      </c>
      <c r="AE3035" s="2">
        <f>IFERROR(__xludf.DUMMYFUNCTION("IFERROR(ABS(Q3035-AVERAGE(FILTER(Q3035:Q7103,AA3035:AA7103=""Neighbor""))) / STDEV(FILTER(Q3035:Q7103, AA3035:AA7103 =""Neighbor"")), """")"),0.27135234749486453)</f>
        <v>0.2713523475</v>
      </c>
      <c r="AF3035" s="2">
        <f>IFERROR(__xludf.DUMMYFUNCTION("IFERROR(ABS(R3035-AVERAGE(FILTER(R3035:R7103,AA3035:AA7103=""Neighbor""))) / STDEV(FILTER(R3035:R7103, AA3035:AA7103 =""Neighbor"")), """")"),0.327903614635627)</f>
        <v>0.3279036146</v>
      </c>
    </row>
    <row r="3036">
      <c r="A3036" s="2" t="s">
        <v>28</v>
      </c>
      <c r="B3036" s="2" t="s">
        <v>1711</v>
      </c>
      <c r="C3036" s="2" t="s">
        <v>1769</v>
      </c>
      <c r="D3036" s="2" t="s">
        <v>12392</v>
      </c>
      <c r="E3036" s="2" t="s">
        <v>12393</v>
      </c>
      <c r="F3036" s="2">
        <v>58.0</v>
      </c>
      <c r="G3036" s="2">
        <v>141.0</v>
      </c>
      <c r="H3036" s="2" t="b">
        <v>1</v>
      </c>
      <c r="I3036" s="2">
        <v>-1.0</v>
      </c>
      <c r="J3036" s="2" t="b">
        <v>0</v>
      </c>
      <c r="K3036" s="2" t="b">
        <v>0</v>
      </c>
      <c r="L3036" s="2" t="b">
        <v>0</v>
      </c>
      <c r="M3036" s="2" t="b">
        <v>0</v>
      </c>
      <c r="N3036" s="2" t="s">
        <v>33</v>
      </c>
      <c r="O3036" s="2">
        <v>22.0</v>
      </c>
      <c r="P3036" s="2">
        <v>30.0</v>
      </c>
      <c r="Q3036" s="2">
        <v>2.0</v>
      </c>
      <c r="R3036" s="2">
        <v>0.0</v>
      </c>
      <c r="S3036" s="3" t="s">
        <v>12394</v>
      </c>
      <c r="T3036" s="2" t="s">
        <v>12395</v>
      </c>
      <c r="Y3036" s="4" t="str">
        <f>IFERROR(__xludf.DUMMYFUNCTION("""COMPUTED_VALUE"""),"6.6933759")</f>
        <v>6.6933759</v>
      </c>
      <c r="Z3036" s="4" t="str">
        <f>IFERROR(__xludf.DUMMYFUNCTION("""COMPUTED_VALUE"""),"3.2081417")</f>
        <v>3.2081417</v>
      </c>
      <c r="AA3036" s="4" t="str">
        <f t="shared" si="1"/>
        <v>Not Neighbor</v>
      </c>
      <c r="AC3036" s="4">
        <f>IFERROR(__xludf.DUMMYFUNCTION("IFERROR(ABS(O3036-AVERAGE(FILTER(O3036:O7104,AA3036:AA7104=""Neighbor""))) / STDEV(FILTER(O3036:O7104, AA3036:AA7104 =""Neighbor"")), """")"),0.7260112027428205)</f>
        <v>0.7260112027</v>
      </c>
      <c r="AD3036" s="4">
        <f>IFERROR(__xludf.DUMMYFUNCTION("IFERROR(ABS(P3036-AVERAGE(FILTER(O3036:P7104,AA3036:AA7104=""Neighbor""))) / STDEV(FILTER(P3036:P7104, AA3036:AA7104 =""Neighbor"")), """")"),0.05249695778772081)</f>
        <v>0.05249695779</v>
      </c>
      <c r="AE3036" s="2">
        <f>IFERROR(__xludf.DUMMYFUNCTION("IFERROR(ABS(Q3036-AVERAGE(FILTER(Q3036:Q7104,AA3036:AA7104=""Neighbor""))) / STDEV(FILTER(Q3036:Q7104, AA3036:AA7104 =""Neighbor"")), """")"),0.7823501105762263)</f>
        <v>0.7823501106</v>
      </c>
      <c r="AF3036" s="2">
        <f>IFERROR(__xludf.DUMMYFUNCTION("IFERROR(ABS(R3036-AVERAGE(FILTER(R3036:R7104,AA3036:AA7104=""Neighbor""))) / STDEV(FILTER(R3036:R7104, AA3036:AA7104 =""Neighbor"")), """")"),0.327903614635627)</f>
        <v>0.3279036146</v>
      </c>
    </row>
    <row r="3037">
      <c r="A3037" s="2" t="s">
        <v>28</v>
      </c>
      <c r="B3037" s="2" t="s">
        <v>1711</v>
      </c>
      <c r="C3037" s="2" t="s">
        <v>1769</v>
      </c>
      <c r="D3037" s="2" t="s">
        <v>12396</v>
      </c>
      <c r="E3037" s="2" t="s">
        <v>12397</v>
      </c>
      <c r="F3037" s="2">
        <v>100.0</v>
      </c>
      <c r="G3037" s="2">
        <v>186.0</v>
      </c>
      <c r="H3037" s="2" t="b">
        <v>1</v>
      </c>
      <c r="I3037" s="2">
        <v>-1.0</v>
      </c>
      <c r="J3037" s="2" t="b">
        <v>0</v>
      </c>
      <c r="K3037" s="2" t="b">
        <v>0</v>
      </c>
      <c r="L3037" s="2" t="b">
        <v>0</v>
      </c>
      <c r="M3037" s="2" t="b">
        <v>0</v>
      </c>
      <c r="N3037" s="2" t="s">
        <v>33</v>
      </c>
      <c r="O3037" s="2">
        <v>52.0</v>
      </c>
      <c r="P3037" s="2">
        <v>29.0</v>
      </c>
      <c r="Q3037" s="2">
        <v>8.0</v>
      </c>
      <c r="R3037" s="2">
        <v>1.0</v>
      </c>
      <c r="S3037" s="3" t="s">
        <v>12398</v>
      </c>
      <c r="T3037" s="2" t="s">
        <v>12399</v>
      </c>
      <c r="Y3037" s="4" t="str">
        <f>IFERROR(__xludf.DUMMYFUNCTION("""COMPUTED_VALUE"""),"6.690738")</f>
        <v>6.690738</v>
      </c>
      <c r="Z3037" s="4" t="str">
        <f>IFERROR(__xludf.DUMMYFUNCTION("""COMPUTED_VALUE"""),"3.2231727")</f>
        <v>3.2231727</v>
      </c>
      <c r="AA3037" s="4" t="str">
        <f t="shared" si="1"/>
        <v>Neighbor</v>
      </c>
      <c r="AC3037" s="4">
        <f>IFERROR(__xludf.DUMMYFUNCTION("IFERROR(ABS(O3037-AVERAGE(FILTER(O3037:O7105,AA3037:AA7105=""Neighbor""))) / STDEV(FILTER(O3037:O7105, AA3037:AA7105 =""Neighbor"")), """")"),0.21227115058375176)</f>
        <v>0.2122711506</v>
      </c>
      <c r="AD3037" s="4">
        <f>IFERROR(__xludf.DUMMYFUNCTION("IFERROR(ABS(P3037-AVERAGE(FILTER(O3037:P7105,AA3037:AA7105=""Neighbor""))) / STDEV(FILTER(P3037:P7105, AA3037:AA7105 =""Neighbor"")), """")"),0.09442917510778827)</f>
        <v>0.09442917511</v>
      </c>
      <c r="AE3037" s="2">
        <f>IFERROR(__xludf.DUMMYFUNCTION("IFERROR(ABS(Q3037-AVERAGE(FILTER(Q3037:Q7105,AA3037:AA7105=""Neighbor""))) / STDEV(FILTER(Q3037:Q7105, AA3037:AA7105 =""Neighbor"")), """")"),0.44168493518865176)</f>
        <v>0.4416849352</v>
      </c>
      <c r="AF3037" s="2">
        <f>IFERROR(__xludf.DUMMYFUNCTION("IFERROR(ABS(R3037-AVERAGE(FILTER(R3037:R7105,AA3037:AA7105=""Neighbor""))) / STDEV(FILTER(R3037:R7105, AA3037:AA7105 =""Neighbor"")), """")"),0.7698606604488634)</f>
        <v>0.7698606604</v>
      </c>
    </row>
    <row r="3038">
      <c r="A3038" s="2" t="s">
        <v>28</v>
      </c>
      <c r="B3038" s="2" t="s">
        <v>1711</v>
      </c>
      <c r="C3038" s="2" t="s">
        <v>1769</v>
      </c>
      <c r="D3038" s="2" t="s">
        <v>12400</v>
      </c>
      <c r="E3038" s="2" t="s">
        <v>12401</v>
      </c>
      <c r="F3038" s="2">
        <v>178.0</v>
      </c>
      <c r="G3038" s="2">
        <v>750.0</v>
      </c>
      <c r="H3038" s="2" t="b">
        <v>1</v>
      </c>
      <c r="I3038" s="2">
        <v>-1.0</v>
      </c>
      <c r="J3038" s="2" t="b">
        <v>0</v>
      </c>
      <c r="K3038" s="2" t="b">
        <v>0</v>
      </c>
      <c r="L3038" s="2" t="b">
        <v>0</v>
      </c>
      <c r="M3038" s="2" t="b">
        <v>0</v>
      </c>
      <c r="N3038" s="2" t="s">
        <v>33</v>
      </c>
      <c r="O3038" s="2">
        <v>97.0</v>
      </c>
      <c r="P3038" s="2">
        <v>52.0</v>
      </c>
      <c r="Q3038" s="2">
        <v>4.0</v>
      </c>
      <c r="R3038" s="2">
        <v>0.0</v>
      </c>
      <c r="S3038" s="3" t="s">
        <v>12402</v>
      </c>
      <c r="T3038" s="2" t="s">
        <v>12403</v>
      </c>
      <c r="Y3038" s="4" t="str">
        <f>IFERROR(__xludf.DUMMYFUNCTION("""COMPUTED_VALUE"""),"6.690738")</f>
        <v>6.690738</v>
      </c>
      <c r="Z3038" s="4" t="str">
        <f>IFERROR(__xludf.DUMMYFUNCTION("""COMPUTED_VALUE"""),"3.2231727")</f>
        <v>3.2231727</v>
      </c>
      <c r="AA3038" s="4" t="str">
        <f t="shared" si="1"/>
        <v>Neighbor</v>
      </c>
      <c r="AC3038" s="4">
        <f>IFERROR(__xludf.DUMMYFUNCTION("IFERROR(ABS(O3038-AVERAGE(FILTER(O3038:O7106,AA3038:AA7106=""Neighbor""))) / STDEV(FILTER(O3038:O7106, AA3038:AA7106 =""Neighbor"")), """")"),1.6182315902175852)</f>
        <v>1.61823159</v>
      </c>
      <c r="AD3038" s="4">
        <f>IFERROR(__xludf.DUMMYFUNCTION("IFERROR(ABS(P3038-AVERAGE(FILTER(O3038:P7106,AA3038:AA7106=""Neighbor""))) / STDEV(FILTER(P3038:P7106, AA3038:AA7106 =""Neighbor"")), """")"),0.8701607055475967)</f>
        <v>0.8701607055</v>
      </c>
      <c r="AE3038" s="2">
        <f>IFERROR(__xludf.DUMMYFUNCTION("IFERROR(ABS(Q3038-AVERAGE(FILTER(Q3038:Q7106,AA3038:AA7106=""Neighbor""))) / STDEV(FILTER(Q3038:Q7106, AA3038:AA7106 =""Neighbor"")), """")"),0.6692428439986438)</f>
        <v>0.669242844</v>
      </c>
      <c r="AF3038" s="2">
        <f>IFERROR(__xludf.DUMMYFUNCTION("IFERROR(ABS(R3038-AVERAGE(FILTER(R3038:R7106,AA3038:AA7106=""Neighbor""))) / STDEV(FILTER(R3038:R7106, AA3038:AA7106 =""Neighbor"")), """")"),0.325726268745807)</f>
        <v>0.3257262687</v>
      </c>
    </row>
    <row r="3039">
      <c r="A3039" s="2" t="s">
        <v>28</v>
      </c>
      <c r="B3039" s="2" t="s">
        <v>1711</v>
      </c>
      <c r="C3039" s="2" t="s">
        <v>1769</v>
      </c>
      <c r="D3039" s="2" t="s">
        <v>12404</v>
      </c>
      <c r="E3039" s="2" t="s">
        <v>12405</v>
      </c>
      <c r="F3039" s="2">
        <v>120.0</v>
      </c>
      <c r="G3039" s="2">
        <v>256.0</v>
      </c>
      <c r="H3039" s="2" t="b">
        <v>1</v>
      </c>
      <c r="I3039" s="2">
        <v>-1.0</v>
      </c>
      <c r="J3039" s="2" t="b">
        <v>0</v>
      </c>
      <c r="K3039" s="2" t="b">
        <v>0</v>
      </c>
      <c r="L3039" s="2" t="b">
        <v>0</v>
      </c>
      <c r="M3039" s="2" t="b">
        <v>0</v>
      </c>
      <c r="N3039" s="2" t="s">
        <v>33</v>
      </c>
      <c r="O3039" s="2">
        <v>41.0</v>
      </c>
      <c r="P3039" s="2">
        <v>40.0</v>
      </c>
      <c r="Q3039" s="2">
        <v>11.0</v>
      </c>
      <c r="R3039" s="2">
        <v>0.0</v>
      </c>
      <c r="S3039" s="3" t="s">
        <v>12406</v>
      </c>
      <c r="T3039" s="2" t="s">
        <v>12407</v>
      </c>
      <c r="Y3039" s="4" t="str">
        <f>IFERROR(__xludf.DUMMYFUNCTION("""COMPUTED_VALUE"""),"6.6888288")</f>
        <v>6.6888288</v>
      </c>
      <c r="Z3039" s="4" t="str">
        <f>IFERROR(__xludf.DUMMYFUNCTION("""COMPUTED_VALUE"""),"3.2265151")</f>
        <v>3.2265151</v>
      </c>
      <c r="AA3039" s="4" t="str">
        <f t="shared" si="1"/>
        <v>Neighbor</v>
      </c>
      <c r="AC3039" s="4">
        <f>IFERROR(__xludf.DUMMYFUNCTION("IFERROR(ABS(O3039-AVERAGE(FILTER(O3039:O7107,AA3039:AA7107=""Neighbor""))) / STDEV(FILTER(O3039:O7107, AA3039:AA7107 =""Neighbor"")), """")"),0.12709522270135074)</f>
        <v>0.1270952227</v>
      </c>
      <c r="AD3039" s="4">
        <f>IFERROR(__xludf.DUMMYFUNCTION("IFERROR(ABS(P3039-AVERAGE(FILTER(O3039:P7107,AA3039:AA7107=""Neighbor""))) / STDEV(FILTER(P3039:P7107, AA3039:AA7107 =""Neighbor"")), """")"),0.37275286968881977)</f>
        <v>0.3727528697</v>
      </c>
      <c r="AE3039" s="2">
        <f>IFERROR(__xludf.DUMMYFUNCTION("IFERROR(ABS(Q3039-AVERAGE(FILTER(Q3039:Q7107,AA3039:AA7107=""Neighbor""))) / STDEV(FILTER(Q3039:Q7107, AA3039:AA7107 =""Neighbor"")), """")"),0.27376687263904115)</f>
        <v>0.2737668726</v>
      </c>
      <c r="AF3039" s="2">
        <f>IFERROR(__xludf.DUMMYFUNCTION("IFERROR(ABS(R3039-AVERAGE(FILTER(R3039:R7107,AA3039:AA7107=""Neighbor""))) / STDEV(FILTER(R3039:R7107, AA3039:AA7107 =""Neighbor"")), """")"),0.32619541193383517)</f>
        <v>0.3261954119</v>
      </c>
    </row>
    <row r="3040">
      <c r="A3040" s="2" t="s">
        <v>28</v>
      </c>
      <c r="B3040" s="2" t="s">
        <v>1711</v>
      </c>
      <c r="C3040" s="2" t="s">
        <v>1769</v>
      </c>
      <c r="D3040" s="2" t="s">
        <v>12408</v>
      </c>
      <c r="E3040" s="2" t="s">
        <v>12409</v>
      </c>
      <c r="F3040" s="2">
        <v>201.0</v>
      </c>
      <c r="G3040" s="2">
        <v>356.0</v>
      </c>
      <c r="H3040" s="2" t="b">
        <v>1</v>
      </c>
      <c r="I3040" s="2">
        <v>-1.0</v>
      </c>
      <c r="J3040" s="2" t="b">
        <v>0</v>
      </c>
      <c r="K3040" s="2" t="b">
        <v>0</v>
      </c>
      <c r="L3040" s="2" t="b">
        <v>0</v>
      </c>
      <c r="M3040" s="2" t="b">
        <v>0</v>
      </c>
      <c r="N3040" s="2" t="s">
        <v>33</v>
      </c>
      <c r="O3040" s="2">
        <v>84.0</v>
      </c>
      <c r="P3040" s="2">
        <v>51.0</v>
      </c>
      <c r="Q3040" s="2">
        <v>16.0</v>
      </c>
      <c r="R3040" s="2">
        <v>1.0</v>
      </c>
      <c r="S3040" s="3" t="s">
        <v>12410</v>
      </c>
      <c r="T3040" s="2" t="s">
        <v>12411</v>
      </c>
      <c r="Y3040" s="4" t="str">
        <f>IFERROR(__xludf.DUMMYFUNCTION("""COMPUTED_VALUE"""),"6.6957161")</f>
        <v>6.6957161</v>
      </c>
      <c r="Z3040" s="4" t="str">
        <f>IFERROR(__xludf.DUMMYFUNCTION("""COMPUTED_VALUE"""),"3.2197891")</f>
        <v>3.2197891</v>
      </c>
      <c r="AA3040" s="4" t="str">
        <f t="shared" si="1"/>
        <v>Neighbor</v>
      </c>
      <c r="AC3040" s="4">
        <f>IFERROR(__xludf.DUMMYFUNCTION("IFERROR(ABS(O3040-AVERAGE(FILTER(O3040:O7108,AA3040:AA7108=""Neighbor""))) / STDEV(FILTER(O3040:O7108, AA3040:AA7108 =""Neighbor"")), """")"),1.2170668421599318)</f>
        <v>1.217066842</v>
      </c>
      <c r="AD3040" s="4">
        <f>IFERROR(__xludf.DUMMYFUNCTION("IFERROR(ABS(P3040-AVERAGE(FILTER(O3040:P7108,AA3040:AA7108=""Neighbor""))) / STDEV(FILTER(P3040:P7108, AA3040:AA7108 =""Neighbor"")), """")"),0.8351731047100655)</f>
        <v>0.8351731047</v>
      </c>
      <c r="AE3040" s="2">
        <f>IFERROR(__xludf.DUMMYFUNCTION("IFERROR(ABS(Q3040-AVERAGE(FILTER(Q3040:Q7108,AA3040:AA7108=""Neighbor""))) / STDEV(FILTER(Q3040:Q7108, AA3040:AA7108 =""Neighbor"")), """")"),0.00889138374062594)</f>
        <v>0.008891383741</v>
      </c>
      <c r="AF3040" s="2">
        <f>IFERROR(__xludf.DUMMYFUNCTION("IFERROR(ABS(R3040-AVERAGE(FILTER(R3040:R7108,AA3040:AA7108=""Neighbor""))) / STDEV(FILTER(R3040:R7108, AA3040:AA7108 =""Neighbor"")), """")"),0.767953033099331)</f>
        <v>0.7679530331</v>
      </c>
    </row>
    <row r="3041">
      <c r="A3041" s="2" t="s">
        <v>28</v>
      </c>
      <c r="B3041" s="2" t="s">
        <v>1711</v>
      </c>
      <c r="C3041" s="2" t="s">
        <v>1769</v>
      </c>
      <c r="D3041" s="2" t="s">
        <v>12412</v>
      </c>
      <c r="E3041" s="2" t="s">
        <v>12413</v>
      </c>
      <c r="F3041" s="2">
        <v>152.0</v>
      </c>
      <c r="G3041" s="2">
        <v>750.0</v>
      </c>
      <c r="H3041" s="2" t="b">
        <v>1</v>
      </c>
      <c r="I3041" s="2">
        <v>-1.0</v>
      </c>
      <c r="J3041" s="2" t="b">
        <v>1</v>
      </c>
      <c r="K3041" s="2" t="b">
        <v>0</v>
      </c>
      <c r="L3041" s="2" t="b">
        <v>0</v>
      </c>
      <c r="M3041" s="2" t="b">
        <v>0</v>
      </c>
      <c r="N3041" s="2" t="s">
        <v>33</v>
      </c>
      <c r="O3041" s="2">
        <v>57.0</v>
      </c>
      <c r="P3041" s="2">
        <v>49.0</v>
      </c>
      <c r="Q3041" s="2">
        <v>28.0</v>
      </c>
      <c r="R3041" s="2">
        <v>4.0</v>
      </c>
      <c r="S3041" s="3" t="s">
        <v>12414</v>
      </c>
      <c r="T3041" s="2" t="s">
        <v>12415</v>
      </c>
      <c r="Y3041" s="4" t="str">
        <f>IFERROR(__xludf.DUMMYFUNCTION("""COMPUTED_VALUE"""),"6.6888288")</f>
        <v>6.6888288</v>
      </c>
      <c r="Z3041" s="4" t="str">
        <f>IFERROR(__xludf.DUMMYFUNCTION("""COMPUTED_VALUE"""),"3.2265151")</f>
        <v>3.2265151</v>
      </c>
      <c r="AA3041" s="4" t="str">
        <f t="shared" si="1"/>
        <v>Neighbor</v>
      </c>
      <c r="AC3041" s="4">
        <f>IFERROR(__xludf.DUMMYFUNCTION("IFERROR(ABS(O3041-AVERAGE(FILTER(O3041:O7109,AA3041:AA7109=""Neighbor""))) / STDEV(FILTER(O3041:O7109, AA3041:AA7109 =""Neighbor"")), """")"),0.37638703773723403)</f>
        <v>0.3763870377</v>
      </c>
      <c r="AD3041" s="4">
        <f>IFERROR(__xludf.DUMMYFUNCTION("IFERROR(ABS(P3041-AVERAGE(FILTER(O3041:P7109,AA3041:AA7109=""Neighbor""))) / STDEV(FILTER(P3041:P7109, AA3041:AA7109 =""Neighbor"")), """")"),0.7563076681132588)</f>
        <v>0.7563076681</v>
      </c>
      <c r="AE3041" s="2">
        <f>IFERROR(__xludf.DUMMYFUNCTION("IFERROR(ABS(Q3041-AVERAGE(FILTER(Q3041:Q7109,AA3041:AA7109=""Neighbor""))) / STDEV(FILTER(Q3041:Q7109, AA3041:AA7109 =""Neighbor"")), """")"),0.6873127453946528)</f>
        <v>0.6873127454</v>
      </c>
      <c r="AF3041" s="2">
        <f>IFERROR(__xludf.DUMMYFUNCTION("IFERROR(ABS(R3041-AVERAGE(FILTER(R3041:R7109,AA3041:AA7109=""Neighbor""))) / STDEV(FILTER(R3041:R7109, AA3041:AA7109 =""Neighbor"")), """")"),4.051649279850014)</f>
        <v>4.05164928</v>
      </c>
    </row>
    <row r="3042">
      <c r="A3042" s="2" t="s">
        <v>28</v>
      </c>
      <c r="B3042" s="2" t="s">
        <v>1711</v>
      </c>
      <c r="C3042" s="2" t="s">
        <v>1769</v>
      </c>
      <c r="D3042" s="2" t="s">
        <v>12416</v>
      </c>
      <c r="E3042" s="2" t="s">
        <v>12417</v>
      </c>
      <c r="F3042" s="2">
        <v>134.0</v>
      </c>
      <c r="G3042" s="2">
        <v>750.0</v>
      </c>
      <c r="H3042" s="2" t="b">
        <v>1</v>
      </c>
      <c r="I3042" s="2">
        <v>-1.0</v>
      </c>
      <c r="J3042" s="2" t="b">
        <v>0</v>
      </c>
      <c r="K3042" s="2" t="b">
        <v>0</v>
      </c>
      <c r="L3042" s="2" t="b">
        <v>0</v>
      </c>
      <c r="M3042" s="2" t="b">
        <v>0</v>
      </c>
      <c r="N3042" s="2" t="s">
        <v>33</v>
      </c>
      <c r="O3042" s="2">
        <v>61.0</v>
      </c>
      <c r="P3042" s="2">
        <v>48.0</v>
      </c>
      <c r="Q3042" s="2">
        <v>17.0</v>
      </c>
      <c r="R3042" s="2">
        <v>0.0</v>
      </c>
      <c r="S3042" s="3" t="s">
        <v>12418</v>
      </c>
      <c r="T3042" s="2" t="s">
        <v>12419</v>
      </c>
      <c r="Y3042" s="4" t="str">
        <f>IFERROR(__xludf.DUMMYFUNCTION("""COMPUTED_VALUE"""),"6.6888288")</f>
        <v>6.6888288</v>
      </c>
      <c r="Z3042" s="4" t="str">
        <f>IFERROR(__xludf.DUMMYFUNCTION("""COMPUTED_VALUE"""),"3.2265151")</f>
        <v>3.2265151</v>
      </c>
      <c r="AA3042" s="4" t="str">
        <f t="shared" si="1"/>
        <v>Neighbor</v>
      </c>
      <c r="AC3042" s="4">
        <f>IFERROR(__xludf.DUMMYFUNCTION("IFERROR(ABS(O3042-AVERAGE(FILTER(O3042:O7110,AA3042:AA7110=""Neighbor""))) / STDEV(FILTER(O3042:O7110, AA3042:AA7110 =""Neighbor"")), """")"),0.5019436249539052)</f>
        <v>0.501943625</v>
      </c>
      <c r="AD3042" s="4">
        <f>IFERROR(__xludf.DUMMYFUNCTION("IFERROR(ABS(P3042-AVERAGE(FILTER(O3042:P7110,AA3042:AA7110=""Neighbor""))) / STDEV(FILTER(P3042:P7110, AA3042:AA7110 =""Neighbor"")), """")"),0.7175015745502662)</f>
        <v>0.7175015746</v>
      </c>
      <c r="AE3042" s="2">
        <f>IFERROR(__xludf.DUMMYFUNCTION("IFERROR(ABS(Q3042-AVERAGE(FILTER(Q3042:Q7110,AA3042:AA7110=""Neighbor""))) / STDEV(FILTER(Q3042:Q7110, AA3042:AA7110 =""Neighbor"")), """")"),0.06719922959491031)</f>
        <v>0.06719922959</v>
      </c>
      <c r="AF3042" s="2">
        <f>IFERROR(__xludf.DUMMYFUNCTION("IFERROR(ABS(R3042-AVERAGE(FILTER(R3042:R7110,AA3042:AA7110=""Neighbor""))) / STDEV(FILTER(R3042:R7110, AA3042:AA7110 =""Neighbor"")), """")"),0.32041707459953334)</f>
        <v>0.3204170746</v>
      </c>
    </row>
    <row r="3043">
      <c r="A3043" s="2" t="s">
        <v>28</v>
      </c>
      <c r="B3043" s="2" t="s">
        <v>1711</v>
      </c>
      <c r="C3043" s="2" t="s">
        <v>1769</v>
      </c>
      <c r="D3043" s="2" t="s">
        <v>12420</v>
      </c>
      <c r="E3043" s="2" t="s">
        <v>12421</v>
      </c>
      <c r="F3043" s="2">
        <v>153.0</v>
      </c>
      <c r="G3043" s="2">
        <v>750.0</v>
      </c>
      <c r="H3043" s="2" t="b">
        <v>1</v>
      </c>
      <c r="I3043" s="2">
        <v>-1.0</v>
      </c>
      <c r="J3043" s="2" t="b">
        <v>0</v>
      </c>
      <c r="K3043" s="2" t="b">
        <v>0</v>
      </c>
      <c r="L3043" s="2" t="b">
        <v>0</v>
      </c>
      <c r="M3043" s="2" t="b">
        <v>0</v>
      </c>
      <c r="N3043" s="2" t="s">
        <v>33</v>
      </c>
      <c r="O3043" s="2">
        <v>93.0</v>
      </c>
      <c r="P3043" s="2">
        <v>12.0</v>
      </c>
      <c r="Q3043" s="2">
        <v>40.0</v>
      </c>
      <c r="R3043" s="2">
        <v>0.0</v>
      </c>
      <c r="S3043" s="3" t="s">
        <v>12422</v>
      </c>
      <c r="T3043" s="2" t="s">
        <v>12423</v>
      </c>
      <c r="Y3043" s="4" t="str">
        <f>IFERROR(__xludf.DUMMYFUNCTION("""COMPUTED_VALUE"""),"6.6888288")</f>
        <v>6.6888288</v>
      </c>
      <c r="Z3043" s="4" t="str">
        <f>IFERROR(__xludf.DUMMYFUNCTION("""COMPUTED_VALUE"""),"3.2265151")</f>
        <v>3.2265151</v>
      </c>
      <c r="AA3043" s="4" t="str">
        <f t="shared" si="1"/>
        <v>Neighbor</v>
      </c>
      <c r="AC3043" s="4">
        <f>IFERROR(__xludf.DUMMYFUNCTION("IFERROR(ABS(O3043-AVERAGE(FILTER(O3043:O7111,AA3043:AA7111=""Neighbor""))) / STDEV(FILTER(O3043:O7111, AA3043:AA7111 =""Neighbor"")), """")"),1.501724248492561)</f>
        <v>1.501724248</v>
      </c>
      <c r="AD3043" s="4">
        <f>IFERROR(__xludf.DUMMYFUNCTION("IFERROR(ABS(P3043-AVERAGE(FILTER(O3043:P7111,AA3043:AA7111=""Neighbor""))) / STDEV(FILTER(P3043:P7111, AA3043:AA7111 =""Neighbor"")), """")"),0.7944223432070154)</f>
        <v>0.7944223432</v>
      </c>
      <c r="AE3043" s="2">
        <f>IFERROR(__xludf.DUMMYFUNCTION("IFERROR(ABS(Q3043-AVERAGE(FILTER(Q3043:Q7111,AA3043:AA7111=""Neighbor""))) / STDEV(FILTER(Q3043:Q7111, AA3043:AA7111 =""Neighbor"")), """")"),1.364963718505907)</f>
        <v>1.364963719</v>
      </c>
      <c r="AF3043" s="2">
        <f>IFERROR(__xludf.DUMMYFUNCTION("IFERROR(ABS(R3043-AVERAGE(FILTER(R3043:R7111,AA3043:AA7111=""Neighbor""))) / STDEV(FILTER(R3043:R7111, AA3043:AA7111 =""Neighbor"")), """")"),0.32088197254298867)</f>
        <v>0.3208819725</v>
      </c>
    </row>
    <row r="3044">
      <c r="A3044" s="2" t="s">
        <v>28</v>
      </c>
      <c r="B3044" s="2" t="s">
        <v>1711</v>
      </c>
      <c r="C3044" s="2" t="s">
        <v>1769</v>
      </c>
      <c r="D3044" s="2" t="s">
        <v>12424</v>
      </c>
      <c r="E3044" s="2" t="s">
        <v>12425</v>
      </c>
      <c r="F3044" s="2">
        <v>132.0</v>
      </c>
      <c r="G3044" s="2">
        <v>710.0</v>
      </c>
      <c r="H3044" s="2" t="b">
        <v>1</v>
      </c>
      <c r="I3044" s="2">
        <v>-1.0</v>
      </c>
      <c r="J3044" s="2" t="b">
        <v>0</v>
      </c>
      <c r="K3044" s="2" t="b">
        <v>0</v>
      </c>
      <c r="L3044" s="2" t="b">
        <v>0</v>
      </c>
      <c r="M3044" s="2" t="b">
        <v>0</v>
      </c>
      <c r="N3044" s="2" t="s">
        <v>33</v>
      </c>
      <c r="O3044" s="2">
        <v>52.0</v>
      </c>
      <c r="P3044" s="2">
        <v>21.0</v>
      </c>
      <c r="Q3044" s="2">
        <v>36.0</v>
      </c>
      <c r="R3044" s="2">
        <v>0.0</v>
      </c>
      <c r="S3044" s="3" t="s">
        <v>12426</v>
      </c>
      <c r="T3044" s="2" t="s">
        <v>12427</v>
      </c>
      <c r="Y3044" s="4" t="str">
        <f>IFERROR(__xludf.DUMMYFUNCTION("""COMPUTED_VALUE"""),"6.690738")</f>
        <v>6.690738</v>
      </c>
      <c r="Z3044" s="4" t="str">
        <f>IFERROR(__xludf.DUMMYFUNCTION("""COMPUTED_VALUE"""),"3.2231727")</f>
        <v>3.2231727</v>
      </c>
      <c r="AA3044" s="4" t="str">
        <f t="shared" si="1"/>
        <v>Neighbor</v>
      </c>
      <c r="AC3044" s="4">
        <f>IFERROR(__xludf.DUMMYFUNCTION("IFERROR(ABS(O3044-AVERAGE(FILTER(O3044:O7112,AA3044:AA7112=""Neighbor""))) / STDEV(FILTER(O3044:O7112, AA3044:AA7112 =""Neighbor"")), """")"),0.22616709566661639)</f>
        <v>0.2261670957</v>
      </c>
      <c r="AD3044" s="4">
        <f>IFERROR(__xludf.DUMMYFUNCTION("IFERROR(ABS(P3044-AVERAGE(FILTER(O3044:P7112,AA3044:AA7112=""Neighbor""))) / STDEV(FILTER(P3044:P7112, AA3044:AA7112 =""Neighbor"")), """")"),0.4126863073593296)</f>
        <v>0.4126863074</v>
      </c>
      <c r="AE3044" s="2">
        <f>IFERROR(__xludf.DUMMYFUNCTION("IFERROR(ABS(Q3044-AVERAGE(FILTER(Q3044:Q7112,AA3044:AA7112=""Neighbor""))) / STDEV(FILTER(Q3044:Q7112, AA3044:AA7112 =""Neighbor"")), """")"),1.1442100483511664)</f>
        <v>1.144210048</v>
      </c>
      <c r="AF3044" s="2">
        <f>IFERROR(__xludf.DUMMYFUNCTION("IFERROR(ABS(R3044-AVERAGE(FILTER(R3044:R7112,AA3044:AA7112=""Neighbor""))) / STDEV(FILTER(R3044:R7112, AA3044:AA7112 =""Neighbor"")), """")"),0.32134890055564164)</f>
        <v>0.3213489006</v>
      </c>
    </row>
    <row r="3045">
      <c r="A3045" s="2" t="s">
        <v>28</v>
      </c>
      <c r="B3045" s="2" t="s">
        <v>1711</v>
      </c>
      <c r="C3045" s="2" t="s">
        <v>1769</v>
      </c>
      <c r="D3045" s="2" t="s">
        <v>12428</v>
      </c>
      <c r="E3045" s="2" t="s">
        <v>12429</v>
      </c>
      <c r="F3045" s="2">
        <v>74.0</v>
      </c>
      <c r="G3045" s="2">
        <v>367.0</v>
      </c>
      <c r="H3045" s="2" t="b">
        <v>1</v>
      </c>
      <c r="I3045" s="2">
        <v>-1.0</v>
      </c>
      <c r="J3045" s="2" t="b">
        <v>0</v>
      </c>
      <c r="K3045" s="2" t="b">
        <v>0</v>
      </c>
      <c r="L3045" s="2" t="b">
        <v>0</v>
      </c>
      <c r="M3045" s="2" t="b">
        <v>0</v>
      </c>
      <c r="N3045" s="2" t="s">
        <v>33</v>
      </c>
      <c r="O3045" s="2">
        <v>35.0</v>
      </c>
      <c r="P3045" s="2">
        <v>9.0</v>
      </c>
      <c r="Q3045" s="2">
        <v>24.0</v>
      </c>
      <c r="R3045" s="2">
        <v>0.0</v>
      </c>
      <c r="S3045" s="3" t="s">
        <v>12430</v>
      </c>
      <c r="T3045" s="2" t="s">
        <v>12431</v>
      </c>
      <c r="Y3045" s="4" t="str">
        <f>IFERROR(__xludf.DUMMYFUNCTION("""COMPUTED_VALUE"""),"6.690738")</f>
        <v>6.690738</v>
      </c>
      <c r="Z3045" s="4" t="str">
        <f>IFERROR(__xludf.DUMMYFUNCTION("""COMPUTED_VALUE"""),"3.2231727")</f>
        <v>3.2231727</v>
      </c>
      <c r="AA3045" s="4" t="str">
        <f t="shared" si="1"/>
        <v>Neighbor</v>
      </c>
      <c r="AC3045" s="4">
        <f>IFERROR(__xludf.DUMMYFUNCTION("IFERROR(ABS(O3045-AVERAGE(FILTER(O3045:O7113,AA3045:AA7113=""Neighbor""))) / STDEV(FILTER(O3045:O7113, AA3045:AA7113 =""Neighbor"")), """")"),0.3044328364211264)</f>
        <v>0.3044328364</v>
      </c>
      <c r="AD3045" s="4">
        <f>IFERROR(__xludf.DUMMYFUNCTION("IFERROR(ABS(P3045-AVERAGE(FILTER(O3045:P7113,AA3045:AA7113=""Neighbor""))) / STDEV(FILTER(P3045:P7113, AA3045:AA7113 =""Neighbor"")), """")"),0.9153045644448915)</f>
        <v>0.9153045644</v>
      </c>
      <c r="AE3045" s="2">
        <f>IFERROR(__xludf.DUMMYFUNCTION("IFERROR(ABS(Q3045-AVERAGE(FILTER(Q3045:Q7113,AA3045:AA7113=""Neighbor""))) / STDEV(FILTER(Q3045:Q7113, AA3045:AA7113 =""Neighbor"")), """")"),0.4696113816413289)</f>
        <v>0.4696113816</v>
      </c>
      <c r="AF3045" s="2">
        <f>IFERROR(__xludf.DUMMYFUNCTION("IFERROR(ABS(R3045-AVERAGE(FILTER(R3045:R7113,AA3045:AA7113=""Neighbor""))) / STDEV(FILTER(R3045:R7113, AA3045:AA7113 =""Neighbor"")), """")"),0.3218178734590452)</f>
        <v>0.3218178735</v>
      </c>
    </row>
    <row r="3046">
      <c r="A3046" s="2" t="s">
        <v>28</v>
      </c>
      <c r="B3046" s="2" t="s">
        <v>1711</v>
      </c>
      <c r="C3046" s="2" t="s">
        <v>1769</v>
      </c>
      <c r="D3046" s="2" t="s">
        <v>12432</v>
      </c>
      <c r="E3046" s="2" t="s">
        <v>12433</v>
      </c>
      <c r="F3046" s="2">
        <v>101.0</v>
      </c>
      <c r="G3046" s="2">
        <v>331.0</v>
      </c>
      <c r="H3046" s="2" t="b">
        <v>1</v>
      </c>
      <c r="I3046" s="2">
        <v>-1.0</v>
      </c>
      <c r="J3046" s="2" t="b">
        <v>0</v>
      </c>
      <c r="K3046" s="2" t="b">
        <v>0</v>
      </c>
      <c r="L3046" s="2" t="b">
        <v>0</v>
      </c>
      <c r="M3046" s="2" t="b">
        <v>0</v>
      </c>
      <c r="N3046" s="2" t="s">
        <v>33</v>
      </c>
      <c r="O3046" s="2">
        <v>52.0</v>
      </c>
      <c r="P3046" s="2">
        <v>0.0</v>
      </c>
      <c r="Q3046" s="2">
        <v>19.0</v>
      </c>
      <c r="R3046" s="2">
        <v>0.0</v>
      </c>
      <c r="S3046" s="3" t="s">
        <v>12434</v>
      </c>
      <c r="T3046" s="2" t="s">
        <v>12435</v>
      </c>
      <c r="Y3046" s="4" t="str">
        <f>IFERROR(__xludf.DUMMYFUNCTION("""COMPUTED_VALUE"""),"6.6888288")</f>
        <v>6.6888288</v>
      </c>
      <c r="Z3046" s="4" t="str">
        <f>IFERROR(__xludf.DUMMYFUNCTION("""COMPUTED_VALUE"""),"3.2265151")</f>
        <v>3.2265151</v>
      </c>
      <c r="AA3046" s="4" t="str">
        <f t="shared" si="1"/>
        <v>Neighbor</v>
      </c>
      <c r="AC3046" s="4">
        <f>IFERROR(__xludf.DUMMYFUNCTION("IFERROR(ABS(O3046-AVERAGE(FILTER(O3046:O7114,AA3046:AA7114=""Neighbor""))) / STDEV(FILTER(O3046:O7114, AA3046:AA7114 =""Neighbor"")), """")"),0.22539936012748205)</f>
        <v>0.2253993601</v>
      </c>
      <c r="AD3046" s="4">
        <f>IFERROR(__xludf.DUMMYFUNCTION("IFERROR(ABS(P3046-AVERAGE(FILTER(O3046:P7114,AA3046:AA7114=""Neighbor""))) / STDEV(FILTER(P3046:P7114, AA3046:AA7114 =""Neighbor"")), """")"),1.2925895007486874)</f>
        <v>1.292589501</v>
      </c>
      <c r="AE3046" s="2">
        <f>IFERROR(__xludf.DUMMYFUNCTION("IFERROR(ABS(Q3046-AVERAGE(FILTER(Q3046:Q7114,AA3046:AA7114=""Neighbor""))) / STDEV(FILTER(Q3046:Q7114, AA3046:AA7114 =""Neighbor"")), """")"),0.18811882015331344)</f>
        <v>0.1881188202</v>
      </c>
      <c r="AF3046" s="2">
        <f>IFERROR(__xludf.DUMMYFUNCTION("IFERROR(ABS(R3046-AVERAGE(FILTER(R3046:R7114,AA3046:AA7114=""Neighbor""))) / STDEV(FILTER(R3046:R7114, AA3046:AA7114 =""Neighbor"")), """")"),0.3222889062267289)</f>
        <v>0.3222889062</v>
      </c>
    </row>
    <row r="3047">
      <c r="A3047" s="2" t="s">
        <v>28</v>
      </c>
      <c r="B3047" s="2" t="s">
        <v>1711</v>
      </c>
      <c r="C3047" s="2" t="s">
        <v>1769</v>
      </c>
      <c r="D3047" s="2" t="s">
        <v>12436</v>
      </c>
      <c r="E3047" s="2" t="s">
        <v>12437</v>
      </c>
      <c r="F3047" s="2">
        <v>36.0</v>
      </c>
      <c r="G3047" s="2">
        <v>89.0</v>
      </c>
      <c r="H3047" s="2" t="b">
        <v>1</v>
      </c>
      <c r="I3047" s="2">
        <v>-1.0</v>
      </c>
      <c r="J3047" s="2" t="b">
        <v>0</v>
      </c>
      <c r="K3047" s="2" t="b">
        <v>0</v>
      </c>
      <c r="L3047" s="2" t="b">
        <v>0</v>
      </c>
      <c r="M3047" s="2" t="b">
        <v>0</v>
      </c>
      <c r="N3047" s="2" t="s">
        <v>33</v>
      </c>
      <c r="O3047" s="2">
        <v>13.0</v>
      </c>
      <c r="P3047" s="2">
        <v>19.0</v>
      </c>
      <c r="Q3047" s="2">
        <v>1.0</v>
      </c>
      <c r="R3047" s="2">
        <v>0.0</v>
      </c>
      <c r="S3047" s="3" t="s">
        <v>12438</v>
      </c>
      <c r="T3047" s="2" t="s">
        <v>12439</v>
      </c>
      <c r="Y3047" s="4" t="str">
        <f>IFERROR(__xludf.DUMMYFUNCTION("""COMPUTED_VALUE"""),"6.6884409")</f>
        <v>6.6884409</v>
      </c>
      <c r="Z3047" s="4" t="str">
        <f>IFERROR(__xludf.DUMMYFUNCTION("""COMPUTED_VALUE"""),"3.2235846")</f>
        <v>3.2235846</v>
      </c>
      <c r="AA3047" s="4" t="str">
        <f t="shared" si="1"/>
        <v>Neighbor</v>
      </c>
      <c r="AC3047" s="4">
        <f>IFERROR(__xludf.DUMMYFUNCTION("IFERROR(ABS(O3047-AVERAGE(FILTER(O3047:O7115,AA3047:AA7115=""Neighbor""))) / STDEV(FILTER(O3047:O7115, AA3047:AA7115 =""Neighbor"")), """")"),0.9892546726718868)</f>
        <v>0.9892546727</v>
      </c>
      <c r="AD3047" s="4">
        <f>IFERROR(__xludf.DUMMYFUNCTION("IFERROR(ABS(P3047-AVERAGE(FILTER(O3047:P7115,AA3047:AA7115=""Neighbor""))) / STDEV(FILTER(P3047:P7115, AA3047:AA7115 =""Neighbor"")), """")"),0.496089749921562)</f>
        <v>0.4960897499</v>
      </c>
      <c r="AE3047" s="2">
        <f>IFERROR(__xludf.DUMMYFUNCTION("IFERROR(ABS(Q3047-AVERAGE(FILTER(Q3047:Q7115,AA3047:AA7115=""Neighbor""))) / STDEV(FILTER(Q3047:Q7115, AA3047:AA7115 =""Neighbor"")), """")"),0.8264264423855573)</f>
        <v>0.8264264424</v>
      </c>
      <c r="AF3047" s="2">
        <f>IFERROR(__xludf.DUMMYFUNCTION("IFERROR(ABS(R3047-AVERAGE(FILTER(R3047:R7115,AA3047:AA7115=""Neighbor""))) / STDEV(FILTER(R3047:R7115, AA3047:AA7115 =""Neighbor"")), """")"),0.32276201398620963)</f>
        <v>0.322762014</v>
      </c>
    </row>
    <row r="3048">
      <c r="A3048" s="2" t="s">
        <v>28</v>
      </c>
      <c r="B3048" s="2" t="s">
        <v>1711</v>
      </c>
      <c r="C3048" s="2" t="s">
        <v>1769</v>
      </c>
      <c r="D3048" s="2" t="s">
        <v>12440</v>
      </c>
      <c r="E3048" s="2" t="s">
        <v>12441</v>
      </c>
      <c r="F3048" s="2">
        <v>24.0</v>
      </c>
      <c r="G3048" s="2">
        <v>62.0</v>
      </c>
      <c r="H3048" s="2" t="b">
        <v>1</v>
      </c>
      <c r="I3048" s="2">
        <v>-1.0</v>
      </c>
      <c r="J3048" s="2" t="b">
        <v>0</v>
      </c>
      <c r="K3048" s="2" t="b">
        <v>0</v>
      </c>
      <c r="L3048" s="2" t="b">
        <v>0</v>
      </c>
      <c r="M3048" s="2" t="b">
        <v>0</v>
      </c>
      <c r="N3048" s="2" t="s">
        <v>33</v>
      </c>
      <c r="O3048" s="2">
        <v>16.0</v>
      </c>
      <c r="P3048" s="2">
        <v>5.0</v>
      </c>
      <c r="Q3048" s="2">
        <v>1.0</v>
      </c>
      <c r="R3048" s="2">
        <v>0.0</v>
      </c>
      <c r="S3048" s="3" t="s">
        <v>12442</v>
      </c>
      <c r="T3048" s="2" t="s">
        <v>12443</v>
      </c>
      <c r="Y3048" s="4" t="str">
        <f>IFERROR(__xludf.DUMMYFUNCTION("""COMPUTED_VALUE"""),"6.690738")</f>
        <v>6.690738</v>
      </c>
      <c r="Z3048" s="4" t="str">
        <f>IFERROR(__xludf.DUMMYFUNCTION("""COMPUTED_VALUE"""),"3.2231727")</f>
        <v>3.2231727</v>
      </c>
      <c r="AA3048" s="4" t="str">
        <f t="shared" si="1"/>
        <v>Neighbor</v>
      </c>
      <c r="AC3048" s="4">
        <f>IFERROR(__xludf.DUMMYFUNCTION("IFERROR(ABS(O3048-AVERAGE(FILTER(O3048:O7116,AA3048:AA7116=""Neighbor""))) / STDEV(FILTER(O3048:O7116, AA3048:AA7116 =""Neighbor"")), """")"),0.8984180020689875)</f>
        <v>0.8984180021</v>
      </c>
      <c r="AD3048" s="4">
        <f>IFERROR(__xludf.DUMMYFUNCTION("IFERROR(ABS(P3048-AVERAGE(FILTER(O3048:P7116,AA3048:AA7116=""Neighbor""))) / STDEV(FILTER(P3048:P7116, AA3048:AA7116 =""Neighbor"")), """")"),1.0829712804447877)</f>
        <v>1.08297128</v>
      </c>
      <c r="AE3048" s="2">
        <f>IFERROR(__xludf.DUMMYFUNCTION("IFERROR(ABS(Q3048-AVERAGE(FILTER(Q3048:Q7116,AA3048:AA7116=""Neighbor""))) / STDEV(FILTER(Q3048:Q7116, AA3048:AA7116 =""Neighbor"")), """")"),0.8282862526270748)</f>
        <v>0.8282862526</v>
      </c>
      <c r="AF3048" s="2">
        <f>IFERROR(__xludf.DUMMYFUNCTION("IFERROR(ABS(R3048-AVERAGE(FILTER(R3048:R7116,AA3048:AA7116=""Neighbor""))) / STDEV(FILTER(R3048:R7116, AA3048:AA7116 =""Neighbor"")), """")"),0.3232372120210328)</f>
        <v>0.323237212</v>
      </c>
    </row>
    <row r="3049">
      <c r="A3049" s="2" t="s">
        <v>28</v>
      </c>
      <c r="B3049" s="2" t="s">
        <v>1711</v>
      </c>
      <c r="C3049" s="2" t="s">
        <v>1769</v>
      </c>
      <c r="D3049" s="2" t="s">
        <v>12444</v>
      </c>
      <c r="E3049" s="2" t="s">
        <v>12445</v>
      </c>
      <c r="F3049" s="2">
        <v>245.0</v>
      </c>
      <c r="G3049" s="2">
        <v>419.0</v>
      </c>
      <c r="H3049" s="2" t="b">
        <v>1</v>
      </c>
      <c r="I3049" s="2">
        <v>-1.0</v>
      </c>
      <c r="J3049" s="2" t="b">
        <v>1</v>
      </c>
      <c r="K3049" s="2" t="b">
        <v>0</v>
      </c>
      <c r="L3049" s="2" t="b">
        <v>0</v>
      </c>
      <c r="M3049" s="2" t="b">
        <v>0</v>
      </c>
      <c r="N3049" s="2" t="s">
        <v>33</v>
      </c>
      <c r="O3049" s="2">
        <v>105.0</v>
      </c>
      <c r="P3049" s="2">
        <v>45.0</v>
      </c>
      <c r="Q3049" s="2">
        <v>62.0</v>
      </c>
      <c r="R3049" s="2">
        <v>0.0</v>
      </c>
      <c r="S3049" s="3" t="s">
        <v>12446</v>
      </c>
      <c r="T3049" s="2" t="s">
        <v>12447</v>
      </c>
      <c r="Y3049" s="4" t="str">
        <f>IFERROR(__xludf.DUMMYFUNCTION("""COMPUTED_VALUE"""),"6.690738")</f>
        <v>6.690738</v>
      </c>
      <c r="Z3049" s="4" t="str">
        <f>IFERROR(__xludf.DUMMYFUNCTION("""COMPUTED_VALUE"""),"3.2231727")</f>
        <v>3.2231727</v>
      </c>
      <c r="AA3049" s="4" t="str">
        <f t="shared" si="1"/>
        <v>Neighbor</v>
      </c>
      <c r="AC3049" s="4">
        <f>IFERROR(__xludf.DUMMYFUNCTION("IFERROR(ABS(O3049-AVERAGE(FILTER(O3049:O7117,AA3049:AA7117=""Neighbor""))) / STDEV(FILTER(O3049:O7117, AA3049:AA7117 =""Neighbor"")), """")"),1.8712454525493192)</f>
        <v>1.871245453</v>
      </c>
      <c r="AD3049" s="4">
        <f>IFERROR(__xludf.DUMMYFUNCTION("IFERROR(ABS(P3049-AVERAGE(FILTER(O3049:P7117,AA3049:AA7117=""Neighbor""))) / STDEV(FILTER(P3049:P7117, AA3049:AA7117 =""Neighbor"")), """")"),0.5880916375253091)</f>
        <v>0.5880916375</v>
      </c>
      <c r="AE3049" s="2">
        <f>IFERROR(__xludf.DUMMYFUNCTION("IFERROR(ABS(Q3049-AVERAGE(FILTER(Q3049:Q7117,AA3049:AA7117=""Neighbor""))) / STDEV(FILTER(Q3049:Q7117, AA3049:AA7117 =""Neighbor"")), """")"),2.606006603142508)</f>
        <v>2.606006603</v>
      </c>
      <c r="AF3049" s="2">
        <f>IFERROR(__xludf.DUMMYFUNCTION("IFERROR(ABS(R3049-AVERAGE(FILTER(R3049:R7117,AA3049:AA7117=""Neighbor""))) / STDEV(FILTER(R3049:R7117, AA3049:AA7117 =""Neighbor"")), """")"),0.32371451577284943)</f>
        <v>0.3237145158</v>
      </c>
    </row>
    <row r="3050">
      <c r="A3050" s="2" t="s">
        <v>28</v>
      </c>
      <c r="B3050" s="2" t="s">
        <v>1711</v>
      </c>
      <c r="C3050" s="2" t="s">
        <v>1769</v>
      </c>
      <c r="D3050" s="2" t="s">
        <v>12448</v>
      </c>
      <c r="E3050" s="2" t="s">
        <v>12449</v>
      </c>
      <c r="F3050" s="2">
        <v>50.0</v>
      </c>
      <c r="G3050" s="2">
        <v>63.0</v>
      </c>
      <c r="H3050" s="2" t="b">
        <v>1</v>
      </c>
      <c r="I3050" s="2">
        <v>-1.0</v>
      </c>
      <c r="J3050" s="2" t="b">
        <v>0</v>
      </c>
      <c r="K3050" s="2" t="b">
        <v>0</v>
      </c>
      <c r="L3050" s="2" t="b">
        <v>0</v>
      </c>
      <c r="M3050" s="2" t="b">
        <v>0</v>
      </c>
      <c r="N3050" s="2" t="s">
        <v>33</v>
      </c>
      <c r="O3050" s="2">
        <v>33.0</v>
      </c>
      <c r="P3050" s="2">
        <v>3.0</v>
      </c>
      <c r="Q3050" s="2">
        <v>5.0</v>
      </c>
      <c r="R3050" s="2">
        <v>0.0</v>
      </c>
      <c r="S3050" s="3" t="s">
        <v>12450</v>
      </c>
      <c r="T3050" s="2" t="s">
        <v>12451</v>
      </c>
      <c r="Y3050" s="4" t="str">
        <f>IFERROR(__xludf.DUMMYFUNCTION("""COMPUTED_VALUE"""),"6.690738")</f>
        <v>6.690738</v>
      </c>
      <c r="Z3050" s="4" t="str">
        <f>IFERROR(__xludf.DUMMYFUNCTION("""COMPUTED_VALUE"""),"3.2231727")</f>
        <v>3.2231727</v>
      </c>
      <c r="AA3050" s="4" t="str">
        <f t="shared" si="1"/>
        <v>Neighbor</v>
      </c>
      <c r="AC3050" s="4">
        <f>IFERROR(__xludf.DUMMYFUNCTION("IFERROR(ABS(O3050-AVERAGE(FILTER(O3050:O7118,AA3050:AA7118=""Neighbor""))) / STDEV(FILTER(O3050:O7118, AA3050:AA7118 =""Neighbor"")), """")"),0.3673580542723169)</f>
        <v>0.3673580543</v>
      </c>
      <c r="AD3050" s="4">
        <f>IFERROR(__xludf.DUMMYFUNCTION("IFERROR(ABS(P3050-AVERAGE(FILTER(O3050:P7118,AA3050:AA7118=""Neighbor""))) / STDEV(FILTER(P3050:P7118, AA3050:AA7118 =""Neighbor"")), """")"),1.1634191021984126)</f>
        <v>1.163419102</v>
      </c>
      <c r="AE3050" s="2">
        <f>IFERROR(__xludf.DUMMYFUNCTION("IFERROR(ABS(Q3050-AVERAGE(FILTER(Q3050:Q7118,AA3050:AA7118=""Neighbor""))) / STDEV(FILTER(Q3050:Q7118, AA3050:AA7118 =""Neighbor"")), """")"),0.602567425924866)</f>
        <v>0.6025674259</v>
      </c>
      <c r="AF3050" s="2">
        <f>IFERROR(__xludf.DUMMYFUNCTION("IFERROR(ABS(R3050-AVERAGE(FILTER(R3050:R7118,AA3050:AA7118=""Neighbor""))) / STDEV(FILTER(R3050:R7118, AA3050:AA7118 =""Neighbor"")), """")"),0.3241939408435247)</f>
        <v>0.3241939408</v>
      </c>
    </row>
    <row r="3051">
      <c r="A3051" s="2" t="s">
        <v>28</v>
      </c>
      <c r="B3051" s="2" t="s">
        <v>1711</v>
      </c>
      <c r="C3051" s="2" t="s">
        <v>1769</v>
      </c>
      <c r="D3051" s="2" t="s">
        <v>12452</v>
      </c>
      <c r="E3051" s="2" t="s">
        <v>12453</v>
      </c>
      <c r="F3051" s="2">
        <v>18.0</v>
      </c>
      <c r="G3051" s="2">
        <v>30.0</v>
      </c>
      <c r="H3051" s="2" t="b">
        <v>1</v>
      </c>
      <c r="I3051" s="2">
        <v>-1.0</v>
      </c>
      <c r="J3051" s="2" t="b">
        <v>0</v>
      </c>
      <c r="K3051" s="2" t="b">
        <v>0</v>
      </c>
      <c r="L3051" s="2" t="b">
        <v>0</v>
      </c>
      <c r="M3051" s="2" t="b">
        <v>0</v>
      </c>
      <c r="N3051" s="2" t="s">
        <v>33</v>
      </c>
      <c r="O3051" s="2">
        <v>13.0</v>
      </c>
      <c r="P3051" s="2">
        <v>3.0</v>
      </c>
      <c r="Q3051" s="2">
        <v>0.0</v>
      </c>
      <c r="R3051" s="2">
        <v>1.0</v>
      </c>
      <c r="S3051" s="3" t="s">
        <v>12454</v>
      </c>
      <c r="T3051" s="2" t="s">
        <v>12455</v>
      </c>
      <c r="Y3051" s="4" t="str">
        <f>IFERROR(__xludf.DUMMYFUNCTION("""COMPUTED_VALUE"""),"6.690738")</f>
        <v>6.690738</v>
      </c>
      <c r="Z3051" s="4" t="str">
        <f>IFERROR(__xludf.DUMMYFUNCTION("""COMPUTED_VALUE"""),"3.2231727")</f>
        <v>3.2231727</v>
      </c>
      <c r="AA3051" s="4" t="str">
        <f t="shared" si="1"/>
        <v>Not Neighbor</v>
      </c>
      <c r="AC3051" s="4">
        <f>IFERROR(__xludf.DUMMYFUNCTION("IFERROR(ABS(O3051-AVERAGE(FILTER(O3051:O7119,AA3051:AA7119=""Neighbor""))) / STDEV(FILTER(O3051:O7119, AA3051:AA7119 =""Neighbor"")), """")"),0.9921938707834299)</f>
        <v>0.9921938708</v>
      </c>
      <c r="AD3051" s="4">
        <f>IFERROR(__xludf.DUMMYFUNCTION("IFERROR(ABS(P3051-AVERAGE(FILTER(O3051:P7119,AA3051:AA7119=""Neighbor""))) / STDEV(FILTER(P3051:P7119, AA3051:AA7119 =""Neighbor"")), """")"),1.1638226354785568)</f>
        <v>1.163822635</v>
      </c>
      <c r="AE3051" s="2">
        <f>IFERROR(__xludf.DUMMYFUNCTION("IFERROR(ABS(Q3051-AVERAGE(FILTER(Q3051:Q7119,AA3051:AA7119=""Neighbor""))) / STDEV(FILTER(Q3051:Q7119, AA3051:AA7119 =""Neighbor"")), """")"),0.8873137430099536)</f>
        <v>0.887313743</v>
      </c>
      <c r="AF3051" s="2">
        <f>IFERROR(__xludf.DUMMYFUNCTION("IFERROR(ABS(R3051-AVERAGE(FILTER(R3051:R7119,AA3051:AA7119=""Neighbor""))) / STDEV(FILTER(R3051:R7119, AA3051:AA7119 =""Neighbor"")), """")"),0.7804126769292484)</f>
        <v>0.7804126769</v>
      </c>
    </row>
    <row r="3052">
      <c r="A3052" s="2" t="s">
        <v>28</v>
      </c>
      <c r="B3052" s="2" t="s">
        <v>1711</v>
      </c>
      <c r="C3052" s="2" t="s">
        <v>1818</v>
      </c>
      <c r="D3052" s="2" t="s">
        <v>12456</v>
      </c>
      <c r="E3052" s="2" t="s">
        <v>12457</v>
      </c>
      <c r="F3052" s="2">
        <v>45.0</v>
      </c>
      <c r="G3052" s="2">
        <v>75.0</v>
      </c>
      <c r="H3052" s="2" t="b">
        <v>1</v>
      </c>
      <c r="I3052" s="2">
        <v>-1.0</v>
      </c>
      <c r="J3052" s="2" t="b">
        <v>0</v>
      </c>
      <c r="K3052" s="2" t="b">
        <v>0</v>
      </c>
      <c r="L3052" s="2" t="b">
        <v>0</v>
      </c>
      <c r="M3052" s="2" t="b">
        <v>0</v>
      </c>
      <c r="N3052" s="2" t="s">
        <v>33</v>
      </c>
      <c r="O3052" s="2">
        <v>18.0</v>
      </c>
      <c r="P3052" s="2">
        <v>6.0</v>
      </c>
      <c r="Q3052" s="2">
        <v>18.0</v>
      </c>
      <c r="R3052" s="2">
        <v>0.0</v>
      </c>
      <c r="S3052" s="3" t="s">
        <v>12458</v>
      </c>
      <c r="T3052" s="2" t="s">
        <v>12459</v>
      </c>
      <c r="Y3052" s="4" t="str">
        <f>IFERROR(__xludf.DUMMYFUNCTION("""COMPUTED_VALUE"""),"6.6896425")</f>
        <v>6.6896425</v>
      </c>
      <c r="Z3052" s="4" t="str">
        <f>IFERROR(__xludf.DUMMYFUNCTION("""COMPUTED_VALUE"""),"3.2400652")</f>
        <v>3.2400652</v>
      </c>
      <c r="AA3052" s="4" t="str">
        <f t="shared" si="1"/>
        <v>Neighbor</v>
      </c>
      <c r="AC3052" s="4">
        <f>IFERROR(__xludf.DUMMYFUNCTION("IFERROR(ABS(O3052-AVERAGE(FILTER(O3052:O7120,AA3052:AA7120=""Neighbor""))) / STDEV(FILTER(O3052:O7120, AA3052:AA7120 =""Neighbor"")), """")"),0.836125047727103)</f>
        <v>0.8361250477</v>
      </c>
      <c r="AD3052" s="4">
        <f>IFERROR(__xludf.DUMMYFUNCTION("IFERROR(ABS(P3052-AVERAGE(FILTER(O3052:P7120,AA3052:AA7120=""Neighbor""))) / STDEV(FILTER(P3052:P7120, AA3052:AA7120 =""Neighbor"")), """")"),1.0384514979168422)</f>
        <v>1.038451498</v>
      </c>
      <c r="AE3052" s="2">
        <f>IFERROR(__xludf.DUMMYFUNCTION("IFERROR(ABS(Q3052-AVERAGE(FILTER(Q3052:Q7120,AA3052:AA7120=""Neighbor""))) / STDEV(FILTER(Q3052:Q7120, AA3052:AA7120 =""Neighbor"")), """")"),0.13379278392791819)</f>
        <v>0.1337927839</v>
      </c>
      <c r="AF3052" s="2">
        <f>IFERROR(__xludf.DUMMYFUNCTION("IFERROR(ABS(R3052-AVERAGE(FILTER(R3052:R7120,AA3052:AA7120=""Neighbor""))) / STDEV(FILTER(R3052:R7120, AA3052:AA7120 =""Neighbor"")), """")"),0.32467550299728276)</f>
        <v>0.324675503</v>
      </c>
    </row>
    <row r="3053">
      <c r="A3053" s="2" t="s">
        <v>28</v>
      </c>
      <c r="B3053" s="2" t="s">
        <v>1711</v>
      </c>
      <c r="C3053" s="2" t="s">
        <v>1818</v>
      </c>
      <c r="D3053" s="2" t="s">
        <v>12460</v>
      </c>
      <c r="E3053" s="2" t="s">
        <v>12461</v>
      </c>
      <c r="F3053" s="2">
        <v>42.0</v>
      </c>
      <c r="G3053" s="2">
        <v>86.0</v>
      </c>
      <c r="H3053" s="2" t="b">
        <v>1</v>
      </c>
      <c r="I3053" s="2">
        <v>-1.0</v>
      </c>
      <c r="J3053" s="2" t="b">
        <v>0</v>
      </c>
      <c r="K3053" s="2" t="b">
        <v>0</v>
      </c>
      <c r="L3053" s="2" t="b">
        <v>0</v>
      </c>
      <c r="M3053" s="2" t="b">
        <v>0</v>
      </c>
      <c r="N3053" s="2" t="s">
        <v>33</v>
      </c>
      <c r="O3053" s="2">
        <v>26.0</v>
      </c>
      <c r="P3053" s="2">
        <v>4.0</v>
      </c>
      <c r="Q3053" s="2">
        <v>9.0</v>
      </c>
      <c r="R3053" s="2">
        <v>0.0</v>
      </c>
      <c r="S3053" s="3" t="s">
        <v>12462</v>
      </c>
      <c r="T3053" s="2" t="s">
        <v>12463</v>
      </c>
      <c r="Y3053" s="4" t="str">
        <f>IFERROR(__xludf.DUMMYFUNCTION("""COMPUTED_VALUE"""),"6.6887153")</f>
        <v>6.6887153</v>
      </c>
      <c r="Z3053" s="4" t="str">
        <f>IFERROR(__xludf.DUMMYFUNCTION("""COMPUTED_VALUE"""),"3.2443006")</f>
        <v>3.2443006</v>
      </c>
      <c r="AA3053" s="4" t="str">
        <f t="shared" si="1"/>
        <v>Neighbor</v>
      </c>
      <c r="AC3053" s="4">
        <f>IFERROR(__xludf.DUMMYFUNCTION("IFERROR(ABS(O3053-AVERAGE(FILTER(O3053:O7121,AA3053:AA7121=""Neighbor""))) / STDEV(FILTER(O3053:O7121, AA3053:AA7121 =""Neighbor"")), """")"),0.5884363677732517)</f>
        <v>0.5884363678</v>
      </c>
      <c r="AD3053" s="4">
        <f>IFERROR(__xludf.DUMMYFUNCTION("IFERROR(ABS(P3053-AVERAGE(FILTER(O3053:P7121,AA3053:AA7121=""Neighbor""))) / STDEV(FILTER(P3053:P7121, AA3053:AA7121 =""Neighbor"")), """")"),1.1229574459582456)</f>
        <v>1.122957446</v>
      </c>
      <c r="AE3053" s="2">
        <f>IFERROR(__xludf.DUMMYFUNCTION("IFERROR(ABS(Q3053-AVERAGE(FILTER(Q3053:Q7121,AA3053:AA7121=""Neighbor""))) / STDEV(FILTER(Q3053:Q7121, AA3053:AA7121 =""Neighbor"")), """")"),0.3758990037817394)</f>
        <v>0.3758990038</v>
      </c>
      <c r="AF3053" s="2">
        <f>IFERROR(__xludf.DUMMYFUNCTION("IFERROR(ABS(R3053-AVERAGE(FILTER(R3053:R7121,AA3053:AA7121=""Neighbor""))) / STDEV(FILTER(R3053:R7121, AA3053:AA7121 =""Neighbor"")), """")"),0.3251592181628847)</f>
        <v>0.3251592182</v>
      </c>
    </row>
    <row r="3054">
      <c r="A3054" s="2" t="s">
        <v>28</v>
      </c>
      <c r="B3054" s="2" t="s">
        <v>1711</v>
      </c>
      <c r="C3054" s="2" t="s">
        <v>1818</v>
      </c>
      <c r="D3054" s="2" t="s">
        <v>12464</v>
      </c>
      <c r="E3054" s="2" t="s">
        <v>12465</v>
      </c>
      <c r="F3054" s="2">
        <v>43.0</v>
      </c>
      <c r="G3054" s="2">
        <v>97.0</v>
      </c>
      <c r="H3054" s="2" t="b">
        <v>1</v>
      </c>
      <c r="I3054" s="2">
        <v>-1.0</v>
      </c>
      <c r="J3054" s="2" t="b">
        <v>0</v>
      </c>
      <c r="K3054" s="2" t="b">
        <v>0</v>
      </c>
      <c r="L3054" s="2" t="b">
        <v>0</v>
      </c>
      <c r="M3054" s="2" t="b">
        <v>0</v>
      </c>
      <c r="N3054" s="2" t="s">
        <v>33</v>
      </c>
      <c r="O3054" s="2">
        <v>13.0</v>
      </c>
      <c r="P3054" s="2">
        <v>18.0</v>
      </c>
      <c r="Q3054" s="2">
        <v>4.0</v>
      </c>
      <c r="R3054" s="2">
        <v>0.0</v>
      </c>
      <c r="S3054" s="3" t="s">
        <v>12466</v>
      </c>
      <c r="T3054" s="2" t="s">
        <v>12467</v>
      </c>
      <c r="Y3054" s="4" t="str">
        <f>IFERROR(__xludf.DUMMYFUNCTION("""COMPUTED_VALUE"""),"6.6926435")</f>
        <v>6.6926435</v>
      </c>
      <c r="Z3054" s="4" t="str">
        <f>IFERROR(__xludf.DUMMYFUNCTION("""COMPUTED_VALUE"""),"3.236561")</f>
        <v>3.236561</v>
      </c>
      <c r="AA3054" s="4" t="str">
        <f t="shared" si="1"/>
        <v>Not Neighbor</v>
      </c>
      <c r="AC3054" s="4">
        <f>IFERROR(__xludf.DUMMYFUNCTION("IFERROR(ABS(O3054-AVERAGE(FILTER(O3054:O7122,AA3054:AA7122=""Neighbor""))) / STDEV(FILTER(O3054:O7122, AA3054:AA7122 =""Neighbor"")), """")"),0.9947637550982703)</f>
        <v>0.9947637551</v>
      </c>
      <c r="AD3054" s="4">
        <f>IFERROR(__xludf.DUMMYFUNCTION("IFERROR(ABS(P3054-AVERAGE(FILTER(O3054:P7122,AA3054:AA7122=""Neighbor""))) / STDEV(FILTER(P3054:P7122, AA3054:AA7122 =""Neighbor"")), """")"),0.539798861825726)</f>
        <v>0.5397988618</v>
      </c>
      <c r="AE3054" s="2">
        <f>IFERROR(__xludf.DUMMYFUNCTION("IFERROR(ABS(Q3054-AVERAGE(FILTER(Q3054:Q7122,AA3054:AA7122=""Neighbor""))) / STDEV(FILTER(Q3054:Q7122, AA3054:AA7122 =""Neighbor"")), """")"),0.6594131611340248)</f>
        <v>0.6594131611</v>
      </c>
      <c r="AF3054" s="2">
        <f>IFERROR(__xludf.DUMMYFUNCTION("IFERROR(ABS(R3054-AVERAGE(FILTER(R3054:R7122,AA3054:AA7122=""Neighbor""))) / STDEV(FILTER(R3054:R7122, AA3054:AA7122 =""Neighbor"")), """")"),0.3256451024358455)</f>
        <v>0.3256451024</v>
      </c>
    </row>
    <row r="3055">
      <c r="A3055" s="2" t="s">
        <v>28</v>
      </c>
      <c r="B3055" s="2" t="s">
        <v>1711</v>
      </c>
      <c r="C3055" s="2" t="s">
        <v>1818</v>
      </c>
      <c r="D3055" s="2" t="s">
        <v>12468</v>
      </c>
      <c r="E3055" s="2" t="s">
        <v>12469</v>
      </c>
      <c r="F3055" s="2">
        <v>16.0</v>
      </c>
      <c r="G3055" s="2">
        <v>36.0</v>
      </c>
      <c r="H3055" s="2" t="b">
        <v>1</v>
      </c>
      <c r="I3055" s="2">
        <v>-1.0</v>
      </c>
      <c r="J3055" s="2" t="b">
        <v>0</v>
      </c>
      <c r="K3055" s="2" t="b">
        <v>0</v>
      </c>
      <c r="L3055" s="2" t="b">
        <v>0</v>
      </c>
      <c r="M3055" s="2" t="b">
        <v>0</v>
      </c>
      <c r="N3055" s="2" t="s">
        <v>33</v>
      </c>
      <c r="O3055" s="2">
        <v>4.0</v>
      </c>
      <c r="P3055" s="2">
        <v>9.0</v>
      </c>
      <c r="Q3055" s="2">
        <v>2.0</v>
      </c>
      <c r="R3055" s="2">
        <v>0.0</v>
      </c>
      <c r="S3055" s="3" t="s">
        <v>12470</v>
      </c>
      <c r="T3055" s="2" t="s">
        <v>12471</v>
      </c>
      <c r="Y3055" s="4" t="str">
        <f>IFERROR(__xludf.DUMMYFUNCTION("""COMPUTED_VALUE"""),"6.6915812")</f>
        <v>6.6915812</v>
      </c>
      <c r="Z3055" s="4" t="str">
        <f>IFERROR(__xludf.DUMMYFUNCTION("""COMPUTED_VALUE"""),"3.2471698")</f>
        <v>3.2471698</v>
      </c>
      <c r="AA3055" s="4" t="str">
        <f t="shared" si="1"/>
        <v>Not Neighbor</v>
      </c>
      <c r="AC3055" s="4">
        <f>IFERROR(__xludf.DUMMYFUNCTION("IFERROR(ABS(O3055-AVERAGE(FILTER(O3055:O7123,AA3055:AA7123=""Neighbor""))) / STDEV(FILTER(O3055:O7123, AA3055:AA7123 =""Neighbor"")), """")"),1.2753251504852219)</f>
        <v>1.27532515</v>
      </c>
      <c r="AD3055" s="4">
        <f>IFERROR(__xludf.DUMMYFUNCTION("IFERROR(ABS(P3055-AVERAGE(FILTER(O3055:P7123,AA3055:AA7123=""Neighbor""))) / STDEV(FILTER(P3055:P7123, AA3055:AA7123 =""Neighbor"")), """")"),0.9151489497912277)</f>
        <v>0.9151489498</v>
      </c>
      <c r="AE3055" s="2">
        <f>IFERROR(__xludf.DUMMYFUNCTION("IFERROR(ABS(Q3055-AVERAGE(FILTER(Q3055:Q7123,AA3055:AA7123=""Neighbor""))) / STDEV(FILTER(Q3055:Q7123, AA3055:AA7123 =""Neighbor"")), """")"),0.772586861812376)</f>
        <v>0.7725868618</v>
      </c>
      <c r="AF3055" s="2">
        <f>IFERROR(__xludf.DUMMYFUNCTION("IFERROR(ABS(R3055-AVERAGE(FILTER(R3055:R7123,AA3055:AA7123=""Neighbor""))) / STDEV(FILTER(R3055:R7123, AA3055:AA7123 =""Neighbor"")), """")"),0.3256451024358455)</f>
        <v>0.3256451024</v>
      </c>
    </row>
    <row r="3056">
      <c r="A3056" s="2" t="s">
        <v>28</v>
      </c>
      <c r="B3056" s="2" t="s">
        <v>1711</v>
      </c>
      <c r="C3056" s="2" t="s">
        <v>1818</v>
      </c>
      <c r="D3056" s="2" t="s">
        <v>12472</v>
      </c>
      <c r="E3056" s="2" t="s">
        <v>12473</v>
      </c>
      <c r="F3056" s="2">
        <v>43.0</v>
      </c>
      <c r="G3056" s="2">
        <v>120.0</v>
      </c>
      <c r="H3056" s="2" t="b">
        <v>1</v>
      </c>
      <c r="I3056" s="2">
        <v>-1.0</v>
      </c>
      <c r="J3056" s="2" t="b">
        <v>0</v>
      </c>
      <c r="K3056" s="2" t="b">
        <v>0</v>
      </c>
      <c r="L3056" s="2" t="b">
        <v>0</v>
      </c>
      <c r="M3056" s="2" t="b">
        <v>0</v>
      </c>
      <c r="N3056" s="2" t="s">
        <v>33</v>
      </c>
      <c r="O3056" s="2">
        <v>15.0</v>
      </c>
      <c r="P3056" s="2">
        <v>21.0</v>
      </c>
      <c r="Q3056" s="2">
        <v>0.0</v>
      </c>
      <c r="R3056" s="2">
        <v>0.0</v>
      </c>
      <c r="S3056" s="3" t="s">
        <v>12474</v>
      </c>
      <c r="T3056" s="2" t="s">
        <v>12475</v>
      </c>
      <c r="Y3056" s="4" t="str">
        <f>IFERROR(__xludf.DUMMYFUNCTION("""COMPUTED_VALUE"""),"6.7275164")</f>
        <v>6.7275164</v>
      </c>
      <c r="Z3056" s="4" t="str">
        <f>IFERROR(__xludf.DUMMYFUNCTION("""COMPUTED_VALUE"""),"3.2405047")</f>
        <v>3.2405047</v>
      </c>
      <c r="AA3056" s="4" t="str">
        <f t="shared" si="1"/>
        <v>Not Neighbor</v>
      </c>
      <c r="AC3056" s="4">
        <f>IFERROR(__xludf.DUMMYFUNCTION("IFERROR(ABS(O3056-AVERAGE(FILTER(O3056:O7124,AA3056:AA7124=""Neighbor""))) / STDEV(FILTER(O3056:O7124, AA3056:AA7124 =""Neighbor"")), """")"),0.9324167783456143)</f>
        <v>0.9324167783</v>
      </c>
      <c r="AD3056" s="4">
        <f>IFERROR(__xludf.DUMMYFUNCTION("IFERROR(ABS(P3056-AVERAGE(FILTER(O3056:P7124,AA3056:AA7124=""Neighbor""))) / STDEV(FILTER(P3056:P7124, AA3056:AA7124 =""Neighbor"")), """")"),0.41468216583722545)</f>
        <v>0.4146821658</v>
      </c>
      <c r="AE3056" s="2">
        <f>IFERROR(__xludf.DUMMYFUNCTION("IFERROR(ABS(Q3056-AVERAGE(FILTER(Q3056:Q7124,AA3056:AA7124=""Neighbor""))) / STDEV(FILTER(Q3056:Q7124, AA3056:AA7124 =""Neighbor"")), """")"),0.8857605624907272)</f>
        <v>0.8857605625</v>
      </c>
      <c r="AF3056" s="2">
        <f>IFERROR(__xludf.DUMMYFUNCTION("IFERROR(ABS(R3056-AVERAGE(FILTER(R3056:R7124,AA3056:AA7124=""Neighbor""))) / STDEV(FILTER(R3056:R7124, AA3056:AA7124 =""Neighbor"")), """")"),0.3256451024358455)</f>
        <v>0.3256451024</v>
      </c>
    </row>
    <row r="3057">
      <c r="A3057" s="2" t="s">
        <v>28</v>
      </c>
      <c r="B3057" s="2" t="s">
        <v>1711</v>
      </c>
      <c r="C3057" s="2" t="s">
        <v>1818</v>
      </c>
      <c r="D3057" s="2" t="s">
        <v>12476</v>
      </c>
      <c r="E3057" s="2" t="s">
        <v>12477</v>
      </c>
      <c r="F3057" s="2">
        <v>46.0</v>
      </c>
      <c r="G3057" s="2">
        <v>122.0</v>
      </c>
      <c r="H3057" s="2" t="b">
        <v>1</v>
      </c>
      <c r="I3057" s="2">
        <v>-1.0</v>
      </c>
      <c r="J3057" s="2" t="b">
        <v>0</v>
      </c>
      <c r="K3057" s="2" t="b">
        <v>0</v>
      </c>
      <c r="L3057" s="2" t="b">
        <v>0</v>
      </c>
      <c r="M3057" s="2" t="b">
        <v>0</v>
      </c>
      <c r="N3057" s="2" t="s">
        <v>33</v>
      </c>
      <c r="O3057" s="2">
        <v>31.0</v>
      </c>
      <c r="P3057" s="2">
        <v>9.0</v>
      </c>
      <c r="Q3057" s="2">
        <v>2.0</v>
      </c>
      <c r="R3057" s="2">
        <v>0.0</v>
      </c>
      <c r="S3057" s="3" t="s">
        <v>12478</v>
      </c>
      <c r="T3057" s="2" t="s">
        <v>12479</v>
      </c>
      <c r="Y3057" s="4" t="str">
        <f>IFERROR(__xludf.DUMMYFUNCTION("""COMPUTED_VALUE"""),"6.6915812")</f>
        <v>6.6915812</v>
      </c>
      <c r="Z3057" s="4" t="str">
        <f>IFERROR(__xludf.DUMMYFUNCTION("""COMPUTED_VALUE"""),"3.2471698")</f>
        <v>3.2471698</v>
      </c>
      <c r="AA3057" s="4" t="str">
        <f t="shared" si="1"/>
        <v>Not Neighbor</v>
      </c>
      <c r="AC3057" s="4">
        <f>IFERROR(__xludf.DUMMYFUNCTION("IFERROR(ABS(O3057-AVERAGE(FILTER(O3057:O7125,AA3057:AA7125=""Neighbor""))) / STDEV(FILTER(O3057:O7125, AA3057:AA7125 =""Neighbor"")), """")"),0.43364096432436705)</f>
        <v>0.4336409643</v>
      </c>
      <c r="AD3057" s="4">
        <f>IFERROR(__xludf.DUMMYFUNCTION("IFERROR(ABS(P3057-AVERAGE(FILTER(O3057:P7125,AA3057:AA7125=""Neighbor""))) / STDEV(FILTER(P3057:P7125, AA3057:AA7125 =""Neighbor"")), """")"),0.9151489497912277)</f>
        <v>0.9151489498</v>
      </c>
      <c r="AE3057" s="2">
        <f>IFERROR(__xludf.DUMMYFUNCTION("IFERROR(ABS(Q3057-AVERAGE(FILTER(Q3057:Q7125,AA3057:AA7125=""Neighbor""))) / STDEV(FILTER(Q3057:Q7125, AA3057:AA7125 =""Neighbor"")), """")"),0.772586861812376)</f>
        <v>0.7725868618</v>
      </c>
      <c r="AF3057" s="2">
        <f>IFERROR(__xludf.DUMMYFUNCTION("IFERROR(ABS(R3057-AVERAGE(FILTER(R3057:R7125,AA3057:AA7125=""Neighbor""))) / STDEV(FILTER(R3057:R7125, AA3057:AA7125 =""Neighbor"")), """")"),0.3256451024358455)</f>
        <v>0.3256451024</v>
      </c>
    </row>
    <row r="3058">
      <c r="A3058" s="2" t="s">
        <v>28</v>
      </c>
      <c r="B3058" s="2" t="s">
        <v>1711</v>
      </c>
      <c r="C3058" s="2" t="s">
        <v>1818</v>
      </c>
      <c r="D3058" s="2" t="s">
        <v>12480</v>
      </c>
      <c r="E3058" s="2" t="s">
        <v>12481</v>
      </c>
      <c r="F3058" s="2">
        <v>30.0</v>
      </c>
      <c r="G3058" s="2">
        <v>79.0</v>
      </c>
      <c r="H3058" s="2" t="b">
        <v>1</v>
      </c>
      <c r="I3058" s="2">
        <v>-1.0</v>
      </c>
      <c r="J3058" s="2" t="b">
        <v>0</v>
      </c>
      <c r="K3058" s="2" t="b">
        <v>0</v>
      </c>
      <c r="L3058" s="2" t="b">
        <v>0</v>
      </c>
      <c r="M3058" s="2" t="b">
        <v>0</v>
      </c>
      <c r="N3058" s="2" t="s">
        <v>33</v>
      </c>
      <c r="O3058" s="2">
        <v>0.0</v>
      </c>
      <c r="P3058" s="2">
        <v>0.0</v>
      </c>
      <c r="Q3058" s="2">
        <v>0.0</v>
      </c>
      <c r="R3058" s="2">
        <v>0.0</v>
      </c>
      <c r="S3058" s="3" t="s">
        <v>12482</v>
      </c>
      <c r="T3058" s="2" t="s">
        <v>12483</v>
      </c>
      <c r="Y3058" s="4" t="str">
        <f>IFERROR(__xludf.DUMMYFUNCTION("""COMPUTED_VALUE"""),"6.6926435")</f>
        <v>6.6926435</v>
      </c>
      <c r="Z3058" s="4" t="str">
        <f>IFERROR(__xludf.DUMMYFUNCTION("""COMPUTED_VALUE"""),"3.236561")</f>
        <v>3.236561</v>
      </c>
      <c r="AA3058" s="4" t="str">
        <f t="shared" si="1"/>
        <v>Neighbor</v>
      </c>
      <c r="AC3058" s="4">
        <f>IFERROR(__xludf.DUMMYFUNCTION("IFERROR(ABS(O3058-AVERAGE(FILTER(O3058:O7126,AA3058:AA7126=""Neighbor""))) / STDEV(FILTER(O3058:O7126, AA3058:AA7126 =""Neighbor"")), """")"),1.4000191039905336)</f>
        <v>1.400019104</v>
      </c>
      <c r="AD3058" s="4">
        <f>IFERROR(__xludf.DUMMYFUNCTION("IFERROR(ABS(P3058-AVERAGE(FILTER(O3058:P7126,AA3058:AA7126=""Neighbor""))) / STDEV(FILTER(P3058:P7126, AA3058:AA7126 =""Neighbor"")), """")"),1.2904990377567296)</f>
        <v>1.290499038</v>
      </c>
      <c r="AE3058" s="2">
        <f>IFERROR(__xludf.DUMMYFUNCTION("IFERROR(ABS(Q3058-AVERAGE(FILTER(Q3058:Q7126,AA3058:AA7126=""Neighbor""))) / STDEV(FILTER(Q3058:Q7126, AA3058:AA7126 =""Neighbor"")), """")"),0.8857605624907272)</f>
        <v>0.8857605625</v>
      </c>
      <c r="AF3058" s="2">
        <f>IFERROR(__xludf.DUMMYFUNCTION("IFERROR(ABS(R3058-AVERAGE(FILTER(R3058:R7126,AA3058:AA7126=""Neighbor""))) / STDEV(FILTER(R3058:R7126, AA3058:AA7126 =""Neighbor"")), """")"),0.3256451024358455)</f>
        <v>0.3256451024</v>
      </c>
    </row>
    <row r="3059">
      <c r="A3059" s="2" t="s">
        <v>28</v>
      </c>
      <c r="B3059" s="2" t="s">
        <v>1711</v>
      </c>
      <c r="C3059" s="2" t="s">
        <v>1818</v>
      </c>
      <c r="D3059" s="2" t="s">
        <v>12484</v>
      </c>
      <c r="E3059" s="2" t="s">
        <v>12485</v>
      </c>
      <c r="F3059" s="2">
        <v>11.0</v>
      </c>
      <c r="G3059" s="2">
        <v>42.0</v>
      </c>
      <c r="H3059" s="2" t="b">
        <v>1</v>
      </c>
      <c r="I3059" s="2">
        <v>-1.0</v>
      </c>
      <c r="J3059" s="2" t="b">
        <v>0</v>
      </c>
      <c r="K3059" s="2" t="b">
        <v>0</v>
      </c>
      <c r="L3059" s="2" t="b">
        <v>0</v>
      </c>
      <c r="M3059" s="2" t="b">
        <v>0</v>
      </c>
      <c r="N3059" s="2" t="s">
        <v>33</v>
      </c>
      <c r="O3059" s="2">
        <v>8.0</v>
      </c>
      <c r="P3059" s="2">
        <v>2.0</v>
      </c>
      <c r="Q3059" s="2">
        <v>1.0</v>
      </c>
      <c r="R3059" s="2">
        <v>0.0</v>
      </c>
      <c r="S3059" s="3" t="s">
        <v>12486</v>
      </c>
      <c r="T3059" s="2" t="s">
        <v>12487</v>
      </c>
      <c r="Y3059" s="4" t="str">
        <f>IFERROR(__xludf.DUMMYFUNCTION("""COMPUTED_VALUE"""),"6.685768")</f>
        <v>6.685768</v>
      </c>
      <c r="Z3059" s="4" t="str">
        <f>IFERROR(__xludf.DUMMYFUNCTION("""COMPUTED_VALUE"""),"3.2435579")</f>
        <v>3.2435579</v>
      </c>
      <c r="AA3059" s="4" t="str">
        <f t="shared" si="1"/>
        <v>Neighbor</v>
      </c>
      <c r="AC3059" s="4">
        <f>IFERROR(__xludf.DUMMYFUNCTION("IFERROR(ABS(O3059-AVERAGE(FILTER(O3059:O7127,AA3059:AA7127=""Neighbor""))) / STDEV(FILTER(O3059:O7127, AA3059:AA7127 =""Neighbor"")), """")"),1.1559569485233665)</f>
        <v>1.155956949</v>
      </c>
      <c r="AD3059" s="4">
        <f>IFERROR(__xludf.DUMMYFUNCTION("IFERROR(ABS(P3059-AVERAGE(FILTER(O3059:P7127,AA3059:AA7127=""Neighbor""))) / STDEV(FILTER(P3059:P7127, AA3059:AA7127 =""Neighbor"")), """")"),1.2097751535310761)</f>
        <v>1.209775154</v>
      </c>
      <c r="AE3059" s="2">
        <f>IFERROR(__xludf.DUMMYFUNCTION("IFERROR(ABS(Q3059-AVERAGE(FILTER(Q3059:Q7127,AA3059:AA7127=""Neighbor""))) / STDEV(FILTER(Q3059:Q7127, AA3059:AA7127 =""Neighbor"")), """")"),0.831339122858341)</f>
        <v>0.8313391229</v>
      </c>
      <c r="AF3059" s="2">
        <f>IFERROR(__xludf.DUMMYFUNCTION("IFERROR(ABS(R3059-AVERAGE(FILTER(R3059:R7127,AA3059:AA7127=""Neighbor""))) / STDEV(FILTER(R3059:R7127, AA3059:AA7127 =""Neighbor"")), """")"),0.32613317208068426)</f>
        <v>0.3261331721</v>
      </c>
    </row>
    <row r="3060">
      <c r="A3060" s="2" t="s">
        <v>28</v>
      </c>
      <c r="B3060" s="2" t="s">
        <v>1711</v>
      </c>
      <c r="C3060" s="2" t="s">
        <v>1818</v>
      </c>
      <c r="D3060" s="2" t="s">
        <v>12488</v>
      </c>
      <c r="E3060" s="2" t="s">
        <v>12489</v>
      </c>
      <c r="F3060" s="2">
        <v>10.0</v>
      </c>
      <c r="G3060" s="2">
        <v>33.0</v>
      </c>
      <c r="H3060" s="2" t="b">
        <v>1</v>
      </c>
      <c r="I3060" s="2">
        <v>-1.0</v>
      </c>
      <c r="J3060" s="2" t="b">
        <v>0</v>
      </c>
      <c r="K3060" s="2" t="b">
        <v>0</v>
      </c>
      <c r="L3060" s="2" t="b">
        <v>0</v>
      </c>
      <c r="M3060" s="2" t="b">
        <v>0</v>
      </c>
      <c r="N3060" s="2" t="s">
        <v>33</v>
      </c>
      <c r="O3060" s="2">
        <v>1.0</v>
      </c>
      <c r="P3060" s="2">
        <v>3.0</v>
      </c>
      <c r="Q3060" s="2">
        <v>5.0</v>
      </c>
      <c r="R3060" s="2">
        <v>0.0</v>
      </c>
      <c r="S3060" s="3" t="s">
        <v>12490</v>
      </c>
      <c r="T3060" s="2" t="s">
        <v>12491</v>
      </c>
      <c r="Y3060" s="4" t="str">
        <f>IFERROR(__xludf.DUMMYFUNCTION("""COMPUTED_VALUE"""),"6.6795243")</f>
        <v>6.6795243</v>
      </c>
      <c r="Z3060" s="4" t="str">
        <f>IFERROR(__xludf.DUMMYFUNCTION("""COMPUTED_VALUE"""),"3.2523128")</f>
        <v>3.2523128</v>
      </c>
      <c r="AA3060" s="4" t="str">
        <f t="shared" si="1"/>
        <v>Not Neighbor</v>
      </c>
      <c r="AC3060" s="4">
        <f>IFERROR(__xludf.DUMMYFUNCTION("IFERROR(ABS(O3060-AVERAGE(FILTER(O3060:O7128,AA3060:AA7128=""Neighbor""))) / STDEV(FILTER(O3060:O7128, AA3060:AA7128 =""Neighbor"")), """")"),1.3782487715494451)</f>
        <v>1.378248772</v>
      </c>
      <c r="AD3060" s="4">
        <f>IFERROR(__xludf.DUMMYFUNCTION("IFERROR(ABS(P3060-AVERAGE(FILTER(O3060:P7128,AA3060:AA7128=""Neighbor""))) / STDEV(FILTER(P3060:P7128, AA3060:AA7128 =""Neighbor"")), """")"),1.1700836955268072)</f>
        <v>1.170083696</v>
      </c>
      <c r="AE3060" s="2">
        <f>IFERROR(__xludf.DUMMYFUNCTION("IFERROR(ABS(Q3060-AVERAGE(FILTER(Q3060:Q7128,AA3060:AA7128=""Neighbor""))) / STDEV(FILTER(Q3060:Q7128, AA3060:AA7128 =""Neighbor"")), """")"),0.607068153539134)</f>
        <v>0.6070681535</v>
      </c>
      <c r="AF3060" s="2">
        <f>IFERROR(__xludf.DUMMYFUNCTION("IFERROR(ABS(R3060-AVERAGE(FILTER(R3060:R7128,AA3060:AA7128=""Neighbor""))) / STDEV(FILTER(R3060:R7128, AA3060:AA7128 =""Neighbor"")), """")"),0.3266234435332139)</f>
        <v>0.3266234435</v>
      </c>
    </row>
    <row r="3061">
      <c r="A3061" s="2" t="s">
        <v>28</v>
      </c>
      <c r="B3061" s="2" t="s">
        <v>1711</v>
      </c>
      <c r="C3061" s="2" t="s">
        <v>1818</v>
      </c>
      <c r="D3061" s="2" t="s">
        <v>12492</v>
      </c>
      <c r="E3061" s="2" t="s">
        <v>12493</v>
      </c>
      <c r="F3061" s="2">
        <v>14.0</v>
      </c>
      <c r="G3061" s="2">
        <v>57.0</v>
      </c>
      <c r="H3061" s="2" t="b">
        <v>1</v>
      </c>
      <c r="I3061" s="2">
        <v>-1.0</v>
      </c>
      <c r="J3061" s="2" t="b">
        <v>0</v>
      </c>
      <c r="K3061" s="2" t="b">
        <v>0</v>
      </c>
      <c r="L3061" s="2" t="b">
        <v>0</v>
      </c>
      <c r="M3061" s="2" t="b">
        <v>0</v>
      </c>
      <c r="N3061" s="2" t="s">
        <v>33</v>
      </c>
      <c r="O3061" s="2">
        <v>7.0</v>
      </c>
      <c r="P3061" s="2">
        <v>6.0</v>
      </c>
      <c r="Q3061" s="2">
        <v>1.0</v>
      </c>
      <c r="R3061" s="2">
        <v>0.0</v>
      </c>
      <c r="S3061" s="3" t="s">
        <v>12494</v>
      </c>
      <c r="T3061" s="2" t="s">
        <v>12495</v>
      </c>
      <c r="Y3061" s="4" t="str">
        <f>IFERROR(__xludf.DUMMYFUNCTION("""COMPUTED_VALUE"""),"6.6926435")</f>
        <v>6.6926435</v>
      </c>
      <c r="Z3061" s="4" t="str">
        <f>IFERROR(__xludf.DUMMYFUNCTION("""COMPUTED_VALUE"""),"3.236561")</f>
        <v>3.236561</v>
      </c>
      <c r="AA3061" s="4" t="str">
        <f t="shared" si="1"/>
        <v>Not Neighbor</v>
      </c>
      <c r="AC3061" s="4">
        <f>IFERROR(__xludf.DUMMYFUNCTION("IFERROR(ABS(O3061-AVERAGE(FILTER(O3061:O7129,AA3061:AA7129=""Neighbor""))) / STDEV(FILTER(O3061:O7129, AA3061:AA7129 =""Neighbor"")), """")"),1.1908743321500577)</f>
        <v>1.190874332</v>
      </c>
      <c r="AD3061" s="4">
        <f>IFERROR(__xludf.DUMMYFUNCTION("IFERROR(ABS(P3061-AVERAGE(FILTER(O3061:P7129,AA3061:AA7129=""Neighbor""))) / STDEV(FILTER(P3061:P7129, AA3061:AA7129 =""Neighbor"")), """")"),1.0451552482057236)</f>
        <v>1.045155248</v>
      </c>
      <c r="AE3061" s="2">
        <f>IFERROR(__xludf.DUMMYFUNCTION("IFERROR(ABS(Q3061-AVERAGE(FILTER(Q3061:Q7129,AA3061:AA7129=""Neighbor""))) / STDEV(FILTER(Q3061:Q7129, AA3061:AA7129 =""Neighbor"")), """")"),0.8332549681065068)</f>
        <v>0.8332549681</v>
      </c>
      <c r="AF3061" s="2">
        <f>IFERROR(__xludf.DUMMYFUNCTION("IFERROR(ABS(R3061-AVERAGE(FILTER(R3061:R7129,AA3061:AA7129=""Neighbor""))) / STDEV(FILTER(R3061:R7129, AA3061:AA7129 =""Neighbor"")), """")"),0.3266234435332139)</f>
        <v>0.3266234435</v>
      </c>
    </row>
    <row r="3062">
      <c r="A3062" s="2" t="s">
        <v>28</v>
      </c>
      <c r="B3062" s="2" t="s">
        <v>1711</v>
      </c>
      <c r="C3062" s="2" t="s">
        <v>1818</v>
      </c>
      <c r="D3062" s="2" t="s">
        <v>12496</v>
      </c>
      <c r="E3062" s="2" t="s">
        <v>12497</v>
      </c>
      <c r="F3062" s="2">
        <v>22.0</v>
      </c>
      <c r="G3062" s="2">
        <v>70.0</v>
      </c>
      <c r="H3062" s="2" t="b">
        <v>1</v>
      </c>
      <c r="I3062" s="2">
        <v>-1.0</v>
      </c>
      <c r="J3062" s="2" t="b">
        <v>0</v>
      </c>
      <c r="K3062" s="2" t="b">
        <v>0</v>
      </c>
      <c r="L3062" s="2" t="b">
        <v>0</v>
      </c>
      <c r="M3062" s="2" t="b">
        <v>0</v>
      </c>
      <c r="N3062" s="2" t="s">
        <v>33</v>
      </c>
      <c r="O3062" s="2">
        <v>7.0</v>
      </c>
      <c r="P3062" s="2">
        <v>13.0</v>
      </c>
      <c r="Q3062" s="2">
        <v>0.0</v>
      </c>
      <c r="R3062" s="2">
        <v>0.0</v>
      </c>
      <c r="S3062" s="3" t="s">
        <v>12498</v>
      </c>
      <c r="T3062" s="2" t="s">
        <v>12499</v>
      </c>
      <c r="Y3062" s="4" t="str">
        <f>IFERROR(__xludf.DUMMYFUNCTION("""COMPUTED_VALUE"""),"6.6820247")</f>
        <v>6.6820247</v>
      </c>
      <c r="Z3062" s="4" t="str">
        <f>IFERROR(__xludf.DUMMYFUNCTION("""COMPUTED_VALUE"""),"3.2330338")</f>
        <v>3.2330338</v>
      </c>
      <c r="AA3062" s="4" t="str">
        <f t="shared" si="1"/>
        <v>Not Neighbor</v>
      </c>
      <c r="AC3062" s="4">
        <f>IFERROR(__xludf.DUMMYFUNCTION("IFERROR(ABS(O3062-AVERAGE(FILTER(O3062:O7130,AA3062:AA7130=""Neighbor""))) / STDEV(FILTER(O3062:O7130, AA3062:AA7130 =""Neighbor"")), """")"),1.1908743321500577)</f>
        <v>1.190874332</v>
      </c>
      <c r="AD3062" s="4">
        <f>IFERROR(__xludf.DUMMYFUNCTION("IFERROR(ABS(P3062-AVERAGE(FILTER(O3062:P7130,AA3062:AA7130=""Neighbor""))) / STDEV(FILTER(P3062:P7130, AA3062:AA7130 =""Neighbor"")), """")"),0.7536555377898617)</f>
        <v>0.7536555378</v>
      </c>
      <c r="AE3062" s="2">
        <f>IFERROR(__xludf.DUMMYFUNCTION("IFERROR(ABS(Q3062-AVERAGE(FILTER(Q3062:Q7130,AA3062:AA7130=""Neighbor""))) / STDEV(FILTER(Q3062:Q7130, AA3062:AA7130 =""Neighbor"")), """")"),0.8898016717483499)</f>
        <v>0.8898016717</v>
      </c>
      <c r="AF3062" s="2">
        <f>IFERROR(__xludf.DUMMYFUNCTION("IFERROR(ABS(R3062-AVERAGE(FILTER(R3062:R7130,AA3062:AA7130=""Neighbor""))) / STDEV(FILTER(R3062:R7130, AA3062:AA7130 =""Neighbor"")), """")"),0.3266234435332139)</f>
        <v>0.3266234435</v>
      </c>
    </row>
    <row r="3063">
      <c r="A3063" s="2" t="s">
        <v>28</v>
      </c>
      <c r="B3063" s="2" t="s">
        <v>1711</v>
      </c>
      <c r="C3063" s="2" t="s">
        <v>1818</v>
      </c>
      <c r="D3063" s="2" t="s">
        <v>12500</v>
      </c>
      <c r="E3063" s="2" t="s">
        <v>12501</v>
      </c>
      <c r="F3063" s="2">
        <v>66.0</v>
      </c>
      <c r="G3063" s="2">
        <v>136.0</v>
      </c>
      <c r="H3063" s="2" t="b">
        <v>1</v>
      </c>
      <c r="I3063" s="2">
        <v>-1.0</v>
      </c>
      <c r="J3063" s="2" t="b">
        <v>0</v>
      </c>
      <c r="K3063" s="2" t="b">
        <v>0</v>
      </c>
      <c r="L3063" s="2" t="b">
        <v>0</v>
      </c>
      <c r="M3063" s="2" t="b">
        <v>0</v>
      </c>
      <c r="N3063" s="2" t="s">
        <v>33</v>
      </c>
      <c r="O3063" s="2">
        <v>23.0</v>
      </c>
      <c r="P3063" s="2">
        <v>13.0</v>
      </c>
      <c r="Q3063" s="2">
        <v>19.0</v>
      </c>
      <c r="R3063" s="2">
        <v>0.0</v>
      </c>
      <c r="S3063" s="3" t="s">
        <v>12502</v>
      </c>
      <c r="T3063" s="2" t="s">
        <v>12503</v>
      </c>
      <c r="Y3063" s="4" t="str">
        <f>IFERROR(__xludf.DUMMYFUNCTION("""COMPUTED_VALUE"""),"6.6915812")</f>
        <v>6.6915812</v>
      </c>
      <c r="Z3063" s="4" t="str">
        <f>IFERROR(__xludf.DUMMYFUNCTION("""COMPUTED_VALUE"""),"3.2471698")</f>
        <v>3.2471698</v>
      </c>
      <c r="AA3063" s="4" t="str">
        <f t="shared" si="1"/>
        <v>Neighbor</v>
      </c>
      <c r="AC3063" s="4">
        <f>IFERROR(__xludf.DUMMYFUNCTION("IFERROR(ABS(O3063-AVERAGE(FILTER(O3063:O7131,AA3063:AA7131=""Neighbor""))) / STDEV(FILTER(O3063:O7131, AA3063:AA7131 =""Neighbor"")), """")"),0.6912091604183579)</f>
        <v>0.6912091604</v>
      </c>
      <c r="AD3063" s="4">
        <f>IFERROR(__xludf.DUMMYFUNCTION("IFERROR(ABS(P3063-AVERAGE(FILTER(O3063:P7131,AA3063:AA7131=""Neighbor""))) / STDEV(FILTER(P3063:P7131, AA3063:AA7131 =""Neighbor"")), """")"),0.7536555377898617)</f>
        <v>0.7536555378</v>
      </c>
      <c r="AE3063" s="2">
        <f>IFERROR(__xludf.DUMMYFUNCTION("IFERROR(ABS(Q3063-AVERAGE(FILTER(Q3063:Q7131,AA3063:AA7131=""Neighbor""))) / STDEV(FILTER(Q3063:Q7131, AA3063:AA7131 =""Neighbor"")), """")"),0.18458569744667064)</f>
        <v>0.1845856974</v>
      </c>
      <c r="AF3063" s="2">
        <f>IFERROR(__xludf.DUMMYFUNCTION("IFERROR(ABS(R3063-AVERAGE(FILTER(R3063:R7131,AA3063:AA7131=""Neighbor""))) / STDEV(FILTER(R3063:R7131, AA3063:AA7131 =""Neighbor"")), """")"),0.3266234435332139)</f>
        <v>0.3266234435</v>
      </c>
    </row>
    <row r="3064">
      <c r="A3064" s="2" t="s">
        <v>28</v>
      </c>
      <c r="B3064" s="2" t="s">
        <v>1711</v>
      </c>
      <c r="C3064" s="2" t="s">
        <v>1818</v>
      </c>
      <c r="D3064" s="2" t="s">
        <v>12504</v>
      </c>
      <c r="E3064" s="2" t="s">
        <v>12505</v>
      </c>
      <c r="F3064" s="2">
        <v>14.0</v>
      </c>
      <c r="G3064" s="2">
        <v>36.0</v>
      </c>
      <c r="H3064" s="2" t="b">
        <v>1</v>
      </c>
      <c r="I3064" s="2">
        <v>-1.0</v>
      </c>
      <c r="J3064" s="2" t="b">
        <v>0</v>
      </c>
      <c r="K3064" s="2" t="b">
        <v>0</v>
      </c>
      <c r="L3064" s="2" t="b">
        <v>0</v>
      </c>
      <c r="M3064" s="2" t="b">
        <v>0</v>
      </c>
      <c r="N3064" s="2" t="s">
        <v>33</v>
      </c>
      <c r="O3064" s="2">
        <v>5.0</v>
      </c>
      <c r="P3064" s="2">
        <v>3.0</v>
      </c>
      <c r="Q3064" s="2">
        <v>3.0</v>
      </c>
      <c r="R3064" s="2">
        <v>0.0</v>
      </c>
      <c r="S3064" s="3" t="s">
        <v>12506</v>
      </c>
      <c r="T3064" s="2" t="s">
        <v>12507</v>
      </c>
      <c r="Y3064" s="4" t="str">
        <f>IFERROR(__xludf.DUMMYFUNCTION("""COMPUTED_VALUE"""),"6.6915104")</f>
        <v>6.6915104</v>
      </c>
      <c r="Z3064" s="4" t="str">
        <f>IFERROR(__xludf.DUMMYFUNCTION("""COMPUTED_VALUE"""),"3.2390592")</f>
        <v>3.2390592</v>
      </c>
      <c r="AA3064" s="4" t="str">
        <f t="shared" si="1"/>
        <v>Neighbor</v>
      </c>
      <c r="AC3064" s="4">
        <f>IFERROR(__xludf.DUMMYFUNCTION("IFERROR(ABS(O3064-AVERAGE(FILTER(O3064:O7132,AA3064:AA7132=""Neighbor""))) / STDEV(FILTER(O3064:O7132, AA3064:AA7132 =""Neighbor"")), """")"),1.2543262661370427)</f>
        <v>1.254326266</v>
      </c>
      <c r="AD3064" s="4">
        <f>IFERROR(__xludf.DUMMYFUNCTION("IFERROR(ABS(P3064-AVERAGE(FILTER(O3064:P7132,AA3064:AA7132=""Neighbor""))) / STDEV(FILTER(P3064:P7132, AA3064:AA7132 =""Neighbor"")), """")"),1.1700182423471677)</f>
        <v>1.170018242</v>
      </c>
      <c r="AE3064" s="2">
        <f>IFERROR(__xludf.DUMMYFUNCTION("IFERROR(ABS(Q3064-AVERAGE(FILTER(Q3064:Q7132,AA3064:AA7132=""Neighbor""))) / STDEV(FILTER(Q3064:Q7132, AA3064:AA7132 =""Neighbor"")), """")"),0.7187069628876587)</f>
        <v>0.7187069629</v>
      </c>
      <c r="AF3064" s="2">
        <f>IFERROR(__xludf.DUMMYFUNCTION("IFERROR(ABS(R3064-AVERAGE(FILTER(R3064:R7132,AA3064:AA7132=""Neighbor""))) / STDEV(FILTER(R3064:R7132, AA3064:AA7132 =""Neighbor"")), """")"),0.32711593340286754)</f>
        <v>0.3271159334</v>
      </c>
    </row>
    <row r="3065">
      <c r="A3065" s="2" t="s">
        <v>28</v>
      </c>
      <c r="B3065" s="2" t="s">
        <v>1711</v>
      </c>
      <c r="C3065" s="2" t="s">
        <v>1818</v>
      </c>
      <c r="D3065" s="2" t="s">
        <v>12508</v>
      </c>
      <c r="E3065" s="2" t="s">
        <v>12509</v>
      </c>
      <c r="F3065" s="2">
        <v>50.0</v>
      </c>
      <c r="G3065" s="2">
        <v>98.0</v>
      </c>
      <c r="H3065" s="2" t="b">
        <v>1</v>
      </c>
      <c r="I3065" s="2">
        <v>-1.0</v>
      </c>
      <c r="J3065" s="2" t="b">
        <v>0</v>
      </c>
      <c r="K3065" s="2" t="b">
        <v>1</v>
      </c>
      <c r="L3065" s="2" t="b">
        <v>0</v>
      </c>
      <c r="M3065" s="2" t="b">
        <v>0</v>
      </c>
      <c r="N3065" s="2" t="s">
        <v>33</v>
      </c>
      <c r="O3065" s="2">
        <v>0.0</v>
      </c>
      <c r="P3065" s="2">
        <v>0.0</v>
      </c>
      <c r="Q3065" s="2">
        <v>0.0</v>
      </c>
      <c r="R3065" s="2">
        <v>0.0</v>
      </c>
      <c r="S3065" s="3" t="s">
        <v>12510</v>
      </c>
      <c r="T3065" s="2" t="s">
        <v>12511</v>
      </c>
      <c r="Y3065" s="4" t="str">
        <f>IFERROR(__xludf.DUMMYFUNCTION("""COMPUTED_VALUE"""),"6.6956763")</f>
        <v>6.6956763</v>
      </c>
      <c r="Z3065" s="4" t="str">
        <f>IFERROR(__xludf.DUMMYFUNCTION("""COMPUTED_VALUE"""),"3.2388949")</f>
        <v>3.2388949</v>
      </c>
      <c r="AA3065" s="4" t="str">
        <f t="shared" si="1"/>
        <v>Neighbor</v>
      </c>
      <c r="AC3065" s="4">
        <f>IFERROR(__xludf.DUMMYFUNCTION("IFERROR(ABS(O3065-AVERAGE(FILTER(O3065:O7133,AA3065:AA7133=""Neighbor""))) / STDEV(FILTER(O3065:O7133, AA3065:AA7133 =""Neighbor"")), """")"),1.4149199770051573)</f>
        <v>1.414919977</v>
      </c>
      <c r="AD3065" s="4">
        <f>IFERROR(__xludf.DUMMYFUNCTION("IFERROR(ABS(P3065-AVERAGE(FILTER(O3065:P7133,AA3065:AA7133=""Neighbor""))) / STDEV(FILTER(P3065:P7133, AA3065:AA7133 =""Neighbor"")), """")"),1.2967035783594094)</f>
        <v>1.296703578</v>
      </c>
      <c r="AE3065" s="2">
        <f>IFERROR(__xludf.DUMMYFUNCTION("IFERROR(ABS(Q3065-AVERAGE(FILTER(Q3065:Q7133,AA3065:AA7133=""Neighbor""))) / STDEV(FILTER(Q3065:Q7133, AA3065:AA7133 =""Neighbor"")), """")"),0.8895033444276769)</f>
        <v>0.8895033444</v>
      </c>
      <c r="AF3065" s="2">
        <f>IFERROR(__xludf.DUMMYFUNCTION("IFERROR(ABS(R3065-AVERAGE(FILTER(R3065:R7133,AA3065:AA7133=""Neighbor""))) / STDEV(FILTER(R3065:R7133, AA3065:AA7133 =""Neighbor"")), """")"),0.3276106584750647)</f>
        <v>0.3276106585</v>
      </c>
    </row>
    <row r="3066">
      <c r="A3066" s="2" t="s">
        <v>28</v>
      </c>
      <c r="B3066" s="2" t="s">
        <v>1711</v>
      </c>
      <c r="C3066" s="2" t="s">
        <v>1818</v>
      </c>
      <c r="D3066" s="2" t="s">
        <v>12512</v>
      </c>
      <c r="E3066" s="2" t="s">
        <v>12513</v>
      </c>
      <c r="F3066" s="2">
        <v>109.0</v>
      </c>
      <c r="G3066" s="2">
        <v>172.0</v>
      </c>
      <c r="H3066" s="2" t="b">
        <v>1</v>
      </c>
      <c r="I3066" s="2">
        <v>-1.0</v>
      </c>
      <c r="J3066" s="2" t="b">
        <v>0</v>
      </c>
      <c r="K3066" s="2" t="b">
        <v>0</v>
      </c>
      <c r="L3066" s="2" t="b">
        <v>0</v>
      </c>
      <c r="M3066" s="2" t="b">
        <v>0</v>
      </c>
      <c r="N3066" s="2" t="s">
        <v>33</v>
      </c>
      <c r="O3066" s="2">
        <v>63.0</v>
      </c>
      <c r="P3066" s="2">
        <v>9.0</v>
      </c>
      <c r="Q3066" s="2">
        <v>10.0</v>
      </c>
      <c r="R3066" s="2">
        <v>0.0</v>
      </c>
      <c r="S3066" s="3" t="s">
        <v>12514</v>
      </c>
      <c r="T3066" s="2" t="s">
        <v>12515</v>
      </c>
      <c r="Y3066" s="4" t="str">
        <f>IFERROR(__xludf.DUMMYFUNCTION("""COMPUTED_VALUE"""),"6.6926435")</f>
        <v>6.6926435</v>
      </c>
      <c r="Z3066" s="4" t="str">
        <f>IFERROR(__xludf.DUMMYFUNCTION("""COMPUTED_VALUE"""),"3.236561")</f>
        <v>3.236561</v>
      </c>
      <c r="AA3066" s="4" t="str">
        <f t="shared" si="1"/>
        <v>Neighbor</v>
      </c>
      <c r="AC3066" s="4">
        <f>IFERROR(__xludf.DUMMYFUNCTION("IFERROR(ABS(O3066-AVERAGE(FILTER(O3066:O7134,AA3066:AA7134=""Neighbor""))) / STDEV(FILTER(O3066:O7134, AA3066:AA7134 =""Neighbor"")), """")"),0.5495470437424868)</f>
        <v>0.5495470437</v>
      </c>
      <c r="AD3066" s="4">
        <f>IFERROR(__xludf.DUMMYFUNCTION("IFERROR(ABS(P3066-AVERAGE(FILTER(O3066:P7134,AA3066:AA7134=""Neighbor""))) / STDEV(FILTER(P3066:P7134, AA3066:AA7134 =""Neighbor"")), """")"),0.9256868851558447)</f>
        <v>0.9256868852</v>
      </c>
      <c r="AE3066" s="2">
        <f>IFERROR(__xludf.DUMMYFUNCTION("IFERROR(ABS(Q3066-AVERAGE(FILTER(Q3066:Q7134,AA3066:AA7134=""Neighbor""))) / STDEV(FILTER(Q3066:Q7134, AA3066:AA7134 =""Neighbor"")), """")"),0.32750703235926976)</f>
        <v>0.3275070324</v>
      </c>
      <c r="AF3066" s="2">
        <f>IFERROR(__xludf.DUMMYFUNCTION("IFERROR(ABS(R3066-AVERAGE(FILTER(R3066:R7134,AA3066:AA7134=""Neighbor""))) / STDEV(FILTER(R3066:R7134, AA3066:AA7134 =""Neighbor"")), """")"),0.32810763571361634)</f>
        <v>0.3281076357</v>
      </c>
    </row>
    <row r="3067">
      <c r="A3067" s="2" t="s">
        <v>28</v>
      </c>
      <c r="B3067" s="2" t="s">
        <v>1711</v>
      </c>
      <c r="C3067" s="2" t="s">
        <v>1818</v>
      </c>
      <c r="D3067" s="2" t="s">
        <v>12516</v>
      </c>
      <c r="E3067" s="2" t="s">
        <v>12517</v>
      </c>
      <c r="F3067" s="2">
        <v>67.0</v>
      </c>
      <c r="G3067" s="2">
        <v>137.0</v>
      </c>
      <c r="H3067" s="2" t="b">
        <v>1</v>
      </c>
      <c r="I3067" s="2">
        <v>-1.0</v>
      </c>
      <c r="J3067" s="2" t="b">
        <v>0</v>
      </c>
      <c r="K3067" s="2" t="b">
        <v>0</v>
      </c>
      <c r="L3067" s="2" t="b">
        <v>0</v>
      </c>
      <c r="M3067" s="2" t="b">
        <v>0</v>
      </c>
      <c r="N3067" s="2" t="s">
        <v>33</v>
      </c>
      <c r="O3067" s="2">
        <v>37.0</v>
      </c>
      <c r="P3067" s="2">
        <v>5.0</v>
      </c>
      <c r="Q3067" s="2">
        <v>14.0</v>
      </c>
      <c r="R3067" s="2">
        <v>0.0</v>
      </c>
      <c r="S3067" s="3" t="s">
        <v>12518</v>
      </c>
      <c r="T3067" s="2" t="s">
        <v>12519</v>
      </c>
      <c r="Y3067" s="4" t="str">
        <f>IFERROR(__xludf.DUMMYFUNCTION("""COMPUTED_VALUE"""),"6.6952552")</f>
        <v>6.6952552</v>
      </c>
      <c r="Z3067" s="4" t="str">
        <f>IFERROR(__xludf.DUMMYFUNCTION("""COMPUTED_VALUE"""),"3.2459802")</f>
        <v>3.2459802</v>
      </c>
      <c r="AA3067" s="4" t="str">
        <f t="shared" si="1"/>
        <v>Neighbor</v>
      </c>
      <c r="AC3067" s="4">
        <f>IFERROR(__xludf.DUMMYFUNCTION("IFERROR(ABS(O3067-AVERAGE(FILTER(O3067:O7135,AA3067:AA7135=""Neighbor""))) / STDEV(FILTER(O3067:O7135, AA3067:AA7135 =""Neighbor"")), """")"),0.26183795074496485)</f>
        <v>0.2618379507</v>
      </c>
      <c r="AD3067" s="4">
        <f>IFERROR(__xludf.DUMMYFUNCTION("IFERROR(ABS(P3067-AVERAGE(FILTER(O3067:P7135,AA3067:AA7135=""Neighbor""))) / STDEV(FILTER(P3067:P7135, AA3067:AA7135 =""Neighbor"")), """")"),1.0899047719168848)</f>
        <v>1.089904772</v>
      </c>
      <c r="AE3067" s="2">
        <f>IFERROR(__xludf.DUMMYFUNCTION("IFERROR(ABS(Q3067-AVERAGE(FILTER(Q3067:Q7135,AA3067:AA7135=""Neighbor""))) / STDEV(FILTER(Q3067:Q7135, AA3067:AA7135 =""Neighbor"")), """")"),0.10260834279964973)</f>
        <v>0.1026083428</v>
      </c>
      <c r="AF3067" s="2">
        <f>IFERROR(__xludf.DUMMYFUNCTION("IFERROR(ABS(R3067-AVERAGE(FILTER(R3067:R7135,AA3067:AA7135=""Neighbor""))) / STDEV(FILTER(R3067:R7135, AA3067:AA7135 =""Neighbor"")), """")"),0.3286068822631704)</f>
        <v>0.3286068823</v>
      </c>
    </row>
    <row r="3068">
      <c r="A3068" s="2" t="s">
        <v>28</v>
      </c>
      <c r="B3068" s="2" t="s">
        <v>1711</v>
      </c>
      <c r="C3068" s="2" t="s">
        <v>1818</v>
      </c>
      <c r="D3068" s="2" t="s">
        <v>12520</v>
      </c>
      <c r="E3068" s="2" t="s">
        <v>12521</v>
      </c>
      <c r="F3068" s="2">
        <v>30.0</v>
      </c>
      <c r="G3068" s="2">
        <v>70.0</v>
      </c>
      <c r="H3068" s="2" t="b">
        <v>1</v>
      </c>
      <c r="I3068" s="2">
        <v>-1.0</v>
      </c>
      <c r="J3068" s="2" t="b">
        <v>0</v>
      </c>
      <c r="K3068" s="2" t="b">
        <v>0</v>
      </c>
      <c r="L3068" s="2" t="b">
        <v>0</v>
      </c>
      <c r="M3068" s="2" t="b">
        <v>0</v>
      </c>
      <c r="N3068" s="2" t="s">
        <v>33</v>
      </c>
      <c r="O3068" s="2">
        <v>8.0</v>
      </c>
      <c r="P3068" s="2">
        <v>11.0</v>
      </c>
      <c r="Q3068" s="2">
        <v>4.0</v>
      </c>
      <c r="R3068" s="2">
        <v>0.0</v>
      </c>
      <c r="S3068" s="3" t="s">
        <v>12522</v>
      </c>
      <c r="T3068" s="2" t="s">
        <v>12523</v>
      </c>
      <c r="Y3068" s="4" t="str">
        <f>IFERROR(__xludf.DUMMYFUNCTION("""COMPUTED_VALUE"""),"6.6927446")</f>
        <v>6.6927446</v>
      </c>
      <c r="Z3068" s="4" t="str">
        <f>IFERROR(__xludf.DUMMYFUNCTION("""COMPUTED_VALUE"""),"3.2364854")</f>
        <v>3.2364854</v>
      </c>
      <c r="AA3068" s="4" t="str">
        <f t="shared" si="1"/>
        <v>Neighbor</v>
      </c>
      <c r="AC3068" s="4">
        <f>IFERROR(__xludf.DUMMYFUNCTION("IFERROR(ABS(O3068-AVERAGE(FILTER(O3068:O7136,AA3068:AA7136=""Neighbor""))) / STDEV(FILTER(O3068:O7136, AA3068:AA7136 =""Neighbor"")), """")"),1.1671607143928864)</f>
        <v>1.167160714</v>
      </c>
      <c r="AD3068" s="4">
        <f>IFERROR(__xludf.DUMMYFUNCTION("IFERROR(ABS(P3068-AVERAGE(FILTER(O3068:P7136,AA3068:AA7136=""Neighbor""))) / STDEV(FILTER(P3068:P7136, AA3068:AA7136 =""Neighbor"")), """")"),0.8413885953141887)</f>
        <v>0.8413885953</v>
      </c>
      <c r="AE3068" s="2">
        <f>IFERROR(__xludf.DUMMYFUNCTION("IFERROR(ABS(Q3068-AVERAGE(FILTER(Q3068:Q7136,AA3068:AA7136=""Neighbor""))) / STDEV(FILTER(Q3068:Q7136, AA3068:AA7136 =""Neighbor"")), """")"),0.6654725486186005)</f>
        <v>0.6654725486</v>
      </c>
      <c r="AF3068" s="2">
        <f>IFERROR(__xludf.DUMMYFUNCTION("IFERROR(ABS(R3068-AVERAGE(FILTER(R3068:R7136,AA3068:AA7136=""Neighbor""))) / STDEV(FILTER(R3068:R7136, AA3068:AA7136 =""Neighbor"")), """")"),0.3291084154516988)</f>
        <v>0.3291084155</v>
      </c>
    </row>
    <row r="3069">
      <c r="A3069" s="2" t="s">
        <v>28</v>
      </c>
      <c r="B3069" s="2" t="s">
        <v>1711</v>
      </c>
      <c r="C3069" s="2" t="s">
        <v>1818</v>
      </c>
      <c r="D3069" s="2" t="s">
        <v>12524</v>
      </c>
      <c r="E3069" s="2" t="s">
        <v>12525</v>
      </c>
      <c r="F3069" s="2">
        <v>56.0</v>
      </c>
      <c r="G3069" s="2">
        <v>89.0</v>
      </c>
      <c r="H3069" s="2" t="b">
        <v>1</v>
      </c>
      <c r="I3069" s="2">
        <v>-1.0</v>
      </c>
      <c r="J3069" s="2" t="b">
        <v>0</v>
      </c>
      <c r="K3069" s="2" t="b">
        <v>0</v>
      </c>
      <c r="L3069" s="2" t="b">
        <v>0</v>
      </c>
      <c r="M3069" s="2" t="b">
        <v>0</v>
      </c>
      <c r="N3069" s="2" t="s">
        <v>33</v>
      </c>
      <c r="O3069" s="2">
        <v>29.0</v>
      </c>
      <c r="P3069" s="2">
        <v>0.0</v>
      </c>
      <c r="Q3069" s="2">
        <v>27.0</v>
      </c>
      <c r="R3069" s="2">
        <v>0.0</v>
      </c>
      <c r="S3069" s="3" t="s">
        <v>12526</v>
      </c>
      <c r="T3069" s="2" t="s">
        <v>12527</v>
      </c>
      <c r="Y3069" s="4" t="str">
        <f>IFERROR(__xludf.DUMMYFUNCTION("""COMPUTED_VALUE"""),"6.6926435")</f>
        <v>6.6926435</v>
      </c>
      <c r="Z3069" s="4" t="str">
        <f>IFERROR(__xludf.DUMMYFUNCTION("""COMPUTED_VALUE"""),"3.236561")</f>
        <v>3.236561</v>
      </c>
      <c r="AA3069" s="4" t="str">
        <f t="shared" si="1"/>
        <v>Neighbor</v>
      </c>
      <c r="AC3069" s="4">
        <f>IFERROR(__xludf.DUMMYFUNCTION("IFERROR(ABS(O3069-AVERAGE(FILTER(O3069:O7137,AA3069:AA7137=""Neighbor""))) / STDEV(FILTER(O3069:O7137, AA3069:AA7137 =""Neighbor"")), """")"),0.5153563745544891)</f>
        <v>0.5153563746</v>
      </c>
      <c r="AD3069" s="4">
        <f>IFERROR(__xludf.DUMMYFUNCTION("IFERROR(ABS(P3069-AVERAGE(FILTER(O3069:P7137,AA3069:AA7137=""Neighbor""))) / STDEV(FILTER(P3069:P7137, AA3069:AA7137 =""Neighbor"")), """")"),1.2979237355659332)</f>
        <v>1.297923736</v>
      </c>
      <c r="AE3069" s="2">
        <f>IFERROR(__xludf.DUMMYFUNCTION("IFERROR(ABS(Q3069-AVERAGE(FILTER(Q3069:Q7137,AA3069:AA7137=""Neighbor""))) / STDEV(FILTER(Q3069:Q7137, AA3069:AA7137 =""Neighbor"")), """")"),0.6264599153892803)</f>
        <v>0.6264599154</v>
      </c>
      <c r="AF3069" s="2">
        <f>IFERROR(__xludf.DUMMYFUNCTION("IFERROR(ABS(R3069-AVERAGE(FILTER(R3069:R7137,AA3069:AA7137=""Neighbor""))) / STDEV(FILTER(R3069:R7137, AA3069:AA7137 =""Neighbor"")), """")"),0.32961225279302536)</f>
        <v>0.3296122528</v>
      </c>
    </row>
    <row r="3070">
      <c r="A3070" s="2" t="s">
        <v>28</v>
      </c>
      <c r="B3070" s="2" t="s">
        <v>1711</v>
      </c>
      <c r="C3070" s="2" t="s">
        <v>1818</v>
      </c>
      <c r="D3070" s="2" t="s">
        <v>12528</v>
      </c>
      <c r="E3070" s="2" t="s">
        <v>12529</v>
      </c>
      <c r="F3070" s="2">
        <v>103.0</v>
      </c>
      <c r="G3070" s="2">
        <v>573.0</v>
      </c>
      <c r="H3070" s="2" t="b">
        <v>1</v>
      </c>
      <c r="I3070" s="2">
        <v>-1.0</v>
      </c>
      <c r="J3070" s="2" t="b">
        <v>0</v>
      </c>
      <c r="K3070" s="2" t="b">
        <v>0</v>
      </c>
      <c r="L3070" s="2" t="b">
        <v>0</v>
      </c>
      <c r="M3070" s="2" t="b">
        <v>0</v>
      </c>
      <c r="N3070" s="2" t="s">
        <v>33</v>
      </c>
      <c r="O3070" s="2">
        <v>55.0</v>
      </c>
      <c r="P3070" s="2">
        <v>8.0</v>
      </c>
      <c r="Q3070" s="2">
        <v>15.0</v>
      </c>
      <c r="R3070" s="2">
        <v>0.0</v>
      </c>
      <c r="S3070" s="3" t="s">
        <v>12530</v>
      </c>
      <c r="T3070" s="2" t="s">
        <v>12531</v>
      </c>
      <c r="Y3070" s="4" t="str">
        <f>IFERROR(__xludf.DUMMYFUNCTION("""COMPUTED_VALUE"""),"6.6927944")</f>
        <v>6.6927944</v>
      </c>
      <c r="Z3070" s="4" t="str">
        <f>IFERROR(__xludf.DUMMYFUNCTION("""COMPUTED_VALUE"""),"3.2348973")</f>
        <v>3.2348973</v>
      </c>
      <c r="AA3070" s="4" t="str">
        <f t="shared" si="1"/>
        <v>Neighbor</v>
      </c>
      <c r="AC3070" s="4">
        <f>IFERROR(__xludf.DUMMYFUNCTION("IFERROR(ABS(O3070-AVERAGE(FILTER(O3070:O7138,AA3070:AA7138=""Neighbor""))) / STDEV(FILTER(O3070:O7138, AA3070:AA7138 =""Neighbor"")), """")"),0.2946471739535202)</f>
        <v>0.294647174</v>
      </c>
      <c r="AD3070" s="4">
        <f>IFERROR(__xludf.DUMMYFUNCTION("IFERROR(ABS(P3070-AVERAGE(FILTER(O3070:P7138,AA3070:AA7138=""Neighbor""))) / STDEV(FILTER(P3070:P7138, AA3070:AA7138 =""Neighbor"")), """")"),0.9682022787595689)</f>
        <v>0.9682022788</v>
      </c>
      <c r="AE3070" s="2">
        <f>IFERROR(__xludf.DUMMYFUNCTION("IFERROR(ABS(Q3070-AVERAGE(FILTER(Q3070:Q7138,AA3070:AA7138=""Neighbor""))) / STDEV(FILTER(Q3070:Q7138, AA3070:AA7138 =""Neighbor"")), """")"),0.04650564473446533)</f>
        <v>0.04650564473</v>
      </c>
      <c r="AF3070" s="2">
        <f>IFERROR(__xludf.DUMMYFUNCTION("IFERROR(ABS(R3070-AVERAGE(FILTER(R3070:R7138,AA3070:AA7138=""Neighbor""))) / STDEV(FILTER(R3070:R7138, AA3070:AA7138 =""Neighbor"")), """")"),0.33011841198939773)</f>
        <v>0.330118412</v>
      </c>
    </row>
    <row r="3071">
      <c r="A3071" s="2" t="s">
        <v>28</v>
      </c>
      <c r="B3071" s="2" t="s">
        <v>1711</v>
      </c>
      <c r="C3071" s="2" t="s">
        <v>1818</v>
      </c>
      <c r="D3071" s="2" t="s">
        <v>12532</v>
      </c>
      <c r="E3071" s="2" t="s">
        <v>12533</v>
      </c>
      <c r="F3071" s="2">
        <v>19.0</v>
      </c>
      <c r="G3071" s="2">
        <v>44.0</v>
      </c>
      <c r="H3071" s="2" t="b">
        <v>1</v>
      </c>
      <c r="I3071" s="2">
        <v>-1.0</v>
      </c>
      <c r="J3071" s="2" t="b">
        <v>0</v>
      </c>
      <c r="K3071" s="2" t="b">
        <v>0</v>
      </c>
      <c r="L3071" s="2" t="b">
        <v>0</v>
      </c>
      <c r="M3071" s="2" t="b">
        <v>0</v>
      </c>
      <c r="N3071" s="2" t="s">
        <v>33</v>
      </c>
      <c r="O3071" s="2">
        <v>14.0</v>
      </c>
      <c r="P3071" s="2">
        <v>3.0</v>
      </c>
      <c r="Q3071" s="2">
        <v>2.0</v>
      </c>
      <c r="R3071" s="2">
        <v>0.0</v>
      </c>
      <c r="S3071" s="3" t="s">
        <v>12534</v>
      </c>
      <c r="T3071" s="2" t="s">
        <v>12535</v>
      </c>
      <c r="Y3071" s="4" t="str">
        <f>IFERROR(__xludf.DUMMYFUNCTION("""COMPUTED_VALUE"""),"6.6909488")</f>
        <v>6.6909488</v>
      </c>
      <c r="Z3071" s="4" t="str">
        <f>IFERROR(__xludf.DUMMYFUNCTION("""COMPUTED_VALUE"""),"3.2339551")</f>
        <v>3.2339551</v>
      </c>
      <c r="AA3071" s="4" t="str">
        <f t="shared" si="1"/>
        <v>Neighbor</v>
      </c>
      <c r="AC3071" s="4">
        <f>IFERROR(__xludf.DUMMYFUNCTION("IFERROR(ABS(O3071-AVERAGE(FILTER(O3071:O7139,AA3071:AA7139=""Neighbor""))) / STDEV(FILTER(O3071:O7139, AA3071:AA7139 =""Neighbor"")), """")"),0.9820200259296942)</f>
        <v>0.9820200259</v>
      </c>
      <c r="AD3071" s="4">
        <f>IFERROR(__xludf.DUMMYFUNCTION("IFERROR(ABS(P3071-AVERAGE(FILTER(O3071:P7139,AA3071:AA7139=""Neighbor""))) / STDEV(FILTER(P3071:P7139, AA3071:AA7139 =""Neighbor"")), """")"),1.1735300879528503)</f>
        <v>1.173530088</v>
      </c>
      <c r="AE3071" s="2">
        <f>IFERROR(__xludf.DUMMYFUNCTION("IFERROR(ABS(Q3071-AVERAGE(FILTER(Q3071:Q7139,AA3071:AA7139=""Neighbor""))) / STDEV(FILTER(Q3071:Q7139, AA3071:AA7139 =""Neighbor"")), """")"),0.7759117192651303)</f>
        <v>0.7759117193</v>
      </c>
      <c r="AF3071" s="2">
        <f>IFERROR(__xludf.DUMMYFUNCTION("IFERROR(ABS(R3071-AVERAGE(FILTER(R3071:R7139,AA3071:AA7139=""Neighbor""))) / STDEV(FILTER(R3071:R7139, AA3071:AA7139 =""Neighbor"")), """")"),0.3306269109341028)</f>
        <v>0.3306269109</v>
      </c>
    </row>
    <row r="3072">
      <c r="A3072" s="2" t="s">
        <v>28</v>
      </c>
      <c r="B3072" s="2" t="s">
        <v>1711</v>
      </c>
      <c r="C3072" s="2" t="s">
        <v>1818</v>
      </c>
      <c r="D3072" s="2" t="s">
        <v>12536</v>
      </c>
      <c r="E3072" s="2" t="s">
        <v>12537</v>
      </c>
      <c r="F3072" s="2">
        <v>86.0</v>
      </c>
      <c r="G3072" s="2">
        <v>150.0</v>
      </c>
      <c r="H3072" s="2" t="b">
        <v>1</v>
      </c>
      <c r="I3072" s="2">
        <v>-1.0</v>
      </c>
      <c r="J3072" s="2" t="b">
        <v>0</v>
      </c>
      <c r="K3072" s="2" t="b">
        <v>1</v>
      </c>
      <c r="L3072" s="2" t="b">
        <v>0</v>
      </c>
      <c r="M3072" s="2" t="b">
        <v>0</v>
      </c>
      <c r="N3072" s="2" t="s">
        <v>33</v>
      </c>
      <c r="O3072" s="2">
        <v>45.0</v>
      </c>
      <c r="P3072" s="2">
        <v>8.0</v>
      </c>
      <c r="Q3072" s="2">
        <v>10.0</v>
      </c>
      <c r="R3072" s="2">
        <v>0.0</v>
      </c>
      <c r="S3072" s="3" t="s">
        <v>12538</v>
      </c>
      <c r="T3072" s="2" t="s">
        <v>12539</v>
      </c>
      <c r="Y3072" s="4" t="str">
        <f>IFERROR(__xludf.DUMMYFUNCTION("""COMPUTED_VALUE"""),"6.6948546")</f>
        <v>6.6948546</v>
      </c>
      <c r="Z3072" s="4" t="str">
        <f>IFERROR(__xludf.DUMMYFUNCTION("""COMPUTED_VALUE"""),"3.2337986")</f>
        <v>3.2337986</v>
      </c>
      <c r="AA3072" s="4" t="str">
        <f t="shared" si="1"/>
        <v>Neighbor</v>
      </c>
      <c r="AC3072" s="4">
        <f>IFERROR(__xludf.DUMMYFUNCTION("IFERROR(ABS(O3072-AVERAGE(FILTER(O3072:O7140,AA3072:AA7140=""Neighbor""))) / STDEV(FILTER(O3072:O7140, AA3072:AA7140 =""Neighbor"")), """")"),0.019141004291682983)</f>
        <v>0.01914100429</v>
      </c>
      <c r="AD3072" s="4">
        <f>IFERROR(__xludf.DUMMYFUNCTION("IFERROR(ABS(P3072-AVERAGE(FILTER(O3072:P7140,AA3072:AA7140=""Neighbor""))) / STDEV(FILTER(P3072:P7140, AA3072:AA7140 =""Neighbor"")), """")"),0.968804220896837)</f>
        <v>0.9688042209</v>
      </c>
      <c r="AE3072" s="2">
        <f>IFERROR(__xludf.DUMMYFUNCTION("IFERROR(ABS(Q3072-AVERAGE(FILTER(Q3072:Q7140,AA3072:AA7140=""Neighbor""))) / STDEV(FILTER(Q3072:Q7140, AA3072:AA7140 =""Neighbor"")), """")"),0.3290710125445077)</f>
        <v>0.3290710125</v>
      </c>
      <c r="AF3072" s="2">
        <f>IFERROR(__xludf.DUMMYFUNCTION("IFERROR(ABS(R3072-AVERAGE(FILTER(R3072:R7140,AA3072:AA7140=""Neighbor""))) / STDEV(FILTER(R3072:R7140, AA3072:AA7140 =""Neighbor"")), """")"),0.3311377677141243)</f>
        <v>0.3311377677</v>
      </c>
    </row>
    <row r="3073">
      <c r="A3073" s="2" t="s">
        <v>28</v>
      </c>
      <c r="B3073" s="2" t="s">
        <v>1711</v>
      </c>
      <c r="C3073" s="2" t="s">
        <v>1818</v>
      </c>
      <c r="D3073" s="2" t="s">
        <v>12540</v>
      </c>
      <c r="E3073" s="2" t="s">
        <v>12541</v>
      </c>
      <c r="F3073" s="2">
        <v>19.0</v>
      </c>
      <c r="G3073" s="2">
        <v>28.0</v>
      </c>
      <c r="H3073" s="2" t="b">
        <v>1</v>
      </c>
      <c r="I3073" s="2">
        <v>-1.0</v>
      </c>
      <c r="J3073" s="2" t="b">
        <v>0</v>
      </c>
      <c r="K3073" s="2" t="b">
        <v>0</v>
      </c>
      <c r="L3073" s="2" t="b">
        <v>0</v>
      </c>
      <c r="M3073" s="2" t="b">
        <v>0</v>
      </c>
      <c r="N3073" s="2" t="s">
        <v>33</v>
      </c>
      <c r="O3073" s="2">
        <v>12.0</v>
      </c>
      <c r="P3073" s="2">
        <v>2.0</v>
      </c>
      <c r="Q3073" s="2">
        <v>2.0</v>
      </c>
      <c r="R3073" s="2">
        <v>0.0</v>
      </c>
      <c r="S3073" s="3" t="s">
        <v>12542</v>
      </c>
      <c r="T3073" s="2" t="s">
        <v>12543</v>
      </c>
      <c r="Y3073" s="4" t="str">
        <f>IFERROR(__xludf.DUMMYFUNCTION("""COMPUTED_VALUE"""),"6.6926435")</f>
        <v>6.6926435</v>
      </c>
      <c r="Z3073" s="4" t="str">
        <f>IFERROR(__xludf.DUMMYFUNCTION("""COMPUTED_VALUE"""),"3.236561")</f>
        <v>3.236561</v>
      </c>
      <c r="AA3073" s="4" t="str">
        <f t="shared" si="1"/>
        <v>Neighbor</v>
      </c>
      <c r="AC3073" s="4">
        <f>IFERROR(__xludf.DUMMYFUNCTION("IFERROR(ABS(O3073-AVERAGE(FILTER(O3073:O7141,AA3073:AA7141=""Neighbor""))) / STDEV(FILTER(O3073:O7141, AA3073:AA7141 =""Neighbor"")), """")"),1.0455995808990841)</f>
        <v>1.045599581</v>
      </c>
      <c r="AD3073" s="4">
        <f>IFERROR(__xludf.DUMMYFUNCTION("IFERROR(ABS(P3073-AVERAGE(FILTER(O3073:P7141,AA3073:AA7141=""Neighbor""))) / STDEV(FILTER(P3073:P7141, AA3073:AA7141 =""Neighbor"")), """")"),1.2154883874886773)</f>
        <v>1.215488387</v>
      </c>
      <c r="AE3073" s="2">
        <f>IFERROR(__xludf.DUMMYFUNCTION("IFERROR(ABS(Q3073-AVERAGE(FILTER(Q3073:Q7141,AA3073:AA7141=""Neighbor""))) / STDEV(FILTER(Q3073:Q7141, AA3073:AA7141 =""Neighbor"")), """")"),0.7775964274913212)</f>
        <v>0.7775964275</v>
      </c>
      <c r="AF3073" s="2">
        <f>IFERROR(__xludf.DUMMYFUNCTION("IFERROR(ABS(R3073-AVERAGE(FILTER(R3073:R7141,AA3073:AA7141=""Neighbor""))) / STDEV(FILTER(R3073:R7141, AA3073:AA7141 =""Neighbor"")), """")"),0.33165100061285047)</f>
        <v>0.3316510006</v>
      </c>
    </row>
    <row r="3074">
      <c r="A3074" s="2" t="s">
        <v>28</v>
      </c>
      <c r="B3074" s="2" t="s">
        <v>1711</v>
      </c>
      <c r="C3074" s="2" t="s">
        <v>1818</v>
      </c>
      <c r="D3074" s="2" t="s">
        <v>12544</v>
      </c>
      <c r="E3074" s="2" t="s">
        <v>12545</v>
      </c>
      <c r="F3074" s="2">
        <v>13.0</v>
      </c>
      <c r="G3074" s="2">
        <v>25.0</v>
      </c>
      <c r="H3074" s="2" t="b">
        <v>1</v>
      </c>
      <c r="I3074" s="2">
        <v>-1.0</v>
      </c>
      <c r="J3074" s="2" t="b">
        <v>0</v>
      </c>
      <c r="K3074" s="2" t="b">
        <v>0</v>
      </c>
      <c r="L3074" s="2" t="b">
        <v>0</v>
      </c>
      <c r="M3074" s="2" t="b">
        <v>0</v>
      </c>
      <c r="N3074" s="2" t="s">
        <v>33</v>
      </c>
      <c r="O3074" s="2">
        <v>6.0</v>
      </c>
      <c r="P3074" s="2">
        <v>5.0</v>
      </c>
      <c r="Q3074" s="2">
        <v>2.0</v>
      </c>
      <c r="R3074" s="2">
        <v>0.0</v>
      </c>
      <c r="S3074" s="3" t="s">
        <v>12546</v>
      </c>
      <c r="T3074" s="2" t="s">
        <v>12547</v>
      </c>
      <c r="Y3074" s="4" t="str">
        <f>IFERROR(__xludf.DUMMYFUNCTION("""COMPUTED_VALUE"""),"6.6926435")</f>
        <v>6.6926435</v>
      </c>
      <c r="Z3074" s="4" t="str">
        <f>IFERROR(__xludf.DUMMYFUNCTION("""COMPUTED_VALUE"""),"3.236561")</f>
        <v>3.236561</v>
      </c>
      <c r="AA3074" s="4" t="str">
        <f t="shared" si="1"/>
        <v>Neighbor</v>
      </c>
      <c r="AC3074" s="4">
        <f>IFERROR(__xludf.DUMMYFUNCTION("IFERROR(ABS(O3074-AVERAGE(FILTER(O3074:O7142,AA3074:AA7142=""Neighbor""))) / STDEV(FILTER(O3074:O7142, AA3074:AA7142 =""Neighbor"")), """")"),1.2353282813234283)</f>
        <v>1.235328281</v>
      </c>
      <c r="AD3074" s="4">
        <f>IFERROR(__xludf.DUMMYFUNCTION("IFERROR(ABS(P3074-AVERAGE(FILTER(O3074:P7142,AA3074:AA7142=""Neighbor""))) / STDEV(FILTER(P3074:P7142, AA3074:AA7142 =""Neighbor"")), """")"),1.0937712868423612)</f>
        <v>1.093771287</v>
      </c>
      <c r="AE3074" s="2">
        <f>IFERROR(__xludf.DUMMYFUNCTION("IFERROR(ABS(Q3074-AVERAGE(FILTER(Q3074:Q7142,AA3074:AA7142=""Neighbor""))) / STDEV(FILTER(Q3074:Q7142, AA3074:AA7142 =""Neighbor"")), """")"),0.7793487125033427)</f>
        <v>0.7793487125</v>
      </c>
      <c r="AF3074" s="2">
        <f>IFERROR(__xludf.DUMMYFUNCTION("IFERROR(ABS(R3074-AVERAGE(FILTER(R3074:R7142,AA3074:AA7142=""Neighbor""))) / STDEV(FILTER(R3074:R7142, AA3074:AA7142 =""Neighbor"")), """")"),0.33216662811282255)</f>
        <v>0.3321666281</v>
      </c>
    </row>
    <row r="3075">
      <c r="A3075" s="2" t="s">
        <v>28</v>
      </c>
      <c r="B3075" s="2" t="s">
        <v>1711</v>
      </c>
      <c r="C3075" s="2" t="s">
        <v>1818</v>
      </c>
      <c r="D3075" s="2" t="s">
        <v>12548</v>
      </c>
      <c r="E3075" s="2" t="s">
        <v>12549</v>
      </c>
      <c r="F3075" s="2">
        <v>39.0</v>
      </c>
      <c r="G3075" s="2">
        <v>88.0</v>
      </c>
      <c r="H3075" s="2" t="b">
        <v>1</v>
      </c>
      <c r="I3075" s="2">
        <v>-1.0</v>
      </c>
      <c r="J3075" s="2" t="b">
        <v>0</v>
      </c>
      <c r="K3075" s="2" t="b">
        <v>0</v>
      </c>
      <c r="L3075" s="2" t="b">
        <v>0</v>
      </c>
      <c r="M3075" s="2" t="b">
        <v>0</v>
      </c>
      <c r="N3075" s="2" t="s">
        <v>33</v>
      </c>
      <c r="O3075" s="2">
        <v>24.0</v>
      </c>
      <c r="P3075" s="2">
        <v>5.0</v>
      </c>
      <c r="Q3075" s="2">
        <v>5.0</v>
      </c>
      <c r="R3075" s="2">
        <v>0.0</v>
      </c>
      <c r="S3075" s="3" t="s">
        <v>12550</v>
      </c>
      <c r="T3075" s="2" t="s">
        <v>12551</v>
      </c>
      <c r="Y3075" s="4" t="str">
        <f>IFERROR(__xludf.DUMMYFUNCTION("""COMPUTED_VALUE"""),"6.6926435")</f>
        <v>6.6926435</v>
      </c>
      <c r="Z3075" s="4" t="str">
        <f>IFERROR(__xludf.DUMMYFUNCTION("""COMPUTED_VALUE"""),"3.236561")</f>
        <v>3.236561</v>
      </c>
      <c r="AA3075" s="4" t="str">
        <f t="shared" si="1"/>
        <v>Not Neighbor</v>
      </c>
      <c r="AC3075" s="4">
        <f>IFERROR(__xludf.DUMMYFUNCTION("IFERROR(ABS(O3075-AVERAGE(FILTER(O3075:O7143,AA3075:AA7143=""Neighbor""))) / STDEV(FILTER(O3075:O7143, AA3075:AA7143 =""Neighbor"")), """")"),0.6793692469019265)</f>
        <v>0.6793692469</v>
      </c>
      <c r="AD3075" s="4">
        <f>IFERROR(__xludf.DUMMYFUNCTION("IFERROR(ABS(P3075-AVERAGE(FILTER(O3075:P7143,AA3075:AA7143=""Neighbor""))) / STDEV(FILTER(P3075:P7143, AA3075:AA7143 =""Neighbor"")), """")"),1.0956530002557194)</f>
        <v>1.095653</v>
      </c>
      <c r="AE3075" s="2">
        <f>IFERROR(__xludf.DUMMYFUNCTION("IFERROR(ABS(Q3075-AVERAGE(FILTER(Q3075:Q7143,AA3075:AA7143=""Neighbor""))) / STDEV(FILTER(Q3075:Q7143, AA3075:AA7143 =""Neighbor"")), """")"),0.6132926038718567)</f>
        <v>0.6132926039</v>
      </c>
      <c r="AF3075" s="2">
        <f>IFERROR(__xludf.DUMMYFUNCTION("IFERROR(ABS(R3075-AVERAGE(FILTER(R3075:R7143,AA3075:AA7143=""Neighbor""))) / STDEV(FILTER(R3075:R7143, AA3075:AA7143 =""Neighbor"")), """")"),0.3326846688985353)</f>
        <v>0.3326846689</v>
      </c>
    </row>
    <row r="3076">
      <c r="A3076" s="2" t="s">
        <v>28</v>
      </c>
      <c r="B3076" s="2" t="s">
        <v>1711</v>
      </c>
      <c r="C3076" s="2" t="s">
        <v>1818</v>
      </c>
      <c r="D3076" s="2" t="s">
        <v>12552</v>
      </c>
      <c r="E3076" s="2" t="s">
        <v>12553</v>
      </c>
      <c r="F3076" s="2">
        <v>46.0</v>
      </c>
      <c r="G3076" s="2">
        <v>90.0</v>
      </c>
      <c r="H3076" s="2" t="b">
        <v>1</v>
      </c>
      <c r="I3076" s="2">
        <v>-1.0</v>
      </c>
      <c r="J3076" s="2" t="b">
        <v>0</v>
      </c>
      <c r="K3076" s="2" t="b">
        <v>0</v>
      </c>
      <c r="L3076" s="2" t="b">
        <v>0</v>
      </c>
      <c r="M3076" s="2" t="b">
        <v>0</v>
      </c>
      <c r="N3076" s="2" t="s">
        <v>33</v>
      </c>
      <c r="O3076" s="2">
        <v>0.0</v>
      </c>
      <c r="P3076" s="2">
        <v>0.0</v>
      </c>
      <c r="Q3076" s="2">
        <v>0.0</v>
      </c>
      <c r="R3076" s="2">
        <v>0.0</v>
      </c>
      <c r="S3076" s="3" t="s">
        <v>12554</v>
      </c>
      <c r="T3076" s="2" t="s">
        <v>12555</v>
      </c>
      <c r="Y3076" s="4" t="str">
        <f>IFERROR(__xludf.DUMMYFUNCTION("""COMPUTED_VALUE"""),"6.6915812")</f>
        <v>6.6915812</v>
      </c>
      <c r="Z3076" s="4" t="str">
        <f>IFERROR(__xludf.DUMMYFUNCTION("""COMPUTED_VALUE"""),"3.2471698")</f>
        <v>3.2471698</v>
      </c>
      <c r="AA3076" s="4" t="str">
        <f t="shared" si="1"/>
        <v>Neighbor</v>
      </c>
      <c r="AC3076" s="4">
        <f>IFERROR(__xludf.DUMMYFUNCTION("IFERROR(ABS(O3076-AVERAGE(FILTER(O3076:O7144,AA3076:AA7144=""Neighbor""))) / STDEV(FILTER(O3076:O7144, AA3076:AA7144 =""Neighbor"")), """")"),1.426526337853832)</f>
        <v>1.426526338</v>
      </c>
      <c r="AD3076" s="4">
        <f>IFERROR(__xludf.DUMMYFUNCTION("IFERROR(ABS(P3076-AVERAGE(FILTER(O3076:P7144,AA3076:AA7144=""Neighbor""))) / STDEV(FILTER(P3076:P7144, AA3076:AA7144 =""Neighbor"")), """")"),1.3013196749018596)</f>
        <v>1.301319675</v>
      </c>
      <c r="AE3076" s="2">
        <f>IFERROR(__xludf.DUMMYFUNCTION("IFERROR(ABS(Q3076-AVERAGE(FILTER(Q3076:Q7144,AA3076:AA7144=""Neighbor""))) / STDEV(FILTER(Q3076:Q7144, AA3076:AA7144 =""Neighbor"")), """")"),0.8929931105194789)</f>
        <v>0.8929931105</v>
      </c>
      <c r="AF3076" s="2">
        <f>IFERROR(__xludf.DUMMYFUNCTION("IFERROR(ABS(R3076-AVERAGE(FILTER(R3076:R7144,AA3076:AA7144=""Neighbor""))) / STDEV(FILTER(R3076:R7144, AA3076:AA7144 =""Neighbor"")), """")"),0.3326846688985353)</f>
        <v>0.3326846689</v>
      </c>
    </row>
    <row r="3077">
      <c r="A3077" s="2" t="s">
        <v>28</v>
      </c>
      <c r="B3077" s="2" t="s">
        <v>1711</v>
      </c>
      <c r="C3077" s="2" t="s">
        <v>1818</v>
      </c>
      <c r="D3077" s="2" t="s">
        <v>12556</v>
      </c>
      <c r="E3077" s="2" t="s">
        <v>12557</v>
      </c>
      <c r="F3077" s="2">
        <v>29.0</v>
      </c>
      <c r="G3077" s="2">
        <v>56.0</v>
      </c>
      <c r="H3077" s="2" t="b">
        <v>1</v>
      </c>
      <c r="I3077" s="2">
        <v>-1.0</v>
      </c>
      <c r="J3077" s="2" t="b">
        <v>0</v>
      </c>
      <c r="K3077" s="2" t="b">
        <v>0</v>
      </c>
      <c r="L3077" s="2" t="b">
        <v>0</v>
      </c>
      <c r="M3077" s="2" t="b">
        <v>0</v>
      </c>
      <c r="N3077" s="2" t="s">
        <v>33</v>
      </c>
      <c r="O3077" s="2">
        <v>15.0</v>
      </c>
      <c r="P3077" s="2">
        <v>5.0</v>
      </c>
      <c r="Q3077" s="2">
        <v>3.0</v>
      </c>
      <c r="R3077" s="2">
        <v>0.0</v>
      </c>
      <c r="S3077" s="3" t="s">
        <v>12558</v>
      </c>
      <c r="T3077" s="2" t="s">
        <v>12559</v>
      </c>
      <c r="Y3077" s="4" t="str">
        <f>IFERROR(__xludf.DUMMYFUNCTION("""COMPUTED_VALUE"""),"6.6915812")</f>
        <v>6.6915812</v>
      </c>
      <c r="Z3077" s="4" t="str">
        <f>IFERROR(__xludf.DUMMYFUNCTION("""COMPUTED_VALUE"""),"3.2471698")</f>
        <v>3.2471698</v>
      </c>
      <c r="AA3077" s="4" t="str">
        <f t="shared" si="1"/>
        <v>Neighbor</v>
      </c>
      <c r="AC3077" s="4">
        <f>IFERROR(__xludf.DUMMYFUNCTION("IFERROR(ABS(O3077-AVERAGE(FILTER(O3077:O7145,AA3077:AA7145=""Neighbor""))) / STDEV(FILTER(O3077:O7145, AA3077:AA7145 =""Neighbor"")), """")"),0.9650064729729123)</f>
        <v>0.965006473</v>
      </c>
      <c r="AD3077" s="4">
        <f>IFERROR(__xludf.DUMMYFUNCTION("IFERROR(ABS(P3077-AVERAGE(FILTER(O3077:P7145,AA3077:AA7145=""Neighbor""))) / STDEV(FILTER(P3077:P7145, AA3077:AA7145 =""Neighbor"")), """")"),1.09857725944273)</f>
        <v>1.098577259</v>
      </c>
      <c r="AE3077" s="2">
        <f>IFERROR(__xludf.DUMMYFUNCTION("IFERROR(ABS(Q3077-AVERAGE(FILTER(Q3077:Q7145,AA3077:AA7145=""Neighbor""))) / STDEV(FILTER(Q3077:Q7145, AA3077:AA7145 =""Neighbor"")), """")"),0.727489007560659)</f>
        <v>0.7274890076</v>
      </c>
      <c r="AF3077" s="2">
        <f>IFERROR(__xludf.DUMMYFUNCTION("IFERROR(ABS(R3077-AVERAGE(FILTER(R3077:R7145,AA3077:AA7145=""Neighbor""))) / STDEV(FILTER(R3077:R7145, AA3077:AA7145 =""Neighbor"")), """")"),0.33320514185928285)</f>
        <v>0.3332051419</v>
      </c>
    </row>
    <row r="3078">
      <c r="A3078" s="2" t="s">
        <v>28</v>
      </c>
      <c r="B3078" s="2" t="s">
        <v>1711</v>
      </c>
      <c r="C3078" s="2" t="s">
        <v>1818</v>
      </c>
      <c r="D3078" s="2" t="s">
        <v>12560</v>
      </c>
      <c r="E3078" s="2" t="s">
        <v>12561</v>
      </c>
      <c r="F3078" s="2">
        <v>113.0</v>
      </c>
      <c r="G3078" s="2">
        <v>192.0</v>
      </c>
      <c r="H3078" s="2" t="b">
        <v>1</v>
      </c>
      <c r="I3078" s="2">
        <v>-1.0</v>
      </c>
      <c r="J3078" s="2" t="b">
        <v>0</v>
      </c>
      <c r="K3078" s="2" t="b">
        <v>0</v>
      </c>
      <c r="L3078" s="2" t="b">
        <v>0</v>
      </c>
      <c r="M3078" s="2" t="b">
        <v>0</v>
      </c>
      <c r="N3078" s="2" t="s">
        <v>33</v>
      </c>
      <c r="O3078" s="2">
        <v>49.0</v>
      </c>
      <c r="P3078" s="2">
        <v>23.0</v>
      </c>
      <c r="Q3078" s="2">
        <v>11.0</v>
      </c>
      <c r="R3078" s="2">
        <v>0.0</v>
      </c>
      <c r="S3078" s="3" t="s">
        <v>12562</v>
      </c>
      <c r="T3078" s="2" t="s">
        <v>12563</v>
      </c>
      <c r="Y3078" s="4" t="str">
        <f>IFERROR(__xludf.DUMMYFUNCTION("""COMPUTED_VALUE"""),"6.6915812")</f>
        <v>6.6915812</v>
      </c>
      <c r="Z3078" s="4" t="str">
        <f>IFERROR(__xludf.DUMMYFUNCTION("""COMPUTED_VALUE"""),"3.2471698")</f>
        <v>3.2471698</v>
      </c>
      <c r="AA3078" s="4" t="str">
        <f t="shared" si="1"/>
        <v>Not Neighbor</v>
      </c>
      <c r="AC3078" s="4">
        <f>IFERROR(__xludf.DUMMYFUNCTION("IFERROR(ABS(O3078-AVERAGE(FILTER(O3078:O7146,AA3078:AA7146=""Neighbor""))) / STDEV(FILTER(O3078:O7146, AA3078:AA7146 =""Neighbor"")), """")"),0.09228744526689438)</f>
        <v>0.09228744527</v>
      </c>
      <c r="AD3078" s="4">
        <f>IFERROR(__xludf.DUMMYFUNCTION("IFERROR(ABS(P3078-AVERAGE(FILTER(O3078:P7146,AA3078:AA7146=""Neighbor""))) / STDEV(FILTER(P3078:P7146, AA3078:AA7146 =""Neighbor"")), """")"),0.3608367939505093)</f>
        <v>0.360836794</v>
      </c>
      <c r="AE3078" s="2">
        <f>IFERROR(__xludf.DUMMYFUNCTION("IFERROR(ABS(Q3078-AVERAGE(FILTER(Q3078:Q7146,AA3078:AA7146=""Neighbor""))) / STDEV(FILTER(Q3078:Q7146, AA3078:AA7146 =""Neighbor"")), """")"),0.28196810468305283)</f>
        <v>0.2819681047</v>
      </c>
      <c r="AF3078" s="2">
        <f>IFERROR(__xludf.DUMMYFUNCTION("IFERROR(ABS(R3078-AVERAGE(FILTER(R3078:R7146,AA3078:AA7146=""Neighbor""))) / STDEV(FILTER(R3078:R7146, AA3078:AA7146 =""Neighbor"")), """")"),0.3337280660920539)</f>
        <v>0.3337280661</v>
      </c>
    </row>
    <row r="3079">
      <c r="A3079" s="2" t="s">
        <v>28</v>
      </c>
      <c r="B3079" s="2" t="s">
        <v>1711</v>
      </c>
      <c r="C3079" s="2" t="s">
        <v>1818</v>
      </c>
      <c r="D3079" s="2" t="s">
        <v>12564</v>
      </c>
      <c r="E3079" s="2" t="s">
        <v>12565</v>
      </c>
      <c r="F3079" s="2">
        <v>52.0</v>
      </c>
      <c r="G3079" s="2">
        <v>105.0</v>
      </c>
      <c r="H3079" s="2" t="b">
        <v>1</v>
      </c>
      <c r="I3079" s="2">
        <v>-1.0</v>
      </c>
      <c r="J3079" s="2" t="b">
        <v>0</v>
      </c>
      <c r="K3079" s="2" t="b">
        <v>0</v>
      </c>
      <c r="L3079" s="2" t="b">
        <v>0</v>
      </c>
      <c r="M3079" s="2" t="b">
        <v>0</v>
      </c>
      <c r="N3079" s="2" t="s">
        <v>33</v>
      </c>
      <c r="O3079" s="2">
        <v>27.0</v>
      </c>
      <c r="P3079" s="2">
        <v>12.0</v>
      </c>
      <c r="Q3079" s="2">
        <v>4.0</v>
      </c>
      <c r="R3079" s="2">
        <v>0.0</v>
      </c>
      <c r="S3079" s="3" t="s">
        <v>12566</v>
      </c>
      <c r="T3079" s="2" t="s">
        <v>12567</v>
      </c>
      <c r="Y3079" s="4" t="str">
        <f>IFERROR(__xludf.DUMMYFUNCTION("""COMPUTED_VALUE"""),"6.6926435")</f>
        <v>6.6926435</v>
      </c>
      <c r="Z3079" s="4" t="str">
        <f>IFERROR(__xludf.DUMMYFUNCTION("""COMPUTED_VALUE"""),"3.236561")</f>
        <v>3.236561</v>
      </c>
      <c r="AA3079" s="4" t="str">
        <f t="shared" si="1"/>
        <v>Not Neighbor</v>
      </c>
      <c r="AC3079" s="4">
        <f>IFERROR(__xludf.DUMMYFUNCTION("IFERROR(ABS(O3079-AVERAGE(FILTER(O3079:O7147,AA3079:AA7147=""Neighbor""))) / STDEV(FILTER(O3079:O7147, AA3079:AA7147 =""Neighbor"")), """")"),0.5935539900849738)</f>
        <v>0.5935539901</v>
      </c>
      <c r="AD3079" s="4">
        <f>IFERROR(__xludf.DUMMYFUNCTION("IFERROR(ABS(P3079-AVERAGE(FILTER(O3079:P7147,AA3079:AA7147=""Neighbor""))) / STDEV(FILTER(P3079:P7147, AA3079:AA7147 =""Neighbor"")), """")"),0.8125225679382037)</f>
        <v>0.8125225679</v>
      </c>
      <c r="AE3079" s="2">
        <f>IFERROR(__xludf.DUMMYFUNCTION("IFERROR(ABS(Q3079-AVERAGE(FILTER(Q3079:Q7147,AA3079:AA7147=""Neighbor""))) / STDEV(FILTER(Q3079:Q7147, AA3079:AA7147 =""Neighbor"")), """")"),0.6731770809165305)</f>
        <v>0.6731770809</v>
      </c>
      <c r="AF3079" s="2">
        <f>IFERROR(__xludf.DUMMYFUNCTION("IFERROR(ABS(R3079-AVERAGE(FILTER(R3079:R7147,AA3079:AA7147=""Neighbor""))) / STDEV(FILTER(R3079:R7147, AA3079:AA7147 =""Neighbor"")), """")"),0.3337280660920539)</f>
        <v>0.3337280661</v>
      </c>
    </row>
    <row r="3080">
      <c r="A3080" s="2" t="s">
        <v>28</v>
      </c>
      <c r="B3080" s="2" t="s">
        <v>1711</v>
      </c>
      <c r="C3080" s="2" t="s">
        <v>1818</v>
      </c>
      <c r="D3080" s="2" t="s">
        <v>12568</v>
      </c>
      <c r="E3080" s="2" t="s">
        <v>12569</v>
      </c>
      <c r="F3080" s="2">
        <v>42.0</v>
      </c>
      <c r="G3080" s="2">
        <v>81.0</v>
      </c>
      <c r="H3080" s="2" t="b">
        <v>1</v>
      </c>
      <c r="I3080" s="2">
        <v>-1.0</v>
      </c>
      <c r="J3080" s="2" t="b">
        <v>0</v>
      </c>
      <c r="K3080" s="2" t="b">
        <v>0</v>
      </c>
      <c r="L3080" s="2" t="b">
        <v>0</v>
      </c>
      <c r="M3080" s="2" t="b">
        <v>0</v>
      </c>
      <c r="N3080" s="2" t="s">
        <v>33</v>
      </c>
      <c r="O3080" s="2">
        <v>23.0</v>
      </c>
      <c r="P3080" s="2">
        <v>14.0</v>
      </c>
      <c r="Q3080" s="2">
        <v>2.0</v>
      </c>
      <c r="R3080" s="2">
        <v>0.0</v>
      </c>
      <c r="S3080" s="3" t="s">
        <v>12570</v>
      </c>
      <c r="T3080" s="2" t="s">
        <v>12571</v>
      </c>
      <c r="Y3080" s="4" t="str">
        <f>IFERROR(__xludf.DUMMYFUNCTION("""COMPUTED_VALUE"""),"6.6788996")</f>
        <v>6.6788996</v>
      </c>
      <c r="Z3080" s="4" t="str">
        <f>IFERROR(__xludf.DUMMYFUNCTION("""COMPUTED_VALUE"""),"3.2726831")</f>
        <v>3.2726831</v>
      </c>
      <c r="AA3080" s="4" t="str">
        <f t="shared" si="1"/>
        <v>Not Neighbor</v>
      </c>
      <c r="AC3080" s="4">
        <f>IFERROR(__xludf.DUMMYFUNCTION("IFERROR(ABS(O3080-AVERAGE(FILTER(O3080:O7148,AA3080:AA7148=""Neighbor""))) / STDEV(FILTER(O3080:O7148, AA3080:AA7148 =""Neighbor"")), """")"),0.7182524328762225)</f>
        <v>0.7182524329</v>
      </c>
      <c r="AD3080" s="4">
        <f>IFERROR(__xludf.DUMMYFUNCTION("IFERROR(ABS(P3080-AVERAGE(FILTER(O3080:P7148,AA3080:AA7148=""Neighbor""))) / STDEV(FILTER(P3080:P7148, AA3080:AA7148 =""Neighbor"")), """")"),0.7303978817586229)</f>
        <v>0.7303978818</v>
      </c>
      <c r="AE3080" s="2">
        <f>IFERROR(__xludf.DUMMYFUNCTION("IFERROR(ABS(Q3080-AVERAGE(FILTER(Q3080:Q7148,AA3080:AA7148=""Neighbor""))) / STDEV(FILTER(Q3080:Q7148, AA3080:AA7148 =""Neighbor"")), """")"),0.7849510741260955)</f>
        <v>0.7849510741</v>
      </c>
      <c r="AF3080" s="2">
        <f>IFERROR(__xludf.DUMMYFUNCTION("IFERROR(ABS(R3080-AVERAGE(FILTER(R3080:R7148,AA3080:AA7148=""Neighbor""))) / STDEV(FILTER(R3080:R7148, AA3080:AA7148 =""Neighbor"")), """")"),0.3337280660920539)</f>
        <v>0.3337280661</v>
      </c>
    </row>
    <row r="3081">
      <c r="A3081" s="2" t="s">
        <v>28</v>
      </c>
      <c r="B3081" s="2" t="s">
        <v>1711</v>
      </c>
      <c r="C3081" s="2" t="s">
        <v>1818</v>
      </c>
      <c r="D3081" s="2" t="s">
        <v>12572</v>
      </c>
      <c r="E3081" s="2" t="s">
        <v>12573</v>
      </c>
      <c r="F3081" s="2">
        <v>41.0</v>
      </c>
      <c r="G3081" s="2">
        <v>91.0</v>
      </c>
      <c r="H3081" s="2" t="b">
        <v>1</v>
      </c>
      <c r="I3081" s="2">
        <v>-1.0</v>
      </c>
      <c r="J3081" s="2" t="b">
        <v>0</v>
      </c>
      <c r="K3081" s="2" t="b">
        <v>0</v>
      </c>
      <c r="L3081" s="2" t="b">
        <v>0</v>
      </c>
      <c r="M3081" s="2" t="b">
        <v>0</v>
      </c>
      <c r="N3081" s="2" t="s">
        <v>33</v>
      </c>
      <c r="O3081" s="2">
        <v>26.0</v>
      </c>
      <c r="P3081" s="2">
        <v>11.0</v>
      </c>
      <c r="Q3081" s="2">
        <v>2.0</v>
      </c>
      <c r="R3081" s="2">
        <v>0.0</v>
      </c>
      <c r="S3081" s="3" t="s">
        <v>12574</v>
      </c>
      <c r="T3081" s="2" t="s">
        <v>12575</v>
      </c>
      <c r="Y3081" s="4" t="str">
        <f>IFERROR(__xludf.DUMMYFUNCTION("""COMPUTED_VALUE"""),"6.6926435")</f>
        <v>6.6926435</v>
      </c>
      <c r="Z3081" s="4" t="str">
        <f>IFERROR(__xludf.DUMMYFUNCTION("""COMPUTED_VALUE"""),"3.236561")</f>
        <v>3.236561</v>
      </c>
      <c r="AA3081" s="4" t="str">
        <f t="shared" si="1"/>
        <v>Not Neighbor</v>
      </c>
      <c r="AC3081" s="4">
        <f>IFERROR(__xludf.DUMMYFUNCTION("IFERROR(ABS(O3081-AVERAGE(FILTER(O3081:O7149,AA3081:AA7149=""Neighbor""))) / STDEV(FILTER(O3081:O7149, AA3081:AA7149 =""Neighbor"")), """")"),0.624728600782786)</f>
        <v>0.6247286008</v>
      </c>
      <c r="AD3081" s="4">
        <f>IFERROR(__xludf.DUMMYFUNCTION("IFERROR(ABS(P3081-AVERAGE(FILTER(O3081:P7149,AA3081:AA7149=""Neighbor""))) / STDEV(FILTER(P3081:P7149, AA3081:AA7149 =""Neighbor"")), """")"),0.853584911027994)</f>
        <v>0.853584911</v>
      </c>
      <c r="AE3081" s="2">
        <f>IFERROR(__xludf.DUMMYFUNCTION("IFERROR(ABS(Q3081-AVERAGE(FILTER(Q3081:Q7149,AA3081:AA7149=""Neighbor""))) / STDEV(FILTER(Q3081:Q7149, AA3081:AA7149 =""Neighbor"")), """")"),0.7849510741260955)</f>
        <v>0.7849510741</v>
      </c>
      <c r="AF3081" s="2">
        <f>IFERROR(__xludf.DUMMYFUNCTION("IFERROR(ABS(R3081-AVERAGE(FILTER(R3081:R7149,AA3081:AA7149=""Neighbor""))) / STDEV(FILTER(R3081:R7149, AA3081:AA7149 =""Neighbor"")), """")"),0.3337280660920539)</f>
        <v>0.3337280661</v>
      </c>
    </row>
    <row r="3082">
      <c r="A3082" s="2" t="s">
        <v>28</v>
      </c>
      <c r="B3082" s="2" t="s">
        <v>1711</v>
      </c>
      <c r="C3082" s="2" t="s">
        <v>1818</v>
      </c>
      <c r="D3082" s="2" t="s">
        <v>12576</v>
      </c>
      <c r="E3082" s="2" t="s">
        <v>12577</v>
      </c>
      <c r="F3082" s="2">
        <v>34.0</v>
      </c>
      <c r="G3082" s="2">
        <v>61.0</v>
      </c>
      <c r="H3082" s="2" t="b">
        <v>1</v>
      </c>
      <c r="I3082" s="2">
        <v>-1.0</v>
      </c>
      <c r="J3082" s="2" t="b">
        <v>0</v>
      </c>
      <c r="K3082" s="2" t="b">
        <v>0</v>
      </c>
      <c r="L3082" s="2" t="b">
        <v>0</v>
      </c>
      <c r="M3082" s="2" t="b">
        <v>0</v>
      </c>
      <c r="N3082" s="2" t="s">
        <v>33</v>
      </c>
      <c r="O3082" s="2">
        <v>15.0</v>
      </c>
      <c r="P3082" s="2">
        <v>17.0</v>
      </c>
      <c r="Q3082" s="2">
        <v>2.0</v>
      </c>
      <c r="R3082" s="2">
        <v>0.0</v>
      </c>
      <c r="S3082" s="3" t="s">
        <v>12578</v>
      </c>
      <c r="T3082" s="2" t="s">
        <v>12579</v>
      </c>
      <c r="Y3082" s="4" t="str">
        <f>IFERROR(__xludf.DUMMYFUNCTION("""COMPUTED_VALUE"""),"6.6829636")</f>
        <v>6.6829636</v>
      </c>
      <c r="Z3082" s="4" t="str">
        <f>IFERROR(__xludf.DUMMYFUNCTION("""COMPUTED_VALUE"""),"3.3156285")</f>
        <v>3.3156285</v>
      </c>
      <c r="AA3082" s="4" t="str">
        <f t="shared" si="1"/>
        <v>Not Neighbor</v>
      </c>
      <c r="AC3082" s="4">
        <f>IFERROR(__xludf.DUMMYFUNCTION("IFERROR(ABS(O3082-AVERAGE(FILTER(O3082:O7150,AA3082:AA7150=""Neighbor""))) / STDEV(FILTER(O3082:O7150, AA3082:AA7150 =""Neighbor"")), """")"),0.9676493184587202)</f>
        <v>0.9676493185</v>
      </c>
      <c r="AD3082" s="4">
        <f>IFERROR(__xludf.DUMMYFUNCTION("IFERROR(ABS(P3082-AVERAGE(FILTER(O3082:P7150,AA3082:AA7150=""Neighbor""))) / STDEV(FILTER(P3082:P7150, AA3082:AA7150 =""Neighbor"")), """")"),0.6072108524892517)</f>
        <v>0.6072108525</v>
      </c>
      <c r="AE3082" s="2">
        <f>IFERROR(__xludf.DUMMYFUNCTION("IFERROR(ABS(Q3082-AVERAGE(FILTER(Q3082:Q7150,AA3082:AA7150=""Neighbor""))) / STDEV(FILTER(Q3082:Q7150, AA3082:AA7150 =""Neighbor"")), """")"),0.7849510741260955)</f>
        <v>0.7849510741</v>
      </c>
      <c r="AF3082" s="2">
        <f>IFERROR(__xludf.DUMMYFUNCTION("IFERROR(ABS(R3082-AVERAGE(FILTER(R3082:R7150,AA3082:AA7150=""Neighbor""))) / STDEV(FILTER(R3082:R7150, AA3082:AA7150 =""Neighbor"")), """")"),0.3337280660920539)</f>
        <v>0.3337280661</v>
      </c>
    </row>
    <row r="3083">
      <c r="A3083" s="2" t="s">
        <v>28</v>
      </c>
      <c r="B3083" s="2" t="s">
        <v>1711</v>
      </c>
      <c r="C3083" s="2" t="s">
        <v>1818</v>
      </c>
      <c r="D3083" s="2" t="s">
        <v>12580</v>
      </c>
      <c r="E3083" s="2" t="s">
        <v>12581</v>
      </c>
      <c r="F3083" s="2">
        <v>48.0</v>
      </c>
      <c r="G3083" s="2">
        <v>124.0</v>
      </c>
      <c r="H3083" s="2" t="b">
        <v>1</v>
      </c>
      <c r="I3083" s="2">
        <v>-1.0</v>
      </c>
      <c r="J3083" s="2" t="b">
        <v>0</v>
      </c>
      <c r="K3083" s="2" t="b">
        <v>0</v>
      </c>
      <c r="L3083" s="2" t="b">
        <v>0</v>
      </c>
      <c r="M3083" s="2" t="b">
        <v>0</v>
      </c>
      <c r="N3083" s="2" t="s">
        <v>33</v>
      </c>
      <c r="O3083" s="2">
        <v>25.0</v>
      </c>
      <c r="P3083" s="2">
        <v>9.0</v>
      </c>
      <c r="Q3083" s="2">
        <v>5.0</v>
      </c>
      <c r="R3083" s="2">
        <v>0.0</v>
      </c>
      <c r="S3083" s="3" t="s">
        <v>12582</v>
      </c>
      <c r="T3083" s="2" t="s">
        <v>12583</v>
      </c>
      <c r="Y3083" s="4" t="str">
        <f>IFERROR(__xludf.DUMMYFUNCTION("""COMPUTED_VALUE"""),"6.6910219")</f>
        <v>6.6910219</v>
      </c>
      <c r="Z3083" s="4" t="str">
        <f>IFERROR(__xludf.DUMMYFUNCTION("""COMPUTED_VALUE"""),"3.2419881")</f>
        <v>3.2419881</v>
      </c>
      <c r="AA3083" s="4" t="str">
        <f t="shared" si="1"/>
        <v>Neighbor</v>
      </c>
      <c r="AC3083" s="4">
        <f>IFERROR(__xludf.DUMMYFUNCTION("IFERROR(ABS(O3083-AVERAGE(FILTER(O3083:O7151,AA3083:AA7151=""Neighbor""))) / STDEV(FILTER(O3083:O7151, AA3083:AA7151 =""Neighbor"")), """")"),0.6559032114805982)</f>
        <v>0.6559032115</v>
      </c>
      <c r="AD3083" s="4">
        <f>IFERROR(__xludf.DUMMYFUNCTION("IFERROR(ABS(P3083-AVERAGE(FILTER(O3083:P7151,AA3083:AA7151=""Neighbor""))) / STDEV(FILTER(P3083:P7151, AA3083:AA7151 =""Neighbor"")), """")"),0.9357095972075749)</f>
        <v>0.9357095972</v>
      </c>
      <c r="AE3083" s="2">
        <f>IFERROR(__xludf.DUMMYFUNCTION("IFERROR(ABS(Q3083-AVERAGE(FILTER(Q3083:Q7151,AA3083:AA7151=""Neighbor""))) / STDEV(FILTER(Q3083:Q7151, AA3083:AA7151 =""Neighbor"")), """")"),0.6172900843117479)</f>
        <v>0.6172900843</v>
      </c>
      <c r="AF3083" s="2">
        <f>IFERROR(__xludf.DUMMYFUNCTION("IFERROR(ABS(R3083-AVERAGE(FILTER(R3083:R7151,AA3083:AA7151=""Neighbor""))) / STDEV(FILTER(R3083:R7151, AA3083:AA7151 =""Neighbor"")), """")"),0.3337280660920539)</f>
        <v>0.3337280661</v>
      </c>
    </row>
    <row r="3084">
      <c r="A3084" s="2" t="s">
        <v>28</v>
      </c>
      <c r="B3084" s="2" t="s">
        <v>1711</v>
      </c>
      <c r="C3084" s="2" t="s">
        <v>1818</v>
      </c>
      <c r="D3084" s="2" t="s">
        <v>12584</v>
      </c>
      <c r="E3084" s="2" t="s">
        <v>12585</v>
      </c>
      <c r="F3084" s="2">
        <v>15.0</v>
      </c>
      <c r="G3084" s="2">
        <v>71.0</v>
      </c>
      <c r="H3084" s="2" t="b">
        <v>1</v>
      </c>
      <c r="I3084" s="2">
        <v>-1.0</v>
      </c>
      <c r="J3084" s="2" t="b">
        <v>0</v>
      </c>
      <c r="K3084" s="2" t="b">
        <v>0</v>
      </c>
      <c r="L3084" s="2" t="b">
        <v>0</v>
      </c>
      <c r="M3084" s="2" t="b">
        <v>0</v>
      </c>
      <c r="N3084" s="2" t="s">
        <v>33</v>
      </c>
      <c r="O3084" s="2">
        <v>9.0</v>
      </c>
      <c r="P3084" s="2">
        <v>3.0</v>
      </c>
      <c r="Q3084" s="2">
        <v>2.0</v>
      </c>
      <c r="R3084" s="2">
        <v>0.0</v>
      </c>
      <c r="S3084" s="3" t="s">
        <v>12586</v>
      </c>
      <c r="T3084" s="2" t="s">
        <v>12587</v>
      </c>
      <c r="Y3084" s="4" t="str">
        <f>IFERROR(__xludf.DUMMYFUNCTION("""COMPUTED_VALUE"""),"6.6915812")</f>
        <v>6.6915812</v>
      </c>
      <c r="Z3084" s="4" t="str">
        <f>IFERROR(__xludf.DUMMYFUNCTION("""COMPUTED_VALUE"""),"3.2471698")</f>
        <v>3.2471698</v>
      </c>
      <c r="AA3084" s="4" t="str">
        <f t="shared" si="1"/>
        <v>Neighbor</v>
      </c>
      <c r="AC3084" s="4">
        <f>IFERROR(__xludf.DUMMYFUNCTION("IFERROR(ABS(O3084-AVERAGE(FILTER(O3084:O7152,AA3084:AA7152=""Neighbor""))) / STDEV(FILTER(O3084:O7152, AA3084:AA7152 =""Neighbor"")), """")"),1.1556247510185802)</f>
        <v>1.155624751</v>
      </c>
      <c r="AD3084" s="4">
        <f>IFERROR(__xludf.DUMMYFUNCTION("IFERROR(ABS(P3084-AVERAGE(FILTER(O3084:P7152,AA3084:AA7152=""Neighbor""))) / STDEV(FILTER(P3084:P7152, AA3084:AA7152 =""Neighbor"")), """")"),1.1823328503411166)</f>
        <v>1.18233285</v>
      </c>
      <c r="AE3084" s="2">
        <f>IFERROR(__xludf.DUMMYFUNCTION("IFERROR(ABS(Q3084-AVERAGE(FILTER(Q3084:Q7152,AA3084:AA7152=""Neighbor""))) / STDEV(FILTER(Q3084:Q7152, AA3084:AA7152 =""Neighbor"")), """")"),0.7860132280352152)</f>
        <v>0.786013228</v>
      </c>
      <c r="AF3084" s="2">
        <f>IFERROR(__xludf.DUMMYFUNCTION("IFERROR(ABS(R3084-AVERAGE(FILTER(R3084:R7152,AA3084:AA7152=""Neighbor""))) / STDEV(FILTER(R3084:R7152, AA3084:AA7152 =""Neighbor"")), """")"),0.3342534609044794)</f>
        <v>0.3342534609</v>
      </c>
    </row>
    <row r="3085">
      <c r="A3085" s="2" t="s">
        <v>28</v>
      </c>
      <c r="B3085" s="2" t="s">
        <v>1711</v>
      </c>
      <c r="C3085" s="2" t="s">
        <v>1818</v>
      </c>
      <c r="D3085" s="2" t="s">
        <v>12588</v>
      </c>
      <c r="E3085" s="2" t="s">
        <v>12589</v>
      </c>
      <c r="F3085" s="2">
        <v>30.0</v>
      </c>
      <c r="G3085" s="2">
        <v>72.0</v>
      </c>
      <c r="H3085" s="2" t="b">
        <v>1</v>
      </c>
      <c r="I3085" s="2">
        <v>-1.0</v>
      </c>
      <c r="J3085" s="2" t="b">
        <v>0</v>
      </c>
      <c r="K3085" s="2" t="b">
        <v>0</v>
      </c>
      <c r="L3085" s="2" t="b">
        <v>0</v>
      </c>
      <c r="M3085" s="2" t="b">
        <v>0</v>
      </c>
      <c r="N3085" s="2" t="s">
        <v>33</v>
      </c>
      <c r="O3085" s="2">
        <v>29.0</v>
      </c>
      <c r="P3085" s="2">
        <v>0.0</v>
      </c>
      <c r="Q3085" s="2">
        <v>1.0</v>
      </c>
      <c r="R3085" s="2">
        <v>0.0</v>
      </c>
      <c r="S3085" s="3" t="s">
        <v>12590</v>
      </c>
      <c r="T3085" s="2" t="s">
        <v>12591</v>
      </c>
      <c r="Y3085" s="4" t="str">
        <f>IFERROR(__xludf.DUMMYFUNCTION("""COMPUTED_VALUE"""),"6.6915812")</f>
        <v>6.6915812</v>
      </c>
      <c r="Z3085" s="4" t="str">
        <f>IFERROR(__xludf.DUMMYFUNCTION("""COMPUTED_VALUE"""),"3.2471698")</f>
        <v>3.2471698</v>
      </c>
      <c r="AA3085" s="4" t="str">
        <f t="shared" si="1"/>
        <v>Not Neighbor</v>
      </c>
      <c r="AC3085" s="4">
        <f>IFERROR(__xludf.DUMMYFUNCTION("IFERROR(ABS(O3085-AVERAGE(FILTER(O3085:O7153,AA3085:AA7153=""Neighbor""))) / STDEV(FILTER(O3085:O7153, AA3085:AA7153 =""Neighbor"")), """")"),0.5361892269602793)</f>
        <v>0.536189227</v>
      </c>
      <c r="AD3085" s="4">
        <f>IFERROR(__xludf.DUMMYFUNCTION("IFERROR(ABS(P3085-AVERAGE(FILTER(O3085:P7153,AA3085:AA7153=""Neighbor""))) / STDEV(FILTER(P3085:P7153, AA3085:AA7153 =""Neighbor"")), """")"),1.307185093283153)</f>
        <v>1.307185093</v>
      </c>
      <c r="AE3085" s="2">
        <f>IFERROR(__xludf.DUMMYFUNCTION("IFERROR(ABS(Q3085-AVERAGE(FILTER(Q3085:Q7153,AA3085:AA7153=""Neighbor""))) / STDEV(FILTER(Q3085:Q7153, AA3085:AA7153 =""Neighbor"")), """")"),0.8436320970226021)</f>
        <v>0.843632097</v>
      </c>
      <c r="AF3085" s="2">
        <f>IFERROR(__xludf.DUMMYFUNCTION("IFERROR(ABS(R3085-AVERAGE(FILTER(R3085:R7153,AA3085:AA7153=""Neighbor""))) / STDEV(FILTER(R3085:R7153, AA3085:AA7153 =""Neighbor"")), """")"),0.33478134581782887)</f>
        <v>0.3347813458</v>
      </c>
    </row>
    <row r="3086">
      <c r="A3086" s="2" t="s">
        <v>28</v>
      </c>
      <c r="B3086" s="2" t="s">
        <v>1711</v>
      </c>
      <c r="C3086" s="2" t="s">
        <v>1818</v>
      </c>
      <c r="D3086" s="2" t="s">
        <v>12592</v>
      </c>
      <c r="E3086" s="2" t="s">
        <v>12593</v>
      </c>
      <c r="F3086" s="2">
        <v>23.0</v>
      </c>
      <c r="G3086" s="2">
        <v>59.0</v>
      </c>
      <c r="H3086" s="2" t="b">
        <v>1</v>
      </c>
      <c r="I3086" s="2">
        <v>-1.0</v>
      </c>
      <c r="J3086" s="2" t="b">
        <v>0</v>
      </c>
      <c r="K3086" s="2" t="b">
        <v>0</v>
      </c>
      <c r="L3086" s="2" t="b">
        <v>0</v>
      </c>
      <c r="M3086" s="2" t="b">
        <v>0</v>
      </c>
      <c r="N3086" s="2" t="s">
        <v>33</v>
      </c>
      <c r="O3086" s="2">
        <v>17.0</v>
      </c>
      <c r="P3086" s="2">
        <v>2.0</v>
      </c>
      <c r="Q3086" s="2">
        <v>2.0</v>
      </c>
      <c r="R3086" s="2">
        <v>0.0</v>
      </c>
      <c r="S3086" s="3" t="s">
        <v>12594</v>
      </c>
      <c r="T3086" s="2" t="s">
        <v>12595</v>
      </c>
      <c r="Y3086" s="4" t="str">
        <f>IFERROR(__xludf.DUMMYFUNCTION("""COMPUTED_VALUE"""),"6.7040615")</f>
        <v>6.7040615</v>
      </c>
      <c r="Z3086" s="4" t="str">
        <f>IFERROR(__xludf.DUMMYFUNCTION("""COMPUTED_VALUE"""),"3.2440821")</f>
        <v>3.2440821</v>
      </c>
      <c r="AA3086" s="4" t="str">
        <f t="shared" si="1"/>
        <v>Not Neighbor</v>
      </c>
      <c r="AC3086" s="4">
        <f>IFERROR(__xludf.DUMMYFUNCTION("IFERROR(ABS(O3086-AVERAGE(FILTER(O3086:O7154,AA3086:AA7154=""Neighbor""))) / STDEV(FILTER(O3086:O7154, AA3086:AA7154 =""Neighbor"")), """")"),0.910163233245541)</f>
        <v>0.9101632332</v>
      </c>
      <c r="AD3086" s="4">
        <f>IFERROR(__xludf.DUMMYFUNCTION("IFERROR(ABS(P3086-AVERAGE(FILTER(O3086:P7154,AA3086:AA7154=""Neighbor""))) / STDEV(FILTER(P3086:P7154, AA3086:AA7154 =""Neighbor"")), """")"),1.2252379656277883)</f>
        <v>1.225237966</v>
      </c>
      <c r="AE3086" s="2">
        <f>IFERROR(__xludf.DUMMYFUNCTION("IFERROR(ABS(Q3086-AVERAGE(FILTER(Q3086:Q7154,AA3086:AA7154=""Neighbor""))) / STDEV(FILTER(Q3086:Q7154, AA3086:AA7154 =""Neighbor"")), """")"),0.7878245459379936)</f>
        <v>0.7878245459</v>
      </c>
      <c r="AF3086" s="2">
        <f>IFERROR(__xludf.DUMMYFUNCTION("IFERROR(ABS(R3086-AVERAGE(FILTER(R3086:R7154,AA3086:AA7154=""Neighbor""))) / STDEV(FILTER(R3086:R7154, AA3086:AA7154 =""Neighbor"")), """")"),0.33478134581782887)</f>
        <v>0.3347813458</v>
      </c>
    </row>
    <row r="3087">
      <c r="A3087" s="2" t="s">
        <v>28</v>
      </c>
      <c r="B3087" s="2" t="s">
        <v>1711</v>
      </c>
      <c r="C3087" s="2" t="s">
        <v>1818</v>
      </c>
      <c r="D3087" s="2" t="s">
        <v>12596</v>
      </c>
      <c r="E3087" s="2" t="s">
        <v>12597</v>
      </c>
      <c r="F3087" s="2">
        <v>23.0</v>
      </c>
      <c r="G3087" s="2">
        <v>51.0</v>
      </c>
      <c r="H3087" s="2" t="b">
        <v>1</v>
      </c>
      <c r="I3087" s="2">
        <v>-1.0</v>
      </c>
      <c r="J3087" s="2" t="b">
        <v>0</v>
      </c>
      <c r="K3087" s="2" t="b">
        <v>0</v>
      </c>
      <c r="L3087" s="2" t="b">
        <v>0</v>
      </c>
      <c r="M3087" s="2" t="b">
        <v>0</v>
      </c>
      <c r="N3087" s="2" t="s">
        <v>33</v>
      </c>
      <c r="O3087" s="2">
        <v>14.0</v>
      </c>
      <c r="P3087" s="2">
        <v>5.0</v>
      </c>
      <c r="Q3087" s="2">
        <v>0.0</v>
      </c>
      <c r="R3087" s="2">
        <v>0.0</v>
      </c>
      <c r="S3087" s="3" t="s">
        <v>12598</v>
      </c>
      <c r="T3087" s="2" t="s">
        <v>12599</v>
      </c>
      <c r="Y3087" s="4" t="str">
        <f>IFERROR(__xludf.DUMMYFUNCTION("""COMPUTED_VALUE"""),"6.6914908")</f>
        <v>6.6914908</v>
      </c>
      <c r="Z3087" s="4" t="str">
        <f>IFERROR(__xludf.DUMMYFUNCTION("""COMPUTED_VALUE"""),"3.2541553")</f>
        <v>3.2541553</v>
      </c>
      <c r="AA3087" s="4" t="str">
        <f t="shared" si="1"/>
        <v>Not Neighbor</v>
      </c>
      <c r="AC3087" s="4">
        <f>IFERROR(__xludf.DUMMYFUNCTION("IFERROR(ABS(O3087-AVERAGE(FILTER(O3087:O7155,AA3087:AA7155=""Neighbor""))) / STDEV(FILTER(O3087:O7155, AA3087:AA7155 =""Neighbor"")), """")"),1.0036567348168566)</f>
        <v>1.003656735</v>
      </c>
      <c r="AD3087" s="4">
        <f>IFERROR(__xludf.DUMMYFUNCTION("IFERROR(ABS(P3087-AVERAGE(FILTER(O3087:P7155,AA3087:AA7155=""Neighbor""))) / STDEV(FILTER(P3087:P7155, AA3087:AA7155 =""Neighbor"")), """")"),1.1023172741447413)</f>
        <v>1.102317274</v>
      </c>
      <c r="AE3087" s="2">
        <f>IFERROR(__xludf.DUMMYFUNCTION("IFERROR(ABS(Q3087-AVERAGE(FILTER(Q3087:Q7155,AA3087:AA7155=""Neighbor""))) / STDEV(FILTER(Q3087:Q7155, AA3087:AA7155 =""Neighbor"")), """")"),0.8994396481072108)</f>
        <v>0.8994396481</v>
      </c>
      <c r="AF3087" s="2">
        <f>IFERROR(__xludf.DUMMYFUNCTION("IFERROR(ABS(R3087-AVERAGE(FILTER(R3087:R7155,AA3087:AA7155=""Neighbor""))) / STDEV(FILTER(R3087:R7155, AA3087:AA7155 =""Neighbor"")), """")"),0.33478134581782887)</f>
        <v>0.3347813458</v>
      </c>
    </row>
    <row r="3088">
      <c r="A3088" s="2" t="s">
        <v>28</v>
      </c>
      <c r="B3088" s="2" t="s">
        <v>1711</v>
      </c>
      <c r="C3088" s="2" t="s">
        <v>1818</v>
      </c>
      <c r="D3088" s="2" t="s">
        <v>12600</v>
      </c>
      <c r="E3088" s="2" t="s">
        <v>12601</v>
      </c>
      <c r="F3088" s="2">
        <v>49.0</v>
      </c>
      <c r="G3088" s="2">
        <v>122.0</v>
      </c>
      <c r="H3088" s="2" t="b">
        <v>1</v>
      </c>
      <c r="I3088" s="2">
        <v>-1.0</v>
      </c>
      <c r="J3088" s="2" t="b">
        <v>0</v>
      </c>
      <c r="K3088" s="2" t="b">
        <v>0</v>
      </c>
      <c r="L3088" s="2" t="b">
        <v>0</v>
      </c>
      <c r="M3088" s="2" t="b">
        <v>0</v>
      </c>
      <c r="N3088" s="2" t="s">
        <v>33</v>
      </c>
      <c r="O3088" s="2">
        <v>33.0</v>
      </c>
      <c r="P3088" s="2">
        <v>7.0</v>
      </c>
      <c r="Q3088" s="2">
        <v>4.0</v>
      </c>
      <c r="R3088" s="2">
        <v>1.0</v>
      </c>
      <c r="S3088" s="3" t="s">
        <v>12602</v>
      </c>
      <c r="T3088" s="2" t="s">
        <v>12603</v>
      </c>
      <c r="Y3088" s="4" t="str">
        <f>IFERROR(__xludf.DUMMYFUNCTION("""COMPUTED_VALUE"""),"6.6980643")</f>
        <v>6.6980643</v>
      </c>
      <c r="Z3088" s="4" t="str">
        <f>IFERROR(__xludf.DUMMYFUNCTION("""COMPUTED_VALUE"""),"3.2408348")</f>
        <v>3.2408348</v>
      </c>
      <c r="AA3088" s="4" t="str">
        <f t="shared" si="1"/>
        <v>Neighbor</v>
      </c>
      <c r="AC3088" s="4">
        <f>IFERROR(__xludf.DUMMYFUNCTION("IFERROR(ABS(O3088-AVERAGE(FILTER(O3088:O7156,AA3088:AA7156=""Neighbor""))) / STDEV(FILTER(O3088:O7156, AA3088:AA7156 =""Neighbor"")), """")"),0.41153122486519195)</f>
        <v>0.4115312249</v>
      </c>
      <c r="AD3088" s="4">
        <f>IFERROR(__xludf.DUMMYFUNCTION("IFERROR(ABS(P3088-AVERAGE(FILTER(O3088:P7156,AA3088:AA7156=""Neighbor""))) / STDEV(FILTER(P3088:P7156, AA3088:AA7156 =""Neighbor"")), """")"),1.0203701464893766)</f>
        <v>1.020370146</v>
      </c>
      <c r="AE3088" s="2">
        <f>IFERROR(__xludf.DUMMYFUNCTION("IFERROR(ABS(Q3088-AVERAGE(FILTER(Q3088:Q7156,AA3088:AA7156=""Neighbor""))) / STDEV(FILTER(Q3088:Q7156, AA3088:AA7156 =""Neighbor"")), """")"),0.6762094437687762)</f>
        <v>0.6762094438</v>
      </c>
      <c r="AF3088" s="2">
        <f>IFERROR(__xludf.DUMMYFUNCTION("IFERROR(ABS(R3088-AVERAGE(FILTER(R3088:R7156,AA3088:AA7156=""Neighbor""))) / STDEV(FILTER(R3088:R7156, AA3088:AA7156 =""Neighbor"")), """")"),0.7432760154854547)</f>
        <v>0.7432760155</v>
      </c>
    </row>
    <row r="3089">
      <c r="A3089" s="2" t="s">
        <v>28</v>
      </c>
      <c r="B3089" s="2" t="s">
        <v>1711</v>
      </c>
      <c r="C3089" s="2" t="s">
        <v>1818</v>
      </c>
      <c r="D3089" s="2" t="s">
        <v>12604</v>
      </c>
      <c r="E3089" s="2" t="s">
        <v>12605</v>
      </c>
      <c r="F3089" s="2">
        <v>45.0</v>
      </c>
      <c r="G3089" s="2">
        <v>95.0</v>
      </c>
      <c r="H3089" s="2" t="b">
        <v>1</v>
      </c>
      <c r="I3089" s="2">
        <v>-1.0</v>
      </c>
      <c r="J3089" s="2" t="b">
        <v>0</v>
      </c>
      <c r="K3089" s="2" t="b">
        <v>0</v>
      </c>
      <c r="L3089" s="2" t="b">
        <v>0</v>
      </c>
      <c r="M3089" s="2" t="b">
        <v>0</v>
      </c>
      <c r="N3089" s="2" t="s">
        <v>33</v>
      </c>
      <c r="O3089" s="2">
        <v>23.0</v>
      </c>
      <c r="P3089" s="2">
        <v>9.0</v>
      </c>
      <c r="Q3089" s="2">
        <v>7.0</v>
      </c>
      <c r="R3089" s="2">
        <v>0.0</v>
      </c>
      <c r="S3089" s="3" t="s">
        <v>12606</v>
      </c>
      <c r="T3089" s="2" t="s">
        <v>12607</v>
      </c>
      <c r="Y3089" s="4" t="str">
        <f>IFERROR(__xludf.DUMMYFUNCTION("""COMPUTED_VALUE"""),"6.7026333")</f>
        <v>6.7026333</v>
      </c>
      <c r="Z3089" s="4" t="str">
        <f>IFERROR(__xludf.DUMMYFUNCTION("""COMPUTED_VALUE"""),"3.2397235")</f>
        <v>3.2397235</v>
      </c>
      <c r="AA3089" s="4" t="str">
        <f t="shared" si="1"/>
        <v>Neighbor</v>
      </c>
      <c r="AC3089" s="4">
        <f>IFERROR(__xludf.DUMMYFUNCTION("IFERROR(ABS(O3089-AVERAGE(FILTER(O3089:O7157,AA3089:AA7157=""Neighbor""))) / STDEV(FILTER(O3089:O7157, AA3089:AA7157 =""Neighbor"")), """")"),0.7234920678288158)</f>
        <v>0.7234920678</v>
      </c>
      <c r="AD3089" s="4">
        <f>IFERROR(__xludf.DUMMYFUNCTION("IFERROR(ABS(P3089-AVERAGE(FILTER(O3089:P7157,AA3089:AA7157=""Neighbor""))) / STDEV(FILTER(P3089:P7157, AA3089:AA7157 =""Neighbor"")), """")"),0.9387267080888724)</f>
        <v>0.9387267081</v>
      </c>
      <c r="AE3089" s="2">
        <f>IFERROR(__xludf.DUMMYFUNCTION("IFERROR(ABS(Q3089-AVERAGE(FILTER(Q3089:Q7157,AA3089:AA7157=""Neighbor""))) / STDEV(FILTER(Q3089:Q7157, AA3089:AA7157 =""Neighbor"")), """")"),0.5103231163872558)</f>
        <v>0.5103231164</v>
      </c>
      <c r="AF3089" s="2">
        <f>IFERROR(__xludf.DUMMYFUNCTION("IFERROR(ABS(R3089-AVERAGE(FILTER(R3089:R7157,AA3089:AA7157=""Neighbor""))) / STDEV(FILTER(R3089:R7157, AA3089:AA7157 =""Neighbor"")), """")"),0.332445363712006)</f>
        <v>0.3324453637</v>
      </c>
    </row>
    <row r="3090">
      <c r="A3090" s="2" t="s">
        <v>28</v>
      </c>
      <c r="B3090" s="2" t="s">
        <v>1711</v>
      </c>
      <c r="C3090" s="2" t="s">
        <v>1818</v>
      </c>
      <c r="D3090" s="2" t="s">
        <v>12608</v>
      </c>
      <c r="E3090" s="2" t="s">
        <v>12609</v>
      </c>
      <c r="F3090" s="2">
        <v>170.0</v>
      </c>
      <c r="G3090" s="2">
        <v>750.0</v>
      </c>
      <c r="H3090" s="2" t="b">
        <v>1</v>
      </c>
      <c r="I3090" s="2">
        <v>-1.0</v>
      </c>
      <c r="J3090" s="2" t="b">
        <v>0</v>
      </c>
      <c r="K3090" s="2" t="b">
        <v>1</v>
      </c>
      <c r="L3090" s="2" t="b">
        <v>0</v>
      </c>
      <c r="M3090" s="2" t="b">
        <v>0</v>
      </c>
      <c r="N3090" s="2" t="s">
        <v>33</v>
      </c>
      <c r="O3090" s="2">
        <v>100.0</v>
      </c>
      <c r="P3090" s="2">
        <v>55.0</v>
      </c>
      <c r="Q3090" s="2">
        <v>7.0</v>
      </c>
      <c r="R3090" s="2">
        <v>1.0</v>
      </c>
      <c r="S3090" s="3" t="s">
        <v>12610</v>
      </c>
      <c r="T3090" s="2" t="s">
        <v>12611</v>
      </c>
      <c r="Y3090" s="4" t="str">
        <f>IFERROR(__xludf.DUMMYFUNCTION("""COMPUTED_VALUE"""),"6.6926435")</f>
        <v>6.6926435</v>
      </c>
      <c r="Z3090" s="4" t="str">
        <f>IFERROR(__xludf.DUMMYFUNCTION("""COMPUTED_VALUE"""),"3.236561")</f>
        <v>3.236561</v>
      </c>
      <c r="AA3090" s="4" t="str">
        <f t="shared" si="1"/>
        <v>Not Neighbor</v>
      </c>
      <c r="AC3090" s="4">
        <f>IFERROR(__xludf.DUMMYFUNCTION("IFERROR(ABS(O3090-AVERAGE(FILTER(O3090:O7158,AA3090:AA7158=""Neighbor""))) / STDEV(FILTER(O3090:O7158, AA3090:AA7158 =""Neighbor"")), """")"),1.6701129375434913)</f>
        <v>1.670112938</v>
      </c>
      <c r="AD3090" s="4">
        <f>IFERROR(__xludf.DUMMYFUNCTION("IFERROR(ABS(P3090-AVERAGE(FILTER(O3090:P7158,AA3090:AA7158=""Neighbor""))) / STDEV(FILTER(P3090:P7158, AA3090:AA7158 =""Neighbor"")), """")"),0.9408209536469097)</f>
        <v>0.9408209536</v>
      </c>
      <c r="AE3090" s="2">
        <f>IFERROR(__xludf.DUMMYFUNCTION("IFERROR(ABS(Q3090-AVERAGE(FILTER(Q3090:Q7158,AA3090:AA7158=""Neighbor""))) / STDEV(FILTER(Q3090:Q7158, AA3090:AA7158 =""Neighbor"")), """")"),0.5112429488592267)</f>
        <v>0.5112429489</v>
      </c>
      <c r="AF3090" s="2">
        <f>IFERROR(__xludf.DUMMYFUNCTION("IFERROR(ABS(R3090-AVERAGE(FILTER(R3090:R7158,AA3090:AA7158=""Neighbor""))) / STDEV(FILTER(R3090:R7158, AA3090:AA7158 =""Neighbor"")), """")"),0.7430226741435617)</f>
        <v>0.7430226741</v>
      </c>
    </row>
    <row r="3091">
      <c r="A3091" s="2" t="s">
        <v>28</v>
      </c>
      <c r="B3091" s="2" t="s">
        <v>1711</v>
      </c>
      <c r="C3091" s="2" t="s">
        <v>1943</v>
      </c>
      <c r="D3091" s="2" t="s">
        <v>12612</v>
      </c>
      <c r="E3091" s="2" t="s">
        <v>12613</v>
      </c>
      <c r="F3091" s="2">
        <v>100.0</v>
      </c>
      <c r="G3091" s="2">
        <v>190.0</v>
      </c>
      <c r="H3091" s="2" t="b">
        <v>1</v>
      </c>
      <c r="I3091" s="2">
        <v>-1.0</v>
      </c>
      <c r="J3091" s="2" t="b">
        <v>0</v>
      </c>
      <c r="K3091" s="2" t="b">
        <v>0</v>
      </c>
      <c r="L3091" s="2" t="b">
        <v>0</v>
      </c>
      <c r="M3091" s="2" t="b">
        <v>0</v>
      </c>
      <c r="N3091" s="2" t="s">
        <v>33</v>
      </c>
      <c r="O3091" s="2">
        <v>34.0</v>
      </c>
      <c r="P3091" s="2">
        <v>9.0</v>
      </c>
      <c r="Q3091" s="2">
        <v>38.0</v>
      </c>
      <c r="R3091" s="2">
        <v>0.0</v>
      </c>
      <c r="S3091" s="3" t="s">
        <v>12614</v>
      </c>
      <c r="T3091" s="2" t="s">
        <v>12615</v>
      </c>
      <c r="Y3091" s="4" t="str">
        <f>IFERROR(__xludf.DUMMYFUNCTION("""COMPUTED_VALUE"""),"6.7141464")</f>
        <v>6.7141464</v>
      </c>
      <c r="Z3091" s="4" t="str">
        <f>IFERROR(__xludf.DUMMYFUNCTION("""COMPUTED_VALUE"""),"3.2380593")</f>
        <v>3.2380593</v>
      </c>
      <c r="AA3091" s="4" t="str">
        <f t="shared" si="1"/>
        <v>Not Neighbor</v>
      </c>
      <c r="AC3091" s="4">
        <f>IFERROR(__xludf.DUMMYFUNCTION("IFERROR(ABS(O3091-AVERAGE(FILTER(O3091:O7159,AA3091:AA7159=""Neighbor""))) / STDEV(FILTER(O3091:O7159, AA3091:AA7159 =""Neighbor"")), """")"),0.38290133310315067)</f>
        <v>0.3829013331</v>
      </c>
      <c r="AD3091" s="4">
        <f>IFERROR(__xludf.DUMMYFUNCTION("IFERROR(ABS(P3091-AVERAGE(FILTER(O3091:P7159,AA3091:AA7159=""Neighbor""))) / STDEV(FILTER(P3091:P7159, AA3091:AA7159 =""Neighbor"")), """")"),0.9394155196317518)</f>
        <v>0.9394155196</v>
      </c>
      <c r="AE3091" s="2">
        <f>IFERROR(__xludf.DUMMYFUNCTION("IFERROR(ABS(Q3091-AVERAGE(FILTER(Q3091:Q7159,AA3091:AA7159=""Neighbor""))) / STDEV(FILTER(Q3091:Q7159, AA3091:AA7159 =""Neighbor"")), """")"),1.2156185758700813)</f>
        <v>1.215618576</v>
      </c>
      <c r="AF3091" s="2">
        <f>IFERROR(__xludf.DUMMYFUNCTION("IFERROR(ABS(R3091-AVERAGE(FILTER(R3091:R7159,AA3091:AA7159=""Neighbor""))) / STDEV(FILTER(R3091:R7159, AA3091:AA7159 =""Neighbor"")), """")"),0.3329728166286501)</f>
        <v>0.3329728166</v>
      </c>
    </row>
    <row r="3092">
      <c r="A3092" s="2" t="s">
        <v>28</v>
      </c>
      <c r="B3092" s="2" t="s">
        <v>1711</v>
      </c>
      <c r="C3092" s="2" t="s">
        <v>1943</v>
      </c>
      <c r="D3092" s="2" t="s">
        <v>12616</v>
      </c>
      <c r="E3092" s="2" t="s">
        <v>12617</v>
      </c>
      <c r="F3092" s="2">
        <v>204.0</v>
      </c>
      <c r="G3092" s="2">
        <v>689.0</v>
      </c>
      <c r="H3092" s="2" t="b">
        <v>1</v>
      </c>
      <c r="I3092" s="2">
        <v>-1.0</v>
      </c>
      <c r="J3092" s="2" t="b">
        <v>0</v>
      </c>
      <c r="K3092" s="2" t="b">
        <v>0</v>
      </c>
      <c r="L3092" s="2" t="b">
        <v>0</v>
      </c>
      <c r="M3092" s="2" t="b">
        <v>0</v>
      </c>
      <c r="N3092" s="2" t="s">
        <v>33</v>
      </c>
      <c r="O3092" s="2">
        <v>96.0</v>
      </c>
      <c r="P3092" s="2">
        <v>45.0</v>
      </c>
      <c r="Q3092" s="2">
        <v>24.0</v>
      </c>
      <c r="R3092" s="2">
        <v>1.0</v>
      </c>
      <c r="S3092" s="3" t="s">
        <v>12618</v>
      </c>
      <c r="T3092" s="2" t="s">
        <v>12619</v>
      </c>
      <c r="Y3092" s="4" t="str">
        <f>IFERROR(__xludf.DUMMYFUNCTION("""COMPUTED_VALUE"""),"6.6117188")</f>
        <v>6.6117188</v>
      </c>
      <c r="Z3092" s="4" t="str">
        <f>IFERROR(__xludf.DUMMYFUNCTION("""COMPUTED_VALUE"""),"3.0576199")</f>
        <v>3.0576199</v>
      </c>
      <c r="AA3092" s="4" t="str">
        <f t="shared" si="1"/>
        <v>Not Neighbor</v>
      </c>
      <c r="AC3092" s="4">
        <f>IFERROR(__xludf.DUMMYFUNCTION("IFERROR(ABS(O3092-AVERAGE(FILTER(O3092:O7160,AA3092:AA7160=""Neighbor""))) / STDEV(FILTER(O3092:O7160, AA3092:AA7160 =""Neighbor"")), """")"),1.5456878302315735)</f>
        <v>1.54568783</v>
      </c>
      <c r="AD3092" s="4">
        <f>IFERROR(__xludf.DUMMYFUNCTION("IFERROR(ABS(P3092-AVERAGE(FILTER(O3092:P7160,AA3092:AA7160=""Neighbor""))) / STDEV(FILTER(P3092:P7160, AA3092:AA7160 =""Neighbor"")), """")"),0.5320738942385049)</f>
        <v>0.5320738942</v>
      </c>
      <c r="AE3092" s="2">
        <f>IFERROR(__xludf.DUMMYFUNCTION("IFERROR(ABS(Q3092-AVERAGE(FILTER(Q3092:Q7160,AA3092:AA7160=""Neighbor""))) / STDEV(FILTER(Q3092:Q7160, AA3092:AA7160 =""Neighbor"")), """")"),0.4357456292181357)</f>
        <v>0.4357456292</v>
      </c>
      <c r="AF3092" s="2">
        <f>IFERROR(__xludf.DUMMYFUNCTION("IFERROR(ABS(R3092-AVERAGE(FILTER(R3092:R7160,AA3092:AA7160=""Neighbor""))) / STDEV(FILTER(R3092:R7160, AA3092:AA7160 =""Neighbor"")), """")"),0.7430226741435617)</f>
        <v>0.7430226741</v>
      </c>
    </row>
    <row r="3093">
      <c r="A3093" s="2" t="s">
        <v>28</v>
      </c>
      <c r="B3093" s="2" t="s">
        <v>1711</v>
      </c>
      <c r="C3093" s="2" t="s">
        <v>1943</v>
      </c>
      <c r="D3093" s="2" t="s">
        <v>12620</v>
      </c>
      <c r="E3093" s="2" t="s">
        <v>12621</v>
      </c>
      <c r="F3093" s="2">
        <v>156.0</v>
      </c>
      <c r="G3093" s="2">
        <v>750.0</v>
      </c>
      <c r="H3093" s="2" t="b">
        <v>1</v>
      </c>
      <c r="I3093" s="2">
        <v>-1.0</v>
      </c>
      <c r="J3093" s="2" t="b">
        <v>0</v>
      </c>
      <c r="K3093" s="2" t="b">
        <v>0</v>
      </c>
      <c r="L3093" s="2" t="b">
        <v>0</v>
      </c>
      <c r="M3093" s="2" t="b">
        <v>0</v>
      </c>
      <c r="N3093" s="2" t="s">
        <v>33</v>
      </c>
      <c r="O3093" s="2">
        <v>44.0</v>
      </c>
      <c r="P3093" s="2">
        <v>77.0</v>
      </c>
      <c r="Q3093" s="2">
        <v>27.0</v>
      </c>
      <c r="R3093" s="2">
        <v>2.0</v>
      </c>
      <c r="S3093" s="3" t="s">
        <v>12622</v>
      </c>
      <c r="T3093" s="2" t="s">
        <v>12623</v>
      </c>
      <c r="Y3093" s="4" t="str">
        <f>IFERROR(__xludf.DUMMYFUNCTION("""COMPUTED_VALUE"""),"6.710554")</f>
        <v>6.710554</v>
      </c>
      <c r="Z3093" s="4" t="str">
        <f>IFERROR(__xludf.DUMMYFUNCTION("""COMPUTED_VALUE"""),"3.2447509")</f>
        <v>3.2447509</v>
      </c>
      <c r="AA3093" s="4" t="str">
        <f t="shared" si="1"/>
        <v>Not Neighbor</v>
      </c>
      <c r="AC3093" s="4">
        <f>IFERROR(__xludf.DUMMYFUNCTION("IFERROR(ABS(O3093-AVERAGE(FILTER(O3093:O7161,AA3093:AA7161=""Neighbor""))) / STDEV(FILTER(O3093:O7161, AA3093:AA7161 =""Neighbor"")), """")"),0.07183856482335645)</f>
        <v>0.07183856482</v>
      </c>
      <c r="AD3093" s="4">
        <f>IFERROR(__xludf.DUMMYFUNCTION("IFERROR(ABS(P3093-AVERAGE(FILTER(O3093:P7161,AA3093:AA7161=""Neighbor""))) / STDEV(FILTER(P3093:P7161, AA3093:AA7161 =""Neighbor"")), """")"),1.8400644843453997)</f>
        <v>1.840064484</v>
      </c>
      <c r="AE3093" s="2">
        <f>IFERROR(__xludf.DUMMYFUNCTION("IFERROR(ABS(Q3093-AVERAGE(FILTER(Q3093:Q7161,AA3093:AA7161=""Neighbor""))) / STDEV(FILTER(Q3093:Q7161, AA3093:AA7161 =""Neighbor"")), """")"),0.6028612606435526)</f>
        <v>0.6028612606</v>
      </c>
      <c r="AF3093" s="2">
        <f>IFERROR(__xludf.DUMMYFUNCTION("IFERROR(ABS(R3093-AVERAGE(FILTER(R3093:R7161,AA3093:AA7161=""Neighbor""))) / STDEV(FILTER(R3093:R7161, AA3093:AA7161 =""Neighbor"")), """")"),1.8190181649157737)</f>
        <v>1.819018165</v>
      </c>
    </row>
    <row r="3094">
      <c r="A3094" s="2" t="s">
        <v>28</v>
      </c>
      <c r="B3094" s="2" t="s">
        <v>1711</v>
      </c>
      <c r="C3094" s="2" t="s">
        <v>1943</v>
      </c>
      <c r="D3094" s="2" t="s">
        <v>12624</v>
      </c>
      <c r="E3094" s="2" t="s">
        <v>12625</v>
      </c>
      <c r="F3094" s="2">
        <v>149.0</v>
      </c>
      <c r="G3094" s="2">
        <v>296.0</v>
      </c>
      <c r="H3094" s="2" t="b">
        <v>1</v>
      </c>
      <c r="I3094" s="2">
        <v>-1.0</v>
      </c>
      <c r="J3094" s="2" t="b">
        <v>0</v>
      </c>
      <c r="K3094" s="2" t="b">
        <v>0</v>
      </c>
      <c r="L3094" s="2" t="b">
        <v>0</v>
      </c>
      <c r="M3094" s="2" t="b">
        <v>0</v>
      </c>
      <c r="N3094" s="2" t="s">
        <v>33</v>
      </c>
      <c r="O3094" s="2">
        <v>90.0</v>
      </c>
      <c r="P3094" s="2">
        <v>30.0</v>
      </c>
      <c r="Q3094" s="2">
        <v>7.0</v>
      </c>
      <c r="R3094" s="2">
        <v>0.0</v>
      </c>
      <c r="S3094" s="3" t="s">
        <v>12626</v>
      </c>
      <c r="T3094" s="2" t="s">
        <v>12627</v>
      </c>
      <c r="Y3094" s="4" t="str">
        <f>IFERROR(__xludf.DUMMYFUNCTION("""COMPUTED_VALUE"""),"6.6722812")</f>
        <v>6.6722812</v>
      </c>
      <c r="Z3094" s="4" t="str">
        <f>IFERROR(__xludf.DUMMYFUNCTION("""COMPUTED_VALUE"""),"3.2533689")</f>
        <v>3.2533689</v>
      </c>
      <c r="AA3094" s="4" t="str">
        <f t="shared" si="1"/>
        <v>Not Neighbor</v>
      </c>
      <c r="AC3094" s="4">
        <f>IFERROR(__xludf.DUMMYFUNCTION("IFERROR(ABS(O3094-AVERAGE(FILTER(O3094:O7162,AA3094:AA7162=""Neighbor""))) / STDEV(FILTER(O3094:O7162, AA3094:AA7162 =""Neighbor"")), """")"),1.359050169263697)</f>
        <v>1.359050169</v>
      </c>
      <c r="AD3094" s="4">
        <f>IFERROR(__xludf.DUMMYFUNCTION("IFERROR(ABS(P3094-AVERAGE(FILTER(O3094:P7162,AA3094:AA7162=""Neighbor""))) / STDEV(FILTER(P3094:P7162, AA3094:AA7162 =""Neighbor"")), """")"),0.08104669487410203)</f>
        <v>0.08104669487</v>
      </c>
      <c r="AE3094" s="2">
        <f>IFERROR(__xludf.DUMMYFUNCTION("IFERROR(ABS(Q3094-AVERAGE(FILTER(Q3094:Q7162,AA3094:AA7162=""Neighbor""))) / STDEV(FILTER(Q3094:Q7162, AA3094:AA7162 =""Neighbor"")), """")"),0.5112429488592267)</f>
        <v>0.5112429489</v>
      </c>
      <c r="AF3094" s="2">
        <f>IFERROR(__xludf.DUMMYFUNCTION("IFERROR(ABS(R3094-AVERAGE(FILTER(R3094:R7162,AA3094:AA7162=""Neighbor""))) / STDEV(FILTER(R3094:R7162, AA3094:AA7162 =""Neighbor"")), """")"),0.3329728166286501)</f>
        <v>0.3329728166</v>
      </c>
    </row>
    <row r="3095">
      <c r="A3095" s="2" t="s">
        <v>28</v>
      </c>
      <c r="B3095" s="2" t="s">
        <v>1711</v>
      </c>
      <c r="C3095" s="2" t="s">
        <v>1943</v>
      </c>
      <c r="D3095" s="2" t="s">
        <v>12628</v>
      </c>
      <c r="E3095" s="2" t="s">
        <v>12629</v>
      </c>
      <c r="F3095" s="2">
        <v>194.0</v>
      </c>
      <c r="G3095" s="2">
        <v>750.0</v>
      </c>
      <c r="H3095" s="2" t="b">
        <v>1</v>
      </c>
      <c r="I3095" s="2">
        <v>-1.0</v>
      </c>
      <c r="J3095" s="2" t="b">
        <v>0</v>
      </c>
      <c r="K3095" s="2" t="b">
        <v>0</v>
      </c>
      <c r="L3095" s="2" t="b">
        <v>0</v>
      </c>
      <c r="M3095" s="2" t="b">
        <v>0</v>
      </c>
      <c r="N3095" s="2" t="s">
        <v>33</v>
      </c>
      <c r="O3095" s="2">
        <v>89.0</v>
      </c>
      <c r="P3095" s="2">
        <v>50.0</v>
      </c>
      <c r="Q3095" s="2">
        <v>27.0</v>
      </c>
      <c r="R3095" s="2">
        <v>0.0</v>
      </c>
      <c r="S3095" s="3" t="s">
        <v>12630</v>
      </c>
      <c r="T3095" s="2" t="s">
        <v>12631</v>
      </c>
      <c r="Y3095" s="4" t="str">
        <f>IFERROR(__xludf.DUMMYFUNCTION("""COMPUTED_VALUE"""),"6.710554")</f>
        <v>6.710554</v>
      </c>
      <c r="Z3095" s="4" t="str">
        <f>IFERROR(__xludf.DUMMYFUNCTION("""COMPUTED_VALUE"""),"3.2447509")</f>
        <v>3.2447509</v>
      </c>
      <c r="AA3095" s="4" t="str">
        <f t="shared" si="1"/>
        <v>Neighbor</v>
      </c>
      <c r="AC3095" s="4">
        <f>IFERROR(__xludf.DUMMYFUNCTION("IFERROR(ABS(O3095-AVERAGE(FILTER(O3095:O7163,AA3095:AA7163=""Neighbor""))) / STDEV(FILTER(O3095:O7163, AA3095:AA7163 =""Neighbor"")), """")"),1.3279438924357176)</f>
        <v>1.327943892</v>
      </c>
      <c r="AD3095" s="4">
        <f>IFERROR(__xludf.DUMMYFUNCTION("IFERROR(ABS(P3095-AVERAGE(FILTER(O3095:P7163,AA3095:AA7163=""Neighbor""))) / STDEV(FILTER(P3095:P7163, AA3095:AA7163 =""Neighbor"")), """")"),0.7364474239427073)</f>
        <v>0.7364474239</v>
      </c>
      <c r="AE3095" s="2">
        <f>IFERROR(__xludf.DUMMYFUNCTION("IFERROR(ABS(Q3095-AVERAGE(FILTER(Q3095:Q7163,AA3095:AA7163=""Neighbor""))) / STDEV(FILTER(Q3095:Q7163, AA3095:AA7163 =""Neighbor"")), """")"),0.6028612606435526)</f>
        <v>0.6028612606</v>
      </c>
      <c r="AF3095" s="2">
        <f>IFERROR(__xludf.DUMMYFUNCTION("IFERROR(ABS(R3095-AVERAGE(FILTER(R3095:R7163,AA3095:AA7163=""Neighbor""))) / STDEV(FILTER(R3095:R7163, AA3095:AA7163 =""Neighbor"")), """")"),0.3329728166286501)</f>
        <v>0.3329728166</v>
      </c>
    </row>
    <row r="3096">
      <c r="A3096" s="2" t="s">
        <v>28</v>
      </c>
      <c r="B3096" s="2" t="s">
        <v>1711</v>
      </c>
      <c r="C3096" s="2" t="s">
        <v>1943</v>
      </c>
      <c r="D3096" s="2" t="s">
        <v>12632</v>
      </c>
      <c r="E3096" s="2" t="s">
        <v>12633</v>
      </c>
      <c r="F3096" s="2">
        <v>218.0</v>
      </c>
      <c r="G3096" s="2">
        <v>750.0</v>
      </c>
      <c r="H3096" s="2" t="b">
        <v>1</v>
      </c>
      <c r="I3096" s="2">
        <v>-1.0</v>
      </c>
      <c r="J3096" s="2" t="b">
        <v>0</v>
      </c>
      <c r="K3096" s="2" t="b">
        <v>0</v>
      </c>
      <c r="L3096" s="2" t="b">
        <v>0</v>
      </c>
      <c r="M3096" s="2" t="b">
        <v>0</v>
      </c>
      <c r="N3096" s="2" t="s">
        <v>33</v>
      </c>
      <c r="O3096" s="2">
        <v>120.0</v>
      </c>
      <c r="P3096" s="2">
        <v>50.0</v>
      </c>
      <c r="Q3096" s="2">
        <v>30.0</v>
      </c>
      <c r="R3096" s="2">
        <v>1.0</v>
      </c>
      <c r="S3096" s="3" t="s">
        <v>12634</v>
      </c>
      <c r="T3096" s="2" t="s">
        <v>12635</v>
      </c>
      <c r="Y3096" s="4" t="str">
        <f>IFERROR(__xludf.DUMMYFUNCTION("""COMPUTED_VALUE"""),"6.710554")</f>
        <v>6.710554</v>
      </c>
      <c r="Z3096" s="4" t="str">
        <f>IFERROR(__xludf.DUMMYFUNCTION("""COMPUTED_VALUE"""),"3.2447509")</f>
        <v>3.2447509</v>
      </c>
      <c r="AA3096" s="4" t="str">
        <f t="shared" si="1"/>
        <v>Not Neighbor</v>
      </c>
      <c r="AC3096" s="4">
        <f>IFERROR(__xludf.DUMMYFUNCTION("IFERROR(ABS(O3096-AVERAGE(FILTER(O3096:O7164,AA3096:AA7164=""Neighbor""))) / STDEV(FILTER(O3096:O7164, AA3096:AA7164 =""Neighbor"")), """")"),2.2986011764234635)</f>
        <v>2.298601176</v>
      </c>
      <c r="AD3096" s="4">
        <f>IFERROR(__xludf.DUMMYFUNCTION("IFERROR(ABS(P3096-AVERAGE(FILTER(O3096:P7164,AA3096:AA7164=""Neighbor""))) / STDEV(FILTER(P3096:P7164, AA3096:AA7164 =""Neighbor"")), """")"),0.7416590059353732)</f>
        <v>0.7416590059</v>
      </c>
      <c r="AE3096" s="2">
        <f>IFERROR(__xludf.DUMMYFUNCTION("IFERROR(ABS(Q3096-AVERAGE(FILTER(Q3096:Q7164,AA3096:AA7164=""Neighbor""))) / STDEV(FILTER(Q3096:Q7164, AA3096:AA7164 =""Neighbor"")), """")"),0.771003546894857)</f>
        <v>0.7710035469</v>
      </c>
      <c r="AF3096" s="2">
        <f>IFERROR(__xludf.DUMMYFUNCTION("IFERROR(ABS(R3096-AVERAGE(FILTER(R3096:R7164,AA3096:AA7164=""Neighbor""))) / STDEV(FILTER(R3096:R7164, AA3096:AA7164 =""Neighbor"")), """")"),0.7411173087558989)</f>
        <v>0.7411173088</v>
      </c>
    </row>
    <row r="3097">
      <c r="A3097" s="2" t="s">
        <v>28</v>
      </c>
      <c r="B3097" s="2" t="s">
        <v>1711</v>
      </c>
      <c r="C3097" s="2" t="s">
        <v>1943</v>
      </c>
      <c r="D3097" s="2" t="s">
        <v>12636</v>
      </c>
      <c r="E3097" s="2" t="s">
        <v>12637</v>
      </c>
      <c r="F3097" s="2">
        <v>230.0</v>
      </c>
      <c r="G3097" s="2">
        <v>448.0</v>
      </c>
      <c r="H3097" s="2" t="b">
        <v>1</v>
      </c>
      <c r="I3097" s="2">
        <v>-1.0</v>
      </c>
      <c r="J3097" s="2" t="b">
        <v>0</v>
      </c>
      <c r="K3097" s="2" t="b">
        <v>1</v>
      </c>
      <c r="L3097" s="2" t="b">
        <v>0</v>
      </c>
      <c r="M3097" s="2" t="b">
        <v>0</v>
      </c>
      <c r="N3097" s="2" t="s">
        <v>33</v>
      </c>
      <c r="O3097" s="2">
        <v>141.0</v>
      </c>
      <c r="P3097" s="2">
        <v>27.0</v>
      </c>
      <c r="Q3097" s="2">
        <v>19.0</v>
      </c>
      <c r="R3097" s="2">
        <v>0.0</v>
      </c>
      <c r="S3097" s="3" t="s">
        <v>12638</v>
      </c>
      <c r="T3097" s="2" t="s">
        <v>12639</v>
      </c>
      <c r="Y3097" s="4" t="str">
        <f>IFERROR(__xludf.DUMMYFUNCTION("""COMPUTED_VALUE"""),"6.748073")</f>
        <v>6.748073</v>
      </c>
      <c r="Z3097" s="4" t="str">
        <f>IFERROR(__xludf.DUMMYFUNCTION("""COMPUTED_VALUE"""),"3.236567")</f>
        <v>3.236567</v>
      </c>
      <c r="AA3097" s="4" t="str">
        <f t="shared" si="1"/>
        <v>Not Neighbor</v>
      </c>
      <c r="AC3097" s="4">
        <f>IFERROR(__xludf.DUMMYFUNCTION("IFERROR(ABS(O3097-AVERAGE(FILTER(O3097:O7165,AA3097:AA7165=""Neighbor""))) / STDEV(FILTER(O3097:O7165, AA3097:AA7165 =""Neighbor"")), """")"),2.952557551138404)</f>
        <v>2.952557551</v>
      </c>
      <c r="AD3097" s="4">
        <f>IFERROR(__xludf.DUMMYFUNCTION("IFERROR(ABS(P3097-AVERAGE(FILTER(O3097:P7165,AA3097:AA7165=""Neighbor""))) / STDEV(FILTER(P3097:P7165, AA3097:AA7165 =""Neighbor"")), """")"),0.19948069814813485)</f>
        <v>0.1994806981</v>
      </c>
      <c r="AE3097" s="2">
        <f>IFERROR(__xludf.DUMMYFUNCTION("IFERROR(ABS(Q3097-AVERAGE(FILTER(Q3097:Q7165,AA3097:AA7165=""Neighbor""))) / STDEV(FILTER(Q3097:Q7165, AA3097:AA7165 =""Neighbor"")), """")"),0.1588065799764764)</f>
        <v>0.15880658</v>
      </c>
      <c r="AF3097" s="2">
        <f>IFERROR(__xludf.DUMMYFUNCTION("IFERROR(ABS(R3097-AVERAGE(FILTER(R3097:R7165,AA3097:AA7165=""Neighbor""))) / STDEV(FILTER(R3097:R7165, AA3097:AA7165 =""Neighbor"")), """")"),0.3335027889401545)</f>
        <v>0.3335027889</v>
      </c>
    </row>
    <row r="3098">
      <c r="A3098" s="2" t="s">
        <v>28</v>
      </c>
      <c r="B3098" s="2" t="s">
        <v>1711</v>
      </c>
      <c r="C3098" s="2" t="s">
        <v>1943</v>
      </c>
      <c r="D3098" s="2" t="s">
        <v>12640</v>
      </c>
      <c r="E3098" s="2" t="s">
        <v>12641</v>
      </c>
      <c r="F3098" s="2">
        <v>130.0</v>
      </c>
      <c r="G3098" s="2">
        <v>211.0</v>
      </c>
      <c r="H3098" s="2" t="b">
        <v>1</v>
      </c>
      <c r="I3098" s="2">
        <v>-1.0</v>
      </c>
      <c r="J3098" s="2" t="b">
        <v>0</v>
      </c>
      <c r="K3098" s="2" t="b">
        <v>0</v>
      </c>
      <c r="L3098" s="2" t="b">
        <v>0</v>
      </c>
      <c r="M3098" s="2" t="b">
        <v>0</v>
      </c>
      <c r="N3098" s="2" t="s">
        <v>33</v>
      </c>
      <c r="O3098" s="2">
        <v>53.0</v>
      </c>
      <c r="P3098" s="2">
        <v>42.0</v>
      </c>
      <c r="Q3098" s="2">
        <v>10.0</v>
      </c>
      <c r="R3098" s="2">
        <v>0.0</v>
      </c>
      <c r="S3098" s="3" t="s">
        <v>12642</v>
      </c>
      <c r="T3098" s="2" t="s">
        <v>12643</v>
      </c>
      <c r="Y3098" s="4" t="str">
        <f>IFERROR(__xludf.DUMMYFUNCTION("""COMPUTED_VALUE"""),"6.7152994")</f>
        <v>6.7152994</v>
      </c>
      <c r="Z3098" s="4" t="str">
        <f>IFERROR(__xludf.DUMMYFUNCTION("""COMPUTED_VALUE"""),"3.247407")</f>
        <v>3.247407</v>
      </c>
      <c r="AA3098" s="4" t="str">
        <f t="shared" si="1"/>
        <v>Neighbor</v>
      </c>
      <c r="AC3098" s="4">
        <f>IFERROR(__xludf.DUMMYFUNCTION("IFERROR(ABS(O3098-AVERAGE(FILTER(O3098:O7166,AA3098:AA7166=""Neighbor""))) / STDEV(FILTER(O3098:O7166, AA3098:AA7166 =""Neighbor"")), """")"),0.21216893328532077)</f>
        <v>0.2121689333</v>
      </c>
      <c r="AD3098" s="4">
        <f>IFERROR(__xludf.DUMMYFUNCTION("IFERROR(ABS(P3098-AVERAGE(FILTER(O3098:P7166,AA3098:AA7166=""Neighbor""))) / STDEV(FILTER(P3098:P7166, AA3098:AA7166 =""Neighbor"")), """")"),0.4143060653845878)</f>
        <v>0.4143060654</v>
      </c>
      <c r="AE3098" s="2">
        <f>IFERROR(__xludf.DUMMYFUNCTION("IFERROR(ABS(Q3098-AVERAGE(FILTER(Q3098:Q7166,AA3098:AA7166=""Neighbor""))) / STDEV(FILTER(Q3098:Q7166, AA3098:AA7166 =""Neighbor"")), """")"),0.3420818475021986)</f>
        <v>0.3420818475</v>
      </c>
      <c r="AF3098" s="2">
        <f>IFERROR(__xludf.DUMMYFUNCTION("IFERROR(ABS(R3098-AVERAGE(FILTER(R3098:R7166,AA3098:AA7166=""Neighbor""))) / STDEV(FILTER(R3098:R7166, AA3098:AA7166 =""Neighbor"")), """")"),0.3335027889401545)</f>
        <v>0.3335027889</v>
      </c>
    </row>
    <row r="3099">
      <c r="A3099" s="2" t="s">
        <v>28</v>
      </c>
      <c r="B3099" s="2" t="s">
        <v>1711</v>
      </c>
      <c r="C3099" s="2" t="s">
        <v>1943</v>
      </c>
      <c r="D3099" s="2" t="s">
        <v>12644</v>
      </c>
      <c r="E3099" s="2" t="s">
        <v>12645</v>
      </c>
      <c r="F3099" s="2">
        <v>162.0</v>
      </c>
      <c r="G3099" s="2">
        <v>394.0</v>
      </c>
      <c r="H3099" s="2" t="b">
        <v>1</v>
      </c>
      <c r="I3099" s="2">
        <v>-1.0</v>
      </c>
      <c r="J3099" s="2" t="b">
        <v>0</v>
      </c>
      <c r="K3099" s="2" t="b">
        <v>0</v>
      </c>
      <c r="L3099" s="2" t="b">
        <v>0</v>
      </c>
      <c r="M3099" s="2" t="b">
        <v>0</v>
      </c>
      <c r="N3099" s="2" t="s">
        <v>33</v>
      </c>
      <c r="O3099" s="2">
        <v>52.0</v>
      </c>
      <c r="P3099" s="2">
        <v>80.0</v>
      </c>
      <c r="Q3099" s="2">
        <v>11.0</v>
      </c>
      <c r="R3099" s="2">
        <v>1.0</v>
      </c>
      <c r="S3099" s="3" t="s">
        <v>12646</v>
      </c>
      <c r="T3099" s="2" t="s">
        <v>12647</v>
      </c>
      <c r="Y3099" s="4" t="str">
        <f>IFERROR(__xludf.DUMMYFUNCTION("""COMPUTED_VALUE"""),"6.7218028")</f>
        <v>6.7218028</v>
      </c>
      <c r="Z3099" s="4" t="str">
        <f>IFERROR(__xludf.DUMMYFUNCTION("""COMPUTED_VALUE"""),"3.2516433")</f>
        <v>3.2516433</v>
      </c>
      <c r="AA3099" s="4" t="str">
        <f t="shared" si="1"/>
        <v>Not Neighbor</v>
      </c>
      <c r="AC3099" s="4">
        <f>IFERROR(__xludf.DUMMYFUNCTION("IFERROR(ABS(O3099-AVERAGE(FILTER(O3099:O7167,AA3099:AA7167=""Neighbor""))) / STDEV(FILTER(O3099:O7167, AA3099:AA7167 =""Neighbor"")), """")"),0.18138947397778185)</f>
        <v>0.181389474</v>
      </c>
      <c r="AD3099" s="4">
        <f>IFERROR(__xludf.DUMMYFUNCTION("IFERROR(ABS(P3099-AVERAGE(FILTER(O3099:P7167,AA3099:AA7167=""Neighbor""))) / STDEV(FILTER(P3099:P7167, AA3099:AA7167 =""Neighbor"")), """")"),1.971082890023092)</f>
        <v>1.97108289</v>
      </c>
      <c r="AE3099" s="2">
        <f>IFERROR(__xludf.DUMMYFUNCTION("IFERROR(ABS(Q3099-AVERAGE(FILTER(Q3099:Q7167,AA3099:AA7167=""Neighbor""))) / STDEV(FILTER(Q3099:Q7167, AA3099:AA7167 =""Neighbor"")), """")"),0.28704750987040145)</f>
        <v>0.2870475099</v>
      </c>
      <c r="AF3099" s="2">
        <f>IFERROR(__xludf.DUMMYFUNCTION("IFERROR(ABS(R3099-AVERAGE(FILTER(R3099:R7167,AA3099:AA7167=""Neighbor""))) / STDEV(FILTER(R3099:R7167, AA3099:AA7167 =""Neighbor"")), """")"),0.73920774893348)</f>
        <v>0.7392077489</v>
      </c>
    </row>
    <row r="3100">
      <c r="A3100" s="2" t="s">
        <v>28</v>
      </c>
      <c r="B3100" s="2" t="s">
        <v>1711</v>
      </c>
      <c r="C3100" s="2" t="s">
        <v>1943</v>
      </c>
      <c r="D3100" s="2" t="s">
        <v>12648</v>
      </c>
      <c r="E3100" s="2" t="s">
        <v>12649</v>
      </c>
      <c r="F3100" s="2">
        <v>184.0</v>
      </c>
      <c r="G3100" s="2">
        <v>750.0</v>
      </c>
      <c r="H3100" s="2" t="b">
        <v>1</v>
      </c>
      <c r="I3100" s="2">
        <v>-1.0</v>
      </c>
      <c r="J3100" s="2" t="b">
        <v>0</v>
      </c>
      <c r="K3100" s="2" t="b">
        <v>0</v>
      </c>
      <c r="L3100" s="2" t="b">
        <v>0</v>
      </c>
      <c r="M3100" s="2" t="b">
        <v>0</v>
      </c>
      <c r="N3100" s="2" t="s">
        <v>33</v>
      </c>
      <c r="O3100" s="2">
        <v>106.0</v>
      </c>
      <c r="P3100" s="2">
        <v>44.0</v>
      </c>
      <c r="Q3100" s="2">
        <v>23.0</v>
      </c>
      <c r="R3100" s="2">
        <v>1.0</v>
      </c>
      <c r="S3100" s="3" t="s">
        <v>12650</v>
      </c>
      <c r="T3100" s="2" t="s">
        <v>12651</v>
      </c>
      <c r="Y3100" s="4" t="str">
        <f>IFERROR(__xludf.DUMMYFUNCTION("""COMPUTED_VALUE"""),"6.7099984")</f>
        <v>6.7099984</v>
      </c>
      <c r="Z3100" s="4" t="str">
        <f>IFERROR(__xludf.DUMMYFUNCTION("""COMPUTED_VALUE"""),"3.2552223")</f>
        <v>3.2552223</v>
      </c>
      <c r="AA3100" s="4" t="str">
        <f t="shared" si="1"/>
        <v>Not Neighbor</v>
      </c>
      <c r="AC3100" s="4">
        <f>IFERROR(__xludf.DUMMYFUNCTION("IFERROR(ABS(O3100-AVERAGE(FILTER(O3100:O7168,AA3100:AA7168=""Neighbor""))) / STDEV(FILTER(O3100:O7168, AA3100:AA7168 =""Neighbor"")), """")"),1.8606760171574634)</f>
        <v>1.860676017</v>
      </c>
      <c r="AD3100" s="4">
        <f>IFERROR(__xludf.DUMMYFUNCTION("IFERROR(ABS(P3100-AVERAGE(FILTER(O3100:P7168,AA3100:AA7168=""Neighbor""))) / STDEV(FILTER(P3100:P7168, AA3100:AA7168 =""Neighbor"")), """")"),0.49798881511023135)</f>
        <v>0.4979888151</v>
      </c>
      <c r="AE3100" s="2">
        <f>IFERROR(__xludf.DUMMYFUNCTION("IFERROR(ABS(Q3100-AVERAGE(FILTER(Q3100:Q7168,AA3100:AA7168=""Neighbor""))) / STDEV(FILTER(Q3100:Q7168, AA3100:AA7168 =""Neighbor"")), """")"),0.37995351194899096)</f>
        <v>0.3799535119</v>
      </c>
      <c r="AF3100" s="2">
        <f>IFERROR(__xludf.DUMMYFUNCTION("IFERROR(ABS(R3100-AVERAGE(FILTER(R3100:R7168,AA3100:AA7168=""Neighbor""))) / STDEV(FILTER(R3100:R7168, AA3100:AA7168 =""Neighbor"")), """")"),0.73920774893348)</f>
        <v>0.7392077489</v>
      </c>
    </row>
    <row r="3101">
      <c r="A3101" s="2" t="s">
        <v>28</v>
      </c>
      <c r="B3101" s="2" t="s">
        <v>1711</v>
      </c>
      <c r="C3101" s="2" t="s">
        <v>1943</v>
      </c>
      <c r="D3101" s="2" t="s">
        <v>12652</v>
      </c>
      <c r="E3101" s="2" t="s">
        <v>12653</v>
      </c>
      <c r="F3101" s="2">
        <v>68.0</v>
      </c>
      <c r="G3101" s="2">
        <v>137.0</v>
      </c>
      <c r="H3101" s="2" t="b">
        <v>1</v>
      </c>
      <c r="I3101" s="2">
        <v>-1.0</v>
      </c>
      <c r="J3101" s="2" t="b">
        <v>0</v>
      </c>
      <c r="K3101" s="2" t="b">
        <v>1</v>
      </c>
      <c r="L3101" s="2" t="b">
        <v>0</v>
      </c>
      <c r="M3101" s="2" t="b">
        <v>0</v>
      </c>
      <c r="N3101" s="2" t="s">
        <v>33</v>
      </c>
      <c r="O3101" s="2">
        <v>32.0</v>
      </c>
      <c r="P3101" s="2">
        <v>7.0</v>
      </c>
      <c r="Q3101" s="2">
        <v>19.0</v>
      </c>
      <c r="R3101" s="2">
        <v>1.0</v>
      </c>
      <c r="S3101" s="3" t="s">
        <v>12654</v>
      </c>
      <c r="T3101" s="2" t="s">
        <v>12655</v>
      </c>
      <c r="Y3101" s="4" t="str">
        <f>IFERROR(__xludf.DUMMYFUNCTION("""COMPUTED_VALUE"""),"6.7080961")</f>
        <v>6.7080961</v>
      </c>
      <c r="Z3101" s="4" t="str">
        <f>IFERROR(__xludf.DUMMYFUNCTION("""COMPUTED_VALUE"""),"3.2440946")</f>
        <v>3.2440946</v>
      </c>
      <c r="AA3101" s="4" t="str">
        <f t="shared" si="1"/>
        <v>Not Neighbor</v>
      </c>
      <c r="AC3101" s="4">
        <f>IFERROR(__xludf.DUMMYFUNCTION("IFERROR(ABS(O3101-AVERAGE(FILTER(O3101:O7169,AA3101:AA7169=""Neighbor""))) / STDEV(FILTER(O3101:O7169, AA3101:AA7169 =""Neighbor"")), """")"),0.44056850497765576)</f>
        <v>0.440568505</v>
      </c>
      <c r="AD3101" s="4">
        <f>IFERROR(__xludf.DUMMYFUNCTION("IFERROR(ABS(P3101-AVERAGE(FILTER(O3101:P7169,AA3101:AA7169=""Neighbor""))) / STDEV(FILTER(P3101:P7169, AA3101:AA7169 =""Neighbor"")), """")"),1.0160245396613197)</f>
        <v>1.01602454</v>
      </c>
      <c r="AE3101" s="2">
        <f>IFERROR(__xludf.DUMMYFUNCTION("IFERROR(ABS(Q3101-AVERAGE(FILTER(Q3101:Q7169,AA3101:AA7169=""Neighbor""))) / STDEV(FILTER(Q3101:Q7169, AA3101:AA7169 =""Neighbor"")), """")"),0.1576198380091935)</f>
        <v>0.157619838</v>
      </c>
      <c r="AF3101" s="2">
        <f>IFERROR(__xludf.DUMMYFUNCTION("IFERROR(ABS(R3101-AVERAGE(FILTER(R3101:R7169,AA3101:AA7169=""Neighbor""))) / STDEV(FILTER(R3101:R7169, AA3101:AA7169 =""Neighbor"")), """")"),0.73920774893348)</f>
        <v>0.7392077489</v>
      </c>
    </row>
    <row r="3102">
      <c r="A3102" s="2" t="s">
        <v>28</v>
      </c>
      <c r="B3102" s="2" t="s">
        <v>1711</v>
      </c>
      <c r="C3102" s="2" t="s">
        <v>1943</v>
      </c>
      <c r="D3102" s="2" t="s">
        <v>12656</v>
      </c>
      <c r="E3102" s="2" t="s">
        <v>12657</v>
      </c>
      <c r="F3102" s="2">
        <v>99.0</v>
      </c>
      <c r="G3102" s="2">
        <v>254.0</v>
      </c>
      <c r="H3102" s="2" t="b">
        <v>1</v>
      </c>
      <c r="I3102" s="2">
        <v>-1.0</v>
      </c>
      <c r="J3102" s="2" t="b">
        <v>0</v>
      </c>
      <c r="K3102" s="2" t="b">
        <v>0</v>
      </c>
      <c r="L3102" s="2" t="b">
        <v>0</v>
      </c>
      <c r="M3102" s="2" t="b">
        <v>0</v>
      </c>
      <c r="N3102" s="2" t="s">
        <v>33</v>
      </c>
      <c r="O3102" s="2">
        <v>51.0</v>
      </c>
      <c r="P3102" s="2">
        <v>27.0</v>
      </c>
      <c r="Q3102" s="2">
        <v>9.0</v>
      </c>
      <c r="R3102" s="2">
        <v>0.0</v>
      </c>
      <c r="S3102" s="3" t="s">
        <v>12658</v>
      </c>
      <c r="T3102" s="2" t="s">
        <v>12659</v>
      </c>
      <c r="Y3102" s="4" t="str">
        <f>IFERROR(__xludf.DUMMYFUNCTION("""COMPUTED_VALUE"""),"6.6735087")</f>
        <v>6.6735087</v>
      </c>
      <c r="Z3102" s="4" t="str">
        <f>IFERROR(__xludf.DUMMYFUNCTION("""COMPUTED_VALUE"""),"3.2802548")</f>
        <v>3.2802548</v>
      </c>
      <c r="AA3102" s="4" t="str">
        <f t="shared" si="1"/>
        <v>Not Neighbor</v>
      </c>
      <c r="AC3102" s="4">
        <f>IFERROR(__xludf.DUMMYFUNCTION("IFERROR(ABS(O3102-AVERAGE(FILTER(O3102:O7170,AA3102:AA7170=""Neighbor""))) / STDEV(FILTER(O3102:O7170, AA3102:AA7170 =""Neighbor"")), """")"),0.15029157503000995)</f>
        <v>0.150291575</v>
      </c>
      <c r="AD3102" s="4">
        <f>IFERROR(__xludf.DUMMYFUNCTION("IFERROR(ABS(P3102-AVERAGE(FILTER(O3102:P7170,AA3102:AA7170=""Neighbor""))) / STDEV(FILTER(P3102:P7170, AA3102:AA7170 =""Neighbor"")), """")"),0.19763894248750835)</f>
        <v>0.1976389425</v>
      </c>
      <c r="AE3102" s="2">
        <f>IFERROR(__xludf.DUMMYFUNCTION("IFERROR(ABS(Q3102-AVERAGE(FILTER(Q3102:Q7170,AA3102:AA7170=""Neighbor""))) / STDEV(FILTER(Q3102:Q7170, AA3102:AA7170 =""Neighbor"")), """")"),0.39821434684030016)</f>
        <v>0.3982143468</v>
      </c>
      <c r="AF3102" s="2">
        <f>IFERROR(__xludf.DUMMYFUNCTION("IFERROR(ABS(R3102-AVERAGE(FILTER(R3102:R7170,AA3102:AA7170=""Neighbor""))) / STDEV(FILTER(R3102:R7170, AA3102:AA7170 =""Neighbor"")), """")"),0.334035300773288)</f>
        <v>0.3340353008</v>
      </c>
    </row>
    <row r="3103">
      <c r="A3103" s="2" t="s">
        <v>28</v>
      </c>
      <c r="B3103" s="2" t="s">
        <v>1711</v>
      </c>
      <c r="C3103" s="2" t="s">
        <v>1943</v>
      </c>
      <c r="D3103" s="2" t="s">
        <v>12660</v>
      </c>
      <c r="E3103" s="2" t="s">
        <v>12661</v>
      </c>
      <c r="F3103" s="2">
        <v>155.0</v>
      </c>
      <c r="G3103" s="2">
        <v>274.0</v>
      </c>
      <c r="H3103" s="2" t="b">
        <v>1</v>
      </c>
      <c r="I3103" s="2">
        <v>-1.0</v>
      </c>
      <c r="J3103" s="2" t="b">
        <v>0</v>
      </c>
      <c r="K3103" s="2" t="b">
        <v>0</v>
      </c>
      <c r="L3103" s="2" t="b">
        <v>0</v>
      </c>
      <c r="M3103" s="2" t="b">
        <v>0</v>
      </c>
      <c r="N3103" s="2" t="s">
        <v>33</v>
      </c>
      <c r="O3103" s="2">
        <v>101.0</v>
      </c>
      <c r="P3103" s="2">
        <v>31.0</v>
      </c>
      <c r="Q3103" s="2">
        <v>12.0</v>
      </c>
      <c r="R3103" s="2">
        <v>0.0</v>
      </c>
      <c r="S3103" s="3" t="s">
        <v>12662</v>
      </c>
      <c r="T3103" s="2" t="s">
        <v>12663</v>
      </c>
      <c r="Y3103" s="4" t="str">
        <f>IFERROR(__xludf.DUMMYFUNCTION("""COMPUTED_VALUE"""),"6.7186322")</f>
        <v>6.7186322</v>
      </c>
      <c r="Z3103" s="4" t="str">
        <f>IFERROR(__xludf.DUMMYFUNCTION("""COMPUTED_VALUE"""),"3.257162")</f>
        <v>3.257162</v>
      </c>
      <c r="AA3103" s="4" t="str">
        <f t="shared" si="1"/>
        <v>Not Neighbor</v>
      </c>
      <c r="AC3103" s="4">
        <f>IFERROR(__xludf.DUMMYFUNCTION("IFERROR(ABS(O3103-AVERAGE(FILTER(O3103:O7171,AA3103:AA7171=""Neighbor""))) / STDEV(FILTER(O3103:O7171, AA3103:AA7171 =""Neighbor"")), """")"),1.705186522418604)</f>
        <v>1.705186522</v>
      </c>
      <c r="AD3103" s="4">
        <f>IFERROR(__xludf.DUMMYFUNCTION("IFERROR(ABS(P3103-AVERAGE(FILTER(O3103:P7171,AA3103:AA7171=""Neighbor""))) / STDEV(FILTER(P3103:P7171, AA3103:AA7171 =""Neighbor"")), """")"),0.03396182305274608)</f>
        <v>0.03396182305</v>
      </c>
      <c r="AE3103" s="2">
        <f>IFERROR(__xludf.DUMMYFUNCTION("IFERROR(ABS(Q3103-AVERAGE(FILTER(Q3103:Q7171,AA3103:AA7171=""Neighbor""))) / STDEV(FILTER(Q3103:Q7171, AA3103:AA7171 =""Neighbor"")), """")"),0.23146409138545207)</f>
        <v>0.2314640914</v>
      </c>
      <c r="AF3103" s="2">
        <f>IFERROR(__xludf.DUMMYFUNCTION("IFERROR(ABS(R3103-AVERAGE(FILTER(R3103:R7171,AA3103:AA7171=""Neighbor""))) / STDEV(FILTER(R3103:R7171, AA3103:AA7171 =""Neighbor"")), """")"),0.334035300773288)</f>
        <v>0.3340353008</v>
      </c>
    </row>
    <row r="3104">
      <c r="A3104" s="2" t="s">
        <v>28</v>
      </c>
      <c r="B3104" s="2" t="s">
        <v>1711</v>
      </c>
      <c r="C3104" s="2" t="s">
        <v>1943</v>
      </c>
      <c r="D3104" s="2" t="s">
        <v>12664</v>
      </c>
      <c r="E3104" s="2" t="s">
        <v>12665</v>
      </c>
      <c r="F3104" s="2">
        <v>64.0</v>
      </c>
      <c r="G3104" s="2">
        <v>128.0</v>
      </c>
      <c r="H3104" s="2" t="b">
        <v>1</v>
      </c>
      <c r="I3104" s="2">
        <v>-1.0</v>
      </c>
      <c r="J3104" s="2" t="b">
        <v>0</v>
      </c>
      <c r="K3104" s="2" t="b">
        <v>0</v>
      </c>
      <c r="L3104" s="2" t="b">
        <v>0</v>
      </c>
      <c r="M3104" s="2" t="b">
        <v>0</v>
      </c>
      <c r="N3104" s="2" t="s">
        <v>33</v>
      </c>
      <c r="O3104" s="2">
        <v>35.0</v>
      </c>
      <c r="P3104" s="2">
        <v>4.0</v>
      </c>
      <c r="Q3104" s="2">
        <v>9.0</v>
      </c>
      <c r="R3104" s="2">
        <v>0.0</v>
      </c>
      <c r="S3104" s="3" t="s">
        <v>12666</v>
      </c>
      <c r="T3104" s="2" t="s">
        <v>12667</v>
      </c>
      <c r="Y3104" s="4" t="str">
        <f>IFERROR(__xludf.DUMMYFUNCTION("""COMPUTED_VALUE"""),"6.7133099")</f>
        <v>6.7133099</v>
      </c>
      <c r="Z3104" s="4" t="str">
        <f>IFERROR(__xludf.DUMMYFUNCTION("""COMPUTED_VALUE"""),"3.2402962")</f>
        <v>3.2402962</v>
      </c>
      <c r="AA3104" s="4" t="str">
        <f t="shared" si="1"/>
        <v>Not Neighbor</v>
      </c>
      <c r="AC3104" s="4">
        <f>IFERROR(__xludf.DUMMYFUNCTION("IFERROR(ABS(O3104-AVERAGE(FILTER(O3104:O7172,AA3104:AA7172=""Neighbor""))) / STDEV(FILTER(O3104:O7172, AA3104:AA7172 =""Neighbor"")), """")"),0.34727480813434014)</f>
        <v>0.3472748081</v>
      </c>
      <c r="AD3104" s="4">
        <f>IFERROR(__xludf.DUMMYFUNCTION("IFERROR(ABS(P3104-AVERAGE(FILTER(O3104:P7172,AA3104:AA7172=""Neighbor""))) / STDEV(FILTER(P3104:P7172, AA3104:AA7172 =""Neighbor"")), """")"),1.1387823792373915)</f>
        <v>1.138782379</v>
      </c>
      <c r="AE3104" s="2">
        <f>IFERROR(__xludf.DUMMYFUNCTION("IFERROR(ABS(Q3104-AVERAGE(FILTER(Q3104:Q7172,AA3104:AA7172=""Neighbor""))) / STDEV(FILTER(Q3104:Q7172, AA3104:AA7172 =""Neighbor"")), """")"),0.39821434684030016)</f>
        <v>0.3982143468</v>
      </c>
      <c r="AF3104" s="2">
        <f>IFERROR(__xludf.DUMMYFUNCTION("IFERROR(ABS(R3104-AVERAGE(FILTER(R3104:R7172,AA3104:AA7172=""Neighbor""))) / STDEV(FILTER(R3104:R7172, AA3104:AA7172 =""Neighbor"")), """")"),0.334035300773288)</f>
        <v>0.3340353008</v>
      </c>
    </row>
    <row r="3105">
      <c r="A3105" s="2" t="s">
        <v>28</v>
      </c>
      <c r="B3105" s="2" t="s">
        <v>1711</v>
      </c>
      <c r="C3105" s="2" t="s">
        <v>1943</v>
      </c>
      <c r="D3105" s="2" t="s">
        <v>12668</v>
      </c>
      <c r="E3105" s="2" t="s">
        <v>12669</v>
      </c>
      <c r="F3105" s="2">
        <v>168.0</v>
      </c>
      <c r="G3105" s="2">
        <v>281.0</v>
      </c>
      <c r="H3105" s="2" t="b">
        <v>1</v>
      </c>
      <c r="I3105" s="2">
        <v>-1.0</v>
      </c>
      <c r="J3105" s="2" t="b">
        <v>0</v>
      </c>
      <c r="K3105" s="2" t="b">
        <v>1</v>
      </c>
      <c r="L3105" s="2" t="b">
        <v>0</v>
      </c>
      <c r="M3105" s="2" t="b">
        <v>0</v>
      </c>
      <c r="N3105" s="2" t="s">
        <v>33</v>
      </c>
      <c r="O3105" s="2">
        <v>90.0</v>
      </c>
      <c r="P3105" s="2">
        <v>39.0</v>
      </c>
      <c r="Q3105" s="2">
        <v>31.0</v>
      </c>
      <c r="R3105" s="2">
        <v>0.0</v>
      </c>
      <c r="S3105" s="3" t="s">
        <v>12670</v>
      </c>
      <c r="T3105" s="2" t="s">
        <v>12671</v>
      </c>
      <c r="Y3105" s="4" t="str">
        <f>IFERROR(__xludf.DUMMYFUNCTION("""COMPUTED_VALUE"""),"6.7099984")</f>
        <v>6.7099984</v>
      </c>
      <c r="Z3105" s="4" t="str">
        <f>IFERROR(__xludf.DUMMYFUNCTION("""COMPUTED_VALUE"""),"3.2552223")</f>
        <v>3.2552223</v>
      </c>
      <c r="AA3105" s="4" t="str">
        <f t="shared" si="1"/>
        <v>Not Neighbor</v>
      </c>
      <c r="AC3105" s="4">
        <f>IFERROR(__xludf.DUMMYFUNCTION("IFERROR(ABS(O3105-AVERAGE(FILTER(O3105:O7173,AA3105:AA7173=""Neighbor""))) / STDEV(FILTER(O3105:O7173, AA3105:AA7173 =""Neighbor"")), """")"),1.3631096339931132)</f>
        <v>1.363109634</v>
      </c>
      <c r="AD3105" s="4">
        <f>IFERROR(__xludf.DUMMYFUNCTION("IFERROR(ABS(P3105-AVERAGE(FILTER(O3105:P7173,AA3105:AA7173=""Neighbor""))) / STDEV(FILTER(P3105:P7173, AA3105:AA7173 =""Neighbor"")), """")"),0.2933924158167785)</f>
        <v>0.2933924158</v>
      </c>
      <c r="AE3105" s="2">
        <f>IFERROR(__xludf.DUMMYFUNCTION("IFERROR(ABS(Q3105-AVERAGE(FILTER(Q3105:Q7173,AA3105:AA7173=""Neighbor""))) / STDEV(FILTER(Q3105:Q7173, AA3105:AA7173 =""Neighbor"")), """")"),0.8246208598285859)</f>
        <v>0.8246208598</v>
      </c>
      <c r="AF3105" s="2">
        <f>IFERROR(__xludf.DUMMYFUNCTION("IFERROR(ABS(R3105-AVERAGE(FILTER(R3105:R7173,AA3105:AA7173=""Neighbor""))) / STDEV(FILTER(R3105:R7173, AA3105:AA7173 =""Neighbor"")), """")"),0.334035300773288)</f>
        <v>0.3340353008</v>
      </c>
    </row>
    <row r="3106">
      <c r="A3106" s="2" t="s">
        <v>28</v>
      </c>
      <c r="B3106" s="2" t="s">
        <v>1711</v>
      </c>
      <c r="C3106" s="2" t="s">
        <v>1943</v>
      </c>
      <c r="D3106" s="2" t="s">
        <v>12672</v>
      </c>
      <c r="E3106" s="2" t="s">
        <v>12673</v>
      </c>
      <c r="F3106" s="2">
        <v>131.0</v>
      </c>
      <c r="G3106" s="2">
        <v>280.0</v>
      </c>
      <c r="H3106" s="2" t="b">
        <v>1</v>
      </c>
      <c r="I3106" s="2">
        <v>-1.0</v>
      </c>
      <c r="J3106" s="2" t="b">
        <v>0</v>
      </c>
      <c r="K3106" s="2" t="b">
        <v>0</v>
      </c>
      <c r="L3106" s="2" t="b">
        <v>0</v>
      </c>
      <c r="M3106" s="2" t="b">
        <v>0</v>
      </c>
      <c r="N3106" s="2" t="s">
        <v>33</v>
      </c>
      <c r="O3106" s="2">
        <v>95.0</v>
      </c>
      <c r="P3106" s="2">
        <v>14.0</v>
      </c>
      <c r="Q3106" s="2">
        <v>7.0</v>
      </c>
      <c r="R3106" s="2">
        <v>1.0</v>
      </c>
      <c r="S3106" s="3" t="s">
        <v>12674</v>
      </c>
      <c r="T3106" s="2" t="s">
        <v>12675</v>
      </c>
      <c r="Y3106" s="4" t="str">
        <f>IFERROR(__xludf.DUMMYFUNCTION("""COMPUTED_VALUE"""),"6.7349341")</f>
        <v>6.7349341</v>
      </c>
      <c r="Z3106" s="4" t="str">
        <f>IFERROR(__xludf.DUMMYFUNCTION("""COMPUTED_VALUE"""),"3.2536557")</f>
        <v>3.2536557</v>
      </c>
      <c r="AA3106" s="4" t="str">
        <f t="shared" si="1"/>
        <v>Neighbor</v>
      </c>
      <c r="AC3106" s="4">
        <f>IFERROR(__xludf.DUMMYFUNCTION("IFERROR(ABS(O3106-AVERAGE(FILTER(O3106:O7174,AA3106:AA7174=""Neighbor""))) / STDEV(FILTER(O3106:O7174, AA3106:AA7174 =""Neighbor"")), """")"),1.5185991287319727)</f>
        <v>1.518599129</v>
      </c>
      <c r="AD3106" s="4">
        <f>IFERROR(__xludf.DUMMYFUNCTION("IFERROR(ABS(P3106-AVERAGE(FILTER(O3106:P7174,AA3106:AA7174=""Neighbor""))) / STDEV(FILTER(P3106:P7174, AA3106:AA7174 =""Neighbor"")), """")"),0.7295895806504857)</f>
        <v>0.7295895807</v>
      </c>
      <c r="AE3106" s="2">
        <f>IFERROR(__xludf.DUMMYFUNCTION("IFERROR(ABS(Q3106-AVERAGE(FILTER(Q3106:Q7174,AA3106:AA7174=""Neighbor""))) / STDEV(FILTER(Q3106:Q7174, AA3106:AA7174 =""Neighbor"")), """")"),0.5093811838101989)</f>
        <v>0.5093811838</v>
      </c>
      <c r="AF3106" s="2">
        <f>IFERROR(__xludf.DUMMYFUNCTION("IFERROR(ABS(R3106-AVERAGE(FILTER(R3106:R7174,AA3106:AA7174=""Neighbor""))) / STDEV(FILTER(R3106:R7174, AA3106:AA7174 =""Neighbor"")), """")"),0.73920774893348)</f>
        <v>0.7392077489</v>
      </c>
    </row>
    <row r="3107">
      <c r="A3107" s="2" t="s">
        <v>28</v>
      </c>
      <c r="B3107" s="2" t="s">
        <v>1711</v>
      </c>
      <c r="C3107" s="2" t="s">
        <v>1943</v>
      </c>
      <c r="D3107" s="2" t="s">
        <v>12676</v>
      </c>
      <c r="E3107" s="2" t="s">
        <v>12677</v>
      </c>
      <c r="F3107" s="2">
        <v>121.0</v>
      </c>
      <c r="G3107" s="2">
        <v>223.0</v>
      </c>
      <c r="H3107" s="2" t="b">
        <v>1</v>
      </c>
      <c r="I3107" s="2">
        <v>-1.0</v>
      </c>
      <c r="J3107" s="2" t="b">
        <v>0</v>
      </c>
      <c r="K3107" s="2" t="b">
        <v>0</v>
      </c>
      <c r="L3107" s="2" t="b">
        <v>0</v>
      </c>
      <c r="M3107" s="2" t="b">
        <v>0</v>
      </c>
      <c r="N3107" s="2" t="s">
        <v>33</v>
      </c>
      <c r="O3107" s="2">
        <v>71.0</v>
      </c>
      <c r="P3107" s="2">
        <v>9.0</v>
      </c>
      <c r="Q3107" s="2">
        <v>7.0</v>
      </c>
      <c r="R3107" s="2">
        <v>1.0</v>
      </c>
      <c r="S3107" s="3" t="s">
        <v>12678</v>
      </c>
      <c r="T3107" s="2" t="s">
        <v>12679</v>
      </c>
      <c r="Y3107" s="4" t="str">
        <f>IFERROR(__xludf.DUMMYFUNCTION("""COMPUTED_VALUE"""),"6.7349341")</f>
        <v>6.7349341</v>
      </c>
      <c r="Z3107" s="4" t="str">
        <f>IFERROR(__xludf.DUMMYFUNCTION("""COMPUTED_VALUE"""),"3.2536557")</f>
        <v>3.2536557</v>
      </c>
      <c r="AA3107" s="4" t="str">
        <f t="shared" si="1"/>
        <v>Not Neighbor</v>
      </c>
      <c r="AC3107" s="4">
        <f>IFERROR(__xludf.DUMMYFUNCTION("IFERROR(ABS(O3107-AVERAGE(FILTER(O3107:O7175,AA3107:AA7175=""Neighbor""))) / STDEV(FILTER(O3107:O7175, AA3107:AA7175 =""Neighbor"")), """")"),0.7781204481596249)</f>
        <v>0.7781204482</v>
      </c>
      <c r="AD3107" s="4">
        <f>IFERROR(__xludf.DUMMYFUNCTION("IFERROR(ABS(P3107-AVERAGE(FILTER(O3107:P7175,AA3107:AA7175=""Neighbor""))) / STDEV(FILTER(P3107:P7175, AA3107:AA7175 =""Neighbor"")), """")"),0.9301853939935886)</f>
        <v>0.930185394</v>
      </c>
      <c r="AE3107" s="2">
        <f>IFERROR(__xludf.DUMMYFUNCTION("IFERROR(ABS(Q3107-AVERAGE(FILTER(Q3107:Q7175,AA3107:AA7175=""Neighbor""))) / STDEV(FILTER(Q3107:Q7175, AA3107:AA7175 =""Neighbor"")), """")"),0.5103065535000095)</f>
        <v>0.5103065535</v>
      </c>
      <c r="AF3107" s="2">
        <f>IFERROR(__xludf.DUMMYFUNCTION("IFERROR(ABS(R3107-AVERAGE(FILTER(R3107:R7175,AA3107:AA7175=""Neighbor""))) / STDEV(FILTER(R3107:R7175, AA3107:AA7175 =""Neighbor"")), """")"),0.7408590379195328)</f>
        <v>0.7408590379</v>
      </c>
    </row>
    <row r="3108">
      <c r="A3108" s="2" t="s">
        <v>28</v>
      </c>
      <c r="B3108" s="2" t="s">
        <v>1711</v>
      </c>
      <c r="C3108" s="2" t="s">
        <v>1943</v>
      </c>
      <c r="D3108" s="2" t="s">
        <v>12680</v>
      </c>
      <c r="E3108" s="2" t="s">
        <v>12681</v>
      </c>
      <c r="F3108" s="2">
        <v>156.0</v>
      </c>
      <c r="G3108" s="2">
        <v>750.0</v>
      </c>
      <c r="H3108" s="2" t="b">
        <v>1</v>
      </c>
      <c r="I3108" s="2">
        <v>-1.0</v>
      </c>
      <c r="J3108" s="2" t="b">
        <v>0</v>
      </c>
      <c r="K3108" s="2" t="b">
        <v>0</v>
      </c>
      <c r="L3108" s="2" t="b">
        <v>0</v>
      </c>
      <c r="M3108" s="2" t="b">
        <v>0</v>
      </c>
      <c r="N3108" s="2" t="s">
        <v>33</v>
      </c>
      <c r="O3108" s="2">
        <v>99.0</v>
      </c>
      <c r="P3108" s="2">
        <v>35.0</v>
      </c>
      <c r="Q3108" s="2">
        <v>13.0</v>
      </c>
      <c r="R3108" s="2">
        <v>1.0</v>
      </c>
      <c r="S3108" s="3" t="s">
        <v>12682</v>
      </c>
      <c r="T3108" s="2" t="s">
        <v>12683</v>
      </c>
      <c r="Y3108" s="4" t="str">
        <f>IFERROR(__xludf.DUMMYFUNCTION("""COMPUTED_VALUE"""),"6.6117188")</f>
        <v>6.6117188</v>
      </c>
      <c r="Z3108" s="4" t="str">
        <f>IFERROR(__xludf.DUMMYFUNCTION("""COMPUTED_VALUE"""),"3.0576199")</f>
        <v>3.0576199</v>
      </c>
      <c r="AA3108" s="4" t="str">
        <f t="shared" si="1"/>
        <v>Not Neighbor</v>
      </c>
      <c r="AC3108" s="4">
        <f>IFERROR(__xludf.DUMMYFUNCTION("IFERROR(ABS(O3108-AVERAGE(FILTER(O3108:O7176,AA3108:AA7176=""Neighbor""))) / STDEV(FILTER(O3108:O7176, AA3108:AA7176 =""Neighbor"")), """")"),1.650523052229807)</f>
        <v>1.650523052</v>
      </c>
      <c r="AD3108" s="4">
        <f>IFERROR(__xludf.DUMMYFUNCTION("IFERROR(ABS(P3108-AVERAGE(FILTER(O3108:P7176,AA3108:AA7176=""Neighbor""))) / STDEV(FILTER(P3108:P7176, AA3108:AA7176 =""Neighbor"")), """")"),0.13220879179531803)</f>
        <v>0.1322087918</v>
      </c>
      <c r="AE3108" s="2">
        <f>IFERROR(__xludf.DUMMYFUNCTION("IFERROR(ABS(Q3108-AVERAGE(FILTER(Q3108:Q7176,AA3108:AA7176=""Neighbor""))) / STDEV(FILTER(Q3108:Q7176, AA3108:AA7176 =""Neighbor"")), """")"),0.17716302989434288)</f>
        <v>0.1771630299</v>
      </c>
      <c r="AF3108" s="2">
        <f>IFERROR(__xludf.DUMMYFUNCTION("IFERROR(ABS(R3108-AVERAGE(FILTER(R3108:R7176,AA3108:AA7176=""Neighbor""))) / STDEV(FILTER(R3108:R7176, AA3108:AA7176 =""Neighbor"")), """")"),0.7408590379195328)</f>
        <v>0.7408590379</v>
      </c>
    </row>
    <row r="3109">
      <c r="A3109" s="2" t="s">
        <v>28</v>
      </c>
      <c r="B3109" s="2" t="s">
        <v>1711</v>
      </c>
      <c r="C3109" s="2" t="s">
        <v>1943</v>
      </c>
      <c r="D3109" s="2" t="s">
        <v>12684</v>
      </c>
      <c r="E3109" s="2" t="s">
        <v>12685</v>
      </c>
      <c r="F3109" s="2">
        <v>71.0</v>
      </c>
      <c r="G3109" s="2">
        <v>118.0</v>
      </c>
      <c r="H3109" s="2" t="b">
        <v>1</v>
      </c>
      <c r="I3109" s="2">
        <v>-1.0</v>
      </c>
      <c r="J3109" s="2" t="b">
        <v>0</v>
      </c>
      <c r="K3109" s="2" t="b">
        <v>0</v>
      </c>
      <c r="L3109" s="2" t="b">
        <v>0</v>
      </c>
      <c r="M3109" s="2" t="b">
        <v>0</v>
      </c>
      <c r="N3109" s="2" t="s">
        <v>33</v>
      </c>
      <c r="O3109" s="2">
        <v>0.0</v>
      </c>
      <c r="P3109" s="2">
        <v>0.0</v>
      </c>
      <c r="Q3109" s="2">
        <v>0.0</v>
      </c>
      <c r="R3109" s="2">
        <v>0.0</v>
      </c>
      <c r="S3109" s="3" t="s">
        <v>12686</v>
      </c>
      <c r="T3109" s="2" t="s">
        <v>12687</v>
      </c>
      <c r="Y3109" s="4" t="str">
        <f>IFERROR(__xludf.DUMMYFUNCTION("""COMPUTED_VALUE"""),"6.7237921")</f>
        <v>6.7237921</v>
      </c>
      <c r="Z3109" s="4" t="str">
        <f>IFERROR(__xludf.DUMMYFUNCTION("""COMPUTED_VALUE"""),"3.2498756")</f>
        <v>3.2498756</v>
      </c>
      <c r="AA3109" s="4" t="str">
        <f t="shared" si="1"/>
        <v>Neighbor</v>
      </c>
      <c r="AC3109" s="4">
        <f>IFERROR(__xludf.DUMMYFUNCTION("IFERROR(ABS(O3109-AVERAGE(FILTER(O3109:O7177,AA3109:AA7177=""Neighbor""))) / STDEV(FILTER(O3109:O7177, AA3109:AA7177 =""Neighbor"")), """")"),1.4340432978754802)</f>
        <v>1.434043298</v>
      </c>
      <c r="AD3109" s="4">
        <f>IFERROR(__xludf.DUMMYFUNCTION("IFERROR(ABS(P3109-AVERAGE(FILTER(O3109:P7177,AA3109:AA7177=""Neighbor""))) / STDEV(FILTER(P3109:P7177, AA3109:AA7177 =""Neighbor"")), """")"),1.2979372275359025)</f>
        <v>1.297937228</v>
      </c>
      <c r="AE3109" s="2">
        <f>IFERROR(__xludf.DUMMYFUNCTION("IFERROR(ABS(Q3109-AVERAGE(FILTER(Q3109:Q7177,AA3109:AA7177=""Neighbor""))) / STDEV(FILTER(Q3109:Q7177, AA3109:AA7177 =""Neighbor"")), """")"),0.8989739977066206)</f>
        <v>0.8989739977</v>
      </c>
      <c r="AF3109" s="2">
        <f>IFERROR(__xludf.DUMMYFUNCTION("IFERROR(ABS(R3109-AVERAGE(FILTER(R3109:R7177,AA3109:AA7177=""Neighbor""))) / STDEV(FILTER(R3109:R7177, AA3109:AA7177 =""Neighbor"")), """")"),0.33168166132799165)</f>
        <v>0.3316816613</v>
      </c>
    </row>
    <row r="3110">
      <c r="A3110" s="2" t="s">
        <v>28</v>
      </c>
      <c r="B3110" s="2" t="s">
        <v>1711</v>
      </c>
      <c r="C3110" s="2" t="s">
        <v>1943</v>
      </c>
      <c r="D3110" s="2" t="s">
        <v>12688</v>
      </c>
      <c r="E3110" s="2" t="s">
        <v>12689</v>
      </c>
      <c r="F3110" s="2">
        <v>115.0</v>
      </c>
      <c r="G3110" s="2">
        <v>226.0</v>
      </c>
      <c r="H3110" s="2" t="b">
        <v>1</v>
      </c>
      <c r="I3110" s="2">
        <v>-1.0</v>
      </c>
      <c r="J3110" s="2" t="b">
        <v>0</v>
      </c>
      <c r="K3110" s="2" t="b">
        <v>0</v>
      </c>
      <c r="L3110" s="2" t="b">
        <v>0</v>
      </c>
      <c r="M3110" s="2" t="b">
        <v>0</v>
      </c>
      <c r="N3110" s="2" t="s">
        <v>33</v>
      </c>
      <c r="O3110" s="2">
        <v>48.0</v>
      </c>
      <c r="P3110" s="2">
        <v>28.0</v>
      </c>
      <c r="Q3110" s="2">
        <v>27.0</v>
      </c>
      <c r="R3110" s="2">
        <v>0.0</v>
      </c>
      <c r="S3110" s="3" t="s">
        <v>12690</v>
      </c>
      <c r="T3110" s="2" t="s">
        <v>12691</v>
      </c>
      <c r="Y3110" s="4" t="str">
        <f>IFERROR(__xludf.DUMMYFUNCTION("""COMPUTED_VALUE"""),"6.7171928")</f>
        <v>6.7171928</v>
      </c>
      <c r="Z3110" s="4" t="str">
        <f>IFERROR(__xludf.DUMMYFUNCTION("""COMPUTED_VALUE"""),"3.248475")</f>
        <v>3.248475</v>
      </c>
      <c r="AA3110" s="4" t="str">
        <f t="shared" si="1"/>
        <v>Not Neighbor</v>
      </c>
      <c r="AC3110" s="4">
        <f>IFERROR(__xludf.DUMMYFUNCTION("IFERROR(ABS(O3110-AVERAGE(FILTER(O3110:O7178,AA3110:AA7178=""Neighbor""))) / STDEV(FILTER(O3110:O7178, AA3110:AA7178 =""Neighbor"")), """")"),0.057436140245739876)</f>
        <v>0.05743614025</v>
      </c>
      <c r="AD3110" s="4">
        <f>IFERROR(__xludf.DUMMYFUNCTION("IFERROR(ABS(P3110-AVERAGE(FILTER(O3110:P7178,AA3110:AA7178=""Neighbor""))) / STDEV(FILTER(P3110:P7178, AA3110:AA7178 =""Neighbor"")), """")"),0.15747111827335522)</f>
        <v>0.1574711183</v>
      </c>
      <c r="AE3110" s="2">
        <f>IFERROR(__xludf.DUMMYFUNCTION("IFERROR(ABS(Q3110-AVERAGE(FILTER(Q3110:Q7178,AA3110:AA7178=""Neighbor""))) / STDEV(FILTER(Q3110:Q7178, AA3110:AA7178 =""Neighbor"")), """")"),0.5974016106600087)</f>
        <v>0.5974016107</v>
      </c>
      <c r="AF3110" s="2">
        <f>IFERROR(__xludf.DUMMYFUNCTION("IFERROR(ABS(R3110-AVERAGE(FILTER(R3110:R7178,AA3110:AA7178=""Neighbor""))) / STDEV(FILTER(R3110:R7178, AA3110:AA7178 =""Neighbor"")), """")"),0.3322137417262386)</f>
        <v>0.3322137417</v>
      </c>
    </row>
    <row r="3111">
      <c r="A3111" s="2" t="s">
        <v>28</v>
      </c>
      <c r="B3111" s="2" t="s">
        <v>1711</v>
      </c>
      <c r="C3111" s="2" t="s">
        <v>1943</v>
      </c>
      <c r="D3111" s="2" t="s">
        <v>12692</v>
      </c>
      <c r="E3111" s="2" t="s">
        <v>12693</v>
      </c>
      <c r="F3111" s="2">
        <v>106.0</v>
      </c>
      <c r="G3111" s="2">
        <v>240.0</v>
      </c>
      <c r="H3111" s="2" t="b">
        <v>1</v>
      </c>
      <c r="I3111" s="2">
        <v>-1.0</v>
      </c>
      <c r="J3111" s="2" t="b">
        <v>0</v>
      </c>
      <c r="K3111" s="2" t="b">
        <v>1</v>
      </c>
      <c r="L3111" s="2" t="b">
        <v>0</v>
      </c>
      <c r="M3111" s="2" t="b">
        <v>0</v>
      </c>
      <c r="N3111" s="2" t="s">
        <v>33</v>
      </c>
      <c r="O3111" s="2">
        <v>18.0</v>
      </c>
      <c r="P3111" s="2">
        <v>34.0</v>
      </c>
      <c r="Q3111" s="2">
        <v>28.0</v>
      </c>
      <c r="R3111" s="2">
        <v>1.0</v>
      </c>
      <c r="S3111" s="3" t="s">
        <v>12694</v>
      </c>
      <c r="T3111" s="2" t="s">
        <v>12695</v>
      </c>
      <c r="Y3111" s="4" t="str">
        <f>IFERROR(__xludf.DUMMYFUNCTION("""COMPUTED_VALUE"""),"6.6709579")</f>
        <v>6.6709579</v>
      </c>
      <c r="Z3111" s="4" t="str">
        <f>IFERROR(__xludf.DUMMYFUNCTION("""COMPUTED_VALUE"""),"3.3038327")</f>
        <v>3.3038327</v>
      </c>
      <c r="AA3111" s="4" t="str">
        <f t="shared" si="1"/>
        <v>Not Neighbor</v>
      </c>
      <c r="AC3111" s="4">
        <f>IFERROR(__xludf.DUMMYFUNCTION("IFERROR(ABS(O3111-AVERAGE(FILTER(O3111:O7179,AA3111:AA7179=""Neighbor""))) / STDEV(FILTER(O3111:O7179, AA3111:AA7179 =""Neighbor"")), """")"),0.878727720452539)</f>
        <v>0.8787277205</v>
      </c>
      <c r="AD3111" s="4">
        <f>IFERROR(__xludf.DUMMYFUNCTION("IFERROR(ABS(P3111-AVERAGE(FILTER(O3111:P7179,AA3111:AA7179=""Neighbor""))) / STDEV(FILTER(P3111:P7179, AA3111:AA7179 =""Neighbor"")), """")"),0.087523406210557)</f>
        <v>0.08752340621</v>
      </c>
      <c r="AE3111" s="2">
        <f>IFERROR(__xludf.DUMMYFUNCTION("IFERROR(ABS(Q3111-AVERAGE(FILTER(Q3111:Q7179,AA3111:AA7179=""Neighbor""))) / STDEV(FILTER(Q3111:Q7179, AA3111:AA7179 =""Neighbor"")), """")"),0.6529102440232469)</f>
        <v>0.652910244</v>
      </c>
      <c r="AF3111" s="2">
        <f>IFERROR(__xludf.DUMMYFUNCTION("IFERROR(ABS(R3111-AVERAGE(FILTER(R3111:R7179,AA3111:AA7179=""Neighbor""))) / STDEV(FILTER(R3111:R7179, AA3111:AA7179 =""Neighbor"")), """")"),0.7389427152415399)</f>
        <v>0.7389427152</v>
      </c>
    </row>
    <row r="3112">
      <c r="A3112" s="2" t="s">
        <v>28</v>
      </c>
      <c r="B3112" s="2" t="s">
        <v>1711</v>
      </c>
      <c r="C3112" s="2" t="s">
        <v>1943</v>
      </c>
      <c r="D3112" s="2" t="s">
        <v>12696</v>
      </c>
      <c r="E3112" s="2" t="s">
        <v>12697</v>
      </c>
      <c r="F3112" s="2">
        <v>97.0</v>
      </c>
      <c r="G3112" s="2">
        <v>157.0</v>
      </c>
      <c r="H3112" s="2" t="b">
        <v>1</v>
      </c>
      <c r="I3112" s="2">
        <v>-1.0</v>
      </c>
      <c r="J3112" s="2" t="b">
        <v>0</v>
      </c>
      <c r="K3112" s="2" t="b">
        <v>0</v>
      </c>
      <c r="L3112" s="2" t="b">
        <v>0</v>
      </c>
      <c r="M3112" s="2" t="b">
        <v>0</v>
      </c>
      <c r="N3112" s="2" t="s">
        <v>33</v>
      </c>
      <c r="O3112" s="2">
        <v>60.0</v>
      </c>
      <c r="P3112" s="2">
        <v>28.0</v>
      </c>
      <c r="Q3112" s="2">
        <v>6.0</v>
      </c>
      <c r="R3112" s="2">
        <v>0.0</v>
      </c>
      <c r="S3112" s="3" t="s">
        <v>12698</v>
      </c>
      <c r="T3112" s="2" t="s">
        <v>12699</v>
      </c>
      <c r="Y3112" s="4" t="str">
        <f>IFERROR(__xludf.DUMMYFUNCTION("""COMPUTED_VALUE"""),"-0.5450286")</f>
        <v>-0.5450286</v>
      </c>
      <c r="Z3112" s="4" t="str">
        <f>IFERROR(__xludf.DUMMYFUNCTION("""COMPUTED_VALUE"""),"30.139033")</f>
        <v>30.139033</v>
      </c>
      <c r="AA3112" s="4" t="str">
        <f t="shared" si="1"/>
        <v>Not Neighbor</v>
      </c>
      <c r="AC3112" s="4">
        <f>IFERROR(__xludf.DUMMYFUNCTION("IFERROR(ABS(O3112-AVERAGE(FILTER(O3112:O7180,AA3112:AA7180=""Neighbor""))) / STDEV(FILTER(O3112:O7180, AA3112:AA7180 =""Neighbor"")), """")"),0.4319016845250514)</f>
        <v>0.4319016845</v>
      </c>
      <c r="AD3112" s="4">
        <f>IFERROR(__xludf.DUMMYFUNCTION("IFERROR(ABS(P3112-AVERAGE(FILTER(O3112:P7180,AA3112:AA7180=""Neighbor""))) / STDEV(FILTER(P3112:P7180, AA3112:AA7180 =""Neighbor"")), """")"),0.15747111827335522)</f>
        <v>0.1574711183</v>
      </c>
      <c r="AE3112" s="2">
        <f>IFERROR(__xludf.DUMMYFUNCTION("IFERROR(ABS(Q3112-AVERAGE(FILTER(Q3112:Q7180,AA3112:AA7180=""Neighbor""))) / STDEV(FILTER(Q3112:Q7180, AA3112:AA7180 =""Neighbor"")), """")"),0.5682796899679912)</f>
        <v>0.56827969</v>
      </c>
      <c r="AF3112" s="2">
        <f>IFERROR(__xludf.DUMMYFUNCTION("IFERROR(ABS(R3112-AVERAGE(FILTER(R3112:R7180,AA3112:AA7180=""Neighbor""))) / STDEV(FILTER(R3112:R7180, AA3112:AA7180 =""Neighbor"")), """")"),0.3322137417262386)</f>
        <v>0.3322137417</v>
      </c>
    </row>
    <row r="3113">
      <c r="A3113" s="2" t="s">
        <v>28</v>
      </c>
      <c r="B3113" s="2" t="s">
        <v>1711</v>
      </c>
      <c r="C3113" s="2" t="s">
        <v>1943</v>
      </c>
      <c r="D3113" s="2" t="s">
        <v>12700</v>
      </c>
      <c r="E3113" s="2" t="s">
        <v>12701</v>
      </c>
      <c r="F3113" s="2">
        <v>118.0</v>
      </c>
      <c r="G3113" s="2">
        <v>208.0</v>
      </c>
      <c r="H3113" s="2" t="b">
        <v>1</v>
      </c>
      <c r="I3113" s="2">
        <v>-1.0</v>
      </c>
      <c r="J3113" s="2" t="b">
        <v>0</v>
      </c>
      <c r="K3113" s="2" t="b">
        <v>0</v>
      </c>
      <c r="L3113" s="2" t="b">
        <v>0</v>
      </c>
      <c r="M3113" s="2" t="b">
        <v>0</v>
      </c>
      <c r="N3113" s="2" t="s">
        <v>33</v>
      </c>
      <c r="O3113" s="2">
        <v>58.0</v>
      </c>
      <c r="P3113" s="2">
        <v>28.0</v>
      </c>
      <c r="Q3113" s="2">
        <v>23.0</v>
      </c>
      <c r="R3113" s="2">
        <v>0.0</v>
      </c>
      <c r="S3113" s="3" t="s">
        <v>12702</v>
      </c>
      <c r="T3113" s="2" t="s">
        <v>12703</v>
      </c>
      <c r="Y3113" s="4" t="str">
        <f>IFERROR(__xludf.DUMMYFUNCTION("""COMPUTED_VALUE"""),"6.7158327")</f>
        <v>6.7158327</v>
      </c>
      <c r="Z3113" s="4" t="str">
        <f>IFERROR(__xludf.DUMMYFUNCTION("""COMPUTED_VALUE"""),"3.2272221")</f>
        <v>3.2272221</v>
      </c>
      <c r="AA3113" s="4" t="str">
        <f t="shared" si="1"/>
        <v>Not Neighbor</v>
      </c>
      <c r="AC3113" s="4">
        <f>IFERROR(__xludf.DUMMYFUNCTION("IFERROR(ABS(O3113-AVERAGE(FILTER(O3113:O7181,AA3113:AA7181=""Neighbor""))) / STDEV(FILTER(O3113:O7181, AA3113:AA7181 =""Neighbor"")), """")"),0.3694907604784995)</f>
        <v>0.3694907605</v>
      </c>
      <c r="AD3113" s="4">
        <f>IFERROR(__xludf.DUMMYFUNCTION("IFERROR(ABS(P3113-AVERAGE(FILTER(O3113:P7181,AA3113:AA7181=""Neighbor""))) / STDEV(FILTER(P3113:P7181, AA3113:AA7181 =""Neighbor"")), """")"),0.15747111827335522)</f>
        <v>0.1574711183</v>
      </c>
      <c r="AE3113" s="2">
        <f>IFERROR(__xludf.DUMMYFUNCTION("IFERROR(ABS(Q3113-AVERAGE(FILTER(Q3113:Q7181,AA3113:AA7181=""Neighbor""))) / STDEV(FILTER(Q3113:Q7181, AA3113:AA7181 =""Neighbor"")), """")"),0.3753670772070564)</f>
        <v>0.3753670772</v>
      </c>
      <c r="AF3113" s="2">
        <f>IFERROR(__xludf.DUMMYFUNCTION("IFERROR(ABS(R3113-AVERAGE(FILTER(R3113:R7181,AA3113:AA7181=""Neighbor""))) / STDEV(FILTER(R3113:R7181, AA3113:AA7181 =""Neighbor"")), """")"),0.3322137417262386)</f>
        <v>0.3322137417</v>
      </c>
    </row>
    <row r="3114">
      <c r="A3114" s="2" t="s">
        <v>28</v>
      </c>
      <c r="B3114" s="2" t="s">
        <v>1711</v>
      </c>
      <c r="C3114" s="2" t="s">
        <v>1943</v>
      </c>
      <c r="D3114" s="2" t="s">
        <v>12704</v>
      </c>
      <c r="E3114" s="2" t="s">
        <v>12705</v>
      </c>
      <c r="F3114" s="2">
        <v>85.0</v>
      </c>
      <c r="G3114" s="2">
        <v>145.0</v>
      </c>
      <c r="H3114" s="2" t="b">
        <v>1</v>
      </c>
      <c r="I3114" s="2">
        <v>-1.0</v>
      </c>
      <c r="J3114" s="2" t="b">
        <v>0</v>
      </c>
      <c r="K3114" s="2" t="b">
        <v>0</v>
      </c>
      <c r="L3114" s="2" t="b">
        <v>0</v>
      </c>
      <c r="M3114" s="2" t="b">
        <v>0</v>
      </c>
      <c r="N3114" s="2" t="s">
        <v>33</v>
      </c>
      <c r="O3114" s="2">
        <v>55.0</v>
      </c>
      <c r="P3114" s="2">
        <v>9.0</v>
      </c>
      <c r="Q3114" s="2">
        <v>14.0</v>
      </c>
      <c r="R3114" s="2">
        <v>0.0</v>
      </c>
      <c r="S3114" s="3" t="s">
        <v>12706</v>
      </c>
      <c r="T3114" s="2" t="s">
        <v>12707</v>
      </c>
      <c r="Y3114" s="4" t="str">
        <f>IFERROR(__xludf.DUMMYFUNCTION("""COMPUTED_VALUE"""),"6.671883")</f>
        <v>6.671883</v>
      </c>
      <c r="Z3114" s="4" t="str">
        <f>IFERROR(__xludf.DUMMYFUNCTION("""COMPUTED_VALUE"""),"3.3007206")</f>
        <v>3.3007206</v>
      </c>
      <c r="AA3114" s="4" t="str">
        <f t="shared" si="1"/>
        <v>Not Neighbor</v>
      </c>
      <c r="AC3114" s="4">
        <f>IFERROR(__xludf.DUMMYFUNCTION("IFERROR(ABS(O3114-AVERAGE(FILTER(O3114:O7182,AA3114:AA7182=""Neighbor""))) / STDEV(FILTER(O3114:O7182, AA3114:AA7182 =""Neighbor"")), """")"),0.27587437440867163)</f>
        <v>0.2758743744</v>
      </c>
      <c r="AD3114" s="4">
        <f>IFERROR(__xludf.DUMMYFUNCTION("IFERROR(ABS(P3114-AVERAGE(FILTER(O3114:P7182,AA3114:AA7182=""Neighbor""))) / STDEV(FILTER(P3114:P7182, AA3114:AA7182 =""Neighbor"")), """")"),0.9332871124724106)</f>
        <v>0.9332871125</v>
      </c>
      <c r="AE3114" s="2">
        <f>IFERROR(__xludf.DUMMYFUNCTION("IFERROR(ABS(Q3114-AVERAGE(FILTER(Q3114:Q7182,AA3114:AA7182=""Neighbor""))) / STDEV(FILTER(Q3114:Q7182, AA3114:AA7182 =""Neighbor"")), """")"),0.12421062306208644)</f>
        <v>0.1242106231</v>
      </c>
      <c r="AF3114" s="2">
        <f>IFERROR(__xludf.DUMMYFUNCTION("IFERROR(ABS(R3114-AVERAGE(FILTER(R3114:R7182,AA3114:AA7182=""Neighbor""))) / STDEV(FILTER(R3114:R7182, AA3114:AA7182 =""Neighbor"")), """")"),0.3322137417262386)</f>
        <v>0.3322137417</v>
      </c>
    </row>
    <row r="3115">
      <c r="A3115" s="2" t="s">
        <v>28</v>
      </c>
      <c r="B3115" s="2" t="s">
        <v>1711</v>
      </c>
      <c r="C3115" s="2" t="s">
        <v>1943</v>
      </c>
      <c r="D3115" s="2" t="s">
        <v>12708</v>
      </c>
      <c r="E3115" s="2" t="s">
        <v>12709</v>
      </c>
      <c r="F3115" s="2">
        <v>99.0</v>
      </c>
      <c r="G3115" s="2">
        <v>178.0</v>
      </c>
      <c r="H3115" s="2" t="b">
        <v>1</v>
      </c>
      <c r="I3115" s="2">
        <v>-1.0</v>
      </c>
      <c r="J3115" s="2" t="b">
        <v>1</v>
      </c>
      <c r="K3115" s="2" t="b">
        <v>0</v>
      </c>
      <c r="L3115" s="2" t="b">
        <v>0</v>
      </c>
      <c r="M3115" s="2" t="b">
        <v>0</v>
      </c>
      <c r="N3115" s="2" t="s">
        <v>33</v>
      </c>
      <c r="O3115" s="2">
        <v>67.0</v>
      </c>
      <c r="P3115" s="2">
        <v>11.0</v>
      </c>
      <c r="Q3115" s="2">
        <v>17.0</v>
      </c>
      <c r="R3115" s="2">
        <v>0.0</v>
      </c>
      <c r="S3115" s="3" t="s">
        <v>12710</v>
      </c>
      <c r="T3115" s="2" t="s">
        <v>12711</v>
      </c>
      <c r="Y3115" s="4" t="str">
        <f>IFERROR(__xludf.DUMMYFUNCTION("""COMPUTED_VALUE"""),"6.7046247")</f>
        <v>6.7046247</v>
      </c>
      <c r="Z3115" s="4" t="str">
        <f>IFERROR(__xludf.DUMMYFUNCTION("""COMPUTED_VALUE"""),"3.1403256")</f>
        <v>3.1403256</v>
      </c>
      <c r="AA3115" s="4" t="str">
        <f t="shared" si="1"/>
        <v>Not Neighbor</v>
      </c>
      <c r="AC3115" s="4">
        <f>IFERROR(__xludf.DUMMYFUNCTION("IFERROR(ABS(O3115-AVERAGE(FILTER(O3115:O7183,AA3115:AA7183=""Neighbor""))) / STDEV(FILTER(O3115:O7183, AA3115:AA7183 =""Neighbor"")), """")"),0.6503399186879831)</f>
        <v>0.6503399187</v>
      </c>
      <c r="AD3115" s="4">
        <f>IFERROR(__xludf.DUMMYFUNCTION("IFERROR(ABS(P3115-AVERAGE(FILTER(O3115:P7183,AA3115:AA7183=""Neighbor""))) / STDEV(FILTER(P3115:P7183, AA3115:AA7183 =""Neighbor"")), """")"),0.8516222709777732)</f>
        <v>0.851622271</v>
      </c>
      <c r="AE3115" s="2">
        <f>IFERROR(__xludf.DUMMYFUNCTION("IFERROR(ABS(Q3115-AVERAGE(FILTER(Q3115:Q7183,AA3115:AA7183=""Neighbor""))) / STDEV(FILTER(Q3115:Q7183, AA3115:AA7183 =""Neighbor"")), """")"),0.04231527702762784)</f>
        <v>0.04231527703</v>
      </c>
      <c r="AF3115" s="2">
        <f>IFERROR(__xludf.DUMMYFUNCTION("IFERROR(ABS(R3115-AVERAGE(FILTER(R3115:R7183,AA3115:AA7183=""Neighbor""))) / STDEV(FILTER(R3115:R7183, AA3115:AA7183 =""Neighbor"")), """")"),0.3322137417262386)</f>
        <v>0.3322137417</v>
      </c>
    </row>
    <row r="3116">
      <c r="A3116" s="2" t="s">
        <v>28</v>
      </c>
      <c r="B3116" s="2" t="s">
        <v>1711</v>
      </c>
      <c r="C3116" s="2" t="s">
        <v>1943</v>
      </c>
      <c r="D3116" s="2" t="s">
        <v>12712</v>
      </c>
      <c r="E3116" s="2" t="s">
        <v>12713</v>
      </c>
      <c r="F3116" s="2">
        <v>141.0</v>
      </c>
      <c r="G3116" s="2">
        <v>249.0</v>
      </c>
      <c r="H3116" s="2" t="b">
        <v>1</v>
      </c>
      <c r="I3116" s="2">
        <v>-1.0</v>
      </c>
      <c r="J3116" s="2" t="b">
        <v>0</v>
      </c>
      <c r="K3116" s="2" t="b">
        <v>0</v>
      </c>
      <c r="L3116" s="2" t="b">
        <v>0</v>
      </c>
      <c r="M3116" s="2" t="b">
        <v>0</v>
      </c>
      <c r="N3116" s="2" t="s">
        <v>33</v>
      </c>
      <c r="O3116" s="2">
        <v>63.0</v>
      </c>
      <c r="P3116" s="2">
        <v>11.0</v>
      </c>
      <c r="Q3116" s="2">
        <v>40.0</v>
      </c>
      <c r="R3116" s="2">
        <v>0.0</v>
      </c>
      <c r="S3116" s="3" t="s">
        <v>12714</v>
      </c>
      <c r="T3116" s="2" t="s">
        <v>12715</v>
      </c>
      <c r="Y3116" s="4" t="str">
        <f>IFERROR(__xludf.DUMMYFUNCTION("""COMPUTED_VALUE"""),"6.7106117")</f>
        <v>6.7106117</v>
      </c>
      <c r="Z3116" s="4" t="str">
        <f>IFERROR(__xludf.DUMMYFUNCTION("""COMPUTED_VALUE"""),"3.255637")</f>
        <v>3.255637</v>
      </c>
      <c r="AA3116" s="4" t="str">
        <f t="shared" si="1"/>
        <v>Not Neighbor</v>
      </c>
      <c r="AC3116" s="4">
        <f>IFERROR(__xludf.DUMMYFUNCTION("IFERROR(ABS(O3116-AVERAGE(FILTER(O3116:O7184,AA3116:AA7184=""Neighbor""))) / STDEV(FILTER(O3116:O7184, AA3116:AA7184 =""Neighbor"")), """")"),0.5255180705948793)</f>
        <v>0.5255180706</v>
      </c>
      <c r="AD3116" s="4">
        <f>IFERROR(__xludf.DUMMYFUNCTION("IFERROR(ABS(P3116-AVERAGE(FILTER(O3116:P7184,AA3116:AA7184=""Neighbor""))) / STDEV(FILTER(P3116:P7184, AA3116:AA7184 =""Neighbor"")), """")"),0.8516222709777732)</f>
        <v>0.851622271</v>
      </c>
      <c r="AE3116" s="2">
        <f>IFERROR(__xludf.DUMMYFUNCTION("IFERROR(ABS(Q3116-AVERAGE(FILTER(Q3116:Q7184,AA3116:AA7184=""Neighbor""))) / STDEV(FILTER(Q3116:Q7184, AA3116:AA7184 =""Neighbor"")), """")"),1.319013844382104)</f>
        <v>1.319013844</v>
      </c>
      <c r="AF3116" s="2">
        <f>IFERROR(__xludf.DUMMYFUNCTION("IFERROR(ABS(R3116-AVERAGE(FILTER(R3116:R7184,AA3116:AA7184=""Neighbor""))) / STDEV(FILTER(R3116:R7184, AA3116:AA7184 =""Neighbor"")), """")"),0.3322137417262386)</f>
        <v>0.3322137417</v>
      </c>
    </row>
    <row r="3117">
      <c r="A3117" s="2" t="s">
        <v>28</v>
      </c>
      <c r="B3117" s="2" t="s">
        <v>1711</v>
      </c>
      <c r="C3117" s="2" t="s">
        <v>1943</v>
      </c>
      <c r="D3117" s="2" t="s">
        <v>12716</v>
      </c>
      <c r="E3117" s="2" t="s">
        <v>12717</v>
      </c>
      <c r="F3117" s="2">
        <v>64.0</v>
      </c>
      <c r="G3117" s="2">
        <v>117.0</v>
      </c>
      <c r="H3117" s="2" t="b">
        <v>1</v>
      </c>
      <c r="I3117" s="2">
        <v>-1.0</v>
      </c>
      <c r="J3117" s="2" t="b">
        <v>0</v>
      </c>
      <c r="K3117" s="2" t="b">
        <v>0</v>
      </c>
      <c r="L3117" s="2" t="b">
        <v>0</v>
      </c>
      <c r="M3117" s="2" t="b">
        <v>0</v>
      </c>
      <c r="N3117" s="2" t="s">
        <v>33</v>
      </c>
      <c r="O3117" s="2">
        <v>19.0</v>
      </c>
      <c r="P3117" s="2">
        <v>24.0</v>
      </c>
      <c r="Q3117" s="2">
        <v>17.0</v>
      </c>
      <c r="R3117" s="2">
        <v>1.0</v>
      </c>
      <c r="S3117" s="3" t="s">
        <v>12718</v>
      </c>
      <c r="T3117" s="2" t="s">
        <v>12719</v>
      </c>
      <c r="Y3117" s="4" t="str">
        <f>IFERROR(__xludf.DUMMYFUNCTION("""COMPUTED_VALUE"""),"6.7191054")</f>
        <v>6.7191054</v>
      </c>
      <c r="Z3117" s="4" t="str">
        <f>IFERROR(__xludf.DUMMYFUNCTION("""COMPUTED_VALUE"""),"3.2437986")</f>
        <v>3.2437986</v>
      </c>
      <c r="AA3117" s="4" t="str">
        <f t="shared" si="1"/>
        <v>Not Neighbor</v>
      </c>
      <c r="AC3117" s="4">
        <f>IFERROR(__xludf.DUMMYFUNCTION("IFERROR(ABS(O3117-AVERAGE(FILTER(O3117:O7185,AA3117:AA7185=""Neighbor""))) / STDEV(FILTER(O3117:O7185, AA3117:AA7185 =""Neighbor"")), """")"),0.847522258429263)</f>
        <v>0.8475222584</v>
      </c>
      <c r="AD3117" s="4">
        <f>IFERROR(__xludf.DUMMYFUNCTION("IFERROR(ABS(P3117-AVERAGE(FILTER(O3117:P7185,AA3117:AA7185=""Neighbor""))) / STDEV(FILTER(P3117:P7185, AA3117:AA7185 =""Neighbor"")), """")"),0.32080080126263005)</f>
        <v>0.3208008013</v>
      </c>
      <c r="AE3117" s="2">
        <f>IFERROR(__xludf.DUMMYFUNCTION("IFERROR(ABS(Q3117-AVERAGE(FILTER(Q3117:Q7185,AA3117:AA7185=""Neighbor""))) / STDEV(FILTER(Q3117:Q7185, AA3117:AA7185 =""Neighbor"")), """")"),0.04231527702762784)</f>
        <v>0.04231527703</v>
      </c>
      <c r="AF3117" s="2">
        <f>IFERROR(__xludf.DUMMYFUNCTION("IFERROR(ABS(R3117-AVERAGE(FILTER(R3117:R7185,AA3117:AA7185=""Neighbor""))) / STDEV(FILTER(R3117:R7185, AA3117:AA7185 =""Neighbor"")), """")"),0.7389427152415399)</f>
        <v>0.7389427152</v>
      </c>
    </row>
    <row r="3118">
      <c r="A3118" s="2" t="s">
        <v>28</v>
      </c>
      <c r="B3118" s="2" t="s">
        <v>1711</v>
      </c>
      <c r="C3118" s="2" t="s">
        <v>1943</v>
      </c>
      <c r="D3118" s="2" t="s">
        <v>12720</v>
      </c>
      <c r="E3118" s="2" t="s">
        <v>12721</v>
      </c>
      <c r="F3118" s="2">
        <v>154.0</v>
      </c>
      <c r="G3118" s="2">
        <v>248.0</v>
      </c>
      <c r="H3118" s="2" t="b">
        <v>1</v>
      </c>
      <c r="I3118" s="2">
        <v>-1.0</v>
      </c>
      <c r="J3118" s="2" t="b">
        <v>0</v>
      </c>
      <c r="K3118" s="2" t="b">
        <v>0</v>
      </c>
      <c r="L3118" s="2" t="b">
        <v>0</v>
      </c>
      <c r="M3118" s="2" t="b">
        <v>0</v>
      </c>
      <c r="N3118" s="2" t="s">
        <v>33</v>
      </c>
      <c r="O3118" s="2">
        <v>0.0</v>
      </c>
      <c r="P3118" s="2">
        <v>42.0</v>
      </c>
      <c r="Q3118" s="2">
        <v>0.0</v>
      </c>
      <c r="R3118" s="2">
        <v>0.0</v>
      </c>
      <c r="S3118" s="3" t="s">
        <v>12722</v>
      </c>
      <c r="T3118" s="2" t="s">
        <v>12723</v>
      </c>
      <c r="Y3118" s="4" t="str">
        <f>IFERROR(__xludf.DUMMYFUNCTION("""COMPUTED_VALUE"""),"6.7244294")</f>
        <v>6.7244294</v>
      </c>
      <c r="Z3118" s="4" t="str">
        <f>IFERROR(__xludf.DUMMYFUNCTION("""COMPUTED_VALUE"""),"3.2324436")</f>
        <v>3.2324436</v>
      </c>
      <c r="AA3118" s="4" t="str">
        <f t="shared" si="1"/>
        <v>Not Neighbor</v>
      </c>
      <c r="AC3118" s="4">
        <f>IFERROR(__xludf.DUMMYFUNCTION("IFERROR(ABS(O3118-AVERAGE(FILTER(O3118:O7186,AA3118:AA7186=""Neighbor""))) / STDEV(FILTER(O3118:O7186, AA3118:AA7186 =""Neighbor"")), """")"),1.4404260368715063)</f>
        <v>1.440426037</v>
      </c>
      <c r="AD3118" s="4">
        <f>IFERROR(__xludf.DUMMYFUNCTION("IFERROR(ABS(P3118-AVERAGE(FILTER(O3118:P7186,AA3118:AA7186=""Neighbor""))) / STDEV(FILTER(P3118:P7186, AA3118:AA7186 =""Neighbor"")), """")"),0.41418277218910665)</f>
        <v>0.4141827722</v>
      </c>
      <c r="AE3118" s="2">
        <f>IFERROR(__xludf.DUMMYFUNCTION("IFERROR(ABS(Q3118-AVERAGE(FILTER(Q3118:Q7186,AA3118:AA7186=""Neighbor""))) / STDEV(FILTER(Q3118:Q7186, AA3118:AA7186 =""Neighbor"")), """")"),0.9013314901474198)</f>
        <v>0.9013314901</v>
      </c>
      <c r="AF3118" s="2">
        <f>IFERROR(__xludf.DUMMYFUNCTION("IFERROR(ABS(R3118-AVERAGE(FILTER(R3118:R7186,AA3118:AA7186=""Neighbor""))) / STDEV(FILTER(R3118:R7186, AA3118:AA7186 =""Neighbor"")), """")"),0.3322137417262386)</f>
        <v>0.3322137417</v>
      </c>
    </row>
    <row r="3119">
      <c r="A3119" s="2" t="s">
        <v>28</v>
      </c>
      <c r="B3119" s="2" t="s">
        <v>2660</v>
      </c>
      <c r="C3119" s="2" t="s">
        <v>3174</v>
      </c>
      <c r="D3119" s="2" t="s">
        <v>12724</v>
      </c>
      <c r="E3119" s="2" t="s">
        <v>12725</v>
      </c>
      <c r="F3119" s="2">
        <v>42.0</v>
      </c>
      <c r="G3119" s="2">
        <v>78.0</v>
      </c>
      <c r="H3119" s="2" t="b">
        <v>1</v>
      </c>
      <c r="I3119" s="2">
        <v>-1.0</v>
      </c>
      <c r="J3119" s="2" t="b">
        <v>0</v>
      </c>
      <c r="K3119" s="2" t="b">
        <v>0</v>
      </c>
      <c r="L3119" s="2" t="b">
        <v>0</v>
      </c>
      <c r="M3119" s="2" t="b">
        <v>0</v>
      </c>
      <c r="N3119" s="2" t="s">
        <v>33</v>
      </c>
      <c r="O3119" s="2">
        <v>26.0</v>
      </c>
      <c r="P3119" s="2">
        <v>3.0</v>
      </c>
      <c r="Q3119" s="2">
        <v>5.0</v>
      </c>
      <c r="R3119" s="2">
        <v>0.0</v>
      </c>
      <c r="S3119" s="3" t="s">
        <v>12726</v>
      </c>
      <c r="T3119" s="2" t="s">
        <v>12727</v>
      </c>
      <c r="Y3119" s="4" t="str">
        <f>IFERROR(__xludf.DUMMYFUNCTION("""COMPUTED_VALUE"""),"7.1459953")</f>
        <v>7.1459953</v>
      </c>
      <c r="Z3119" s="4" t="str">
        <f>IFERROR(__xludf.DUMMYFUNCTION("""COMPUTED_VALUE"""),"2.8552169")</f>
        <v>2.8552169</v>
      </c>
      <c r="AA3119" s="4" t="str">
        <f t="shared" si="1"/>
        <v>Neighbor</v>
      </c>
      <c r="AC3119" s="4">
        <f>IFERROR(__xludf.DUMMYFUNCTION("IFERROR(ABS(O3119-AVERAGE(FILTER(O3119:O7187,AA3119:AA7187=""Neighbor""))) / STDEV(FILTER(O3119:O7187, AA3119:AA7187 =""Neighbor"")), """")"),0.6290840242663313)</f>
        <v>0.6290840243</v>
      </c>
      <c r="AD3119" s="4">
        <f>IFERROR(__xludf.DUMMYFUNCTION("IFERROR(ABS(P3119-AVERAGE(FILTER(O3119:P7187,AA3119:AA7187=""Neighbor""))) / STDEV(FILTER(P3119:P7187, AA3119:AA7187 =""Neighbor"")), """")"),1.1782816369563227)</f>
        <v>1.178281637</v>
      </c>
      <c r="AE3119" s="2">
        <f>IFERROR(__xludf.DUMMYFUNCTION("IFERROR(ABS(Q3119-AVERAGE(FILTER(Q3119:Q7187,AA3119:AA7187=""Neighbor""))) / STDEV(FILTER(Q3119:Q7187, AA3119:AA7187 =""Neighbor"")), """")"),0.6237883233312294)</f>
        <v>0.6237883233</v>
      </c>
      <c r="AF3119" s="2">
        <f>IFERROR(__xludf.DUMMYFUNCTION("IFERROR(ABS(R3119-AVERAGE(FILTER(R3119:R7187,AA3119:AA7187=""Neighbor""))) / STDEV(FILTER(R3119:R7187, AA3119:AA7187 =""Neighbor"")), """")"),0.3322137417262386)</f>
        <v>0.3322137417</v>
      </c>
    </row>
    <row r="3120">
      <c r="A3120" s="2" t="s">
        <v>28</v>
      </c>
      <c r="B3120" s="2" t="s">
        <v>2660</v>
      </c>
      <c r="C3120" s="2" t="s">
        <v>3174</v>
      </c>
      <c r="D3120" s="2" t="s">
        <v>12728</v>
      </c>
      <c r="E3120" s="2" t="s">
        <v>12729</v>
      </c>
      <c r="F3120" s="2">
        <v>86.0</v>
      </c>
      <c r="G3120" s="2">
        <v>155.0</v>
      </c>
      <c r="H3120" s="2" t="b">
        <v>1</v>
      </c>
      <c r="I3120" s="2">
        <v>-1.0</v>
      </c>
      <c r="J3120" s="2" t="b">
        <v>0</v>
      </c>
      <c r="K3120" s="2" t="b">
        <v>0</v>
      </c>
      <c r="L3120" s="2" t="b">
        <v>0</v>
      </c>
      <c r="M3120" s="2" t="b">
        <v>0</v>
      </c>
      <c r="N3120" s="2" t="s">
        <v>33</v>
      </c>
      <c r="O3120" s="2">
        <v>42.0</v>
      </c>
      <c r="P3120" s="2">
        <v>2.0</v>
      </c>
      <c r="Q3120" s="2">
        <v>18.0</v>
      </c>
      <c r="R3120" s="2">
        <v>1.0</v>
      </c>
      <c r="S3120" s="3" t="s">
        <v>12730</v>
      </c>
      <c r="T3120" s="2" t="s">
        <v>12731</v>
      </c>
      <c r="Y3120" s="4" t="str">
        <f>IFERROR(__xludf.DUMMYFUNCTION("""COMPUTED_VALUE"""),"7.1459953")</f>
        <v>7.1459953</v>
      </c>
      <c r="Z3120" s="4" t="str">
        <f>IFERROR(__xludf.DUMMYFUNCTION("""COMPUTED_VALUE"""),"2.8552169")</f>
        <v>2.8552169</v>
      </c>
      <c r="AA3120" s="4" t="str">
        <f t="shared" si="1"/>
        <v>Neighbor</v>
      </c>
      <c r="AC3120" s="4">
        <f>IFERROR(__xludf.DUMMYFUNCTION("IFERROR(ABS(O3120-AVERAGE(FILTER(O3120:O7188,AA3120:AA7188=""Neighbor""))) / STDEV(FILTER(O3120:O7188, AA3120:AA7188 =""Neighbor"")), """")"),0.13150979731961088)</f>
        <v>0.1315097973</v>
      </c>
      <c r="AD3120" s="4">
        <f>IFERROR(__xludf.DUMMYFUNCTION("IFERROR(ABS(P3120-AVERAGE(FILTER(O3120:P7188,AA3120:AA7188=""Neighbor""))) / STDEV(FILTER(P3120:P7188, AA3120:AA7188 =""Neighbor"")), """")"),1.2200262145464709)</f>
        <v>1.220026215</v>
      </c>
      <c r="AE3120" s="2">
        <f>IFERROR(__xludf.DUMMYFUNCTION("IFERROR(ABS(Q3120-AVERAGE(FILTER(Q3120:Q7188,AA3120:AA7188=""Neighbor""))) / STDEV(FILTER(Q3120:Q7188, AA3120:AA7188 =""Neighbor"")), """")"),0.09592534603462109)</f>
        <v>0.09592534603</v>
      </c>
      <c r="AF3120" s="2">
        <f>IFERROR(__xludf.DUMMYFUNCTION("IFERROR(ABS(R3120-AVERAGE(FILTER(R3120:R7188,AA3120:AA7188=""Neighbor""))) / STDEV(FILTER(R3120:R7188, AA3120:AA7188 =""Neighbor"")), """")"),0.7370221391136749)</f>
        <v>0.7370221391</v>
      </c>
    </row>
    <row r="3121">
      <c r="A3121" s="2" t="s">
        <v>28</v>
      </c>
      <c r="B3121" s="2" t="s">
        <v>2660</v>
      </c>
      <c r="C3121" s="2" t="s">
        <v>3174</v>
      </c>
      <c r="D3121" s="2" t="s">
        <v>12732</v>
      </c>
      <c r="E3121" s="2" t="s">
        <v>12733</v>
      </c>
      <c r="F3121" s="2">
        <v>53.0</v>
      </c>
      <c r="G3121" s="2">
        <v>117.0</v>
      </c>
      <c r="H3121" s="2" t="b">
        <v>1</v>
      </c>
      <c r="I3121" s="2">
        <v>-1.0</v>
      </c>
      <c r="J3121" s="2" t="b">
        <v>0</v>
      </c>
      <c r="K3121" s="2" t="b">
        <v>0</v>
      </c>
      <c r="L3121" s="2" t="b">
        <v>0</v>
      </c>
      <c r="M3121" s="2" t="b">
        <v>0</v>
      </c>
      <c r="N3121" s="2" t="s">
        <v>33</v>
      </c>
      <c r="O3121" s="2">
        <v>17.0</v>
      </c>
      <c r="P3121" s="2">
        <v>3.0</v>
      </c>
      <c r="Q3121" s="2">
        <v>24.0</v>
      </c>
      <c r="R3121" s="2">
        <v>4.0</v>
      </c>
      <c r="S3121" s="3" t="s">
        <v>12734</v>
      </c>
      <c r="T3121" s="2" t="s">
        <v>12735</v>
      </c>
      <c r="Y3121" s="4" t="str">
        <f>IFERROR(__xludf.DUMMYFUNCTION("""COMPUTED_VALUE"""),"7.1459953")</f>
        <v>7.1459953</v>
      </c>
      <c r="Z3121" s="4" t="str">
        <f>IFERROR(__xludf.DUMMYFUNCTION("""COMPUTED_VALUE"""),"2.8552169")</f>
        <v>2.8552169</v>
      </c>
      <c r="AA3121" s="4" t="str">
        <f t="shared" si="1"/>
        <v>Not Neighbor</v>
      </c>
      <c r="AC3121" s="4">
        <f>IFERROR(__xludf.DUMMYFUNCTION("IFERROR(ABS(O3121-AVERAGE(FILTER(O3121:O7189,AA3121:AA7189=""Neighbor""))) / STDEV(FILTER(O3121:O7189, AA3121:AA7189 =""Neighbor"")), """")"),0.910038347313617)</f>
        <v>0.9100383473</v>
      </c>
      <c r="AD3121" s="4">
        <f>IFERROR(__xludf.DUMMYFUNCTION("IFERROR(ABS(P3121-AVERAGE(FILTER(O3121:P7189,AA3121:AA7189=""Neighbor""))) / STDEV(FILTER(P3121:P7189, AA3121:AA7189 =""Neighbor"")), """")"),1.1793866141609248)</f>
        <v>1.179386614</v>
      </c>
      <c r="AE3121" s="2">
        <f>IFERROR(__xludf.DUMMYFUNCTION("IFERROR(ABS(Q3121-AVERAGE(FILTER(Q3121:Q7189,AA3121:AA7189=""Neighbor""))) / STDEV(FILTER(Q3121:Q7189, AA3121:AA7189 =""Neighbor"")), """")"),0.42834116820514384)</f>
        <v>0.4283411682</v>
      </c>
      <c r="AF3121" s="2">
        <f>IFERROR(__xludf.DUMMYFUNCTION("IFERROR(ABS(R3121-AVERAGE(FILTER(R3121:R7189,AA3121:AA7189=""Neighbor""))) / STDEV(FILTER(R3121:R7189, AA3121:AA7189 =""Neighbor"")), """")"),3.94585731682679)</f>
        <v>3.945857317</v>
      </c>
    </row>
    <row r="3122">
      <c r="A3122" s="2" t="s">
        <v>28</v>
      </c>
      <c r="B3122" s="2" t="s">
        <v>2660</v>
      </c>
      <c r="C3122" s="2" t="s">
        <v>3174</v>
      </c>
      <c r="D3122" s="2" t="s">
        <v>12736</v>
      </c>
      <c r="E3122" s="2" t="s">
        <v>12737</v>
      </c>
      <c r="F3122" s="2">
        <v>63.0</v>
      </c>
      <c r="G3122" s="2">
        <v>104.0</v>
      </c>
      <c r="H3122" s="2" t="b">
        <v>1</v>
      </c>
      <c r="I3122" s="2">
        <v>-1.0</v>
      </c>
      <c r="J3122" s="2" t="b">
        <v>0</v>
      </c>
      <c r="K3122" s="2" t="b">
        <v>0</v>
      </c>
      <c r="L3122" s="2" t="b">
        <v>0</v>
      </c>
      <c r="M3122" s="2" t="b">
        <v>0</v>
      </c>
      <c r="N3122" s="2" t="s">
        <v>33</v>
      </c>
      <c r="O3122" s="2">
        <v>4.0</v>
      </c>
      <c r="P3122" s="2">
        <v>1.0</v>
      </c>
      <c r="Q3122" s="2">
        <v>48.0</v>
      </c>
      <c r="R3122" s="2">
        <v>3.0</v>
      </c>
      <c r="S3122" s="3" t="s">
        <v>12738</v>
      </c>
      <c r="T3122" s="2" t="s">
        <v>12739</v>
      </c>
      <c r="Y3122" s="4" t="str">
        <f>IFERROR(__xludf.DUMMYFUNCTION("""COMPUTED_VALUE"""),"7.268275")</f>
        <v>7.268275</v>
      </c>
      <c r="Z3122" s="4" t="str">
        <f>IFERROR(__xludf.DUMMYFUNCTION("""COMPUTED_VALUE"""),"2.771848")</f>
        <v>2.771848</v>
      </c>
      <c r="AA3122" s="4" t="str">
        <f t="shared" si="1"/>
        <v>Not Neighbor</v>
      </c>
      <c r="AC3122" s="4">
        <f>IFERROR(__xludf.DUMMYFUNCTION("IFERROR(ABS(O3122-AVERAGE(FILTER(O3122:O7190,AA3122:AA7190=""Neighbor""))) / STDEV(FILTER(O3122:O7190, AA3122:AA7190 =""Neighbor"")), """")"),1.3147721385236129)</f>
        <v>1.314772139</v>
      </c>
      <c r="AD3122" s="4">
        <f>IFERROR(__xludf.DUMMYFUNCTION("IFERROR(ABS(P3122-AVERAGE(FILTER(O3122:P7190,AA3122:AA7190=""Neighbor""))) / STDEV(FILTER(P3122:P7190, AA3122:AA7190 =""Neighbor"")), """")"),1.260903915653559)</f>
        <v>1.260903916</v>
      </c>
      <c r="AE3122" s="2">
        <f>IFERROR(__xludf.DUMMYFUNCTION("IFERROR(ABS(Q3122-AVERAGE(FILTER(Q3122:Q7190,AA3122:AA7190=""Neighbor""))) / STDEV(FILTER(Q3122:Q7190, AA3122:AA7190 =""Neighbor"")), """")"),1.7574419961978855)</f>
        <v>1.757441996</v>
      </c>
      <c r="AF3122" s="2">
        <f>IFERROR(__xludf.DUMMYFUNCTION("IFERROR(ABS(R3122-AVERAGE(FILTER(R3122:R7190,AA3122:AA7190=""Neighbor""))) / STDEV(FILTER(R3122:R7190, AA3122:AA7190 =""Neighbor"")), """")"),2.8767980279866725)</f>
        <v>2.876798028</v>
      </c>
    </row>
    <row r="3123">
      <c r="A3123" s="2" t="s">
        <v>28</v>
      </c>
      <c r="B3123" s="2" t="s">
        <v>2660</v>
      </c>
      <c r="C3123" s="2" t="s">
        <v>3174</v>
      </c>
      <c r="D3123" s="2" t="s">
        <v>12740</v>
      </c>
      <c r="E3123" s="2" t="s">
        <v>12741</v>
      </c>
      <c r="F3123" s="2">
        <v>52.0</v>
      </c>
      <c r="G3123" s="2">
        <v>108.0</v>
      </c>
      <c r="H3123" s="2" t="b">
        <v>1</v>
      </c>
      <c r="I3123" s="2">
        <v>-1.0</v>
      </c>
      <c r="J3123" s="2" t="b">
        <v>0</v>
      </c>
      <c r="K3123" s="2" t="b">
        <v>0</v>
      </c>
      <c r="L3123" s="2" t="b">
        <v>0</v>
      </c>
      <c r="M3123" s="2" t="b">
        <v>0</v>
      </c>
      <c r="N3123" s="2" t="s">
        <v>33</v>
      </c>
      <c r="O3123" s="2">
        <v>23.0</v>
      </c>
      <c r="P3123" s="2">
        <v>0.0</v>
      </c>
      <c r="Q3123" s="2">
        <v>22.0</v>
      </c>
      <c r="R3123" s="2">
        <v>3.0</v>
      </c>
      <c r="S3123" s="3" t="s">
        <v>12742</v>
      </c>
      <c r="T3123" s="2" t="s">
        <v>12743</v>
      </c>
      <c r="Y3123" s="4" t="str">
        <f>IFERROR(__xludf.DUMMYFUNCTION("""COMPUTED_VALUE"""),"7.1950972")</f>
        <v>7.1950972</v>
      </c>
      <c r="Z3123" s="4" t="str">
        <f>IFERROR(__xludf.DUMMYFUNCTION("""COMPUTED_VALUE"""),"2.8420499")</f>
        <v>2.8420499</v>
      </c>
      <c r="AA3123" s="4" t="str">
        <f t="shared" si="1"/>
        <v>Not Neighbor</v>
      </c>
      <c r="AC3123" s="4">
        <f>IFERROR(__xludf.DUMMYFUNCTION("IFERROR(ABS(O3123-AVERAGE(FILTER(O3123:O7191,AA3123:AA7191=""Neighbor""))) / STDEV(FILTER(O3123:O7191, AA3123:AA7191 =""Neighbor"")), """")"),0.7232381359859266)</f>
        <v>0.723238136</v>
      </c>
      <c r="AD3123" s="4">
        <f>IFERROR(__xludf.DUMMYFUNCTION("IFERROR(ABS(P3123-AVERAGE(FILTER(O3123:P7191,AA3123:AA7191=""Neighbor""))) / STDEV(FILTER(P3123:P7191, AA3123:AA7191 =""Neighbor"")), """")"),1.3016625663998762)</f>
        <v>1.301662566</v>
      </c>
      <c r="AE3123" s="2">
        <f>IFERROR(__xludf.DUMMYFUNCTION("IFERROR(ABS(Q3123-AVERAGE(FILTER(Q3123:Q7191,AA3123:AA7191=""Neighbor""))) / STDEV(FILTER(Q3123:Q7191, AA3123:AA7191 =""Neighbor"")), """")"),0.31758276587241535)</f>
        <v>0.3175827659</v>
      </c>
      <c r="AF3123" s="2">
        <f>IFERROR(__xludf.DUMMYFUNCTION("IFERROR(ABS(R3123-AVERAGE(FILTER(R3123:R7191,AA3123:AA7191=""Neighbor""))) / STDEV(FILTER(R3123:R7191, AA3123:AA7191 =""Neighbor"")), """")"),2.8767980279866725)</f>
        <v>2.876798028</v>
      </c>
    </row>
    <row r="3124">
      <c r="A3124" s="2" t="s">
        <v>28</v>
      </c>
      <c r="B3124" s="2" t="s">
        <v>2660</v>
      </c>
      <c r="C3124" s="2" t="s">
        <v>3174</v>
      </c>
      <c r="D3124" s="2" t="s">
        <v>12744</v>
      </c>
      <c r="E3124" s="2" t="s">
        <v>12745</v>
      </c>
      <c r="F3124" s="2">
        <v>34.0</v>
      </c>
      <c r="G3124" s="2">
        <v>73.0</v>
      </c>
      <c r="H3124" s="2" t="b">
        <v>1</v>
      </c>
      <c r="I3124" s="2">
        <v>-1.0</v>
      </c>
      <c r="J3124" s="2" t="b">
        <v>0</v>
      </c>
      <c r="K3124" s="2" t="b">
        <v>0</v>
      </c>
      <c r="L3124" s="2" t="b">
        <v>0</v>
      </c>
      <c r="M3124" s="2" t="b">
        <v>0</v>
      </c>
      <c r="N3124" s="2" t="s">
        <v>33</v>
      </c>
      <c r="O3124" s="2">
        <v>0.0</v>
      </c>
      <c r="P3124" s="2">
        <v>0.0</v>
      </c>
      <c r="Q3124" s="2">
        <v>0.0</v>
      </c>
      <c r="R3124" s="2">
        <v>0.0</v>
      </c>
      <c r="S3124" s="3" t="s">
        <v>12746</v>
      </c>
      <c r="T3124" s="2" t="s">
        <v>12747</v>
      </c>
      <c r="Y3124" s="4" t="str">
        <f>IFERROR(__xludf.DUMMYFUNCTION("""COMPUTED_VALUE"""),"7.1459953")</f>
        <v>7.1459953</v>
      </c>
      <c r="Z3124" s="4" t="str">
        <f>IFERROR(__xludf.DUMMYFUNCTION("""COMPUTED_VALUE"""),"2.8552169")</f>
        <v>2.8552169</v>
      </c>
      <c r="AA3124" s="4" t="str">
        <f t="shared" si="1"/>
        <v>Not Neighbor</v>
      </c>
      <c r="AC3124" s="4">
        <f>IFERROR(__xludf.DUMMYFUNCTION("IFERROR(ABS(O3124-AVERAGE(FILTER(O3124:O7192,AA3124:AA7192=""Neighbor""))) / STDEV(FILTER(O3124:O7192, AA3124:AA7192 =""Neighbor"")), """")"),1.439305612742073)</f>
        <v>1.439305613</v>
      </c>
      <c r="AD3124" s="4">
        <f>IFERROR(__xludf.DUMMYFUNCTION("IFERROR(ABS(P3124-AVERAGE(FILTER(O3124:P7192,AA3124:AA7192=""Neighbor""))) / STDEV(FILTER(P3124:P7192, AA3124:AA7192 =""Neighbor"")), """")"),1.3016625663998762)</f>
        <v>1.301662566</v>
      </c>
      <c r="AE3124" s="2">
        <f>IFERROR(__xludf.DUMMYFUNCTION("IFERROR(ABS(Q3124-AVERAGE(FILTER(Q3124:Q7192,AA3124:AA7192=""Neighbor""))) / STDEV(FILTER(Q3124:Q7192, AA3124:AA7192 =""Neighbor"")), """")"),0.900759659787598)</f>
        <v>0.9007596598</v>
      </c>
      <c r="AF3124" s="2">
        <f>IFERROR(__xludf.DUMMYFUNCTION("IFERROR(ABS(R3124-AVERAGE(FILTER(R3124:R7192,AA3124:AA7192=""Neighbor""))) / STDEV(FILTER(R3124:R7192, AA3124:AA7192 =""Neighbor"")), """")"),0.33037983853368064)</f>
        <v>0.3303798385</v>
      </c>
    </row>
    <row r="3125">
      <c r="A3125" s="2" t="s">
        <v>28</v>
      </c>
      <c r="B3125" s="2" t="s">
        <v>2660</v>
      </c>
      <c r="C3125" s="2" t="s">
        <v>3174</v>
      </c>
      <c r="D3125" s="2" t="s">
        <v>12748</v>
      </c>
      <c r="E3125" s="2" t="s">
        <v>12749</v>
      </c>
      <c r="F3125" s="2">
        <v>45.0</v>
      </c>
      <c r="G3125" s="2">
        <v>108.0</v>
      </c>
      <c r="H3125" s="2" t="b">
        <v>1</v>
      </c>
      <c r="I3125" s="2">
        <v>-1.0</v>
      </c>
      <c r="J3125" s="2" t="b">
        <v>0</v>
      </c>
      <c r="K3125" s="2" t="b">
        <v>1</v>
      </c>
      <c r="L3125" s="2" t="b">
        <v>0</v>
      </c>
      <c r="M3125" s="2" t="b">
        <v>0</v>
      </c>
      <c r="N3125" s="2" t="s">
        <v>33</v>
      </c>
      <c r="O3125" s="2">
        <v>32.0</v>
      </c>
      <c r="P3125" s="2">
        <v>0.0</v>
      </c>
      <c r="Q3125" s="2">
        <v>13.0</v>
      </c>
      <c r="R3125" s="2">
        <v>0.0</v>
      </c>
      <c r="S3125" s="3" t="s">
        <v>12750</v>
      </c>
      <c r="T3125" s="2" t="s">
        <v>12751</v>
      </c>
      <c r="Y3125" s="4" t="str">
        <f>IFERROR(__xludf.DUMMYFUNCTION("""COMPUTED_VALUE"""),"7.2609636")</f>
        <v>7.2609636</v>
      </c>
      <c r="Z3125" s="4" t="str">
        <f>IFERROR(__xludf.DUMMYFUNCTION("""COMPUTED_VALUE"""),"2.7642914")</f>
        <v>2.7642914</v>
      </c>
      <c r="AA3125" s="4" t="str">
        <f t="shared" si="1"/>
        <v>Not Neighbor</v>
      </c>
      <c r="AC3125" s="4">
        <f>IFERROR(__xludf.DUMMYFUNCTION("IFERROR(ABS(O3125-AVERAGE(FILTER(O3125:O7193,AA3125:AA7193=""Neighbor""))) / STDEV(FILTER(O3125:O7193, AA3125:AA7193 =""Neighbor"")), """")"),0.44303781899439104)</f>
        <v>0.443037819</v>
      </c>
      <c r="AD3125" s="4">
        <f>IFERROR(__xludf.DUMMYFUNCTION("IFERROR(ABS(P3125-AVERAGE(FILTER(O3125:P7193,AA3125:AA7193=""Neighbor""))) / STDEV(FILTER(P3125:P7193, AA3125:AA7193 =""Neighbor"")), """")"),1.3016625663998762)</f>
        <v>1.301662566</v>
      </c>
      <c r="AE3125" s="2">
        <f>IFERROR(__xludf.DUMMYFUNCTION("IFERROR(ABS(Q3125-AVERAGE(FILTER(Q3125:Q7193,AA3125:AA7193=""Neighbor""))) / STDEV(FILTER(Q3125:Q7193, AA3125:AA7193 =""Neighbor"")), """")"),0.18083004462486282)</f>
        <v>0.1808300446</v>
      </c>
      <c r="AF3125" s="2">
        <f>IFERROR(__xludf.DUMMYFUNCTION("IFERROR(ABS(R3125-AVERAGE(FILTER(R3125:R7193,AA3125:AA7193=""Neighbor""))) / STDEV(FILTER(R3125:R7193, AA3125:AA7193 =""Neighbor"")), """")"),0.33037983853368064)</f>
        <v>0.3303798385</v>
      </c>
    </row>
    <row r="3126">
      <c r="A3126" s="2" t="s">
        <v>28</v>
      </c>
      <c r="B3126" s="2" t="s">
        <v>2660</v>
      </c>
      <c r="C3126" s="2" t="s">
        <v>3174</v>
      </c>
      <c r="D3126" s="2" t="s">
        <v>12752</v>
      </c>
      <c r="E3126" s="2" t="s">
        <v>12753</v>
      </c>
      <c r="F3126" s="2">
        <v>59.0</v>
      </c>
      <c r="G3126" s="2">
        <v>151.0</v>
      </c>
      <c r="H3126" s="2" t="b">
        <v>1</v>
      </c>
      <c r="I3126" s="2">
        <v>-1.0</v>
      </c>
      <c r="J3126" s="2" t="b">
        <v>0</v>
      </c>
      <c r="K3126" s="2" t="b">
        <v>0</v>
      </c>
      <c r="L3126" s="2" t="b">
        <v>0</v>
      </c>
      <c r="M3126" s="2" t="b">
        <v>0</v>
      </c>
      <c r="N3126" s="2" t="s">
        <v>33</v>
      </c>
      <c r="O3126" s="2">
        <v>23.0</v>
      </c>
      <c r="P3126" s="2">
        <v>4.0</v>
      </c>
      <c r="Q3126" s="2">
        <v>24.0</v>
      </c>
      <c r="R3126" s="2">
        <v>0.0</v>
      </c>
      <c r="S3126" s="3" t="s">
        <v>12754</v>
      </c>
      <c r="T3126" s="2" t="s">
        <v>12755</v>
      </c>
      <c r="Y3126" s="4" t="str">
        <f>IFERROR(__xludf.DUMMYFUNCTION("""COMPUTED_VALUE"""),"7.157438")</f>
        <v>7.157438</v>
      </c>
      <c r="Z3126" s="4" t="str">
        <f>IFERROR(__xludf.DUMMYFUNCTION("""COMPUTED_VALUE"""),"2.848761")</f>
        <v>2.848761</v>
      </c>
      <c r="AA3126" s="4" t="str">
        <f t="shared" si="1"/>
        <v>Not Neighbor</v>
      </c>
      <c r="AC3126" s="4">
        <f>IFERROR(__xludf.DUMMYFUNCTION("IFERROR(ABS(O3126-AVERAGE(FILTER(O3126:O7194,AA3126:AA7194=""Neighbor""))) / STDEV(FILTER(O3126:O7194, AA3126:AA7194 =""Neighbor"")), """")"),0.7232381359859266)</f>
        <v>0.723238136</v>
      </c>
      <c r="AD3126" s="4">
        <f>IFERROR(__xludf.DUMMYFUNCTION("IFERROR(ABS(P3126-AVERAGE(FILTER(O3126:P7194,AA3126:AA7194=""Neighbor""))) / STDEV(FILTER(P3126:P7194, AA3126:AA7194 =""Neighbor"")), """")"),1.1386279634146077)</f>
        <v>1.138627963</v>
      </c>
      <c r="AE3126" s="2">
        <f>IFERROR(__xludf.DUMMYFUNCTION("IFERROR(ABS(Q3126-AVERAGE(FILTER(Q3126:Q7194,AA3126:AA7194=""Neighbor""))) / STDEV(FILTER(Q3126:Q7194, AA3126:AA7194 =""Neighbor"")), """")"),0.42834116820514384)</f>
        <v>0.4283411682</v>
      </c>
      <c r="AF3126" s="2">
        <f>IFERROR(__xludf.DUMMYFUNCTION("IFERROR(ABS(R3126-AVERAGE(FILTER(R3126:R7194,AA3126:AA7194=""Neighbor""))) / STDEV(FILTER(R3126:R7194, AA3126:AA7194 =""Neighbor"")), """")"),0.33037983853368064)</f>
        <v>0.3303798385</v>
      </c>
    </row>
    <row r="3127">
      <c r="A3127" s="2" t="s">
        <v>28</v>
      </c>
      <c r="B3127" s="2" t="s">
        <v>2660</v>
      </c>
      <c r="C3127" s="2" t="s">
        <v>3174</v>
      </c>
      <c r="D3127" s="2" t="s">
        <v>12756</v>
      </c>
      <c r="E3127" s="2" t="s">
        <v>12757</v>
      </c>
      <c r="F3127" s="2">
        <v>107.0</v>
      </c>
      <c r="G3127" s="2">
        <v>224.0</v>
      </c>
      <c r="H3127" s="2" t="b">
        <v>1</v>
      </c>
      <c r="I3127" s="2">
        <v>-1.0</v>
      </c>
      <c r="J3127" s="2" t="b">
        <v>0</v>
      </c>
      <c r="K3127" s="2" t="b">
        <v>1</v>
      </c>
      <c r="L3127" s="2" t="b">
        <v>0</v>
      </c>
      <c r="M3127" s="2" t="b">
        <v>0</v>
      </c>
      <c r="N3127" s="2" t="s">
        <v>33</v>
      </c>
      <c r="O3127" s="2">
        <v>69.0</v>
      </c>
      <c r="P3127" s="2">
        <v>0.0</v>
      </c>
      <c r="Q3127" s="2">
        <v>24.0</v>
      </c>
      <c r="R3127" s="2">
        <v>0.0</v>
      </c>
      <c r="S3127" s="3" t="s">
        <v>12758</v>
      </c>
      <c r="T3127" s="2" t="s">
        <v>12759</v>
      </c>
      <c r="Y3127" s="4" t="str">
        <f>IFERROR(__xludf.DUMMYFUNCTION("""COMPUTED_VALUE"""),"7.1459953")</f>
        <v>7.1459953</v>
      </c>
      <c r="Z3127" s="4" t="str">
        <f>IFERROR(__xludf.DUMMYFUNCTION("""COMPUTED_VALUE"""),"2.8552169")</f>
        <v>2.8552169</v>
      </c>
      <c r="AA3127" s="4" t="str">
        <f t="shared" si="1"/>
        <v>Not Neighbor</v>
      </c>
      <c r="AC3127" s="4">
        <f>IFERROR(__xludf.DUMMYFUNCTION("IFERROR(ABS(O3127-AVERAGE(FILTER(O3127:O7195,AA3127:AA7195=""Neighbor""))) / STDEV(FILTER(O3127:O7195, AA3127:AA7195 =""Neighbor"")), """")"),0.7088968175263661)</f>
        <v>0.7088968175</v>
      </c>
      <c r="AD3127" s="4">
        <f>IFERROR(__xludf.DUMMYFUNCTION("IFERROR(ABS(P3127-AVERAGE(FILTER(O3127:P7195,AA3127:AA7195=""Neighbor""))) / STDEV(FILTER(P3127:P7195, AA3127:AA7195 =""Neighbor"")), """")"),1.3016625663998762)</f>
        <v>1.301662566</v>
      </c>
      <c r="AE3127" s="2">
        <f>IFERROR(__xludf.DUMMYFUNCTION("IFERROR(ABS(Q3127-AVERAGE(FILTER(Q3127:Q7195,AA3127:AA7195=""Neighbor""))) / STDEV(FILTER(Q3127:Q7195, AA3127:AA7195 =""Neighbor"")), """")"),0.42834116820514384)</f>
        <v>0.4283411682</v>
      </c>
      <c r="AF3127" s="2">
        <f>IFERROR(__xludf.DUMMYFUNCTION("IFERROR(ABS(R3127-AVERAGE(FILTER(R3127:R7195,AA3127:AA7195=""Neighbor""))) / STDEV(FILTER(R3127:R7195, AA3127:AA7195 =""Neighbor"")), """")"),0.33037983853368064)</f>
        <v>0.3303798385</v>
      </c>
    </row>
    <row r="3128">
      <c r="A3128" s="2" t="s">
        <v>28</v>
      </c>
      <c r="B3128" s="2" t="s">
        <v>2660</v>
      </c>
      <c r="C3128" s="2" t="s">
        <v>2734</v>
      </c>
      <c r="D3128" s="2" t="s">
        <v>12760</v>
      </c>
      <c r="E3128" s="2" t="s">
        <v>12761</v>
      </c>
      <c r="F3128" s="2">
        <v>173.0</v>
      </c>
      <c r="G3128" s="2">
        <v>547.0</v>
      </c>
      <c r="H3128" s="2" t="b">
        <v>1</v>
      </c>
      <c r="I3128" s="2">
        <v>-1.0</v>
      </c>
      <c r="J3128" s="2" t="b">
        <v>0</v>
      </c>
      <c r="K3128" s="2" t="b">
        <v>0</v>
      </c>
      <c r="L3128" s="2" t="b">
        <v>0</v>
      </c>
      <c r="M3128" s="2" t="b">
        <v>0</v>
      </c>
      <c r="N3128" s="2" t="s">
        <v>33</v>
      </c>
      <c r="O3128" s="2">
        <v>116.0</v>
      </c>
      <c r="P3128" s="2">
        <v>11.0</v>
      </c>
      <c r="Q3128" s="2">
        <v>34.0</v>
      </c>
      <c r="R3128" s="2">
        <v>2.0</v>
      </c>
      <c r="S3128" s="3" t="s">
        <v>12762</v>
      </c>
      <c r="T3128" s="2" t="s">
        <v>12763</v>
      </c>
      <c r="Y3128" s="4" t="str">
        <f>IFERROR(__xludf.DUMMYFUNCTION("""COMPUTED_VALUE"""),"7.2390599")</f>
        <v>7.2390599</v>
      </c>
      <c r="Z3128" s="4" t="str">
        <f>IFERROR(__xludf.DUMMYFUNCTION("""COMPUTED_VALUE"""),"3.0325855")</f>
        <v>3.0325855</v>
      </c>
      <c r="AA3128" s="4" t="str">
        <f t="shared" si="1"/>
        <v>Neighbor</v>
      </c>
      <c r="AC3128" s="4">
        <f>IFERROR(__xludf.DUMMYFUNCTION("IFERROR(ABS(O3128-AVERAGE(FILTER(O3128:O7196,AA3128:AA7196=""Neighbor""))) / STDEV(FILTER(O3128:O7196, AA3128:AA7196 =""Neighbor"")), """")"),2.172165139593274)</f>
        <v>2.17216514</v>
      </c>
      <c r="AD3128" s="4">
        <f>IFERROR(__xludf.DUMMYFUNCTION("IFERROR(ABS(P3128-AVERAGE(FILTER(O3128:P7196,AA3128:AA7196=""Neighbor""))) / STDEV(FILTER(P3128:P7196, AA3128:AA7196 =""Neighbor"")), """")"),0.853317408190388)</f>
        <v>0.8533174082</v>
      </c>
      <c r="AE3128" s="2">
        <f>IFERROR(__xludf.DUMMYFUNCTION("IFERROR(ABS(Q3128-AVERAGE(FILTER(Q3128:Q7196,AA3128:AA7196=""Neighbor""))) / STDEV(FILTER(Q3128:Q7196, AA3128:AA7196 =""Neighbor"")), """")"),0.9821331798687862)</f>
        <v>0.9821331799</v>
      </c>
      <c r="AF3128" s="2">
        <f>IFERROR(__xludf.DUMMYFUNCTION("IFERROR(ABS(R3128-AVERAGE(FILTER(R3128:R7196,AA3128:AA7196=""Neighbor""))) / STDEV(FILTER(R3128:R7196, AA3128:AA7196 =""Neighbor"")), """")"),1.8077387391465545)</f>
        <v>1.807738739</v>
      </c>
    </row>
    <row r="3129">
      <c r="A3129" s="2" t="s">
        <v>28</v>
      </c>
      <c r="B3129" s="2" t="s">
        <v>2660</v>
      </c>
      <c r="C3129" s="2" t="s">
        <v>2734</v>
      </c>
      <c r="D3129" s="2" t="s">
        <v>12764</v>
      </c>
      <c r="E3129" s="2" t="s">
        <v>12765</v>
      </c>
      <c r="F3129" s="2">
        <v>230.0</v>
      </c>
      <c r="G3129" s="2">
        <v>592.0</v>
      </c>
      <c r="H3129" s="2" t="b">
        <v>1</v>
      </c>
      <c r="I3129" s="2">
        <v>-1.0</v>
      </c>
      <c r="J3129" s="2" t="b">
        <v>0</v>
      </c>
      <c r="K3129" s="2" t="b">
        <v>0</v>
      </c>
      <c r="L3129" s="2" t="b">
        <v>0</v>
      </c>
      <c r="M3129" s="2" t="b">
        <v>0</v>
      </c>
      <c r="N3129" s="2" t="s">
        <v>33</v>
      </c>
      <c r="O3129" s="2">
        <v>132.0</v>
      </c>
      <c r="P3129" s="2">
        <v>17.0</v>
      </c>
      <c r="Q3129" s="2">
        <v>44.0</v>
      </c>
      <c r="R3129" s="2">
        <v>1.0</v>
      </c>
      <c r="S3129" s="3" t="s">
        <v>12766</v>
      </c>
      <c r="T3129" s="2" t="s">
        <v>12767</v>
      </c>
      <c r="Y3129" s="4" t="str">
        <f>IFERROR(__xludf.DUMMYFUNCTION("""COMPUTED_VALUE"""),"7.233397")</f>
        <v>7.233397</v>
      </c>
      <c r="Z3129" s="4" t="str">
        <f>IFERROR(__xludf.DUMMYFUNCTION("""COMPUTED_VALUE"""),"3.038755")</f>
        <v>3.038755</v>
      </c>
      <c r="AA3129" s="4" t="str">
        <f t="shared" si="1"/>
        <v>Not Neighbor</v>
      </c>
      <c r="AC3129" s="4">
        <f>IFERROR(__xludf.DUMMYFUNCTION("IFERROR(ABS(O3129-AVERAGE(FILTER(O3129:O7197,AA3129:AA7197=""Neighbor""))) / STDEV(FILTER(O3129:O7197, AA3129:AA7197 =""Neighbor"")), """")"),2.691419126503149)</f>
        <v>2.691419127</v>
      </c>
      <c r="AD3129" s="4">
        <f>IFERROR(__xludf.DUMMYFUNCTION("IFERROR(ABS(P3129-AVERAGE(FILTER(O3129:P7197,AA3129:AA7197=""Neighbor""))) / STDEV(FILTER(P3129:P7197, AA3129:AA7197 =""Neighbor"")), """")"),0.6041835351442063)</f>
        <v>0.6041835351</v>
      </c>
      <c r="AE3129" s="2">
        <f>IFERROR(__xludf.DUMMYFUNCTION("IFERROR(ABS(Q3129-AVERAGE(FILTER(Q3129:Q7197,AA3129:AA7197=""Neighbor""))) / STDEV(FILTER(Q3129:Q7197, AA3129:AA7197 =""Neighbor"")), """")"),1.5387233894099193)</f>
        <v>1.538723389</v>
      </c>
      <c r="AF3129" s="2">
        <f>IFERROR(__xludf.DUMMYFUNCTION("IFERROR(ABS(R3129-AVERAGE(FILTER(R3129:R7197,AA3129:AA7197=""Neighbor""))) / STDEV(FILTER(R3129:R7197, AA3129:AA7197 =""Neighbor"")), """")"),0.7464621521309627)</f>
        <v>0.7464621521</v>
      </c>
    </row>
    <row r="3130">
      <c r="A3130" s="2" t="s">
        <v>28</v>
      </c>
      <c r="B3130" s="2" t="s">
        <v>2660</v>
      </c>
      <c r="C3130" s="2" t="s">
        <v>2734</v>
      </c>
      <c r="D3130" s="2" t="s">
        <v>12768</v>
      </c>
      <c r="E3130" s="2" t="s">
        <v>12769</v>
      </c>
      <c r="F3130" s="2">
        <v>253.0</v>
      </c>
      <c r="G3130" s="2">
        <v>487.0</v>
      </c>
      <c r="H3130" s="2" t="b">
        <v>1</v>
      </c>
      <c r="I3130" s="2">
        <v>-1.0</v>
      </c>
      <c r="J3130" s="2" t="b">
        <v>0</v>
      </c>
      <c r="K3130" s="2" t="b">
        <v>0</v>
      </c>
      <c r="L3130" s="2" t="b">
        <v>0</v>
      </c>
      <c r="M3130" s="2" t="b">
        <v>0</v>
      </c>
      <c r="N3130" s="2" t="s">
        <v>33</v>
      </c>
      <c r="O3130" s="2">
        <v>122.0</v>
      </c>
      <c r="P3130" s="2">
        <v>38.0</v>
      </c>
      <c r="Q3130" s="2">
        <v>75.0</v>
      </c>
      <c r="R3130" s="2">
        <v>0.0</v>
      </c>
      <c r="S3130" s="3" t="s">
        <v>12770</v>
      </c>
      <c r="T3130" s="2" t="s">
        <v>12771</v>
      </c>
      <c r="Y3130" s="4" t="str">
        <f>IFERROR(__xludf.DUMMYFUNCTION("""COMPUTED_VALUE"""),"7.225246")</f>
        <v>7.225246</v>
      </c>
      <c r="Z3130" s="4" t="str">
        <f>IFERROR(__xludf.DUMMYFUNCTION("""COMPUTED_VALUE"""),"3.028503")</f>
        <v>3.028503</v>
      </c>
      <c r="AA3130" s="4" t="str">
        <f t="shared" si="1"/>
        <v>Not Neighbor</v>
      </c>
      <c r="AC3130" s="4">
        <f>IFERROR(__xludf.DUMMYFUNCTION("IFERROR(ABS(O3130-AVERAGE(FILTER(O3130:O7198,AA3130:AA7198=""Neighbor""))) / STDEV(FILTER(O3130:O7198, AA3130:AA7198 =""Neighbor"")), """")"),2.37836762112476)</f>
        <v>2.378367621</v>
      </c>
      <c r="AD3130" s="4">
        <f>IFERROR(__xludf.DUMMYFUNCTION("IFERROR(ABS(P3130-AVERAGE(FILTER(O3130:P7198,AA3130:AA7198=""Neighbor""))) / STDEV(FILTER(P3130:P7198, AA3130:AA7198 =""Neighbor"")), """")"),0.2505876949169953)</f>
        <v>0.2505876949</v>
      </c>
      <c r="AE3130" s="2">
        <f>IFERROR(__xludf.DUMMYFUNCTION("IFERROR(ABS(Q3130-AVERAGE(FILTER(Q3130:Q7198,AA3130:AA7198=""Neighbor""))) / STDEV(FILTER(Q3130:Q7198, AA3130:AA7198 =""Neighbor"")), """")"),3.255396584666571)</f>
        <v>3.255396585</v>
      </c>
      <c r="AF3130" s="2">
        <f>IFERROR(__xludf.DUMMYFUNCTION("IFERROR(ABS(R3130-AVERAGE(FILTER(R3130:R7198,AA3130:AA7198=""Neighbor""))) / STDEV(FILTER(R3130:R7198, AA3130:AA7198 =""Neighbor"")), """")"),0.32618514210764754)</f>
        <v>0.3261851421</v>
      </c>
    </row>
    <row r="3131">
      <c r="A3131" s="2" t="s">
        <v>28</v>
      </c>
      <c r="B3131" s="2" t="s">
        <v>2660</v>
      </c>
      <c r="C3131" s="2" t="s">
        <v>2734</v>
      </c>
      <c r="D3131" s="2" t="s">
        <v>12772</v>
      </c>
      <c r="E3131" s="2" t="s">
        <v>12773</v>
      </c>
      <c r="F3131" s="2">
        <v>86.0</v>
      </c>
      <c r="G3131" s="2">
        <v>197.0</v>
      </c>
      <c r="H3131" s="2" t="b">
        <v>1</v>
      </c>
      <c r="I3131" s="2">
        <v>-1.0</v>
      </c>
      <c r="J3131" s="2" t="b">
        <v>0</v>
      </c>
      <c r="K3131" s="2" t="b">
        <v>0</v>
      </c>
      <c r="L3131" s="2" t="b">
        <v>0</v>
      </c>
      <c r="M3131" s="2" t="b">
        <v>0</v>
      </c>
      <c r="N3131" s="2" t="s">
        <v>33</v>
      </c>
      <c r="O3131" s="2">
        <v>50.0</v>
      </c>
      <c r="P3131" s="2">
        <v>22.0</v>
      </c>
      <c r="Q3131" s="2">
        <v>5.0</v>
      </c>
      <c r="R3131" s="2">
        <v>1.0</v>
      </c>
      <c r="S3131" s="3" t="s">
        <v>12774</v>
      </c>
      <c r="T3131" s="2" t="s">
        <v>12775</v>
      </c>
      <c r="Y3131" s="4" t="str">
        <f>IFERROR(__xludf.DUMMYFUNCTION("""COMPUTED_VALUE"""),"7.2390599")</f>
        <v>7.2390599</v>
      </c>
      <c r="Z3131" s="4" t="str">
        <f>IFERROR(__xludf.DUMMYFUNCTION("""COMPUTED_VALUE"""),"3.0325855")</f>
        <v>3.0325855</v>
      </c>
      <c r="AA3131" s="4" t="str">
        <f t="shared" si="1"/>
        <v>Not Neighbor</v>
      </c>
      <c r="AC3131" s="4">
        <f>IFERROR(__xludf.DUMMYFUNCTION("IFERROR(ABS(O3131-AVERAGE(FILTER(O3131:O7199,AA3131:AA7199=""Neighbor""))) / STDEV(FILTER(O3131:O7199, AA3131:AA7199 =""Neighbor"")), """")"),0.12439678240035978)</f>
        <v>0.1243967824</v>
      </c>
      <c r="AD3131" s="4">
        <f>IFERROR(__xludf.DUMMYFUNCTION("IFERROR(ABS(P3131-AVERAGE(FILTER(O3131:P7199,AA3131:AA7199=""Neighbor""))) / STDEV(FILTER(P3131:P7199, AA3131:AA7199 =""Neighbor"")), """")"),0.40066657560582497)</f>
        <v>0.4006665756</v>
      </c>
      <c r="AE3131" s="2">
        <f>IFERROR(__xludf.DUMMYFUNCTION("IFERROR(ABS(Q3131-AVERAGE(FILTER(Q3131:Q7199,AA3131:AA7199=""Neighbor""))) / STDEV(FILTER(Q3131:Q7199, AA3131:AA7199 =""Neighbor"")), """")"),0.6209622433323203)</f>
        <v>0.6209622433</v>
      </c>
      <c r="AF3131" s="2">
        <f>IFERROR(__xludf.DUMMYFUNCTION("IFERROR(ABS(R3131-AVERAGE(FILTER(R3131:R7199,AA3131:AA7199=""Neighbor""))) / STDEV(FILTER(R3131:R7199, AA3131:AA7199 =""Neighbor"")), """")"),0.7464621521309627)</f>
        <v>0.7464621521</v>
      </c>
    </row>
    <row r="3132">
      <c r="A3132" s="2" t="s">
        <v>28</v>
      </c>
      <c r="B3132" s="2" t="s">
        <v>2660</v>
      </c>
      <c r="C3132" s="2" t="s">
        <v>2795</v>
      </c>
      <c r="D3132" s="2" t="s">
        <v>12776</v>
      </c>
      <c r="E3132" s="2" t="s">
        <v>12777</v>
      </c>
      <c r="F3132" s="2">
        <v>155.0</v>
      </c>
      <c r="G3132" s="2">
        <v>668.0</v>
      </c>
      <c r="H3132" s="2" t="b">
        <v>1</v>
      </c>
      <c r="I3132" s="2">
        <v>-1.0</v>
      </c>
      <c r="J3132" s="2" t="b">
        <v>0</v>
      </c>
      <c r="K3132" s="2" t="b">
        <v>0</v>
      </c>
      <c r="L3132" s="2" t="b">
        <v>0</v>
      </c>
      <c r="M3132" s="2" t="b">
        <v>0</v>
      </c>
      <c r="N3132" s="2" t="s">
        <v>33</v>
      </c>
      <c r="O3132" s="2">
        <v>111.0</v>
      </c>
      <c r="P3132" s="2">
        <v>10.0</v>
      </c>
      <c r="Q3132" s="2">
        <v>22.0</v>
      </c>
      <c r="R3132" s="2">
        <v>1.0</v>
      </c>
      <c r="S3132" s="3" t="s">
        <v>12778</v>
      </c>
      <c r="T3132" s="2" t="s">
        <v>12779</v>
      </c>
      <c r="Y3132" s="4" t="str">
        <f>IFERROR(__xludf.DUMMYFUNCTION("""COMPUTED_VALUE"""),"7.2446113")</f>
        <v>7.2446113</v>
      </c>
      <c r="Z3132" s="4" t="str">
        <f>IFERROR(__xludf.DUMMYFUNCTION("""COMPUTED_VALUE"""),"3.0075642")</f>
        <v>3.0075642</v>
      </c>
      <c r="AA3132" s="4" t="str">
        <f t="shared" si="1"/>
        <v>Neighbor</v>
      </c>
      <c r="AC3132" s="4">
        <f>IFERROR(__xludf.DUMMYFUNCTION("IFERROR(ABS(O3132-AVERAGE(FILTER(O3132:O7200,AA3132:AA7200=""Neighbor""))) / STDEV(FILTER(O3132:O7200, AA3132:AA7200 =""Neighbor"")), """")"),2.034010965208532)</f>
        <v>2.034010965</v>
      </c>
      <c r="AD3132" s="4">
        <f>IFERROR(__xludf.DUMMYFUNCTION("IFERROR(ABS(P3132-AVERAGE(FILTER(O3132:P7200,AA3132:AA7200=""Neighbor""))) / STDEV(FILTER(P3132:P7200, AA3132:AA7200 =""Neighbor"")), """")"),0.8891072784979401)</f>
        <v>0.8891072785</v>
      </c>
      <c r="AE3132" s="2">
        <f>IFERROR(__xludf.DUMMYFUNCTION("IFERROR(ABS(Q3132-AVERAGE(FILTER(Q3132:Q7200,AA3132:AA7200=""Neighbor""))) / STDEV(FILTER(Q3132:Q7200, AA3132:AA7200 =""Neighbor"")), """")"),0.32043918632455337)</f>
        <v>0.3204391863</v>
      </c>
      <c r="AF3132" s="2">
        <f>IFERROR(__xludf.DUMMYFUNCTION("IFERROR(ABS(R3132-AVERAGE(FILTER(R3132:R7200,AA3132:AA7200=""Neighbor""))) / STDEV(FILTER(R3132:R7200, AA3132:AA7200 =""Neighbor"")), """")"),0.7464621521309627)</f>
        <v>0.7464621521</v>
      </c>
    </row>
    <row r="3133">
      <c r="A3133" s="2" t="s">
        <v>28</v>
      </c>
      <c r="B3133" s="2" t="s">
        <v>2660</v>
      </c>
      <c r="C3133" s="2" t="s">
        <v>2795</v>
      </c>
      <c r="D3133" s="2" t="s">
        <v>12780</v>
      </c>
      <c r="E3133" s="2" t="s">
        <v>12781</v>
      </c>
      <c r="F3133" s="2">
        <v>73.0</v>
      </c>
      <c r="G3133" s="2">
        <v>150.0</v>
      </c>
      <c r="H3133" s="2" t="b">
        <v>1</v>
      </c>
      <c r="I3133" s="2">
        <v>-1.0</v>
      </c>
      <c r="J3133" s="2" t="b">
        <v>0</v>
      </c>
      <c r="K3133" s="2" t="b">
        <v>0</v>
      </c>
      <c r="L3133" s="2" t="b">
        <v>0</v>
      </c>
      <c r="M3133" s="2" t="b">
        <v>0</v>
      </c>
      <c r="N3133" s="2" t="s">
        <v>33</v>
      </c>
      <c r="O3133" s="2">
        <v>41.0</v>
      </c>
      <c r="P3133" s="2">
        <v>0.0</v>
      </c>
      <c r="Q3133" s="2">
        <v>26.0</v>
      </c>
      <c r="R3133" s="2">
        <v>0.0</v>
      </c>
      <c r="S3133" s="3" t="s">
        <v>12782</v>
      </c>
      <c r="T3133" s="2" t="s">
        <v>12783</v>
      </c>
      <c r="Y3133" s="4" t="str">
        <f>IFERROR(__xludf.DUMMYFUNCTION("""COMPUTED_VALUE"""),"7.2446113")</f>
        <v>7.2446113</v>
      </c>
      <c r="Z3133" s="4" t="str">
        <f>IFERROR(__xludf.DUMMYFUNCTION("""COMPUTED_VALUE"""),"3.0075642")</f>
        <v>3.0075642</v>
      </c>
      <c r="AA3133" s="4" t="str">
        <f t="shared" si="1"/>
        <v>Neighbor</v>
      </c>
      <c r="AC3133" s="4">
        <f>IFERROR(__xludf.DUMMYFUNCTION("IFERROR(ABS(O3133-AVERAGE(FILTER(O3133:O7201,AA3133:AA7201=""Neighbor""))) / STDEV(FILTER(O3133:O7201, AA3133:AA7201 =""Neighbor"")), """")"),0.15209075856746979)</f>
        <v>0.1520907586</v>
      </c>
      <c r="AD3133" s="4">
        <f>IFERROR(__xludf.DUMMYFUNCTION("IFERROR(ABS(P3133-AVERAGE(FILTER(O3133:P7201,AA3133:AA7201=""Neighbor""))) / STDEV(FILTER(P3133:P7201, AA3133:AA7201 =""Neighbor"")), """")"),1.2910083637569276)</f>
        <v>1.291008364</v>
      </c>
      <c r="AE3133" s="2">
        <f>IFERROR(__xludf.DUMMYFUNCTION("IFERROR(ABS(Q3133-AVERAGE(FILTER(Q3133:Q7201,AA3133:AA7201=""Neighbor""))) / STDEV(FILTER(Q3133:Q7201, AA3133:AA7201 =""Neighbor"")), """")"),0.5421703799745482)</f>
        <v>0.54217038</v>
      </c>
      <c r="AF3133" s="2">
        <f>IFERROR(__xludf.DUMMYFUNCTION("IFERROR(ABS(R3133-AVERAGE(FILTER(R3133:R7201,AA3133:AA7201=""Neighbor""))) / STDEV(FILTER(R3133:R7201, AA3133:AA7201 =""Neighbor"")), """")"),0.3237861105283338)</f>
        <v>0.3237861105</v>
      </c>
    </row>
    <row r="3134">
      <c r="A3134" s="2" t="s">
        <v>28</v>
      </c>
      <c r="B3134" s="2" t="s">
        <v>2660</v>
      </c>
      <c r="C3134" s="2" t="s">
        <v>2795</v>
      </c>
      <c r="D3134" s="2" t="s">
        <v>12784</v>
      </c>
      <c r="E3134" s="2" t="s">
        <v>12785</v>
      </c>
      <c r="F3134" s="2">
        <v>190.0</v>
      </c>
      <c r="G3134" s="2">
        <v>537.0</v>
      </c>
      <c r="H3134" s="2" t="b">
        <v>1</v>
      </c>
      <c r="I3134" s="2">
        <v>-1.0</v>
      </c>
      <c r="J3134" s="2" t="b">
        <v>0</v>
      </c>
      <c r="K3134" s="2" t="b">
        <v>0</v>
      </c>
      <c r="L3134" s="2" t="b">
        <v>0</v>
      </c>
      <c r="M3134" s="2" t="b">
        <v>0</v>
      </c>
      <c r="N3134" s="2" t="s">
        <v>33</v>
      </c>
      <c r="O3134" s="2">
        <v>95.0</v>
      </c>
      <c r="P3134" s="2">
        <v>19.0</v>
      </c>
      <c r="Q3134" s="2">
        <v>57.0</v>
      </c>
      <c r="R3134" s="2">
        <v>0.0</v>
      </c>
      <c r="S3134" s="3" t="s">
        <v>12786</v>
      </c>
      <c r="T3134" s="2" t="s">
        <v>12787</v>
      </c>
      <c r="Y3134" s="4" t="str">
        <f>IFERROR(__xludf.DUMMYFUNCTION("""COMPUTED_VALUE"""),"7.2446113")</f>
        <v>7.2446113</v>
      </c>
      <c r="Z3134" s="4" t="str">
        <f>IFERROR(__xludf.DUMMYFUNCTION("""COMPUTED_VALUE"""),"3.0075642")</f>
        <v>3.0075642</v>
      </c>
      <c r="AA3134" s="4" t="str">
        <f t="shared" si="1"/>
        <v>Not Neighbor</v>
      </c>
      <c r="AC3134" s="4">
        <f>IFERROR(__xludf.DUMMYFUNCTION("IFERROR(ABS(O3134-AVERAGE(FILTER(O3134:O7202,AA3134:AA7202=""Neighbor""))) / STDEV(FILTER(O3134:O7202, AA3134:AA7202 =""Neighbor"")), """")"),1.5436018111133802)</f>
        <v>1.543601811</v>
      </c>
      <c r="AD3134" s="4">
        <f>IFERROR(__xludf.DUMMYFUNCTION("IFERROR(ABS(P3134-AVERAGE(FILTER(O3134:P7202,AA3134:AA7202=""Neighbor""))) / STDEV(FILTER(P3134:P7202, AA3134:AA7202 =""Neighbor"")), """")"),0.5196453051634671)</f>
        <v>0.5196453052</v>
      </c>
      <c r="AE3134" s="2">
        <f>IFERROR(__xludf.DUMMYFUNCTION("IFERROR(ABS(Q3134-AVERAGE(FILTER(Q3134:Q7202,AA3134:AA7202=""Neighbor""))) / STDEV(FILTER(Q3134:Q7202, AA3134:AA7202 =""Neighbor"")), """")"),2.255833057216564)</f>
        <v>2.255833057</v>
      </c>
      <c r="AF3134" s="2">
        <f>IFERROR(__xludf.DUMMYFUNCTION("IFERROR(ABS(R3134-AVERAGE(FILTER(R3134:R7202,AA3134:AA7202=""Neighbor""))) / STDEV(FILTER(R3134:R7202, AA3134:AA7202 =""Neighbor"")), """")"),0.32431066524382324)</f>
        <v>0.3243106652</v>
      </c>
    </row>
    <row r="3135">
      <c r="A3135" s="2" t="s">
        <v>28</v>
      </c>
      <c r="B3135" s="2" t="s">
        <v>2660</v>
      </c>
      <c r="C3135" s="2" t="s">
        <v>2795</v>
      </c>
      <c r="D3135" s="2" t="s">
        <v>12788</v>
      </c>
      <c r="E3135" s="2" t="s">
        <v>12789</v>
      </c>
      <c r="F3135" s="2">
        <v>95.0</v>
      </c>
      <c r="G3135" s="2">
        <v>190.0</v>
      </c>
      <c r="H3135" s="2" t="b">
        <v>1</v>
      </c>
      <c r="I3135" s="2">
        <v>-1.0</v>
      </c>
      <c r="J3135" s="2" t="b">
        <v>0</v>
      </c>
      <c r="K3135" s="2" t="b">
        <v>1</v>
      </c>
      <c r="L3135" s="2" t="b">
        <v>0</v>
      </c>
      <c r="M3135" s="2" t="b">
        <v>0</v>
      </c>
      <c r="N3135" s="2" t="s">
        <v>33</v>
      </c>
      <c r="O3135" s="2">
        <v>60.0</v>
      </c>
      <c r="P3135" s="2">
        <v>9.0</v>
      </c>
      <c r="Q3135" s="2">
        <v>23.0</v>
      </c>
      <c r="R3135" s="2">
        <v>0.0</v>
      </c>
      <c r="S3135" s="3" t="s">
        <v>12790</v>
      </c>
      <c r="T3135" s="2" t="s">
        <v>12791</v>
      </c>
      <c r="Y3135" s="4" t="str">
        <f>IFERROR(__xludf.DUMMYFUNCTION("""COMPUTED_VALUE"""),"7.2521164")</f>
        <v>7.2521164</v>
      </c>
      <c r="Z3135" s="4" t="str">
        <f>IFERROR(__xludf.DUMMYFUNCTION("""COMPUTED_VALUE"""),"3.0207277")</f>
        <v>3.0207277</v>
      </c>
      <c r="AA3135" s="4" t="str">
        <f t="shared" si="1"/>
        <v>Neighbor</v>
      </c>
      <c r="AC3135" s="4">
        <f>IFERROR(__xludf.DUMMYFUNCTION("IFERROR(ABS(O3135-AVERAGE(FILTER(O3135:O7203,AA3135:AA7203=""Neighbor""))) / STDEV(FILTER(O3135:O7203, AA3135:AA7203 =""Neighbor"")), """")"),0.44439401072745327)</f>
        <v>0.4443940107</v>
      </c>
      <c r="AD3135" s="4">
        <f>IFERROR(__xludf.DUMMYFUNCTION("IFERROR(ABS(P3135-AVERAGE(FILTER(O3135:P7203,AA3135:AA7203=""Neighbor""))) / STDEV(FILTER(P3135:P7203, AA3135:AA7203 =""Neighbor"")), """")"),0.9258515443991925)</f>
        <v>0.9258515444</v>
      </c>
      <c r="AE3135" s="2">
        <f>IFERROR(__xludf.DUMMYFUNCTION("IFERROR(ABS(Q3135-AVERAGE(FILTER(Q3135:Q7203,AA3135:AA7203=""Neighbor""))) / STDEV(FILTER(Q3135:Q7203, AA3135:AA7203 =""Neighbor"")), """")"),0.37746165756061933)</f>
        <v>0.3774616576</v>
      </c>
      <c r="AF3135" s="2">
        <f>IFERROR(__xludf.DUMMYFUNCTION("IFERROR(ABS(R3135-AVERAGE(FILTER(R3135:R7203,AA3135:AA7203=""Neighbor""))) / STDEV(FILTER(R3135:R7203, AA3135:AA7203 =""Neighbor"")), """")"),0.32431066524382324)</f>
        <v>0.3243106652</v>
      </c>
    </row>
    <row r="3136">
      <c r="A3136" s="2" t="s">
        <v>28</v>
      </c>
      <c r="B3136" s="2" t="s">
        <v>2660</v>
      </c>
      <c r="C3136" s="2" t="s">
        <v>2795</v>
      </c>
      <c r="D3136" s="2" t="s">
        <v>12792</v>
      </c>
      <c r="E3136" s="2" t="s">
        <v>12793</v>
      </c>
      <c r="F3136" s="2">
        <v>132.0</v>
      </c>
      <c r="G3136" s="2">
        <v>309.0</v>
      </c>
      <c r="H3136" s="2" t="b">
        <v>1</v>
      </c>
      <c r="I3136" s="2">
        <v>-1.0</v>
      </c>
      <c r="J3136" s="2" t="b">
        <v>0</v>
      </c>
      <c r="K3136" s="2" t="b">
        <v>0</v>
      </c>
      <c r="L3136" s="2" t="b">
        <v>0</v>
      </c>
      <c r="M3136" s="2" t="b">
        <v>0</v>
      </c>
      <c r="N3136" s="2" t="s">
        <v>33</v>
      </c>
      <c r="O3136" s="2">
        <v>0.0</v>
      </c>
      <c r="P3136" s="2">
        <v>0.0</v>
      </c>
      <c r="Q3136" s="2">
        <v>0.0</v>
      </c>
      <c r="R3136" s="2">
        <v>0.0</v>
      </c>
      <c r="S3136" s="3" t="s">
        <v>12794</v>
      </c>
      <c r="T3136" s="2" t="s">
        <v>12795</v>
      </c>
      <c r="Y3136" s="4" t="str">
        <f>IFERROR(__xludf.DUMMYFUNCTION("""COMPUTED_VALUE"""),"7.245784")</f>
        <v>7.245784</v>
      </c>
      <c r="Z3136" s="4" t="str">
        <f>IFERROR(__xludf.DUMMYFUNCTION("""COMPUTED_VALUE"""),"3.02473")</f>
        <v>3.02473</v>
      </c>
      <c r="AA3136" s="4" t="str">
        <f t="shared" si="1"/>
        <v>Not Neighbor</v>
      </c>
      <c r="AC3136" s="4">
        <f>IFERROR(__xludf.DUMMYFUNCTION("IFERROR(ABS(O3136-AVERAGE(FILTER(O3136:O7204,AA3136:AA7204=""Neighbor""))) / STDEV(FILTER(O3136:O7204, AA3136:AA7204 =""Neighbor"")), """")"),1.4369476962758518)</f>
        <v>1.436947696</v>
      </c>
      <c r="AD3136" s="4">
        <f>IFERROR(__xludf.DUMMYFUNCTION("IFERROR(ABS(P3136-AVERAGE(FILTER(O3136:P7204,AA3136:AA7204=""Neighbor""))) / STDEV(FILTER(P3136:P7204, AA3136:AA7204 =""Neighbor"")), """")"),1.289447231774817)</f>
        <v>1.289447232</v>
      </c>
      <c r="AE3136" s="2">
        <f>IFERROR(__xludf.DUMMYFUNCTION("IFERROR(ABS(Q3136-AVERAGE(FILTER(Q3136:Q7204,AA3136:AA7204=""Neighbor""))) / STDEV(FILTER(Q3136:Q7204, AA3136:AA7204 =""Neighbor"")), """")"),0.890958957596876)</f>
        <v>0.8909589576</v>
      </c>
      <c r="AF3136" s="2">
        <f>IFERROR(__xludf.DUMMYFUNCTION("IFERROR(ABS(R3136-AVERAGE(FILTER(R3136:R7204,AA3136:AA7204=""Neighbor""))) / STDEV(FILTER(R3136:R7204, AA3136:AA7204 =""Neighbor"")), """")"),0.3248377785395631)</f>
        <v>0.3248377785</v>
      </c>
    </row>
    <row r="3137">
      <c r="A3137" s="2" t="s">
        <v>28</v>
      </c>
      <c r="B3137" s="2" t="s">
        <v>2660</v>
      </c>
      <c r="C3137" s="2" t="s">
        <v>2795</v>
      </c>
      <c r="D3137" s="2" t="s">
        <v>12796</v>
      </c>
      <c r="E3137" s="2" t="s">
        <v>12797</v>
      </c>
      <c r="F3137" s="2">
        <v>55.0</v>
      </c>
      <c r="G3137" s="2">
        <v>82.0</v>
      </c>
      <c r="H3137" s="2" t="b">
        <v>1</v>
      </c>
      <c r="I3137" s="2">
        <v>-1.0</v>
      </c>
      <c r="J3137" s="2" t="b">
        <v>0</v>
      </c>
      <c r="K3137" s="2" t="b">
        <v>0</v>
      </c>
      <c r="L3137" s="2" t="b">
        <v>0</v>
      </c>
      <c r="M3137" s="2" t="b">
        <v>0</v>
      </c>
      <c r="N3137" s="2" t="s">
        <v>33</v>
      </c>
      <c r="O3137" s="2">
        <v>29.0</v>
      </c>
      <c r="P3137" s="2">
        <v>1.0</v>
      </c>
      <c r="Q3137" s="2">
        <v>15.0</v>
      </c>
      <c r="R3137" s="2">
        <v>1.0</v>
      </c>
      <c r="S3137" s="3" t="s">
        <v>12798</v>
      </c>
      <c r="T3137" s="2" t="s">
        <v>12799</v>
      </c>
      <c r="Y3137" s="4" t="str">
        <f>IFERROR(__xludf.DUMMYFUNCTION("""COMPUTED_VALUE"""),"7.2902026")</f>
        <v>7.2902026</v>
      </c>
      <c r="Z3137" s="4" t="str">
        <f>IFERROR(__xludf.DUMMYFUNCTION("""COMPUTED_VALUE"""),"3.037094")</f>
        <v>3.037094</v>
      </c>
      <c r="AA3137" s="4" t="str">
        <f t="shared" si="1"/>
        <v>Not Neighbor</v>
      </c>
      <c r="AC3137" s="4">
        <f>IFERROR(__xludf.DUMMYFUNCTION("IFERROR(ABS(O3137-AVERAGE(FILTER(O3137:O7205,AA3137:AA7205=""Neighbor""))) / STDEV(FILTER(O3137:O7205, AA3137:AA7205 =""Neighbor"")), """")"),0.5272540391126154)</f>
        <v>0.5272540391</v>
      </c>
      <c r="AD3137" s="4">
        <f>IFERROR(__xludf.DUMMYFUNCTION("IFERROR(ABS(P3137-AVERAGE(FILTER(O3137:P7205,AA3137:AA7205=""Neighbor""))) / STDEV(FILTER(P3137:P7205, AA3137:AA7205 =""Neighbor"")), """")"),1.2488790079630616)</f>
        <v>1.248879008</v>
      </c>
      <c r="AE3137" s="2">
        <f>IFERROR(__xludf.DUMMYFUNCTION("IFERROR(ABS(Q3137-AVERAGE(FILTER(Q3137:Q7205,AA3137:AA7205=""Neighbor""))) / STDEV(FILTER(Q3137:Q7205, AA3137:AA7205 =""Neighbor"")), """")"),0.06331440162681486)</f>
        <v>0.06331440163</v>
      </c>
      <c r="AF3137" s="2">
        <f>IFERROR(__xludf.DUMMYFUNCTION("IFERROR(ABS(R3137-AVERAGE(FILTER(R3137:R7205,AA3137:AA7205=""Neighbor""))) / STDEV(FILTER(R3137:R7205, AA3137:AA7205 =""Neighbor"")), """")"),0.7442885022848241)</f>
        <v>0.7442885023</v>
      </c>
    </row>
    <row r="3138">
      <c r="A3138" s="2" t="s">
        <v>28</v>
      </c>
      <c r="B3138" s="2" t="s">
        <v>2660</v>
      </c>
      <c r="C3138" s="2" t="s">
        <v>2963</v>
      </c>
      <c r="D3138" s="2" t="s">
        <v>12800</v>
      </c>
      <c r="E3138" s="2" t="s">
        <v>12801</v>
      </c>
      <c r="F3138" s="2">
        <v>57.0</v>
      </c>
      <c r="G3138" s="2">
        <v>116.0</v>
      </c>
      <c r="H3138" s="2" t="b">
        <v>1</v>
      </c>
      <c r="I3138" s="2">
        <v>-1.0</v>
      </c>
      <c r="J3138" s="2" t="b">
        <v>0</v>
      </c>
      <c r="K3138" s="2" t="b">
        <v>0</v>
      </c>
      <c r="L3138" s="2" t="b">
        <v>0</v>
      </c>
      <c r="M3138" s="2" t="b">
        <v>0</v>
      </c>
      <c r="N3138" s="2" t="s">
        <v>33</v>
      </c>
      <c r="O3138" s="2">
        <v>50.0</v>
      </c>
      <c r="P3138" s="2">
        <v>2.0</v>
      </c>
      <c r="Q3138" s="2">
        <v>3.0</v>
      </c>
      <c r="R3138" s="2">
        <v>0.0</v>
      </c>
      <c r="S3138" s="3" t="s">
        <v>12802</v>
      </c>
      <c r="T3138" s="2" t="s">
        <v>12803</v>
      </c>
      <c r="Y3138" s="4" t="str">
        <f>IFERROR(__xludf.DUMMYFUNCTION("""COMPUTED_VALUE"""),"6.8910703")</f>
        <v>6.8910703</v>
      </c>
      <c r="Z3138" s="4" t="str">
        <f>IFERROR(__xludf.DUMMYFUNCTION("""COMPUTED_VALUE"""),"2.8377656")</f>
        <v>2.8377656</v>
      </c>
      <c r="AA3138" s="4" t="str">
        <f t="shared" si="1"/>
        <v>Neighbor</v>
      </c>
      <c r="AC3138" s="4">
        <f>IFERROR(__xludf.DUMMYFUNCTION("IFERROR(ABS(O3138-AVERAGE(FILTER(O3138:O7206,AA3138:AA7206=""Neighbor""))) / STDEV(FILTER(O3138:O7206, AA3138:AA7206 =""Neighbor"")), """")"),0.13148964366076274)</f>
        <v>0.1314896437</v>
      </c>
      <c r="AD3138" s="4">
        <f>IFERROR(__xludf.DUMMYFUNCTION("IFERROR(ABS(P3138-AVERAGE(FILTER(O3138:P7206,AA3138:AA7206=""Neighbor""))) / STDEV(FILTER(P3138:P7206, AA3138:AA7206 =""Neighbor"")), """")"),1.2083107841513063)</f>
        <v>1.208310784</v>
      </c>
      <c r="AE3138" s="2">
        <f>IFERROR(__xludf.DUMMYFUNCTION("IFERROR(ABS(Q3138-AVERAGE(FILTER(Q3138:Q7206,AA3138:AA7206=""Neighbor""))) / STDEV(FILTER(Q3138:Q7206, AA3138:AA7206 =""Neighbor"")), """")"),0.7254300464028638)</f>
        <v>0.7254300464</v>
      </c>
      <c r="AF3138" s="2">
        <f>IFERROR(__xludf.DUMMYFUNCTION("IFERROR(ABS(R3138-AVERAGE(FILTER(R3138:R7206,AA3138:AA7206=""Neighbor""))) / STDEV(FILTER(R3138:R7206, AA3138:AA7206 =""Neighbor"")), """")"),0.3248377785395631)</f>
        <v>0.3248377785</v>
      </c>
    </row>
    <row r="3139">
      <c r="A3139" s="2" t="s">
        <v>28</v>
      </c>
      <c r="B3139" s="2" t="s">
        <v>2660</v>
      </c>
      <c r="C3139" s="2" t="s">
        <v>2963</v>
      </c>
      <c r="D3139" s="2" t="s">
        <v>12804</v>
      </c>
      <c r="E3139" s="2" t="s">
        <v>12805</v>
      </c>
      <c r="F3139" s="2">
        <v>129.0</v>
      </c>
      <c r="G3139" s="2">
        <v>655.0</v>
      </c>
      <c r="H3139" s="2" t="b">
        <v>1</v>
      </c>
      <c r="I3139" s="2">
        <v>-1.0</v>
      </c>
      <c r="J3139" s="2" t="b">
        <v>0</v>
      </c>
      <c r="K3139" s="2" t="b">
        <v>0</v>
      </c>
      <c r="L3139" s="2" t="b">
        <v>0</v>
      </c>
      <c r="M3139" s="2" t="b">
        <v>0</v>
      </c>
      <c r="N3139" s="2" t="s">
        <v>33</v>
      </c>
      <c r="O3139" s="2">
        <v>71.0</v>
      </c>
      <c r="P3139" s="2">
        <v>7.0</v>
      </c>
      <c r="Q3139" s="2">
        <v>36.0</v>
      </c>
      <c r="R3139" s="2">
        <v>9.0</v>
      </c>
      <c r="S3139" s="3" t="s">
        <v>12806</v>
      </c>
      <c r="T3139" s="2" t="s">
        <v>12807</v>
      </c>
      <c r="Y3139" s="4" t="str">
        <f>IFERROR(__xludf.DUMMYFUNCTION("""COMPUTED_VALUE"""),"6.8974433")</f>
        <v>6.8974433</v>
      </c>
      <c r="Z3139" s="4" t="str">
        <f>IFERROR(__xludf.DUMMYFUNCTION("""COMPUTED_VALUE"""),"2.8362078")</f>
        <v>2.8362078</v>
      </c>
      <c r="AA3139" s="4" t="str">
        <f t="shared" si="1"/>
        <v>Neighbor</v>
      </c>
      <c r="AC3139" s="4">
        <f>IFERROR(__xludf.DUMMYFUNCTION("IFERROR(ABS(O3139-AVERAGE(FILTER(O3139:O7207,AA3139:AA7207=""Neighbor""))) / STDEV(FILTER(O3139:O7207, AA3139:AA7207 =""Neighbor"")), """")"),0.7894721747341256)</f>
        <v>0.7894721747</v>
      </c>
      <c r="AD3139" s="4">
        <f>IFERROR(__xludf.DUMMYFUNCTION("IFERROR(ABS(P3139-AVERAGE(FILTER(O3139:P7207,AA3139:AA7207=""Neighbor""))) / STDEV(FILTER(P3139:P7207, AA3139:AA7207 =""Neighbor"")), """")"),1.0052844124176854)</f>
        <v>1.005284412</v>
      </c>
      <c r="AE3139" s="2">
        <f>IFERROR(__xludf.DUMMYFUNCTION("IFERROR(ABS(Q3139-AVERAGE(FILTER(Q3139:Q7207,AA3139:AA7207=""Neighbor""))) / STDEV(FILTER(Q3139:Q7207, AA3139:AA7207 =""Neighbor"")), """")"),1.092476629153601)</f>
        <v>1.092476629</v>
      </c>
      <c r="AF3139" s="2">
        <f>IFERROR(__xludf.DUMMYFUNCTION("IFERROR(ABS(R3139-AVERAGE(FILTER(R3139:R7207,AA3139:AA7207=""Neighbor""))) / STDEV(FILTER(R3139:R7207, AA3139:AA7207 =""Neighbor"")), """")"),9.284029107953964)</f>
        <v>9.284029108</v>
      </c>
    </row>
    <row r="3140">
      <c r="A3140" s="2" t="s">
        <v>28</v>
      </c>
      <c r="B3140" s="2" t="s">
        <v>2660</v>
      </c>
      <c r="C3140" s="2" t="s">
        <v>2963</v>
      </c>
      <c r="D3140" s="2" t="s">
        <v>12808</v>
      </c>
      <c r="E3140" s="2" t="s">
        <v>12809</v>
      </c>
      <c r="F3140" s="2">
        <v>51.0</v>
      </c>
      <c r="G3140" s="2">
        <v>161.0</v>
      </c>
      <c r="H3140" s="2" t="b">
        <v>1</v>
      </c>
      <c r="I3140" s="2">
        <v>-1.0</v>
      </c>
      <c r="J3140" s="2" t="b">
        <v>0</v>
      </c>
      <c r="K3140" s="2" t="b">
        <v>0</v>
      </c>
      <c r="L3140" s="2" t="b">
        <v>0</v>
      </c>
      <c r="M3140" s="2" t="b">
        <v>0</v>
      </c>
      <c r="N3140" s="2" t="s">
        <v>33</v>
      </c>
      <c r="O3140" s="2">
        <v>29.0</v>
      </c>
      <c r="P3140" s="2">
        <v>2.0</v>
      </c>
      <c r="Q3140" s="2">
        <v>6.0</v>
      </c>
      <c r="R3140" s="2">
        <v>3.0</v>
      </c>
      <c r="S3140" s="3" t="s">
        <v>12810</v>
      </c>
      <c r="T3140" s="2" t="s">
        <v>12811</v>
      </c>
      <c r="Y3140" s="4" t="str">
        <f>IFERROR(__xludf.DUMMYFUNCTION("""COMPUTED_VALUE"""),"6.8910703")</f>
        <v>6.8910703</v>
      </c>
      <c r="Z3140" s="4" t="str">
        <f>IFERROR(__xludf.DUMMYFUNCTION("""COMPUTED_VALUE"""),"2.8377656")</f>
        <v>2.8377656</v>
      </c>
      <c r="AA3140" s="4" t="str">
        <f t="shared" si="1"/>
        <v>Neighbor</v>
      </c>
      <c r="AC3140" s="4">
        <f>IFERROR(__xludf.DUMMYFUNCTION("IFERROR(ABS(O3140-AVERAGE(FILTER(O3140:O7208,AA3140:AA7208=""Neighbor""))) / STDEV(FILTER(O3140:O7208, AA3140:AA7208 =""Neighbor"")), """")"),0.5234639612526353)</f>
        <v>0.5234639613</v>
      </c>
      <c r="AD3140" s="4">
        <f>IFERROR(__xludf.DUMMYFUNCTION("IFERROR(ABS(P3140-AVERAGE(FILTER(O3140:P7208,AA3140:AA7208=""Neighbor""))) / STDEV(FILTER(P3140:P7208, AA3140:AA7208 =""Neighbor"")), """")"),1.2056345289900559)</f>
        <v>1.205634529</v>
      </c>
      <c r="AE3140" s="2">
        <f>IFERROR(__xludf.DUMMYFUNCTION("IFERROR(ABS(Q3140-AVERAGE(FILTER(Q3140:Q7208,AA3140:AA7208=""Neighbor""))) / STDEV(FILTER(Q3140:Q7208, AA3140:AA7208 =""Neighbor"")), """")"),0.5585760709896439)</f>
        <v>0.558576071</v>
      </c>
      <c r="AF3140" s="2">
        <f>IFERROR(__xludf.DUMMYFUNCTION("IFERROR(ABS(R3140-AVERAGE(FILTER(R3140:R7208,AA3140:AA7208=""Neighbor""))) / STDEV(FILTER(R3140:R7208, AA3140:AA7208 =""Neighbor"")), """")"),3.364453873445699)</f>
        <v>3.364453873</v>
      </c>
    </row>
    <row r="3141">
      <c r="A3141" s="2" t="s">
        <v>28</v>
      </c>
      <c r="B3141" s="2" t="s">
        <v>2660</v>
      </c>
      <c r="C3141" s="2" t="s">
        <v>2963</v>
      </c>
      <c r="D3141" s="2" t="s">
        <v>12812</v>
      </c>
      <c r="E3141" s="2" t="s">
        <v>12813</v>
      </c>
      <c r="F3141" s="2">
        <v>98.0</v>
      </c>
      <c r="G3141" s="2">
        <v>198.0</v>
      </c>
      <c r="H3141" s="2" t="b">
        <v>1</v>
      </c>
      <c r="I3141" s="2">
        <v>-1.0</v>
      </c>
      <c r="J3141" s="2" t="b">
        <v>0</v>
      </c>
      <c r="K3141" s="2" t="b">
        <v>0</v>
      </c>
      <c r="L3141" s="2" t="b">
        <v>0</v>
      </c>
      <c r="M3141" s="2" t="b">
        <v>0</v>
      </c>
      <c r="N3141" s="2" t="s">
        <v>33</v>
      </c>
      <c r="O3141" s="2">
        <v>80.0</v>
      </c>
      <c r="P3141" s="2">
        <v>4.0</v>
      </c>
      <c r="Q3141" s="2">
        <v>2.0</v>
      </c>
      <c r="R3141" s="2">
        <v>0.0</v>
      </c>
      <c r="S3141" s="3" t="s">
        <v>12814</v>
      </c>
      <c r="T3141" s="2" t="s">
        <v>12815</v>
      </c>
      <c r="Y3141" s="4" t="str">
        <f>IFERROR(__xludf.DUMMYFUNCTION("""COMPUTED_VALUE"""),"6.8910703")</f>
        <v>6.8910703</v>
      </c>
      <c r="Z3141" s="4" t="str">
        <f>IFERROR(__xludf.DUMMYFUNCTION("""COMPUTED_VALUE"""),"2.8377656")</f>
        <v>2.8377656</v>
      </c>
      <c r="AA3141" s="4" t="str">
        <f t="shared" si="1"/>
        <v>Neighbor</v>
      </c>
      <c r="AC3141" s="4">
        <f>IFERROR(__xludf.DUMMYFUNCTION("IFERROR(ABS(O3141-AVERAGE(FILTER(O3141:O7209,AA3141:AA7209=""Neighbor""))) / STDEV(FILTER(O3141:O7209, AA3141:AA7209 =""Neighbor"")), """")"),1.0704084928044177)</f>
        <v>1.070408493</v>
      </c>
      <c r="AD3141" s="4">
        <f>IFERROR(__xludf.DUMMYFUNCTION("IFERROR(ABS(P3141-AVERAGE(FILTER(O3141:P7209,AA3141:AA7209=""Neighbor""))) / STDEV(FILTER(P3141:P7209, AA3141:AA7209 =""Neighbor"")), """")"),1.1256411414634866)</f>
        <v>1.125641141</v>
      </c>
      <c r="AE3141" s="2">
        <f>IFERROR(__xludf.DUMMYFUNCTION("IFERROR(ABS(Q3141-AVERAGE(FILTER(Q3141:Q7209,AA3141:AA7209=""Neighbor""))) / STDEV(FILTER(Q3141:Q7209, AA3141:AA7209 =""Neighbor"")), """")"),0.7800544416729209)</f>
        <v>0.7800544417</v>
      </c>
      <c r="AF3141" s="2">
        <f>IFERROR(__xludf.DUMMYFUNCTION("IFERROR(ABS(R3141-AVERAGE(FILTER(R3141:R7209,AA3141:AA7209=""Neighbor""))) / STDEV(FILTER(R3141:R7209, AA3141:AA7209 =""Neighbor"")), """")"),0.34016852355185445)</f>
        <v>0.3401685236</v>
      </c>
    </row>
    <row r="3142">
      <c r="A3142" s="2" t="s">
        <v>28</v>
      </c>
      <c r="B3142" s="2" t="s">
        <v>2660</v>
      </c>
      <c r="C3142" s="2" t="s">
        <v>2963</v>
      </c>
      <c r="D3142" s="2" t="s">
        <v>12816</v>
      </c>
      <c r="E3142" s="2" t="s">
        <v>12817</v>
      </c>
      <c r="F3142" s="2">
        <v>104.0</v>
      </c>
      <c r="G3142" s="2">
        <v>203.0</v>
      </c>
      <c r="H3142" s="2" t="b">
        <v>1</v>
      </c>
      <c r="I3142" s="2">
        <v>-1.0</v>
      </c>
      <c r="J3142" s="2" t="b">
        <v>0</v>
      </c>
      <c r="K3142" s="2" t="b">
        <v>0</v>
      </c>
      <c r="L3142" s="2" t="b">
        <v>0</v>
      </c>
      <c r="M3142" s="2" t="b">
        <v>0</v>
      </c>
      <c r="N3142" s="2" t="s">
        <v>33</v>
      </c>
      <c r="O3142" s="2">
        <v>51.0</v>
      </c>
      <c r="P3142" s="2">
        <v>6.0</v>
      </c>
      <c r="Q3142" s="2">
        <v>30.0</v>
      </c>
      <c r="R3142" s="2">
        <v>0.0</v>
      </c>
      <c r="S3142" s="3" t="s">
        <v>12818</v>
      </c>
      <c r="T3142" s="2" t="s">
        <v>12819</v>
      </c>
      <c r="Y3142" s="4" t="str">
        <f>IFERROR(__xludf.DUMMYFUNCTION("""COMPUTED_VALUE"""),"6.8974433")</f>
        <v>6.8974433</v>
      </c>
      <c r="Z3142" s="4" t="str">
        <f>IFERROR(__xludf.DUMMYFUNCTION("""COMPUTED_VALUE"""),"2.8362078")</f>
        <v>2.8362078</v>
      </c>
      <c r="AA3142" s="4" t="str">
        <f t="shared" si="1"/>
        <v>Neighbor</v>
      </c>
      <c r="AC3142" s="4">
        <f>IFERROR(__xludf.DUMMYFUNCTION("IFERROR(ABS(O3142-AVERAGE(FILTER(O3142:O7210,AA3142:AA7210=""Neighbor""))) / STDEV(FILTER(O3142:O7210, AA3142:AA7210 =""Neighbor"")), """")"),0.16675808028642172)</f>
        <v>0.1667580803</v>
      </c>
      <c r="AD3142" s="4">
        <f>IFERROR(__xludf.DUMMYFUNCTION("IFERROR(ABS(P3142-AVERAGE(FILTER(O3142:P7210,AA3142:AA7210=""Neighbor""))) / STDEV(FILTER(P3142:P7210, AA3142:AA7210 =""Neighbor"")), """")"),1.042449525895279)</f>
        <v>1.042449526</v>
      </c>
      <c r="AE3142" s="2">
        <f>IFERROR(__xludf.DUMMYFUNCTION("IFERROR(ABS(Q3142-AVERAGE(FILTER(Q3142:Q7210,AA3142:AA7210=""Neighbor""))) / STDEV(FILTER(Q3142:Q7210, AA3142:AA7210 =""Neighbor"")), """")"),0.7599008230268495)</f>
        <v>0.759900823</v>
      </c>
      <c r="AF3142" s="2">
        <f>IFERROR(__xludf.DUMMYFUNCTION("IFERROR(ABS(R3142-AVERAGE(FILTER(R3142:R7210,AA3142:AA7210=""Neighbor""))) / STDEV(FILTER(R3142:R7210, AA3142:AA7210 =""Neighbor"")), """")"),0.340733369901349)</f>
        <v>0.3407333699</v>
      </c>
    </row>
    <row r="3143">
      <c r="A3143" s="2" t="s">
        <v>28</v>
      </c>
      <c r="B3143" s="2" t="s">
        <v>2660</v>
      </c>
      <c r="C3143" s="2" t="s">
        <v>2963</v>
      </c>
      <c r="D3143" s="2" t="s">
        <v>12820</v>
      </c>
      <c r="E3143" s="2" t="s">
        <v>12821</v>
      </c>
      <c r="F3143" s="2">
        <v>89.0</v>
      </c>
      <c r="G3143" s="2">
        <v>431.0</v>
      </c>
      <c r="H3143" s="2" t="b">
        <v>1</v>
      </c>
      <c r="I3143" s="2">
        <v>-1.0</v>
      </c>
      <c r="J3143" s="2" t="b">
        <v>0</v>
      </c>
      <c r="K3143" s="2" t="b">
        <v>0</v>
      </c>
      <c r="L3143" s="2" t="b">
        <v>0</v>
      </c>
      <c r="M3143" s="2" t="b">
        <v>0</v>
      </c>
      <c r="N3143" s="2" t="s">
        <v>33</v>
      </c>
      <c r="O3143" s="2">
        <v>34.0</v>
      </c>
      <c r="P3143" s="2">
        <v>12.0</v>
      </c>
      <c r="Q3143" s="2">
        <v>27.0</v>
      </c>
      <c r="R3143" s="2">
        <v>2.0</v>
      </c>
      <c r="S3143" s="3" t="s">
        <v>12822</v>
      </c>
      <c r="T3143" s="2" t="s">
        <v>12823</v>
      </c>
      <c r="Y3143" s="4" t="str">
        <f>IFERROR(__xludf.DUMMYFUNCTION("""COMPUTED_VALUE"""),"6.8974433")</f>
        <v>6.8974433</v>
      </c>
      <c r="Z3143" s="4" t="str">
        <f>IFERROR(__xludf.DUMMYFUNCTION("""COMPUTED_VALUE"""),"2.8362078")</f>
        <v>2.8362078</v>
      </c>
      <c r="AA3143" s="4" t="str">
        <f t="shared" si="1"/>
        <v>Neighbor</v>
      </c>
      <c r="AC3143" s="4">
        <f>IFERROR(__xludf.DUMMYFUNCTION("IFERROR(ABS(O3143-AVERAGE(FILTER(O3143:O7211,AA3143:AA7211=""Neighbor""))) / STDEV(FILTER(O3143:O7211, AA3143:AA7211 =""Neighbor"")), """")"),0.36395159056551735)</f>
        <v>0.3639515906</v>
      </c>
      <c r="AD3143" s="4">
        <f>IFERROR(__xludf.DUMMYFUNCTION("IFERROR(ABS(P3143-AVERAGE(FILTER(O3143:P7211,AA3143:AA7211=""Neighbor""))) / STDEV(FILTER(P3143:P7211, AA3143:AA7211 =""Neighbor"")), """")"),0.7994842500241295)</f>
        <v>0.79948425</v>
      </c>
      <c r="AE3143" s="2">
        <f>IFERROR(__xludf.DUMMYFUNCTION("IFERROR(ABS(Q3143-AVERAGE(FILTER(Q3143:Q7211,AA3143:AA7211=""Neighbor""))) / STDEV(FILTER(Q3143:Q7211, AA3143:AA7211 =""Neighbor"")), """")"),0.5966032905989453)</f>
        <v>0.5966032906</v>
      </c>
      <c r="AF3143" s="2">
        <f>IFERROR(__xludf.DUMMYFUNCTION("IFERROR(ABS(R3143-AVERAGE(FILTER(R3143:R7211,AA3143:AA7211=""Neighbor""))) / STDEV(FILTER(R3143:R7211, AA3143:AA7211 =""Neighbor"")), """")"),2.164073629972696)</f>
        <v>2.16407363</v>
      </c>
    </row>
    <row r="3144">
      <c r="A3144" s="2" t="s">
        <v>28</v>
      </c>
      <c r="B3144" s="2" t="s">
        <v>2660</v>
      </c>
      <c r="C3144" s="2" t="s">
        <v>2963</v>
      </c>
      <c r="D3144" s="2" t="s">
        <v>12824</v>
      </c>
      <c r="E3144" s="2" t="s">
        <v>12825</v>
      </c>
      <c r="F3144" s="2">
        <v>83.0</v>
      </c>
      <c r="G3144" s="2">
        <v>195.0</v>
      </c>
      <c r="H3144" s="2" t="b">
        <v>1</v>
      </c>
      <c r="I3144" s="2">
        <v>-1.0</v>
      </c>
      <c r="J3144" s="2" t="b">
        <v>0</v>
      </c>
      <c r="K3144" s="2" t="b">
        <v>0</v>
      </c>
      <c r="L3144" s="2" t="b">
        <v>0</v>
      </c>
      <c r="M3144" s="2" t="b">
        <v>0</v>
      </c>
      <c r="N3144" s="2" t="s">
        <v>33</v>
      </c>
      <c r="O3144" s="2">
        <v>66.0</v>
      </c>
      <c r="P3144" s="2">
        <v>1.0</v>
      </c>
      <c r="Q3144" s="2">
        <v>10.0</v>
      </c>
      <c r="R3144" s="2">
        <v>0.0</v>
      </c>
      <c r="S3144" s="3" t="s">
        <v>12826</v>
      </c>
      <c r="T3144" s="2" t="s">
        <v>12827</v>
      </c>
      <c r="Y3144" s="4" t="str">
        <f>IFERROR(__xludf.DUMMYFUNCTION("""COMPUTED_VALUE"""),"6.8910703")</f>
        <v>6.8910703</v>
      </c>
      <c r="Z3144" s="4" t="str">
        <f>IFERROR(__xludf.DUMMYFUNCTION("""COMPUTED_VALUE"""),"2.8377656")</f>
        <v>2.8377656</v>
      </c>
      <c r="AA3144" s="4" t="str">
        <f t="shared" si="1"/>
        <v>Neighbor</v>
      </c>
      <c r="AC3144" s="4">
        <f>IFERROR(__xludf.DUMMYFUNCTION("IFERROR(ABS(O3144-AVERAGE(FILTER(O3144:O7212,AA3144:AA7212=""Neighbor""))) / STDEV(FILTER(O3144:O7212, AA3144:AA7212 =""Neighbor"")), """")"),0.6335927526843426)</f>
        <v>0.6335927527</v>
      </c>
      <c r="AD3144" s="4">
        <f>IFERROR(__xludf.DUMMYFUNCTION("IFERROR(ABS(P3144-AVERAGE(FILTER(O3144:P7212,AA3144:AA7212=""Neighbor""))) / STDEV(FILTER(P3144:P7212, AA3144:AA7212 =""Neighbor"")), """")"),1.2427601990035533)</f>
        <v>1.242760199</v>
      </c>
      <c r="AE3144" s="2">
        <f>IFERROR(__xludf.DUMMYFUNCTION("IFERROR(ABS(Q3144-AVERAGE(FILTER(Q3144:Q7212,AA3144:AA7212=""Neighbor""))) / STDEV(FILTER(Q3144:Q7212, AA3144:AA7212 =""Neighbor"")), """")"),0.33679789667475085)</f>
        <v>0.3367978967</v>
      </c>
      <c r="AF3144" s="2">
        <f>IFERROR(__xludf.DUMMYFUNCTION("IFERROR(ABS(R3144-AVERAGE(FILTER(R3144:R7212,AA3144:AA7212=""Neighbor""))) / STDEV(FILTER(R3144:R7212, AA3144:AA7212 =""Neighbor"")), """")"),0.33668228048044124)</f>
        <v>0.3366822805</v>
      </c>
    </row>
    <row r="3145">
      <c r="A3145" s="2" t="s">
        <v>28</v>
      </c>
      <c r="B3145" s="2" t="s">
        <v>2660</v>
      </c>
      <c r="C3145" s="2" t="s">
        <v>2963</v>
      </c>
      <c r="D3145" s="2" t="s">
        <v>12828</v>
      </c>
      <c r="E3145" s="2" t="s">
        <v>12829</v>
      </c>
      <c r="F3145" s="2">
        <v>96.0</v>
      </c>
      <c r="G3145" s="2">
        <v>198.0</v>
      </c>
      <c r="H3145" s="2" t="b">
        <v>1</v>
      </c>
      <c r="I3145" s="2">
        <v>-1.0</v>
      </c>
      <c r="J3145" s="2" t="b">
        <v>0</v>
      </c>
      <c r="K3145" s="2" t="b">
        <v>0</v>
      </c>
      <c r="L3145" s="2" t="b">
        <v>0</v>
      </c>
      <c r="M3145" s="2" t="b">
        <v>0</v>
      </c>
      <c r="N3145" s="2" t="s">
        <v>33</v>
      </c>
      <c r="O3145" s="2">
        <v>29.0</v>
      </c>
      <c r="P3145" s="2">
        <v>15.0</v>
      </c>
      <c r="Q3145" s="2">
        <v>47.0</v>
      </c>
      <c r="R3145" s="2">
        <v>3.0</v>
      </c>
      <c r="S3145" s="3" t="s">
        <v>12830</v>
      </c>
      <c r="T3145" s="2" t="s">
        <v>12831</v>
      </c>
      <c r="Y3145" s="4" t="str">
        <f>IFERROR(__xludf.DUMMYFUNCTION("""COMPUTED_VALUE"""),"6.8910703")</f>
        <v>6.8910703</v>
      </c>
      <c r="Z3145" s="4" t="str">
        <f>IFERROR(__xludf.DUMMYFUNCTION("""COMPUTED_VALUE"""),"2.8377656")</f>
        <v>2.8377656</v>
      </c>
      <c r="AA3145" s="4" t="str">
        <f t="shared" si="1"/>
        <v>Neighbor</v>
      </c>
      <c r="AC3145" s="4">
        <f>IFERROR(__xludf.DUMMYFUNCTION("IFERROR(ABS(O3145-AVERAGE(FILTER(O3145:O7213,AA3145:AA7213=""Neighbor""))) / STDEV(FILTER(O3145:O7213, AA3145:AA7213 =""Neighbor"")), """")"),0.5181557240601817)</f>
        <v>0.5181557241</v>
      </c>
      <c r="AD3145" s="4">
        <f>IFERROR(__xludf.DUMMYFUNCTION("IFERROR(ABS(P3145-AVERAGE(FILTER(O3145:P7213,AA3145:AA7213=""Neighbor""))) / STDEV(FILTER(P3145:P7213, AA3145:AA7213 =""Neighbor"")), """")"),0.6777626847588623)</f>
        <v>0.6777626848</v>
      </c>
      <c r="AE3145" s="2">
        <f>IFERROR(__xludf.DUMMYFUNCTION("IFERROR(ABS(Q3145-AVERAGE(FILTER(Q3145:Q7213,AA3145:AA7213=""Neighbor""))) / STDEV(FILTER(Q3145:Q7213, AA3145:AA7213 =""Neighbor"")), """")"),1.6940815229539643)</f>
        <v>1.694081523</v>
      </c>
      <c r="AF3145" s="2">
        <f>IFERROR(__xludf.DUMMYFUNCTION("IFERROR(ABS(R3145-AVERAGE(FILTER(R3145:R7213,AA3145:AA7213=""Neighbor""))) / STDEV(FILTER(R3145:R7213, AA3145:AA7213 =""Neighbor"")), """")"),3.436869342904079)</f>
        <v>3.436869343</v>
      </c>
    </row>
    <row r="3146">
      <c r="A3146" s="2" t="s">
        <v>28</v>
      </c>
      <c r="B3146" s="2" t="s">
        <v>2660</v>
      </c>
      <c r="C3146" s="2" t="s">
        <v>2963</v>
      </c>
      <c r="D3146" s="2" t="s">
        <v>12832</v>
      </c>
      <c r="E3146" s="2" t="s">
        <v>12833</v>
      </c>
      <c r="F3146" s="2">
        <v>51.0</v>
      </c>
      <c r="G3146" s="2">
        <v>233.0</v>
      </c>
      <c r="H3146" s="2" t="b">
        <v>1</v>
      </c>
      <c r="I3146" s="2">
        <v>-1.0</v>
      </c>
      <c r="J3146" s="2" t="b">
        <v>0</v>
      </c>
      <c r="K3146" s="2" t="b">
        <v>0</v>
      </c>
      <c r="L3146" s="2" t="b">
        <v>0</v>
      </c>
      <c r="M3146" s="2" t="b">
        <v>0</v>
      </c>
      <c r="N3146" s="2" t="s">
        <v>33</v>
      </c>
      <c r="O3146" s="2">
        <v>13.0</v>
      </c>
      <c r="P3146" s="2">
        <v>9.0</v>
      </c>
      <c r="Q3146" s="2">
        <v>12.0</v>
      </c>
      <c r="R3146" s="2">
        <v>1.0</v>
      </c>
      <c r="S3146" s="3" t="s">
        <v>12834</v>
      </c>
      <c r="T3146" s="2" t="s">
        <v>12835</v>
      </c>
      <c r="Y3146" s="4" t="str">
        <f>IFERROR(__xludf.DUMMYFUNCTION("""COMPUTED_VALUE"""),"6.8974433")</f>
        <v>6.8974433</v>
      </c>
      <c r="Z3146" s="4" t="str">
        <f>IFERROR(__xludf.DUMMYFUNCTION("""COMPUTED_VALUE"""),"2.8362078")</f>
        <v>2.8362078</v>
      </c>
      <c r="AA3146" s="4" t="str">
        <f t="shared" si="1"/>
        <v>Not Neighbor</v>
      </c>
      <c r="AC3146" s="4">
        <f>IFERROR(__xludf.DUMMYFUNCTION("IFERROR(ABS(O3146-AVERAGE(FILTER(O3146:O7214,AA3146:AA7214=""Neighbor""))) / STDEV(FILTER(O3146:O7214, AA3146:AA7214 =""Neighbor"")), """")"),1.0172265890121008)</f>
        <v>1.017226589</v>
      </c>
      <c r="AD3146" s="4">
        <f>IFERROR(__xludf.DUMMYFUNCTION("IFERROR(ABS(P3146-AVERAGE(FILTER(O3146:P7214,AA3146:AA7214=""Neighbor""))) / STDEV(FILTER(P3146:P7214, AA3146:AA7214 =""Neighbor"")), """")"),0.919216974880531)</f>
        <v>0.9192169749</v>
      </c>
      <c r="AE3146" s="2">
        <f>IFERROR(__xludf.DUMMYFUNCTION("IFERROR(ABS(Q3146-AVERAGE(FILTER(Q3146:Q7214,AA3146:AA7214=""Neighbor""))) / STDEV(FILTER(Q3146:Q7214, AA3146:AA7214 =""Neighbor"")), """")"),0.22307108733041286)</f>
        <v>0.2230710873</v>
      </c>
      <c r="AF3146" s="2">
        <f>IFERROR(__xludf.DUMMYFUNCTION("IFERROR(ABS(R3146-AVERAGE(FILTER(R3146:R7214,AA3146:AA7214=""Neighbor""))) / STDEV(FILTER(R3146:R7214, AA3146:AA7214 =""Neighbor"")), """")"),0.946869066651252)</f>
        <v>0.9468690667</v>
      </c>
    </row>
    <row r="3147">
      <c r="A3147" s="2" t="s">
        <v>28</v>
      </c>
      <c r="B3147" s="2" t="s">
        <v>2660</v>
      </c>
      <c r="C3147" s="2" t="s">
        <v>2963</v>
      </c>
      <c r="D3147" s="2" t="s">
        <v>12836</v>
      </c>
      <c r="E3147" s="2" t="s">
        <v>12837</v>
      </c>
      <c r="F3147" s="2">
        <v>176.0</v>
      </c>
      <c r="G3147" s="2">
        <v>457.0</v>
      </c>
      <c r="H3147" s="2" t="b">
        <v>1</v>
      </c>
      <c r="I3147" s="2">
        <v>-1.0</v>
      </c>
      <c r="J3147" s="2" t="b">
        <v>0</v>
      </c>
      <c r="K3147" s="2" t="b">
        <v>1</v>
      </c>
      <c r="L3147" s="2" t="b">
        <v>0</v>
      </c>
      <c r="M3147" s="2" t="b">
        <v>0</v>
      </c>
      <c r="N3147" s="2" t="s">
        <v>33</v>
      </c>
      <c r="O3147" s="2">
        <v>121.0</v>
      </c>
      <c r="P3147" s="2">
        <v>19.0</v>
      </c>
      <c r="Q3147" s="2">
        <v>23.0</v>
      </c>
      <c r="R3147" s="2">
        <v>3.0</v>
      </c>
      <c r="S3147" s="3" t="s">
        <v>12838</v>
      </c>
      <c r="T3147" s="2" t="s">
        <v>12839</v>
      </c>
      <c r="Y3147" s="4" t="str">
        <f>IFERROR(__xludf.DUMMYFUNCTION("""COMPUTED_VALUE"""),"6.9101774")</f>
        <v>6.9101774</v>
      </c>
      <c r="Z3147" s="4" t="str">
        <f>IFERROR(__xludf.DUMMYFUNCTION("""COMPUTED_VALUE"""),"2.8501607")</f>
        <v>2.8501607</v>
      </c>
      <c r="AA3147" s="4" t="str">
        <f t="shared" si="1"/>
        <v>Not Neighbor</v>
      </c>
      <c r="AC3147" s="4">
        <f>IFERROR(__xludf.DUMMYFUNCTION("IFERROR(ABS(O3147-AVERAGE(FILTER(O3147:O7215,AA3147:AA7215=""Neighbor""))) / STDEV(FILTER(O3147:O7215, AA3147:AA7215 =""Neighbor"")), """")"),2.3448126217871397)</f>
        <v>2.344812622</v>
      </c>
      <c r="AD3147" s="4">
        <f>IFERROR(__xludf.DUMMYFUNCTION("IFERROR(ABS(P3147-AVERAGE(FILTER(O3147:P7215,AA3147:AA7215=""Neighbor""))) / STDEV(FILTER(P3147:P7215, AA3147:AA7215 =""Neighbor"")), """")"),0.5171013088718668)</f>
        <v>0.5171013089</v>
      </c>
      <c r="AE3147" s="2">
        <f>IFERROR(__xludf.DUMMYFUNCTION("IFERROR(ABS(Q3147-AVERAGE(FILTER(Q3147:Q7215,AA3147:AA7215=""Neighbor""))) / STDEV(FILTER(Q3147:Q7215, AA3147:AA7215 =""Neighbor"")), """")"),0.3825976889335938)</f>
        <v>0.3825976889</v>
      </c>
      <c r="AF3147" s="2">
        <f>IFERROR(__xludf.DUMMYFUNCTION("IFERROR(ABS(R3147-AVERAGE(FILTER(R3147:R7215,AA3147:AA7215=""Neighbor""))) / STDEV(FILTER(R3147:R7215, AA3147:AA7215 =""Neighbor"")), """")"),3.5053479324599417)</f>
        <v>3.505347932</v>
      </c>
    </row>
    <row r="3148">
      <c r="A3148" s="2" t="s">
        <v>28</v>
      </c>
      <c r="B3148" s="2" t="s">
        <v>2660</v>
      </c>
      <c r="C3148" s="2" t="s">
        <v>3251</v>
      </c>
      <c r="D3148" s="2" t="s">
        <v>12840</v>
      </c>
      <c r="E3148" s="2" t="s">
        <v>12841</v>
      </c>
      <c r="F3148" s="2">
        <v>54.0</v>
      </c>
      <c r="G3148" s="2">
        <v>140.0</v>
      </c>
      <c r="H3148" s="2" t="b">
        <v>1</v>
      </c>
      <c r="I3148" s="2">
        <v>-1.0</v>
      </c>
      <c r="J3148" s="2" t="b">
        <v>0</v>
      </c>
      <c r="K3148" s="2" t="b">
        <v>0</v>
      </c>
      <c r="L3148" s="2" t="b">
        <v>0</v>
      </c>
      <c r="M3148" s="2" t="b">
        <v>0</v>
      </c>
      <c r="N3148" s="2" t="s">
        <v>33</v>
      </c>
      <c r="O3148" s="2">
        <v>24.0</v>
      </c>
      <c r="P3148" s="2">
        <v>3.0</v>
      </c>
      <c r="Q3148" s="2">
        <v>14.0</v>
      </c>
      <c r="R3148" s="2">
        <v>0.0</v>
      </c>
      <c r="S3148" s="3" t="s">
        <v>12842</v>
      </c>
      <c r="T3148" s="2" t="s">
        <v>12843</v>
      </c>
      <c r="Y3148" s="4" t="str">
        <f>IFERROR(__xludf.DUMMYFUNCTION("""COMPUTED_VALUE"""),"7.1631373")</f>
        <v>7.1631373</v>
      </c>
      <c r="Z3148" s="4" t="str">
        <f>IFERROR(__xludf.DUMMYFUNCTION("""COMPUTED_VALUE"""),"3.0537857")</f>
        <v>3.0537857</v>
      </c>
      <c r="AA3148" s="4" t="str">
        <f t="shared" si="1"/>
        <v>Not Neighbor</v>
      </c>
      <c r="AC3148" s="4">
        <f>IFERROR(__xludf.DUMMYFUNCTION("IFERROR(ABS(O3148-AVERAGE(FILTER(O3148:O7216,AA3148:AA7216=""Neighbor""))) / STDEV(FILTER(O3148:O7216, AA3148:AA7216 =""Neighbor"")), """")"),0.6747966693936597)</f>
        <v>0.6747966694</v>
      </c>
      <c r="AD3148" s="4">
        <f>IFERROR(__xludf.DUMMYFUNCTION("IFERROR(ABS(P3148-AVERAGE(FILTER(O3148:P7216,AA3148:AA7216=""Neighbor""))) / STDEV(FILTER(P3148:P7216, AA3148:AA7216 =""Neighbor"")), """")"),1.1604863744857294)</f>
        <v>1.160486374</v>
      </c>
      <c r="AE3148" s="2">
        <f>IFERROR(__xludf.DUMMYFUNCTION("IFERROR(ABS(Q3148-AVERAGE(FILTER(Q3148:Q7216,AA3148:AA7216=""Neighbor""))) / STDEV(FILTER(Q3148:Q7216, AA3148:AA7216 =""Neighbor"")), """")"),0.11294949164604802)</f>
        <v>0.1129494916</v>
      </c>
      <c r="AF3148" s="2">
        <f>IFERROR(__xludf.DUMMYFUNCTION("IFERROR(ABS(R3148-AVERAGE(FILTER(R3148:R7216,AA3148:AA7216=""Neighbor""))) / STDEV(FILTER(R3148:R7216, AA3148:AA7216 =""Neighbor"")), """")"),0.3323703662530926)</f>
        <v>0.3323703663</v>
      </c>
    </row>
    <row r="3149">
      <c r="A3149" s="2" t="s">
        <v>28</v>
      </c>
      <c r="B3149" s="2" t="s">
        <v>2660</v>
      </c>
      <c r="C3149" s="2" t="s">
        <v>3251</v>
      </c>
      <c r="D3149" s="2" t="s">
        <v>12844</v>
      </c>
      <c r="E3149" s="2" t="s">
        <v>12845</v>
      </c>
      <c r="F3149" s="2">
        <v>58.0</v>
      </c>
      <c r="G3149" s="2">
        <v>126.0</v>
      </c>
      <c r="H3149" s="2" t="b">
        <v>1</v>
      </c>
      <c r="I3149" s="2">
        <v>-1.0</v>
      </c>
      <c r="J3149" s="2" t="b">
        <v>0</v>
      </c>
      <c r="K3149" s="2" t="b">
        <v>0</v>
      </c>
      <c r="L3149" s="2" t="b">
        <v>0</v>
      </c>
      <c r="M3149" s="2" t="b">
        <v>0</v>
      </c>
      <c r="N3149" s="2" t="s">
        <v>33</v>
      </c>
      <c r="O3149" s="2">
        <v>25.0</v>
      </c>
      <c r="P3149" s="2">
        <v>1.0</v>
      </c>
      <c r="Q3149" s="2">
        <v>20.0</v>
      </c>
      <c r="R3149" s="2">
        <v>5.0</v>
      </c>
      <c r="S3149" s="3" t="s">
        <v>12846</v>
      </c>
      <c r="T3149" s="2" t="s">
        <v>12847</v>
      </c>
      <c r="Y3149" s="4" t="str">
        <f>IFERROR(__xludf.DUMMYFUNCTION("""COMPUTED_VALUE"""),"6.6287567")</f>
        <v>6.6287567</v>
      </c>
      <c r="Z3149" s="4" t="str">
        <f>IFERROR(__xludf.DUMMYFUNCTION("""COMPUTED_VALUE"""),"3.2794599")</f>
        <v>3.2794599</v>
      </c>
      <c r="AA3149" s="4" t="str">
        <f t="shared" si="1"/>
        <v>Not Neighbor</v>
      </c>
      <c r="AC3149" s="4">
        <f>IFERROR(__xludf.DUMMYFUNCTION("IFERROR(ABS(O3149-AVERAGE(FILTER(O3149:O7217,AA3149:AA7217=""Neighbor""))) / STDEV(FILTER(O3149:O7217, AA3149:AA7217 =""Neighbor"")), """")"),0.6436666767010741)</f>
        <v>0.6436666767</v>
      </c>
      <c r="AD3149" s="4">
        <f>IFERROR(__xludf.DUMMYFUNCTION("IFERROR(ABS(P3149-AVERAGE(FILTER(O3149:P7217,AA3149:AA7217=""Neighbor""))) / STDEV(FILTER(P3149:P7217, AA3149:AA7217 =""Neighbor"")), """")"),1.2409095076874623)</f>
        <v>1.240909508</v>
      </c>
      <c r="AE3149" s="2">
        <f>IFERROR(__xludf.DUMMYFUNCTION("IFERROR(ABS(Q3149-AVERAGE(FILTER(Q3149:Q7217,AA3149:AA7217=""Neighbor""))) / STDEV(FILTER(Q3149:Q7217, AA3149:AA7217 =""Neighbor"")), """")"),0.21741529540704654)</f>
        <v>0.2174152954</v>
      </c>
      <c r="AF3149" s="2">
        <f>IFERROR(__xludf.DUMMYFUNCTION("IFERROR(ABS(R3149-AVERAGE(FILTER(R3149:R7217,AA3149:AA7217=""Neighbor""))) / STDEV(FILTER(R3149:R7217, AA3149:AA7217 =""Neighbor"")), """")"),6.0638267982686305)</f>
        <v>6.063826798</v>
      </c>
    </row>
    <row r="3150">
      <c r="A3150" s="2" t="s">
        <v>28</v>
      </c>
      <c r="B3150" s="2" t="s">
        <v>2660</v>
      </c>
      <c r="C3150" s="2" t="s">
        <v>3251</v>
      </c>
      <c r="D3150" s="2" t="s">
        <v>12848</v>
      </c>
      <c r="E3150" s="2" t="s">
        <v>12849</v>
      </c>
      <c r="F3150" s="2">
        <v>95.0</v>
      </c>
      <c r="G3150" s="2">
        <v>197.0</v>
      </c>
      <c r="H3150" s="2" t="b">
        <v>1</v>
      </c>
      <c r="I3150" s="2">
        <v>-1.0</v>
      </c>
      <c r="J3150" s="2" t="b">
        <v>0</v>
      </c>
      <c r="K3150" s="2" t="b">
        <v>0</v>
      </c>
      <c r="L3150" s="2" t="b">
        <v>0</v>
      </c>
      <c r="M3150" s="2" t="b">
        <v>0</v>
      </c>
      <c r="N3150" s="2" t="s">
        <v>33</v>
      </c>
      <c r="O3150" s="2">
        <v>59.0</v>
      </c>
      <c r="P3150" s="2">
        <v>3.0</v>
      </c>
      <c r="Q3150" s="2">
        <v>15.0</v>
      </c>
      <c r="R3150" s="2">
        <v>7.0</v>
      </c>
      <c r="S3150" s="3" t="s">
        <v>12850</v>
      </c>
      <c r="T3150" s="2" t="s">
        <v>12851</v>
      </c>
      <c r="Y3150" s="4" t="str">
        <f>IFERROR(__xludf.DUMMYFUNCTION("""COMPUTED_VALUE"""),"7.0538652")</f>
        <v>7.0538652</v>
      </c>
      <c r="Z3150" s="4" t="str">
        <f>IFERROR(__xludf.DUMMYFUNCTION("""COMPUTED_VALUE"""),"2.975056")</f>
        <v>2.975056</v>
      </c>
      <c r="AA3150" s="4" t="str">
        <f t="shared" si="1"/>
        <v>Not Neighbor</v>
      </c>
      <c r="AC3150" s="4">
        <f>IFERROR(__xludf.DUMMYFUNCTION("IFERROR(ABS(O3150-AVERAGE(FILTER(O3150:O7218,AA3150:AA7218=""Neighbor""))) / STDEV(FILTER(O3150:O7218, AA3150:AA7218 =""Neighbor"")), """")"),0.4147530748468348)</f>
        <v>0.4147530748</v>
      </c>
      <c r="AD3150" s="4">
        <f>IFERROR(__xludf.DUMMYFUNCTION("IFERROR(ABS(P3150-AVERAGE(FILTER(O3150:P7218,AA3150:AA7218=""Neighbor""))) / STDEV(FILTER(P3150:P7218, AA3150:AA7218 =""Neighbor"")), """")"),1.1604863744857294)</f>
        <v>1.160486374</v>
      </c>
      <c r="AE3150" s="2">
        <f>IFERROR(__xludf.DUMMYFUNCTION("IFERROR(ABS(Q3150-AVERAGE(FILTER(Q3150:Q7218,AA3150:AA7218=""Neighbor""))) / STDEV(FILTER(Q3150:Q7218, AA3150:AA7218 =""Neighbor"")), """")"),0.05788869380386559)</f>
        <v>0.0578886938</v>
      </c>
      <c r="AF3150" s="2">
        <f>IFERROR(__xludf.DUMMYFUNCTION("IFERROR(ABS(R3150-AVERAGE(FILTER(R3150:R7218,AA3150:AA7218=""Neighbor""))) / STDEV(FILTER(R3150:R7218, AA3150:AA7218 =""Neighbor"")), """")"),8.62230566407732)</f>
        <v>8.622305664</v>
      </c>
    </row>
    <row r="3151">
      <c r="A3151" s="2" t="s">
        <v>28</v>
      </c>
      <c r="B3151" s="2" t="s">
        <v>2660</v>
      </c>
      <c r="C3151" s="2" t="s">
        <v>3251</v>
      </c>
      <c r="D3151" s="2" t="s">
        <v>12852</v>
      </c>
      <c r="E3151" s="2" t="s">
        <v>12853</v>
      </c>
      <c r="F3151" s="2">
        <v>65.0</v>
      </c>
      <c r="G3151" s="2">
        <v>180.0</v>
      </c>
      <c r="H3151" s="2" t="b">
        <v>1</v>
      </c>
      <c r="I3151" s="2">
        <v>-1.0</v>
      </c>
      <c r="J3151" s="2" t="b">
        <v>0</v>
      </c>
      <c r="K3151" s="2" t="b">
        <v>0</v>
      </c>
      <c r="L3151" s="2" t="b">
        <v>0</v>
      </c>
      <c r="M3151" s="2" t="b">
        <v>0</v>
      </c>
      <c r="N3151" s="2" t="s">
        <v>33</v>
      </c>
      <c r="O3151" s="2">
        <v>29.0</v>
      </c>
      <c r="P3151" s="2">
        <v>8.0</v>
      </c>
      <c r="Q3151" s="2">
        <v>8.0</v>
      </c>
      <c r="R3151" s="2">
        <v>5.0</v>
      </c>
      <c r="S3151" s="3" t="s">
        <v>12854</v>
      </c>
      <c r="T3151" s="2" t="s">
        <v>12855</v>
      </c>
      <c r="Y3151" s="4" t="str">
        <f>IFERROR(__xludf.DUMMYFUNCTION("""COMPUTED_VALUE"""),"6.9528252")</f>
        <v>6.9528252</v>
      </c>
      <c r="Z3151" s="4" t="str">
        <f>IFERROR(__xludf.DUMMYFUNCTION("""COMPUTED_VALUE"""),"3.0388429")</f>
        <v>3.0388429</v>
      </c>
      <c r="AA3151" s="4" t="str">
        <f t="shared" si="1"/>
        <v>Not Neighbor</v>
      </c>
      <c r="AC3151" s="4">
        <f>IFERROR(__xludf.DUMMYFUNCTION("IFERROR(ABS(O3151-AVERAGE(FILTER(O3151:O7219,AA3151:AA7219=""Neighbor""))) / STDEV(FILTER(O3151:O7219, AA3151:AA7219 =""Neighbor"")), """")"),0.5191467059307319)</f>
        <v>0.5191467059</v>
      </c>
      <c r="AD3151" s="4">
        <f>IFERROR(__xludf.DUMMYFUNCTION("IFERROR(ABS(P3151-AVERAGE(FILTER(O3151:P7219,AA3151:AA7219=""Neighbor""))) / STDEV(FILTER(P3151:P7219, AA3151:AA7219 =""Neighbor"")), """")"),0.9594285414813974)</f>
        <v>0.9594285415</v>
      </c>
      <c r="AE3151" s="2">
        <f>IFERROR(__xludf.DUMMYFUNCTION("IFERROR(ABS(Q3151-AVERAGE(FILTER(Q3151:Q7219,AA3151:AA7219=""Neighbor""))) / STDEV(FILTER(Q3151:Q7219, AA3151:AA7219 =""Neighbor"")), """")"),0.4433142786991426)</f>
        <v>0.4433142787</v>
      </c>
      <c r="AF3151" s="2">
        <f>IFERROR(__xludf.DUMMYFUNCTION("IFERROR(ABS(R3151-AVERAGE(FILTER(R3151:R7219,AA3151:AA7219=""Neighbor""))) / STDEV(FILTER(R3151:R7219, AA3151:AA7219 =""Neighbor"")), """")"),6.0638267982686305)</f>
        <v>6.063826798</v>
      </c>
    </row>
    <row r="3152">
      <c r="A3152" s="2" t="s">
        <v>28</v>
      </c>
      <c r="B3152" s="2" t="s">
        <v>2660</v>
      </c>
      <c r="C3152" s="2" t="s">
        <v>3251</v>
      </c>
      <c r="D3152" s="2" t="s">
        <v>12856</v>
      </c>
      <c r="E3152" s="2" t="s">
        <v>12857</v>
      </c>
      <c r="F3152" s="2">
        <v>135.0</v>
      </c>
      <c r="G3152" s="2">
        <v>282.0</v>
      </c>
      <c r="H3152" s="2" t="b">
        <v>1</v>
      </c>
      <c r="I3152" s="2">
        <v>-1.0</v>
      </c>
      <c r="J3152" s="2" t="b">
        <v>0</v>
      </c>
      <c r="K3152" s="2" t="b">
        <v>0</v>
      </c>
      <c r="L3152" s="2" t="b">
        <v>0</v>
      </c>
      <c r="M3152" s="2" t="b">
        <v>0</v>
      </c>
      <c r="N3152" s="2" t="s">
        <v>33</v>
      </c>
      <c r="O3152" s="2">
        <v>68.0</v>
      </c>
      <c r="P3152" s="2">
        <v>17.0</v>
      </c>
      <c r="Q3152" s="2">
        <v>7.0</v>
      </c>
      <c r="R3152" s="2">
        <v>22.0</v>
      </c>
      <c r="S3152" s="3" t="s">
        <v>12858</v>
      </c>
      <c r="T3152" s="2" t="s">
        <v>12859</v>
      </c>
      <c r="Y3152" s="4" t="str">
        <f>IFERROR(__xludf.DUMMYFUNCTION("""COMPUTED_VALUE"""),"7.174586")</f>
        <v>7.174586</v>
      </c>
      <c r="Z3152" s="4" t="str">
        <f>IFERROR(__xludf.DUMMYFUNCTION("""COMPUTED_VALUE"""),"2.9609967")</f>
        <v>2.9609967</v>
      </c>
      <c r="AA3152" s="4" t="str">
        <f t="shared" si="1"/>
        <v>Not Neighbor</v>
      </c>
      <c r="AC3152" s="4">
        <f>IFERROR(__xludf.DUMMYFUNCTION("IFERROR(ABS(O3152-AVERAGE(FILTER(O3152:O7220,AA3152:AA7220=""Neighbor""))) / STDEV(FILTER(O3152:O7220, AA3152:AA7220 =""Neighbor"")), """")"),0.6949230090801048)</f>
        <v>0.6949230091</v>
      </c>
      <c r="AD3152" s="4">
        <f>IFERROR(__xludf.DUMMYFUNCTION("IFERROR(ABS(P3152-AVERAGE(FILTER(O3152:P7220,AA3152:AA7220=""Neighbor""))) / STDEV(FILTER(P3152:P7220, AA3152:AA7220 =""Neighbor"")), """")"),0.5975244420735997)</f>
        <v>0.5975244421</v>
      </c>
      <c r="AE3152" s="2">
        <f>IFERROR(__xludf.DUMMYFUNCTION("IFERROR(ABS(Q3152-AVERAGE(FILTER(Q3152:Q7220,AA3152:AA7220=""Neighbor""))) / STDEV(FILTER(Q3152:Q7220, AA3152:AA7220 =""Neighbor"")), """")"),0.498375076541325)</f>
        <v>0.4983750765</v>
      </c>
      <c r="AF3152" s="2">
        <f>IFERROR(__xludf.DUMMYFUNCTION("IFERROR(ABS(R3152-AVERAGE(FILTER(R3152:R7220,AA3152:AA7220=""Neighbor""))) / STDEV(FILTER(R3152:R7220, AA3152:AA7220 =""Neighbor"")), """")"),27.81089715764249)</f>
        <v>27.81089716</v>
      </c>
    </row>
    <row r="3153">
      <c r="A3153" s="2" t="s">
        <v>28</v>
      </c>
      <c r="B3153" s="2" t="s">
        <v>2660</v>
      </c>
      <c r="C3153" s="2" t="s">
        <v>2913</v>
      </c>
      <c r="D3153" s="2" t="s">
        <v>12860</v>
      </c>
      <c r="E3153" s="2" t="s">
        <v>12861</v>
      </c>
      <c r="F3153" s="2">
        <v>49.0</v>
      </c>
      <c r="G3153" s="2">
        <v>72.0</v>
      </c>
      <c r="H3153" s="2" t="b">
        <v>1</v>
      </c>
      <c r="I3153" s="2">
        <v>-1.0</v>
      </c>
      <c r="J3153" s="2" t="b">
        <v>0</v>
      </c>
      <c r="K3153" s="2" t="b">
        <v>0</v>
      </c>
      <c r="L3153" s="2" t="b">
        <v>0</v>
      </c>
      <c r="M3153" s="2" t="b">
        <v>0</v>
      </c>
      <c r="N3153" s="2" t="s">
        <v>33</v>
      </c>
      <c r="O3153" s="2">
        <v>28.0</v>
      </c>
      <c r="P3153" s="2">
        <v>3.0</v>
      </c>
      <c r="Q3153" s="2">
        <v>17.0</v>
      </c>
      <c r="R3153" s="2">
        <v>0.0</v>
      </c>
      <c r="S3153" s="3" t="s">
        <v>12862</v>
      </c>
      <c r="T3153" s="2" t="s">
        <v>12863</v>
      </c>
      <c r="Y3153" s="4" t="str">
        <f>IFERROR(__xludf.DUMMYFUNCTION("""COMPUTED_VALUE"""),"7.0864")</f>
        <v>7.0864</v>
      </c>
      <c r="Z3153" s="4" t="str">
        <f>IFERROR(__xludf.DUMMYFUNCTION("""COMPUTED_VALUE"""),"3.0868")</f>
        <v>3.0868</v>
      </c>
      <c r="AA3153" s="4" t="str">
        <f t="shared" si="1"/>
        <v>Not Neighbor</v>
      </c>
      <c r="AC3153" s="4">
        <f>IFERROR(__xludf.DUMMYFUNCTION("IFERROR(ABS(O3153-AVERAGE(FILTER(O3153:O7221,AA3153:AA7221=""Neighbor""))) / STDEV(FILTER(O3153:O7221, AA3153:AA7221 =""Neighbor"")), """")"),0.5502766986233174)</f>
        <v>0.5502766986</v>
      </c>
      <c r="AD3153" s="4">
        <f>IFERROR(__xludf.DUMMYFUNCTION("IFERROR(ABS(P3153-AVERAGE(FILTER(O3153:P7221,AA3153:AA7221=""Neighbor""))) / STDEV(FILTER(P3153:P7221, AA3153:AA7221 =""Neighbor"")), """")"),1.1604863744857294)</f>
        <v>1.160486374</v>
      </c>
      <c r="AE3153" s="2">
        <f>IFERROR(__xludf.DUMMYFUNCTION("IFERROR(ABS(Q3153-AVERAGE(FILTER(Q3153:Q7221,AA3153:AA7221=""Neighbor""))) / STDEV(FILTER(Q3153:Q7221, AA3153:AA7221 =""Neighbor"")), """")"),0.05223290188049926)</f>
        <v>0.05223290188</v>
      </c>
      <c r="AF3153" s="2">
        <f>IFERROR(__xludf.DUMMYFUNCTION("IFERROR(ABS(R3153-AVERAGE(FILTER(R3153:R7221,AA3153:AA7221=""Neighbor""))) / STDEV(FILTER(R3153:R7221, AA3153:AA7221 =""Neighbor"")), """")"),0.3323703662530926)</f>
        <v>0.3323703663</v>
      </c>
    </row>
    <row r="3154">
      <c r="A3154" s="2" t="s">
        <v>28</v>
      </c>
      <c r="B3154" s="2" t="s">
        <v>2660</v>
      </c>
      <c r="C3154" s="2" t="s">
        <v>2913</v>
      </c>
      <c r="D3154" s="2" t="s">
        <v>12864</v>
      </c>
      <c r="E3154" s="2" t="s">
        <v>12865</v>
      </c>
      <c r="F3154" s="2">
        <v>84.0</v>
      </c>
      <c r="G3154" s="2">
        <v>169.0</v>
      </c>
      <c r="H3154" s="2" t="b">
        <v>1</v>
      </c>
      <c r="I3154" s="2">
        <v>-1.0</v>
      </c>
      <c r="J3154" s="2" t="b">
        <v>0</v>
      </c>
      <c r="K3154" s="2" t="b">
        <v>0</v>
      </c>
      <c r="L3154" s="2" t="b">
        <v>0</v>
      </c>
      <c r="M3154" s="2" t="b">
        <v>0</v>
      </c>
      <c r="N3154" s="2" t="s">
        <v>33</v>
      </c>
      <c r="O3154" s="2">
        <v>52.0</v>
      </c>
      <c r="P3154" s="2">
        <v>4.0</v>
      </c>
      <c r="Q3154" s="2">
        <v>11.0</v>
      </c>
      <c r="R3154" s="2">
        <v>0.0</v>
      </c>
      <c r="S3154" s="3" t="s">
        <v>12866</v>
      </c>
      <c r="T3154" s="2" t="s">
        <v>12867</v>
      </c>
      <c r="Y3154" s="4" t="str">
        <f>IFERROR(__xludf.DUMMYFUNCTION("""COMPUTED_VALUE"""),"7.0950065")</f>
        <v>7.0950065</v>
      </c>
      <c r="Z3154" s="4" t="str">
        <f>IFERROR(__xludf.DUMMYFUNCTION("""COMPUTED_VALUE"""),"3.1140145")</f>
        <v>3.1140145</v>
      </c>
      <c r="AA3154" s="4" t="str">
        <f t="shared" si="1"/>
        <v>Not Neighbor</v>
      </c>
      <c r="AC3154" s="4">
        <f>IFERROR(__xludf.DUMMYFUNCTION("IFERROR(ABS(O3154-AVERAGE(FILTER(O3154:O7222,AA3154:AA7222=""Neighbor""))) / STDEV(FILTER(O3154:O7222, AA3154:AA7222 =""Neighbor"")), """")"),0.1968431259987359)</f>
        <v>0.196843126</v>
      </c>
      <c r="AD3154" s="4">
        <f>IFERROR(__xludf.DUMMYFUNCTION("IFERROR(ABS(P3154-AVERAGE(FILTER(O3154:P7222,AA3154:AA7222=""Neighbor""))) / STDEV(FILTER(P3154:P7222, AA3154:AA7222 =""Neighbor"")), """")"),1.120274807884863)</f>
        <v>1.120274808</v>
      </c>
      <c r="AE3154" s="2">
        <f>IFERROR(__xludf.DUMMYFUNCTION("IFERROR(ABS(Q3154-AVERAGE(FILTER(Q3154:Q7222,AA3154:AA7222=""Neighbor""))) / STDEV(FILTER(Q3154:Q7222, AA3154:AA7222 =""Neighbor"")), """")"),0.2781318851725953)</f>
        <v>0.2781318852</v>
      </c>
      <c r="AF3154" s="2">
        <f>IFERROR(__xludf.DUMMYFUNCTION("IFERROR(ABS(R3154-AVERAGE(FILTER(R3154:R7222,AA3154:AA7222=""Neighbor""))) / STDEV(FILTER(R3154:R7222, AA3154:AA7222 =""Neighbor"")), """")"),0.3323703662530926)</f>
        <v>0.3323703663</v>
      </c>
    </row>
    <row r="3155">
      <c r="A3155" s="2" t="s">
        <v>28</v>
      </c>
      <c r="B3155" s="2" t="s">
        <v>2660</v>
      </c>
      <c r="C3155" s="2" t="s">
        <v>2661</v>
      </c>
      <c r="D3155" s="2" t="s">
        <v>12868</v>
      </c>
      <c r="E3155" s="2" t="s">
        <v>12869</v>
      </c>
      <c r="F3155" s="2">
        <v>75.0</v>
      </c>
      <c r="G3155" s="2">
        <v>127.0</v>
      </c>
      <c r="H3155" s="2" t="b">
        <v>1</v>
      </c>
      <c r="I3155" s="2">
        <v>-1.0</v>
      </c>
      <c r="J3155" s="2" t="b">
        <v>0</v>
      </c>
      <c r="K3155" s="2" t="b">
        <v>0</v>
      </c>
      <c r="L3155" s="2" t="b">
        <v>0</v>
      </c>
      <c r="M3155" s="2" t="b">
        <v>0</v>
      </c>
      <c r="N3155" s="2" t="s">
        <v>33</v>
      </c>
      <c r="O3155" s="2">
        <v>45.0</v>
      </c>
      <c r="P3155" s="2">
        <v>2.0</v>
      </c>
      <c r="Q3155" s="2">
        <v>24.0</v>
      </c>
      <c r="R3155" s="2">
        <v>0.0</v>
      </c>
      <c r="S3155" s="3" t="s">
        <v>12870</v>
      </c>
      <c r="T3155" s="2" t="s">
        <v>12871</v>
      </c>
      <c r="Y3155" s="4" t="str">
        <f>IFERROR(__xludf.DUMMYFUNCTION("""COMPUTED_VALUE"""),"7.5381216")</f>
        <v>7.5381216</v>
      </c>
      <c r="Z3155" s="4" t="str">
        <f>IFERROR(__xludf.DUMMYFUNCTION("""COMPUTED_VALUE"""),"4.4458666")</f>
        <v>4.4458666</v>
      </c>
      <c r="AA3155" s="4" t="str">
        <f t="shared" si="1"/>
        <v>Not Neighbor</v>
      </c>
      <c r="AC3155" s="4">
        <f>IFERROR(__xludf.DUMMYFUNCTION("IFERROR(ABS(O3155-AVERAGE(FILTER(O3155:O7223,AA3155:AA7223=""Neighbor""))) / STDEV(FILTER(O3155:O7223, AA3155:AA7223 =""Neighbor"")), """")"),0.02106682284936297)</f>
        <v>0.02106682285</v>
      </c>
      <c r="AD3155" s="4">
        <f>IFERROR(__xludf.DUMMYFUNCTION("IFERROR(ABS(P3155-AVERAGE(FILTER(O3155:P7223,AA3155:AA7223=""Neighbor""))) / STDEV(FILTER(P3155:P7223, AA3155:AA7223 =""Neighbor"")), """")"),1.2006979410865959)</f>
        <v>1.200697941</v>
      </c>
      <c r="AE3155" s="2">
        <f>IFERROR(__xludf.DUMMYFUNCTION("IFERROR(ABS(Q3155-AVERAGE(FILTER(Q3155:Q7223,AA3155:AA7223=""Neighbor""))) / STDEV(FILTER(Q3155:Q7223, AA3155:AA7223 =""Neighbor"")), """")"),0.43765848677577623)</f>
        <v>0.4376584868</v>
      </c>
      <c r="AF3155" s="2">
        <f>IFERROR(__xludf.DUMMYFUNCTION("IFERROR(ABS(R3155-AVERAGE(FILTER(R3155:R7223,AA3155:AA7223=""Neighbor""))) / STDEV(FILTER(R3155:R7223, AA3155:AA7223 =""Neighbor"")), """")"),0.3323703662530926)</f>
        <v>0.3323703663</v>
      </c>
    </row>
    <row r="3156">
      <c r="A3156" s="2" t="s">
        <v>28</v>
      </c>
      <c r="B3156" s="2" t="s">
        <v>2660</v>
      </c>
      <c r="C3156" s="2" t="s">
        <v>2661</v>
      </c>
      <c r="D3156" s="2" t="s">
        <v>12872</v>
      </c>
      <c r="E3156" s="2" t="s">
        <v>12873</v>
      </c>
      <c r="F3156" s="2">
        <v>59.0</v>
      </c>
      <c r="G3156" s="2">
        <v>112.0</v>
      </c>
      <c r="H3156" s="2" t="b">
        <v>1</v>
      </c>
      <c r="I3156" s="2">
        <v>-1.0</v>
      </c>
      <c r="J3156" s="2" t="b">
        <v>1</v>
      </c>
      <c r="K3156" s="2" t="b">
        <v>0</v>
      </c>
      <c r="L3156" s="2" t="b">
        <v>0</v>
      </c>
      <c r="M3156" s="2" t="b">
        <v>0</v>
      </c>
      <c r="N3156" s="2" t="s">
        <v>33</v>
      </c>
      <c r="O3156" s="2">
        <v>20.0</v>
      </c>
      <c r="P3156" s="2">
        <v>4.0</v>
      </c>
      <c r="Q3156" s="2">
        <v>26.0</v>
      </c>
      <c r="R3156" s="2">
        <v>0.0</v>
      </c>
      <c r="S3156" s="3" t="s">
        <v>12874</v>
      </c>
      <c r="T3156" s="2" t="s">
        <v>12875</v>
      </c>
      <c r="Y3156" s="4" t="str">
        <f>IFERROR(__xludf.DUMMYFUNCTION("""COMPUTED_VALUE"""),"7.3100939")</f>
        <v>7.3100939</v>
      </c>
      <c r="Z3156" s="4" t="str">
        <f>IFERROR(__xludf.DUMMYFUNCTION("""COMPUTED_VALUE"""),"3.0624718")</f>
        <v>3.0624718</v>
      </c>
      <c r="AA3156" s="4" t="str">
        <f t="shared" si="1"/>
        <v>Not Neighbor</v>
      </c>
      <c r="AC3156" s="4">
        <f>IFERROR(__xludf.DUMMYFUNCTION("IFERROR(ABS(O3156-AVERAGE(FILTER(O3156:O7224,AA3156:AA7224=""Neighbor""))) / STDEV(FILTER(O3156:O7224, AA3156:AA7224 =""Neighbor"")), """")"),0.7993166401640018)</f>
        <v>0.7993166402</v>
      </c>
      <c r="AD3156" s="4">
        <f>IFERROR(__xludf.DUMMYFUNCTION("IFERROR(ABS(P3156-AVERAGE(FILTER(O3156:P7224,AA3156:AA7224=""Neighbor""))) / STDEV(FILTER(P3156:P7224, AA3156:AA7224 =""Neighbor"")), """")"),1.120274807884863)</f>
        <v>1.120274808</v>
      </c>
      <c r="AE3156" s="2">
        <f>IFERROR(__xludf.DUMMYFUNCTION("IFERROR(ABS(Q3156-AVERAGE(FILTER(Q3156:Q7224,AA3156:AA7224=""Neighbor""))) / STDEV(FILTER(Q3156:Q7224, AA3156:AA7224 =""Neighbor"")), """")"),0.5477800824601411)</f>
        <v>0.5477800825</v>
      </c>
      <c r="AF3156" s="2">
        <f>IFERROR(__xludf.DUMMYFUNCTION("IFERROR(ABS(R3156-AVERAGE(FILTER(R3156:R7224,AA3156:AA7224=""Neighbor""))) / STDEV(FILTER(R3156:R7224, AA3156:AA7224 =""Neighbor"")), """")"),0.3323703662530926)</f>
        <v>0.3323703663</v>
      </c>
    </row>
    <row r="3157">
      <c r="A3157" s="2" t="s">
        <v>28</v>
      </c>
      <c r="B3157" s="2" t="s">
        <v>2660</v>
      </c>
      <c r="C3157" s="2" t="s">
        <v>2661</v>
      </c>
      <c r="D3157" s="2" t="s">
        <v>12876</v>
      </c>
      <c r="E3157" s="2" t="s">
        <v>12877</v>
      </c>
      <c r="F3157" s="2">
        <v>246.0</v>
      </c>
      <c r="G3157" s="2">
        <v>635.0</v>
      </c>
      <c r="H3157" s="2" t="b">
        <v>1</v>
      </c>
      <c r="I3157" s="2">
        <v>-1.0</v>
      </c>
      <c r="J3157" s="2" t="b">
        <v>1</v>
      </c>
      <c r="K3157" s="2" t="b">
        <v>0</v>
      </c>
      <c r="L3157" s="2" t="b">
        <v>0</v>
      </c>
      <c r="M3157" s="2" t="b">
        <v>0</v>
      </c>
      <c r="N3157" s="2" t="s">
        <v>33</v>
      </c>
      <c r="O3157" s="2">
        <v>134.0</v>
      </c>
      <c r="P3157" s="2">
        <v>19.0</v>
      </c>
      <c r="Q3157" s="2">
        <v>77.0</v>
      </c>
      <c r="R3157" s="2">
        <v>0.0</v>
      </c>
      <c r="S3157" s="3" t="s">
        <v>12878</v>
      </c>
      <c r="T3157" s="2" t="s">
        <v>12879</v>
      </c>
      <c r="Y3157" s="4" t="str">
        <f>IFERROR(__xludf.DUMMYFUNCTION("""COMPUTED_VALUE"""),"7.3151625")</f>
        <v>7.3151625</v>
      </c>
      <c r="Z3157" s="4" t="str">
        <f>IFERROR(__xludf.DUMMYFUNCTION("""COMPUTED_VALUE"""),"2.9068293")</f>
        <v>2.9068293</v>
      </c>
      <c r="AA3157" s="4" t="str">
        <f t="shared" si="1"/>
        <v>Not Neighbor</v>
      </c>
      <c r="AC3157" s="4">
        <f>IFERROR(__xludf.DUMMYFUNCTION("IFERROR(ABS(O3157-AVERAGE(FILTER(O3157:O7225,AA3157:AA7225=""Neighbor""))) / STDEV(FILTER(O3157:O7225, AA3157:AA7225 =""Neighbor"")), """")"),2.7495025267907516)</f>
        <v>2.749502527</v>
      </c>
      <c r="AD3157" s="4">
        <f>IFERROR(__xludf.DUMMYFUNCTION("IFERROR(ABS(P3157-AVERAGE(FILTER(O3157:P7225,AA3157:AA7225=""Neighbor""))) / STDEV(FILTER(P3157:P7225, AA3157:AA7225 =""Neighbor"")), """")"),0.5171013088718668)</f>
        <v>0.5171013089</v>
      </c>
      <c r="AE3157" s="2">
        <f>IFERROR(__xludf.DUMMYFUNCTION("IFERROR(ABS(Q3157-AVERAGE(FILTER(Q3157:Q7225,AA3157:AA7225=""Neighbor""))) / STDEV(FILTER(Q3157:Q7225, AA3157:AA7225 =""Neighbor"")), """")"),3.3558807724114446)</f>
        <v>3.355880772</v>
      </c>
      <c r="AF3157" s="2">
        <f>IFERROR(__xludf.DUMMYFUNCTION("IFERROR(ABS(R3157-AVERAGE(FILTER(R3157:R7225,AA3157:AA7225=""Neighbor""))) / STDEV(FILTER(R3157:R7225, AA3157:AA7225 =""Neighbor"")), """")"),0.3323703662530926)</f>
        <v>0.3323703663</v>
      </c>
    </row>
    <row r="3158">
      <c r="A3158" s="2" t="s">
        <v>28</v>
      </c>
      <c r="B3158" s="2" t="s">
        <v>2660</v>
      </c>
      <c r="C3158" s="2" t="s">
        <v>2934</v>
      </c>
      <c r="D3158" s="2" t="s">
        <v>12880</v>
      </c>
      <c r="E3158" s="2" t="s">
        <v>12881</v>
      </c>
      <c r="F3158" s="2">
        <v>48.0</v>
      </c>
      <c r="G3158" s="2">
        <v>83.0</v>
      </c>
      <c r="H3158" s="2" t="b">
        <v>1</v>
      </c>
      <c r="I3158" s="2">
        <v>-1.0</v>
      </c>
      <c r="J3158" s="2" t="b">
        <v>0</v>
      </c>
      <c r="K3158" s="2" t="b">
        <v>0</v>
      </c>
      <c r="L3158" s="2" t="b">
        <v>0</v>
      </c>
      <c r="M3158" s="2" t="b">
        <v>0</v>
      </c>
      <c r="N3158" s="2" t="s">
        <v>33</v>
      </c>
      <c r="O3158" s="2">
        <v>31.0</v>
      </c>
      <c r="P3158" s="2">
        <v>1.0</v>
      </c>
      <c r="Q3158" s="2">
        <v>16.0</v>
      </c>
      <c r="R3158" s="2">
        <v>0.0</v>
      </c>
      <c r="S3158" s="3" t="s">
        <v>12882</v>
      </c>
      <c r="T3158" s="2" t="s">
        <v>12883</v>
      </c>
      <c r="Y3158" s="4" t="str">
        <f>IFERROR(__xludf.DUMMYFUNCTION("""COMPUTED_VALUE"""),"7.0505843")</f>
        <v>7.0505843</v>
      </c>
      <c r="Z3158" s="4" t="str">
        <f>IFERROR(__xludf.DUMMYFUNCTION("""COMPUTED_VALUE"""),"3.0676373")</f>
        <v>3.0676373</v>
      </c>
      <c r="AA3158" s="4" t="str">
        <f t="shared" si="1"/>
        <v>Neighbor</v>
      </c>
      <c r="AC3158" s="4">
        <f>IFERROR(__xludf.DUMMYFUNCTION("IFERROR(ABS(O3158-AVERAGE(FILTER(O3158:O7226,AA3158:AA7226=""Neighbor""))) / STDEV(FILTER(O3158:O7226, AA3158:AA7226 =""Neighbor"")), """")"),0.45688672054556073)</f>
        <v>0.4568867205</v>
      </c>
      <c r="AD3158" s="4">
        <f>IFERROR(__xludf.DUMMYFUNCTION("IFERROR(ABS(P3158-AVERAGE(FILTER(O3158:P7226,AA3158:AA7226=""Neighbor""))) / STDEV(FILTER(P3158:P7226, AA3158:AA7226 =""Neighbor"")), """")"),1.2409095076874623)</f>
        <v>1.240909508</v>
      </c>
      <c r="AE3158" s="2">
        <f>IFERROR(__xludf.DUMMYFUNCTION("IFERROR(ABS(Q3158-AVERAGE(FILTER(Q3158:Q7226,AA3158:AA7226=""Neighbor""))) / STDEV(FILTER(Q3158:Q7226, AA3158:AA7226 =""Neighbor"")), """")"),0.002827895961683166)</f>
        <v>0.002827895962</v>
      </c>
      <c r="AF3158" s="2">
        <f>IFERROR(__xludf.DUMMYFUNCTION("IFERROR(ABS(R3158-AVERAGE(FILTER(R3158:R7226,AA3158:AA7226=""Neighbor""))) / STDEV(FILTER(R3158:R7226, AA3158:AA7226 =""Neighbor"")), """")"),0.3323703662530926)</f>
        <v>0.3323703663</v>
      </c>
    </row>
    <row r="3159">
      <c r="A3159" s="2" t="s">
        <v>28</v>
      </c>
      <c r="B3159" s="2" t="s">
        <v>2660</v>
      </c>
      <c r="C3159" s="2" t="s">
        <v>2934</v>
      </c>
      <c r="D3159" s="2" t="s">
        <v>12884</v>
      </c>
      <c r="E3159" s="2" t="s">
        <v>12885</v>
      </c>
      <c r="F3159" s="2">
        <v>158.0</v>
      </c>
      <c r="G3159" s="2">
        <v>482.0</v>
      </c>
      <c r="H3159" s="2" t="b">
        <v>1</v>
      </c>
      <c r="I3159" s="2">
        <v>-1.0</v>
      </c>
      <c r="J3159" s="2" t="b">
        <v>0</v>
      </c>
      <c r="K3159" s="2" t="b">
        <v>0</v>
      </c>
      <c r="L3159" s="2" t="b">
        <v>0</v>
      </c>
      <c r="M3159" s="2" t="b">
        <v>0</v>
      </c>
      <c r="N3159" s="2" t="s">
        <v>33</v>
      </c>
      <c r="O3159" s="2">
        <v>63.0</v>
      </c>
      <c r="P3159" s="2">
        <v>0.0</v>
      </c>
      <c r="Q3159" s="2">
        <v>82.0</v>
      </c>
      <c r="R3159" s="2">
        <v>0.0</v>
      </c>
      <c r="S3159" s="3" t="s">
        <v>12886</v>
      </c>
      <c r="T3159" s="2" t="s">
        <v>12887</v>
      </c>
      <c r="Y3159" s="4" t="str">
        <f>IFERROR(__xludf.DUMMYFUNCTION("""COMPUTED_VALUE"""),"7.0505843")</f>
        <v>7.0505843</v>
      </c>
      <c r="Z3159" s="4" t="str">
        <f>IFERROR(__xludf.DUMMYFUNCTION("""COMPUTED_VALUE"""),"3.0676373")</f>
        <v>3.0676373</v>
      </c>
      <c r="AA3159" s="4" t="str">
        <f t="shared" si="1"/>
        <v>Neighbor</v>
      </c>
      <c r="AC3159" s="4">
        <f>IFERROR(__xludf.DUMMYFUNCTION("IFERROR(ABS(O3159-AVERAGE(FILTER(O3159:O7227,AA3159:AA7227=""Neighbor""))) / STDEV(FILTER(O3159:O7227, AA3159:AA7227 =""Neighbor"")), """")"),0.5372434012624986)</f>
        <v>0.5372434013</v>
      </c>
      <c r="AD3159" s="4">
        <f>IFERROR(__xludf.DUMMYFUNCTION("IFERROR(ABS(P3159-AVERAGE(FILTER(O3159:P7227,AA3159:AA7227=""Neighbor""))) / STDEV(FILTER(P3159:P7227, AA3159:AA7227 =""Neighbor"")), """")"),1.2820234455355088)</f>
        <v>1.282023446</v>
      </c>
      <c r="AE3159" s="2">
        <f>IFERROR(__xludf.DUMMYFUNCTION("IFERROR(ABS(Q3159-AVERAGE(FILTER(Q3159:Q7227,AA3159:AA7227=""Neighbor""))) / STDEV(FILTER(Q3159:Q7227, AA3159:AA7227 =""Neighbor"")), """")"),3.625670279851427)</f>
        <v>3.62567028</v>
      </c>
      <c r="AF3159" s="2">
        <f>IFERROR(__xludf.DUMMYFUNCTION("IFERROR(ABS(R3159-AVERAGE(FILTER(R3159:R7227,AA3159:AA7227=""Neighbor""))) / STDEV(FILTER(R3159:R7227, AA3159:AA7227 =""Neighbor"")), """")"),0.33292794710004925)</f>
        <v>0.3329279471</v>
      </c>
    </row>
    <row r="3160">
      <c r="A3160" s="2" t="s">
        <v>28</v>
      </c>
      <c r="B3160" s="2" t="s">
        <v>2660</v>
      </c>
      <c r="C3160" s="2" t="s">
        <v>2934</v>
      </c>
      <c r="D3160" s="2" t="s">
        <v>12888</v>
      </c>
      <c r="E3160" s="2" t="s">
        <v>12889</v>
      </c>
      <c r="F3160" s="2">
        <v>95.0</v>
      </c>
      <c r="G3160" s="2">
        <v>153.0</v>
      </c>
      <c r="H3160" s="2" t="b">
        <v>1</v>
      </c>
      <c r="I3160" s="2">
        <v>-1.0</v>
      </c>
      <c r="J3160" s="2" t="b">
        <v>1</v>
      </c>
      <c r="K3160" s="2" t="b">
        <v>0</v>
      </c>
      <c r="L3160" s="2" t="b">
        <v>0</v>
      </c>
      <c r="M3160" s="2" t="b">
        <v>0</v>
      </c>
      <c r="N3160" s="2" t="s">
        <v>33</v>
      </c>
      <c r="O3160" s="2">
        <v>56.0</v>
      </c>
      <c r="P3160" s="2">
        <v>8.0</v>
      </c>
      <c r="Q3160" s="2">
        <v>29.0</v>
      </c>
      <c r="R3160" s="2">
        <v>0.0</v>
      </c>
      <c r="S3160" s="3" t="s">
        <v>12890</v>
      </c>
      <c r="T3160" s="2" t="s">
        <v>12891</v>
      </c>
      <c r="Y3160" s="4" t="str">
        <f>IFERROR(__xludf.DUMMYFUNCTION("""COMPUTED_VALUE"""),"7.0505843")</f>
        <v>7.0505843</v>
      </c>
      <c r="Z3160" s="4" t="str">
        <f>IFERROR(__xludf.DUMMYFUNCTION("""COMPUTED_VALUE"""),"3.0676373")</f>
        <v>3.0676373</v>
      </c>
      <c r="AA3160" s="4" t="str">
        <f t="shared" si="1"/>
        <v>Not Neighbor</v>
      </c>
      <c r="AC3160" s="4">
        <f>IFERROR(__xludf.DUMMYFUNCTION("IFERROR(ABS(O3160-AVERAGE(FILTER(O3160:O7228,AA3160:AA7228=""Neighbor""))) / STDEV(FILTER(O3160:O7228, AA3160:AA7228 =""Neighbor"")), """")"),0.3208804233655218)</f>
        <v>0.3208804234</v>
      </c>
      <c r="AD3160" s="4">
        <f>IFERROR(__xludf.DUMMYFUNCTION("IFERROR(ABS(P3160-AVERAGE(FILTER(O3160:P7228,AA3160:AA7228=""Neighbor""))) / STDEV(FILTER(P3160:P7228, AA3160:AA7228 =""Neighbor"")), """")"),0.9599516518400568)</f>
        <v>0.9599516518</v>
      </c>
      <c r="AE3160" s="2">
        <f>IFERROR(__xludf.DUMMYFUNCTION("IFERROR(ABS(Q3160-AVERAGE(FILTER(Q3160:Q7228,AA3160:AA7228=""Neighbor""))) / STDEV(FILTER(Q3160:Q7228, AA3160:AA7228 =""Neighbor"")), """")"),0.7367072602117821)</f>
        <v>0.7367072602</v>
      </c>
      <c r="AF3160" s="2">
        <f>IFERROR(__xludf.DUMMYFUNCTION("IFERROR(ABS(R3160-AVERAGE(FILTER(R3160:R7228,AA3160:AA7228=""Neighbor""))) / STDEV(FILTER(R3160:R7228, AA3160:AA7228 =""Neighbor"")), """")"),0.33348834457956844)</f>
        <v>0.3334883446</v>
      </c>
    </row>
    <row r="3161">
      <c r="A3161" s="2" t="s">
        <v>28</v>
      </c>
      <c r="B3161" s="2" t="s">
        <v>2660</v>
      </c>
      <c r="C3161" s="2" t="s">
        <v>2844</v>
      </c>
      <c r="D3161" s="2" t="s">
        <v>12892</v>
      </c>
      <c r="E3161" s="2" t="s">
        <v>12893</v>
      </c>
      <c r="F3161" s="2">
        <v>75.0</v>
      </c>
      <c r="G3161" s="2">
        <v>152.0</v>
      </c>
      <c r="H3161" s="2" t="b">
        <v>1</v>
      </c>
      <c r="I3161" s="2">
        <v>-1.0</v>
      </c>
      <c r="J3161" s="2" t="b">
        <v>0</v>
      </c>
      <c r="K3161" s="2" t="b">
        <v>0</v>
      </c>
      <c r="L3161" s="2" t="b">
        <v>0</v>
      </c>
      <c r="M3161" s="2" t="b">
        <v>0</v>
      </c>
      <c r="N3161" s="2" t="s">
        <v>33</v>
      </c>
      <c r="O3161" s="2">
        <v>25.0</v>
      </c>
      <c r="P3161" s="2">
        <v>2.0</v>
      </c>
      <c r="Q3161" s="2">
        <v>44.0</v>
      </c>
      <c r="R3161" s="2">
        <v>0.0</v>
      </c>
      <c r="S3161" s="3" t="s">
        <v>12894</v>
      </c>
      <c r="T3161" s="2" t="s">
        <v>12895</v>
      </c>
      <c r="Y3161" s="4" t="str">
        <f>IFERROR(__xludf.DUMMYFUNCTION("""COMPUTED_VALUE"""),"7.162028")</f>
        <v>7.162028</v>
      </c>
      <c r="Z3161" s="4" t="str">
        <f>IFERROR(__xludf.DUMMYFUNCTION("""COMPUTED_VALUE"""),"2.847282")</f>
        <v>2.847282</v>
      </c>
      <c r="AA3161" s="4" t="str">
        <f t="shared" si="1"/>
        <v>Not Neighbor</v>
      </c>
      <c r="AC3161" s="4">
        <f>IFERROR(__xludf.DUMMYFUNCTION("IFERROR(ABS(O3161-AVERAGE(FILTER(O3161:O7229,AA3161:AA7229=""Neighbor""))) / STDEV(FILTER(O3161:O7229, AA3161:AA7229 =""Neighbor"")), """")"),0.6419496554532358)</f>
        <v>0.6419496555</v>
      </c>
      <c r="AD3161" s="4">
        <f>IFERROR(__xludf.DUMMYFUNCTION("IFERROR(ABS(P3161-AVERAGE(FILTER(O3161:P7229,AA3161:AA7229=""Neighbor""))) / STDEV(FILTER(P3161:P7229, AA3161:AA7229 =""Neighbor"")), """")"),1.2008548505093006)</f>
        <v>1.200854851</v>
      </c>
      <c r="AE3161" s="2">
        <f>IFERROR(__xludf.DUMMYFUNCTION("IFERROR(ABS(Q3161-AVERAGE(FILTER(Q3161:Q7229,AA3161:AA7229=""Neighbor""))) / STDEV(FILTER(Q3161:Q7229, AA3161:AA7229 =""Neighbor"")), """")"),1.5771257366669702)</f>
        <v>1.577125737</v>
      </c>
      <c r="AF3161" s="2">
        <f>IFERROR(__xludf.DUMMYFUNCTION("IFERROR(ABS(R3161-AVERAGE(FILTER(R3161:R7229,AA3161:AA7229=""Neighbor""))) / STDEV(FILTER(R3161:R7229, AA3161:AA7229 =""Neighbor"")), """")"),0.33348834457956844)</f>
        <v>0.3334883446</v>
      </c>
    </row>
    <row r="3162">
      <c r="A3162" s="2" t="s">
        <v>28</v>
      </c>
      <c r="B3162" s="2" t="s">
        <v>2660</v>
      </c>
      <c r="C3162" s="2" t="s">
        <v>2844</v>
      </c>
      <c r="D3162" s="2" t="s">
        <v>12896</v>
      </c>
      <c r="E3162" s="2" t="s">
        <v>12897</v>
      </c>
      <c r="F3162" s="2">
        <v>79.0</v>
      </c>
      <c r="G3162" s="2">
        <v>130.0</v>
      </c>
      <c r="H3162" s="2" t="b">
        <v>1</v>
      </c>
      <c r="I3162" s="2">
        <v>-1.0</v>
      </c>
      <c r="J3162" s="2" t="b">
        <v>0</v>
      </c>
      <c r="K3162" s="2" t="b">
        <v>0</v>
      </c>
      <c r="L3162" s="2" t="b">
        <v>0</v>
      </c>
      <c r="M3162" s="2" t="b">
        <v>0</v>
      </c>
      <c r="N3162" s="2" t="s">
        <v>33</v>
      </c>
      <c r="O3162" s="2">
        <v>46.0</v>
      </c>
      <c r="P3162" s="2">
        <v>0.0</v>
      </c>
      <c r="Q3162" s="2">
        <v>31.0</v>
      </c>
      <c r="R3162" s="2">
        <v>0.0</v>
      </c>
      <c r="S3162" s="3" t="s">
        <v>12898</v>
      </c>
      <c r="T3162" s="2" t="s">
        <v>12899</v>
      </c>
      <c r="Y3162" s="4" t="str">
        <f>IFERROR(__xludf.DUMMYFUNCTION("""COMPUTED_VALUE"""),"7.1701914")</f>
        <v>7.1701914</v>
      </c>
      <c r="Z3162" s="4" t="str">
        <f>IFERROR(__xludf.DUMMYFUNCTION("""COMPUTED_VALUE"""),"2.8577105")</f>
        <v>2.8577105</v>
      </c>
      <c r="AA3162" s="4" t="str">
        <f t="shared" si="1"/>
        <v>Not Neighbor</v>
      </c>
      <c r="AC3162" s="4">
        <f>IFERROR(__xludf.DUMMYFUNCTION("IFERROR(ABS(O3162-AVERAGE(FILTER(O3162:O7230,AA3162:AA7230=""Neighbor""))) / STDEV(FILTER(O3162:O7230, AA3162:AA7230 =""Neighbor"")), """")"),0.010290075359470964)</f>
        <v>0.01029007536</v>
      </c>
      <c r="AD3162" s="4">
        <f>IFERROR(__xludf.DUMMYFUNCTION("IFERROR(ABS(P3162-AVERAGE(FILTER(O3162:P7230,AA3162:AA7230=""Neighbor""))) / STDEV(FILTER(P3162:P7230, AA3162:AA7230 =""Neighbor"")), """")"),1.281155916732382)</f>
        <v>1.281155917</v>
      </c>
      <c r="AE3162" s="2">
        <f>IFERROR(__xludf.DUMMYFUNCTION("IFERROR(ABS(Q3162-AVERAGE(FILTER(Q3162:Q7230,AA3162:AA7230=""Neighbor""))) / STDEV(FILTER(Q3162:Q7230, AA3162:AA7230 =""Neighbor"")), """")"),0.8487630570724739)</f>
        <v>0.8487630571</v>
      </c>
      <c r="AF3162" s="2">
        <f>IFERROR(__xludf.DUMMYFUNCTION("IFERROR(ABS(R3162-AVERAGE(FILTER(R3162:R7230,AA3162:AA7230=""Neighbor""))) / STDEV(FILTER(R3162:R7230, AA3162:AA7230 =""Neighbor"")), """")"),0.33348834457956844)</f>
        <v>0.3334883446</v>
      </c>
    </row>
    <row r="3163">
      <c r="A3163" s="2" t="s">
        <v>28</v>
      </c>
      <c r="B3163" s="2" t="s">
        <v>2660</v>
      </c>
      <c r="C3163" s="2" t="s">
        <v>2844</v>
      </c>
      <c r="D3163" s="2" t="s">
        <v>12900</v>
      </c>
      <c r="E3163" s="2" t="s">
        <v>12901</v>
      </c>
      <c r="F3163" s="2">
        <v>50.0</v>
      </c>
      <c r="G3163" s="2">
        <v>86.0</v>
      </c>
      <c r="H3163" s="2" t="b">
        <v>1</v>
      </c>
      <c r="I3163" s="2">
        <v>-1.0</v>
      </c>
      <c r="J3163" s="2" t="b">
        <v>0</v>
      </c>
      <c r="K3163" s="2" t="b">
        <v>0</v>
      </c>
      <c r="L3163" s="2" t="b">
        <v>0</v>
      </c>
      <c r="M3163" s="2" t="b">
        <v>0</v>
      </c>
      <c r="N3163" s="2" t="s">
        <v>33</v>
      </c>
      <c r="O3163" s="2">
        <v>39.0</v>
      </c>
      <c r="P3163" s="2">
        <v>0.0</v>
      </c>
      <c r="Q3163" s="2">
        <v>11.0</v>
      </c>
      <c r="R3163" s="2">
        <v>0.0</v>
      </c>
      <c r="S3163" s="3" t="s">
        <v>12902</v>
      </c>
      <c r="T3163" s="2" t="s">
        <v>12903</v>
      </c>
      <c r="Y3163" s="4" t="str">
        <f>IFERROR(__xludf.DUMMYFUNCTION("""COMPUTED_VALUE"""),"7.1679961")</f>
        <v>7.1679961</v>
      </c>
      <c r="Z3163" s="4" t="str">
        <f>IFERROR(__xludf.DUMMYFUNCTION("""COMPUTED_VALUE"""),"2.9481223")</f>
        <v>2.9481223</v>
      </c>
      <c r="AA3163" s="4" t="str">
        <f t="shared" si="1"/>
        <v>Not Neighbor</v>
      </c>
      <c r="AC3163" s="4">
        <f>IFERROR(__xludf.DUMMYFUNCTION("IFERROR(ABS(O3163-AVERAGE(FILTER(O3163:O7231,AA3163:AA7231=""Neighbor""))) / STDEV(FILTER(O3163:O7231, AA3163:AA7231 =""Neighbor"")), """")"),0.2071231682447646)</f>
        <v>0.2071231682</v>
      </c>
      <c r="AD3163" s="4">
        <f>IFERROR(__xludf.DUMMYFUNCTION("IFERROR(ABS(P3163-AVERAGE(FILTER(O3163:P7231,AA3163:AA7231=""Neighbor""))) / STDEV(FILTER(P3163:P7231, AA3163:AA7231 =""Neighbor"")), """")"),1.281155916732382)</f>
        <v>1.281155917</v>
      </c>
      <c r="AE3163" s="2">
        <f>IFERROR(__xludf.DUMMYFUNCTION("IFERROR(ABS(Q3163-AVERAGE(FILTER(Q3163:Q7231,AA3163:AA7231=""Neighbor""))) / STDEV(FILTER(Q3163:Q7231, AA3163:AA7231 =""Neighbor"")), """")"),0.2717949115344439)</f>
        <v>0.2717949115</v>
      </c>
      <c r="AF3163" s="2">
        <f>IFERROR(__xludf.DUMMYFUNCTION("IFERROR(ABS(R3163-AVERAGE(FILTER(R3163:R7231,AA3163:AA7231=""Neighbor""))) / STDEV(FILTER(R3163:R7231, AA3163:AA7231 =""Neighbor"")), """")"),0.33348834457956844)</f>
        <v>0.3334883446</v>
      </c>
    </row>
    <row r="3164">
      <c r="A3164" s="2" t="s">
        <v>28</v>
      </c>
      <c r="B3164" s="2" t="s">
        <v>2660</v>
      </c>
      <c r="C3164" s="2" t="s">
        <v>2844</v>
      </c>
      <c r="D3164" s="2" t="s">
        <v>12904</v>
      </c>
      <c r="E3164" s="2" t="s">
        <v>12905</v>
      </c>
      <c r="F3164" s="2">
        <v>157.0</v>
      </c>
      <c r="G3164" s="2">
        <v>342.0</v>
      </c>
      <c r="H3164" s="2" t="b">
        <v>1</v>
      </c>
      <c r="I3164" s="2">
        <v>-1.0</v>
      </c>
      <c r="J3164" s="2" t="b">
        <v>0</v>
      </c>
      <c r="K3164" s="2" t="b">
        <v>0</v>
      </c>
      <c r="L3164" s="2" t="b">
        <v>0</v>
      </c>
      <c r="M3164" s="2" t="b">
        <v>0</v>
      </c>
      <c r="N3164" s="2" t="s">
        <v>33</v>
      </c>
      <c r="O3164" s="2">
        <v>82.0</v>
      </c>
      <c r="P3164" s="2">
        <v>2.0</v>
      </c>
      <c r="Q3164" s="2">
        <v>65.0</v>
      </c>
      <c r="R3164" s="2">
        <v>0.0</v>
      </c>
      <c r="S3164" s="3" t="s">
        <v>12906</v>
      </c>
      <c r="T3164" s="2" t="s">
        <v>12907</v>
      </c>
      <c r="Y3164" s="4" t="str">
        <f>IFERROR(__xludf.DUMMYFUNCTION("""COMPUTED_VALUE"""),"7.088942")</f>
        <v>7.088942</v>
      </c>
      <c r="Z3164" s="4" t="str">
        <f>IFERROR(__xludf.DUMMYFUNCTION("""COMPUTED_VALUE"""),"3.0067145")</f>
        <v>3.0067145</v>
      </c>
      <c r="AA3164" s="4" t="str">
        <f t="shared" si="1"/>
        <v>Not Neighbor</v>
      </c>
      <c r="AC3164" s="4">
        <f>IFERROR(__xludf.DUMMYFUNCTION("IFERROR(ABS(O3164-AVERAGE(FILTER(O3164:O7232,AA3164:AA7232=""Neighbor""))) / STDEV(FILTER(O3164:O7232, AA3164:AA7232 =""Neighbor"")), """")"),1.128415328181254)</f>
        <v>1.128415328</v>
      </c>
      <c r="AD3164" s="4">
        <f>IFERROR(__xludf.DUMMYFUNCTION("IFERROR(ABS(P3164-AVERAGE(FILTER(O3164:P7232,AA3164:AA7232=""Neighbor""))) / STDEV(FILTER(P3164:P7232, AA3164:AA7232 =""Neighbor"")), """")"),1.2008548505093006)</f>
        <v>1.200854851</v>
      </c>
      <c r="AE3164" s="2">
        <f>IFERROR(__xludf.DUMMYFUNCTION("IFERROR(ABS(Q3164-AVERAGE(FILTER(Q3164:Q7232,AA3164:AA7232=""Neighbor""))) / STDEV(FILTER(Q3164:Q7232, AA3164:AA7232 =""Neighbor"")), """")"),2.7537116037042337)</f>
        <v>2.753711604</v>
      </c>
      <c r="AF3164" s="2">
        <f>IFERROR(__xludf.DUMMYFUNCTION("IFERROR(ABS(R3164-AVERAGE(FILTER(R3164:R7232,AA3164:AA7232=""Neighbor""))) / STDEV(FILTER(R3164:R7232, AA3164:AA7232 =""Neighbor"")), """")"),0.33348834457956844)</f>
        <v>0.3334883446</v>
      </c>
    </row>
    <row r="3165">
      <c r="A3165" s="2" t="s">
        <v>28</v>
      </c>
      <c r="B3165" s="2" t="s">
        <v>3320</v>
      </c>
      <c r="C3165" s="2" t="s">
        <v>3850</v>
      </c>
      <c r="D3165" s="2" t="s">
        <v>12908</v>
      </c>
      <c r="E3165" s="2" t="s">
        <v>12909</v>
      </c>
      <c r="F3165" s="2">
        <v>137.0</v>
      </c>
      <c r="G3165" s="2">
        <v>213.0</v>
      </c>
      <c r="H3165" s="2" t="b">
        <v>1</v>
      </c>
      <c r="I3165" s="2">
        <v>-1.0</v>
      </c>
      <c r="J3165" s="2" t="b">
        <v>0</v>
      </c>
      <c r="K3165" s="2" t="b">
        <v>0</v>
      </c>
      <c r="L3165" s="2" t="b">
        <v>0</v>
      </c>
      <c r="M3165" s="2" t="b">
        <v>0</v>
      </c>
      <c r="N3165" s="2" t="s">
        <v>33</v>
      </c>
      <c r="O3165" s="2">
        <v>85.0</v>
      </c>
      <c r="P3165" s="2">
        <v>12.0</v>
      </c>
      <c r="Q3165" s="2">
        <v>25.0</v>
      </c>
      <c r="R3165" s="2">
        <v>0.0</v>
      </c>
      <c r="S3165" s="3" t="s">
        <v>12910</v>
      </c>
      <c r="T3165" s="2" t="s">
        <v>12911</v>
      </c>
      <c r="Y3165" s="4" t="str">
        <f>IFERROR(__xludf.DUMMYFUNCTION("""COMPUTED_VALUE"""),"6.7712636")</f>
        <v>6.7712636</v>
      </c>
      <c r="Z3165" s="4" t="str">
        <f>IFERROR(__xludf.DUMMYFUNCTION("""COMPUTED_VALUE"""),"2.9945114")</f>
        <v>2.9945114</v>
      </c>
      <c r="AA3165" s="4" t="str">
        <f t="shared" si="1"/>
        <v>Not Neighbor</v>
      </c>
      <c r="AC3165" s="4">
        <f>IFERROR(__xludf.DUMMYFUNCTION("IFERROR(ABS(O3165-AVERAGE(FILTER(O3165:O7233,AA3165:AA7233=""Neighbor""))) / STDEV(FILTER(O3165:O7233, AA3165:AA7233 =""Neighbor"")), """")"),1.2215924325830692)</f>
        <v>1.221592433</v>
      </c>
      <c r="AD3165" s="4">
        <f>IFERROR(__xludf.DUMMYFUNCTION("IFERROR(ABS(P3165-AVERAGE(FILTER(O3165:P7233,AA3165:AA7233=""Neighbor""))) / STDEV(FILTER(P3165:P7233, AA3165:AA7233 =""Neighbor"")), """")"),0.7993495193938942)</f>
        <v>0.7993495194</v>
      </c>
      <c r="AE3165" s="2">
        <f>IFERROR(__xludf.DUMMYFUNCTION("IFERROR(ABS(Q3165-AVERAGE(FILTER(Q3165:Q7233,AA3165:AA7233=""Neighbor""))) / STDEV(FILTER(Q3165:Q7233, AA3165:AA7233 =""Neighbor"")), """")"),0.5125956664903986)</f>
        <v>0.5125956665</v>
      </c>
      <c r="AF3165" s="2">
        <f>IFERROR(__xludf.DUMMYFUNCTION("IFERROR(ABS(R3165-AVERAGE(FILTER(R3165:R7233,AA3165:AA7233=""Neighbor""))) / STDEV(FILTER(R3165:R7233, AA3165:AA7233 =""Neighbor"")), """")"),0.33348834457956844)</f>
        <v>0.3334883446</v>
      </c>
    </row>
    <row r="3166">
      <c r="A3166" s="2" t="s">
        <v>28</v>
      </c>
      <c r="B3166" s="2" t="s">
        <v>3320</v>
      </c>
      <c r="C3166" s="2" t="s">
        <v>3850</v>
      </c>
      <c r="D3166" s="2" t="s">
        <v>12912</v>
      </c>
      <c r="E3166" s="2" t="s">
        <v>12913</v>
      </c>
      <c r="F3166" s="2">
        <v>189.0</v>
      </c>
      <c r="G3166" s="2">
        <v>299.0</v>
      </c>
      <c r="H3166" s="2" t="b">
        <v>1</v>
      </c>
      <c r="I3166" s="2">
        <v>-1.0</v>
      </c>
      <c r="J3166" s="2" t="b">
        <v>0</v>
      </c>
      <c r="K3166" s="2" t="b">
        <v>0</v>
      </c>
      <c r="L3166" s="2" t="b">
        <v>0</v>
      </c>
      <c r="M3166" s="2" t="b">
        <v>0</v>
      </c>
      <c r="N3166" s="2" t="s">
        <v>33</v>
      </c>
      <c r="O3166" s="2">
        <v>91.0</v>
      </c>
      <c r="P3166" s="2">
        <v>5.0</v>
      </c>
      <c r="Q3166" s="2">
        <v>59.0</v>
      </c>
      <c r="R3166" s="2">
        <v>0.0</v>
      </c>
      <c r="S3166" s="3" t="s">
        <v>12914</v>
      </c>
      <c r="T3166" s="2" t="s">
        <v>12915</v>
      </c>
      <c r="Y3166" s="4" t="str">
        <f>IFERROR(__xludf.DUMMYFUNCTION("""COMPUTED_VALUE"""),"6.7034082")</f>
        <v>6.7034082</v>
      </c>
      <c r="Z3166" s="4" t="str">
        <f>IFERROR(__xludf.DUMMYFUNCTION("""COMPUTED_VALUE"""),"2.9026172")</f>
        <v>2.9026172</v>
      </c>
      <c r="AA3166" s="4" t="str">
        <f t="shared" si="1"/>
        <v>Neighbor</v>
      </c>
      <c r="AC3166" s="4">
        <f>IFERROR(__xludf.DUMMYFUNCTION("IFERROR(ABS(O3166-AVERAGE(FILTER(O3166:O7234,AA3166:AA7234=""Neighbor""))) / STDEV(FILTER(O3166:O7234, AA3166:AA7234 =""Neighbor"")), """")"),1.4079466413866997)</f>
        <v>1.407946641</v>
      </c>
      <c r="AD3166" s="4">
        <f>IFERROR(__xludf.DUMMYFUNCTION("IFERROR(ABS(P3166-AVERAGE(FILTER(O3166:P7234,AA3166:AA7234=""Neighbor""))) / STDEV(FILTER(P3166:P7234, AA3166:AA7234 =""Neighbor"")), """")"),1.0804032511746788)</f>
        <v>1.080403251</v>
      </c>
      <c r="AE3166" s="2">
        <f>IFERROR(__xludf.DUMMYFUNCTION("IFERROR(ABS(Q3166-AVERAGE(FILTER(Q3166:Q7234,AA3166:AA7234=""Neighbor""))) / STDEV(FILTER(Q3166:Q7234, AA3166:AA7234 =""Neighbor"")), """")"),2.4175442131221585)</f>
        <v>2.417544213</v>
      </c>
      <c r="AF3166" s="2">
        <f>IFERROR(__xludf.DUMMYFUNCTION("IFERROR(ABS(R3166-AVERAGE(FILTER(R3166:R7234,AA3166:AA7234=""Neighbor""))) / STDEV(FILTER(R3166:R7234, AA3166:AA7234 =""Neighbor"")), """")"),0.33348834457956844)</f>
        <v>0.3334883446</v>
      </c>
    </row>
    <row r="3167">
      <c r="A3167" s="2" t="s">
        <v>28</v>
      </c>
      <c r="B3167" s="2" t="s">
        <v>3320</v>
      </c>
      <c r="C3167" s="2" t="s">
        <v>3850</v>
      </c>
      <c r="D3167" s="2" t="s">
        <v>12916</v>
      </c>
      <c r="E3167" s="2" t="s">
        <v>12917</v>
      </c>
      <c r="F3167" s="2">
        <v>130.0</v>
      </c>
      <c r="G3167" s="2">
        <v>190.0</v>
      </c>
      <c r="H3167" s="2" t="b">
        <v>1</v>
      </c>
      <c r="I3167" s="2">
        <v>-1.0</v>
      </c>
      <c r="J3167" s="2" t="b">
        <v>0</v>
      </c>
      <c r="K3167" s="2" t="b">
        <v>0</v>
      </c>
      <c r="L3167" s="2" t="b">
        <v>0</v>
      </c>
      <c r="M3167" s="2" t="b">
        <v>0</v>
      </c>
      <c r="N3167" s="2" t="s">
        <v>33</v>
      </c>
      <c r="O3167" s="2">
        <v>77.0</v>
      </c>
      <c r="P3167" s="2">
        <v>5.0</v>
      </c>
      <c r="Q3167" s="2">
        <v>36.0</v>
      </c>
      <c r="R3167" s="2">
        <v>1.0</v>
      </c>
      <c r="S3167" s="3" t="s">
        <v>12918</v>
      </c>
      <c r="T3167" s="2" t="s">
        <v>12919</v>
      </c>
      <c r="Y3167" s="4" t="str">
        <f>IFERROR(__xludf.DUMMYFUNCTION("""COMPUTED_VALUE"""),"6.7034082")</f>
        <v>6.7034082</v>
      </c>
      <c r="Z3167" s="4" t="str">
        <f>IFERROR(__xludf.DUMMYFUNCTION("""COMPUTED_VALUE"""),"2.9026172")</f>
        <v>2.9026172</v>
      </c>
      <c r="AA3167" s="4" t="str">
        <f t="shared" si="1"/>
        <v>Neighbor</v>
      </c>
      <c r="AC3167" s="4">
        <f>IFERROR(__xludf.DUMMYFUNCTION("IFERROR(ABS(O3167-AVERAGE(FILTER(O3167:O7235,AA3167:AA7235=""Neighbor""))) / STDEV(FILTER(O3167:O7235, AA3167:AA7235 =""Neighbor"")), """")"),0.9788931460482055)</f>
        <v>0.978893146</v>
      </c>
      <c r="AD3167" s="4">
        <f>IFERROR(__xludf.DUMMYFUNCTION("IFERROR(ABS(P3167-AVERAGE(FILTER(O3167:P7235,AA3167:AA7235=""Neighbor""))) / STDEV(FILTER(P3167:P7235, AA3167:AA7235 =""Neighbor"")), """")"),1.0772475056871278)</f>
        <v>1.077247506</v>
      </c>
      <c r="AE3167" s="2">
        <f>IFERROR(__xludf.DUMMYFUNCTION("IFERROR(ABS(Q3167-AVERAGE(FILTER(Q3167:Q7235,AA3167:AA7235=""Neighbor""))) / STDEV(FILTER(Q3167:Q7235, AA3167:AA7235 =""Neighbor"")), """")"),1.144816433915133)</f>
        <v>1.144816434</v>
      </c>
      <c r="AF3167" s="2">
        <f>IFERROR(__xludf.DUMMYFUNCTION("IFERROR(ABS(R3167-AVERAGE(FILTER(R3167:R7235,AA3167:AA7235=""Neighbor""))) / STDEV(FILTER(R3167:R7235, AA3167:AA7235 =""Neighbor"")), """")"),0.9400056158529599)</f>
        <v>0.9400056159</v>
      </c>
    </row>
    <row r="3168">
      <c r="A3168" s="2" t="s">
        <v>28</v>
      </c>
      <c r="B3168" s="2" t="s">
        <v>3320</v>
      </c>
      <c r="C3168" s="2" t="s">
        <v>3850</v>
      </c>
      <c r="D3168" s="2" t="s">
        <v>12920</v>
      </c>
      <c r="E3168" s="2" t="s">
        <v>12921</v>
      </c>
      <c r="F3168" s="2">
        <v>78.0</v>
      </c>
      <c r="G3168" s="2">
        <v>108.0</v>
      </c>
      <c r="H3168" s="2" t="b">
        <v>1</v>
      </c>
      <c r="I3168" s="2">
        <v>-1.0</v>
      </c>
      <c r="J3168" s="2" t="b">
        <v>0</v>
      </c>
      <c r="K3168" s="2" t="b">
        <v>0</v>
      </c>
      <c r="L3168" s="2" t="b">
        <v>0</v>
      </c>
      <c r="M3168" s="2" t="b">
        <v>0</v>
      </c>
      <c r="N3168" s="2" t="s">
        <v>33</v>
      </c>
      <c r="O3168" s="2">
        <v>44.0</v>
      </c>
      <c r="P3168" s="2">
        <v>1.0</v>
      </c>
      <c r="Q3168" s="2">
        <v>11.0</v>
      </c>
      <c r="R3168" s="2">
        <v>0.0</v>
      </c>
      <c r="S3168" s="3" t="s">
        <v>12922</v>
      </c>
      <c r="T3168" s="2" t="s">
        <v>12923</v>
      </c>
      <c r="Y3168" s="4" t="str">
        <f>IFERROR(__xludf.DUMMYFUNCTION("""COMPUTED_VALUE"""),"6.7034082")</f>
        <v>6.7034082</v>
      </c>
      <c r="Z3168" s="4" t="str">
        <f>IFERROR(__xludf.DUMMYFUNCTION("""COMPUTED_VALUE"""),"2.9026172")</f>
        <v>2.9026172</v>
      </c>
      <c r="AA3168" s="4" t="str">
        <f t="shared" si="1"/>
        <v>Not Neighbor</v>
      </c>
      <c r="AC3168" s="4">
        <f>IFERROR(__xludf.DUMMYFUNCTION("IFERROR(ABS(O3168-AVERAGE(FILTER(O3168:O7236,AA3168:AA7236=""Neighbor""))) / STDEV(FILTER(O3168:O7236, AA3168:AA7236 =""Neighbor"")), """")"),0.04461126091743479)</f>
        <v>0.04461126092</v>
      </c>
      <c r="AD3168" s="4">
        <f>IFERROR(__xludf.DUMMYFUNCTION("IFERROR(ABS(P3168-AVERAGE(FILTER(O3168:P7236,AA3168:AA7236=""Neighbor""))) / STDEV(FILTER(P3168:P7236, AA3168:AA7236 =""Neighbor"")), """")"),1.2351899529426076)</f>
        <v>1.235189953</v>
      </c>
      <c r="AE3168" s="2">
        <f>IFERROR(__xludf.DUMMYFUNCTION("IFERROR(ABS(Q3168-AVERAGE(FILTER(Q3168:Q7236,AA3168:AA7236=""Neighbor""))) / STDEV(FILTER(Q3168:Q7236, AA3168:AA7236 =""Neighbor"")), """")"),0.2630384715618067)</f>
        <v>0.2630384716</v>
      </c>
      <c r="AF3168" s="2">
        <f>IFERROR(__xludf.DUMMYFUNCTION("IFERROR(ABS(R3168-AVERAGE(FILTER(R3168:R7236,AA3168:AA7236=""Neighbor""))) / STDEV(FILTER(R3168:R7236, AA3168:AA7236 =""Neighbor"")), """")"),0.3311192163582207)</f>
        <v>0.3311192164</v>
      </c>
    </row>
    <row r="3169">
      <c r="A3169" s="2" t="s">
        <v>28</v>
      </c>
      <c r="B3169" s="2" t="s">
        <v>3320</v>
      </c>
      <c r="C3169" s="2" t="s">
        <v>3561</v>
      </c>
      <c r="D3169" s="2" t="s">
        <v>12924</v>
      </c>
      <c r="E3169" s="2" t="s">
        <v>12925</v>
      </c>
      <c r="F3169" s="2">
        <v>47.0</v>
      </c>
      <c r="G3169" s="2">
        <v>68.0</v>
      </c>
      <c r="H3169" s="2" t="b">
        <v>1</v>
      </c>
      <c r="I3169" s="2">
        <v>-1.0</v>
      </c>
      <c r="J3169" s="2" t="b">
        <v>0</v>
      </c>
      <c r="K3169" s="2" t="b">
        <v>0</v>
      </c>
      <c r="L3169" s="2" t="b">
        <v>0</v>
      </c>
      <c r="M3169" s="2" t="b">
        <v>0</v>
      </c>
      <c r="N3169" s="2" t="s">
        <v>33</v>
      </c>
      <c r="O3169" s="2">
        <v>13.0</v>
      </c>
      <c r="P3169" s="2">
        <v>1.0</v>
      </c>
      <c r="Q3169" s="2">
        <v>24.0</v>
      </c>
      <c r="R3169" s="2">
        <v>0.0</v>
      </c>
      <c r="S3169" s="3" t="s">
        <v>12926</v>
      </c>
      <c r="T3169" s="2" t="s">
        <v>12927</v>
      </c>
      <c r="Y3169" s="4" t="str">
        <f>IFERROR(__xludf.DUMMYFUNCTION("""COMPUTED_VALUE"""),"6.8051528")</f>
        <v>6.8051528</v>
      </c>
      <c r="Z3169" s="4" t="str">
        <f>IFERROR(__xludf.DUMMYFUNCTION("""COMPUTED_VALUE"""),"2.8776638")</f>
        <v>2.8776638</v>
      </c>
      <c r="AA3169" s="4" t="str">
        <f t="shared" si="1"/>
        <v>Not Neighbor</v>
      </c>
      <c r="AC3169" s="4">
        <f>IFERROR(__xludf.DUMMYFUNCTION("IFERROR(ABS(O3169-AVERAGE(FILTER(O3169:O7237,AA3169:AA7237=""Neighbor""))) / STDEV(FILTER(O3169:O7237, AA3169:AA7237 =""Neighbor"")), """")"),1.0088422884654886)</f>
        <v>1.008842288</v>
      </c>
      <c r="AD3169" s="4">
        <f>IFERROR(__xludf.DUMMYFUNCTION("IFERROR(ABS(P3169-AVERAGE(FILTER(O3169:P7237,AA3169:AA7237=""Neighbor""))) / STDEV(FILTER(P3169:P7237, AA3169:AA7237 =""Neighbor"")), """")"),1.2351899529426076)</f>
        <v>1.235189953</v>
      </c>
      <c r="AE3169" s="2">
        <f>IFERROR(__xludf.DUMMYFUNCTION("IFERROR(ABS(Q3169-AVERAGE(FILTER(Q3169:Q7237,AA3169:AA7237=""Neighbor""))) / STDEV(FILTER(Q3169:Q7237, AA3169:AA7237 =""Neighbor"")), """")"),0.47115492476730714)</f>
        <v>0.4711549248</v>
      </c>
      <c r="AF3169" s="2">
        <f>IFERROR(__xludf.DUMMYFUNCTION("IFERROR(ABS(R3169-AVERAGE(FILTER(R3169:R7237,AA3169:AA7237=""Neighbor""))) / STDEV(FILTER(R3169:R7237, AA3169:AA7237 =""Neighbor"")), """")"),0.3311192163582207)</f>
        <v>0.3311192164</v>
      </c>
    </row>
    <row r="3170">
      <c r="A3170" s="2" t="s">
        <v>28</v>
      </c>
      <c r="B3170" s="2" t="s">
        <v>3320</v>
      </c>
      <c r="C3170" s="2" t="s">
        <v>3561</v>
      </c>
      <c r="D3170" s="2" t="s">
        <v>12928</v>
      </c>
      <c r="E3170" s="2" t="s">
        <v>12929</v>
      </c>
      <c r="F3170" s="2">
        <v>79.0</v>
      </c>
      <c r="G3170" s="2">
        <v>119.0</v>
      </c>
      <c r="H3170" s="2" t="b">
        <v>1</v>
      </c>
      <c r="I3170" s="2">
        <v>-1.0</v>
      </c>
      <c r="J3170" s="2" t="b">
        <v>0</v>
      </c>
      <c r="K3170" s="2" t="b">
        <v>0</v>
      </c>
      <c r="L3170" s="2" t="b">
        <v>0</v>
      </c>
      <c r="M3170" s="2" t="b">
        <v>0</v>
      </c>
      <c r="N3170" s="2" t="s">
        <v>33</v>
      </c>
      <c r="O3170" s="2">
        <v>59.0</v>
      </c>
      <c r="P3170" s="2">
        <v>1.0</v>
      </c>
      <c r="Q3170" s="2">
        <v>6.0</v>
      </c>
      <c r="R3170" s="2">
        <v>0.0</v>
      </c>
      <c r="S3170" s="3" t="s">
        <v>12930</v>
      </c>
      <c r="T3170" s="2" t="s">
        <v>12931</v>
      </c>
      <c r="Y3170" s="4" t="str">
        <f>IFERROR(__xludf.DUMMYFUNCTION("""COMPUTED_VALUE"""),"6.8236814")</f>
        <v>6.8236814</v>
      </c>
      <c r="Z3170" s="4" t="str">
        <f>IFERROR(__xludf.DUMMYFUNCTION("""COMPUTED_VALUE"""),"2.9534221")</f>
        <v>2.9534221</v>
      </c>
      <c r="AA3170" s="4" t="str">
        <f t="shared" si="1"/>
        <v>Not Neighbor</v>
      </c>
      <c r="AC3170" s="4">
        <f>IFERROR(__xludf.DUMMYFUNCTION("IFERROR(ABS(O3170-AVERAGE(FILTER(O3170:O7238,AA3170:AA7238=""Neighbor""))) / STDEV(FILTER(O3170:O7238, AA3170:AA7238 =""Neighbor"")), """")"),0.42195213950904287)</f>
        <v>0.4219521395</v>
      </c>
      <c r="AD3170" s="4">
        <f>IFERROR(__xludf.DUMMYFUNCTION("IFERROR(ABS(P3170-AVERAGE(FILTER(O3170:P7238,AA3170:AA7238=""Neighbor""))) / STDEV(FILTER(P3170:P7238, AA3170:AA7238 =""Neighbor"")), """")"),1.2351899529426076)</f>
        <v>1.235189953</v>
      </c>
      <c r="AE3170" s="2">
        <f>IFERROR(__xludf.DUMMYFUNCTION("IFERROR(ABS(Q3170-AVERAGE(FILTER(Q3170:Q7238,AA3170:AA7238=""Neighbor""))) / STDEV(FILTER(Q3170:Q7238, AA3170:AA7238 =""Neighbor"")), """")"),0.5454205470730044)</f>
        <v>0.5454205471</v>
      </c>
      <c r="AF3170" s="2">
        <f>IFERROR(__xludf.DUMMYFUNCTION("IFERROR(ABS(R3170-AVERAGE(FILTER(R3170:R7238,AA3170:AA7238=""Neighbor""))) / STDEV(FILTER(R3170:R7238, AA3170:AA7238 =""Neighbor"")), """")"),0.3311192163582207)</f>
        <v>0.3311192164</v>
      </c>
    </row>
    <row r="3171">
      <c r="A3171" s="2" t="s">
        <v>28</v>
      </c>
      <c r="B3171" s="2" t="s">
        <v>3320</v>
      </c>
      <c r="C3171" s="2" t="s">
        <v>3321</v>
      </c>
      <c r="D3171" s="2" t="s">
        <v>12932</v>
      </c>
      <c r="E3171" s="2" t="s">
        <v>12933</v>
      </c>
      <c r="F3171" s="2">
        <v>86.0</v>
      </c>
      <c r="G3171" s="2">
        <v>146.0</v>
      </c>
      <c r="H3171" s="2" t="b">
        <v>1</v>
      </c>
      <c r="I3171" s="2">
        <v>-1.0</v>
      </c>
      <c r="J3171" s="2" t="b">
        <v>0</v>
      </c>
      <c r="K3171" s="2" t="b">
        <v>0</v>
      </c>
      <c r="L3171" s="2" t="b">
        <v>0</v>
      </c>
      <c r="M3171" s="2" t="b">
        <v>0</v>
      </c>
      <c r="N3171" s="2" t="s">
        <v>33</v>
      </c>
      <c r="O3171" s="2">
        <v>54.0</v>
      </c>
      <c r="P3171" s="2">
        <v>9.0</v>
      </c>
      <c r="Q3171" s="2">
        <v>5.0</v>
      </c>
      <c r="R3171" s="2">
        <v>0.0</v>
      </c>
      <c r="S3171" s="3" t="s">
        <v>12934</v>
      </c>
      <c r="T3171" s="2" t="s">
        <v>12935</v>
      </c>
      <c r="Y3171" s="4" t="str">
        <f>IFERROR(__xludf.DUMMYFUNCTION("""COMPUTED_VALUE"""),"6.9221932")</f>
        <v>6.9221932</v>
      </c>
      <c r="Z3171" s="4" t="str">
        <f>IFERROR(__xludf.DUMMYFUNCTION("""COMPUTED_VALUE"""),"3.0075642")</f>
        <v>3.0075642</v>
      </c>
      <c r="AA3171" s="4" t="str">
        <f t="shared" si="1"/>
        <v>Not Neighbor</v>
      </c>
      <c r="AC3171" s="4">
        <f>IFERROR(__xludf.DUMMYFUNCTION("IFERROR(ABS(O3171-AVERAGE(FILTER(O3171:O7239,AA3171:AA7239=""Neighbor""))) / STDEV(FILTER(O3171:O7239, AA3171:AA7239 =""Neighbor"")), """")"),0.2664310060335503)</f>
        <v>0.266431006</v>
      </c>
      <c r="AF3171" s="2">
        <f>IFERROR(__xludf.DUMMYFUNCTION("IFERROR(ABS(R3171-AVERAGE(FILTER(R3171:R7239,AA3171:AA7239=""Neighbor""))) / STDEV(FILTER(R3171:R7239, AA3171:AA7239 =""Neighbor"")), """")"),0.3311192163582207)</f>
        <v>0.3311192164</v>
      </c>
    </row>
    <row r="3172">
      <c r="A3172" s="2" t="s">
        <v>28</v>
      </c>
      <c r="B3172" s="2" t="s">
        <v>3320</v>
      </c>
      <c r="C3172" s="2" t="s">
        <v>3321</v>
      </c>
      <c r="D3172" s="2" t="s">
        <v>12936</v>
      </c>
      <c r="E3172" s="2" t="s">
        <v>12937</v>
      </c>
      <c r="F3172" s="2">
        <v>139.0</v>
      </c>
      <c r="G3172" s="2">
        <v>280.0</v>
      </c>
      <c r="H3172" s="2" t="b">
        <v>1</v>
      </c>
      <c r="I3172" s="2">
        <v>-1.0</v>
      </c>
      <c r="J3172" s="2" t="b">
        <v>0</v>
      </c>
      <c r="K3172" s="2" t="b">
        <v>0</v>
      </c>
      <c r="L3172" s="2" t="b">
        <v>0</v>
      </c>
      <c r="M3172" s="2" t="b">
        <v>0</v>
      </c>
      <c r="N3172" s="2" t="s">
        <v>33</v>
      </c>
      <c r="O3172" s="2">
        <v>70.0</v>
      </c>
      <c r="P3172" s="2">
        <v>15.0</v>
      </c>
      <c r="Q3172" s="2">
        <v>13.0</v>
      </c>
      <c r="R3172" s="2">
        <v>2.0</v>
      </c>
      <c r="S3172" s="3" t="s">
        <v>12938</v>
      </c>
      <c r="T3172" s="2" t="s">
        <v>12939</v>
      </c>
      <c r="Y3172" s="4" t="str">
        <f>IFERROR(__xludf.DUMMYFUNCTION("""COMPUTED_VALUE"""),"6.8953757")</f>
        <v>6.8953757</v>
      </c>
      <c r="Z3172" s="4" t="str">
        <f>IFERROR(__xludf.DUMMYFUNCTION("""COMPUTED_VALUE"""),"3.0147898")</f>
        <v>3.0147898</v>
      </c>
      <c r="AA3172" s="4" t="str">
        <f t="shared" si="1"/>
        <v>Not Neighbor</v>
      </c>
      <c r="AC3172" s="4">
        <f>IFERROR(__xludf.DUMMYFUNCTION("IFERROR(ABS(O3172-AVERAGE(FILTER(O3172:O7240,AA3172:AA7240=""Neighbor""))) / STDEV(FILTER(O3172:O7240, AA3172:AA7240 =""Neighbor"")), """")"),0.7640986331551265)</f>
        <v>0.7640986332</v>
      </c>
      <c r="AF3172" s="2">
        <f>IFERROR(__xludf.DUMMYFUNCTION("IFERROR(ABS(R3172-AVERAGE(FILTER(R3172:R7240,AA3172:AA7240=""Neighbor""))) / STDEV(FILTER(R3172:R7240, AA3172:AA7240 =""Neighbor"")), """")"),2.2165509895038547)</f>
        <v>2.21655099</v>
      </c>
    </row>
    <row r="3173">
      <c r="A3173" s="2" t="s">
        <v>28</v>
      </c>
      <c r="B3173" s="2" t="s">
        <v>3320</v>
      </c>
      <c r="C3173" s="2" t="s">
        <v>3321</v>
      </c>
      <c r="D3173" s="2" t="s">
        <v>12940</v>
      </c>
      <c r="E3173" s="2" t="s">
        <v>12941</v>
      </c>
      <c r="F3173" s="2">
        <v>34.0</v>
      </c>
      <c r="G3173" s="2">
        <v>84.0</v>
      </c>
      <c r="H3173" s="2" t="b">
        <v>1</v>
      </c>
      <c r="I3173" s="2">
        <v>-1.0</v>
      </c>
      <c r="J3173" s="2" t="b">
        <v>0</v>
      </c>
      <c r="K3173" s="2" t="b">
        <v>0</v>
      </c>
      <c r="L3173" s="2" t="b">
        <v>0</v>
      </c>
      <c r="M3173" s="2" t="b">
        <v>0</v>
      </c>
      <c r="N3173" s="2" t="s">
        <v>33</v>
      </c>
      <c r="O3173" s="2">
        <v>19.0</v>
      </c>
      <c r="P3173" s="2">
        <v>13.0</v>
      </c>
      <c r="Q3173" s="2">
        <v>1.0</v>
      </c>
      <c r="R3173" s="2">
        <v>0.0</v>
      </c>
      <c r="S3173" s="3" t="s">
        <v>12942</v>
      </c>
      <c r="T3173" s="2" t="s">
        <v>12943</v>
      </c>
      <c r="Y3173" s="4" t="str">
        <f>IFERROR(__xludf.DUMMYFUNCTION("""COMPUTED_VALUE"""),"6.9349984")</f>
        <v>6.9349984</v>
      </c>
      <c r="Z3173" s="4" t="str">
        <f>IFERROR(__xludf.DUMMYFUNCTION("""COMPUTED_VALUE"""),"2.982634")</f>
        <v>2.982634</v>
      </c>
      <c r="AA3173" s="4" t="str">
        <f t="shared" si="1"/>
        <v>Not Neighbor</v>
      </c>
      <c r="AC3173" s="4">
        <f>IFERROR(__xludf.DUMMYFUNCTION("IFERROR(ABS(O3173-AVERAGE(FILTER(O3173:O7241,AA3173:AA7241=""Neighbor""))) / STDEV(FILTER(O3173:O7241, AA3173:AA7241 =""Neighbor"")), """")"),0.8222169282948976)</f>
        <v>0.8222169283</v>
      </c>
      <c r="AF3173" s="2">
        <f>IFERROR(__xludf.DUMMYFUNCTION("IFERROR(ABS(R3173-AVERAGE(FILTER(R3173:R7241,AA3173:AA7241=""Neighbor""))) / STDEV(FILTER(R3173:R7241, AA3173:AA7241 =""Neighbor"")), """")"),0.3311192163582207)</f>
        <v>0.3311192164</v>
      </c>
    </row>
    <row r="3174">
      <c r="A3174" s="2" t="s">
        <v>28</v>
      </c>
      <c r="B3174" s="2" t="s">
        <v>3320</v>
      </c>
      <c r="C3174" s="2" t="s">
        <v>3321</v>
      </c>
      <c r="D3174" s="2" t="s">
        <v>12944</v>
      </c>
      <c r="E3174" s="2" t="s">
        <v>12945</v>
      </c>
      <c r="F3174" s="2">
        <v>43.0</v>
      </c>
      <c r="G3174" s="2">
        <v>92.0</v>
      </c>
      <c r="H3174" s="2" t="b">
        <v>1</v>
      </c>
      <c r="I3174" s="2">
        <v>-1.0</v>
      </c>
      <c r="J3174" s="2" t="b">
        <v>0</v>
      </c>
      <c r="K3174" s="2" t="b">
        <v>1</v>
      </c>
      <c r="L3174" s="2" t="b">
        <v>0</v>
      </c>
      <c r="M3174" s="2" t="b">
        <v>0</v>
      </c>
      <c r="N3174" s="2" t="s">
        <v>33</v>
      </c>
      <c r="O3174" s="2">
        <v>24.0</v>
      </c>
      <c r="P3174" s="2">
        <v>7.0</v>
      </c>
      <c r="Q3174" s="2">
        <v>4.0</v>
      </c>
      <c r="R3174" s="2">
        <v>0.0</v>
      </c>
      <c r="S3174" s="3" t="s">
        <v>12946</v>
      </c>
      <c r="T3174" s="2" t="s">
        <v>12947</v>
      </c>
      <c r="Y3174" s="4" t="str">
        <f>IFERROR(__xludf.DUMMYFUNCTION("""COMPUTED_VALUE"""),"6.8917945")</f>
        <v>6.8917945</v>
      </c>
      <c r="Z3174" s="4" t="str">
        <f>IFERROR(__xludf.DUMMYFUNCTION("""COMPUTED_VALUE"""),"3.011072")</f>
        <v>3.011072</v>
      </c>
      <c r="AA3174" s="4" t="str">
        <f t="shared" si="1"/>
        <v>Not Neighbor</v>
      </c>
      <c r="AC3174" s="4">
        <f>IFERROR(__xludf.DUMMYFUNCTION("IFERROR(ABS(O3174-AVERAGE(FILTER(O3174:O7242,AA3174:AA7242=""Neighbor""))) / STDEV(FILTER(O3174:O7242, AA3174:AA7242 =""Neighbor"")), """")"),0.666695794819405)</f>
        <v>0.6666957948</v>
      </c>
      <c r="AF3174" s="2">
        <f>IFERROR(__xludf.DUMMYFUNCTION("IFERROR(ABS(R3174-AVERAGE(FILTER(R3174:R7242,AA3174:AA7242=""Neighbor""))) / STDEV(FILTER(R3174:R7242, AA3174:AA7242 =""Neighbor"")), """")"),0.3311192163582207)</f>
        <v>0.3311192164</v>
      </c>
    </row>
    <row r="3175">
      <c r="A3175" s="2" t="s">
        <v>28</v>
      </c>
      <c r="B3175" s="2" t="s">
        <v>3320</v>
      </c>
      <c r="C3175" s="2" t="s">
        <v>3321</v>
      </c>
      <c r="D3175" s="2" t="s">
        <v>12948</v>
      </c>
      <c r="E3175" s="2" t="s">
        <v>12949</v>
      </c>
      <c r="F3175" s="2">
        <v>37.0</v>
      </c>
      <c r="G3175" s="2">
        <v>101.0</v>
      </c>
      <c r="H3175" s="2" t="b">
        <v>1</v>
      </c>
      <c r="I3175" s="2">
        <v>-1.0</v>
      </c>
      <c r="J3175" s="2" t="b">
        <v>0</v>
      </c>
      <c r="K3175" s="2" t="b">
        <v>0</v>
      </c>
      <c r="L3175" s="2" t="b">
        <v>0</v>
      </c>
      <c r="M3175" s="2" t="b">
        <v>0</v>
      </c>
      <c r="N3175" s="2" t="s">
        <v>33</v>
      </c>
      <c r="O3175" s="2">
        <v>32.0</v>
      </c>
      <c r="P3175" s="2">
        <v>0.0</v>
      </c>
      <c r="Q3175" s="2">
        <v>5.0</v>
      </c>
      <c r="R3175" s="2">
        <v>0.0</v>
      </c>
      <c r="S3175" s="3" t="s">
        <v>12950</v>
      </c>
      <c r="T3175" s="2" t="s">
        <v>12951</v>
      </c>
      <c r="Y3175" s="4" t="str">
        <f>IFERROR(__xludf.DUMMYFUNCTION("""COMPUTED_VALUE"""),"6.4876591")</f>
        <v>6.4876591</v>
      </c>
      <c r="Z3175" s="4" t="str">
        <f>IFERROR(__xludf.DUMMYFUNCTION("""COMPUTED_VALUE"""),"3.326889")</f>
        <v>3.326889</v>
      </c>
      <c r="AA3175" s="4" t="str">
        <f t="shared" si="1"/>
        <v>Not Neighbor</v>
      </c>
      <c r="AC3175" s="4">
        <f>IFERROR(__xludf.DUMMYFUNCTION("IFERROR(ABS(O3175-AVERAGE(FILTER(O3175:O7243,AA3175:AA7243=""Neighbor""))) / STDEV(FILTER(O3175:O7243, AA3175:AA7243 =""Neighbor"")), """")"),0.4178619812586169)</f>
        <v>0.4178619813</v>
      </c>
      <c r="AF3175" s="2">
        <f>IFERROR(__xludf.DUMMYFUNCTION("IFERROR(ABS(R3175-AVERAGE(FILTER(R3175:R7243,AA3175:AA7243=""Neighbor""))) / STDEV(FILTER(R3175:R7243, AA3175:AA7243 =""Neighbor"")), """")"),0.3311192163582207)</f>
        <v>0.3311192164</v>
      </c>
    </row>
    <row r="3176">
      <c r="A3176" s="2" t="s">
        <v>28</v>
      </c>
      <c r="B3176" s="2" t="s">
        <v>3320</v>
      </c>
      <c r="C3176" s="2" t="s">
        <v>3321</v>
      </c>
      <c r="D3176" s="2" t="s">
        <v>12952</v>
      </c>
      <c r="E3176" s="2" t="s">
        <v>12953</v>
      </c>
      <c r="F3176" s="2">
        <v>53.0</v>
      </c>
      <c r="G3176" s="2">
        <v>101.0</v>
      </c>
      <c r="H3176" s="2" t="b">
        <v>1</v>
      </c>
      <c r="I3176" s="2">
        <v>-1.0</v>
      </c>
      <c r="J3176" s="2" t="b">
        <v>0</v>
      </c>
      <c r="K3176" s="2" t="b">
        <v>0</v>
      </c>
      <c r="L3176" s="2" t="b">
        <v>0</v>
      </c>
      <c r="M3176" s="2" t="b">
        <v>0</v>
      </c>
      <c r="N3176" s="2" t="s">
        <v>33</v>
      </c>
      <c r="O3176" s="2">
        <v>31.0</v>
      </c>
      <c r="P3176" s="2">
        <v>15.0</v>
      </c>
      <c r="Q3176" s="2">
        <v>4.0</v>
      </c>
      <c r="R3176" s="2">
        <v>0.0</v>
      </c>
      <c r="S3176" s="3" t="s">
        <v>12954</v>
      </c>
      <c r="T3176" s="2" t="s">
        <v>12955</v>
      </c>
      <c r="Y3176" s="4" t="str">
        <f>IFERROR(__xludf.DUMMYFUNCTION("""COMPUTED_VALUE"""),"6.9221932")</f>
        <v>6.9221932</v>
      </c>
      <c r="Z3176" s="4" t="str">
        <f>IFERROR(__xludf.DUMMYFUNCTION("""COMPUTED_VALUE"""),"3.0075642")</f>
        <v>3.0075642</v>
      </c>
      <c r="AA3176" s="4" t="str">
        <f t="shared" si="1"/>
        <v>Not Neighbor</v>
      </c>
      <c r="AC3176" s="4">
        <f>IFERROR(__xludf.DUMMYFUNCTION("IFERROR(ABS(O3176-AVERAGE(FILTER(O3176:O7244,AA3176:AA7244=""Neighbor""))) / STDEV(FILTER(O3176:O7244, AA3176:AA7244 =""Neighbor"")), """")"),0.4489662079537154)</f>
        <v>0.448966208</v>
      </c>
      <c r="AF3176" s="2">
        <f>IFERROR(__xludf.DUMMYFUNCTION("IFERROR(ABS(R3176-AVERAGE(FILTER(R3176:R7244,AA3176:AA7244=""Neighbor""))) / STDEV(FILTER(R3176:R7244, AA3176:AA7244 =""Neighbor"")), """")"),0.3311192163582207)</f>
        <v>0.3311192164</v>
      </c>
    </row>
    <row r="3177">
      <c r="A3177" s="2" t="s">
        <v>28</v>
      </c>
      <c r="B3177" s="2" t="s">
        <v>3320</v>
      </c>
      <c r="C3177" s="2" t="s">
        <v>3321</v>
      </c>
      <c r="D3177" s="2" t="s">
        <v>12956</v>
      </c>
      <c r="E3177" s="2" t="s">
        <v>12957</v>
      </c>
      <c r="F3177" s="2">
        <v>170.0</v>
      </c>
      <c r="G3177" s="2">
        <v>750.0</v>
      </c>
      <c r="H3177" s="2" t="b">
        <v>1</v>
      </c>
      <c r="I3177" s="2">
        <v>-1.0</v>
      </c>
      <c r="J3177" s="2" t="b">
        <v>0</v>
      </c>
      <c r="K3177" s="2" t="b">
        <v>0</v>
      </c>
      <c r="L3177" s="2" t="b">
        <v>0</v>
      </c>
      <c r="M3177" s="2" t="b">
        <v>0</v>
      </c>
      <c r="N3177" s="2" t="s">
        <v>33</v>
      </c>
      <c r="O3177" s="2">
        <v>80.0</v>
      </c>
      <c r="P3177" s="2">
        <v>45.0</v>
      </c>
      <c r="Q3177" s="2">
        <v>15.0</v>
      </c>
      <c r="R3177" s="2">
        <v>2.0</v>
      </c>
      <c r="S3177" s="3" t="s">
        <v>12958</v>
      </c>
      <c r="T3177" s="2" t="s">
        <v>12959</v>
      </c>
      <c r="Y3177" s="4" t="str">
        <f>IFERROR(__xludf.DUMMYFUNCTION("""COMPUTED_VALUE"""),"56.4157719")</f>
        <v>56.4157719</v>
      </c>
      <c r="Z3177" s="4" t="str">
        <f>IFERROR(__xludf.DUMMYFUNCTION("""COMPUTED_VALUE"""),"23.6835512")</f>
        <v>23.6835512</v>
      </c>
      <c r="AA3177" s="4" t="str">
        <f t="shared" si="1"/>
        <v>Not Neighbor</v>
      </c>
      <c r="AC3177" s="4">
        <f>IFERROR(__xludf.DUMMYFUNCTION("IFERROR(ABS(O3177-AVERAGE(FILTER(O3177:O7245,AA3177:AA7245=""Neighbor""))) / STDEV(FILTER(O3177:O7245, AA3177:AA7245 =""Neighbor"")), """")"),1.0751409001061116)</f>
        <v>1.0751409</v>
      </c>
      <c r="AF3177" s="2">
        <f>IFERROR(__xludf.DUMMYFUNCTION("IFERROR(ABS(R3177-AVERAGE(FILTER(R3177:R7245,AA3177:AA7245=""Neighbor""))) / STDEV(FILTER(R3177:R7245, AA3177:AA7245 =""Neighbor"")), """")"),2.2165509895038547)</f>
        <v>2.21655099</v>
      </c>
    </row>
    <row r="3178">
      <c r="A3178" s="2" t="s">
        <v>28</v>
      </c>
      <c r="B3178" s="2" t="s">
        <v>3320</v>
      </c>
      <c r="C3178" s="2" t="s">
        <v>3321</v>
      </c>
      <c r="D3178" s="2" t="s">
        <v>12960</v>
      </c>
      <c r="E3178" s="2" t="s">
        <v>12961</v>
      </c>
      <c r="F3178" s="2">
        <v>50.0</v>
      </c>
      <c r="G3178" s="2">
        <v>106.0</v>
      </c>
      <c r="H3178" s="2" t="b">
        <v>1</v>
      </c>
      <c r="I3178" s="2">
        <v>-1.0</v>
      </c>
      <c r="J3178" s="2" t="b">
        <v>0</v>
      </c>
      <c r="K3178" s="2" t="b">
        <v>0</v>
      </c>
      <c r="L3178" s="2" t="b">
        <v>0</v>
      </c>
      <c r="M3178" s="2" t="b">
        <v>0</v>
      </c>
      <c r="N3178" s="2" t="s">
        <v>33</v>
      </c>
      <c r="O3178" s="2">
        <v>26.0</v>
      </c>
      <c r="P3178" s="2">
        <v>7.0</v>
      </c>
      <c r="Q3178" s="2">
        <v>10.0</v>
      </c>
      <c r="R3178" s="2">
        <v>0.0</v>
      </c>
      <c r="S3178" s="3" t="s">
        <v>12962</v>
      </c>
      <c r="T3178" s="2" t="s">
        <v>12963</v>
      </c>
      <c r="Y3178" s="4" t="str">
        <f>IFERROR(__xludf.DUMMYFUNCTION("""COMPUTED_VALUE"""),"6.9221932")</f>
        <v>6.9221932</v>
      </c>
      <c r="Z3178" s="4" t="str">
        <f>IFERROR(__xludf.DUMMYFUNCTION("""COMPUTED_VALUE"""),"3.0075642")</f>
        <v>3.0075642</v>
      </c>
      <c r="AA3178" s="4" t="str">
        <f t="shared" si="1"/>
        <v>Neighbor</v>
      </c>
      <c r="AC3178" s="4">
        <f>IFERROR(__xludf.DUMMYFUNCTION("IFERROR(ABS(O3178-AVERAGE(FILTER(O3178:O7246,AA3178:AA7246=""Neighbor""))) / STDEV(FILTER(O3178:O7246, AA3178:AA7246 =""Neighbor"")), """")"),0.6044873414292079)</f>
        <v>0.6044873414</v>
      </c>
      <c r="AF3178" s="2">
        <f>IFERROR(__xludf.DUMMYFUNCTION("IFERROR(ABS(R3178-AVERAGE(FILTER(R3178:R7246,AA3178:AA7246=""Neighbor""))) / STDEV(FILTER(R3178:R7246, AA3178:AA7246 =""Neighbor"")), """")"),0.3311192163582207)</f>
        <v>0.3311192164</v>
      </c>
    </row>
    <row r="3179">
      <c r="A3179" s="2" t="s">
        <v>28</v>
      </c>
      <c r="B3179" s="2" t="s">
        <v>3320</v>
      </c>
      <c r="C3179" s="2" t="s">
        <v>3321</v>
      </c>
      <c r="D3179" s="2" t="s">
        <v>12964</v>
      </c>
      <c r="E3179" s="2" t="s">
        <v>12965</v>
      </c>
      <c r="F3179" s="2">
        <v>138.0</v>
      </c>
      <c r="G3179" s="2">
        <v>301.0</v>
      </c>
      <c r="H3179" s="2" t="b">
        <v>1</v>
      </c>
      <c r="I3179" s="2">
        <v>-1.0</v>
      </c>
      <c r="J3179" s="2" t="b">
        <v>0</v>
      </c>
      <c r="K3179" s="2" t="b">
        <v>0</v>
      </c>
      <c r="L3179" s="2" t="b">
        <v>0</v>
      </c>
      <c r="M3179" s="2" t="b">
        <v>0</v>
      </c>
      <c r="N3179" s="2" t="s">
        <v>33</v>
      </c>
      <c r="O3179" s="2">
        <v>58.0</v>
      </c>
      <c r="P3179" s="2">
        <v>59.0</v>
      </c>
      <c r="Q3179" s="2">
        <v>6.0</v>
      </c>
      <c r="R3179" s="2">
        <v>2.0</v>
      </c>
      <c r="S3179" s="3" t="s">
        <v>12966</v>
      </c>
      <c r="T3179" s="2" t="s">
        <v>12967</v>
      </c>
      <c r="Y3179" s="4" t="str">
        <f>IFERROR(__xludf.DUMMYFUNCTION("""COMPUTED_VALUE"""),"6.9221932")</f>
        <v>6.9221932</v>
      </c>
      <c r="Z3179" s="4" t="str">
        <f>IFERROR(__xludf.DUMMYFUNCTION("""COMPUTED_VALUE"""),"3.0075642")</f>
        <v>3.0075642</v>
      </c>
      <c r="AA3179" s="4" t="str">
        <f t="shared" si="1"/>
        <v>Neighbor</v>
      </c>
      <c r="AC3179" s="4">
        <f>IFERROR(__xludf.DUMMYFUNCTION("IFERROR(ABS(O3179-AVERAGE(FILTER(O3179:O7247,AA3179:AA7247=""Neighbor""))) / STDEV(FILTER(O3179:O7247, AA3179:AA7247 =""Neighbor"")), """")"),0.3886151067139173)</f>
        <v>0.3886151067</v>
      </c>
      <c r="AF3179" s="2">
        <f>IFERROR(__xludf.DUMMYFUNCTION("IFERROR(ABS(R3179-AVERAGE(FILTER(R3179:R7247,AA3179:AA7247=""Neighbor""))) / STDEV(FILTER(R3179:R7247, AA3179:AA7247 =""Neighbor"")), """")"),2.2125078430157576)</f>
        <v>2.212507843</v>
      </c>
    </row>
    <row r="3180">
      <c r="A3180" s="2" t="s">
        <v>28</v>
      </c>
      <c r="B3180" s="2" t="s">
        <v>3320</v>
      </c>
      <c r="C3180" s="2" t="s">
        <v>3321</v>
      </c>
      <c r="D3180" s="2" t="s">
        <v>12968</v>
      </c>
      <c r="E3180" s="2" t="s">
        <v>12969</v>
      </c>
      <c r="F3180" s="2">
        <v>84.0</v>
      </c>
      <c r="G3180" s="2">
        <v>210.0</v>
      </c>
      <c r="H3180" s="2" t="b">
        <v>1</v>
      </c>
      <c r="I3180" s="2">
        <v>-1.0</v>
      </c>
      <c r="J3180" s="2" t="b">
        <v>0</v>
      </c>
      <c r="K3180" s="2" t="b">
        <v>0</v>
      </c>
      <c r="L3180" s="2" t="b">
        <v>0</v>
      </c>
      <c r="M3180" s="2" t="b">
        <v>0</v>
      </c>
      <c r="N3180" s="2" t="s">
        <v>33</v>
      </c>
      <c r="O3180" s="2">
        <v>30.0</v>
      </c>
      <c r="P3180" s="2">
        <v>35.0</v>
      </c>
      <c r="Q3180" s="2">
        <v>11.0</v>
      </c>
      <c r="R3180" s="2">
        <v>2.0</v>
      </c>
      <c r="S3180" s="3" t="s">
        <v>12970</v>
      </c>
      <c r="T3180" s="2" t="s">
        <v>12971</v>
      </c>
      <c r="Y3180" s="4" t="str">
        <f>IFERROR(__xludf.DUMMYFUNCTION("""COMPUTED_VALUE"""),"6.9221932")</f>
        <v>6.9221932</v>
      </c>
      <c r="Z3180" s="4" t="str">
        <f>IFERROR(__xludf.DUMMYFUNCTION("""COMPUTED_VALUE"""),"3.0075642")</f>
        <v>3.0075642</v>
      </c>
      <c r="AA3180" s="4" t="str">
        <f t="shared" si="1"/>
        <v>Not Neighbor</v>
      </c>
      <c r="AC3180" s="4">
        <f>IFERROR(__xludf.DUMMYFUNCTION("IFERROR(ABS(O3180-AVERAGE(FILTER(O3180:O7248,AA3180:AA7248=""Neighbor""))) / STDEV(FILTER(O3180:O7248, AA3180:AA7248 =""Neighbor"")), """")"),0.47963232840950126)</f>
        <v>0.4796323284</v>
      </c>
      <c r="AF3180" s="2">
        <f>IFERROR(__xludf.DUMMYFUNCTION("IFERROR(ABS(R3180-AVERAGE(FILTER(R3180:R7248,AA3180:AA7248=""Neighbor""))) / STDEV(FILTER(R3180:R7248, AA3180:AA7248 =""Neighbor"")), """")"),2.2328301176746743)</f>
        <v>2.232830118</v>
      </c>
    </row>
    <row r="3181">
      <c r="A3181" s="2" t="s">
        <v>28</v>
      </c>
      <c r="B3181" s="2" t="s">
        <v>3320</v>
      </c>
      <c r="C3181" s="2" t="s">
        <v>3321</v>
      </c>
      <c r="D3181" s="2" t="s">
        <v>12972</v>
      </c>
      <c r="E3181" s="2" t="s">
        <v>12973</v>
      </c>
      <c r="F3181" s="2">
        <v>37.0</v>
      </c>
      <c r="G3181" s="2">
        <v>111.0</v>
      </c>
      <c r="H3181" s="2" t="b">
        <v>1</v>
      </c>
      <c r="I3181" s="2">
        <v>-1.0</v>
      </c>
      <c r="J3181" s="2" t="b">
        <v>1</v>
      </c>
      <c r="K3181" s="2" t="b">
        <v>0</v>
      </c>
      <c r="L3181" s="2" t="b">
        <v>0</v>
      </c>
      <c r="M3181" s="2" t="b">
        <v>0</v>
      </c>
      <c r="N3181" s="2" t="s">
        <v>33</v>
      </c>
      <c r="O3181" s="2">
        <v>21.0</v>
      </c>
      <c r="P3181" s="2">
        <v>12.0</v>
      </c>
      <c r="Q3181" s="2">
        <v>3.0</v>
      </c>
      <c r="R3181" s="2">
        <v>0.0</v>
      </c>
      <c r="S3181" s="3" t="s">
        <v>12974</v>
      </c>
      <c r="T3181" s="2" t="s">
        <v>12975</v>
      </c>
      <c r="Y3181" s="4" t="str">
        <f>IFERROR(__xludf.DUMMYFUNCTION("""COMPUTED_VALUE"""),"6.9349984")</f>
        <v>6.9349984</v>
      </c>
      <c r="Z3181" s="4" t="str">
        <f>IFERROR(__xludf.DUMMYFUNCTION("""COMPUTED_VALUE"""),"2.982634")</f>
        <v>2.982634</v>
      </c>
      <c r="AA3181" s="4" t="str">
        <f t="shared" si="1"/>
        <v>Not Neighbor</v>
      </c>
      <c r="AC3181" s="4">
        <f>IFERROR(__xludf.DUMMYFUNCTION("IFERROR(ABS(O3181-AVERAGE(FILTER(O3181:O7249,AA3181:AA7249=""Neighbor""))) / STDEV(FILTER(O3181:O7249, AA3181:AA7249 =""Neighbor"")), """")"),0.7589324599240923)</f>
        <v>0.7589324599</v>
      </c>
      <c r="AF3181" s="2">
        <f>IFERROR(__xludf.DUMMYFUNCTION("IFERROR(ABS(R3181-AVERAGE(FILTER(R3181:R7249,AA3181:AA7249=""Neighbor""))) / STDEV(FILTER(R3181:R7249, AA3181:AA7249 =""Neighbor"")), """")"),0.3268516750740704)</f>
        <v>0.3268516751</v>
      </c>
    </row>
    <row r="3182">
      <c r="A3182" s="2" t="s">
        <v>28</v>
      </c>
      <c r="B3182" s="2" t="s">
        <v>3320</v>
      </c>
      <c r="C3182" s="2" t="s">
        <v>3378</v>
      </c>
      <c r="D3182" s="2" t="s">
        <v>12976</v>
      </c>
      <c r="E3182" s="2" t="s">
        <v>12977</v>
      </c>
      <c r="F3182" s="2">
        <v>66.0</v>
      </c>
      <c r="G3182" s="2">
        <v>156.0</v>
      </c>
      <c r="H3182" s="2" t="b">
        <v>1</v>
      </c>
      <c r="I3182" s="2">
        <v>-1.0</v>
      </c>
      <c r="J3182" s="2" t="b">
        <v>0</v>
      </c>
      <c r="K3182" s="2" t="b">
        <v>0</v>
      </c>
      <c r="L3182" s="2" t="b">
        <v>0</v>
      </c>
      <c r="M3182" s="2" t="b">
        <v>0</v>
      </c>
      <c r="N3182" s="2" t="s">
        <v>33</v>
      </c>
      <c r="O3182" s="2">
        <v>30.0</v>
      </c>
      <c r="P3182" s="2">
        <v>15.0</v>
      </c>
      <c r="Q3182" s="2">
        <v>12.0</v>
      </c>
      <c r="R3182" s="2">
        <v>0.0</v>
      </c>
      <c r="S3182" s="3" t="s">
        <v>12978</v>
      </c>
      <c r="T3182" s="2" t="s">
        <v>12979</v>
      </c>
      <c r="Y3182" s="4" t="str">
        <f>IFERROR(__xludf.DUMMYFUNCTION("""COMPUTED_VALUE"""),"6.8970278")</f>
        <v>6.8970278</v>
      </c>
      <c r="Z3182" s="4" t="str">
        <f>IFERROR(__xludf.DUMMYFUNCTION("""COMPUTED_VALUE"""),"3.0240971")</f>
        <v>3.0240971</v>
      </c>
      <c r="AA3182" s="4" t="str">
        <f t="shared" si="1"/>
        <v>Not Neighbor</v>
      </c>
      <c r="AC3182" s="4">
        <f>IFERROR(__xludf.DUMMYFUNCTION("IFERROR(ABS(O3182-AVERAGE(FILTER(O3182:O7250,AA3182:AA7250=""Neighbor""))) / STDEV(FILTER(O3182:O7250, AA3182:AA7250 =""Neighbor"")), """")"),0.47963232840950126)</f>
        <v>0.4796323284</v>
      </c>
      <c r="AF3182" s="2">
        <f>IFERROR(__xludf.DUMMYFUNCTION("IFERROR(ABS(R3182-AVERAGE(FILTER(R3182:R7250,AA3182:AA7250=""Neighbor""))) / STDEV(FILTER(R3182:R7250, AA3182:AA7250 =""Neighbor"")), """")"),0.3268516750740704)</f>
        <v>0.3268516751</v>
      </c>
    </row>
    <row r="3183">
      <c r="A3183" s="2" t="s">
        <v>28</v>
      </c>
      <c r="B3183" s="2" t="s">
        <v>3320</v>
      </c>
      <c r="C3183" s="2" t="s">
        <v>3378</v>
      </c>
      <c r="D3183" s="2" t="s">
        <v>12980</v>
      </c>
      <c r="E3183" s="2" t="s">
        <v>12981</v>
      </c>
      <c r="F3183" s="2">
        <v>109.0</v>
      </c>
      <c r="G3183" s="2">
        <v>228.0</v>
      </c>
      <c r="H3183" s="2" t="b">
        <v>1</v>
      </c>
      <c r="I3183" s="2">
        <v>-1.0</v>
      </c>
      <c r="J3183" s="2" t="b">
        <v>0</v>
      </c>
      <c r="K3183" s="2" t="b">
        <v>0</v>
      </c>
      <c r="L3183" s="2" t="b">
        <v>0</v>
      </c>
      <c r="M3183" s="2" t="b">
        <v>0</v>
      </c>
      <c r="N3183" s="2" t="s">
        <v>33</v>
      </c>
      <c r="O3183" s="2">
        <v>49.0</v>
      </c>
      <c r="P3183" s="2">
        <v>17.0</v>
      </c>
      <c r="Q3183" s="2">
        <v>32.0</v>
      </c>
      <c r="R3183" s="2">
        <v>0.0</v>
      </c>
      <c r="S3183" s="3" t="s">
        <v>12982</v>
      </c>
      <c r="T3183" s="2" t="s">
        <v>12983</v>
      </c>
      <c r="Y3183" s="4" t="str">
        <f>IFERROR(__xludf.DUMMYFUNCTION("""COMPUTED_VALUE"""),"6.8882192")</f>
        <v>6.8882192</v>
      </c>
      <c r="Z3183" s="4" t="str">
        <f>IFERROR(__xludf.DUMMYFUNCTION("""COMPUTED_VALUE"""),"3.0367307")</f>
        <v>3.0367307</v>
      </c>
      <c r="AA3183" s="4" t="str">
        <f t="shared" si="1"/>
        <v>Not Neighbor</v>
      </c>
      <c r="AC3183" s="4">
        <f>IFERROR(__xludf.DUMMYFUNCTION("IFERROR(ABS(O3183-AVERAGE(FILTER(O3183:O7251,AA3183:AA7251=""Neighbor""))) / STDEV(FILTER(O3183:O7251, AA3183:AA7251 =""Neighbor"")), """")"),0.11000128256574661)</f>
        <v>0.1100012826</v>
      </c>
      <c r="AF3183" s="2">
        <f>IFERROR(__xludf.DUMMYFUNCTION("IFERROR(ABS(R3183-AVERAGE(FILTER(R3183:R7251,AA3183:AA7251=""Neighbor""))) / STDEV(FILTER(R3183:R7251, AA3183:AA7251 =""Neighbor"")), """")"),0.3268516750740704)</f>
        <v>0.3268516751</v>
      </c>
    </row>
    <row r="3184">
      <c r="A3184" s="2" t="s">
        <v>28</v>
      </c>
      <c r="B3184" s="2" t="s">
        <v>3320</v>
      </c>
      <c r="C3184" s="2" t="s">
        <v>3378</v>
      </c>
      <c r="D3184" s="2" t="s">
        <v>12984</v>
      </c>
      <c r="E3184" s="2" t="s">
        <v>12985</v>
      </c>
      <c r="F3184" s="2">
        <v>122.0</v>
      </c>
      <c r="G3184" s="2">
        <v>261.0</v>
      </c>
      <c r="H3184" s="2" t="b">
        <v>1</v>
      </c>
      <c r="I3184" s="2">
        <v>-1.0</v>
      </c>
      <c r="J3184" s="2" t="b">
        <v>0</v>
      </c>
      <c r="K3184" s="2" t="b">
        <v>0</v>
      </c>
      <c r="L3184" s="2" t="b">
        <v>0</v>
      </c>
      <c r="M3184" s="2" t="b">
        <v>0</v>
      </c>
      <c r="N3184" s="2" t="s">
        <v>33</v>
      </c>
      <c r="O3184" s="2">
        <v>51.0</v>
      </c>
      <c r="P3184" s="2">
        <v>57.0</v>
      </c>
      <c r="Q3184" s="2">
        <v>7.0</v>
      </c>
      <c r="R3184" s="2">
        <v>0.0</v>
      </c>
      <c r="S3184" s="3" t="s">
        <v>12986</v>
      </c>
      <c r="T3184" s="2" t="s">
        <v>12987</v>
      </c>
      <c r="Y3184" s="4" t="str">
        <f>IFERROR(__xludf.DUMMYFUNCTION("""COMPUTED_VALUE"""),"6.8951117")</f>
        <v>6.8951117</v>
      </c>
      <c r="Z3184" s="4" t="str">
        <f>IFERROR(__xludf.DUMMYFUNCTION("""COMPUTED_VALUE"""),"3.052612")</f>
        <v>3.052612</v>
      </c>
      <c r="AA3184" s="4" t="str">
        <f t="shared" si="1"/>
        <v>Not Neighbor</v>
      </c>
      <c r="AC3184" s="4">
        <f>IFERROR(__xludf.DUMMYFUNCTION("IFERROR(ABS(O3184-AVERAGE(FILTER(O3184:O7252,AA3184:AA7252=""Neighbor""))) / STDEV(FILTER(O3184:O7252, AA3184:AA7252 =""Neighbor"")), """")"),0.17206797845787797)</f>
        <v>0.1720679785</v>
      </c>
      <c r="AF3184" s="2">
        <f>IFERROR(__xludf.DUMMYFUNCTION("IFERROR(ABS(R3184-AVERAGE(FILTER(R3184:R7252,AA3184:AA7252=""Neighbor""))) / STDEV(FILTER(R3184:R7252, AA3184:AA7252 =""Neighbor"")), """")"),0.3268516750740704)</f>
        <v>0.3268516751</v>
      </c>
    </row>
    <row r="3185">
      <c r="A3185" s="2" t="s">
        <v>28</v>
      </c>
      <c r="B3185" s="2" t="s">
        <v>3320</v>
      </c>
      <c r="C3185" s="2" t="s">
        <v>3378</v>
      </c>
      <c r="D3185" s="2" t="s">
        <v>12988</v>
      </c>
      <c r="E3185" s="2" t="s">
        <v>12989</v>
      </c>
      <c r="F3185" s="2">
        <v>128.0</v>
      </c>
      <c r="G3185" s="2">
        <v>277.0</v>
      </c>
      <c r="H3185" s="2" t="b">
        <v>1</v>
      </c>
      <c r="I3185" s="2">
        <v>-1.0</v>
      </c>
      <c r="J3185" s="2" t="b">
        <v>0</v>
      </c>
      <c r="K3185" s="2" t="b">
        <v>0</v>
      </c>
      <c r="L3185" s="2" t="b">
        <v>0</v>
      </c>
      <c r="M3185" s="2" t="b">
        <v>0</v>
      </c>
      <c r="N3185" s="2" t="s">
        <v>33</v>
      </c>
      <c r="O3185" s="2">
        <v>0.0</v>
      </c>
      <c r="P3185" s="2">
        <v>0.0</v>
      </c>
      <c r="Q3185" s="2">
        <v>0.0</v>
      </c>
      <c r="R3185" s="2">
        <v>0.0</v>
      </c>
      <c r="S3185" s="3" t="s">
        <v>12990</v>
      </c>
      <c r="T3185" s="2" t="s">
        <v>12991</v>
      </c>
      <c r="Y3185" s="4" t="str">
        <f>IFERROR(__xludf.DUMMYFUNCTION("""COMPUTED_VALUE"""),"6.8882192")</f>
        <v>6.8882192</v>
      </c>
      <c r="Z3185" s="4" t="str">
        <f>IFERROR(__xludf.DUMMYFUNCTION("""COMPUTED_VALUE"""),"3.0367307")</f>
        <v>3.0367307</v>
      </c>
      <c r="AA3185" s="4" t="str">
        <f t="shared" si="1"/>
        <v>Not Neighbor</v>
      </c>
      <c r="AC3185" s="4">
        <f>IFERROR(__xludf.DUMMYFUNCTION("IFERROR(ABS(O3185-AVERAGE(FILTER(O3185:O7253,AA3185:AA7253=""Neighbor""))) / STDEV(FILTER(O3185:O7253, AA3185:AA7253 =""Neighbor"")), """")"),1.4106327667914715)</f>
        <v>1.410632767</v>
      </c>
      <c r="AF3185" s="2">
        <f>IFERROR(__xludf.DUMMYFUNCTION("IFERROR(ABS(R3185-AVERAGE(FILTER(R3185:R7253,AA3185:AA7253=""Neighbor""))) / STDEV(FILTER(R3185:R7253, AA3185:AA7253 =""Neighbor"")), """")"),0.3268516750740704)</f>
        <v>0.3268516751</v>
      </c>
    </row>
    <row r="3186">
      <c r="A3186" s="2" t="s">
        <v>28</v>
      </c>
      <c r="B3186" s="2" t="s">
        <v>3320</v>
      </c>
      <c r="C3186" s="2" t="s">
        <v>3378</v>
      </c>
      <c r="D3186" s="2" t="s">
        <v>12992</v>
      </c>
      <c r="E3186" s="2" t="s">
        <v>12993</v>
      </c>
      <c r="F3186" s="2">
        <v>53.0</v>
      </c>
      <c r="G3186" s="2">
        <v>94.0</v>
      </c>
      <c r="H3186" s="2" t="b">
        <v>1</v>
      </c>
      <c r="I3186" s="2">
        <v>-1.0</v>
      </c>
      <c r="J3186" s="2" t="b">
        <v>0</v>
      </c>
      <c r="K3186" s="2" t="b">
        <v>0</v>
      </c>
      <c r="L3186" s="2" t="b">
        <v>0</v>
      </c>
      <c r="M3186" s="2" t="b">
        <v>0</v>
      </c>
      <c r="N3186" s="2" t="s">
        <v>33</v>
      </c>
      <c r="O3186" s="2">
        <v>43.0</v>
      </c>
      <c r="P3186" s="2">
        <v>1.0</v>
      </c>
      <c r="Q3186" s="2">
        <v>23.0</v>
      </c>
      <c r="R3186" s="2">
        <v>0.0</v>
      </c>
      <c r="S3186" s="3" t="s">
        <v>12994</v>
      </c>
      <c r="T3186" s="2" t="s">
        <v>12995</v>
      </c>
      <c r="Y3186" s="4" t="str">
        <f>IFERROR(__xludf.DUMMYFUNCTION("""COMPUTED_VALUE"""),"6.8951117")</f>
        <v>6.8951117</v>
      </c>
      <c r="Z3186" s="4" t="str">
        <f>IFERROR(__xludf.DUMMYFUNCTION("""COMPUTED_VALUE"""),"3.052612")</f>
        <v>3.052612</v>
      </c>
      <c r="AA3186" s="4" t="str">
        <f t="shared" si="1"/>
        <v>Not Neighbor</v>
      </c>
      <c r="AC3186" s="4">
        <f>IFERROR(__xludf.DUMMYFUNCTION("IFERROR(ABS(O3186-AVERAGE(FILTER(O3186:O7254,AA3186:AA7254=""Neighbor""))) / STDEV(FILTER(O3186:O7254, AA3186:AA7254 =""Neighbor"")), """")"),0.07619880511064746)</f>
        <v>0.07619880511</v>
      </c>
      <c r="AF3186" s="2">
        <f>IFERROR(__xludf.DUMMYFUNCTION("IFERROR(ABS(R3186-AVERAGE(FILTER(R3186:R7254,AA3186:AA7254=""Neighbor""))) / STDEV(FILTER(R3186:R7254, AA3186:AA7254 =""Neighbor"")), """")"),0.3268516750740704)</f>
        <v>0.3268516751</v>
      </c>
    </row>
    <row r="3187">
      <c r="A3187" s="2" t="s">
        <v>28</v>
      </c>
      <c r="B3187" s="2" t="s">
        <v>3320</v>
      </c>
      <c r="C3187" s="2" t="s">
        <v>3378</v>
      </c>
      <c r="D3187" s="2" t="s">
        <v>12996</v>
      </c>
      <c r="E3187" s="2" t="s">
        <v>12997</v>
      </c>
      <c r="F3187" s="2">
        <v>150.0</v>
      </c>
      <c r="G3187" s="2">
        <v>310.0</v>
      </c>
      <c r="H3187" s="2" t="b">
        <v>1</v>
      </c>
      <c r="I3187" s="2">
        <v>-1.0</v>
      </c>
      <c r="J3187" s="2" t="b">
        <v>1</v>
      </c>
      <c r="K3187" s="2" t="b">
        <v>0</v>
      </c>
      <c r="L3187" s="2" t="b">
        <v>0</v>
      </c>
      <c r="M3187" s="2" t="b">
        <v>0</v>
      </c>
      <c r="N3187" s="2" t="s">
        <v>33</v>
      </c>
      <c r="O3187" s="2">
        <v>94.0</v>
      </c>
      <c r="P3187" s="2">
        <v>22.0</v>
      </c>
      <c r="Q3187" s="2">
        <v>11.0</v>
      </c>
      <c r="R3187" s="2">
        <v>0.0</v>
      </c>
      <c r="S3187" s="3" t="s">
        <v>12998</v>
      </c>
      <c r="T3187" s="2" t="s">
        <v>12999</v>
      </c>
      <c r="Y3187" s="4" t="str">
        <f>IFERROR(__xludf.DUMMYFUNCTION("""COMPUTED_VALUE"""),"6.8882192")</f>
        <v>6.8882192</v>
      </c>
      <c r="Z3187" s="4" t="str">
        <f>IFERROR(__xludf.DUMMYFUNCTION("""COMPUTED_VALUE"""),"3.0367307")</f>
        <v>3.0367307</v>
      </c>
      <c r="AA3187" s="4" t="str">
        <f t="shared" si="1"/>
        <v>Not Neighbor</v>
      </c>
      <c r="AC3187" s="4">
        <f>IFERROR(__xludf.DUMMYFUNCTION("IFERROR(ABS(O3187-AVERAGE(FILTER(O3187:O7255,AA3187:AA7255=""Neighbor""))) / STDEV(FILTER(O3187:O7255, AA3187:AA7255 =""Neighbor"")), """")"),1.506501940138702)</f>
        <v>1.50650194</v>
      </c>
      <c r="AF3187" s="2">
        <f>IFERROR(__xludf.DUMMYFUNCTION("IFERROR(ABS(R3187-AVERAGE(FILTER(R3187:R7255,AA3187:AA7255=""Neighbor""))) / STDEV(FILTER(R3187:R7255, AA3187:AA7255 =""Neighbor"")), """")"),0.3268516750740704)</f>
        <v>0.3268516751</v>
      </c>
    </row>
    <row r="3188">
      <c r="A3188" s="2" t="s">
        <v>28</v>
      </c>
      <c r="B3188" s="2" t="s">
        <v>3320</v>
      </c>
      <c r="C3188" s="2" t="s">
        <v>3378</v>
      </c>
      <c r="D3188" s="2" t="s">
        <v>13000</v>
      </c>
      <c r="E3188" s="2" t="s">
        <v>13001</v>
      </c>
      <c r="F3188" s="2">
        <v>222.0</v>
      </c>
      <c r="G3188" s="2">
        <v>408.0</v>
      </c>
      <c r="H3188" s="2" t="b">
        <v>1</v>
      </c>
      <c r="I3188" s="2">
        <v>-1.0</v>
      </c>
      <c r="J3188" s="2" t="b">
        <v>0</v>
      </c>
      <c r="K3188" s="2" t="b">
        <v>0</v>
      </c>
      <c r="L3188" s="2" t="b">
        <v>0</v>
      </c>
      <c r="M3188" s="2" t="b">
        <v>0</v>
      </c>
      <c r="N3188" s="2" t="s">
        <v>33</v>
      </c>
      <c r="O3188" s="2">
        <v>115.0</v>
      </c>
      <c r="P3188" s="2">
        <v>35.0</v>
      </c>
      <c r="Q3188" s="2">
        <v>42.0</v>
      </c>
      <c r="R3188" s="2">
        <v>0.0</v>
      </c>
      <c r="S3188" s="3" t="s">
        <v>13002</v>
      </c>
      <c r="T3188" s="2" t="s">
        <v>13003</v>
      </c>
      <c r="Y3188" s="4" t="str">
        <f>IFERROR(__xludf.DUMMYFUNCTION("""COMPUTED_VALUE"""),"6.8972054")</f>
        <v>6.8972054</v>
      </c>
      <c r="Z3188" s="4" t="str">
        <f>IFERROR(__xludf.DUMMYFUNCTION("""COMPUTED_VALUE"""),"3.0219174")</f>
        <v>3.0219174</v>
      </c>
      <c r="AA3188" s="4" t="str">
        <f t="shared" si="1"/>
        <v>Not Neighbor</v>
      </c>
      <c r="AC3188" s="4">
        <f>IFERROR(__xludf.DUMMYFUNCTION("IFERROR(ABS(O3188-AVERAGE(FILTER(O3188:O7256,AA3188:AA7256=""Neighbor""))) / STDEV(FILTER(O3188:O7256, AA3188:AA7256 =""Neighbor"")), """")"),2.1582022470060815)</f>
        <v>2.158202247</v>
      </c>
      <c r="AF3188" s="2">
        <f>IFERROR(__xludf.DUMMYFUNCTION("IFERROR(ABS(R3188-AVERAGE(FILTER(R3188:R7256,AA3188:AA7256=""Neighbor""))) / STDEV(FILTER(R3188:R7256, AA3188:AA7256 =""Neighbor"")), """")"),0.3268516750740704)</f>
        <v>0.3268516751</v>
      </c>
    </row>
    <row r="3189">
      <c r="A3189" s="2" t="s">
        <v>28</v>
      </c>
      <c r="B3189" s="2" t="s">
        <v>3320</v>
      </c>
      <c r="C3189" s="2" t="s">
        <v>3423</v>
      </c>
      <c r="D3189" s="2" t="s">
        <v>13004</v>
      </c>
      <c r="E3189" s="2" t="s">
        <v>13005</v>
      </c>
      <c r="F3189" s="2">
        <v>180.0</v>
      </c>
      <c r="G3189" s="2">
        <v>404.0</v>
      </c>
      <c r="H3189" s="2" t="b">
        <v>1</v>
      </c>
      <c r="I3189" s="2">
        <v>-1.0</v>
      </c>
      <c r="J3189" s="2" t="b">
        <v>0</v>
      </c>
      <c r="K3189" s="2" t="b">
        <v>0</v>
      </c>
      <c r="L3189" s="2" t="b">
        <v>0</v>
      </c>
      <c r="M3189" s="2" t="b">
        <v>0</v>
      </c>
      <c r="N3189" s="2" t="s">
        <v>33</v>
      </c>
      <c r="O3189" s="2">
        <v>99.0</v>
      </c>
      <c r="P3189" s="2">
        <v>18.0</v>
      </c>
      <c r="Q3189" s="2">
        <v>43.0</v>
      </c>
      <c r="R3189" s="2">
        <v>0.0</v>
      </c>
      <c r="S3189" s="3" t="s">
        <v>13006</v>
      </c>
      <c r="T3189" s="2" t="s">
        <v>13007</v>
      </c>
      <c r="Y3189" s="4" t="str">
        <f>IFERROR(__xludf.DUMMYFUNCTION("""COMPUTED_VALUE"""),"6.8632224")</f>
        <v>6.8632224</v>
      </c>
      <c r="Z3189" s="4" t="str">
        <f>IFERROR(__xludf.DUMMYFUNCTION("""COMPUTED_VALUE"""),"3.0125674")</f>
        <v>3.0125674</v>
      </c>
      <c r="AA3189" s="4" t="str">
        <f t="shared" si="1"/>
        <v>Neighbor</v>
      </c>
      <c r="AC3189" s="4">
        <f>IFERROR(__xludf.DUMMYFUNCTION("IFERROR(ABS(O3189-AVERAGE(FILTER(O3189:O7257,AA3189:AA7257=""Neighbor""))) / STDEV(FILTER(O3189:O7257, AA3189:AA7257 =""Neighbor"")), """")"),1.6616686798690306)</f>
        <v>1.66166868</v>
      </c>
      <c r="AF3189" s="2">
        <f>IFERROR(__xludf.DUMMYFUNCTION("IFERROR(ABS(R3189-AVERAGE(FILTER(R3189:R7257,AA3189:AA7257=""Neighbor""))) / STDEV(FILTER(R3189:R7257, AA3189:AA7257 =""Neighbor"")), """")"),0.3268516750740704)</f>
        <v>0.3268516751</v>
      </c>
    </row>
    <row r="3190">
      <c r="A3190" s="2" t="s">
        <v>28</v>
      </c>
      <c r="B3190" s="2" t="s">
        <v>3320</v>
      </c>
      <c r="C3190" s="2" t="s">
        <v>3423</v>
      </c>
      <c r="D3190" s="2" t="s">
        <v>13008</v>
      </c>
      <c r="E3190" s="2" t="s">
        <v>13009</v>
      </c>
      <c r="F3190" s="2">
        <v>171.0</v>
      </c>
      <c r="G3190" s="2">
        <v>407.0</v>
      </c>
      <c r="H3190" s="2" t="b">
        <v>1</v>
      </c>
      <c r="I3190" s="2">
        <v>-1.0</v>
      </c>
      <c r="J3190" s="2" t="b">
        <v>0</v>
      </c>
      <c r="K3190" s="2" t="b">
        <v>0</v>
      </c>
      <c r="L3190" s="2" t="b">
        <v>0</v>
      </c>
      <c r="M3190" s="2" t="b">
        <v>0</v>
      </c>
      <c r="N3190" s="2" t="s">
        <v>33</v>
      </c>
      <c r="O3190" s="2">
        <v>104.0</v>
      </c>
      <c r="P3190" s="2">
        <v>23.0</v>
      </c>
      <c r="Q3190" s="2">
        <v>15.0</v>
      </c>
      <c r="R3190" s="2">
        <v>0.0</v>
      </c>
      <c r="S3190" s="3" t="s">
        <v>13010</v>
      </c>
      <c r="T3190" s="2" t="s">
        <v>13011</v>
      </c>
      <c r="Y3190" s="4" t="str">
        <f>IFERROR(__xludf.DUMMYFUNCTION("""COMPUTED_VALUE"""),"6.8632224")</f>
        <v>6.8632224</v>
      </c>
      <c r="Z3190" s="4" t="str">
        <f>IFERROR(__xludf.DUMMYFUNCTION("""COMPUTED_VALUE"""),"3.0125674")</f>
        <v>3.0125674</v>
      </c>
      <c r="AA3190" s="4" t="str">
        <f t="shared" si="1"/>
        <v>Not Neighbor</v>
      </c>
      <c r="AC3190" s="4">
        <f>IFERROR(__xludf.DUMMYFUNCTION("IFERROR(ABS(O3190-AVERAGE(FILTER(O3190:O7258,AA3190:AA7258=""Neighbor""))) / STDEV(FILTER(O3190:O7258, AA3190:AA7258 =""Neighbor"")), """")"),1.8269757532558382)</f>
        <v>1.826975753</v>
      </c>
      <c r="AF3190" s="2">
        <f>IFERROR(__xludf.DUMMYFUNCTION("IFERROR(ABS(R3190-AVERAGE(FILTER(R3190:R7258,AA3190:AA7258=""Neighbor""))) / STDEV(FILTER(R3190:R7258, AA3190:AA7258 =""Neighbor"")), """")"),0.3274082769998143)</f>
        <v>0.327408277</v>
      </c>
    </row>
    <row r="3191">
      <c r="A3191" s="2" t="s">
        <v>28</v>
      </c>
      <c r="B3191" s="2" t="s">
        <v>3320</v>
      </c>
      <c r="C3191" s="2" t="s">
        <v>3423</v>
      </c>
      <c r="D3191" s="2" t="s">
        <v>13012</v>
      </c>
      <c r="E3191" s="2" t="s">
        <v>13013</v>
      </c>
      <c r="F3191" s="2">
        <v>168.0</v>
      </c>
      <c r="G3191" s="2">
        <v>415.0</v>
      </c>
      <c r="H3191" s="2" t="b">
        <v>1</v>
      </c>
      <c r="I3191" s="2">
        <v>-1.0</v>
      </c>
      <c r="J3191" s="2" t="b">
        <v>0</v>
      </c>
      <c r="K3191" s="2" t="b">
        <v>0</v>
      </c>
      <c r="L3191" s="2" t="b">
        <v>0</v>
      </c>
      <c r="M3191" s="2" t="b">
        <v>0</v>
      </c>
      <c r="N3191" s="2" t="s">
        <v>33</v>
      </c>
      <c r="O3191" s="2">
        <v>56.0</v>
      </c>
      <c r="P3191" s="2">
        <v>83.0</v>
      </c>
      <c r="Q3191" s="2">
        <v>7.0</v>
      </c>
      <c r="R3191" s="2">
        <v>0.0</v>
      </c>
      <c r="S3191" s="3" t="s">
        <v>13014</v>
      </c>
      <c r="T3191" s="2" t="s">
        <v>13015</v>
      </c>
      <c r="Y3191" s="4" t="str">
        <f>IFERROR(__xludf.DUMMYFUNCTION("""COMPUTED_VALUE"""),"6.8847538")</f>
        <v>6.8847538</v>
      </c>
      <c r="Z3191" s="4" t="str">
        <f>IFERROR(__xludf.DUMMYFUNCTION("""COMPUTED_VALUE"""),"2.9943069")</f>
        <v>2.9943069</v>
      </c>
      <c r="AA3191" s="4" t="str">
        <f t="shared" si="1"/>
        <v>Not Neighbor</v>
      </c>
      <c r="AC3191" s="4">
        <f>IFERROR(__xludf.DUMMYFUNCTION("IFERROR(ABS(O3191-AVERAGE(FILTER(O3191:O7259,AA3191:AA7259=""Neighbor""))) / STDEV(FILTER(O3191:O7259, AA3191:AA7259 =""Neighbor"")), """")"),0.3332775661758888)</f>
        <v>0.3332775662</v>
      </c>
      <c r="AF3191" s="2">
        <f>IFERROR(__xludf.DUMMYFUNCTION("IFERROR(ABS(R3191-AVERAGE(FILTER(R3191:R7259,AA3191:AA7259=""Neighbor""))) / STDEV(FILTER(R3191:R7259, AA3191:AA7259 =""Neighbor"")), """")"),0.3274082769998143)</f>
        <v>0.327408277</v>
      </c>
    </row>
    <row r="3192">
      <c r="A3192" s="2" t="s">
        <v>28</v>
      </c>
      <c r="B3192" s="2" t="s">
        <v>3320</v>
      </c>
      <c r="C3192" s="2" t="s">
        <v>3423</v>
      </c>
      <c r="D3192" s="2" t="s">
        <v>13016</v>
      </c>
      <c r="E3192" s="2" t="s">
        <v>13017</v>
      </c>
      <c r="F3192" s="2">
        <v>112.0</v>
      </c>
      <c r="G3192" s="2">
        <v>246.0</v>
      </c>
      <c r="H3192" s="2" t="b">
        <v>1</v>
      </c>
      <c r="I3192" s="2">
        <v>-1.0</v>
      </c>
      <c r="J3192" s="2" t="b">
        <v>0</v>
      </c>
      <c r="K3192" s="2" t="b">
        <v>0</v>
      </c>
      <c r="L3192" s="2" t="b">
        <v>0</v>
      </c>
      <c r="M3192" s="2" t="b">
        <v>0</v>
      </c>
      <c r="N3192" s="2" t="s">
        <v>33</v>
      </c>
      <c r="O3192" s="2">
        <v>49.0</v>
      </c>
      <c r="P3192" s="2">
        <v>5.0</v>
      </c>
      <c r="Q3192" s="2">
        <v>35.0</v>
      </c>
      <c r="R3192" s="2">
        <v>0.0</v>
      </c>
      <c r="S3192" s="3" t="s">
        <v>13018</v>
      </c>
      <c r="T3192" s="2" t="s">
        <v>13019</v>
      </c>
      <c r="Y3192" s="4" t="str">
        <f>IFERROR(__xludf.DUMMYFUNCTION("""COMPUTED_VALUE"""),"6.8632224")</f>
        <v>6.8632224</v>
      </c>
      <c r="Z3192" s="4" t="str">
        <f>IFERROR(__xludf.DUMMYFUNCTION("""COMPUTED_VALUE"""),"3.0125674")</f>
        <v>3.0125674</v>
      </c>
      <c r="AA3192" s="4" t="str">
        <f t="shared" si="1"/>
        <v>Neighbor</v>
      </c>
      <c r="AC3192" s="4">
        <f>IFERROR(__xludf.DUMMYFUNCTION("IFERROR(ABS(O3192-AVERAGE(FILTER(O3192:O7260,AA3192:AA7260=""Neighbor""))) / STDEV(FILTER(O3192:O7260, AA3192:AA7260 =""Neighbor"")), """")"),0.11544658056006285)</f>
        <v>0.1154465806</v>
      </c>
      <c r="AF3192" s="2">
        <f>IFERROR(__xludf.DUMMYFUNCTION("IFERROR(ABS(R3192-AVERAGE(FILTER(R3192:R7260,AA3192:AA7260=""Neighbor""))) / STDEV(FILTER(R3192:R7260, AA3192:AA7260 =""Neighbor"")), """")"),0.3274082769998143)</f>
        <v>0.327408277</v>
      </c>
    </row>
    <row r="3193">
      <c r="A3193" s="2" t="s">
        <v>28</v>
      </c>
      <c r="B3193" s="2" t="s">
        <v>3320</v>
      </c>
      <c r="C3193" s="2" t="s">
        <v>3423</v>
      </c>
      <c r="D3193" s="2" t="s">
        <v>13020</v>
      </c>
      <c r="E3193" s="2" t="s">
        <v>13021</v>
      </c>
      <c r="F3193" s="2">
        <v>109.0</v>
      </c>
      <c r="G3193" s="2">
        <v>178.0</v>
      </c>
      <c r="H3193" s="2" t="b">
        <v>1</v>
      </c>
      <c r="I3193" s="2">
        <v>-1.0</v>
      </c>
      <c r="J3193" s="2" t="b">
        <v>0</v>
      </c>
      <c r="K3193" s="2" t="b">
        <v>0</v>
      </c>
      <c r="L3193" s="2" t="b">
        <v>0</v>
      </c>
      <c r="M3193" s="2" t="b">
        <v>0</v>
      </c>
      <c r="N3193" s="2" t="s">
        <v>33</v>
      </c>
      <c r="O3193" s="2">
        <v>65.0</v>
      </c>
      <c r="P3193" s="2">
        <v>11.0</v>
      </c>
      <c r="Q3193" s="2">
        <v>14.0</v>
      </c>
      <c r="R3193" s="2">
        <v>0.0</v>
      </c>
      <c r="S3193" s="3" t="s">
        <v>13022</v>
      </c>
      <c r="T3193" s="2" t="s">
        <v>13023</v>
      </c>
      <c r="Y3193" s="4" t="str">
        <f>IFERROR(__xludf.DUMMYFUNCTION("""COMPUTED_VALUE"""),"6.858648")</f>
        <v>6.858648</v>
      </c>
      <c r="Z3193" s="4" t="str">
        <f>IFERROR(__xludf.DUMMYFUNCTION("""COMPUTED_VALUE"""),"3.0090829")</f>
        <v>3.0090829</v>
      </c>
      <c r="AA3193" s="4" t="str">
        <f t="shared" si="1"/>
        <v>Not Neighbor</v>
      </c>
      <c r="AC3193" s="4">
        <f>IFERROR(__xludf.DUMMYFUNCTION("IFERROR(ABS(O3193-AVERAGE(FILTER(O3193:O7261,AA3193:AA7261=""Neighbor""))) / STDEV(FILTER(O3193:O7261, AA3193:AA7261 =""Neighbor"")), """")"),0.6127653358169427)</f>
        <v>0.6127653358</v>
      </c>
      <c r="AF3193" s="2">
        <f>IFERROR(__xludf.DUMMYFUNCTION("IFERROR(ABS(R3193-AVERAGE(FILTER(R3193:R7261,AA3193:AA7261=""Neighbor""))) / STDEV(FILTER(R3193:R7261, AA3193:AA7261 =""Neighbor"")), """")"),0.32796773320225203)</f>
        <v>0.3279677332</v>
      </c>
    </row>
    <row r="3194">
      <c r="A3194" s="2" t="s">
        <v>28</v>
      </c>
      <c r="B3194" s="2" t="s">
        <v>3320</v>
      </c>
      <c r="C3194" s="2" t="s">
        <v>3817</v>
      </c>
      <c r="D3194" s="2" t="s">
        <v>13024</v>
      </c>
      <c r="E3194" s="2" t="s">
        <v>13025</v>
      </c>
      <c r="F3194" s="2">
        <v>64.0</v>
      </c>
      <c r="G3194" s="2">
        <v>118.0</v>
      </c>
      <c r="H3194" s="2" t="b">
        <v>1</v>
      </c>
      <c r="I3194" s="2">
        <v>-1.0</v>
      </c>
      <c r="J3194" s="2" t="b">
        <v>0</v>
      </c>
      <c r="K3194" s="2" t="b">
        <v>0</v>
      </c>
      <c r="L3194" s="2" t="b">
        <v>0</v>
      </c>
      <c r="M3194" s="2" t="b">
        <v>0</v>
      </c>
      <c r="N3194" s="2" t="s">
        <v>33</v>
      </c>
      <c r="O3194" s="2">
        <v>33.0</v>
      </c>
      <c r="P3194" s="2">
        <v>2.0</v>
      </c>
      <c r="Q3194" s="2">
        <v>10.0</v>
      </c>
      <c r="R3194" s="2">
        <v>0.0</v>
      </c>
      <c r="S3194" s="3" t="s">
        <v>13026</v>
      </c>
      <c r="T3194" s="2" t="s">
        <v>13027</v>
      </c>
      <c r="Y3194" s="4" t="str">
        <f>IFERROR(__xludf.DUMMYFUNCTION("""COMPUTED_VALUE"""),"6.742845")</f>
        <v>6.742845</v>
      </c>
      <c r="Z3194" s="4" t="str">
        <f>IFERROR(__xludf.DUMMYFUNCTION("""COMPUTED_VALUE"""),"3.001466")</f>
        <v>3.001466</v>
      </c>
      <c r="AA3194" s="4" t="str">
        <f t="shared" si="1"/>
        <v>Neighbor</v>
      </c>
      <c r="AC3194" s="4">
        <f>IFERROR(__xludf.DUMMYFUNCTION("IFERROR(ABS(O3194-AVERAGE(FILTER(O3194:O7262,AA3194:AA7262=""Neighbor""))) / STDEV(FILTER(O3194:O7262, AA3194:AA7262 =""Neighbor"")), """")"),0.38151135350863324)</f>
        <v>0.3815113535</v>
      </c>
      <c r="AF3194" s="2">
        <f>IFERROR(__xludf.DUMMYFUNCTION("IFERROR(ABS(R3194-AVERAGE(FILTER(R3194:R7262,AA3194:AA7262=""Neighbor""))) / STDEV(FILTER(R3194:R7262, AA3194:AA7262 =""Neighbor"")), """")"),0.32796773320225203)</f>
        <v>0.3279677332</v>
      </c>
    </row>
    <row r="3195">
      <c r="A3195" s="2" t="s">
        <v>28</v>
      </c>
      <c r="B3195" s="2" t="s">
        <v>3320</v>
      </c>
      <c r="C3195" s="2" t="s">
        <v>3817</v>
      </c>
      <c r="D3195" s="2" t="s">
        <v>13028</v>
      </c>
      <c r="E3195" s="2" t="s">
        <v>13029</v>
      </c>
      <c r="F3195" s="2">
        <v>78.0</v>
      </c>
      <c r="G3195" s="2">
        <v>149.0</v>
      </c>
      <c r="H3195" s="2" t="b">
        <v>1</v>
      </c>
      <c r="I3195" s="2">
        <v>-1.0</v>
      </c>
      <c r="J3195" s="2" t="b">
        <v>1</v>
      </c>
      <c r="K3195" s="2" t="b">
        <v>0</v>
      </c>
      <c r="L3195" s="2" t="b">
        <v>0</v>
      </c>
      <c r="M3195" s="2" t="b">
        <v>0</v>
      </c>
      <c r="N3195" s="2" t="s">
        <v>33</v>
      </c>
      <c r="O3195" s="2">
        <v>56.0</v>
      </c>
      <c r="P3195" s="2">
        <v>3.0</v>
      </c>
      <c r="Q3195" s="2">
        <v>12.0</v>
      </c>
      <c r="R3195" s="2">
        <v>0.0</v>
      </c>
      <c r="S3195" s="3" t="s">
        <v>13030</v>
      </c>
      <c r="T3195" s="2" t="s">
        <v>13031</v>
      </c>
      <c r="Y3195" s="4" t="str">
        <f>IFERROR(__xludf.DUMMYFUNCTION("""COMPUTED_VALUE"""),"6.7415783")</f>
        <v>6.7415783</v>
      </c>
      <c r="Z3195" s="4" t="str">
        <f>IFERROR(__xludf.DUMMYFUNCTION("""COMPUTED_VALUE"""),"2.9988098")</f>
        <v>2.9988098</v>
      </c>
      <c r="AA3195" s="4" t="str">
        <f t="shared" si="1"/>
        <v>Not Neighbor</v>
      </c>
      <c r="AC3195" s="4">
        <f>IFERROR(__xludf.DUMMYFUNCTION("IFERROR(ABS(O3195-AVERAGE(FILTER(O3195:O7263,AA3195:AA7263=""Neighbor""))) / STDEV(FILTER(O3195:O7263, AA3195:AA7263 =""Neighbor"")), """")"),0.33149952683034056)</f>
        <v>0.3314995268</v>
      </c>
      <c r="AF3195" s="2">
        <f>IFERROR(__xludf.DUMMYFUNCTION("IFERROR(ABS(R3195-AVERAGE(FILTER(R3195:R7263,AA3195:AA7263=""Neighbor""))) / STDEV(FILTER(R3195:R7263, AA3195:AA7263 =""Neighbor"")), """")"),0.32853006816759694)</f>
        <v>0.3285300682</v>
      </c>
    </row>
    <row r="3196">
      <c r="A3196" s="2" t="s">
        <v>28</v>
      </c>
      <c r="B3196" s="2" t="s">
        <v>3320</v>
      </c>
      <c r="C3196" s="2" t="s">
        <v>3817</v>
      </c>
      <c r="D3196" s="2" t="s">
        <v>13032</v>
      </c>
      <c r="E3196" s="2" t="s">
        <v>13033</v>
      </c>
      <c r="F3196" s="2">
        <v>100.0</v>
      </c>
      <c r="G3196" s="2">
        <v>162.0</v>
      </c>
      <c r="H3196" s="2" t="b">
        <v>1</v>
      </c>
      <c r="I3196" s="2">
        <v>-1.0</v>
      </c>
      <c r="J3196" s="2" t="b">
        <v>0</v>
      </c>
      <c r="K3196" s="2" t="b">
        <v>0</v>
      </c>
      <c r="L3196" s="2" t="b">
        <v>0</v>
      </c>
      <c r="M3196" s="2" t="b">
        <v>0</v>
      </c>
      <c r="N3196" s="2" t="s">
        <v>33</v>
      </c>
      <c r="O3196" s="2">
        <v>64.0</v>
      </c>
      <c r="P3196" s="2">
        <v>1.0</v>
      </c>
      <c r="Q3196" s="2">
        <v>11.0</v>
      </c>
      <c r="R3196" s="2">
        <v>0.0</v>
      </c>
      <c r="S3196" s="3" t="s">
        <v>13034</v>
      </c>
      <c r="T3196" s="2" t="s">
        <v>13035</v>
      </c>
      <c r="Y3196" s="4" t="str">
        <f>IFERROR(__xludf.DUMMYFUNCTION("""COMPUTED_VALUE"""),"6.7417878")</f>
        <v>6.7417878</v>
      </c>
      <c r="Z3196" s="4" t="str">
        <f>IFERROR(__xludf.DUMMYFUNCTION("""COMPUTED_VALUE"""),"3.019135")</f>
        <v>3.019135</v>
      </c>
      <c r="AA3196" s="4" t="str">
        <f t="shared" si="1"/>
        <v>Neighbor</v>
      </c>
      <c r="AC3196" s="4">
        <f>IFERROR(__xludf.DUMMYFUNCTION("IFERROR(ABS(O3196-AVERAGE(FILTER(O3196:O7264,AA3196:AA7264=""Neighbor""))) / STDEV(FILTER(O3196:O7264, AA3196:AA7264 =""Neighbor"")), """")"),0.5797387073870142)</f>
        <v>0.5797387074</v>
      </c>
      <c r="AF3196" s="2">
        <f>IFERROR(__xludf.DUMMYFUNCTION("IFERROR(ABS(R3196-AVERAGE(FILTER(R3196:R7264,AA3196:AA7264=""Neighbor""))) / STDEV(FILTER(R3196:R7264, AA3196:AA7264 =""Neighbor"")), """")"),0.32853006816759694)</f>
        <v>0.3285300682</v>
      </c>
    </row>
    <row r="3197">
      <c r="A3197" s="2" t="s">
        <v>28</v>
      </c>
      <c r="B3197" s="2" t="s">
        <v>3320</v>
      </c>
      <c r="C3197" s="2" t="s">
        <v>3817</v>
      </c>
      <c r="D3197" s="2" t="s">
        <v>13036</v>
      </c>
      <c r="E3197" s="2" t="s">
        <v>13037</v>
      </c>
      <c r="F3197" s="2">
        <v>64.0</v>
      </c>
      <c r="G3197" s="2">
        <v>133.0</v>
      </c>
      <c r="H3197" s="2" t="b">
        <v>1</v>
      </c>
      <c r="I3197" s="2">
        <v>-1.0</v>
      </c>
      <c r="J3197" s="2" t="b">
        <v>0</v>
      </c>
      <c r="K3197" s="2" t="b">
        <v>0</v>
      </c>
      <c r="L3197" s="2" t="b">
        <v>0</v>
      </c>
      <c r="M3197" s="2" t="b">
        <v>0</v>
      </c>
      <c r="N3197" s="2" t="s">
        <v>33</v>
      </c>
      <c r="O3197" s="2">
        <v>26.0</v>
      </c>
      <c r="P3197" s="2">
        <v>5.0</v>
      </c>
      <c r="Q3197" s="2">
        <v>15.0</v>
      </c>
      <c r="R3197" s="2">
        <v>0.0</v>
      </c>
      <c r="S3197" s="3" t="s">
        <v>13038</v>
      </c>
      <c r="T3197" s="2" t="s">
        <v>13039</v>
      </c>
      <c r="Y3197" s="4" t="str">
        <f>IFERROR(__xludf.DUMMYFUNCTION("""COMPUTED_VALUE"""),"6.7348123")</f>
        <v>6.7348123</v>
      </c>
      <c r="Z3197" s="4" t="str">
        <f>IFERROR(__xludf.DUMMYFUNCTION("""COMPUTED_VALUE"""),"3.0125674")</f>
        <v>3.0125674</v>
      </c>
      <c r="AA3197" s="4" t="str">
        <f t="shared" si="1"/>
        <v>Not Neighbor</v>
      </c>
      <c r="AC3197" s="4">
        <f>IFERROR(__xludf.DUMMYFUNCTION("IFERROR(ABS(O3197-AVERAGE(FILTER(O3197:O7265,AA3197:AA7265=""Neighbor""))) / STDEV(FILTER(O3197:O7265, AA3197:AA7265 =""Neighbor"")), """")"),0.5969733877259777)</f>
        <v>0.5969733877</v>
      </c>
      <c r="AF3197" s="2">
        <f>IFERROR(__xludf.DUMMYFUNCTION("IFERROR(ABS(R3197-AVERAGE(FILTER(R3197:R7265,AA3197:AA7265=""Neighbor""))) / STDEV(FILTER(R3197:R7265, AA3197:AA7265 =""Neighbor"")), """")"),0.3290953066772458)</f>
        <v>0.3290953067</v>
      </c>
    </row>
    <row r="3198">
      <c r="A3198" s="2" t="s">
        <v>28</v>
      </c>
      <c r="B3198" s="2" t="s">
        <v>3320</v>
      </c>
      <c r="C3198" s="2" t="s">
        <v>3817</v>
      </c>
      <c r="D3198" s="2" t="s">
        <v>13040</v>
      </c>
      <c r="E3198" s="2" t="s">
        <v>13041</v>
      </c>
      <c r="F3198" s="2">
        <v>78.0</v>
      </c>
      <c r="G3198" s="2">
        <v>142.0</v>
      </c>
      <c r="H3198" s="2" t="b">
        <v>1</v>
      </c>
      <c r="I3198" s="2">
        <v>-1.0</v>
      </c>
      <c r="J3198" s="2" t="b">
        <v>0</v>
      </c>
      <c r="K3198" s="2" t="b">
        <v>0</v>
      </c>
      <c r="L3198" s="2" t="b">
        <v>0</v>
      </c>
      <c r="M3198" s="2" t="b">
        <v>0</v>
      </c>
      <c r="N3198" s="2" t="s">
        <v>33</v>
      </c>
      <c r="O3198" s="2">
        <v>51.0</v>
      </c>
      <c r="P3198" s="2">
        <v>2.0</v>
      </c>
      <c r="Q3198" s="2">
        <v>7.0</v>
      </c>
      <c r="R3198" s="2">
        <v>0.0</v>
      </c>
      <c r="S3198" s="3" t="s">
        <v>13042</v>
      </c>
      <c r="T3198" s="2" t="s">
        <v>13043</v>
      </c>
      <c r="Y3198" s="4" t="str">
        <f>IFERROR(__xludf.DUMMYFUNCTION("""COMPUTED_VALUE"""),"6.7065504")</f>
        <v>6.7065504</v>
      </c>
      <c r="Z3198" s="4" t="str">
        <f>IFERROR(__xludf.DUMMYFUNCTION("""COMPUTED_VALUE"""),"3.0189786")</f>
        <v>3.0189786</v>
      </c>
      <c r="AA3198" s="4" t="str">
        <f t="shared" si="1"/>
        <v>Not Neighbor</v>
      </c>
      <c r="AC3198" s="4">
        <f>IFERROR(__xludf.DUMMYFUNCTION("IFERROR(ABS(O3198-AVERAGE(FILTER(O3198:O7266,AA3198:AA7266=""Neighbor""))) / STDEV(FILTER(O3198:O7266, AA3198:AA7266 =""Neighbor"")), """")"),0.1779718462599446)</f>
        <v>0.1779718463</v>
      </c>
      <c r="AF3198" s="2">
        <f>IFERROR(__xludf.DUMMYFUNCTION("IFERROR(ABS(R3198-AVERAGE(FILTER(R3198:R7266,AA3198:AA7266=""Neighbor""))) / STDEV(FILTER(R3198:R7266, AA3198:AA7266 =""Neighbor"")), """")"),0.3290953066772458)</f>
        <v>0.3290953067</v>
      </c>
    </row>
    <row r="3199">
      <c r="A3199" s="2" t="s">
        <v>28</v>
      </c>
      <c r="B3199" s="2" t="s">
        <v>3320</v>
      </c>
      <c r="C3199" s="2" t="s">
        <v>3817</v>
      </c>
      <c r="D3199" s="2" t="s">
        <v>13044</v>
      </c>
      <c r="E3199" s="2" t="s">
        <v>13045</v>
      </c>
      <c r="F3199" s="2">
        <v>70.0</v>
      </c>
      <c r="G3199" s="2">
        <v>122.0</v>
      </c>
      <c r="H3199" s="2" t="b">
        <v>1</v>
      </c>
      <c r="I3199" s="2">
        <v>-1.0</v>
      </c>
      <c r="J3199" s="2" t="b">
        <v>1</v>
      </c>
      <c r="K3199" s="2" t="b">
        <v>0</v>
      </c>
      <c r="L3199" s="2" t="b">
        <v>0</v>
      </c>
      <c r="M3199" s="2" t="b">
        <v>0</v>
      </c>
      <c r="N3199" s="2" t="s">
        <v>33</v>
      </c>
      <c r="O3199" s="2">
        <v>30.0</v>
      </c>
      <c r="P3199" s="2">
        <v>0.0</v>
      </c>
      <c r="Q3199" s="2">
        <v>24.0</v>
      </c>
      <c r="R3199" s="2">
        <v>0.0</v>
      </c>
      <c r="S3199" s="3" t="s">
        <v>13046</v>
      </c>
      <c r="T3199" s="2" t="s">
        <v>13047</v>
      </c>
      <c r="Y3199" s="4" t="str">
        <f>IFERROR(__xludf.DUMMYFUNCTION("""COMPUTED_VALUE"""),"6.7348123")</f>
        <v>6.7348123</v>
      </c>
      <c r="Z3199" s="4" t="str">
        <f>IFERROR(__xludf.DUMMYFUNCTION("""COMPUTED_VALUE"""),"3.0125674")</f>
        <v>3.0125674</v>
      </c>
      <c r="AA3199" s="4" t="str">
        <f t="shared" si="1"/>
        <v>Neighbor</v>
      </c>
      <c r="AC3199" s="4">
        <f>IFERROR(__xludf.DUMMYFUNCTION("IFERROR(ABS(O3199-AVERAGE(FILTER(O3199:O7267,AA3199:AA7267=""Neighbor""))) / STDEV(FILTER(O3199:O7267, AA3199:AA7267 =""Neighbor"")), """")"),0.4729821502882302)</f>
        <v>0.4729821503</v>
      </c>
      <c r="AF3199" s="2">
        <f>IFERROR(__xludf.DUMMYFUNCTION("IFERROR(ABS(R3199-AVERAGE(FILTER(R3199:R7267,AA3199:AA7267=""Neighbor""))) / STDEV(FILTER(R3199:R7267, AA3199:AA7267 =""Neighbor"")), """")"),0.3290953066772458)</f>
        <v>0.3290953067</v>
      </c>
    </row>
    <row r="3200">
      <c r="A3200" s="2" t="s">
        <v>28</v>
      </c>
      <c r="B3200" s="2" t="s">
        <v>3320</v>
      </c>
      <c r="C3200" s="2" t="s">
        <v>3817</v>
      </c>
      <c r="D3200" s="2" t="s">
        <v>13048</v>
      </c>
      <c r="E3200" s="2" t="s">
        <v>13049</v>
      </c>
      <c r="F3200" s="2">
        <v>61.0</v>
      </c>
      <c r="G3200" s="2">
        <v>96.0</v>
      </c>
      <c r="H3200" s="2" t="b">
        <v>1</v>
      </c>
      <c r="I3200" s="2">
        <v>-1.0</v>
      </c>
      <c r="J3200" s="2" t="b">
        <v>0</v>
      </c>
      <c r="K3200" s="2" t="b">
        <v>0</v>
      </c>
      <c r="L3200" s="2" t="b">
        <v>0</v>
      </c>
      <c r="M3200" s="2" t="b">
        <v>0</v>
      </c>
      <c r="N3200" s="2" t="s">
        <v>33</v>
      </c>
      <c r="O3200" s="2">
        <v>29.0</v>
      </c>
      <c r="P3200" s="2">
        <v>1.0</v>
      </c>
      <c r="Q3200" s="2">
        <v>21.0</v>
      </c>
      <c r="R3200" s="2">
        <v>0.0</v>
      </c>
      <c r="S3200" s="3" t="s">
        <v>13050</v>
      </c>
      <c r="T3200" s="2" t="s">
        <v>13051</v>
      </c>
      <c r="Y3200" s="4" t="str">
        <f>IFERROR(__xludf.DUMMYFUNCTION("""COMPUTED_VALUE"""),"6.7348123")</f>
        <v>6.7348123</v>
      </c>
      <c r="Z3200" s="4" t="str">
        <f>IFERROR(__xludf.DUMMYFUNCTION("""COMPUTED_VALUE"""),"3.0125674")</f>
        <v>3.0125674</v>
      </c>
      <c r="AA3200" s="4" t="str">
        <f t="shared" si="1"/>
        <v>Not Neighbor</v>
      </c>
      <c r="AC3200" s="4">
        <f>IFERROR(__xludf.DUMMYFUNCTION("IFERROR(ABS(O3200-AVERAGE(FILTER(O3200:O7268,AA3200:AA7268=""Neighbor""))) / STDEV(FILTER(O3200:O7268, AA3200:AA7268 =""Neighbor"")), """")"),0.5048446837770495)</f>
        <v>0.5048446838</v>
      </c>
      <c r="AF3200" s="2">
        <f>IFERROR(__xludf.DUMMYFUNCTION("IFERROR(ABS(R3200-AVERAGE(FILTER(R3200:R7268,AA3200:AA7268=""Neighbor""))) / STDEV(FILTER(R3200:R7268, AA3200:AA7268 =""Neighbor"")), """")"),0.32966347381237043)</f>
        <v>0.3296634738</v>
      </c>
    </row>
    <row r="3201">
      <c r="A3201" s="2" t="s">
        <v>28</v>
      </c>
      <c r="B3201" s="2" t="s">
        <v>3320</v>
      </c>
      <c r="C3201" s="2" t="s">
        <v>3817</v>
      </c>
      <c r="D3201" s="2" t="s">
        <v>13052</v>
      </c>
      <c r="E3201" s="2" t="s">
        <v>13053</v>
      </c>
      <c r="F3201" s="2">
        <v>56.0</v>
      </c>
      <c r="G3201" s="2">
        <v>93.0</v>
      </c>
      <c r="H3201" s="2" t="b">
        <v>1</v>
      </c>
      <c r="I3201" s="2">
        <v>-1.0</v>
      </c>
      <c r="J3201" s="2" t="b">
        <v>0</v>
      </c>
      <c r="K3201" s="2" t="b">
        <v>0</v>
      </c>
      <c r="L3201" s="2" t="b">
        <v>0</v>
      </c>
      <c r="M3201" s="2" t="b">
        <v>0</v>
      </c>
      <c r="N3201" s="2" t="s">
        <v>33</v>
      </c>
      <c r="O3201" s="2">
        <v>37.0</v>
      </c>
      <c r="P3201" s="2">
        <v>6.0</v>
      </c>
      <c r="Q3201" s="2">
        <v>10.0</v>
      </c>
      <c r="R3201" s="2">
        <v>0.0</v>
      </c>
      <c r="S3201" s="3" t="s">
        <v>13054</v>
      </c>
      <c r="T3201" s="2" t="s">
        <v>13055</v>
      </c>
      <c r="Y3201" s="4" t="str">
        <f>IFERROR(__xludf.DUMMYFUNCTION("""COMPUTED_VALUE"""),"6.7065504")</f>
        <v>6.7065504</v>
      </c>
      <c r="Z3201" s="4" t="str">
        <f>IFERROR(__xludf.DUMMYFUNCTION("""COMPUTED_VALUE"""),"3.0189786")</f>
        <v>3.0189786</v>
      </c>
      <c r="AA3201" s="4" t="str">
        <f t="shared" si="1"/>
        <v>Not Neighbor</v>
      </c>
      <c r="AC3201" s="4">
        <f>IFERROR(__xludf.DUMMYFUNCTION("IFERROR(ABS(O3201-AVERAGE(FILTER(O3201:O7269,AA3201:AA7269=""Neighbor""))) / STDEV(FILTER(O3201:O7269, AA3201:AA7269 =""Neighbor"")), """")"),0.2571631217860095)</f>
        <v>0.2571631218</v>
      </c>
      <c r="AF3201" s="2">
        <f>IFERROR(__xludf.DUMMYFUNCTION("IFERROR(ABS(R3201-AVERAGE(FILTER(R3201:R7269,AA3201:AA7269=""Neighbor""))) / STDEV(FILTER(R3201:R7269, AA3201:AA7269 =""Neighbor"")), """")"),0.32966347381237043)</f>
        <v>0.3296634738</v>
      </c>
    </row>
    <row r="3202">
      <c r="A3202" s="2" t="s">
        <v>28</v>
      </c>
      <c r="B3202" s="2" t="s">
        <v>3320</v>
      </c>
      <c r="C3202" s="2" t="s">
        <v>3817</v>
      </c>
      <c r="D3202" s="2" t="s">
        <v>13056</v>
      </c>
      <c r="E3202" s="2" t="s">
        <v>13057</v>
      </c>
      <c r="F3202" s="2">
        <v>37.0</v>
      </c>
      <c r="G3202" s="2">
        <v>70.0</v>
      </c>
      <c r="H3202" s="2" t="b">
        <v>1</v>
      </c>
      <c r="I3202" s="2">
        <v>-1.0</v>
      </c>
      <c r="J3202" s="2" t="b">
        <v>0</v>
      </c>
      <c r="K3202" s="2" t="b">
        <v>0</v>
      </c>
      <c r="L3202" s="2" t="b">
        <v>0</v>
      </c>
      <c r="M3202" s="2" t="b">
        <v>0</v>
      </c>
      <c r="N3202" s="2" t="s">
        <v>33</v>
      </c>
      <c r="O3202" s="2">
        <v>22.0</v>
      </c>
      <c r="P3202" s="2">
        <v>2.0</v>
      </c>
      <c r="Q3202" s="2">
        <v>9.0</v>
      </c>
      <c r="R3202" s="2">
        <v>0.0</v>
      </c>
      <c r="S3202" s="3" t="s">
        <v>13058</v>
      </c>
      <c r="T3202" s="2" t="s">
        <v>13059</v>
      </c>
      <c r="Y3202" s="4" t="str">
        <f>IFERROR(__xludf.DUMMYFUNCTION("""COMPUTED_VALUE"""),"6.7348123")</f>
        <v>6.7348123</v>
      </c>
      <c r="Z3202" s="4" t="str">
        <f>IFERROR(__xludf.DUMMYFUNCTION("""COMPUTED_VALUE"""),"3.0125674")</f>
        <v>3.0125674</v>
      </c>
      <c r="AA3202" s="4" t="str">
        <f t="shared" si="1"/>
        <v>Not Neighbor</v>
      </c>
      <c r="AC3202" s="4">
        <f>IFERROR(__xludf.DUMMYFUNCTION("IFERROR(ABS(O3202-AVERAGE(FILTER(O3202:O7270,AA3202:AA7270=""Neighbor""))) / STDEV(FILTER(O3202:O7270, AA3202:AA7270 =""Neighbor"")), """")"),0.7215660505192095)</f>
        <v>0.7215660505</v>
      </c>
      <c r="AF3202" s="2">
        <f>IFERROR(__xludf.DUMMYFUNCTION("IFERROR(ABS(R3202-AVERAGE(FILTER(R3202:R7270,AA3202:AA7270=""Neighbor""))) / STDEV(FILTER(R3202:R7270, AA3202:AA7270 =""Neighbor"")), """")"),0.32966347381237043)</f>
        <v>0.3296634738</v>
      </c>
    </row>
    <row r="3203">
      <c r="A3203" s="2" t="s">
        <v>28</v>
      </c>
      <c r="B3203" s="2" t="s">
        <v>3320</v>
      </c>
      <c r="C3203" s="2" t="s">
        <v>3817</v>
      </c>
      <c r="D3203" s="2" t="s">
        <v>13060</v>
      </c>
      <c r="E3203" s="2" t="s">
        <v>13061</v>
      </c>
      <c r="F3203" s="2">
        <v>74.0</v>
      </c>
      <c r="G3203" s="2">
        <v>129.0</v>
      </c>
      <c r="H3203" s="2" t="b">
        <v>1</v>
      </c>
      <c r="I3203" s="2">
        <v>-1.0</v>
      </c>
      <c r="J3203" s="2" t="b">
        <v>0</v>
      </c>
      <c r="K3203" s="2" t="b">
        <v>0</v>
      </c>
      <c r="L3203" s="2" t="b">
        <v>0</v>
      </c>
      <c r="M3203" s="2" t="b">
        <v>0</v>
      </c>
      <c r="N3203" s="2" t="s">
        <v>33</v>
      </c>
      <c r="O3203" s="2">
        <v>53.0</v>
      </c>
      <c r="P3203" s="2">
        <v>1.0</v>
      </c>
      <c r="Q3203" s="2">
        <v>15.0</v>
      </c>
      <c r="R3203" s="2">
        <v>0.0</v>
      </c>
      <c r="S3203" s="3" t="s">
        <v>13062</v>
      </c>
      <c r="T3203" s="2" t="s">
        <v>13063</v>
      </c>
      <c r="Y3203" s="4" t="str">
        <f>IFERROR(__xludf.DUMMYFUNCTION("""COMPUTED_VALUE"""),"6.7466934")</f>
        <v>6.7466934</v>
      </c>
      <c r="Z3203" s="4" t="str">
        <f>IFERROR(__xludf.DUMMYFUNCTION("""COMPUTED_VALUE"""),"3.0363399")</f>
        <v>3.0363399</v>
      </c>
      <c r="AA3203" s="4" t="str">
        <f t="shared" si="1"/>
        <v>Not Neighbor</v>
      </c>
      <c r="AC3203" s="4">
        <f>IFERROR(__xludf.DUMMYFUNCTION("IFERROR(ABS(O3203-AVERAGE(FILTER(O3203:O7271,AA3203:AA7271=""Neighbor""))) / STDEV(FILTER(O3203:O7271, AA3203:AA7271 =""Neighbor"")), """")"),0.23820000219607054)</f>
        <v>0.2382000022</v>
      </c>
      <c r="AF3203" s="2">
        <f>IFERROR(__xludf.DUMMYFUNCTION("IFERROR(ABS(R3203-AVERAGE(FILTER(R3203:R7271,AA3203:AA7271=""Neighbor""))) / STDEV(FILTER(R3203:R7271, AA3203:AA7271 =""Neighbor"")), """")"),0.32966347381237043)</f>
        <v>0.3296634738</v>
      </c>
    </row>
    <row r="3204">
      <c r="A3204" s="2" t="s">
        <v>28</v>
      </c>
      <c r="B3204" s="2" t="s">
        <v>3320</v>
      </c>
      <c r="C3204" s="2" t="s">
        <v>3504</v>
      </c>
      <c r="D3204" s="2" t="s">
        <v>13064</v>
      </c>
      <c r="E3204" s="2" t="s">
        <v>13065</v>
      </c>
      <c r="F3204" s="2">
        <v>54.0</v>
      </c>
      <c r="G3204" s="2">
        <v>89.0</v>
      </c>
      <c r="H3204" s="2" t="b">
        <v>1</v>
      </c>
      <c r="I3204" s="2">
        <v>-1.0</v>
      </c>
      <c r="J3204" s="2" t="b">
        <v>0</v>
      </c>
      <c r="K3204" s="2" t="b">
        <v>0</v>
      </c>
      <c r="L3204" s="2" t="b">
        <v>0</v>
      </c>
      <c r="M3204" s="2" t="b">
        <v>0</v>
      </c>
      <c r="N3204" s="2" t="s">
        <v>33</v>
      </c>
      <c r="O3204" s="2">
        <v>10.0</v>
      </c>
      <c r="P3204" s="2">
        <v>2.0</v>
      </c>
      <c r="Q3204" s="2">
        <v>37.0</v>
      </c>
      <c r="R3204" s="2">
        <v>0.0</v>
      </c>
      <c r="S3204" s="3" t="s">
        <v>13066</v>
      </c>
      <c r="T3204" s="2" t="s">
        <v>13067</v>
      </c>
      <c r="Y3204" s="4" t="str">
        <f>IFERROR(__xludf.DUMMYFUNCTION("""COMPUTED_VALUE"""),"6.8003155")</f>
        <v>6.8003155</v>
      </c>
      <c r="Z3204" s="4" t="str">
        <f>IFERROR(__xludf.DUMMYFUNCTION("""COMPUTED_VALUE"""),"3.0138183")</f>
        <v>3.0138183</v>
      </c>
      <c r="AA3204" s="4" t="str">
        <f t="shared" si="1"/>
        <v>Not Neighbor</v>
      </c>
      <c r="AC3204" s="4">
        <f>IFERROR(__xludf.DUMMYFUNCTION("IFERROR(ABS(O3204-AVERAGE(FILTER(O3204:O7272,AA3204:AA7272=""Neighbor""))) / STDEV(FILTER(O3204:O7272, AA3204:AA7272 =""Neighbor"")), """")"),1.0930883935057696)</f>
        <v>1.093088394</v>
      </c>
      <c r="AF3204" s="2">
        <f>IFERROR(__xludf.DUMMYFUNCTION("IFERROR(ABS(R3204-AVERAGE(FILTER(R3204:R7272,AA3204:AA7272=""Neighbor""))) / STDEV(FILTER(R3204:R7272, AA3204:AA7272 =""Neighbor"")), """")"),0.32966347381237043)</f>
        <v>0.3296634738</v>
      </c>
    </row>
    <row r="3205">
      <c r="A3205" s="2" t="s">
        <v>28</v>
      </c>
      <c r="B3205" s="2" t="s">
        <v>3320</v>
      </c>
      <c r="C3205" s="2" t="s">
        <v>3504</v>
      </c>
      <c r="D3205" s="2" t="s">
        <v>13068</v>
      </c>
      <c r="E3205" s="2" t="s">
        <v>13069</v>
      </c>
      <c r="F3205" s="2">
        <v>20.0</v>
      </c>
      <c r="G3205" s="2">
        <v>96.0</v>
      </c>
      <c r="H3205" s="2" t="b">
        <v>1</v>
      </c>
      <c r="I3205" s="2">
        <v>-1.0</v>
      </c>
      <c r="J3205" s="2" t="b">
        <v>0</v>
      </c>
      <c r="K3205" s="2" t="b">
        <v>0</v>
      </c>
      <c r="L3205" s="2" t="b">
        <v>0</v>
      </c>
      <c r="M3205" s="2" t="b">
        <v>0</v>
      </c>
      <c r="N3205" s="2" t="s">
        <v>33</v>
      </c>
      <c r="O3205" s="2">
        <v>8.0</v>
      </c>
      <c r="P3205" s="2">
        <v>1.0</v>
      </c>
      <c r="Q3205" s="2">
        <v>7.0</v>
      </c>
      <c r="R3205" s="2">
        <v>1.0</v>
      </c>
      <c r="S3205" s="3" t="s">
        <v>13070</v>
      </c>
      <c r="T3205" s="2" t="s">
        <v>13071</v>
      </c>
      <c r="Y3205" s="4" t="str">
        <f>IFERROR(__xludf.DUMMYFUNCTION("""COMPUTED_VALUE"""),"6.772913")</f>
        <v>6.772913</v>
      </c>
      <c r="Z3205" s="4" t="str">
        <f>IFERROR(__xludf.DUMMYFUNCTION("""COMPUTED_VALUE"""),"3.0654458")</f>
        <v>3.0654458</v>
      </c>
      <c r="AA3205" s="4" t="str">
        <f t="shared" si="1"/>
        <v>Not Neighbor</v>
      </c>
      <c r="AC3205" s="4">
        <f>IFERROR(__xludf.DUMMYFUNCTION("IFERROR(ABS(O3205-AVERAGE(FILTER(O3205:O7273,AA3205:AA7273=""Neighbor""))) / STDEV(FILTER(O3205:O7273, AA3205:AA7273 =""Neighbor"")), """")"),1.1550087840035295)</f>
        <v>1.155008784</v>
      </c>
      <c r="AF3205" s="2">
        <f>IFERROR(__xludf.DUMMYFUNCTION("IFERROR(ABS(R3205-AVERAGE(FILTER(R3205:R7273,AA3205:AA7273=""Neighbor""))) / STDEV(FILTER(R3205:R7273, AA3205:AA7273 =""Neighbor"")), """")"),0.9413282324521902)</f>
        <v>0.9413282325</v>
      </c>
    </row>
    <row r="3206">
      <c r="A3206" s="2" t="s">
        <v>28</v>
      </c>
      <c r="B3206" s="2" t="s">
        <v>3320</v>
      </c>
      <c r="C3206" s="2" t="s">
        <v>3504</v>
      </c>
      <c r="D3206" s="2" t="s">
        <v>13072</v>
      </c>
      <c r="E3206" s="2" t="s">
        <v>13073</v>
      </c>
      <c r="F3206" s="2">
        <v>34.0</v>
      </c>
      <c r="G3206" s="2">
        <v>93.0</v>
      </c>
      <c r="H3206" s="2" t="b">
        <v>1</v>
      </c>
      <c r="I3206" s="2">
        <v>-1.0</v>
      </c>
      <c r="J3206" s="2" t="b">
        <v>0</v>
      </c>
      <c r="K3206" s="2" t="b">
        <v>0</v>
      </c>
      <c r="L3206" s="2" t="b">
        <v>0</v>
      </c>
      <c r="M3206" s="2" t="b">
        <v>0</v>
      </c>
      <c r="N3206" s="2" t="s">
        <v>33</v>
      </c>
      <c r="O3206" s="2">
        <v>13.0</v>
      </c>
      <c r="P3206" s="2">
        <v>4.0</v>
      </c>
      <c r="Q3206" s="2">
        <v>10.0</v>
      </c>
      <c r="R3206" s="2">
        <v>0.0</v>
      </c>
      <c r="S3206" s="3" t="s">
        <v>13074</v>
      </c>
      <c r="T3206" s="2" t="s">
        <v>13075</v>
      </c>
      <c r="Y3206" s="4" t="str">
        <f>IFERROR(__xludf.DUMMYFUNCTION("""COMPUTED_VALUE"""),"6.8781361")</f>
        <v>6.8781361</v>
      </c>
      <c r="Z3206" s="4" t="str">
        <f>IFERROR(__xludf.DUMMYFUNCTION("""COMPUTED_VALUE"""),"2.9147087")</f>
        <v>2.9147087</v>
      </c>
      <c r="AA3206" s="4" t="str">
        <f t="shared" si="1"/>
        <v>Not Neighbor</v>
      </c>
      <c r="AC3206" s="4">
        <f>IFERROR(__xludf.DUMMYFUNCTION("IFERROR(ABS(O3206-AVERAGE(FILTER(O3206:O7274,AA3206:AA7274=""Neighbor""))) / STDEV(FILTER(O3206:O7274, AA3206:AA7274 =""Neighbor"")), """")"),1.0002078077591294)</f>
        <v>1.000207808</v>
      </c>
      <c r="AF3206" s="2">
        <f>IFERROR(__xludf.DUMMYFUNCTION("IFERROR(ABS(R3206-AVERAGE(FILTER(R3206:R7274,AA3206:AA7274=""Neighbor""))) / STDEV(FILTER(R3206:R7274, AA3206:AA7274 =""Neighbor"")), """")"),0.32966347381237043)</f>
        <v>0.3296634738</v>
      </c>
    </row>
    <row r="3207">
      <c r="A3207" s="2" t="s">
        <v>28</v>
      </c>
      <c r="B3207" s="2" t="s">
        <v>3320</v>
      </c>
      <c r="C3207" s="2" t="s">
        <v>3618</v>
      </c>
      <c r="D3207" s="2" t="s">
        <v>13076</v>
      </c>
      <c r="E3207" s="2" t="s">
        <v>13077</v>
      </c>
      <c r="F3207" s="2">
        <v>126.0</v>
      </c>
      <c r="G3207" s="2">
        <v>198.0</v>
      </c>
      <c r="H3207" s="2" t="b">
        <v>1</v>
      </c>
      <c r="I3207" s="2">
        <v>-1.0</v>
      </c>
      <c r="J3207" s="2" t="b">
        <v>0</v>
      </c>
      <c r="K3207" s="2" t="b">
        <v>0</v>
      </c>
      <c r="L3207" s="2" t="b">
        <v>0</v>
      </c>
      <c r="M3207" s="2" t="b">
        <v>0</v>
      </c>
      <c r="N3207" s="2" t="s">
        <v>33</v>
      </c>
      <c r="O3207" s="2">
        <v>74.0</v>
      </c>
      <c r="P3207" s="2">
        <v>3.0</v>
      </c>
      <c r="Q3207" s="2">
        <v>11.0</v>
      </c>
      <c r="R3207" s="2">
        <v>1.0</v>
      </c>
      <c r="S3207" s="3" t="s">
        <v>13078</v>
      </c>
      <c r="T3207" s="2" t="s">
        <v>13079</v>
      </c>
      <c r="Y3207" s="4" t="str">
        <f>IFERROR(__xludf.DUMMYFUNCTION("""COMPUTED_VALUE"""),"6.6036335")</f>
        <v>6.6036335</v>
      </c>
      <c r="Z3207" s="4" t="str">
        <f>IFERROR(__xludf.DUMMYFUNCTION("""COMPUTED_VALUE"""),"2.9035532")</f>
        <v>2.9035532</v>
      </c>
      <c r="AA3207" s="4" t="str">
        <f t="shared" si="1"/>
        <v>Neighbor</v>
      </c>
      <c r="AC3207" s="4">
        <f>IFERROR(__xludf.DUMMYFUNCTION("IFERROR(ABS(O3207-AVERAGE(FILTER(O3207:O7275,AA3207:AA7275=""Neighbor""))) / STDEV(FILTER(O3207:O7275, AA3207:AA7275 =""Neighbor"")), """")"),0.8883641024225506)</f>
        <v>0.8883641024</v>
      </c>
      <c r="AF3207" s="2">
        <f>IFERROR(__xludf.DUMMYFUNCTION("IFERROR(ABS(R3207-AVERAGE(FILTER(R3207:R7275,AA3207:AA7275=""Neighbor""))) / STDEV(FILTER(R3207:R7275, AA3207:AA7275 =""Neighbor"")), """")"),0.9413282324521902)</f>
        <v>0.9413282325</v>
      </c>
    </row>
    <row r="3208">
      <c r="A3208" s="2" t="s">
        <v>28</v>
      </c>
      <c r="B3208" s="2" t="s">
        <v>3320</v>
      </c>
      <c r="C3208" s="2" t="s">
        <v>3618</v>
      </c>
      <c r="D3208" s="2" t="s">
        <v>13080</v>
      </c>
      <c r="E3208" s="2" t="s">
        <v>13081</v>
      </c>
      <c r="F3208" s="2">
        <v>85.0</v>
      </c>
      <c r="G3208" s="2">
        <v>141.0</v>
      </c>
      <c r="H3208" s="2" t="b">
        <v>1</v>
      </c>
      <c r="I3208" s="2">
        <v>-1.0</v>
      </c>
      <c r="J3208" s="2" t="b">
        <v>0</v>
      </c>
      <c r="K3208" s="2" t="b">
        <v>0</v>
      </c>
      <c r="L3208" s="2" t="b">
        <v>0</v>
      </c>
      <c r="M3208" s="2" t="b">
        <v>0</v>
      </c>
      <c r="N3208" s="2" t="s">
        <v>33</v>
      </c>
      <c r="O3208" s="2">
        <v>42.0</v>
      </c>
      <c r="P3208" s="2">
        <v>3.0</v>
      </c>
      <c r="Q3208" s="2">
        <v>9.0</v>
      </c>
      <c r="R3208" s="2">
        <v>0.0</v>
      </c>
      <c r="S3208" s="3" t="s">
        <v>13082</v>
      </c>
      <c r="T3208" s="2" t="s">
        <v>13083</v>
      </c>
      <c r="Y3208" s="4" t="str">
        <f>IFERROR(__xludf.DUMMYFUNCTION("""COMPUTED_VALUE"""),"6.6036335")</f>
        <v>6.6036335</v>
      </c>
      <c r="Z3208" s="4" t="str">
        <f>IFERROR(__xludf.DUMMYFUNCTION("""COMPUTED_VALUE"""),"2.9035532")</f>
        <v>2.9035532</v>
      </c>
      <c r="AA3208" s="4" t="str">
        <f t="shared" si="1"/>
        <v>Not Neighbor</v>
      </c>
      <c r="AC3208" s="4">
        <f>IFERROR(__xludf.DUMMYFUNCTION("IFERROR(ABS(O3208-AVERAGE(FILTER(O3208:O7276,AA3208:AA7276=""Neighbor""))) / STDEV(FILTER(O3208:O7276, AA3208:AA7276 =""Neighbor"")), """")"),0.0995447024586579)</f>
        <v>0.09954470246</v>
      </c>
      <c r="AF3208" s="2">
        <f>IFERROR(__xludf.DUMMYFUNCTION("IFERROR(ABS(R3208-AVERAGE(FILTER(R3208:R7276,AA3208:AA7276=""Neighbor""))) / STDEV(FILTER(R3208:R7276, AA3208:AA7276 =""Neighbor"")), """")"),0.3266555325707145)</f>
        <v>0.3266555326</v>
      </c>
    </row>
    <row r="3209">
      <c r="A3209" s="2" t="s">
        <v>28</v>
      </c>
      <c r="B3209" s="2" t="s">
        <v>3320</v>
      </c>
      <c r="C3209" s="2" t="s">
        <v>3695</v>
      </c>
      <c r="D3209" s="2" t="s">
        <v>13084</v>
      </c>
      <c r="E3209" s="2" t="s">
        <v>13085</v>
      </c>
      <c r="F3209" s="2">
        <v>38.0</v>
      </c>
      <c r="G3209" s="2">
        <v>67.0</v>
      </c>
      <c r="H3209" s="2" t="b">
        <v>1</v>
      </c>
      <c r="I3209" s="2">
        <v>-1.0</v>
      </c>
      <c r="J3209" s="2" t="b">
        <v>0</v>
      </c>
      <c r="K3209" s="2" t="b">
        <v>0</v>
      </c>
      <c r="L3209" s="2" t="b">
        <v>0</v>
      </c>
      <c r="M3209" s="2" t="b">
        <v>0</v>
      </c>
      <c r="N3209" s="2" t="s">
        <v>33</v>
      </c>
      <c r="O3209" s="2">
        <v>26.0</v>
      </c>
      <c r="P3209" s="2">
        <v>0.0</v>
      </c>
      <c r="Q3209" s="2">
        <v>6.0</v>
      </c>
      <c r="R3209" s="2">
        <v>0.0</v>
      </c>
      <c r="S3209" s="3" t="s">
        <v>13086</v>
      </c>
      <c r="T3209" s="2" t="s">
        <v>13087</v>
      </c>
      <c r="Y3209" s="4" t="str">
        <f>IFERROR(__xludf.DUMMYFUNCTION("""COMPUTED_VALUE"""),"6.7083651")</f>
        <v>6.7083651</v>
      </c>
      <c r="Z3209" s="4" t="str">
        <f>IFERROR(__xludf.DUMMYFUNCTION("""COMPUTED_VALUE"""),"2.9675572")</f>
        <v>2.9675572</v>
      </c>
      <c r="AA3209" s="4" t="str">
        <f t="shared" si="1"/>
        <v>Not Neighbor</v>
      </c>
      <c r="AC3209" s="4">
        <f>IFERROR(__xludf.DUMMYFUNCTION("IFERROR(ABS(O3209-AVERAGE(FILTER(O3209:O7277,AA3209:AA7277=""Neighbor""))) / STDEV(FILTER(O3209:O7277, AA3209:AA7277 =""Neighbor"")), """")"),0.5947456394459777)</f>
        <v>0.5947456394</v>
      </c>
      <c r="AF3209" s="2">
        <f>IFERROR(__xludf.DUMMYFUNCTION("IFERROR(ABS(R3209-AVERAGE(FILTER(R3209:R7277,AA3209:AA7277=""Neighbor""))) / STDEV(FILTER(R3209:R7277, AA3209:AA7277 =""Neighbor"")), """")"),0.3266555325707145)</f>
        <v>0.3266555326</v>
      </c>
    </row>
    <row r="3210">
      <c r="A3210" s="2" t="s">
        <v>28</v>
      </c>
      <c r="B3210" s="2" t="s">
        <v>3320</v>
      </c>
      <c r="C3210" s="2" t="s">
        <v>3695</v>
      </c>
      <c r="D3210" s="2" t="s">
        <v>13088</v>
      </c>
      <c r="E3210" s="2" t="s">
        <v>13089</v>
      </c>
      <c r="F3210" s="2">
        <v>122.0</v>
      </c>
      <c r="G3210" s="2">
        <v>163.0</v>
      </c>
      <c r="H3210" s="2" t="b">
        <v>1</v>
      </c>
      <c r="I3210" s="2">
        <v>-1.0</v>
      </c>
      <c r="J3210" s="2" t="b">
        <v>1</v>
      </c>
      <c r="K3210" s="2" t="b">
        <v>1</v>
      </c>
      <c r="L3210" s="2" t="b">
        <v>0</v>
      </c>
      <c r="M3210" s="2" t="b">
        <v>0</v>
      </c>
      <c r="N3210" s="2" t="s">
        <v>33</v>
      </c>
      <c r="O3210" s="2">
        <v>75.0</v>
      </c>
      <c r="P3210" s="2">
        <v>7.0</v>
      </c>
      <c r="Q3210" s="2">
        <v>26.0</v>
      </c>
      <c r="R3210" s="2">
        <v>0.0</v>
      </c>
      <c r="S3210" s="3" t="s">
        <v>13090</v>
      </c>
      <c r="T3210" s="2" t="s">
        <v>13091</v>
      </c>
      <c r="Y3210" s="4" t="str">
        <f>IFERROR(__xludf.DUMMYFUNCTION("""COMPUTED_VALUE"""),"6.7112665")</f>
        <v>6.7112665</v>
      </c>
      <c r="Z3210" s="4" t="str">
        <f>IFERROR(__xludf.DUMMYFUNCTION("""COMPUTED_VALUE"""),"2.9899911")</f>
        <v>2.9899911</v>
      </c>
      <c r="AA3210" s="4" t="str">
        <f t="shared" si="1"/>
        <v>Not Neighbor</v>
      </c>
      <c r="AC3210" s="4">
        <f>IFERROR(__xludf.DUMMYFUNCTION("IFERROR(ABS(O3210-AVERAGE(FILTER(O3210:O7278,AA3210:AA7278=""Neighbor""))) / STDEV(FILTER(O3210:O7278, AA3210:AA7278 =""Neighbor"")), """")"),0.9218072300776892)</f>
        <v>0.9218072301</v>
      </c>
      <c r="AF3210" s="2">
        <f>IFERROR(__xludf.DUMMYFUNCTION("IFERROR(ABS(R3210-AVERAGE(FILTER(R3210:R7278,AA3210:AA7278=""Neighbor""))) / STDEV(FILTER(R3210:R7278, AA3210:AA7278 =""Neighbor"")), """")"),0.3266555325707145)</f>
        <v>0.3266555326</v>
      </c>
    </row>
    <row r="3211">
      <c r="A3211" s="2" t="s">
        <v>28</v>
      </c>
      <c r="B3211" s="2" t="s">
        <v>3320</v>
      </c>
      <c r="C3211" s="2" t="s">
        <v>3695</v>
      </c>
      <c r="D3211" s="2" t="s">
        <v>13092</v>
      </c>
      <c r="E3211" s="2" t="s">
        <v>13093</v>
      </c>
      <c r="F3211" s="2">
        <v>82.0</v>
      </c>
      <c r="G3211" s="2">
        <v>121.0</v>
      </c>
      <c r="H3211" s="2" t="b">
        <v>1</v>
      </c>
      <c r="I3211" s="2">
        <v>-1.0</v>
      </c>
      <c r="J3211" s="2" t="b">
        <v>0</v>
      </c>
      <c r="K3211" s="2" t="b">
        <v>0</v>
      </c>
      <c r="L3211" s="2" t="b">
        <v>0</v>
      </c>
      <c r="M3211" s="2" t="b">
        <v>0</v>
      </c>
      <c r="N3211" s="2" t="s">
        <v>33</v>
      </c>
      <c r="O3211" s="2">
        <v>61.0</v>
      </c>
      <c r="P3211" s="2">
        <v>6.0</v>
      </c>
      <c r="Q3211" s="2">
        <v>5.0</v>
      </c>
      <c r="R3211" s="2">
        <v>0.0</v>
      </c>
      <c r="S3211" s="3" t="s">
        <v>13094</v>
      </c>
      <c r="T3211" s="2" t="s">
        <v>13095</v>
      </c>
      <c r="Y3211" s="4" t="str">
        <f>IFERROR(__xludf.DUMMYFUNCTION("""COMPUTED_VALUE"""),"6.686137")</f>
        <v>6.686137</v>
      </c>
      <c r="Z3211" s="4" t="str">
        <f>IFERROR(__xludf.DUMMYFUNCTION("""COMPUTED_VALUE"""),"2.984772")</f>
        <v>2.984772</v>
      </c>
      <c r="AA3211" s="4" t="str">
        <f t="shared" si="1"/>
        <v>Not Neighbor</v>
      </c>
      <c r="AC3211" s="4">
        <f>IFERROR(__xludf.DUMMYFUNCTION("IFERROR(ABS(O3211-AVERAGE(FILTER(O3211:O7279,AA3211:AA7279=""Neighbor""))) / STDEV(FILTER(O3211:O7279, AA3211:AA7279 =""Neighbor"")), """")"),0.4885064102137843)</f>
        <v>0.4885064102</v>
      </c>
      <c r="AF3211" s="2">
        <f>IFERROR(__xludf.DUMMYFUNCTION("IFERROR(ABS(R3211-AVERAGE(FILTER(R3211:R7279,AA3211:AA7279=""Neighbor""))) / STDEV(FILTER(R3211:R7279, AA3211:AA7279 =""Neighbor"")), """")"),0.3266555325707145)</f>
        <v>0.3266555326</v>
      </c>
    </row>
    <row r="3212">
      <c r="A3212" s="2" t="s">
        <v>28</v>
      </c>
      <c r="B3212" s="2" t="s">
        <v>3320</v>
      </c>
      <c r="C3212" s="2" t="s">
        <v>3695</v>
      </c>
      <c r="D3212" s="2" t="s">
        <v>13096</v>
      </c>
      <c r="E3212" s="2" t="s">
        <v>13097</v>
      </c>
      <c r="F3212" s="2">
        <v>70.0</v>
      </c>
      <c r="G3212" s="2">
        <v>124.0</v>
      </c>
      <c r="H3212" s="2" t="b">
        <v>1</v>
      </c>
      <c r="I3212" s="2">
        <v>-1.0</v>
      </c>
      <c r="J3212" s="2" t="b">
        <v>0</v>
      </c>
      <c r="K3212" s="2" t="b">
        <v>0</v>
      </c>
      <c r="L3212" s="2" t="b">
        <v>0</v>
      </c>
      <c r="M3212" s="2" t="b">
        <v>0</v>
      </c>
      <c r="N3212" s="2" t="s">
        <v>33</v>
      </c>
      <c r="O3212" s="2">
        <v>39.0</v>
      </c>
      <c r="P3212" s="2">
        <v>4.0</v>
      </c>
      <c r="Q3212" s="2">
        <v>10.0</v>
      </c>
      <c r="R3212" s="2">
        <v>0.0</v>
      </c>
      <c r="S3212" s="3" t="s">
        <v>13098</v>
      </c>
      <c r="T3212" s="2" t="s">
        <v>13099</v>
      </c>
      <c r="Y3212" s="4" t="str">
        <f>IFERROR(__xludf.DUMMYFUNCTION("""COMPUTED_VALUE"""),"6.8953645")</f>
        <v>6.8953645</v>
      </c>
      <c r="Z3212" s="4" t="str">
        <f>IFERROR(__xludf.DUMMYFUNCTION("""COMPUTED_VALUE"""),"3.0125674")</f>
        <v>3.0125674</v>
      </c>
      <c r="AA3212" s="4" t="str">
        <f t="shared" si="1"/>
        <v>Not Neighbor</v>
      </c>
      <c r="AC3212" s="4">
        <f>IFERROR(__xludf.DUMMYFUNCTION("IFERROR(ABS(O3212-AVERAGE(FILTER(O3212:O7280,AA3212:AA7280=""Neighbor""))) / STDEV(FILTER(O3212:O7280, AA3212:AA7280 =""Neighbor"")), """")"),0.19239487814378037)</f>
        <v>0.1923948781</v>
      </c>
      <c r="AF3212" s="2">
        <f>IFERROR(__xludf.DUMMYFUNCTION("IFERROR(ABS(R3212-AVERAGE(FILTER(R3212:R7280,AA3212:AA7280=""Neighbor""))) / STDEV(FILTER(R3212:R7280, AA3212:AA7280 =""Neighbor"")), """")"),0.3266555325707145)</f>
        <v>0.3266555326</v>
      </c>
    </row>
    <row r="3213">
      <c r="A3213" s="2" t="s">
        <v>28</v>
      </c>
      <c r="B3213" s="2" t="s">
        <v>3320</v>
      </c>
      <c r="C3213" s="2" t="s">
        <v>3695</v>
      </c>
      <c r="D3213" s="2" t="s">
        <v>13100</v>
      </c>
      <c r="E3213" s="2" t="s">
        <v>13101</v>
      </c>
      <c r="F3213" s="2">
        <v>189.0</v>
      </c>
      <c r="G3213" s="2">
        <v>279.0</v>
      </c>
      <c r="H3213" s="2" t="b">
        <v>1</v>
      </c>
      <c r="I3213" s="2">
        <v>-1.0</v>
      </c>
      <c r="J3213" s="2" t="b">
        <v>0</v>
      </c>
      <c r="K3213" s="2" t="b">
        <v>0</v>
      </c>
      <c r="L3213" s="2" t="b">
        <v>0</v>
      </c>
      <c r="M3213" s="2" t="b">
        <v>0</v>
      </c>
      <c r="N3213" s="2" t="s">
        <v>33</v>
      </c>
      <c r="O3213" s="2">
        <v>60.0</v>
      </c>
      <c r="P3213" s="2">
        <v>99.0</v>
      </c>
      <c r="Q3213" s="2">
        <v>16.0</v>
      </c>
      <c r="R3213" s="2">
        <v>2.0</v>
      </c>
      <c r="S3213" s="3" t="s">
        <v>13102</v>
      </c>
      <c r="T3213" s="2" t="s">
        <v>13103</v>
      </c>
      <c r="Y3213" s="4" t="str">
        <f>IFERROR(__xludf.DUMMYFUNCTION("""COMPUTED_VALUE"""),"6.7083651")</f>
        <v>6.7083651</v>
      </c>
      <c r="Z3213" s="4" t="str">
        <f>IFERROR(__xludf.DUMMYFUNCTION("""COMPUTED_VALUE"""),"2.9675572")</f>
        <v>2.9675572</v>
      </c>
      <c r="AA3213" s="4" t="str">
        <f t="shared" si="1"/>
        <v>Not Neighbor</v>
      </c>
      <c r="AC3213" s="4">
        <f>IFERROR(__xludf.DUMMYFUNCTION("IFERROR(ABS(O3213-AVERAGE(FILTER(O3213:O7281,AA3213:AA7281=""Neighbor""))) / STDEV(FILTER(O3213:O7281, AA3213:AA7281 =""Neighbor"")), """")"),0.45755635165207686)</f>
        <v>0.4575563517</v>
      </c>
      <c r="AF3213" s="2">
        <f>IFERROR(__xludf.DUMMYFUNCTION("IFERROR(ABS(R3213-AVERAGE(FILTER(R3213:R7281,AA3213:AA7281=""Neighbor""))) / STDEV(FILTER(R3213:R7281, AA3213:AA7281 =""Neighbor"")), """")"),2.214883854991674)</f>
        <v>2.214883855</v>
      </c>
    </row>
    <row r="3214">
      <c r="A3214" s="2" t="s">
        <v>28</v>
      </c>
      <c r="B3214" s="2" t="s">
        <v>3320</v>
      </c>
      <c r="C3214" s="2" t="s">
        <v>3695</v>
      </c>
      <c r="D3214" s="2" t="s">
        <v>13104</v>
      </c>
      <c r="E3214" s="2" t="s">
        <v>13105</v>
      </c>
      <c r="F3214" s="2">
        <v>61.0</v>
      </c>
      <c r="G3214" s="2">
        <v>93.0</v>
      </c>
      <c r="H3214" s="2" t="b">
        <v>1</v>
      </c>
      <c r="I3214" s="2">
        <v>-1.0</v>
      </c>
      <c r="J3214" s="2" t="b">
        <v>0</v>
      </c>
      <c r="K3214" s="2" t="b">
        <v>0</v>
      </c>
      <c r="L3214" s="2" t="b">
        <v>0</v>
      </c>
      <c r="M3214" s="2" t="b">
        <v>0</v>
      </c>
      <c r="N3214" s="2" t="s">
        <v>33</v>
      </c>
      <c r="O3214" s="2">
        <v>45.0</v>
      </c>
      <c r="P3214" s="2">
        <v>6.0</v>
      </c>
      <c r="Q3214" s="2">
        <v>4.0</v>
      </c>
      <c r="R3214" s="2">
        <v>0.0</v>
      </c>
      <c r="S3214" s="3" t="s">
        <v>13106</v>
      </c>
      <c r="T3214" s="2" t="s">
        <v>13107</v>
      </c>
      <c r="Y3214" s="4" t="str">
        <f>IFERROR(__xludf.DUMMYFUNCTION("""COMPUTED_VALUE"""),"6.6817414")</f>
        <v>6.6817414</v>
      </c>
      <c r="Z3214" s="4" t="str">
        <f>IFERROR(__xludf.DUMMYFUNCTION("""COMPUTED_VALUE"""),"3.1868246")</f>
        <v>3.1868246</v>
      </c>
      <c r="AA3214" s="4" t="str">
        <f t="shared" si="1"/>
        <v>Not Neighbor</v>
      </c>
      <c r="AC3214" s="4">
        <f>IFERROR(__xludf.DUMMYFUNCTION("IFERROR(ABS(O3214-AVERAGE(FILTER(O3214:O7282,AA3214:AA7282=""Neighbor""))) / STDEV(FILTER(O3214:O7282, AA3214:AA7282 =""Neighbor"")), """")"),0.006694526773535438)</f>
        <v>0.006694526774</v>
      </c>
      <c r="AF3214" s="2">
        <f>IFERROR(__xludf.DUMMYFUNCTION("IFERROR(ABS(R3214-AVERAGE(FILTER(R3214:R7282,AA3214:AA7282=""Neighbor""))) / STDEV(FILTER(R3214:R7282, AA3214:AA7282 =""Neighbor"")), """")"),0.3266555325707145)</f>
        <v>0.3266555326</v>
      </c>
    </row>
    <row r="3215">
      <c r="A3215" s="2" t="s">
        <v>28</v>
      </c>
      <c r="B3215" s="2" t="s">
        <v>3320</v>
      </c>
      <c r="C3215" s="2" t="s">
        <v>3695</v>
      </c>
      <c r="D3215" s="2" t="s">
        <v>13108</v>
      </c>
      <c r="E3215" s="2" t="s">
        <v>13109</v>
      </c>
      <c r="F3215" s="2">
        <v>80.0</v>
      </c>
      <c r="G3215" s="2">
        <v>132.0</v>
      </c>
      <c r="H3215" s="2" t="b">
        <v>1</v>
      </c>
      <c r="I3215" s="2">
        <v>-1.0</v>
      </c>
      <c r="J3215" s="2" t="b">
        <v>0</v>
      </c>
      <c r="K3215" s="2" t="b">
        <v>0</v>
      </c>
      <c r="L3215" s="2" t="b">
        <v>0</v>
      </c>
      <c r="M3215" s="2" t="b">
        <v>0</v>
      </c>
      <c r="N3215" s="2" t="s">
        <v>33</v>
      </c>
      <c r="O3215" s="2">
        <v>52.0</v>
      </c>
      <c r="P3215" s="2">
        <v>5.0</v>
      </c>
      <c r="Q3215" s="2">
        <v>9.0</v>
      </c>
      <c r="R3215" s="2">
        <v>0.0</v>
      </c>
      <c r="S3215" s="3" t="s">
        <v>13110</v>
      </c>
      <c r="T3215" s="2" t="s">
        <v>13111</v>
      </c>
      <c r="Y3215" s="4" t="str">
        <f>IFERROR(__xludf.DUMMYFUNCTION("""COMPUTED_VALUE"""),"6.7083651")</f>
        <v>6.7083651</v>
      </c>
      <c r="Z3215" s="4" t="str">
        <f>IFERROR(__xludf.DUMMYFUNCTION("""COMPUTED_VALUE"""),"2.9675572")</f>
        <v>2.9675572</v>
      </c>
      <c r="AA3215" s="4" t="str">
        <f t="shared" si="1"/>
        <v>Neighbor</v>
      </c>
      <c r="AC3215" s="4">
        <f>IFERROR(__xludf.DUMMYFUNCTION("IFERROR(ABS(O3215-AVERAGE(FILTER(O3215:O7283,AA3215:AA7283=""Neighbor""))) / STDEV(FILTER(O3215:O7283, AA3215:AA7283 =""Neighbor"")), """")"),0.20995588315841696)</f>
        <v>0.2099558832</v>
      </c>
      <c r="AF3215" s="2">
        <f>IFERROR(__xludf.DUMMYFUNCTION("IFERROR(ABS(R3215-AVERAGE(FILTER(R3215:R7283,AA3215:AA7283=""Neighbor""))) / STDEV(FILTER(R3215:R7283, AA3215:AA7283 =""Neighbor"")), """")"),0.3266555325707145)</f>
        <v>0.3266555326</v>
      </c>
    </row>
    <row r="3216">
      <c r="A3216" s="2" t="s">
        <v>28</v>
      </c>
      <c r="B3216" s="2" t="s">
        <v>3320</v>
      </c>
      <c r="C3216" s="2" t="s">
        <v>3695</v>
      </c>
      <c r="D3216" s="2" t="s">
        <v>13112</v>
      </c>
      <c r="E3216" s="2" t="s">
        <v>13113</v>
      </c>
      <c r="F3216" s="2">
        <v>120.0</v>
      </c>
      <c r="G3216" s="2">
        <v>159.0</v>
      </c>
      <c r="H3216" s="2" t="b">
        <v>1</v>
      </c>
      <c r="I3216" s="2">
        <v>-1.0</v>
      </c>
      <c r="J3216" s="2" t="b">
        <v>0</v>
      </c>
      <c r="K3216" s="2" t="b">
        <v>0</v>
      </c>
      <c r="L3216" s="2" t="b">
        <v>0</v>
      </c>
      <c r="M3216" s="2" t="b">
        <v>0</v>
      </c>
      <c r="N3216" s="2" t="s">
        <v>33</v>
      </c>
      <c r="O3216" s="2">
        <v>85.0</v>
      </c>
      <c r="P3216" s="2">
        <v>3.0</v>
      </c>
      <c r="Q3216" s="2">
        <v>8.0</v>
      </c>
      <c r="R3216" s="2">
        <v>1.0</v>
      </c>
      <c r="S3216" s="3" t="s">
        <v>13114</v>
      </c>
      <c r="T3216" s="2" t="s">
        <v>13115</v>
      </c>
      <c r="Y3216" s="4" t="str">
        <f>IFERROR(__xludf.DUMMYFUNCTION("""COMPUTED_VALUE"""),"6.7083651")</f>
        <v>6.7083651</v>
      </c>
      <c r="Z3216" s="4" t="str">
        <f>IFERROR(__xludf.DUMMYFUNCTION("""COMPUTED_VALUE"""),"2.9675572")</f>
        <v>2.9675572</v>
      </c>
      <c r="AA3216" s="4" t="str">
        <f t="shared" si="1"/>
        <v>Neighbor</v>
      </c>
      <c r="AC3216" s="4">
        <f>IFERROR(__xludf.DUMMYFUNCTION("IFERROR(ABS(O3216-AVERAGE(FILTER(O3216:O7284,AA3216:AA7284=""Neighbor""))) / STDEV(FILTER(O3216:O7284, AA3216:AA7284 =""Neighbor"")), """")"),1.2301150033517936)</f>
        <v>1.230115003</v>
      </c>
      <c r="AF3216" s="2">
        <f>IFERROR(__xludf.DUMMYFUNCTION("IFERROR(ABS(R3216-AVERAGE(FILTER(R3216:R7284,AA3216:AA7284=""Neighbor""))) / STDEV(FILTER(R3216:R7284, AA3216:AA7284 =""Neighbor"")), """")"),0.9417614465134835)</f>
        <v>0.9417614465</v>
      </c>
    </row>
    <row r="3217">
      <c r="A3217" s="2" t="s">
        <v>28</v>
      </c>
      <c r="B3217" s="2" t="s">
        <v>3320</v>
      </c>
      <c r="C3217" s="2" t="s">
        <v>3695</v>
      </c>
      <c r="D3217" s="2" t="s">
        <v>13116</v>
      </c>
      <c r="E3217" s="2" t="s">
        <v>13117</v>
      </c>
      <c r="F3217" s="2">
        <v>67.0</v>
      </c>
      <c r="G3217" s="2">
        <v>116.0</v>
      </c>
      <c r="H3217" s="2" t="b">
        <v>1</v>
      </c>
      <c r="I3217" s="2">
        <v>-1.0</v>
      </c>
      <c r="J3217" s="2" t="b">
        <v>0</v>
      </c>
      <c r="K3217" s="2" t="b">
        <v>0</v>
      </c>
      <c r="L3217" s="2" t="b">
        <v>0</v>
      </c>
      <c r="M3217" s="2" t="b">
        <v>0</v>
      </c>
      <c r="N3217" s="2" t="s">
        <v>33</v>
      </c>
      <c r="O3217" s="2">
        <v>54.0</v>
      </c>
      <c r="P3217" s="2">
        <v>7.0</v>
      </c>
      <c r="Q3217" s="2">
        <v>4.0</v>
      </c>
      <c r="R3217" s="2">
        <v>0.0</v>
      </c>
      <c r="S3217" s="3" t="s">
        <v>13118</v>
      </c>
      <c r="T3217" s="2" t="s">
        <v>13119</v>
      </c>
      <c r="Y3217" s="4" t="str">
        <f>IFERROR(__xludf.DUMMYFUNCTION("""COMPUTED_VALUE"""),"6.7083651")</f>
        <v>6.7083651</v>
      </c>
      <c r="Z3217" s="4" t="str">
        <f>IFERROR(__xludf.DUMMYFUNCTION("""COMPUTED_VALUE"""),"2.9675572")</f>
        <v>2.9675572</v>
      </c>
      <c r="AA3217" s="4" t="str">
        <f t="shared" si="1"/>
        <v>Neighbor</v>
      </c>
      <c r="AC3217" s="4">
        <f>IFERROR(__xludf.DUMMYFUNCTION("IFERROR(ABS(O3217-AVERAGE(FILTER(O3217:O7285,AA3217:AA7285=""Neighbor""))) / STDEV(FILTER(O3217:O7285, AA3217:AA7285 =""Neighbor"")), """")"),0.2762132893999216)</f>
        <v>0.2762132894</v>
      </c>
      <c r="AF3217" s="2">
        <f>IFERROR(__xludf.DUMMYFUNCTION("IFERROR(ABS(R3217-AVERAGE(FILTER(R3217:R7285,AA3217:AA7285=""Neighbor""))) / STDEV(FILTER(R3217:R7285, AA3217:AA7285 =""Neighbor"")), """")"),0.32419477235096505)</f>
        <v>0.3241947724</v>
      </c>
    </row>
    <row r="3218">
      <c r="A3218" s="2" t="s">
        <v>28</v>
      </c>
      <c r="B3218" s="2" t="s">
        <v>3320</v>
      </c>
      <c r="C3218" s="2" t="s">
        <v>3695</v>
      </c>
      <c r="D3218" s="2" t="s">
        <v>13120</v>
      </c>
      <c r="E3218" s="2" t="s">
        <v>13121</v>
      </c>
      <c r="F3218" s="2">
        <v>77.0</v>
      </c>
      <c r="G3218" s="2">
        <v>125.0</v>
      </c>
      <c r="H3218" s="2" t="b">
        <v>1</v>
      </c>
      <c r="I3218" s="2">
        <v>-1.0</v>
      </c>
      <c r="J3218" s="2" t="b">
        <v>0</v>
      </c>
      <c r="K3218" s="2" t="b">
        <v>0</v>
      </c>
      <c r="L3218" s="2" t="b">
        <v>0</v>
      </c>
      <c r="M3218" s="2" t="b">
        <v>0</v>
      </c>
      <c r="N3218" s="2" t="s">
        <v>33</v>
      </c>
      <c r="O3218" s="2">
        <v>47.0</v>
      </c>
      <c r="P3218" s="2">
        <v>2.0</v>
      </c>
      <c r="Q3218" s="2">
        <v>16.0</v>
      </c>
      <c r="R3218" s="2">
        <v>0.0</v>
      </c>
      <c r="S3218" s="3" t="s">
        <v>13122</v>
      </c>
      <c r="T3218" s="2" t="s">
        <v>13123</v>
      </c>
      <c r="Y3218" s="4" t="str">
        <f>IFERROR(__xludf.DUMMYFUNCTION("""COMPUTED_VALUE"""),"6.7083651")</f>
        <v>6.7083651</v>
      </c>
      <c r="Z3218" s="4" t="str">
        <f>IFERROR(__xludf.DUMMYFUNCTION("""COMPUTED_VALUE"""),"2.9675572")</f>
        <v>2.9675572</v>
      </c>
      <c r="AA3218" s="4" t="str">
        <f t="shared" si="1"/>
        <v>Not Neighbor</v>
      </c>
      <c r="AC3218" s="4">
        <f>IFERROR(__xludf.DUMMYFUNCTION("IFERROR(ABS(O3218-AVERAGE(FILTER(O3218:O7286,AA3218:AA7286=""Neighbor""))) / STDEV(FILTER(O3218:O7286, AA3218:AA7286 =""Neighbor"")), """")"),0.06049672492670818)</f>
        <v>0.06049672493</v>
      </c>
      <c r="AF3218" s="2">
        <f>IFERROR(__xludf.DUMMYFUNCTION("IFERROR(ABS(R3218-AVERAGE(FILTER(R3218:R7286,AA3218:AA7286=""Neighbor""))) / STDEV(FILTER(R3218:R7286, AA3218:AA7286 =""Neighbor"")), """")"),0.32475989102911673)</f>
        <v>0.324759891</v>
      </c>
    </row>
    <row r="3219">
      <c r="A3219" s="2" t="s">
        <v>28</v>
      </c>
      <c r="B3219" s="2" t="s">
        <v>3320</v>
      </c>
      <c r="C3219" s="2" t="s">
        <v>3756</v>
      </c>
      <c r="D3219" s="2" t="s">
        <v>13124</v>
      </c>
      <c r="E3219" s="2" t="s">
        <v>13125</v>
      </c>
      <c r="F3219" s="2">
        <v>132.0</v>
      </c>
      <c r="G3219" s="2">
        <v>209.0</v>
      </c>
      <c r="H3219" s="2" t="b">
        <v>1</v>
      </c>
      <c r="I3219" s="2">
        <v>-1.0</v>
      </c>
      <c r="J3219" s="2" t="b">
        <v>0</v>
      </c>
      <c r="K3219" s="2" t="b">
        <v>0</v>
      </c>
      <c r="L3219" s="2" t="b">
        <v>0</v>
      </c>
      <c r="M3219" s="2" t="b">
        <v>0</v>
      </c>
      <c r="N3219" s="2" t="s">
        <v>33</v>
      </c>
      <c r="O3219" s="2">
        <v>81.0</v>
      </c>
      <c r="P3219" s="2">
        <v>8.0</v>
      </c>
      <c r="Q3219" s="2">
        <v>5.0</v>
      </c>
      <c r="R3219" s="2">
        <v>0.0</v>
      </c>
      <c r="S3219" s="3" t="s">
        <v>13126</v>
      </c>
      <c r="T3219" s="2" t="s">
        <v>13127</v>
      </c>
      <c r="Y3219" s="4" t="str">
        <f>IFERROR(__xludf.DUMMYFUNCTION("""COMPUTED_VALUE"""),"6.7153334")</f>
        <v>6.7153334</v>
      </c>
      <c r="Z3219" s="4" t="str">
        <f>IFERROR(__xludf.DUMMYFUNCTION("""COMPUTED_VALUE"""),"2.992038")</f>
        <v>2.992038</v>
      </c>
      <c r="AA3219" s="4" t="str">
        <f t="shared" si="1"/>
        <v>Not Neighbor</v>
      </c>
      <c r="AC3219" s="4">
        <f>IFERROR(__xludf.DUMMYFUNCTION("IFERROR(ABS(O3219-AVERAGE(FILTER(O3219:O7287,AA3219:AA7287=""Neighbor""))) / STDEV(FILTER(O3219:O7287, AA3219:AA7287 =""Neighbor"")), """")"),1.1105400409405268)</f>
        <v>1.110540041</v>
      </c>
      <c r="AF3219" s="2">
        <f>IFERROR(__xludf.DUMMYFUNCTION("IFERROR(ABS(R3219-AVERAGE(FILTER(R3219:R7287,AA3219:AA7287=""Neighbor""))) / STDEV(FILTER(R3219:R7287, AA3219:AA7287 =""Neighbor"")), """")"),0.32475989102911673)</f>
        <v>0.324759891</v>
      </c>
    </row>
    <row r="3220">
      <c r="A3220" s="2" t="s">
        <v>28</v>
      </c>
      <c r="B3220" s="2" t="s">
        <v>3320</v>
      </c>
      <c r="C3220" s="2" t="s">
        <v>3756</v>
      </c>
      <c r="D3220" s="2" t="s">
        <v>13128</v>
      </c>
      <c r="E3220" s="2" t="s">
        <v>13129</v>
      </c>
      <c r="F3220" s="2">
        <v>81.0</v>
      </c>
      <c r="G3220" s="2">
        <v>150.0</v>
      </c>
      <c r="H3220" s="2" t="b">
        <v>1</v>
      </c>
      <c r="I3220" s="2">
        <v>-1.0</v>
      </c>
      <c r="J3220" s="2" t="b">
        <v>0</v>
      </c>
      <c r="K3220" s="2" t="b">
        <v>0</v>
      </c>
      <c r="L3220" s="2" t="b">
        <v>0</v>
      </c>
      <c r="M3220" s="2" t="b">
        <v>0</v>
      </c>
      <c r="N3220" s="2" t="s">
        <v>33</v>
      </c>
      <c r="O3220" s="2">
        <v>48.0</v>
      </c>
      <c r="P3220" s="2">
        <v>7.0</v>
      </c>
      <c r="Q3220" s="2">
        <v>0.0</v>
      </c>
      <c r="R3220" s="2">
        <v>0.0</v>
      </c>
      <c r="S3220" s="3" t="s">
        <v>13130</v>
      </c>
      <c r="T3220" s="2" t="s">
        <v>13131</v>
      </c>
      <c r="Y3220" s="4" t="str">
        <f>IFERROR(__xludf.DUMMYFUNCTION("""COMPUTED_VALUE"""),"6.6895314")</f>
        <v>6.6895314</v>
      </c>
      <c r="Z3220" s="4" t="str">
        <f>IFERROR(__xludf.DUMMYFUNCTION("""COMPUTED_VALUE"""),"2.990057")</f>
        <v>2.990057</v>
      </c>
      <c r="AA3220" s="4" t="str">
        <f t="shared" si="1"/>
        <v>Not Neighbor</v>
      </c>
      <c r="AC3220" s="4">
        <f>IFERROR(__xludf.DUMMYFUNCTION("IFERROR(ABS(O3220-AVERAGE(FILTER(O3220:O7288,AA3220:AA7288=""Neighbor""))) / STDEV(FILTER(O3220:O7288, AA3220:AA7288 =""Neighbor"")), """")"),0.09138035186829108)</f>
        <v>0.09138035187</v>
      </c>
      <c r="AF3220" s="2">
        <f>IFERROR(__xludf.DUMMYFUNCTION("IFERROR(ABS(R3220-AVERAGE(FILTER(R3220:R7288,AA3220:AA7288=""Neighbor""))) / STDEV(FILTER(R3220:R7288, AA3220:AA7288 =""Neighbor"")), """")"),0.32475989102911673)</f>
        <v>0.324759891</v>
      </c>
    </row>
    <row r="3221">
      <c r="A3221" s="2" t="s">
        <v>28</v>
      </c>
      <c r="B3221" s="2" t="s">
        <v>3320</v>
      </c>
      <c r="C3221" s="2" t="s">
        <v>3756</v>
      </c>
      <c r="D3221" s="2" t="s">
        <v>13132</v>
      </c>
      <c r="E3221" s="2" t="s">
        <v>13133</v>
      </c>
      <c r="F3221" s="2">
        <v>48.0</v>
      </c>
      <c r="G3221" s="2">
        <v>73.0</v>
      </c>
      <c r="H3221" s="2" t="b">
        <v>1</v>
      </c>
      <c r="I3221" s="2">
        <v>-1.0</v>
      </c>
      <c r="J3221" s="2" t="b">
        <v>0</v>
      </c>
      <c r="K3221" s="2" t="b">
        <v>0</v>
      </c>
      <c r="L3221" s="2" t="b">
        <v>0</v>
      </c>
      <c r="M3221" s="2" t="b">
        <v>0</v>
      </c>
      <c r="N3221" s="2" t="s">
        <v>33</v>
      </c>
      <c r="O3221" s="2">
        <v>34.0</v>
      </c>
      <c r="P3221" s="2">
        <v>6.0</v>
      </c>
      <c r="Q3221" s="2">
        <v>3.0</v>
      </c>
      <c r="R3221" s="2">
        <v>0.0</v>
      </c>
      <c r="S3221" s="3" t="s">
        <v>13134</v>
      </c>
      <c r="T3221" s="2" t="s">
        <v>13135</v>
      </c>
      <c r="Y3221" s="4" t="str">
        <f>IFERROR(__xludf.DUMMYFUNCTION("""COMPUTED_VALUE"""),"6.6817414")</f>
        <v>6.6817414</v>
      </c>
      <c r="Z3221" s="4" t="str">
        <f>IFERROR(__xludf.DUMMYFUNCTION("""COMPUTED_VALUE"""),"3.1868246")</f>
        <v>3.1868246</v>
      </c>
      <c r="AA3221" s="4" t="str">
        <f t="shared" si="1"/>
        <v>Not Neighbor</v>
      </c>
      <c r="AC3221" s="4">
        <f>IFERROR(__xludf.DUMMYFUNCTION("IFERROR(ABS(O3221-AVERAGE(FILTER(O3221:O7289,AA3221:AA7289=""Neighbor""))) / STDEV(FILTER(O3221:O7289, AA3221:AA7289 =""Neighbor"")), """")"),0.3409904253138696)</f>
        <v>0.3409904253</v>
      </c>
      <c r="AF3221" s="2">
        <f>IFERROR(__xludf.DUMMYFUNCTION("IFERROR(ABS(R3221-AVERAGE(FILTER(R3221:R7289,AA3221:AA7289=""Neighbor""))) / STDEV(FILTER(R3221:R7289, AA3221:AA7289 =""Neighbor"")), """")"),0.32475989102911673)</f>
        <v>0.324759891</v>
      </c>
    </row>
    <row r="3222">
      <c r="A3222" s="2" t="s">
        <v>28</v>
      </c>
      <c r="B3222" s="2" t="s">
        <v>3320</v>
      </c>
      <c r="C3222" s="2" t="s">
        <v>3756</v>
      </c>
      <c r="D3222" s="2" t="s">
        <v>13136</v>
      </c>
      <c r="E3222" s="2" t="s">
        <v>13137</v>
      </c>
      <c r="F3222" s="2">
        <v>50.0</v>
      </c>
      <c r="G3222" s="2">
        <v>97.0</v>
      </c>
      <c r="H3222" s="2" t="b">
        <v>1</v>
      </c>
      <c r="I3222" s="2">
        <v>-1.0</v>
      </c>
      <c r="J3222" s="2" t="b">
        <v>1</v>
      </c>
      <c r="K3222" s="2" t="b">
        <v>0</v>
      </c>
      <c r="L3222" s="2" t="b">
        <v>0</v>
      </c>
      <c r="M3222" s="2" t="b">
        <v>0</v>
      </c>
      <c r="N3222" s="2" t="s">
        <v>33</v>
      </c>
      <c r="O3222" s="2">
        <v>24.0</v>
      </c>
      <c r="P3222" s="2">
        <v>3.0</v>
      </c>
      <c r="Q3222" s="2">
        <v>20.0</v>
      </c>
      <c r="R3222" s="2">
        <v>0.0</v>
      </c>
      <c r="S3222" s="3" t="s">
        <v>13138</v>
      </c>
      <c r="T3222" s="2" t="s">
        <v>13139</v>
      </c>
      <c r="Y3222" s="4" t="str">
        <f>IFERROR(__xludf.DUMMYFUNCTION("""COMPUTED_VALUE"""),"6.948262")</f>
        <v>6.948262</v>
      </c>
      <c r="Z3222" s="4" t="str">
        <f>IFERROR(__xludf.DUMMYFUNCTION("""COMPUTED_VALUE"""),"3.5079264")</f>
        <v>3.5079264</v>
      </c>
      <c r="AA3222" s="4" t="str">
        <f t="shared" si="1"/>
        <v>Not Neighbor</v>
      </c>
      <c r="AC3222" s="4">
        <f>IFERROR(__xludf.DUMMYFUNCTION("IFERROR(ABS(O3222-AVERAGE(FILTER(O3222:O7290,AA3222:AA7290=""Neighbor""))) / STDEV(FILTER(O3222:O7290, AA3222:AA7290 =""Neighbor"")), """")"),0.6498266947296986)</f>
        <v>0.6498266947</v>
      </c>
      <c r="AF3222" s="2">
        <f>IFERROR(__xludf.DUMMYFUNCTION("IFERROR(ABS(R3222-AVERAGE(FILTER(R3222:R7290,AA3222:AA7290=""Neighbor""))) / STDEV(FILTER(R3222:R7290, AA3222:AA7290 =""Neighbor"")), """")"),0.32475989102911673)</f>
        <v>0.324759891</v>
      </c>
    </row>
    <row r="3223">
      <c r="A3223" s="2" t="s">
        <v>28</v>
      </c>
      <c r="B3223" s="2" t="s">
        <v>3320</v>
      </c>
      <c r="C3223" s="2" t="s">
        <v>3756</v>
      </c>
      <c r="D3223" s="2" t="s">
        <v>13140</v>
      </c>
      <c r="E3223" s="2" t="s">
        <v>13141</v>
      </c>
      <c r="F3223" s="2">
        <v>73.0</v>
      </c>
      <c r="G3223" s="2">
        <v>113.0</v>
      </c>
      <c r="H3223" s="2" t="b">
        <v>1</v>
      </c>
      <c r="I3223" s="2">
        <v>-1.0</v>
      </c>
      <c r="J3223" s="2" t="b">
        <v>0</v>
      </c>
      <c r="K3223" s="2" t="b">
        <v>0</v>
      </c>
      <c r="L3223" s="2" t="b">
        <v>0</v>
      </c>
      <c r="M3223" s="2" t="b">
        <v>0</v>
      </c>
      <c r="N3223" s="2" t="s">
        <v>33</v>
      </c>
      <c r="O3223" s="2">
        <v>51.0</v>
      </c>
      <c r="P3223" s="2">
        <v>5.0</v>
      </c>
      <c r="Q3223" s="2">
        <v>12.0</v>
      </c>
      <c r="R3223" s="2">
        <v>0.0</v>
      </c>
      <c r="S3223" s="3" t="s">
        <v>13142</v>
      </c>
      <c r="T3223" s="2" t="s">
        <v>13143</v>
      </c>
      <c r="Y3223" s="4" t="str">
        <f>IFERROR(__xludf.DUMMYFUNCTION("""COMPUTED_VALUE"""),"6.6895314")</f>
        <v>6.6895314</v>
      </c>
      <c r="Z3223" s="4" t="str">
        <f>IFERROR(__xludf.DUMMYFUNCTION("""COMPUTED_VALUE"""),"2.990057")</f>
        <v>2.990057</v>
      </c>
      <c r="AA3223" s="4" t="str">
        <f t="shared" si="1"/>
        <v>Neighbor</v>
      </c>
      <c r="AC3223" s="4">
        <f>IFERROR(__xludf.DUMMYFUNCTION("IFERROR(ABS(O3223-AVERAGE(FILTER(O3223:O7291,AA3223:AA7291=""Neighbor""))) / STDEV(FILTER(O3223:O7291, AA3223:AA7291 =""Neighbor"")), """")"),0.18403123269303978)</f>
        <v>0.1840312327</v>
      </c>
      <c r="AF3223" s="2">
        <f>IFERROR(__xludf.DUMMYFUNCTION("IFERROR(ABS(R3223-AVERAGE(FILTER(R3223:R7291,AA3223:AA7291=""Neighbor""))) / STDEV(FILTER(R3223:R7291, AA3223:AA7291 =""Neighbor"")), """")"),0.32475989102911673)</f>
        <v>0.324759891</v>
      </c>
    </row>
    <row r="3224">
      <c r="A3224" s="2" t="s">
        <v>28</v>
      </c>
      <c r="B3224" s="2" t="s">
        <v>3320</v>
      </c>
      <c r="C3224" s="2" t="s">
        <v>3756</v>
      </c>
      <c r="D3224" s="2" t="s">
        <v>13144</v>
      </c>
      <c r="E3224" s="2" t="s">
        <v>13145</v>
      </c>
      <c r="F3224" s="2">
        <v>166.0</v>
      </c>
      <c r="G3224" s="2">
        <v>254.0</v>
      </c>
      <c r="H3224" s="2" t="b">
        <v>1</v>
      </c>
      <c r="I3224" s="2">
        <v>-1.0</v>
      </c>
      <c r="J3224" s="2" t="b">
        <v>0</v>
      </c>
      <c r="K3224" s="2" t="b">
        <v>0</v>
      </c>
      <c r="L3224" s="2" t="b">
        <v>0</v>
      </c>
      <c r="M3224" s="2" t="b">
        <v>0</v>
      </c>
      <c r="N3224" s="2" t="s">
        <v>33</v>
      </c>
      <c r="O3224" s="2">
        <v>113.0</v>
      </c>
      <c r="P3224" s="2">
        <v>17.0</v>
      </c>
      <c r="Q3224" s="2">
        <v>13.0</v>
      </c>
      <c r="R3224" s="2">
        <v>0.0</v>
      </c>
      <c r="S3224" s="3" t="s">
        <v>13146</v>
      </c>
      <c r="T3224" s="2" t="s">
        <v>13147</v>
      </c>
      <c r="Y3224" s="4" t="str">
        <f>IFERROR(__xludf.DUMMYFUNCTION("""COMPUTED_VALUE"""),"6.6916005")</f>
        <v>6.6916005</v>
      </c>
      <c r="Z3224" s="4" t="str">
        <f>IFERROR(__xludf.DUMMYFUNCTION("""COMPUTED_VALUE"""),"2.9920936")</f>
        <v>2.9920936</v>
      </c>
      <c r="AA3224" s="4" t="str">
        <f t="shared" si="1"/>
        <v>Neighbor</v>
      </c>
      <c r="AC3224" s="4">
        <f>IFERROR(__xludf.DUMMYFUNCTION("IFERROR(ABS(O3224-AVERAGE(FILTER(O3224:O7292,AA3224:AA7292=""Neighbor""))) / STDEV(FILTER(O3224:O7292, AA3224:AA7292 =""Neighbor"")), """")"),2.096178345764993)</f>
        <v>2.096178346</v>
      </c>
      <c r="AF3224" s="2">
        <f>IFERROR(__xludf.DUMMYFUNCTION("IFERROR(ABS(R3224-AVERAGE(FILTER(R3224:R7292,AA3224:AA7292=""Neighbor""))) / STDEV(FILTER(R3224:R7292, AA3224:AA7292 =""Neighbor"")), """")"),0.3253279763652378)</f>
        <v>0.3253279764</v>
      </c>
    </row>
    <row r="3225">
      <c r="A3225" s="2" t="s">
        <v>28</v>
      </c>
      <c r="B3225" s="2" t="s">
        <v>3320</v>
      </c>
      <c r="C3225" s="2" t="s">
        <v>3756</v>
      </c>
      <c r="D3225" s="2" t="s">
        <v>13148</v>
      </c>
      <c r="E3225" s="2" t="s">
        <v>13149</v>
      </c>
      <c r="F3225" s="2">
        <v>89.0</v>
      </c>
      <c r="G3225" s="2">
        <v>106.0</v>
      </c>
      <c r="H3225" s="2" t="b">
        <v>1</v>
      </c>
      <c r="I3225" s="2">
        <v>-1.0</v>
      </c>
      <c r="J3225" s="2" t="b">
        <v>0</v>
      </c>
      <c r="K3225" s="2" t="b">
        <v>1</v>
      </c>
      <c r="L3225" s="2" t="b">
        <v>0</v>
      </c>
      <c r="M3225" s="2" t="b">
        <v>0</v>
      </c>
      <c r="N3225" s="2" t="s">
        <v>33</v>
      </c>
      <c r="O3225" s="2">
        <v>47.0</v>
      </c>
      <c r="P3225" s="2">
        <v>3.0</v>
      </c>
      <c r="Q3225" s="2">
        <v>9.0</v>
      </c>
      <c r="R3225" s="2">
        <v>0.0</v>
      </c>
      <c r="S3225" s="3" t="s">
        <v>13150</v>
      </c>
      <c r="T3225" s="2" t="s">
        <v>13151</v>
      </c>
      <c r="Y3225" s="4" t="str">
        <f>IFERROR(__xludf.DUMMYFUNCTION("""COMPUTED_VALUE"""),"6.686137")</f>
        <v>6.686137</v>
      </c>
      <c r="Z3225" s="4" t="str">
        <f>IFERROR(__xludf.DUMMYFUNCTION("""COMPUTED_VALUE"""),"2.984772")</f>
        <v>2.984772</v>
      </c>
      <c r="AA3225" s="4" t="str">
        <f t="shared" si="1"/>
        <v>Not Neighbor</v>
      </c>
      <c r="AC3225" s="4">
        <f>IFERROR(__xludf.DUMMYFUNCTION("IFERROR(ABS(O3225-AVERAGE(FILTER(O3225:O7293,AA3225:AA7293=""Neighbor""))) / STDEV(FILTER(O3225:O7293, AA3225:AA7293 =""Neighbor"")), """")"),0.0680343303918704)</f>
        <v>0.06803433039</v>
      </c>
      <c r="AF3225" s="2">
        <f>IFERROR(__xludf.DUMMYFUNCTION("IFERROR(ABS(R3225-AVERAGE(FILTER(R3225:R7293,AA3225:AA7293=""Neighbor""))) / STDEV(FILTER(R3225:R7293, AA3225:AA7293 =""Neighbor"")), """")"),0.32589905441526323)</f>
        <v>0.3258990544</v>
      </c>
    </row>
    <row r="3226">
      <c r="A3226" s="2" t="s">
        <v>28</v>
      </c>
      <c r="B3226" s="2" t="s">
        <v>3320</v>
      </c>
      <c r="C3226" s="2" t="s">
        <v>3756</v>
      </c>
      <c r="D3226" s="2" t="s">
        <v>13152</v>
      </c>
      <c r="E3226" s="2" t="s">
        <v>13153</v>
      </c>
      <c r="F3226" s="2">
        <v>61.0</v>
      </c>
      <c r="G3226" s="2">
        <v>85.0</v>
      </c>
      <c r="H3226" s="2" t="b">
        <v>1</v>
      </c>
      <c r="I3226" s="2">
        <v>-1.0</v>
      </c>
      <c r="J3226" s="2" t="b">
        <v>1</v>
      </c>
      <c r="K3226" s="2" t="b">
        <v>0</v>
      </c>
      <c r="L3226" s="2" t="b">
        <v>0</v>
      </c>
      <c r="M3226" s="2" t="b">
        <v>0</v>
      </c>
      <c r="N3226" s="2" t="s">
        <v>33</v>
      </c>
      <c r="O3226" s="2">
        <v>43.0</v>
      </c>
      <c r="P3226" s="2">
        <v>12.0</v>
      </c>
      <c r="Q3226" s="2">
        <v>5.0</v>
      </c>
      <c r="R3226" s="2">
        <v>0.0</v>
      </c>
      <c r="S3226" s="3" t="s">
        <v>13154</v>
      </c>
      <c r="T3226" s="2" t="s">
        <v>13155</v>
      </c>
      <c r="Y3226" s="4" t="str">
        <f>IFERROR(__xludf.DUMMYFUNCTION("""COMPUTED_VALUE"""),"6.6981258")</f>
        <v>6.6981258</v>
      </c>
      <c r="Z3226" s="4" t="str">
        <f>IFERROR(__xludf.DUMMYFUNCTION("""COMPUTED_VALUE"""),"2.9844993")</f>
        <v>2.9844993</v>
      </c>
      <c r="AA3226" s="4" t="str">
        <f t="shared" si="1"/>
        <v>Not Neighbor</v>
      </c>
      <c r="AC3226" s="4">
        <f>IFERROR(__xludf.DUMMYFUNCTION("IFERROR(ABS(O3226-AVERAGE(FILTER(O3226:O7294,AA3226:AA7294=""Neighbor""))) / STDEV(FILTER(O3226:O7294, AA3226:AA7294 =""Neighbor"")), """")"),0.055987612963992246)</f>
        <v>0.05598761296</v>
      </c>
      <c r="AF3226" s="2">
        <f>IFERROR(__xludf.DUMMYFUNCTION("IFERROR(ABS(R3226-AVERAGE(FILTER(R3226:R7294,AA3226:AA7294=""Neighbor""))) / STDEV(FILTER(R3226:R7294, AA3226:AA7294 =""Neighbor"")), """")"),0.32589905441526323)</f>
        <v>0.3258990544</v>
      </c>
    </row>
    <row r="3227">
      <c r="A3227" s="2" t="s">
        <v>28</v>
      </c>
      <c r="B3227" s="2" t="s">
        <v>3907</v>
      </c>
      <c r="C3227" s="2" t="s">
        <v>3908</v>
      </c>
      <c r="D3227" s="2" t="s">
        <v>13156</v>
      </c>
      <c r="E3227" s="2" t="s">
        <v>13157</v>
      </c>
      <c r="F3227" s="2">
        <v>99.0</v>
      </c>
      <c r="G3227" s="2">
        <v>177.0</v>
      </c>
      <c r="H3227" s="2" t="b">
        <v>1</v>
      </c>
      <c r="I3227" s="2">
        <v>-1.0</v>
      </c>
      <c r="J3227" s="2" t="b">
        <v>0</v>
      </c>
      <c r="K3227" s="2" t="b">
        <v>0</v>
      </c>
      <c r="L3227" s="2" t="b">
        <v>0</v>
      </c>
      <c r="M3227" s="2" t="b">
        <v>0</v>
      </c>
      <c r="N3227" s="2" t="s">
        <v>33</v>
      </c>
      <c r="O3227" s="2">
        <v>55.0</v>
      </c>
      <c r="P3227" s="2">
        <v>6.0</v>
      </c>
      <c r="Q3227" s="2">
        <v>32.0</v>
      </c>
      <c r="R3227" s="2">
        <v>0.0</v>
      </c>
      <c r="S3227" s="3" t="s">
        <v>13158</v>
      </c>
      <c r="T3227" s="2" t="s">
        <v>13159</v>
      </c>
      <c r="Y3227" s="4" t="str">
        <f>IFERROR(__xludf.DUMMYFUNCTION("""COMPUTED_VALUE"""),"6.8798713")</f>
        <v>6.8798713</v>
      </c>
      <c r="Z3227" s="4" t="str">
        <f>IFERROR(__xludf.DUMMYFUNCTION("""COMPUTED_VALUE"""),"3.1315471")</f>
        <v>3.1315471</v>
      </c>
      <c r="AA3227" s="4" t="str">
        <f t="shared" si="1"/>
        <v>Not Neighbor</v>
      </c>
      <c r="AC3227" s="4">
        <f>IFERROR(__xludf.DUMMYFUNCTION("IFERROR(ABS(O3227-AVERAGE(FILTER(O3227:O7295,AA3227:AA7295=""Neighbor""))) / STDEV(FILTER(O3227:O7295, AA3227:AA7295 =""Neighbor"")), """")"),0.3160782171035957)</f>
        <v>0.3160782171</v>
      </c>
      <c r="AF3227" s="2">
        <f>IFERROR(__xludf.DUMMYFUNCTION("IFERROR(ABS(R3227-AVERAGE(FILTER(R3227:R7295,AA3227:AA7295=""Neighbor""))) / STDEV(FILTER(R3227:R7295, AA3227:AA7295 =""Neighbor"")), """")"),0.32589905441526323)</f>
        <v>0.3258990544</v>
      </c>
    </row>
    <row r="3228">
      <c r="A3228" s="2" t="s">
        <v>28</v>
      </c>
      <c r="B3228" s="2" t="s">
        <v>3907</v>
      </c>
      <c r="C3228" s="2" t="s">
        <v>3908</v>
      </c>
      <c r="D3228" s="2" t="s">
        <v>13160</v>
      </c>
      <c r="E3228" s="2" t="s">
        <v>13161</v>
      </c>
      <c r="F3228" s="2">
        <v>75.0</v>
      </c>
      <c r="G3228" s="2">
        <v>124.0</v>
      </c>
      <c r="H3228" s="2" t="b">
        <v>1</v>
      </c>
      <c r="I3228" s="2">
        <v>-1.0</v>
      </c>
      <c r="J3228" s="2" t="b">
        <v>0</v>
      </c>
      <c r="K3228" s="2" t="b">
        <v>1</v>
      </c>
      <c r="L3228" s="2" t="b">
        <v>0</v>
      </c>
      <c r="M3228" s="2" t="b">
        <v>0</v>
      </c>
      <c r="N3228" s="2" t="s">
        <v>33</v>
      </c>
      <c r="O3228" s="2">
        <v>59.0</v>
      </c>
      <c r="P3228" s="2">
        <v>3.0</v>
      </c>
      <c r="Q3228" s="2">
        <v>9.0</v>
      </c>
      <c r="R3228" s="2">
        <v>0.0</v>
      </c>
      <c r="S3228" s="3" t="s">
        <v>13162</v>
      </c>
      <c r="T3228" s="2" t="s">
        <v>13163</v>
      </c>
      <c r="Y3228" s="4" t="str">
        <f>IFERROR(__xludf.DUMMYFUNCTION("""COMPUTED_VALUE"""),"6.8751711")</f>
        <v>6.8751711</v>
      </c>
      <c r="Z3228" s="4" t="str">
        <f>IFERROR(__xludf.DUMMYFUNCTION("""COMPUTED_VALUE"""),"3.0817278")</f>
        <v>3.0817278</v>
      </c>
      <c r="AA3228" s="4" t="str">
        <f t="shared" si="1"/>
        <v>Not Neighbor</v>
      </c>
      <c r="AC3228" s="4">
        <f>IFERROR(__xludf.DUMMYFUNCTION("IFERROR(ABS(O3228-AVERAGE(FILTER(O3228:O7296,AA3228:AA7296=""Neighbor""))) / STDEV(FILTER(O3228:O7296, AA3228:AA7296 =""Neighbor"")), """")"),0.4401001604594584)</f>
        <v>0.4401001605</v>
      </c>
      <c r="AF3228" s="2">
        <f>IFERROR(__xludf.DUMMYFUNCTION("IFERROR(ABS(R3228-AVERAGE(FILTER(R3228:R7296,AA3228:AA7296=""Neighbor""))) / STDEV(FILTER(R3228:R7296, AA3228:AA7296 =""Neighbor"")), """")"),0.32589905441526323)</f>
        <v>0.3258990544</v>
      </c>
    </row>
    <row r="3229">
      <c r="A3229" s="2" t="s">
        <v>28</v>
      </c>
      <c r="B3229" s="2" t="s">
        <v>3907</v>
      </c>
      <c r="C3229" s="2" t="s">
        <v>3908</v>
      </c>
      <c r="D3229" s="2" t="s">
        <v>13164</v>
      </c>
      <c r="E3229" s="2" t="s">
        <v>13165</v>
      </c>
      <c r="F3229" s="2">
        <v>70.0</v>
      </c>
      <c r="G3229" s="2">
        <v>161.0</v>
      </c>
      <c r="H3229" s="2" t="b">
        <v>1</v>
      </c>
      <c r="I3229" s="2">
        <v>-1.0</v>
      </c>
      <c r="J3229" s="2" t="b">
        <v>0</v>
      </c>
      <c r="K3229" s="2" t="b">
        <v>1</v>
      </c>
      <c r="L3229" s="2" t="b">
        <v>0</v>
      </c>
      <c r="M3229" s="2" t="b">
        <v>0</v>
      </c>
      <c r="N3229" s="2" t="s">
        <v>33</v>
      </c>
      <c r="O3229" s="2">
        <v>26.0</v>
      </c>
      <c r="P3229" s="2">
        <v>4.0</v>
      </c>
      <c r="Q3229" s="2">
        <v>17.0</v>
      </c>
      <c r="R3229" s="2">
        <v>0.0</v>
      </c>
      <c r="S3229" s="3" t="s">
        <v>13166</v>
      </c>
      <c r="T3229" s="2" t="s">
        <v>13167</v>
      </c>
      <c r="Y3229" s="4" t="str">
        <f>IFERROR(__xludf.DUMMYFUNCTION("""COMPUTED_VALUE"""),"6.8770471")</f>
        <v>6.8770471</v>
      </c>
      <c r="Z3229" s="4" t="str">
        <f>IFERROR(__xludf.DUMMYFUNCTION("""COMPUTED_VALUE"""),"3.1282556")</f>
        <v>3.1282556</v>
      </c>
      <c r="AA3229" s="4" t="str">
        <f t="shared" si="1"/>
        <v>Not Neighbor</v>
      </c>
      <c r="AC3229" s="4">
        <f>IFERROR(__xludf.DUMMYFUNCTION("IFERROR(ABS(O3229-AVERAGE(FILTER(O3229:O7297,AA3229:AA7297=""Neighbor""))) / STDEV(FILTER(O3229:O7297, AA3229:AA7297 =""Neighbor"")), """")"),0.5830808722264085)</f>
        <v>0.5830808722</v>
      </c>
      <c r="AF3229" s="2">
        <f>IFERROR(__xludf.DUMMYFUNCTION("IFERROR(ABS(R3229-AVERAGE(FILTER(R3229:R7297,AA3229:AA7297=""Neighbor""))) / STDEV(FILTER(R3229:R7297, AA3229:AA7297 =""Neighbor"")), """")"),0.32589905441526323)</f>
        <v>0.3258990544</v>
      </c>
    </row>
    <row r="3230">
      <c r="A3230" s="2" t="s">
        <v>28</v>
      </c>
      <c r="B3230" s="2" t="s">
        <v>3907</v>
      </c>
      <c r="C3230" s="2" t="s">
        <v>3990</v>
      </c>
      <c r="D3230" s="2" t="s">
        <v>13168</v>
      </c>
      <c r="E3230" s="2" t="s">
        <v>13169</v>
      </c>
      <c r="F3230" s="2">
        <v>140.0</v>
      </c>
      <c r="G3230" s="2">
        <v>252.0</v>
      </c>
      <c r="H3230" s="2" t="b">
        <v>1</v>
      </c>
      <c r="I3230" s="2">
        <v>-1.0</v>
      </c>
      <c r="J3230" s="2" t="b">
        <v>0</v>
      </c>
      <c r="K3230" s="2" t="b">
        <v>0</v>
      </c>
      <c r="L3230" s="2" t="b">
        <v>0</v>
      </c>
      <c r="M3230" s="2" t="b">
        <v>0</v>
      </c>
      <c r="N3230" s="2" t="s">
        <v>33</v>
      </c>
      <c r="O3230" s="2">
        <v>73.0</v>
      </c>
      <c r="P3230" s="2">
        <v>18.0</v>
      </c>
      <c r="Q3230" s="2">
        <v>18.0</v>
      </c>
      <c r="R3230" s="2">
        <v>0.0</v>
      </c>
      <c r="S3230" s="3" t="s">
        <v>13170</v>
      </c>
      <c r="T3230" s="2" t="s">
        <v>13171</v>
      </c>
      <c r="Y3230" s="4" t="str">
        <f>IFERROR(__xludf.DUMMYFUNCTION("""COMPUTED_VALUE"""),"6.8553105")</f>
        <v>6.8553105</v>
      </c>
      <c r="Z3230" s="4" t="str">
        <f>IFERROR(__xludf.DUMMYFUNCTION("""COMPUTED_VALUE"""),"3.2018198")</f>
        <v>3.2018198</v>
      </c>
      <c r="AA3230" s="4" t="str">
        <f t="shared" si="1"/>
        <v>Neighbor</v>
      </c>
      <c r="AC3230" s="4">
        <f>IFERROR(__xludf.DUMMYFUNCTION("IFERROR(ABS(O3230-AVERAGE(FILTER(O3230:O7298,AA3230:AA7298=""Neighbor""))) / STDEV(FILTER(O3230:O7298, AA3230:AA7298 =""Neighbor"")), """")"),0.8741769622049776)</f>
        <v>0.8741769622</v>
      </c>
      <c r="AF3230" s="2">
        <f>IFERROR(__xludf.DUMMYFUNCTION("IFERROR(ABS(R3230-AVERAGE(FILTER(R3230:R7298,AA3230:AA7298=""Neighbor""))) / STDEV(FILTER(R3230:R7298, AA3230:AA7298 =""Neighbor"")), """")"),0.32589905441526323)</f>
        <v>0.3258990544</v>
      </c>
    </row>
    <row r="3231">
      <c r="A3231" s="2" t="s">
        <v>28</v>
      </c>
      <c r="B3231" s="2" t="s">
        <v>3907</v>
      </c>
      <c r="C3231" s="2" t="s">
        <v>3990</v>
      </c>
      <c r="D3231" s="2" t="s">
        <v>13172</v>
      </c>
      <c r="E3231" s="2" t="s">
        <v>13173</v>
      </c>
      <c r="F3231" s="2">
        <v>74.0</v>
      </c>
      <c r="G3231" s="2">
        <v>140.0</v>
      </c>
      <c r="H3231" s="2" t="b">
        <v>1</v>
      </c>
      <c r="I3231" s="2">
        <v>-1.0</v>
      </c>
      <c r="J3231" s="2" t="b">
        <v>0</v>
      </c>
      <c r="K3231" s="2" t="b">
        <v>0</v>
      </c>
      <c r="L3231" s="2" t="b">
        <v>0</v>
      </c>
      <c r="M3231" s="2" t="b">
        <v>0</v>
      </c>
      <c r="N3231" s="2" t="s">
        <v>33</v>
      </c>
      <c r="O3231" s="2">
        <v>52.0</v>
      </c>
      <c r="P3231" s="2">
        <v>10.0</v>
      </c>
      <c r="Q3231" s="2">
        <v>5.0</v>
      </c>
      <c r="R3231" s="2">
        <v>0.0</v>
      </c>
      <c r="S3231" s="3" t="s">
        <v>13174</v>
      </c>
      <c r="T3231" s="2" t="s">
        <v>13175</v>
      </c>
      <c r="Y3231" s="4" t="str">
        <f>IFERROR(__xludf.DUMMYFUNCTION("""COMPUTED_VALUE"""),"6.8553105")</f>
        <v>6.8553105</v>
      </c>
      <c r="Z3231" s="4" t="str">
        <f>IFERROR(__xludf.DUMMYFUNCTION("""COMPUTED_VALUE"""),"3.2018198")</f>
        <v>3.2018198</v>
      </c>
      <c r="AA3231" s="4" t="str">
        <f t="shared" si="1"/>
        <v>Neighbor</v>
      </c>
      <c r="AC3231" s="4">
        <f>IFERROR(__xludf.DUMMYFUNCTION("IFERROR(ABS(O3231-AVERAGE(FILTER(O3231:O7299,AA3231:AA7299=""Neighbor""))) / STDEV(FILTER(O3231:O7299, AA3231:AA7299 =""Neighbor"")), """")"),0.22577023597535073)</f>
        <v>0.225770236</v>
      </c>
      <c r="AF3231" s="2">
        <f>IFERROR(__xludf.DUMMYFUNCTION("IFERROR(ABS(R3231-AVERAGE(FILTER(R3231:R7299,AA3231:AA7299=""Neighbor""))) / STDEV(FILTER(R3231:R7299, AA3231:AA7299 =""Neighbor"")), """")"),0.3264731515567373)</f>
        <v>0.3264731516</v>
      </c>
    </row>
    <row r="3232">
      <c r="A3232" s="2" t="s">
        <v>28</v>
      </c>
      <c r="B3232" s="2" t="s">
        <v>3907</v>
      </c>
      <c r="C3232" s="2" t="s">
        <v>3990</v>
      </c>
      <c r="D3232" s="2" t="s">
        <v>13176</v>
      </c>
      <c r="E3232" s="2" t="s">
        <v>13177</v>
      </c>
      <c r="F3232" s="2">
        <v>167.0</v>
      </c>
      <c r="G3232" s="2">
        <v>345.0</v>
      </c>
      <c r="H3232" s="2" t="b">
        <v>1</v>
      </c>
      <c r="I3232" s="2">
        <v>-1.0</v>
      </c>
      <c r="J3232" s="2" t="b">
        <v>0</v>
      </c>
      <c r="K3232" s="2" t="b">
        <v>0</v>
      </c>
      <c r="L3232" s="2" t="b">
        <v>0</v>
      </c>
      <c r="M3232" s="2" t="b">
        <v>0</v>
      </c>
      <c r="N3232" s="2" t="s">
        <v>33</v>
      </c>
      <c r="O3232" s="2">
        <v>129.0</v>
      </c>
      <c r="P3232" s="2">
        <v>25.0</v>
      </c>
      <c r="Q3232" s="2">
        <v>3.0</v>
      </c>
      <c r="R3232" s="2">
        <v>0.0</v>
      </c>
      <c r="S3232" s="3" t="s">
        <v>13178</v>
      </c>
      <c r="T3232" s="2" t="s">
        <v>13179</v>
      </c>
      <c r="Y3232" s="4" t="str">
        <f>IFERROR(__xludf.DUMMYFUNCTION("""COMPUTED_VALUE"""),"6.8553105")</f>
        <v>6.8553105</v>
      </c>
      <c r="Z3232" s="4" t="str">
        <f>IFERROR(__xludf.DUMMYFUNCTION("""COMPUTED_VALUE"""),"3.2018198")</f>
        <v>3.2018198</v>
      </c>
      <c r="AA3232" s="4" t="str">
        <f t="shared" si="1"/>
        <v>Neighbor</v>
      </c>
      <c r="AC3232" s="4">
        <f>IFERROR(__xludf.DUMMYFUNCTION("IFERROR(ABS(O3232-AVERAGE(FILTER(O3232:O7300,AA3232:AA7300=""Neighbor""))) / STDEV(FILTER(O3232:O7300, AA3232:AA7300 =""Neighbor"")), """")"),2.6090467995818125)</f>
        <v>2.6090468</v>
      </c>
      <c r="AF3232" s="2">
        <f>IFERROR(__xludf.DUMMYFUNCTION("IFERROR(ABS(R3232-AVERAGE(FILTER(R3232:R7300,AA3232:AA7300=""Neighbor""))) / STDEV(FILTER(R3232:R7300, AA3232:AA7300 =""Neighbor"")), """")"),0.3270502944939356)</f>
        <v>0.3270502945</v>
      </c>
    </row>
    <row r="3233">
      <c r="A3233" s="2" t="s">
        <v>28</v>
      </c>
      <c r="B3233" s="2" t="s">
        <v>3907</v>
      </c>
      <c r="C3233" s="2" t="s">
        <v>3990</v>
      </c>
      <c r="D3233" s="2" t="s">
        <v>13180</v>
      </c>
      <c r="E3233" s="2" t="s">
        <v>13181</v>
      </c>
      <c r="F3233" s="2">
        <v>148.0</v>
      </c>
      <c r="G3233" s="2">
        <v>750.0</v>
      </c>
      <c r="H3233" s="2" t="b">
        <v>1</v>
      </c>
      <c r="I3233" s="2">
        <v>-1.0</v>
      </c>
      <c r="J3233" s="2" t="b">
        <v>0</v>
      </c>
      <c r="K3233" s="2" t="b">
        <v>0</v>
      </c>
      <c r="L3233" s="2" t="b">
        <v>0</v>
      </c>
      <c r="M3233" s="2" t="b">
        <v>0</v>
      </c>
      <c r="N3233" s="2" t="s">
        <v>33</v>
      </c>
      <c r="O3233" s="2">
        <v>80.0</v>
      </c>
      <c r="P3233" s="2">
        <v>29.0</v>
      </c>
      <c r="Q3233" s="2">
        <v>14.0</v>
      </c>
      <c r="R3233" s="2">
        <v>0.0</v>
      </c>
      <c r="S3233" s="3" t="s">
        <v>13182</v>
      </c>
      <c r="T3233" s="2" t="s">
        <v>13183</v>
      </c>
      <c r="Y3233" s="4" t="str">
        <f>IFERROR(__xludf.DUMMYFUNCTION("""COMPUTED_VALUE"""),"6.846083")</f>
        <v>6.846083</v>
      </c>
      <c r="Z3233" s="4" t="str">
        <f>IFERROR(__xludf.DUMMYFUNCTION("""COMPUTED_VALUE"""),"3.200621")</f>
        <v>3.200621</v>
      </c>
      <c r="AA3233" s="4" t="str">
        <f t="shared" si="1"/>
        <v>Neighbor</v>
      </c>
      <c r="AC3233" s="4">
        <f>IFERROR(__xludf.DUMMYFUNCTION("IFERROR(ABS(O3233-AVERAGE(FILTER(O3233:O7301,AA3233:AA7301=""Neighbor""))) / STDEV(FILTER(O3233:O7301, AA3233:AA7301 =""Neighbor"")), """")"),1.111546537436847)</f>
        <v>1.111546537</v>
      </c>
      <c r="AF3233" s="2">
        <f>IFERROR(__xludf.DUMMYFUNCTION("IFERROR(ABS(R3233-AVERAGE(FILTER(R3233:R7301,AA3233:AA7301=""Neighbor""))) / STDEV(FILTER(R3233:R7301, AA3233:AA7301 =""Neighbor"")), """")"),0.32763051026308926)</f>
        <v>0.3276305103</v>
      </c>
    </row>
    <row r="3234">
      <c r="A3234" s="2" t="s">
        <v>28</v>
      </c>
      <c r="B3234" s="2" t="s">
        <v>3907</v>
      </c>
      <c r="C3234" s="2" t="s">
        <v>3990</v>
      </c>
      <c r="D3234" s="2" t="s">
        <v>13184</v>
      </c>
      <c r="E3234" s="2" t="s">
        <v>13185</v>
      </c>
      <c r="F3234" s="2">
        <v>109.0</v>
      </c>
      <c r="G3234" s="2">
        <v>247.0</v>
      </c>
      <c r="H3234" s="2" t="b">
        <v>1</v>
      </c>
      <c r="I3234" s="2">
        <v>-1.0</v>
      </c>
      <c r="J3234" s="2" t="b">
        <v>0</v>
      </c>
      <c r="K3234" s="2" t="b">
        <v>0</v>
      </c>
      <c r="L3234" s="2" t="b">
        <v>0</v>
      </c>
      <c r="M3234" s="2" t="b">
        <v>0</v>
      </c>
      <c r="N3234" s="2" t="s">
        <v>33</v>
      </c>
      <c r="O3234" s="2">
        <v>73.0</v>
      </c>
      <c r="P3234" s="2">
        <v>7.0</v>
      </c>
      <c r="Q3234" s="2">
        <v>3.0</v>
      </c>
      <c r="R3234" s="2">
        <v>1.0</v>
      </c>
      <c r="S3234" s="3" t="s">
        <v>13186</v>
      </c>
      <c r="T3234" s="2" t="s">
        <v>13187</v>
      </c>
      <c r="Y3234" s="4" t="str">
        <f>IFERROR(__xludf.DUMMYFUNCTION("""COMPUTED_VALUE"""),"6.8490976")</f>
        <v>6.8490976</v>
      </c>
      <c r="Z3234" s="4" t="str">
        <f>IFERROR(__xludf.DUMMYFUNCTION("""COMPUTED_VALUE"""),"3.2033837")</f>
        <v>3.2033837</v>
      </c>
      <c r="AA3234" s="4" t="str">
        <f t="shared" si="1"/>
        <v>Neighbor</v>
      </c>
      <c r="AC3234" s="4">
        <f>IFERROR(__xludf.DUMMYFUNCTION("IFERROR(ABS(O3234-AVERAGE(FILTER(O3234:O7302,AA3234:AA7302=""Neighbor""))) / STDEV(FILTER(O3234:O7302, AA3234:AA7302 =""Neighbor"")), """")"),0.8967869223668518)</f>
        <v>0.8967869224</v>
      </c>
      <c r="AF3234" s="2">
        <f>IFERROR(__xludf.DUMMYFUNCTION("IFERROR(ABS(R3234-AVERAGE(FILTER(R3234:R7302,AA3234:AA7302=""Neighbor""))) / STDEV(FILTER(R3234:R7302, AA3234:AA7302 =""Neighbor"")), """")"),0.9279131630671053)</f>
        <v>0.9279131631</v>
      </c>
    </row>
    <row r="3235">
      <c r="A3235" s="2" t="s">
        <v>28</v>
      </c>
      <c r="B3235" s="2" t="s">
        <v>3907</v>
      </c>
      <c r="C3235" s="2" t="s">
        <v>3990</v>
      </c>
      <c r="D3235" s="2" t="s">
        <v>13188</v>
      </c>
      <c r="E3235" s="2" t="s">
        <v>13189</v>
      </c>
      <c r="F3235" s="2">
        <v>69.0</v>
      </c>
      <c r="G3235" s="2">
        <v>136.0</v>
      </c>
      <c r="H3235" s="2" t="b">
        <v>1</v>
      </c>
      <c r="I3235" s="2">
        <v>-1.0</v>
      </c>
      <c r="J3235" s="2" t="b">
        <v>0</v>
      </c>
      <c r="K3235" s="2" t="b">
        <v>0</v>
      </c>
      <c r="L3235" s="2" t="b">
        <v>0</v>
      </c>
      <c r="M3235" s="2" t="b">
        <v>0</v>
      </c>
      <c r="N3235" s="2" t="s">
        <v>33</v>
      </c>
      <c r="O3235" s="2">
        <v>60.0</v>
      </c>
      <c r="P3235" s="2">
        <v>0.0</v>
      </c>
      <c r="Q3235" s="2">
        <v>4.0</v>
      </c>
      <c r="R3235" s="2">
        <v>0.0</v>
      </c>
      <c r="S3235" s="3" t="s">
        <v>13190</v>
      </c>
      <c r="T3235" s="2" t="s">
        <v>13191</v>
      </c>
      <c r="Y3235" s="4" t="str">
        <f>IFERROR(__xludf.DUMMYFUNCTION("""COMPUTED_VALUE"""),"6.8553105")</f>
        <v>6.8553105</v>
      </c>
      <c r="Z3235" s="4" t="str">
        <f>IFERROR(__xludf.DUMMYFUNCTION("""COMPUTED_VALUE"""),"3.2018198")</f>
        <v>3.2018198</v>
      </c>
      <c r="AA3235" s="4" t="str">
        <f t="shared" si="1"/>
        <v>Neighbor</v>
      </c>
      <c r="AC3235" s="4">
        <f>IFERROR(__xludf.DUMMYFUNCTION("IFERROR(ABS(O3235-AVERAGE(FILTER(O3235:O7303,AA3235:AA7303=""Neighbor""))) / STDEV(FILTER(O3235:O7303, AA3235:AA7303 =""Neighbor"")), """")"),0.4932330587373151)</f>
        <v>0.4932330587</v>
      </c>
      <c r="AF3235" s="2">
        <f>IFERROR(__xludf.DUMMYFUNCTION("IFERROR(ABS(R3235-AVERAGE(FILTER(R3235:R7303,AA3235:AA7303=""Neighbor""))) / STDEV(FILTER(R3235:R7303, AA3235:AA7303 =""Neighbor"")), """")"),0.32513899438291655)</f>
        <v>0.3251389944</v>
      </c>
    </row>
    <row r="3236">
      <c r="A3236" s="2" t="s">
        <v>28</v>
      </c>
      <c r="B3236" s="2" t="s">
        <v>3907</v>
      </c>
      <c r="C3236" s="2" t="s">
        <v>3990</v>
      </c>
      <c r="D3236" s="2" t="s">
        <v>13192</v>
      </c>
      <c r="E3236" s="2" t="s">
        <v>13193</v>
      </c>
      <c r="F3236" s="2">
        <v>82.0</v>
      </c>
      <c r="G3236" s="2">
        <v>145.0</v>
      </c>
      <c r="H3236" s="2" t="b">
        <v>1</v>
      </c>
      <c r="I3236" s="2">
        <v>-1.0</v>
      </c>
      <c r="J3236" s="2" t="b">
        <v>0</v>
      </c>
      <c r="K3236" s="2" t="b">
        <v>0</v>
      </c>
      <c r="L3236" s="2" t="b">
        <v>0</v>
      </c>
      <c r="M3236" s="2" t="b">
        <v>0</v>
      </c>
      <c r="N3236" s="2" t="s">
        <v>33</v>
      </c>
      <c r="O3236" s="2">
        <v>52.0</v>
      </c>
      <c r="P3236" s="2">
        <v>9.0</v>
      </c>
      <c r="Q3236" s="2">
        <v>5.0</v>
      </c>
      <c r="R3236" s="2">
        <v>0.0</v>
      </c>
      <c r="S3236" s="3" t="s">
        <v>13194</v>
      </c>
      <c r="T3236" s="2" t="s">
        <v>13195</v>
      </c>
      <c r="Y3236" s="4" t="str">
        <f>IFERROR(__xludf.DUMMYFUNCTION("""COMPUTED_VALUE"""),"6.8553105")</f>
        <v>6.8553105</v>
      </c>
      <c r="Z3236" s="4" t="str">
        <f>IFERROR(__xludf.DUMMYFUNCTION("""COMPUTED_VALUE"""),"3.2018198")</f>
        <v>3.2018198</v>
      </c>
      <c r="AA3236" s="4" t="str">
        <f t="shared" si="1"/>
        <v>Not Neighbor</v>
      </c>
      <c r="AC3236" s="4">
        <f>IFERROR(__xludf.DUMMYFUNCTION("IFERROR(ABS(O3236-AVERAGE(FILTER(O3236:O7304,AA3236:AA7304=""Neighbor""))) / STDEV(FILTER(O3236:O7304, AA3236:AA7304 =""Neighbor"")), """")"),0.2445802484894759)</f>
        <v>0.2445802485</v>
      </c>
      <c r="AF3236" s="2">
        <f>IFERROR(__xludf.DUMMYFUNCTION("IFERROR(ABS(R3236-AVERAGE(FILTER(R3236:R7304,AA3236:AA7304=""Neighbor""))) / STDEV(FILTER(R3236:R7304, AA3236:AA7304 =""Neighbor"")), """")"),0.32572075836085174)</f>
        <v>0.3257207584</v>
      </c>
    </row>
    <row r="3237">
      <c r="A3237" s="2" t="s">
        <v>28</v>
      </c>
      <c r="B3237" s="2" t="s">
        <v>3907</v>
      </c>
      <c r="C3237" s="2" t="s">
        <v>3973</v>
      </c>
      <c r="D3237" s="2" t="s">
        <v>13196</v>
      </c>
      <c r="E3237" s="2" t="s">
        <v>13197</v>
      </c>
      <c r="F3237" s="2">
        <v>61.0</v>
      </c>
      <c r="G3237" s="2">
        <v>99.0</v>
      </c>
      <c r="H3237" s="2" t="b">
        <v>1</v>
      </c>
      <c r="I3237" s="2">
        <v>-1.0</v>
      </c>
      <c r="J3237" s="2" t="b">
        <v>1</v>
      </c>
      <c r="K3237" s="2" t="b">
        <v>1</v>
      </c>
      <c r="L3237" s="2" t="b">
        <v>0</v>
      </c>
      <c r="M3237" s="2" t="b">
        <v>0</v>
      </c>
      <c r="N3237" s="2" t="s">
        <v>33</v>
      </c>
      <c r="O3237" s="2">
        <v>0.0</v>
      </c>
      <c r="P3237" s="2">
        <v>0.0</v>
      </c>
      <c r="Q3237" s="2">
        <v>0.0</v>
      </c>
      <c r="R3237" s="2">
        <v>0.0</v>
      </c>
      <c r="S3237" s="3" t="s">
        <v>13198</v>
      </c>
      <c r="T3237" s="2" t="s">
        <v>13199</v>
      </c>
      <c r="Y3237" s="4" t="str">
        <f>IFERROR(__xludf.DUMMYFUNCTION("""COMPUTED_VALUE"""),"6.8980134")</f>
        <v>6.8980134</v>
      </c>
      <c r="Z3237" s="4" t="str">
        <f>IFERROR(__xludf.DUMMYFUNCTION("""COMPUTED_VALUE"""),"3.1221433")</f>
        <v>3.1221433</v>
      </c>
      <c r="AA3237" s="4" t="str">
        <f t="shared" si="1"/>
        <v>Not Neighbor</v>
      </c>
      <c r="AC3237" s="4">
        <f>IFERROR(__xludf.DUMMYFUNCTION("IFERROR(ABS(O3237-AVERAGE(FILTER(O3237:O7305,AA3237:AA7305=""Neighbor""))) / STDEV(FILTER(O3237:O7305, AA3237:AA7305 =""Neighbor"")), """")"),1.3781195277356468)</f>
        <v>1.378119528</v>
      </c>
      <c r="AF3237" s="2">
        <f>IFERROR(__xludf.DUMMYFUNCTION("IFERROR(ABS(R3237-AVERAGE(FILTER(R3237:R7305,AA3237:AA7305=""Neighbor""))) / STDEV(FILTER(R3237:R7305, AA3237:AA7305 =""Neighbor"")), """")"),0.32572075836085174)</f>
        <v>0.3257207584</v>
      </c>
    </row>
    <row r="3238">
      <c r="A3238" s="2" t="s">
        <v>28</v>
      </c>
      <c r="B3238" s="2" t="s">
        <v>3907</v>
      </c>
      <c r="C3238" s="2" t="s">
        <v>4120</v>
      </c>
      <c r="D3238" s="2" t="s">
        <v>13200</v>
      </c>
      <c r="E3238" s="2" t="s">
        <v>13201</v>
      </c>
      <c r="F3238" s="2">
        <v>52.0</v>
      </c>
      <c r="G3238" s="2">
        <v>91.0</v>
      </c>
      <c r="H3238" s="2" t="b">
        <v>1</v>
      </c>
      <c r="I3238" s="2">
        <v>-1.0</v>
      </c>
      <c r="J3238" s="2" t="b">
        <v>0</v>
      </c>
      <c r="K3238" s="2" t="b">
        <v>0</v>
      </c>
      <c r="L3238" s="2" t="b">
        <v>0</v>
      </c>
      <c r="M3238" s="2" t="b">
        <v>0</v>
      </c>
      <c r="N3238" s="2" t="s">
        <v>33</v>
      </c>
      <c r="O3238" s="2">
        <v>25.0</v>
      </c>
      <c r="P3238" s="2">
        <v>7.0</v>
      </c>
      <c r="Q3238" s="2">
        <v>16.0</v>
      </c>
      <c r="R3238" s="2">
        <v>0.0</v>
      </c>
      <c r="S3238" s="3" t="s">
        <v>13202</v>
      </c>
      <c r="T3238" s="2" t="s">
        <v>13203</v>
      </c>
      <c r="Y3238" s="4" t="str">
        <f>IFERROR(__xludf.DUMMYFUNCTION("""COMPUTED_VALUE"""),"6.9690053")</f>
        <v>6.9690053</v>
      </c>
      <c r="Z3238" s="4" t="str">
        <f>IFERROR(__xludf.DUMMYFUNCTION("""COMPUTED_VALUE"""),"3.1284123")</f>
        <v>3.1284123</v>
      </c>
      <c r="AA3238" s="4" t="str">
        <f t="shared" si="1"/>
        <v>Neighbor</v>
      </c>
      <c r="AC3238" s="4">
        <f>IFERROR(__xludf.DUMMYFUNCTION("IFERROR(ABS(O3238-AVERAGE(FILTER(O3238:O7306,AA3238:AA7306=""Neighbor""))) / STDEV(FILTER(O3238:O7306, AA3238:AA7306 =""Neighbor"")), """")"),0.5979754045504917)</f>
        <v>0.5979754046</v>
      </c>
      <c r="AF3238" s="2">
        <f>IFERROR(__xludf.DUMMYFUNCTION("IFERROR(ABS(R3238-AVERAGE(FILTER(R3238:R7306,AA3238:AA7306=""Neighbor""))) / STDEV(FILTER(R3238:R7306, AA3238:AA7306 =""Neighbor"")), """")"),0.32572075836085174)</f>
        <v>0.3257207584</v>
      </c>
    </row>
    <row r="3239">
      <c r="A3239" s="2" t="s">
        <v>28</v>
      </c>
      <c r="B3239" s="2" t="s">
        <v>3907</v>
      </c>
      <c r="C3239" s="2" t="s">
        <v>4120</v>
      </c>
      <c r="D3239" s="2" t="s">
        <v>13204</v>
      </c>
      <c r="E3239" s="2" t="s">
        <v>13205</v>
      </c>
      <c r="F3239" s="2">
        <v>45.0</v>
      </c>
      <c r="G3239" s="2">
        <v>79.0</v>
      </c>
      <c r="H3239" s="2" t="b">
        <v>1</v>
      </c>
      <c r="I3239" s="2">
        <v>-1.0</v>
      </c>
      <c r="J3239" s="2" t="b">
        <v>0</v>
      </c>
      <c r="K3239" s="2" t="b">
        <v>0</v>
      </c>
      <c r="L3239" s="2" t="b">
        <v>0</v>
      </c>
      <c r="M3239" s="2" t="b">
        <v>0</v>
      </c>
      <c r="N3239" s="2" t="s">
        <v>33</v>
      </c>
      <c r="O3239" s="2">
        <v>19.0</v>
      </c>
      <c r="P3239" s="2">
        <v>0.0</v>
      </c>
      <c r="Q3239" s="2">
        <v>14.0</v>
      </c>
      <c r="R3239" s="2">
        <v>0.0</v>
      </c>
      <c r="S3239" s="3" t="s">
        <v>13206</v>
      </c>
      <c r="T3239" s="2" t="s">
        <v>13207</v>
      </c>
      <c r="Y3239" s="4" t="str">
        <f>IFERROR(__xludf.DUMMYFUNCTION("""COMPUTED_VALUE"""),"6.9643162")</f>
        <v>6.9643162</v>
      </c>
      <c r="Z3239" s="4" t="str">
        <f>IFERROR(__xludf.DUMMYFUNCTION("""COMPUTED_VALUE"""),"3.1277854")</f>
        <v>3.1277854</v>
      </c>
      <c r="AA3239" s="4" t="str">
        <f t="shared" si="1"/>
        <v>Neighbor</v>
      </c>
      <c r="AC3239" s="4">
        <f>IFERROR(__xludf.DUMMYFUNCTION("IFERROR(ABS(O3239-AVERAGE(FILTER(O3239:O7307,AA3239:AA7307=""Neighbor""))) / STDEV(FILTER(O3239:O7307, AA3239:AA7307 =""Neighbor"")), """")"),0.7863342977748908)</f>
        <v>0.7863342978</v>
      </c>
      <c r="AF3239" s="2">
        <f>IFERROR(__xludf.DUMMYFUNCTION("IFERROR(ABS(R3239-AVERAGE(FILTER(R3239:R7307,AA3239:AA7307=""Neighbor""))) / STDEV(FILTER(R3239:R7307, AA3239:AA7307 =""Neighbor"")), """")"),0.32630565752809143)</f>
        <v>0.3263056575</v>
      </c>
    </row>
    <row r="3240">
      <c r="A3240" s="2" t="s">
        <v>28</v>
      </c>
      <c r="B3240" s="2" t="s">
        <v>3907</v>
      </c>
      <c r="C3240" s="2" t="s">
        <v>4120</v>
      </c>
      <c r="D3240" s="2" t="s">
        <v>13208</v>
      </c>
      <c r="E3240" s="2" t="s">
        <v>13209</v>
      </c>
      <c r="F3240" s="2">
        <v>23.0</v>
      </c>
      <c r="G3240" s="2">
        <v>36.0</v>
      </c>
      <c r="H3240" s="2" t="b">
        <v>1</v>
      </c>
      <c r="I3240" s="2">
        <v>-1.0</v>
      </c>
      <c r="J3240" s="2" t="b">
        <v>0</v>
      </c>
      <c r="K3240" s="2" t="b">
        <v>0</v>
      </c>
      <c r="L3240" s="2" t="b">
        <v>0</v>
      </c>
      <c r="M3240" s="2" t="b">
        <v>0</v>
      </c>
      <c r="N3240" s="2" t="s">
        <v>33</v>
      </c>
      <c r="O3240" s="2">
        <v>10.0</v>
      </c>
      <c r="P3240" s="2">
        <v>0.0</v>
      </c>
      <c r="Q3240" s="2">
        <v>9.0</v>
      </c>
      <c r="R3240" s="2">
        <v>0.0</v>
      </c>
      <c r="S3240" s="3" t="s">
        <v>13210</v>
      </c>
      <c r="T3240" s="2" t="s">
        <v>13211</v>
      </c>
      <c r="Y3240" s="4" t="str">
        <f>IFERROR(__xludf.DUMMYFUNCTION("""COMPUTED_VALUE"""),"6.9643162")</f>
        <v>6.9643162</v>
      </c>
      <c r="Z3240" s="4" t="str">
        <f>IFERROR(__xludf.DUMMYFUNCTION("""COMPUTED_VALUE"""),"3.1277854")</f>
        <v>3.1277854</v>
      </c>
      <c r="AA3240" s="4" t="str">
        <f t="shared" si="1"/>
        <v>Not Neighbor</v>
      </c>
      <c r="AC3240" s="4">
        <f>IFERROR(__xludf.DUMMYFUNCTION("IFERROR(ABS(O3240-AVERAGE(FILTER(O3240:O7308,AA3240:AA7308=""Neighbor""))) / STDEV(FILTER(O3240:O7308, AA3240:AA7308 =""Neighbor"")), """")"),1.0687970825067905)</f>
        <v>1.068797083</v>
      </c>
      <c r="AF3240" s="2">
        <f>IFERROR(__xludf.DUMMYFUNCTION("IFERROR(ABS(R3240-AVERAGE(FILTER(R3240:R7308,AA3240:AA7308=""Neighbor""))) / STDEV(FILTER(R3240:R7308, AA3240:AA7308 =""Neighbor"")), """")"),0.32689372015535545)</f>
        <v>0.3268937202</v>
      </c>
    </row>
    <row r="3241">
      <c r="A3241" s="2" t="s">
        <v>28</v>
      </c>
      <c r="B3241" s="2" t="s">
        <v>3907</v>
      </c>
      <c r="C3241" s="2" t="s">
        <v>4023</v>
      </c>
      <c r="D3241" s="2" t="s">
        <v>13212</v>
      </c>
      <c r="E3241" s="2" t="s">
        <v>13213</v>
      </c>
      <c r="F3241" s="2">
        <v>86.0</v>
      </c>
      <c r="G3241" s="2">
        <v>750.0</v>
      </c>
      <c r="H3241" s="2" t="b">
        <v>1</v>
      </c>
      <c r="I3241" s="2">
        <v>-1.0</v>
      </c>
      <c r="J3241" s="2" t="b">
        <v>0</v>
      </c>
      <c r="K3241" s="2" t="b">
        <v>0</v>
      </c>
      <c r="L3241" s="2" t="b">
        <v>0</v>
      </c>
      <c r="M3241" s="2" t="b">
        <v>0</v>
      </c>
      <c r="N3241" s="2" t="s">
        <v>33</v>
      </c>
      <c r="O3241" s="2">
        <v>50.0</v>
      </c>
      <c r="P3241" s="2">
        <v>20.0</v>
      </c>
      <c r="Q3241" s="2">
        <v>11.0</v>
      </c>
      <c r="R3241" s="2">
        <v>0.0</v>
      </c>
      <c r="S3241" s="3" t="s">
        <v>13214</v>
      </c>
      <c r="T3241" s="2" t="s">
        <v>13215</v>
      </c>
      <c r="Y3241" s="4" t="str">
        <f>IFERROR(__xludf.DUMMYFUNCTION("""COMPUTED_VALUE"""),"6.9272559")</f>
        <v>6.9272559</v>
      </c>
      <c r="Z3241" s="4" t="str">
        <f>IFERROR(__xludf.DUMMYFUNCTION("""COMPUTED_VALUE"""),"3.2163853")</f>
        <v>3.2163853</v>
      </c>
      <c r="AA3241" s="4" t="str">
        <f t="shared" si="1"/>
        <v>Neighbor</v>
      </c>
      <c r="AC3241" s="4">
        <f>IFERROR(__xludf.DUMMYFUNCTION("IFERROR(ABS(O3241-AVERAGE(FILTER(O3241:O7309,AA3241:AA7309=""Neighbor""))) / STDEV(FILTER(O3241:O7309, AA3241:AA7309 =""Neighbor"")), """")"),0.17735230688958165)</f>
        <v>0.1773523069</v>
      </c>
      <c r="AF3241" s="2">
        <f>IFERROR(__xludf.DUMMYFUNCTION("IFERROR(ABS(R3241-AVERAGE(FILTER(R3241:R7309,AA3241:AA7309=""Neighbor""))) / STDEV(FILTER(R3241:R7309, AA3241:AA7309 =""Neighbor"")), """")"),0.32689372015535545)</f>
        <v>0.3268937202</v>
      </c>
    </row>
    <row r="3242">
      <c r="A3242" s="2" t="s">
        <v>28</v>
      </c>
      <c r="B3242" s="2" t="s">
        <v>3907</v>
      </c>
      <c r="C3242" s="2" t="s">
        <v>4023</v>
      </c>
      <c r="D3242" s="2" t="s">
        <v>13216</v>
      </c>
      <c r="E3242" s="2" t="s">
        <v>13217</v>
      </c>
      <c r="F3242" s="2">
        <v>59.0</v>
      </c>
      <c r="G3242" s="2">
        <v>144.0</v>
      </c>
      <c r="H3242" s="2" t="b">
        <v>1</v>
      </c>
      <c r="I3242" s="2">
        <v>-1.0</v>
      </c>
      <c r="J3242" s="2" t="b">
        <v>0</v>
      </c>
      <c r="K3242" s="2" t="b">
        <v>0</v>
      </c>
      <c r="L3242" s="2" t="b">
        <v>0</v>
      </c>
      <c r="M3242" s="2" t="b">
        <v>0</v>
      </c>
      <c r="N3242" s="2" t="s">
        <v>33</v>
      </c>
      <c r="O3242" s="2">
        <v>29.0</v>
      </c>
      <c r="P3242" s="2">
        <v>10.0</v>
      </c>
      <c r="Q3242" s="2">
        <v>8.0</v>
      </c>
      <c r="R3242" s="2">
        <v>0.0</v>
      </c>
      <c r="S3242" s="3" t="s">
        <v>13218</v>
      </c>
      <c r="T3242" s="2" t="s">
        <v>13219</v>
      </c>
      <c r="Y3242" s="4" t="str">
        <f>IFERROR(__xludf.DUMMYFUNCTION("""COMPUTED_VALUE"""),"6.9308519")</f>
        <v>6.9308519</v>
      </c>
      <c r="Z3242" s="4" t="str">
        <f>IFERROR(__xludf.DUMMYFUNCTION("""COMPUTED_VALUE"""),"3.2200458")</f>
        <v>3.2200458</v>
      </c>
      <c r="AA3242" s="4" t="str">
        <f t="shared" si="1"/>
        <v>Not Neighbor</v>
      </c>
      <c r="AC3242" s="4">
        <f>IFERROR(__xludf.DUMMYFUNCTION("IFERROR(ABS(O3242-AVERAGE(FILTER(O3242:O7310,AA3242:AA7310=""Neighbor""))) / STDEV(FILTER(O3242:O7310, AA3242:AA7310 =""Neighbor"")), """")"),0.47553778913189787)</f>
        <v>0.4755377891</v>
      </c>
      <c r="AF3242" s="2">
        <f>IFERROR(__xludf.DUMMYFUNCTION("IFERROR(ABS(R3242-AVERAGE(FILTER(R3242:R7310,AA3242:AA7310=""Neighbor""))) / STDEV(FILTER(R3242:R7310, AA3242:AA7310 =""Neighbor"")), """")"),0.3274849748716547)</f>
        <v>0.3274849749</v>
      </c>
    </row>
    <row r="3243">
      <c r="A3243" s="2" t="s">
        <v>28</v>
      </c>
      <c r="B3243" s="2" t="s">
        <v>3907</v>
      </c>
      <c r="C3243" s="2" t="s">
        <v>4023</v>
      </c>
      <c r="D3243" s="2" t="s">
        <v>13220</v>
      </c>
      <c r="E3243" s="2" t="s">
        <v>13221</v>
      </c>
      <c r="F3243" s="2">
        <v>28.0</v>
      </c>
      <c r="G3243" s="2">
        <v>91.0</v>
      </c>
      <c r="H3243" s="2" t="b">
        <v>1</v>
      </c>
      <c r="I3243" s="2">
        <v>-1.0</v>
      </c>
      <c r="J3243" s="2" t="b">
        <v>0</v>
      </c>
      <c r="K3243" s="2" t="b">
        <v>1</v>
      </c>
      <c r="L3243" s="2" t="b">
        <v>0</v>
      </c>
      <c r="M3243" s="2" t="b">
        <v>0</v>
      </c>
      <c r="N3243" s="2" t="s">
        <v>33</v>
      </c>
      <c r="O3243" s="2">
        <v>18.0</v>
      </c>
      <c r="P3243" s="2">
        <v>4.0</v>
      </c>
      <c r="Q3243" s="2">
        <v>1.0</v>
      </c>
      <c r="R3243" s="2">
        <v>0.0</v>
      </c>
      <c r="S3243" s="3" t="s">
        <v>13222</v>
      </c>
      <c r="T3243" s="2" t="s">
        <v>13223</v>
      </c>
      <c r="Y3243" s="4" t="str">
        <f>IFERROR(__xludf.DUMMYFUNCTION("""COMPUTED_VALUE"""),"6.9493014")</f>
        <v>6.9493014</v>
      </c>
      <c r="Z3243" s="4" t="str">
        <f>IFERROR(__xludf.DUMMYFUNCTION("""COMPUTED_VALUE"""),"3.2490449")</f>
        <v>3.2490449</v>
      </c>
      <c r="AA3243" s="4" t="str">
        <f t="shared" si="1"/>
        <v>Not Neighbor</v>
      </c>
      <c r="AC3243" s="4">
        <f>IFERROR(__xludf.DUMMYFUNCTION("IFERROR(ABS(O3243-AVERAGE(FILTER(O3243:O7311,AA3243:AA7311=""Neighbor""))) / STDEV(FILTER(O3243:O7311, AA3243:AA7311 =""Neighbor"")), """")"),0.8176843219514383)</f>
        <v>0.817684322</v>
      </c>
      <c r="AF3243" s="2">
        <f>IFERROR(__xludf.DUMMYFUNCTION("IFERROR(ABS(R3243-AVERAGE(FILTER(R3243:R7311,AA3243:AA7311=""Neighbor""))) / STDEV(FILTER(R3243:R7311, AA3243:AA7311 =""Neighbor"")), """")"),0.3274849748716547)</f>
        <v>0.3274849749</v>
      </c>
    </row>
    <row r="3244">
      <c r="A3244" s="2" t="s">
        <v>28</v>
      </c>
      <c r="B3244" s="2" t="s">
        <v>3907</v>
      </c>
      <c r="C3244" s="2" t="s">
        <v>4023</v>
      </c>
      <c r="D3244" s="2" t="s">
        <v>13224</v>
      </c>
      <c r="E3244" s="2" t="s">
        <v>13225</v>
      </c>
      <c r="F3244" s="2">
        <v>33.0</v>
      </c>
      <c r="G3244" s="2">
        <v>85.0</v>
      </c>
      <c r="H3244" s="2" t="b">
        <v>1</v>
      </c>
      <c r="I3244" s="2">
        <v>-1.0</v>
      </c>
      <c r="J3244" s="2" t="b">
        <v>0</v>
      </c>
      <c r="K3244" s="2" t="b">
        <v>0</v>
      </c>
      <c r="L3244" s="2" t="b">
        <v>0</v>
      </c>
      <c r="M3244" s="2" t="b">
        <v>0</v>
      </c>
      <c r="N3244" s="2" t="s">
        <v>33</v>
      </c>
      <c r="O3244" s="2">
        <v>0.0</v>
      </c>
      <c r="P3244" s="2">
        <v>0.0</v>
      </c>
      <c r="Q3244" s="2">
        <v>0.0</v>
      </c>
      <c r="R3244" s="2">
        <v>0.0</v>
      </c>
      <c r="S3244" s="3" t="s">
        <v>13226</v>
      </c>
      <c r="T3244" s="2" t="s">
        <v>13227</v>
      </c>
      <c r="Y3244" s="4" t="str">
        <f>IFERROR(__xludf.DUMMYFUNCTION("""COMPUTED_VALUE"""),"6.9272559")</f>
        <v>6.9272559</v>
      </c>
      <c r="Z3244" s="4" t="str">
        <f>IFERROR(__xludf.DUMMYFUNCTION("""COMPUTED_VALUE"""),"3.2163853")</f>
        <v>3.2163853</v>
      </c>
      <c r="AA3244" s="4" t="str">
        <f t="shared" si="1"/>
        <v>Neighbor</v>
      </c>
      <c r="AC3244" s="4">
        <f>IFERROR(__xludf.DUMMYFUNCTION("IFERROR(ABS(O3244-AVERAGE(FILTER(O3244:O7312,AA3244:AA7312=""Neighbor""))) / STDEV(FILTER(O3244:O7312, AA3244:AA7312 =""Neighbor"")), """")"),1.3775604665652317)</f>
        <v>1.377560467</v>
      </c>
      <c r="AF3244" s="2">
        <f>IFERROR(__xludf.DUMMYFUNCTION("IFERROR(ABS(R3244-AVERAGE(FILTER(R3244:R7312,AA3244:AA7312=""Neighbor""))) / STDEV(FILTER(R3244:R7312, AA3244:AA7312 =""Neighbor"")), """")"),0.3274849748716547)</f>
        <v>0.3274849749</v>
      </c>
    </row>
    <row r="3245">
      <c r="A3245" s="2" t="s">
        <v>28</v>
      </c>
      <c r="B3245" s="2" t="s">
        <v>3907</v>
      </c>
      <c r="C3245" s="2" t="s">
        <v>4023</v>
      </c>
      <c r="D3245" s="2" t="s">
        <v>13228</v>
      </c>
      <c r="E3245" s="2" t="s">
        <v>13229</v>
      </c>
      <c r="F3245" s="2">
        <v>77.0</v>
      </c>
      <c r="G3245" s="2">
        <v>158.0</v>
      </c>
      <c r="H3245" s="2" t="b">
        <v>1</v>
      </c>
      <c r="I3245" s="2">
        <v>-1.0</v>
      </c>
      <c r="J3245" s="2" t="b">
        <v>0</v>
      </c>
      <c r="K3245" s="2" t="b">
        <v>0</v>
      </c>
      <c r="L3245" s="2" t="b">
        <v>0</v>
      </c>
      <c r="M3245" s="2" t="b">
        <v>0</v>
      </c>
      <c r="N3245" s="2" t="s">
        <v>33</v>
      </c>
      <c r="O3245" s="2">
        <v>54.0</v>
      </c>
      <c r="P3245" s="2">
        <v>11.0</v>
      </c>
      <c r="Q3245" s="2">
        <v>97.0</v>
      </c>
      <c r="R3245" s="2">
        <v>0.0</v>
      </c>
      <c r="S3245" s="3" t="s">
        <v>13230</v>
      </c>
      <c r="T3245" s="2" t="s">
        <v>13231</v>
      </c>
      <c r="Y3245" s="4" t="str">
        <f>IFERROR(__xludf.DUMMYFUNCTION("""COMPUTED_VALUE"""),"6.9279216")</f>
        <v>6.9279216</v>
      </c>
      <c r="Z3245" s="4" t="str">
        <f>IFERROR(__xludf.DUMMYFUNCTION("""COMPUTED_VALUE"""),"3.2183513")</f>
        <v>3.2183513</v>
      </c>
      <c r="AA3245" s="4" t="str">
        <f t="shared" si="1"/>
        <v>Neighbor</v>
      </c>
      <c r="AC3245" s="4">
        <f>IFERROR(__xludf.DUMMYFUNCTION("IFERROR(ABS(O3245-AVERAGE(FILTER(O3245:O7313,AA3245:AA7313=""Neighbor""))) / STDEV(FILTER(O3245:O7313, AA3245:AA7313 =""Neighbor"")), """")"),0.2979813220430504)</f>
        <v>0.297981322</v>
      </c>
      <c r="AF3245" s="2">
        <f>IFERROR(__xludf.DUMMYFUNCTION("IFERROR(ABS(R3245-AVERAGE(FILTER(R3245:R7313,AA3245:AA7313=""Neighbor""))) / STDEV(FILTER(R3245:R7313, AA3245:AA7313 =""Neighbor"")), """")"),0.3280794506701526)</f>
        <v>0.3280794507</v>
      </c>
    </row>
    <row r="3246">
      <c r="A3246" s="2" t="s">
        <v>28</v>
      </c>
      <c r="B3246" s="2" t="s">
        <v>3907</v>
      </c>
      <c r="C3246" s="2" t="s">
        <v>4023</v>
      </c>
      <c r="D3246" s="2" t="s">
        <v>13232</v>
      </c>
      <c r="E3246" s="2" t="s">
        <v>13233</v>
      </c>
      <c r="F3246" s="2">
        <v>44.0</v>
      </c>
      <c r="G3246" s="2">
        <v>71.0</v>
      </c>
      <c r="H3246" s="2" t="b">
        <v>1</v>
      </c>
      <c r="I3246" s="2">
        <v>-1.0</v>
      </c>
      <c r="J3246" s="2" t="b">
        <v>0</v>
      </c>
      <c r="K3246" s="2" t="b">
        <v>0</v>
      </c>
      <c r="L3246" s="2" t="b">
        <v>0</v>
      </c>
      <c r="M3246" s="2" t="b">
        <v>0</v>
      </c>
      <c r="N3246" s="2" t="s">
        <v>33</v>
      </c>
      <c r="O3246" s="2">
        <v>27.0</v>
      </c>
      <c r="P3246" s="2">
        <v>5.0</v>
      </c>
      <c r="Q3246" s="2">
        <v>3.0</v>
      </c>
      <c r="R3246" s="2">
        <v>0.0</v>
      </c>
      <c r="S3246" s="3" t="s">
        <v>13234</v>
      </c>
      <c r="T3246" s="2" t="s">
        <v>13235</v>
      </c>
      <c r="Y3246" s="4" t="str">
        <f>IFERROR(__xludf.DUMMYFUNCTION("""COMPUTED_VALUE"""),"6.9272559")</f>
        <v>6.9272559</v>
      </c>
      <c r="Z3246" s="4" t="str">
        <f>IFERROR(__xludf.DUMMYFUNCTION("""COMPUTED_VALUE"""),"3.2163853")</f>
        <v>3.2163853</v>
      </c>
      <c r="AA3246" s="4" t="str">
        <f t="shared" si="1"/>
        <v>Neighbor</v>
      </c>
      <c r="AC3246" s="4">
        <f>IFERROR(__xludf.DUMMYFUNCTION("IFERROR(ABS(O3246-AVERAGE(FILTER(O3246:O7314,AA3246:AA7314=""Neighbor""))) / STDEV(FILTER(O3246:O7314, AA3246:AA7314 =""Neighbor"")), """")"),0.5412892194741913)</f>
        <v>0.5412892195</v>
      </c>
      <c r="AF3246" s="2">
        <f>IFERROR(__xludf.DUMMYFUNCTION("IFERROR(ABS(R3246-AVERAGE(FILTER(R3246:R7314,AA3246:AA7314=""Neighbor""))) / STDEV(FILTER(R3246:R7314, AA3246:AA7314 =""Neighbor"")), """")"),0.32867717691414344)</f>
        <v>0.3286771769</v>
      </c>
    </row>
    <row r="3247">
      <c r="A3247" s="2" t="s">
        <v>28</v>
      </c>
      <c r="B3247" s="2" t="s">
        <v>3907</v>
      </c>
      <c r="C3247" s="2" t="s">
        <v>4023</v>
      </c>
      <c r="D3247" s="2" t="s">
        <v>13236</v>
      </c>
      <c r="E3247" s="2" t="s">
        <v>13237</v>
      </c>
      <c r="F3247" s="2">
        <v>93.0</v>
      </c>
      <c r="G3247" s="2">
        <v>257.0</v>
      </c>
      <c r="H3247" s="2" t="b">
        <v>1</v>
      </c>
      <c r="I3247" s="2">
        <v>-1.0</v>
      </c>
      <c r="J3247" s="2" t="b">
        <v>0</v>
      </c>
      <c r="K3247" s="2" t="b">
        <v>0</v>
      </c>
      <c r="L3247" s="2" t="b">
        <v>0</v>
      </c>
      <c r="M3247" s="2" t="b">
        <v>0</v>
      </c>
      <c r="N3247" s="2" t="s">
        <v>33</v>
      </c>
      <c r="O3247" s="2">
        <v>49.0</v>
      </c>
      <c r="P3247" s="2">
        <v>37.0</v>
      </c>
      <c r="Q3247" s="2">
        <v>4.0</v>
      </c>
      <c r="R3247" s="2">
        <v>1.0</v>
      </c>
      <c r="S3247" s="3" t="s">
        <v>13238</v>
      </c>
      <c r="T3247" s="2" t="s">
        <v>13239</v>
      </c>
      <c r="Y3247" s="4" t="str">
        <f>IFERROR(__xludf.DUMMYFUNCTION("""COMPUTED_VALUE"""),"6.9258616")</f>
        <v>6.9258616</v>
      </c>
      <c r="Z3247" s="4" t="str">
        <f>IFERROR(__xludf.DUMMYFUNCTION("""COMPUTED_VALUE"""),"3.2123251")</f>
        <v>3.2123251</v>
      </c>
      <c r="AA3247" s="4" t="str">
        <f t="shared" si="1"/>
        <v>Not Neighbor</v>
      </c>
      <c r="AC3247" s="4">
        <f>IFERROR(__xludf.DUMMYFUNCTION("IFERROR(ABS(O3247-AVERAGE(FILTER(O3247:O7315,AA3247:AA7315=""Neighbor""))) / STDEV(FILTER(O3247:O7315, AA3247:AA7315 =""Neighbor"")), """")"),0.14103795269177583)</f>
        <v>0.1410379527</v>
      </c>
      <c r="AF3247" s="2">
        <f>IFERROR(__xludf.DUMMYFUNCTION("IFERROR(ABS(R3247-AVERAGE(FILTER(R3247:R7315,AA3247:AA7315=""Neighbor""))) / STDEV(FILTER(R3247:R7315, AA3247:AA7315 =""Neighbor"")), """")"),0.9137469587772451)</f>
        <v>0.9137469588</v>
      </c>
    </row>
    <row r="3248">
      <c r="A3248" s="2" t="s">
        <v>28</v>
      </c>
      <c r="B3248" s="2" t="s">
        <v>3907</v>
      </c>
      <c r="C3248" s="2" t="s">
        <v>4023</v>
      </c>
      <c r="D3248" s="2" t="s">
        <v>13240</v>
      </c>
      <c r="E3248" s="2" t="s">
        <v>13241</v>
      </c>
      <c r="F3248" s="2">
        <v>38.0</v>
      </c>
      <c r="G3248" s="2">
        <v>89.0</v>
      </c>
      <c r="H3248" s="2" t="b">
        <v>1</v>
      </c>
      <c r="I3248" s="2">
        <v>-1.0</v>
      </c>
      <c r="J3248" s="2" t="b">
        <v>0</v>
      </c>
      <c r="K3248" s="2" t="b">
        <v>1</v>
      </c>
      <c r="L3248" s="2" t="b">
        <v>0</v>
      </c>
      <c r="M3248" s="2" t="b">
        <v>0</v>
      </c>
      <c r="N3248" s="2" t="s">
        <v>33</v>
      </c>
      <c r="O3248" s="2">
        <v>9.0</v>
      </c>
      <c r="P3248" s="2">
        <v>4.0</v>
      </c>
      <c r="Q3248" s="2">
        <v>18.0</v>
      </c>
      <c r="R3248" s="2">
        <v>0.0</v>
      </c>
      <c r="S3248" s="3" t="s">
        <v>13242</v>
      </c>
      <c r="T3248" s="2" t="s">
        <v>13243</v>
      </c>
      <c r="Y3248" s="4" t="str">
        <f>IFERROR(__xludf.DUMMYFUNCTION("""COMPUTED_VALUE"""),"6.9317274")</f>
        <v>6.9317274</v>
      </c>
      <c r="Z3248" s="4" t="str">
        <f>IFERROR(__xludf.DUMMYFUNCTION("""COMPUTED_VALUE"""),"3.2404503")</f>
        <v>3.2404503</v>
      </c>
      <c r="AA3248" s="4" t="str">
        <f t="shared" si="1"/>
        <v>Not Neighbor</v>
      </c>
      <c r="AC3248" s="4">
        <f>IFERROR(__xludf.DUMMYFUNCTION("IFERROR(ABS(O3248-AVERAGE(FILTER(O3248:O7316,AA3248:AA7316=""Neighbor""))) / STDEV(FILTER(O3248:O7316, AA3248:AA7316 =""Neighbor"")), """")"),1.1016596902817124)</f>
        <v>1.10165969</v>
      </c>
      <c r="AF3248" s="2">
        <f>IFERROR(__xludf.DUMMYFUNCTION("IFERROR(ABS(R3248-AVERAGE(FILTER(R3248:R7316,AA3248:AA7316=""Neighbor""))) / STDEV(FILTER(R3248:R7316, AA3248:AA7316 =""Neighbor"")), """")"),0.32927818334315145)</f>
        <v>0.3292781833</v>
      </c>
    </row>
    <row r="3249">
      <c r="A3249" s="2" t="s">
        <v>28</v>
      </c>
      <c r="B3249" s="2" t="s">
        <v>3907</v>
      </c>
      <c r="C3249" s="2" t="s">
        <v>4023</v>
      </c>
      <c r="D3249" s="2" t="s">
        <v>13244</v>
      </c>
      <c r="E3249" s="2" t="s">
        <v>13245</v>
      </c>
      <c r="F3249" s="2">
        <v>42.0</v>
      </c>
      <c r="G3249" s="2">
        <v>82.0</v>
      </c>
      <c r="H3249" s="2" t="b">
        <v>1</v>
      </c>
      <c r="I3249" s="2">
        <v>-1.0</v>
      </c>
      <c r="J3249" s="2" t="b">
        <v>0</v>
      </c>
      <c r="K3249" s="2" t="b">
        <v>0</v>
      </c>
      <c r="L3249" s="2" t="b">
        <v>0</v>
      </c>
      <c r="M3249" s="2" t="b">
        <v>0</v>
      </c>
      <c r="N3249" s="2" t="s">
        <v>33</v>
      </c>
      <c r="O3249" s="2">
        <v>26.0</v>
      </c>
      <c r="P3249" s="2">
        <v>5.0</v>
      </c>
      <c r="Q3249" s="2">
        <v>6.0</v>
      </c>
      <c r="R3249" s="2">
        <v>0.0</v>
      </c>
      <c r="S3249" s="3" t="s">
        <v>13246</v>
      </c>
      <c r="T3249" s="2" t="s">
        <v>13247</v>
      </c>
      <c r="Y3249" s="4" t="str">
        <f>IFERROR(__xludf.DUMMYFUNCTION("""COMPUTED_VALUE"""),"6.9272559")</f>
        <v>6.9272559</v>
      </c>
      <c r="Z3249" s="4" t="str">
        <f>IFERROR(__xludf.DUMMYFUNCTION("""COMPUTED_VALUE"""),"3.2163853")</f>
        <v>3.2163853</v>
      </c>
      <c r="AA3249" s="4" t="str">
        <f t="shared" si="1"/>
        <v>Neighbor</v>
      </c>
      <c r="AC3249" s="4">
        <f>IFERROR(__xludf.DUMMYFUNCTION("IFERROR(ABS(O3249-AVERAGE(FILTER(O3249:O7317,AA3249:AA7317=""Neighbor""))) / STDEV(FILTER(O3249:O7317, AA3249:AA7317 =""Neighbor"")), """")"),0.5735131920179799)</f>
        <v>0.573513192</v>
      </c>
      <c r="AF3249" s="2">
        <f>IFERROR(__xludf.DUMMYFUNCTION("IFERROR(ABS(R3249-AVERAGE(FILTER(R3249:R7317,AA3249:AA7317=""Neighbor""))) / STDEV(FILTER(R3249:R7317, AA3249:AA7317 =""Neighbor"")), """")"),0.32927818334315145)</f>
        <v>0.3292781833</v>
      </c>
    </row>
    <row r="3250">
      <c r="A3250" s="2" t="s">
        <v>28</v>
      </c>
      <c r="B3250" s="2" t="s">
        <v>3907</v>
      </c>
      <c r="C3250" s="2" t="s">
        <v>4023</v>
      </c>
      <c r="D3250" s="2" t="s">
        <v>13248</v>
      </c>
      <c r="E3250" s="2" t="s">
        <v>13249</v>
      </c>
      <c r="F3250" s="2">
        <v>67.0</v>
      </c>
      <c r="G3250" s="2">
        <v>199.0</v>
      </c>
      <c r="H3250" s="2" t="b">
        <v>1</v>
      </c>
      <c r="I3250" s="2">
        <v>-1.0</v>
      </c>
      <c r="J3250" s="2" t="b">
        <v>0</v>
      </c>
      <c r="K3250" s="2" t="b">
        <v>1</v>
      </c>
      <c r="L3250" s="2" t="b">
        <v>0</v>
      </c>
      <c r="M3250" s="2" t="b">
        <v>0</v>
      </c>
      <c r="N3250" s="2" t="s">
        <v>33</v>
      </c>
      <c r="O3250" s="2">
        <v>47.0</v>
      </c>
      <c r="P3250" s="2">
        <v>2.0</v>
      </c>
      <c r="Q3250" s="2">
        <v>1.0</v>
      </c>
      <c r="R3250" s="2">
        <v>0.0</v>
      </c>
      <c r="S3250" s="3" t="s">
        <v>13250</v>
      </c>
      <c r="T3250" s="2" t="s">
        <v>13251</v>
      </c>
      <c r="Y3250" s="4" t="str">
        <f>IFERROR(__xludf.DUMMYFUNCTION("""COMPUTED_VALUE"""),"6.9272559")</f>
        <v>6.9272559</v>
      </c>
      <c r="Z3250" s="4" t="str">
        <f>IFERROR(__xludf.DUMMYFUNCTION("""COMPUTED_VALUE"""),"3.2163853")</f>
        <v>3.2163853</v>
      </c>
      <c r="AA3250" s="4" t="str">
        <f t="shared" si="1"/>
        <v>Neighbor</v>
      </c>
      <c r="AC3250" s="4">
        <f>IFERROR(__xludf.DUMMYFUNCTION("IFERROR(ABS(O3250-AVERAGE(FILTER(O3250:O7318,AA3250:AA7318=""Neighbor""))) / STDEV(FILTER(O3250:O7318, AA3250:AA7318 =""Neighbor"")), """")"),0.07691187536973669)</f>
        <v>0.07691187537</v>
      </c>
      <c r="AF3250" s="2">
        <f>IFERROR(__xludf.DUMMYFUNCTION("IFERROR(ABS(R3250-AVERAGE(FILTER(R3250:R7318,AA3250:AA7318=""Neighbor""))) / STDEV(FILTER(R3250:R7318, AA3250:AA7318 =""Neighbor"")), """")"),0.32988250007915376)</f>
        <v>0.3298825001</v>
      </c>
    </row>
    <row r="3251">
      <c r="A3251" s="2" t="s">
        <v>28</v>
      </c>
      <c r="B3251" s="2" t="s">
        <v>3907</v>
      </c>
      <c r="C3251" s="2" t="s">
        <v>4023</v>
      </c>
      <c r="D3251" s="2" t="s">
        <v>13252</v>
      </c>
      <c r="E3251" s="2" t="s">
        <v>13253</v>
      </c>
      <c r="F3251" s="2">
        <v>95.0</v>
      </c>
      <c r="G3251" s="2">
        <v>144.0</v>
      </c>
      <c r="H3251" s="2" t="b">
        <v>1</v>
      </c>
      <c r="I3251" s="2">
        <v>-1.0</v>
      </c>
      <c r="J3251" s="2" t="b">
        <v>0</v>
      </c>
      <c r="K3251" s="2" t="b">
        <v>0</v>
      </c>
      <c r="L3251" s="2" t="b">
        <v>0</v>
      </c>
      <c r="M3251" s="2" t="b">
        <v>0</v>
      </c>
      <c r="N3251" s="2" t="s">
        <v>33</v>
      </c>
      <c r="O3251" s="2">
        <v>65.0</v>
      </c>
      <c r="P3251" s="2">
        <v>5.0</v>
      </c>
      <c r="Q3251" s="2">
        <v>15.0</v>
      </c>
      <c r="R3251" s="2">
        <v>0.0</v>
      </c>
      <c r="S3251" s="3" t="s">
        <v>13254</v>
      </c>
      <c r="T3251" s="2" t="s">
        <v>13255</v>
      </c>
      <c r="Y3251" s="4" t="str">
        <f>IFERROR(__xludf.DUMMYFUNCTION("""COMPUTED_VALUE"""),"6.9302427")</f>
        <v>6.9302427</v>
      </c>
      <c r="Z3251" s="4" t="str">
        <f>IFERROR(__xludf.DUMMYFUNCTION("""COMPUTED_VALUE"""),"3.2221604")</f>
        <v>3.2221604</v>
      </c>
      <c r="AA3251" s="4" t="str">
        <f t="shared" si="1"/>
        <v>Not Neighbor</v>
      </c>
      <c r="AC3251" s="4">
        <f>IFERROR(__xludf.DUMMYFUNCTION("IFERROR(ABS(O3251-AVERAGE(FILTER(O3251:O7319,AA3251:AA7319=""Neighbor""))) / STDEV(FILTER(O3251:O7319, AA3251:AA7319 =""Neighbor"")), """")"),0.6347045815223424)</f>
        <v>0.6347045815</v>
      </c>
      <c r="AF3251" s="2">
        <f>IFERROR(__xludf.DUMMYFUNCTION("IFERROR(ABS(R3251-AVERAGE(FILTER(R3251:R7319,AA3251:AA7319=""Neighbor""))) / STDEV(FILTER(R3251:R7319, AA3251:AA7319 =""Neighbor"")), """")"),0.3304901576329279)</f>
        <v>0.3304901576</v>
      </c>
    </row>
    <row r="3252">
      <c r="A3252" s="2" t="s">
        <v>28</v>
      </c>
      <c r="B3252" s="2" t="s">
        <v>3907</v>
      </c>
      <c r="C3252" s="2" t="s">
        <v>4023</v>
      </c>
      <c r="D3252" s="2" t="s">
        <v>13256</v>
      </c>
      <c r="E3252" s="2" t="s">
        <v>13257</v>
      </c>
      <c r="F3252" s="2">
        <v>118.0</v>
      </c>
      <c r="G3252" s="2">
        <v>355.0</v>
      </c>
      <c r="H3252" s="2" t="b">
        <v>1</v>
      </c>
      <c r="I3252" s="2">
        <v>-1.0</v>
      </c>
      <c r="J3252" s="2" t="b">
        <v>0</v>
      </c>
      <c r="K3252" s="2" t="b">
        <v>0</v>
      </c>
      <c r="L3252" s="2" t="b">
        <v>0</v>
      </c>
      <c r="M3252" s="2" t="b">
        <v>0</v>
      </c>
      <c r="N3252" s="2" t="s">
        <v>33</v>
      </c>
      <c r="O3252" s="2">
        <v>84.0</v>
      </c>
      <c r="P3252" s="2">
        <v>7.0</v>
      </c>
      <c r="Q3252" s="2">
        <v>9.0</v>
      </c>
      <c r="R3252" s="2">
        <v>0.0</v>
      </c>
      <c r="S3252" s="3" t="s">
        <v>13258</v>
      </c>
      <c r="T3252" s="2" t="s">
        <v>13259</v>
      </c>
      <c r="Y3252" s="4" t="str">
        <f>IFERROR(__xludf.DUMMYFUNCTION("""COMPUTED_VALUE"""),"6.9493014")</f>
        <v>6.9493014</v>
      </c>
      <c r="Z3252" s="4" t="str">
        <f>IFERROR(__xludf.DUMMYFUNCTION("""COMPUTED_VALUE"""),"3.2490449")</f>
        <v>3.2490449</v>
      </c>
      <c r="AA3252" s="4" t="str">
        <f t="shared" si="1"/>
        <v>Not Neighbor</v>
      </c>
      <c r="AC3252" s="4">
        <f>IFERROR(__xludf.DUMMYFUNCTION("IFERROR(ABS(O3252-AVERAGE(FILTER(O3252:O7320,AA3252:AA7320=""Neighbor""))) / STDEV(FILTER(O3252:O7320, AA3252:AA7320 =""Neighbor"")), """")"),1.2233502233507434)</f>
        <v>1.223350223</v>
      </c>
      <c r="AF3252" s="2">
        <f>IFERROR(__xludf.DUMMYFUNCTION("IFERROR(ABS(R3252-AVERAGE(FILTER(R3252:R7320,AA3252:AA7320=""Neighbor""))) / STDEV(FILTER(R3252:R7320, AA3252:AA7320 =""Neighbor"")), """")"),0.3304901576329279)</f>
        <v>0.3304901576</v>
      </c>
    </row>
    <row r="3253">
      <c r="A3253" s="2" t="s">
        <v>28</v>
      </c>
      <c r="B3253" s="2" t="s">
        <v>3907</v>
      </c>
      <c r="C3253" s="2" t="s">
        <v>4023</v>
      </c>
      <c r="D3253" s="2" t="s">
        <v>13260</v>
      </c>
      <c r="E3253" s="2" t="s">
        <v>13261</v>
      </c>
      <c r="F3253" s="2">
        <v>87.0</v>
      </c>
      <c r="G3253" s="2">
        <v>750.0</v>
      </c>
      <c r="H3253" s="2" t="b">
        <v>1</v>
      </c>
      <c r="I3253" s="2">
        <v>-1.0</v>
      </c>
      <c r="J3253" s="2" t="b">
        <v>0</v>
      </c>
      <c r="K3253" s="2" t="b">
        <v>0</v>
      </c>
      <c r="L3253" s="2" t="b">
        <v>0</v>
      </c>
      <c r="M3253" s="2" t="b">
        <v>0</v>
      </c>
      <c r="N3253" s="2" t="s">
        <v>33</v>
      </c>
      <c r="O3253" s="2">
        <v>50.0</v>
      </c>
      <c r="P3253" s="2">
        <v>21.0</v>
      </c>
      <c r="Q3253" s="2">
        <v>8.0</v>
      </c>
      <c r="R3253" s="2">
        <v>0.0</v>
      </c>
      <c r="S3253" s="3" t="s">
        <v>13262</v>
      </c>
      <c r="T3253" s="2" t="s">
        <v>13263</v>
      </c>
      <c r="Y3253" s="4" t="str">
        <f>IFERROR(__xludf.DUMMYFUNCTION("""COMPUTED_VALUE"""),"6.498293")</f>
        <v>6.498293</v>
      </c>
      <c r="Z3253" s="4" t="str">
        <f>IFERROR(__xludf.DUMMYFUNCTION("""COMPUTED_VALUE"""),"3.348572")</f>
        <v>3.348572</v>
      </c>
      <c r="AA3253" s="4" t="str">
        <f t="shared" si="1"/>
        <v>Not Neighbor</v>
      </c>
      <c r="AC3253" s="4">
        <f>IFERROR(__xludf.DUMMYFUNCTION("IFERROR(ABS(O3253-AVERAGE(FILTER(O3253:O7321,AA3253:AA7321=""Neighbor""))) / STDEV(FILTER(O3253:O7321, AA3253:AA7321 =""Neighbor"")), """")"),0.16998433797360485)</f>
        <v>0.169984338</v>
      </c>
      <c r="AF3253" s="2">
        <f>IFERROR(__xludf.DUMMYFUNCTION("IFERROR(ABS(R3253-AVERAGE(FILTER(R3253:R7321,AA3253:AA7321=""Neighbor""))) / STDEV(FILTER(R3253:R7321, AA3253:AA7321 =""Neighbor"")), """")"),0.3304901576329279)</f>
        <v>0.3304901576</v>
      </c>
    </row>
    <row r="3254">
      <c r="A3254" s="2" t="s">
        <v>28</v>
      </c>
      <c r="B3254" s="2" t="s">
        <v>3907</v>
      </c>
      <c r="C3254" s="2" t="s">
        <v>4023</v>
      </c>
      <c r="D3254" s="2" t="s">
        <v>13264</v>
      </c>
      <c r="E3254" s="2" t="s">
        <v>13265</v>
      </c>
      <c r="F3254" s="2">
        <v>25.0</v>
      </c>
      <c r="G3254" s="2">
        <v>74.0</v>
      </c>
      <c r="H3254" s="2" t="b">
        <v>1</v>
      </c>
      <c r="I3254" s="2">
        <v>-1.0</v>
      </c>
      <c r="J3254" s="2" t="b">
        <v>0</v>
      </c>
      <c r="K3254" s="2" t="b">
        <v>0</v>
      </c>
      <c r="L3254" s="2" t="b">
        <v>0</v>
      </c>
      <c r="M3254" s="2" t="b">
        <v>0</v>
      </c>
      <c r="N3254" s="2" t="s">
        <v>33</v>
      </c>
      <c r="O3254" s="2">
        <v>3.0</v>
      </c>
      <c r="P3254" s="2">
        <v>7.0</v>
      </c>
      <c r="Q3254" s="2">
        <v>2.0</v>
      </c>
      <c r="R3254" s="2">
        <v>0.0</v>
      </c>
      <c r="S3254" s="3" t="s">
        <v>13266</v>
      </c>
      <c r="T3254" s="2" t="s">
        <v>13267</v>
      </c>
      <c r="Y3254" s="4" t="str">
        <f>IFERROR(__xludf.DUMMYFUNCTION("""COMPUTED_VALUE"""),"6.9272559")</f>
        <v>6.9272559</v>
      </c>
      <c r="Z3254" s="4" t="str">
        <f>IFERROR(__xludf.DUMMYFUNCTION("""COMPUTED_VALUE"""),"3.2163853")</f>
        <v>3.2163853</v>
      </c>
      <c r="AA3254" s="4" t="str">
        <f t="shared" si="1"/>
        <v>Neighbor</v>
      </c>
      <c r="AC3254" s="4">
        <f>IFERROR(__xludf.DUMMYFUNCTION("IFERROR(ABS(O3254-AVERAGE(FILTER(O3254:O7322,AA3254:AA7322=""Neighbor""))) / STDEV(FILTER(O3254:O7322, AA3254:AA7322 =""Neighbor"")), """")"),1.2861390918124396)</f>
        <v>1.286139092</v>
      </c>
      <c r="AF3254" s="2">
        <f>IFERROR(__xludf.DUMMYFUNCTION("IFERROR(ABS(R3254-AVERAGE(FILTER(R3254:R7322,AA3254:AA7322=""Neighbor""))) / STDEV(FILTER(R3254:R7322, AA3254:AA7322 =""Neighbor"")), """")"),0.3304901576329279)</f>
        <v>0.3304901576</v>
      </c>
    </row>
    <row r="3255">
      <c r="A3255" s="2" t="s">
        <v>28</v>
      </c>
      <c r="B3255" s="2" t="s">
        <v>3907</v>
      </c>
      <c r="C3255" s="2" t="s">
        <v>4023</v>
      </c>
      <c r="D3255" s="2" t="s">
        <v>13268</v>
      </c>
      <c r="E3255" s="2" t="s">
        <v>13269</v>
      </c>
      <c r="F3255" s="2">
        <v>75.0</v>
      </c>
      <c r="G3255" s="2">
        <v>143.0</v>
      </c>
      <c r="H3255" s="2" t="b">
        <v>1</v>
      </c>
      <c r="I3255" s="2">
        <v>-1.0</v>
      </c>
      <c r="J3255" s="2" t="b">
        <v>0</v>
      </c>
      <c r="K3255" s="2" t="b">
        <v>1</v>
      </c>
      <c r="L3255" s="2" t="b">
        <v>0</v>
      </c>
      <c r="M3255" s="2" t="b">
        <v>0</v>
      </c>
      <c r="N3255" s="2" t="s">
        <v>33</v>
      </c>
      <c r="O3255" s="2">
        <v>52.0</v>
      </c>
      <c r="P3255" s="2">
        <v>12.0</v>
      </c>
      <c r="Q3255" s="2">
        <v>4.0</v>
      </c>
      <c r="R3255" s="2">
        <v>0.0</v>
      </c>
      <c r="S3255" s="3" t="s">
        <v>13270</v>
      </c>
      <c r="T3255" s="2" t="s">
        <v>13271</v>
      </c>
      <c r="Y3255" s="4" t="str">
        <f>IFERROR(__xludf.DUMMYFUNCTION("""COMPUTED_VALUE"""),"6.9272559")</f>
        <v>6.9272559</v>
      </c>
      <c r="Z3255" s="4" t="str">
        <f>IFERROR(__xludf.DUMMYFUNCTION("""COMPUTED_VALUE"""),"3.2163853")</f>
        <v>3.2163853</v>
      </c>
      <c r="AA3255" s="4" t="str">
        <f t="shared" si="1"/>
        <v>Not Neighbor</v>
      </c>
      <c r="AC3255" s="4">
        <f>IFERROR(__xludf.DUMMYFUNCTION("IFERROR(ABS(O3255-AVERAGE(FILTER(O3255:O7323,AA3255:AA7323=""Neighbor""))) / STDEV(FILTER(O3255:O7323, AA3255:AA7323 =""Neighbor"")), """")"),0.2278979585106725)</f>
        <v>0.2278979585</v>
      </c>
      <c r="AF3255" s="2">
        <f>IFERROR(__xludf.DUMMYFUNCTION("IFERROR(ABS(R3255-AVERAGE(FILTER(R3255:R7323,AA3255:AA7323=""Neighbor""))) / STDEV(FILTER(R3255:R7323, AA3255:AA7323 =""Neighbor"")), """")"),0.3311011869105311)</f>
        <v>0.3311011869</v>
      </c>
    </row>
    <row r="3256">
      <c r="A3256" s="2" t="s">
        <v>28</v>
      </c>
      <c r="B3256" s="2" t="s">
        <v>3907</v>
      </c>
      <c r="C3256" s="2" t="s">
        <v>4023</v>
      </c>
      <c r="D3256" s="2" t="s">
        <v>13272</v>
      </c>
      <c r="E3256" s="2" t="s">
        <v>13273</v>
      </c>
      <c r="F3256" s="2">
        <v>78.0</v>
      </c>
      <c r="G3256" s="2">
        <v>241.0</v>
      </c>
      <c r="H3256" s="2" t="b">
        <v>1</v>
      </c>
      <c r="I3256" s="2">
        <v>-1.0</v>
      </c>
      <c r="J3256" s="2" t="b">
        <v>0</v>
      </c>
      <c r="K3256" s="2" t="b">
        <v>0</v>
      </c>
      <c r="L3256" s="2" t="b">
        <v>0</v>
      </c>
      <c r="M3256" s="2" t="b">
        <v>0</v>
      </c>
      <c r="N3256" s="2" t="s">
        <v>33</v>
      </c>
      <c r="O3256" s="2">
        <v>25.0</v>
      </c>
      <c r="P3256" s="2">
        <v>19.0</v>
      </c>
      <c r="Q3256" s="2">
        <v>23.0</v>
      </c>
      <c r="R3256" s="2">
        <v>0.0</v>
      </c>
      <c r="S3256" s="3" t="s">
        <v>13274</v>
      </c>
      <c r="T3256" s="2" t="s">
        <v>13275</v>
      </c>
      <c r="Y3256" s="4" t="str">
        <f>IFERROR(__xludf.DUMMYFUNCTION("""COMPUTED_VALUE"""),"6.9141326")</f>
        <v>6.9141326</v>
      </c>
      <c r="Z3256" s="4" t="str">
        <f>IFERROR(__xludf.DUMMYFUNCTION("""COMPUTED_VALUE"""),"3.2168915")</f>
        <v>3.2168915</v>
      </c>
      <c r="AA3256" s="4" t="str">
        <f t="shared" si="1"/>
        <v>Neighbor</v>
      </c>
      <c r="AC3256" s="4">
        <f>IFERROR(__xludf.DUMMYFUNCTION("IFERROR(ABS(O3256-AVERAGE(FILTER(O3256:O7324,AA3256:AA7324=""Neighbor""))) / STDEV(FILTER(O3256:O7324, AA3256:AA7324 =""Neighbor"")), """")"),0.6095259008687807)</f>
        <v>0.6095259009</v>
      </c>
      <c r="AF3256" s="2">
        <f>IFERROR(__xludf.DUMMYFUNCTION("IFERROR(ABS(R3256-AVERAGE(FILTER(R3256:R7324,AA3256:AA7324=""Neighbor""))) / STDEV(FILTER(R3256:R7324, AA3256:AA7324 =""Neighbor"")), """")"),0.3311011869105311)</f>
        <v>0.3311011869</v>
      </c>
    </row>
    <row r="3257">
      <c r="A3257" s="2" t="s">
        <v>28</v>
      </c>
      <c r="B3257" s="2" t="s">
        <v>3907</v>
      </c>
      <c r="C3257" s="2" t="s">
        <v>4023</v>
      </c>
      <c r="D3257" s="2" t="s">
        <v>13276</v>
      </c>
      <c r="E3257" s="2" t="s">
        <v>13277</v>
      </c>
      <c r="F3257" s="2">
        <v>97.0</v>
      </c>
      <c r="G3257" s="2">
        <v>317.0</v>
      </c>
      <c r="H3257" s="2" t="b">
        <v>1</v>
      </c>
      <c r="I3257" s="2">
        <v>-1.0</v>
      </c>
      <c r="J3257" s="2" t="b">
        <v>0</v>
      </c>
      <c r="K3257" s="2" t="b">
        <v>0</v>
      </c>
      <c r="L3257" s="2" t="b">
        <v>0</v>
      </c>
      <c r="M3257" s="2" t="b">
        <v>0</v>
      </c>
      <c r="N3257" s="2" t="s">
        <v>33</v>
      </c>
      <c r="O3257" s="2">
        <v>60.0</v>
      </c>
      <c r="P3257" s="2">
        <v>16.0</v>
      </c>
      <c r="Q3257" s="2">
        <v>17.0</v>
      </c>
      <c r="R3257" s="2">
        <v>0.0</v>
      </c>
      <c r="S3257" s="3" t="s">
        <v>13278</v>
      </c>
      <c r="T3257" s="2" t="s">
        <v>13279</v>
      </c>
      <c r="Y3257" s="4" t="str">
        <f>IFERROR(__xludf.DUMMYFUNCTION("""COMPUTED_VALUE"""),"6.9141326")</f>
        <v>6.9141326</v>
      </c>
      <c r="Z3257" s="4" t="str">
        <f>IFERROR(__xludf.DUMMYFUNCTION("""COMPUTED_VALUE"""),"3.2168915")</f>
        <v>3.2168915</v>
      </c>
      <c r="AA3257" s="4" t="str">
        <f t="shared" si="1"/>
        <v>Not Neighbor</v>
      </c>
      <c r="AC3257" s="4">
        <f>IFERROR(__xludf.DUMMYFUNCTION("IFERROR(ABS(O3257-AVERAGE(FILTER(O3257:O7325,AA3257:AA7325=""Neighbor""))) / STDEV(FILTER(O3257:O7325, AA3257:AA7325 =""Neighbor"")), """")"),0.4734784539279673)</f>
        <v>0.4734784539</v>
      </c>
      <c r="AF3257" s="2">
        <f>IFERROR(__xludf.DUMMYFUNCTION("IFERROR(ABS(R3257-AVERAGE(FILTER(R3257:R7325,AA3257:AA7325=""Neighbor""))) / STDEV(FILTER(R3257:R7325, AA3257:AA7325 =""Neighbor"")), """")"),0.3317156192199096)</f>
        <v>0.3317156192</v>
      </c>
    </row>
    <row r="3258">
      <c r="A3258" s="2" t="s">
        <v>28</v>
      </c>
      <c r="B3258" s="2" t="s">
        <v>3907</v>
      </c>
      <c r="C3258" s="2" t="s">
        <v>4023</v>
      </c>
      <c r="D3258" s="2" t="s">
        <v>13280</v>
      </c>
      <c r="E3258" s="2" t="s">
        <v>13281</v>
      </c>
      <c r="F3258" s="2">
        <v>82.0</v>
      </c>
      <c r="G3258" s="2">
        <v>195.0</v>
      </c>
      <c r="H3258" s="2" t="b">
        <v>1</v>
      </c>
      <c r="I3258" s="2">
        <v>-1.0</v>
      </c>
      <c r="J3258" s="2" t="b">
        <v>0</v>
      </c>
      <c r="K3258" s="2" t="b">
        <v>0</v>
      </c>
      <c r="L3258" s="2" t="b">
        <v>0</v>
      </c>
      <c r="M3258" s="2" t="b">
        <v>0</v>
      </c>
      <c r="N3258" s="2" t="s">
        <v>33</v>
      </c>
      <c r="O3258" s="2">
        <v>33.0</v>
      </c>
      <c r="P3258" s="2">
        <v>19.0</v>
      </c>
      <c r="Q3258" s="2">
        <v>18.0</v>
      </c>
      <c r="R3258" s="2">
        <v>0.0</v>
      </c>
      <c r="S3258" s="3" t="s">
        <v>13282</v>
      </c>
      <c r="T3258" s="2" t="s">
        <v>13283</v>
      </c>
      <c r="Y3258" s="4" t="str">
        <f>IFERROR(__xludf.DUMMYFUNCTION("""COMPUTED_VALUE"""),"6.9272559")</f>
        <v>6.9272559</v>
      </c>
      <c r="Z3258" s="4" t="str">
        <f>IFERROR(__xludf.DUMMYFUNCTION("""COMPUTED_VALUE"""),"3.2163853")</f>
        <v>3.2163853</v>
      </c>
      <c r="AA3258" s="4" t="str">
        <f t="shared" si="1"/>
        <v>Not Neighbor</v>
      </c>
      <c r="AC3258" s="4">
        <f>IFERROR(__xludf.DUMMYFUNCTION("IFERROR(ABS(O3258-AVERAGE(FILTER(O3258:O7326,AA3258:AA7326=""Neighbor""))) / STDEV(FILTER(O3258:O7326, AA3258:AA7326 =""Neighbor"")), """")"),0.36306252988942933)</f>
        <v>0.3630625299</v>
      </c>
      <c r="AF3258" s="2">
        <f>IFERROR(__xludf.DUMMYFUNCTION("IFERROR(ABS(R3258-AVERAGE(FILTER(R3258:R7326,AA3258:AA7326=""Neighbor""))) / STDEV(FILTER(R3258:R7326, AA3258:AA7326 =""Neighbor"")), """")"),0.3317156192199096)</f>
        <v>0.3317156192</v>
      </c>
    </row>
    <row r="3259">
      <c r="A3259" s="2" t="s">
        <v>28</v>
      </c>
      <c r="B3259" s="2" t="s">
        <v>3907</v>
      </c>
      <c r="C3259" s="2" t="s">
        <v>4023</v>
      </c>
      <c r="D3259" s="2" t="s">
        <v>13284</v>
      </c>
      <c r="E3259" s="2" t="s">
        <v>13285</v>
      </c>
      <c r="F3259" s="2">
        <v>31.0</v>
      </c>
      <c r="G3259" s="2">
        <v>74.0</v>
      </c>
      <c r="H3259" s="2" t="b">
        <v>1</v>
      </c>
      <c r="I3259" s="2">
        <v>-1.0</v>
      </c>
      <c r="J3259" s="2" t="b">
        <v>0</v>
      </c>
      <c r="K3259" s="2" t="b">
        <v>0</v>
      </c>
      <c r="L3259" s="2" t="b">
        <v>0</v>
      </c>
      <c r="M3259" s="2" t="b">
        <v>0</v>
      </c>
      <c r="N3259" s="2" t="s">
        <v>33</v>
      </c>
      <c r="O3259" s="2">
        <v>22.0</v>
      </c>
      <c r="P3259" s="2">
        <v>3.0</v>
      </c>
      <c r="Q3259" s="2">
        <v>1.0</v>
      </c>
      <c r="R3259" s="2">
        <v>0.0</v>
      </c>
      <c r="S3259" s="3" t="s">
        <v>13286</v>
      </c>
      <c r="T3259" s="2" t="s">
        <v>13287</v>
      </c>
      <c r="Y3259" s="4" t="str">
        <f>IFERROR(__xludf.DUMMYFUNCTION("""COMPUTED_VALUE"""),"6.9239202")</f>
        <v>6.9239202</v>
      </c>
      <c r="Z3259" s="4" t="str">
        <f>IFERROR(__xludf.DUMMYFUNCTION("""COMPUTED_VALUE"""),"3.2059013")</f>
        <v>3.2059013</v>
      </c>
      <c r="AA3259" s="4" t="str">
        <f t="shared" si="1"/>
        <v>Neighbor</v>
      </c>
      <c r="AC3259" s="4">
        <f>IFERROR(__xludf.DUMMYFUNCTION("IFERROR(ABS(O3259-AVERAGE(FILTER(O3259:O7327,AA3259:AA7327=""Neighbor""))) / STDEV(FILTER(O3259:O7327, AA3259:AA7327 =""Neighbor"")), """")"),0.7038755232965168)</f>
        <v>0.7038755233</v>
      </c>
      <c r="AF3259" s="2">
        <f>IFERROR(__xludf.DUMMYFUNCTION("IFERROR(ABS(R3259-AVERAGE(FILTER(R3259:R7327,AA3259:AA7327=""Neighbor""))) / STDEV(FILTER(R3259:R7327, AA3259:AA7327 =""Neighbor"")), """")"),0.3317156192199096)</f>
        <v>0.3317156192</v>
      </c>
    </row>
    <row r="3260">
      <c r="A3260" s="2" t="s">
        <v>28</v>
      </c>
      <c r="B3260" s="2" t="s">
        <v>3907</v>
      </c>
      <c r="C3260" s="2" t="s">
        <v>4023</v>
      </c>
      <c r="D3260" s="2" t="s">
        <v>13288</v>
      </c>
      <c r="E3260" s="2" t="s">
        <v>13289</v>
      </c>
      <c r="F3260" s="2">
        <v>60.0</v>
      </c>
      <c r="G3260" s="2">
        <v>230.0</v>
      </c>
      <c r="H3260" s="2" t="b">
        <v>1</v>
      </c>
      <c r="I3260" s="2">
        <v>-1.0</v>
      </c>
      <c r="J3260" s="2" t="b">
        <v>0</v>
      </c>
      <c r="K3260" s="2" t="b">
        <v>0</v>
      </c>
      <c r="L3260" s="2" t="b">
        <v>0</v>
      </c>
      <c r="M3260" s="2" t="b">
        <v>0</v>
      </c>
      <c r="N3260" s="2" t="s">
        <v>33</v>
      </c>
      <c r="O3260" s="2">
        <v>27.0</v>
      </c>
      <c r="P3260" s="2">
        <v>28.0</v>
      </c>
      <c r="Q3260" s="2">
        <v>3.0</v>
      </c>
      <c r="R3260" s="2">
        <v>0.0</v>
      </c>
      <c r="S3260" s="3" t="s">
        <v>13290</v>
      </c>
      <c r="T3260" s="2" t="s">
        <v>13291</v>
      </c>
      <c r="Y3260" s="4" t="str">
        <f>IFERROR(__xludf.DUMMYFUNCTION("""COMPUTED_VALUE"""),"6.9239202")</f>
        <v>6.9239202</v>
      </c>
      <c r="Z3260" s="4" t="str">
        <f>IFERROR(__xludf.DUMMYFUNCTION("""COMPUTED_VALUE"""),"3.2059013")</f>
        <v>3.2059013</v>
      </c>
      <c r="AA3260" s="4" t="str">
        <f t="shared" si="1"/>
        <v>Not Neighbor</v>
      </c>
      <c r="AC3260" s="4">
        <f>IFERROR(__xludf.DUMMYFUNCTION("IFERROR(ABS(O3260-AVERAGE(FILTER(O3260:O7328,AA3260:AA7328=""Neighbor""))) / STDEV(FILTER(O3260:O7328, AA3260:AA7328 =""Neighbor"")), """")"),0.5508627302534582)</f>
        <v>0.5508627303</v>
      </c>
      <c r="AF3260" s="2">
        <f>IFERROR(__xludf.DUMMYFUNCTION("IFERROR(ABS(R3260-AVERAGE(FILTER(R3260:R7328,AA3260:AA7328=""Neighbor""))) / STDEV(FILTER(R3260:R7328, AA3260:AA7328 =""Neighbor"")), """")"),0.3323334862776457)</f>
        <v>0.3323334863</v>
      </c>
    </row>
    <row r="3261">
      <c r="A3261" s="2" t="s">
        <v>28</v>
      </c>
      <c r="B3261" s="2" t="s">
        <v>3907</v>
      </c>
      <c r="C3261" s="2" t="s">
        <v>4321</v>
      </c>
      <c r="D3261" s="2" t="s">
        <v>13292</v>
      </c>
      <c r="E3261" s="2" t="s">
        <v>13293</v>
      </c>
      <c r="F3261" s="2">
        <v>149.0</v>
      </c>
      <c r="G3261" s="2">
        <v>269.0</v>
      </c>
      <c r="H3261" s="2" t="b">
        <v>1</v>
      </c>
      <c r="I3261" s="2">
        <v>-1.0</v>
      </c>
      <c r="J3261" s="2" t="b">
        <v>0</v>
      </c>
      <c r="K3261" s="2" t="b">
        <v>0</v>
      </c>
      <c r="L3261" s="2" t="b">
        <v>0</v>
      </c>
      <c r="M3261" s="2" t="b">
        <v>0</v>
      </c>
      <c r="N3261" s="2" t="s">
        <v>33</v>
      </c>
      <c r="O3261" s="2">
        <v>45.0</v>
      </c>
      <c r="P3261" s="2">
        <v>23.0</v>
      </c>
      <c r="Q3261" s="2">
        <v>52.0</v>
      </c>
      <c r="R3261" s="2">
        <v>1.0</v>
      </c>
      <c r="S3261" s="3" t="s">
        <v>13294</v>
      </c>
      <c r="T3261" s="2" t="s">
        <v>13295</v>
      </c>
      <c r="Y3261" s="4" t="str">
        <f>IFERROR(__xludf.DUMMYFUNCTION("""COMPUTED_VALUE"""),"7.1444356")</f>
        <v>7.1444356</v>
      </c>
      <c r="Z3261" s="4" t="str">
        <f>IFERROR(__xludf.DUMMYFUNCTION("""COMPUTED_VALUE"""),"3.3382652")</f>
        <v>3.3382652</v>
      </c>
      <c r="AA3261" s="4" t="str">
        <f t="shared" si="1"/>
        <v>Not Neighbor</v>
      </c>
      <c r="AC3261" s="4">
        <f>IFERROR(__xludf.DUMMYFUNCTION("IFERROR(ABS(O3261-AVERAGE(FILTER(O3261:O7329,AA3261:AA7329=""Neighbor""))) / STDEV(FILTER(O3261:O7329, AA3261:AA7329 =""Neighbor"")), """")"),0.006358112875205438)</f>
        <v>0.006358112875</v>
      </c>
      <c r="AF3261" s="2">
        <f>IFERROR(__xludf.DUMMYFUNCTION("IFERROR(ABS(R3261-AVERAGE(FILTER(R3261:R7329,AA3261:AA7329=""Neighbor""))) / STDEV(FILTER(R3261:R7329, AA3261:AA7329 =""Neighbor"")), """")"),0.901454581528114)</f>
        <v>0.9014545815</v>
      </c>
    </row>
    <row r="3262">
      <c r="A3262" s="2" t="s">
        <v>28</v>
      </c>
      <c r="B3262" s="2" t="s">
        <v>3907</v>
      </c>
      <c r="C3262" s="2" t="s">
        <v>4321</v>
      </c>
      <c r="D3262" s="2" t="s">
        <v>13296</v>
      </c>
      <c r="E3262" s="2" t="s">
        <v>13297</v>
      </c>
      <c r="F3262" s="2">
        <v>130.0</v>
      </c>
      <c r="G3262" s="2">
        <v>236.0</v>
      </c>
      <c r="H3262" s="2" t="b">
        <v>1</v>
      </c>
      <c r="I3262" s="2">
        <v>-1.0</v>
      </c>
      <c r="J3262" s="2" t="b">
        <v>0</v>
      </c>
      <c r="K3262" s="2" t="b">
        <v>0</v>
      </c>
      <c r="L3262" s="2" t="b">
        <v>0</v>
      </c>
      <c r="M3262" s="2" t="b">
        <v>0</v>
      </c>
      <c r="N3262" s="2" t="s">
        <v>33</v>
      </c>
      <c r="O3262" s="2">
        <v>29.0</v>
      </c>
      <c r="P3262" s="2">
        <v>14.0</v>
      </c>
      <c r="Q3262" s="2">
        <v>40.0</v>
      </c>
      <c r="R3262" s="2">
        <v>1.0</v>
      </c>
      <c r="S3262" s="3" t="s">
        <v>13298</v>
      </c>
      <c r="T3262" s="2" t="s">
        <v>13299</v>
      </c>
      <c r="Y3262" s="4" t="str">
        <f>IFERROR(__xludf.DUMMYFUNCTION("""COMPUTED_VALUE"""),"7.0921594")</f>
        <v>7.0921594</v>
      </c>
      <c r="Z3262" s="4" t="str">
        <f>IFERROR(__xludf.DUMMYFUNCTION("""COMPUTED_VALUE"""),"3.2946586")</f>
        <v>3.2946586</v>
      </c>
      <c r="AA3262" s="4" t="str">
        <f t="shared" si="1"/>
        <v>Not Neighbor</v>
      </c>
      <c r="AC3262" s="4">
        <f>IFERROR(__xludf.DUMMYFUNCTION("IFERROR(ABS(O3262-AVERAGE(FILTER(O3262:O7330,AA3262:AA7330=""Neighbor""))) / STDEV(FILTER(O3262:O7330, AA3262:AA7330 =""Neighbor"")), """")"),0.48894930323916225)</f>
        <v>0.4889493032</v>
      </c>
      <c r="AF3262" s="2">
        <f>IFERROR(__xludf.DUMMYFUNCTION("IFERROR(ABS(R3262-AVERAGE(FILTER(R3262:R7330,AA3262:AA7330=""Neighbor""))) / STDEV(FILTER(R3262:R7330, AA3262:AA7330 =""Neighbor"")), """")"),0.901454581528114)</f>
        <v>0.9014545815</v>
      </c>
    </row>
    <row r="3263">
      <c r="A3263" s="2" t="s">
        <v>28</v>
      </c>
      <c r="B3263" s="2" t="s">
        <v>3907</v>
      </c>
      <c r="C3263" s="2" t="s">
        <v>4321</v>
      </c>
      <c r="D3263" s="2" t="s">
        <v>13300</v>
      </c>
      <c r="E3263" s="2" t="s">
        <v>13301</v>
      </c>
      <c r="F3263" s="2">
        <v>133.0</v>
      </c>
      <c r="G3263" s="2">
        <v>241.0</v>
      </c>
      <c r="H3263" s="2" t="b">
        <v>1</v>
      </c>
      <c r="I3263" s="2">
        <v>-1.0</v>
      </c>
      <c r="J3263" s="2" t="b">
        <v>0</v>
      </c>
      <c r="K3263" s="2" t="b">
        <v>0</v>
      </c>
      <c r="L3263" s="2" t="b">
        <v>0</v>
      </c>
      <c r="M3263" s="2" t="b">
        <v>0</v>
      </c>
      <c r="N3263" s="2" t="s">
        <v>33</v>
      </c>
      <c r="O3263" s="2">
        <v>74.0</v>
      </c>
      <c r="P3263" s="2">
        <v>42.0</v>
      </c>
      <c r="Q3263" s="2">
        <v>12.0</v>
      </c>
      <c r="R3263" s="2">
        <v>0.0</v>
      </c>
      <c r="S3263" s="3" t="s">
        <v>13302</v>
      </c>
      <c r="T3263" s="2" t="s">
        <v>13303</v>
      </c>
      <c r="Y3263" s="4" t="str">
        <f>IFERROR(__xludf.DUMMYFUNCTION("""COMPUTED_VALUE"""),"7.0705723")</f>
        <v>7.0705723</v>
      </c>
      <c r="Z3263" s="4" t="str">
        <f>IFERROR(__xludf.DUMMYFUNCTION("""COMPUTED_VALUE"""),"3.2885455")</f>
        <v>3.2885455</v>
      </c>
      <c r="AA3263" s="4" t="str">
        <f t="shared" si="1"/>
        <v>Neighbor</v>
      </c>
      <c r="AC3263" s="4">
        <f>IFERROR(__xludf.DUMMYFUNCTION("IFERROR(ABS(O3263-AVERAGE(FILTER(O3263:O7331,AA3263:AA7331=""Neighbor""))) / STDEV(FILTER(O3263:O7331, AA3263:AA7331 =""Neighbor"")), """")"),0.9041028045824968)</f>
        <v>0.9041028046</v>
      </c>
      <c r="AF3263" s="2">
        <f>IFERROR(__xludf.DUMMYFUNCTION("IFERROR(ABS(R3263-AVERAGE(FILTER(R3263:R7331,AA3263:AA7331=""Neighbor""))) / STDEV(FILTER(R3263:R7331, AA3263:AA7331 =""Neighbor"")), """")"),0.3323334862776457)</f>
        <v>0.3323334863</v>
      </c>
    </row>
    <row r="3264">
      <c r="A3264" s="2" t="s">
        <v>28</v>
      </c>
      <c r="B3264" s="2" t="s">
        <v>3907</v>
      </c>
      <c r="C3264" s="2" t="s">
        <v>4321</v>
      </c>
      <c r="D3264" s="2" t="s">
        <v>13304</v>
      </c>
      <c r="E3264" s="2" t="s">
        <v>13305</v>
      </c>
      <c r="F3264" s="2">
        <v>219.0</v>
      </c>
      <c r="G3264" s="2">
        <v>527.0</v>
      </c>
      <c r="H3264" s="2" t="b">
        <v>1</v>
      </c>
      <c r="I3264" s="2">
        <v>-1.0</v>
      </c>
      <c r="J3264" s="2" t="b">
        <v>0</v>
      </c>
      <c r="K3264" s="2" t="b">
        <v>0</v>
      </c>
      <c r="L3264" s="2" t="b">
        <v>0</v>
      </c>
      <c r="M3264" s="2" t="b">
        <v>0</v>
      </c>
      <c r="N3264" s="2" t="s">
        <v>33</v>
      </c>
      <c r="O3264" s="2">
        <v>65.0</v>
      </c>
      <c r="P3264" s="2">
        <v>64.0</v>
      </c>
      <c r="Q3264" s="2">
        <v>45.0</v>
      </c>
      <c r="R3264" s="2">
        <v>0.0</v>
      </c>
      <c r="S3264" s="3" t="s">
        <v>13306</v>
      </c>
      <c r="T3264" s="2" t="s">
        <v>13307</v>
      </c>
      <c r="Y3264" s="4" t="str">
        <f>IFERROR(__xludf.DUMMYFUNCTION("""COMPUTED_VALUE"""),"7.0705723")</f>
        <v>7.0705723</v>
      </c>
      <c r="Z3264" s="4" t="str">
        <f>IFERROR(__xludf.DUMMYFUNCTION("""COMPUTED_VALUE"""),"3.2885455")</f>
        <v>3.2885455</v>
      </c>
      <c r="AA3264" s="4" t="str">
        <f t="shared" si="1"/>
        <v>Neighbor</v>
      </c>
      <c r="AC3264" s="4">
        <f>IFERROR(__xludf.DUMMYFUNCTION("IFERROR(ABS(O3264-AVERAGE(FILTER(O3264:O7332,AA3264:AA7332=""Neighbor""))) / STDEV(FILTER(O3264:O7332, AA3264:AA7332 =""Neighbor"")), """")"),0.6283552859478773)</f>
        <v>0.6283552859</v>
      </c>
      <c r="AF3264" s="2">
        <f>IFERROR(__xludf.DUMMYFUNCTION("IFERROR(ABS(R3264-AVERAGE(FILTER(R3264:R7332,AA3264:AA7332=""Neighbor""))) / STDEV(FILTER(R3264:R7332, AA3264:AA7332 =""Neighbor"")), """")"),0.3329548202158416)</f>
        <v>0.3329548202</v>
      </c>
    </row>
    <row r="3265">
      <c r="A3265" s="2" t="s">
        <v>28</v>
      </c>
      <c r="B3265" s="2" t="s">
        <v>3907</v>
      </c>
      <c r="C3265" s="2" t="s">
        <v>4321</v>
      </c>
      <c r="D3265" s="2" t="s">
        <v>13308</v>
      </c>
      <c r="E3265" s="2" t="s">
        <v>13309</v>
      </c>
      <c r="F3265" s="2">
        <v>56.0</v>
      </c>
      <c r="G3265" s="2">
        <v>118.0</v>
      </c>
      <c r="H3265" s="2" t="b">
        <v>1</v>
      </c>
      <c r="I3265" s="2">
        <v>-1.0</v>
      </c>
      <c r="J3265" s="2" t="b">
        <v>1</v>
      </c>
      <c r="K3265" s="2" t="b">
        <v>0</v>
      </c>
      <c r="L3265" s="2" t="b">
        <v>0</v>
      </c>
      <c r="M3265" s="2" t="b">
        <v>0</v>
      </c>
      <c r="N3265" s="2" t="s">
        <v>33</v>
      </c>
      <c r="O3265" s="2">
        <v>23.0</v>
      </c>
      <c r="P3265" s="2">
        <v>20.0</v>
      </c>
      <c r="Q3265" s="2">
        <v>5.0</v>
      </c>
      <c r="R3265" s="2">
        <v>1.0</v>
      </c>
      <c r="S3265" s="3" t="s">
        <v>13310</v>
      </c>
      <c r="T3265" s="2" t="s">
        <v>13311</v>
      </c>
      <c r="Y3265" s="4" t="str">
        <f>IFERROR(__xludf.DUMMYFUNCTION("""COMPUTED_VALUE"""),"7.0705723")</f>
        <v>7.0705723</v>
      </c>
      <c r="Z3265" s="4" t="str">
        <f>IFERROR(__xludf.DUMMYFUNCTION("""COMPUTED_VALUE"""),"3.2885455")</f>
        <v>3.2885455</v>
      </c>
      <c r="AA3265" s="4" t="str">
        <f t="shared" si="1"/>
        <v>Not Neighbor</v>
      </c>
      <c r="AC3265" s="4">
        <f>IFERROR(__xludf.DUMMYFUNCTION("IFERROR(ABS(O3265-AVERAGE(FILTER(O3265:O7333,AA3265:AA7333=""Neighbor""))) / STDEV(FILTER(O3265:O7333, AA3265:AA7333 =""Neighbor"")), """")"),0.6686142751205566)</f>
        <v>0.6686142751</v>
      </c>
      <c r="AF3265" s="2">
        <f>IFERROR(__xludf.DUMMYFUNCTION("IFERROR(ABS(R3265-AVERAGE(FILTER(R3265:R7333,AA3265:AA7333=""Neighbor""))) / STDEV(FILTER(R3265:R7333, AA3265:AA7333 =""Neighbor"")), """")"),0.8964953190208356)</f>
        <v>0.896495319</v>
      </c>
    </row>
    <row r="3266">
      <c r="A3266" s="2" t="s">
        <v>28</v>
      </c>
      <c r="B3266" s="2" t="s">
        <v>3907</v>
      </c>
      <c r="C3266" s="2" t="s">
        <v>4292</v>
      </c>
      <c r="D3266" s="2" t="s">
        <v>13312</v>
      </c>
      <c r="E3266" s="2" t="s">
        <v>13313</v>
      </c>
      <c r="F3266" s="2">
        <v>82.0</v>
      </c>
      <c r="G3266" s="2">
        <v>152.0</v>
      </c>
      <c r="H3266" s="2" t="b">
        <v>1</v>
      </c>
      <c r="I3266" s="2">
        <v>-1.0</v>
      </c>
      <c r="J3266" s="2" t="b">
        <v>0</v>
      </c>
      <c r="K3266" s="2" t="b">
        <v>0</v>
      </c>
      <c r="L3266" s="2" t="b">
        <v>0</v>
      </c>
      <c r="M3266" s="2" t="b">
        <v>0</v>
      </c>
      <c r="N3266" s="2" t="s">
        <v>33</v>
      </c>
      <c r="O3266" s="2">
        <v>48.0</v>
      </c>
      <c r="P3266" s="2">
        <v>7.0</v>
      </c>
      <c r="Q3266" s="2">
        <v>21.0</v>
      </c>
      <c r="R3266" s="2">
        <v>0.0</v>
      </c>
      <c r="S3266" s="3" t="s">
        <v>13314</v>
      </c>
      <c r="T3266" s="2" t="s">
        <v>13315</v>
      </c>
      <c r="Y3266" s="4" t="str">
        <f>IFERROR(__xludf.DUMMYFUNCTION("""COMPUTED_VALUE"""),"7.0393674")</f>
        <v>7.0393674</v>
      </c>
      <c r="Z3266" s="4" t="str">
        <f>IFERROR(__xludf.DUMMYFUNCTION("""COMPUTED_VALUE"""),"3.2388794")</f>
        <v>3.2388794</v>
      </c>
      <c r="AA3266" s="4" t="str">
        <f t="shared" si="1"/>
        <v>Not Neighbor</v>
      </c>
      <c r="AC3266" s="4">
        <f>IFERROR(__xludf.DUMMYFUNCTION("IFERROR(ABS(O3266-AVERAGE(FILTER(O3266:O7334,AA3266:AA7334=""Neighbor""))) / STDEV(FILTER(O3266:O7334, AA3266:AA7334 =""Neighbor"")), """")"),0.10427448334560395)</f>
        <v>0.1042744833</v>
      </c>
      <c r="AF3266" s="2">
        <f>IFERROR(__xludf.DUMMYFUNCTION("IFERROR(ABS(R3266-AVERAGE(FILTER(R3266:R7334,AA3266:AA7334=""Neighbor""))) / STDEV(FILTER(R3266:R7334, AA3266:AA7334 =""Neighbor"")), """")"),0.3335796535891481)</f>
        <v>0.3335796536</v>
      </c>
    </row>
    <row r="3267">
      <c r="A3267" s="2" t="s">
        <v>28</v>
      </c>
      <c r="B3267" s="2" t="s">
        <v>3907</v>
      </c>
      <c r="C3267" s="2" t="s">
        <v>4169</v>
      </c>
      <c r="D3267" s="2" t="s">
        <v>13316</v>
      </c>
      <c r="E3267" s="2" t="s">
        <v>13317</v>
      </c>
      <c r="F3267" s="2">
        <v>51.0</v>
      </c>
      <c r="G3267" s="2">
        <v>88.0</v>
      </c>
      <c r="H3267" s="2" t="b">
        <v>1</v>
      </c>
      <c r="I3267" s="2">
        <v>-1.0</v>
      </c>
      <c r="J3267" s="2" t="b">
        <v>0</v>
      </c>
      <c r="K3267" s="2" t="b">
        <v>0</v>
      </c>
      <c r="L3267" s="2" t="b">
        <v>0</v>
      </c>
      <c r="M3267" s="2" t="b">
        <v>0</v>
      </c>
      <c r="N3267" s="2" t="s">
        <v>33</v>
      </c>
      <c r="O3267" s="2">
        <v>31.0</v>
      </c>
      <c r="P3267" s="2">
        <v>9.0</v>
      </c>
      <c r="Q3267" s="2">
        <v>6.0</v>
      </c>
      <c r="R3267" s="2">
        <v>0.0</v>
      </c>
      <c r="S3267" s="3" t="s">
        <v>13318</v>
      </c>
      <c r="T3267" s="2" t="s">
        <v>13319</v>
      </c>
      <c r="Y3267" s="4" t="str">
        <f>IFERROR(__xludf.DUMMYFUNCTION("""COMPUTED_VALUE"""),"6.8860712")</f>
        <v>6.8860712</v>
      </c>
      <c r="Z3267" s="4" t="str">
        <f>IFERROR(__xludf.DUMMYFUNCTION("""COMPUTED_VALUE"""),"3.194461")</f>
        <v>3.194461</v>
      </c>
      <c r="AA3267" s="4" t="str">
        <f t="shared" si="1"/>
        <v>Not Neighbor</v>
      </c>
      <c r="AC3267" s="4">
        <f>IFERROR(__xludf.DUMMYFUNCTION("IFERROR(ABS(O3267-AVERAGE(FILTER(O3267:O7335,AA3267:AA7335=""Neighbor""))) / STDEV(FILTER(O3267:O7335, AA3267:AA7335 =""Neighbor"")), """")"),0.4212898724113852)</f>
        <v>0.4212898724</v>
      </c>
      <c r="AF3267" s="2">
        <f>IFERROR(__xludf.DUMMYFUNCTION("IFERROR(ABS(R3267-AVERAGE(FILTER(R3267:R7335,AA3267:AA7335=""Neighbor""))) / STDEV(FILTER(R3267:R7335, AA3267:AA7335 =""Neighbor"")), """")"),0.3335796535891481)</f>
        <v>0.3335796536</v>
      </c>
    </row>
    <row r="3268">
      <c r="A3268" s="2" t="s">
        <v>28</v>
      </c>
      <c r="B3268" s="2" t="s">
        <v>3907</v>
      </c>
      <c r="C3268" s="2" t="s">
        <v>4169</v>
      </c>
      <c r="D3268" s="2" t="s">
        <v>13320</v>
      </c>
      <c r="E3268" s="2" t="s">
        <v>13321</v>
      </c>
      <c r="F3268" s="2">
        <v>117.0</v>
      </c>
      <c r="G3268" s="2">
        <v>474.0</v>
      </c>
      <c r="H3268" s="2" t="b">
        <v>1</v>
      </c>
      <c r="I3268" s="2">
        <v>-1.0</v>
      </c>
      <c r="J3268" s="2" t="b">
        <v>0</v>
      </c>
      <c r="K3268" s="2" t="b">
        <v>1</v>
      </c>
      <c r="L3268" s="2" t="b">
        <v>0</v>
      </c>
      <c r="M3268" s="2" t="b">
        <v>0</v>
      </c>
      <c r="N3268" s="2" t="s">
        <v>33</v>
      </c>
      <c r="O3268" s="2">
        <v>67.0</v>
      </c>
      <c r="P3268" s="2">
        <v>15.0</v>
      </c>
      <c r="Q3268" s="2">
        <v>12.0</v>
      </c>
      <c r="R3268" s="2">
        <v>0.0</v>
      </c>
      <c r="S3268" s="3" t="s">
        <v>13322</v>
      </c>
      <c r="T3268" s="2" t="s">
        <v>13323</v>
      </c>
      <c r="Y3268" s="4" t="str">
        <f>IFERROR(__xludf.DUMMYFUNCTION("""COMPUTED_VALUE"""),"47.6734632")</f>
        <v>47.6734632</v>
      </c>
      <c r="Z3268" s="4" t="str">
        <f>IFERROR(__xludf.DUMMYFUNCTION("""COMPUTED_VALUE"""),"-116.7812225")</f>
        <v>-116.7812225</v>
      </c>
      <c r="AA3268" s="4" t="str">
        <f t="shared" si="1"/>
        <v>Not Neighbor</v>
      </c>
      <c r="AC3268" s="4">
        <f>IFERROR(__xludf.DUMMYFUNCTION("IFERROR(ABS(O3268-AVERAGE(FILTER(O3268:O7336,AA3268:AA7336=""Neighbor""))) / STDEV(FILTER(O3268:O7336, AA3268:AA7336 =""Neighbor"")), """")"),0.6916699397798859)</f>
        <v>0.6916699398</v>
      </c>
      <c r="AF3268" s="2">
        <f>IFERROR(__xludf.DUMMYFUNCTION("IFERROR(ABS(R3268-AVERAGE(FILTER(R3268:R7336,AA3268:AA7336=""Neighbor""))) / STDEV(FILTER(R3268:R7336, AA3268:AA7336 =""Neighbor"")), """")"),0.3335796535891481)</f>
        <v>0.3335796536</v>
      </c>
    </row>
    <row r="3269">
      <c r="A3269" s="2" t="s">
        <v>28</v>
      </c>
      <c r="B3269" s="2" t="s">
        <v>3907</v>
      </c>
      <c r="C3269" s="2" t="s">
        <v>4169</v>
      </c>
      <c r="D3269" s="2" t="s">
        <v>13324</v>
      </c>
      <c r="E3269" s="2" t="s">
        <v>13325</v>
      </c>
      <c r="F3269" s="2">
        <v>39.0</v>
      </c>
      <c r="G3269" s="2">
        <v>92.0</v>
      </c>
      <c r="H3269" s="2" t="b">
        <v>1</v>
      </c>
      <c r="I3269" s="2">
        <v>-1.0</v>
      </c>
      <c r="J3269" s="2" t="b">
        <v>0</v>
      </c>
      <c r="K3269" s="2" t="b">
        <v>0</v>
      </c>
      <c r="L3269" s="2" t="b">
        <v>0</v>
      </c>
      <c r="M3269" s="2" t="b">
        <v>0</v>
      </c>
      <c r="N3269" s="2" t="s">
        <v>33</v>
      </c>
      <c r="O3269" s="2">
        <v>43.0</v>
      </c>
      <c r="P3269" s="2">
        <v>3.0</v>
      </c>
      <c r="Q3269" s="2">
        <v>0.0</v>
      </c>
      <c r="R3269" s="2">
        <v>0.0</v>
      </c>
      <c r="S3269" s="3" t="s">
        <v>13326</v>
      </c>
      <c r="T3269" s="2" t="s">
        <v>13327</v>
      </c>
      <c r="Y3269" s="4" t="str">
        <f>IFERROR(__xludf.DUMMYFUNCTION("""COMPUTED_VALUE"""),"6.8622852")</f>
        <v>6.8622852</v>
      </c>
      <c r="Z3269" s="4" t="str">
        <f>IFERROR(__xludf.DUMMYFUNCTION("""COMPUTED_VALUE"""),"3.1823592")</f>
        <v>3.1823592</v>
      </c>
      <c r="AA3269" s="4" t="str">
        <f t="shared" si="1"/>
        <v>Not Neighbor</v>
      </c>
      <c r="AC3269" s="4">
        <f>IFERROR(__xludf.DUMMYFUNCTION("IFERROR(ABS(O3269-AVERAGE(FILTER(O3269:O7337,AA3269:AA7337=""Neighbor""))) / STDEV(FILTER(O3269:O7337, AA3269:AA7337 =""Neighbor"")), """")"),0.05030326834762816)</f>
        <v>0.05030326835</v>
      </c>
      <c r="AF3269" s="2">
        <f>IFERROR(__xludf.DUMMYFUNCTION("IFERROR(ABS(R3269-AVERAGE(FILTER(R3269:R7337,AA3269:AA7337=""Neighbor""))) / STDEV(FILTER(R3269:R7337, AA3269:AA7337 =""Neighbor"")), """")"),0.3335796535891481)</f>
        <v>0.3335796536</v>
      </c>
    </row>
    <row r="3270">
      <c r="A3270" s="2" t="s">
        <v>28</v>
      </c>
      <c r="B3270" s="2" t="s">
        <v>3907</v>
      </c>
      <c r="C3270" s="2" t="s">
        <v>4169</v>
      </c>
      <c r="D3270" s="2" t="s">
        <v>13328</v>
      </c>
      <c r="E3270" s="2" t="s">
        <v>13329</v>
      </c>
      <c r="F3270" s="2">
        <v>23.0</v>
      </c>
      <c r="G3270" s="2">
        <v>51.0</v>
      </c>
      <c r="H3270" s="2" t="b">
        <v>1</v>
      </c>
      <c r="I3270" s="2">
        <v>-1.0</v>
      </c>
      <c r="J3270" s="2" t="b">
        <v>0</v>
      </c>
      <c r="K3270" s="2" t="b">
        <v>0</v>
      </c>
      <c r="L3270" s="2" t="b">
        <v>0</v>
      </c>
      <c r="M3270" s="2" t="b">
        <v>0</v>
      </c>
      <c r="N3270" s="2" t="s">
        <v>33</v>
      </c>
      <c r="O3270" s="2">
        <v>10.0</v>
      </c>
      <c r="P3270" s="2">
        <v>2.0</v>
      </c>
      <c r="Q3270" s="2">
        <v>1.0</v>
      </c>
      <c r="R3270" s="2">
        <v>6.0</v>
      </c>
      <c r="S3270" s="3" t="s">
        <v>13330</v>
      </c>
      <c r="T3270" s="2" t="s">
        <v>13331</v>
      </c>
      <c r="Y3270" s="4" t="str">
        <f>IFERROR(__xludf.DUMMYFUNCTION("""COMPUTED_VALUE"""),"6.9054879")</f>
        <v>6.9054879</v>
      </c>
      <c r="Z3270" s="4" t="str">
        <f>IFERROR(__xludf.DUMMYFUNCTION("""COMPUTED_VALUE"""),"3.2074712")</f>
        <v>3.2074712</v>
      </c>
      <c r="AA3270" s="4" t="str">
        <f t="shared" si="1"/>
        <v>Not Neighbor</v>
      </c>
      <c r="AC3270" s="4">
        <f>IFERROR(__xludf.DUMMYFUNCTION("IFERROR(ABS(O3270-AVERAGE(FILTER(O3270:O7338,AA3270:AA7338=""Neighbor""))) / STDEV(FILTER(O3270:O7338, AA3270:AA7338 =""Neighbor"")), """")"),1.0705164295229601)</f>
        <v>1.07051643</v>
      </c>
      <c r="AF3270" s="2">
        <f>IFERROR(__xludf.DUMMYFUNCTION("IFERROR(ABS(R3270-AVERAGE(FILTER(R3270:R7338,AA3270:AA7338=""Neighbor""))) / STDEV(FILTER(R3270:R7338, AA3270:AA7338 =""Neighbor"")), """")"),7.046870182070753)</f>
        <v>7.046870182</v>
      </c>
    </row>
    <row r="3271">
      <c r="A3271" s="2" t="s">
        <v>28</v>
      </c>
      <c r="B3271" s="2" t="s">
        <v>3907</v>
      </c>
      <c r="C3271" s="2" t="s">
        <v>4169</v>
      </c>
      <c r="D3271" s="2" t="s">
        <v>13332</v>
      </c>
      <c r="E3271" s="2" t="s">
        <v>13333</v>
      </c>
      <c r="F3271" s="2">
        <v>61.0</v>
      </c>
      <c r="G3271" s="2">
        <v>108.0</v>
      </c>
      <c r="H3271" s="2" t="b">
        <v>1</v>
      </c>
      <c r="I3271" s="2">
        <v>-1.0</v>
      </c>
      <c r="J3271" s="2" t="b">
        <v>0</v>
      </c>
      <c r="K3271" s="2" t="b">
        <v>0</v>
      </c>
      <c r="L3271" s="2" t="b">
        <v>0</v>
      </c>
      <c r="M3271" s="2" t="b">
        <v>0</v>
      </c>
      <c r="N3271" s="2" t="s">
        <v>33</v>
      </c>
      <c r="O3271" s="2">
        <v>33.0</v>
      </c>
      <c r="P3271" s="2">
        <v>13.0</v>
      </c>
      <c r="Q3271" s="2">
        <v>14.0</v>
      </c>
      <c r="R3271" s="2">
        <v>0.0</v>
      </c>
      <c r="S3271" s="3" t="s">
        <v>13334</v>
      </c>
      <c r="T3271" s="2" t="s">
        <v>13335</v>
      </c>
      <c r="Y3271" s="4" t="str">
        <f>IFERROR(__xludf.DUMMYFUNCTION("""COMPUTED_VALUE"""),"6.8861463")</f>
        <v>6.8861463</v>
      </c>
      <c r="Z3271" s="4" t="str">
        <f>IFERROR(__xludf.DUMMYFUNCTION("""COMPUTED_VALUE"""),"3.1955414")</f>
        <v>3.1955414</v>
      </c>
      <c r="AA3271" s="4" t="str">
        <f t="shared" si="1"/>
        <v>Not Neighbor</v>
      </c>
      <c r="AC3271" s="4">
        <f>IFERROR(__xludf.DUMMYFUNCTION("IFERROR(ABS(O3271-AVERAGE(FILTER(O3271:O7339,AA3271:AA7339=""Neighbor""))) / STDEV(FILTER(O3271:O7339, AA3271:AA7339 =""Neighbor"")), """")"),0.35945877173409235)</f>
        <v>0.3594587717</v>
      </c>
      <c r="AF3271" s="2">
        <f>IFERROR(__xludf.DUMMYFUNCTION("IFERROR(ABS(R3271-AVERAGE(FILTER(R3271:R7339,AA3271:AA7339=""Neighbor""))) / STDEV(FILTER(R3271:R7339, AA3271:AA7339 =""Neighbor"")), """")"),0.3335796535891481)</f>
        <v>0.3335796536</v>
      </c>
    </row>
    <row r="3272">
      <c r="A3272" s="2" t="s">
        <v>28</v>
      </c>
      <c r="B3272" s="2" t="s">
        <v>3907</v>
      </c>
      <c r="C3272" s="2" t="s">
        <v>4169</v>
      </c>
      <c r="D3272" s="2" t="s">
        <v>13336</v>
      </c>
      <c r="E3272" s="2" t="s">
        <v>13337</v>
      </c>
      <c r="F3272" s="2">
        <v>53.0</v>
      </c>
      <c r="G3272" s="2">
        <v>420.0</v>
      </c>
      <c r="H3272" s="2" t="b">
        <v>1</v>
      </c>
      <c r="I3272" s="2">
        <v>-1.0</v>
      </c>
      <c r="J3272" s="2" t="b">
        <v>0</v>
      </c>
      <c r="K3272" s="2" t="b">
        <v>0</v>
      </c>
      <c r="L3272" s="2" t="b">
        <v>0</v>
      </c>
      <c r="M3272" s="2" t="b">
        <v>0</v>
      </c>
      <c r="N3272" s="2" t="s">
        <v>33</v>
      </c>
      <c r="O3272" s="2">
        <v>32.0</v>
      </c>
      <c r="P3272" s="2">
        <v>4.0</v>
      </c>
      <c r="Q3272" s="2">
        <v>3.0</v>
      </c>
      <c r="R3272" s="2">
        <v>0.0</v>
      </c>
      <c r="S3272" s="3" t="s">
        <v>13338</v>
      </c>
      <c r="T3272" s="2" t="s">
        <v>13339</v>
      </c>
      <c r="Y3272" s="4" t="str">
        <f>IFERROR(__xludf.DUMMYFUNCTION("""COMPUTED_VALUE"""),"6.8997227")</f>
        <v>6.8997227</v>
      </c>
      <c r="Z3272" s="4" t="str">
        <f>IFERROR(__xludf.DUMMYFUNCTION("""COMPUTED_VALUE"""),"3.1679257")</f>
        <v>3.1679257</v>
      </c>
      <c r="AA3272" s="4" t="str">
        <f t="shared" si="1"/>
        <v>Not Neighbor</v>
      </c>
      <c r="AC3272" s="4">
        <f>IFERROR(__xludf.DUMMYFUNCTION("IFERROR(ABS(O3272-AVERAGE(FILTER(O3272:O7340,AA3272:AA7340=""Neighbor""))) / STDEV(FILTER(O3272:O7340, AA3272:AA7340 =""Neighbor"")), """")"),0.3903743220727388)</f>
        <v>0.3903743221</v>
      </c>
      <c r="AF3272" s="2">
        <f>IFERROR(__xludf.DUMMYFUNCTION("IFERROR(ABS(R3272-AVERAGE(FILTER(R3272:R7340,AA3272:AA7340=""Neighbor""))) / STDEV(FILTER(R3272:R7340, AA3272:AA7340 =""Neighbor"")), """")"),0.3335796535891481)</f>
        <v>0.3335796536</v>
      </c>
    </row>
    <row r="3273">
      <c r="A3273" s="2" t="s">
        <v>28</v>
      </c>
      <c r="B3273" s="2" t="s">
        <v>3907</v>
      </c>
      <c r="C3273" s="2" t="s">
        <v>4169</v>
      </c>
      <c r="D3273" s="2" t="s">
        <v>13340</v>
      </c>
      <c r="E3273" s="2" t="s">
        <v>13341</v>
      </c>
      <c r="F3273" s="2">
        <v>59.0</v>
      </c>
      <c r="G3273" s="2">
        <v>122.0</v>
      </c>
      <c r="H3273" s="2" t="b">
        <v>1</v>
      </c>
      <c r="I3273" s="2">
        <v>-1.0</v>
      </c>
      <c r="J3273" s="2" t="b">
        <v>0</v>
      </c>
      <c r="K3273" s="2" t="b">
        <v>0</v>
      </c>
      <c r="L3273" s="2" t="b">
        <v>0</v>
      </c>
      <c r="M3273" s="2" t="b">
        <v>0</v>
      </c>
      <c r="N3273" s="2" t="s">
        <v>33</v>
      </c>
      <c r="O3273" s="2">
        <v>32.0</v>
      </c>
      <c r="P3273" s="2">
        <v>12.0</v>
      </c>
      <c r="Q3273" s="2">
        <v>7.0</v>
      </c>
      <c r="R3273" s="2">
        <v>2.0</v>
      </c>
      <c r="S3273" s="3" t="s">
        <v>13342</v>
      </c>
      <c r="T3273" s="2" t="s">
        <v>13343</v>
      </c>
      <c r="Y3273" s="4" t="str">
        <f>IFERROR(__xludf.DUMMYFUNCTION("""COMPUTED_VALUE"""),"7.8720018")</f>
        <v>7.8720018</v>
      </c>
      <c r="Z3273" s="4" t="str">
        <f>IFERROR(__xludf.DUMMYFUNCTION("""COMPUTED_VALUE"""),"3.2325969")</f>
        <v>3.2325969</v>
      </c>
      <c r="AA3273" s="4" t="str">
        <f t="shared" si="1"/>
        <v>Not Neighbor</v>
      </c>
      <c r="AC3273" s="4">
        <f>IFERROR(__xludf.DUMMYFUNCTION("IFERROR(ABS(O3273-AVERAGE(FILTER(O3273:O7341,AA3273:AA7341=""Neighbor""))) / STDEV(FILTER(O3273:O7341, AA3273:AA7341 =""Neighbor"")), """")"),0.3903743220727388)</f>
        <v>0.3903743221</v>
      </c>
      <c r="AF3273" s="2">
        <f>IFERROR(__xludf.DUMMYFUNCTION("IFERROR(ABS(R3273-AVERAGE(FILTER(R3273:R7341,AA3273:AA7341=""Neighbor""))) / STDEV(FILTER(R3273:R7341, AA3273:AA7341 =""Neighbor"")), """")"),2.126570291630819)</f>
        <v>2.126570292</v>
      </c>
    </row>
    <row r="3274">
      <c r="A3274" s="2" t="s">
        <v>28</v>
      </c>
      <c r="B3274" s="2" t="s">
        <v>3907</v>
      </c>
      <c r="C3274" s="2" t="s">
        <v>4169</v>
      </c>
      <c r="D3274" s="2" t="s">
        <v>13344</v>
      </c>
      <c r="E3274" s="2" t="s">
        <v>13345</v>
      </c>
      <c r="F3274" s="2">
        <v>31.0</v>
      </c>
      <c r="G3274" s="2">
        <v>65.0</v>
      </c>
      <c r="H3274" s="2" t="b">
        <v>1</v>
      </c>
      <c r="I3274" s="2">
        <v>-1.0</v>
      </c>
      <c r="J3274" s="2" t="b">
        <v>0</v>
      </c>
      <c r="K3274" s="2" t="b">
        <v>0</v>
      </c>
      <c r="L3274" s="2" t="b">
        <v>0</v>
      </c>
      <c r="M3274" s="2" t="b">
        <v>0</v>
      </c>
      <c r="N3274" s="2" t="s">
        <v>33</v>
      </c>
      <c r="O3274" s="2">
        <v>18.0</v>
      </c>
      <c r="P3274" s="2">
        <v>1.0</v>
      </c>
      <c r="Q3274" s="2">
        <v>4.0</v>
      </c>
      <c r="R3274" s="2">
        <v>0.0</v>
      </c>
      <c r="S3274" s="3" t="s">
        <v>13346</v>
      </c>
      <c r="T3274" s="2" t="s">
        <v>13347</v>
      </c>
      <c r="Y3274" s="4" t="str">
        <f>IFERROR(__xludf.DUMMYFUNCTION("""COMPUTED_VALUE"""),"6.8861463")</f>
        <v>6.8861463</v>
      </c>
      <c r="Z3274" s="4" t="str">
        <f>IFERROR(__xludf.DUMMYFUNCTION("""COMPUTED_VALUE"""),"3.1955414")</f>
        <v>3.1955414</v>
      </c>
      <c r="AA3274" s="4" t="str">
        <f t="shared" si="1"/>
        <v>Not Neighbor</v>
      </c>
      <c r="AC3274" s="4">
        <f>IFERROR(__xludf.DUMMYFUNCTION("IFERROR(ABS(O3274-AVERAGE(FILTER(O3274:O7342,AA3274:AA7342=""Neighbor""))) / STDEV(FILTER(O3274:O7342, AA3274:AA7342 =""Neighbor"")), """")"),0.8231920268137887)</f>
        <v>0.8231920268</v>
      </c>
      <c r="AF3274" s="2">
        <f>IFERROR(__xludf.DUMMYFUNCTION("IFERROR(ABS(R3274-AVERAGE(FILTER(R3274:R7342,AA3274:AA7342=""Neighbor""))) / STDEV(FILTER(R3274:R7342, AA3274:AA7342 =""Neighbor"")), """")"),0.3335796535891481)</f>
        <v>0.3335796536</v>
      </c>
    </row>
    <row r="3275">
      <c r="A3275" s="2" t="s">
        <v>28</v>
      </c>
      <c r="B3275" s="2" t="s">
        <v>3907</v>
      </c>
      <c r="C3275" s="2" t="s">
        <v>4169</v>
      </c>
      <c r="D3275" s="2" t="s">
        <v>13348</v>
      </c>
      <c r="E3275" s="2" t="s">
        <v>13349</v>
      </c>
      <c r="F3275" s="2">
        <v>24.0</v>
      </c>
      <c r="G3275" s="2">
        <v>47.0</v>
      </c>
      <c r="H3275" s="2" t="b">
        <v>1</v>
      </c>
      <c r="I3275" s="2">
        <v>-1.0</v>
      </c>
      <c r="J3275" s="2" t="b">
        <v>0</v>
      </c>
      <c r="K3275" s="2" t="b">
        <v>0</v>
      </c>
      <c r="L3275" s="2" t="b">
        <v>0</v>
      </c>
      <c r="M3275" s="2" t="b">
        <v>0</v>
      </c>
      <c r="N3275" s="2" t="s">
        <v>33</v>
      </c>
      <c r="O3275" s="2">
        <v>14.0</v>
      </c>
      <c r="P3275" s="2">
        <v>6.0</v>
      </c>
      <c r="Q3275" s="2">
        <v>2.0</v>
      </c>
      <c r="R3275" s="2">
        <v>0.0</v>
      </c>
      <c r="S3275" s="3" t="s">
        <v>13350</v>
      </c>
      <c r="T3275" s="2" t="s">
        <v>13351</v>
      </c>
      <c r="Y3275" s="4" t="str">
        <f>IFERROR(__xludf.DUMMYFUNCTION("""COMPUTED_VALUE"""),"6.9054879")</f>
        <v>6.9054879</v>
      </c>
      <c r="Z3275" s="4" t="str">
        <f>IFERROR(__xludf.DUMMYFUNCTION("""COMPUTED_VALUE"""),"3.2074712")</f>
        <v>3.2074712</v>
      </c>
      <c r="AA3275" s="4" t="str">
        <f t="shared" si="1"/>
        <v>Not Neighbor</v>
      </c>
      <c r="AC3275" s="4">
        <f>IFERROR(__xludf.DUMMYFUNCTION("IFERROR(ABS(O3275-AVERAGE(FILTER(O3275:O7343,AA3275:AA7343=""Neighbor""))) / STDEV(FILTER(O3275:O7343, AA3275:AA7343 =""Neighbor"")), """")"),0.9468542281683744)</f>
        <v>0.9468542282</v>
      </c>
      <c r="AF3275" s="2">
        <f>IFERROR(__xludf.DUMMYFUNCTION("IFERROR(ABS(R3275-AVERAGE(FILTER(R3275:R7343,AA3275:AA7343=""Neighbor""))) / STDEV(FILTER(R3275:R7343, AA3275:AA7343 =""Neighbor"")), """")"),0.3335796535891481)</f>
        <v>0.3335796536</v>
      </c>
    </row>
    <row r="3276">
      <c r="A3276" s="2" t="s">
        <v>28</v>
      </c>
      <c r="B3276" s="2" t="s">
        <v>3907</v>
      </c>
      <c r="C3276" s="2" t="s">
        <v>4169</v>
      </c>
      <c r="D3276" s="2" t="s">
        <v>13352</v>
      </c>
      <c r="E3276" s="2" t="s">
        <v>13353</v>
      </c>
      <c r="F3276" s="2">
        <v>41.0</v>
      </c>
      <c r="G3276" s="2">
        <v>88.0</v>
      </c>
      <c r="H3276" s="2" t="b">
        <v>1</v>
      </c>
      <c r="I3276" s="2">
        <v>-1.0</v>
      </c>
      <c r="J3276" s="2" t="b">
        <v>0</v>
      </c>
      <c r="K3276" s="2" t="b">
        <v>0</v>
      </c>
      <c r="L3276" s="2" t="b">
        <v>0</v>
      </c>
      <c r="M3276" s="2" t="b">
        <v>0</v>
      </c>
      <c r="N3276" s="2" t="s">
        <v>33</v>
      </c>
      <c r="O3276" s="2">
        <v>9.0</v>
      </c>
      <c r="P3276" s="2">
        <v>9.0</v>
      </c>
      <c r="Q3276" s="2">
        <v>16.0</v>
      </c>
      <c r="R3276" s="2">
        <v>0.0</v>
      </c>
      <c r="S3276" s="3" t="s">
        <v>13354</v>
      </c>
      <c r="T3276" s="2" t="s">
        <v>13355</v>
      </c>
      <c r="Y3276" s="4" t="str">
        <f>IFERROR(__xludf.DUMMYFUNCTION("""COMPUTED_VALUE"""),"7.8720018")</f>
        <v>7.8720018</v>
      </c>
      <c r="Z3276" s="4" t="str">
        <f>IFERROR(__xludf.DUMMYFUNCTION("""COMPUTED_VALUE"""),"3.2325969")</f>
        <v>3.2325969</v>
      </c>
      <c r="AA3276" s="4" t="str">
        <f t="shared" si="1"/>
        <v>Not Neighbor</v>
      </c>
      <c r="AC3276" s="4">
        <f>IFERROR(__xludf.DUMMYFUNCTION("IFERROR(ABS(O3276-AVERAGE(FILTER(O3276:O7344,AA3276:AA7344=""Neighbor""))) / STDEV(FILTER(O3276:O7344, AA3276:AA7344 =""Neighbor"")), """")"),1.1014319798616063)</f>
        <v>1.10143198</v>
      </c>
      <c r="AF3276" s="2">
        <f>IFERROR(__xludf.DUMMYFUNCTION("IFERROR(ABS(R3276-AVERAGE(FILTER(R3276:R7344,AA3276:AA7344=""Neighbor""))) / STDEV(FILTER(R3276:R7344, AA3276:AA7344 =""Neighbor"")), """")"),0.3335796535891481)</f>
        <v>0.3335796536</v>
      </c>
    </row>
    <row r="3277">
      <c r="A3277" s="2" t="s">
        <v>28</v>
      </c>
      <c r="B3277" s="2" t="s">
        <v>3907</v>
      </c>
      <c r="C3277" s="2" t="s">
        <v>4218</v>
      </c>
      <c r="D3277" s="2" t="s">
        <v>13356</v>
      </c>
      <c r="E3277" s="2" t="s">
        <v>13357</v>
      </c>
      <c r="F3277" s="2">
        <v>142.0</v>
      </c>
      <c r="G3277" s="2">
        <v>589.0</v>
      </c>
      <c r="H3277" s="2" t="b">
        <v>1</v>
      </c>
      <c r="I3277" s="2">
        <v>-1.0</v>
      </c>
      <c r="J3277" s="2" t="b">
        <v>0</v>
      </c>
      <c r="K3277" s="2" t="b">
        <v>0</v>
      </c>
      <c r="L3277" s="2" t="b">
        <v>0</v>
      </c>
      <c r="M3277" s="2" t="b">
        <v>0</v>
      </c>
      <c r="N3277" s="2" t="s">
        <v>33</v>
      </c>
      <c r="O3277" s="2">
        <v>78.0</v>
      </c>
      <c r="P3277" s="2">
        <v>25.0</v>
      </c>
      <c r="Q3277" s="2">
        <v>18.0</v>
      </c>
      <c r="R3277" s="2">
        <v>0.0</v>
      </c>
      <c r="S3277" s="3" t="s">
        <v>13358</v>
      </c>
      <c r="T3277" s="2" t="s">
        <v>13359</v>
      </c>
      <c r="Y3277" s="4" t="str">
        <f>IFERROR(__xludf.DUMMYFUNCTION("""COMPUTED_VALUE"""),"6.9944981")</f>
        <v>6.9944981</v>
      </c>
      <c r="Z3277" s="4" t="str">
        <f>IFERROR(__xludf.DUMMYFUNCTION("""COMPUTED_VALUE"""),"3.2269419")</f>
        <v>3.2269419</v>
      </c>
      <c r="AA3277" s="4" t="str">
        <f t="shared" si="1"/>
        <v>Neighbor</v>
      </c>
      <c r="AC3277" s="4">
        <f>IFERROR(__xludf.DUMMYFUNCTION("IFERROR(ABS(O3277-AVERAGE(FILTER(O3277:O7345,AA3277:AA7345=""Neighbor""))) / STDEV(FILTER(O3277:O7345, AA3277:AA7345 =""Neighbor"")), """")"),1.0317409935049966)</f>
        <v>1.031740994</v>
      </c>
      <c r="AF3277" s="2">
        <f>IFERROR(__xludf.DUMMYFUNCTION("IFERROR(ABS(R3277-AVERAGE(FILTER(R3277:R7345,AA3277:AA7345=""Neighbor""))) / STDEV(FILTER(R3277:R7345, AA3277:AA7345 =""Neighbor"")), """")"),0.3335796535891481)</f>
        <v>0.3335796536</v>
      </c>
    </row>
    <row r="3278">
      <c r="A3278" s="2" t="s">
        <v>28</v>
      </c>
      <c r="B3278" s="2" t="s">
        <v>3907</v>
      </c>
      <c r="C3278" s="2" t="s">
        <v>4218</v>
      </c>
      <c r="D3278" s="2" t="s">
        <v>13360</v>
      </c>
      <c r="E3278" s="2" t="s">
        <v>13361</v>
      </c>
      <c r="F3278" s="2">
        <v>205.0</v>
      </c>
      <c r="G3278" s="2">
        <v>701.0</v>
      </c>
      <c r="H3278" s="2" t="b">
        <v>1</v>
      </c>
      <c r="I3278" s="2">
        <v>-1.0</v>
      </c>
      <c r="J3278" s="2" t="b">
        <v>0</v>
      </c>
      <c r="K3278" s="2" t="b">
        <v>0</v>
      </c>
      <c r="L3278" s="2" t="b">
        <v>0</v>
      </c>
      <c r="M3278" s="2" t="b">
        <v>0</v>
      </c>
      <c r="N3278" s="2" t="s">
        <v>33</v>
      </c>
      <c r="O3278" s="2">
        <v>101.0</v>
      </c>
      <c r="P3278" s="2">
        <v>26.0</v>
      </c>
      <c r="Q3278" s="2">
        <v>39.0</v>
      </c>
      <c r="R3278" s="2">
        <v>0.0</v>
      </c>
      <c r="S3278" s="3" t="s">
        <v>13362</v>
      </c>
      <c r="T3278" s="2" t="s">
        <v>13363</v>
      </c>
      <c r="Y3278" s="4" t="str">
        <f>IFERROR(__xludf.DUMMYFUNCTION("""COMPUTED_VALUE"""),"6.992874")</f>
        <v>6.992874</v>
      </c>
      <c r="Z3278" s="4" t="str">
        <f>IFERROR(__xludf.DUMMYFUNCTION("""COMPUTED_VALUE"""),"3.230468")</f>
        <v>3.230468</v>
      </c>
      <c r="AA3278" s="4" t="str">
        <f t="shared" si="1"/>
        <v>Neighbor</v>
      </c>
      <c r="AC3278" s="4">
        <f>IFERROR(__xludf.DUMMYFUNCTION("IFERROR(ABS(O3278-AVERAGE(FILTER(O3278:O7346,AA3278:AA7346=""Neighbor""))) / STDEV(FILTER(O3278:O7346, AA3278:AA7346 =""Neighbor"")), """")"),1.7465109814128574)</f>
        <v>1.746510981</v>
      </c>
      <c r="AF3278" s="2">
        <f>IFERROR(__xludf.DUMMYFUNCTION("IFERROR(ABS(R3278-AVERAGE(FILTER(R3278:R7346,AA3278:AA7346=""Neighbor""))) / STDEV(FILTER(R3278:R7346, AA3278:AA7346 =""Neighbor"")), """")"),0.3342080193819362)</f>
        <v>0.3342080194</v>
      </c>
    </row>
    <row r="3279">
      <c r="A3279" s="2" t="s">
        <v>28</v>
      </c>
      <c r="B3279" s="2" t="s">
        <v>3907</v>
      </c>
      <c r="C3279" s="2" t="s">
        <v>4218</v>
      </c>
      <c r="D3279" s="2" t="s">
        <v>13364</v>
      </c>
      <c r="E3279" s="2" t="s">
        <v>13365</v>
      </c>
      <c r="F3279" s="2">
        <v>70.0</v>
      </c>
      <c r="G3279" s="2">
        <v>106.0</v>
      </c>
      <c r="H3279" s="2" t="b">
        <v>1</v>
      </c>
      <c r="I3279" s="2">
        <v>-1.0</v>
      </c>
      <c r="J3279" s="2" t="b">
        <v>0</v>
      </c>
      <c r="K3279" s="2" t="b">
        <v>1</v>
      </c>
      <c r="L3279" s="2" t="b">
        <v>0</v>
      </c>
      <c r="M3279" s="2" t="b">
        <v>0</v>
      </c>
      <c r="N3279" s="2" t="s">
        <v>33</v>
      </c>
      <c r="O3279" s="2">
        <v>37.0</v>
      </c>
      <c r="P3279" s="2">
        <v>9.0</v>
      </c>
      <c r="Q3279" s="2">
        <v>21.0</v>
      </c>
      <c r="R3279" s="2">
        <v>0.0</v>
      </c>
      <c r="S3279" s="3" t="s">
        <v>13366</v>
      </c>
      <c r="T3279" s="2" t="s">
        <v>13367</v>
      </c>
      <c r="Y3279" s="4" t="str">
        <f>IFERROR(__xludf.DUMMYFUNCTION("""COMPUTED_VALUE"""),"6.9944981")</f>
        <v>6.9944981</v>
      </c>
      <c r="Z3279" s="4" t="str">
        <f>IFERROR(__xludf.DUMMYFUNCTION("""COMPUTED_VALUE"""),"3.2269419")</f>
        <v>3.2269419</v>
      </c>
      <c r="AA3279" s="4" t="str">
        <f t="shared" si="1"/>
        <v>Not Neighbor</v>
      </c>
      <c r="AC3279" s="4">
        <f>IFERROR(__xludf.DUMMYFUNCTION("IFERROR(ABS(O3279-AVERAGE(FILTER(O3279:O7347,AA3279:AA7347=""Neighbor""))) / STDEV(FILTER(O3279:O7347, AA3279:AA7347 =""Neighbor"")), """")"),0.22715642894378751)</f>
        <v>0.2271564289</v>
      </c>
      <c r="AF3279" s="2">
        <f>IFERROR(__xludf.DUMMYFUNCTION("IFERROR(ABS(R3279-AVERAGE(FILTER(R3279:R7347,AA3279:AA7347=""Neighbor""))) / STDEV(FILTER(R3279:R7347, AA3279:AA7347 =""Neighbor"")), """")"),0.3348399510156217)</f>
        <v>0.334839951</v>
      </c>
    </row>
    <row r="3280">
      <c r="A3280" s="2" t="s">
        <v>28</v>
      </c>
      <c r="B3280" s="2" t="s">
        <v>4358</v>
      </c>
      <c r="C3280" s="2" t="s">
        <v>4510</v>
      </c>
      <c r="D3280" s="2" t="s">
        <v>13368</v>
      </c>
      <c r="E3280" s="2" t="s">
        <v>13369</v>
      </c>
      <c r="F3280" s="2">
        <v>33.0</v>
      </c>
      <c r="G3280" s="2">
        <v>67.0</v>
      </c>
      <c r="H3280" s="2" t="b">
        <v>1</v>
      </c>
      <c r="I3280" s="2">
        <v>-1.0</v>
      </c>
      <c r="J3280" s="2" t="b">
        <v>0</v>
      </c>
      <c r="K3280" s="2" t="b">
        <v>0</v>
      </c>
      <c r="L3280" s="2" t="b">
        <v>0</v>
      </c>
      <c r="M3280" s="2" t="b">
        <v>0</v>
      </c>
      <c r="N3280" s="2" t="s">
        <v>33</v>
      </c>
      <c r="O3280" s="2">
        <v>21.0</v>
      </c>
      <c r="P3280" s="2">
        <v>2.0</v>
      </c>
      <c r="Q3280" s="2">
        <v>8.0</v>
      </c>
      <c r="R3280" s="2">
        <v>0.0</v>
      </c>
      <c r="S3280" s="3" t="s">
        <v>13370</v>
      </c>
      <c r="T3280" s="2" t="s">
        <v>13371</v>
      </c>
      <c r="Y3280" s="4" t="str">
        <f>IFERROR(__xludf.DUMMYFUNCTION("""COMPUTED_VALUE"""),"6.6879349")</f>
        <v>6.6879349</v>
      </c>
      <c r="Z3280" s="4" t="str">
        <f>IFERROR(__xludf.DUMMYFUNCTION("""COMPUTED_VALUE"""),"3.3047644")</f>
        <v>3.3047644</v>
      </c>
      <c r="AA3280" s="4" t="str">
        <f t="shared" si="1"/>
        <v>Neighbor</v>
      </c>
      <c r="AC3280" s="4">
        <f>IFERROR(__xludf.DUMMYFUNCTION("IFERROR(ABS(O3280-AVERAGE(FILTER(O3280:O7348,AA3280:AA7348=""Neighbor""))) / STDEV(FILTER(O3280:O7348, AA3280:AA7348 =""Neighbor"")), """")"),0.7236176591948251)</f>
        <v>0.7236176592</v>
      </c>
      <c r="AF3280" s="2">
        <f>IFERROR(__xludf.DUMMYFUNCTION("IFERROR(ABS(R3280-AVERAGE(FILTER(R3280:R7348,AA3280:AA7348=""Neighbor""))) / STDEV(FILTER(R3280:R7348, AA3280:AA7348 =""Neighbor"")), """")"),0.3348399510156217)</f>
        <v>0.334839951</v>
      </c>
    </row>
    <row r="3281">
      <c r="A3281" s="2" t="s">
        <v>28</v>
      </c>
      <c r="B3281" s="2" t="s">
        <v>4358</v>
      </c>
      <c r="C3281" s="2" t="s">
        <v>4510</v>
      </c>
      <c r="D3281" s="2" t="s">
        <v>13372</v>
      </c>
      <c r="E3281" s="2" t="s">
        <v>13373</v>
      </c>
      <c r="F3281" s="2">
        <v>33.0</v>
      </c>
      <c r="G3281" s="2">
        <v>63.0</v>
      </c>
      <c r="H3281" s="2" t="b">
        <v>1</v>
      </c>
      <c r="I3281" s="2">
        <v>-1.0</v>
      </c>
      <c r="J3281" s="2" t="b">
        <v>0</v>
      </c>
      <c r="K3281" s="2" t="b">
        <v>0</v>
      </c>
      <c r="L3281" s="2" t="b">
        <v>0</v>
      </c>
      <c r="M3281" s="2" t="b">
        <v>0</v>
      </c>
      <c r="N3281" s="2" t="s">
        <v>33</v>
      </c>
      <c r="O3281" s="2">
        <v>22.0</v>
      </c>
      <c r="P3281" s="2">
        <v>3.0</v>
      </c>
      <c r="Q3281" s="2">
        <v>5.0</v>
      </c>
      <c r="R3281" s="2">
        <v>0.0</v>
      </c>
      <c r="S3281" s="3" t="s">
        <v>13374</v>
      </c>
      <c r="T3281" s="2" t="s">
        <v>13375</v>
      </c>
      <c r="Y3281" s="4" t="str">
        <f>IFERROR(__xludf.DUMMYFUNCTION("""COMPUTED_VALUE"""),"6.6868598")</f>
        <v>6.6868598</v>
      </c>
      <c r="Z3281" s="4" t="str">
        <f>IFERROR(__xludf.DUMMYFUNCTION("""COMPUTED_VALUE"""),"3.2980037")</f>
        <v>3.2980037</v>
      </c>
      <c r="AA3281" s="4" t="str">
        <f t="shared" si="1"/>
        <v>Neighbor</v>
      </c>
      <c r="AC3281" s="4">
        <f>IFERROR(__xludf.DUMMYFUNCTION("IFERROR(ABS(O3281-AVERAGE(FILTER(O3281:O7349,AA3281:AA7349=""Neighbor""))) / STDEV(FILTER(O3281:O7349, AA3281:AA7349 =""Neighbor"")), """")"),0.6945008840605563)</f>
        <v>0.6945008841</v>
      </c>
      <c r="AF3281" s="2">
        <f>IFERROR(__xludf.DUMMYFUNCTION("IFERROR(ABS(R3281-AVERAGE(FILTER(R3281:R7349,AA3281:AA7349=""Neighbor""))) / STDEV(FILTER(R3281:R7349, AA3281:AA7349 =""Neighbor"")), """")"),0.3354754823561387)</f>
        <v>0.3354754824</v>
      </c>
    </row>
    <row r="3282">
      <c r="A3282" s="2" t="s">
        <v>28</v>
      </c>
      <c r="B3282" s="2" t="s">
        <v>4358</v>
      </c>
      <c r="C3282" s="2" t="s">
        <v>4510</v>
      </c>
      <c r="D3282" s="2" t="s">
        <v>13376</v>
      </c>
      <c r="E3282" s="2" t="s">
        <v>13377</v>
      </c>
      <c r="F3282" s="2">
        <v>60.0</v>
      </c>
      <c r="G3282" s="2">
        <v>148.0</v>
      </c>
      <c r="H3282" s="2" t="b">
        <v>1</v>
      </c>
      <c r="I3282" s="2">
        <v>-1.0</v>
      </c>
      <c r="J3282" s="2" t="b">
        <v>0</v>
      </c>
      <c r="K3282" s="2" t="b">
        <v>0</v>
      </c>
      <c r="L3282" s="2" t="b">
        <v>0</v>
      </c>
      <c r="M3282" s="2" t="b">
        <v>0</v>
      </c>
      <c r="N3282" s="2" t="s">
        <v>33</v>
      </c>
      <c r="O3282" s="2">
        <v>38.0</v>
      </c>
      <c r="P3282" s="2">
        <v>3.0</v>
      </c>
      <c r="Q3282" s="2">
        <v>10.0</v>
      </c>
      <c r="R3282" s="2">
        <v>0.0</v>
      </c>
      <c r="S3282" s="3" t="s">
        <v>13378</v>
      </c>
      <c r="T3282" s="2" t="s">
        <v>13379</v>
      </c>
      <c r="Y3282" s="4" t="str">
        <f>IFERROR(__xludf.DUMMYFUNCTION("""COMPUTED_VALUE"""),"6.6879071")</f>
        <v>6.6879071</v>
      </c>
      <c r="Z3282" s="4" t="str">
        <f>IFERROR(__xludf.DUMMYFUNCTION("""COMPUTED_VALUE"""),"3.2991381")</f>
        <v>3.2991381</v>
      </c>
      <c r="AA3282" s="4" t="str">
        <f t="shared" si="1"/>
        <v>Neighbor</v>
      </c>
      <c r="AC3282" s="4">
        <f>IFERROR(__xludf.DUMMYFUNCTION("IFERROR(ABS(O3282-AVERAGE(FILTER(O3282:O7350,AA3282:AA7350=""Neighbor""))) / STDEV(FILTER(O3282:O7350, AA3282:AA7350 =""Neighbor"")), """")"),0.20065215736913763)</f>
        <v>0.2006521574</v>
      </c>
      <c r="AF3282" s="2">
        <f>IFERROR(__xludf.DUMMYFUNCTION("IFERROR(ABS(R3282-AVERAGE(FILTER(R3282:R7350,AA3282:AA7350=""Neighbor""))) / STDEV(FILTER(R3282:R7350, AA3282:AA7350 =""Neighbor"")), """")"),0.33611464772157473)</f>
        <v>0.3361146477</v>
      </c>
    </row>
    <row r="3283">
      <c r="A3283" s="2" t="s">
        <v>28</v>
      </c>
      <c r="B3283" s="2" t="s">
        <v>4358</v>
      </c>
      <c r="C3283" s="2" t="s">
        <v>4510</v>
      </c>
      <c r="D3283" s="2" t="s">
        <v>13380</v>
      </c>
      <c r="E3283" s="2" t="s">
        <v>13381</v>
      </c>
      <c r="F3283" s="2">
        <v>65.0</v>
      </c>
      <c r="G3283" s="2">
        <v>122.0</v>
      </c>
      <c r="H3283" s="2" t="b">
        <v>1</v>
      </c>
      <c r="I3283" s="2">
        <v>-1.0</v>
      </c>
      <c r="J3283" s="2" t="b">
        <v>0</v>
      </c>
      <c r="K3283" s="2" t="b">
        <v>0</v>
      </c>
      <c r="L3283" s="2" t="b">
        <v>0</v>
      </c>
      <c r="M3283" s="2" t="b">
        <v>0</v>
      </c>
      <c r="N3283" s="2" t="s">
        <v>33</v>
      </c>
      <c r="O3283" s="2">
        <v>46.0</v>
      </c>
      <c r="P3283" s="2">
        <v>10.0</v>
      </c>
      <c r="Q3283" s="2">
        <v>2.0</v>
      </c>
      <c r="R3283" s="2">
        <v>1.0</v>
      </c>
      <c r="S3283" s="3" t="s">
        <v>13382</v>
      </c>
      <c r="T3283" s="2" t="s">
        <v>13383</v>
      </c>
      <c r="Y3283" s="4" t="str">
        <f>IFERROR(__xludf.DUMMYFUNCTION("""COMPUTED_VALUE"""),"6.6879349")</f>
        <v>6.6879349</v>
      </c>
      <c r="Z3283" s="4" t="str">
        <f>IFERROR(__xludf.DUMMYFUNCTION("""COMPUTED_VALUE"""),"3.3047644")</f>
        <v>3.3047644</v>
      </c>
      <c r="AA3283" s="4" t="str">
        <f t="shared" si="1"/>
        <v>Neighbor</v>
      </c>
      <c r="AC3283" s="4">
        <f>IFERROR(__xludf.DUMMYFUNCTION("IFERROR(ABS(O3283-AVERAGE(FILTER(O3283:O7351,AA3283:AA7351=""Neighbor""))) / STDEV(FILTER(O3283:O7351, AA3283:AA7351 =""Neighbor"")), """")"),0.04638706583201162)</f>
        <v>0.04638706583</v>
      </c>
      <c r="AF3283" s="2">
        <f>IFERROR(__xludf.DUMMYFUNCTION("IFERROR(ABS(R3283-AVERAGE(FILTER(R3283:R7351,AA3283:AA7351=""Neighbor""))) / STDEV(FILTER(R3283:R7351, AA3283:AA7351 =""Neighbor"")), """")"),0.8839883899611511)</f>
        <v>0.88398839</v>
      </c>
    </row>
    <row r="3284">
      <c r="A3284" s="2" t="s">
        <v>28</v>
      </c>
      <c r="B3284" s="2" t="s">
        <v>4358</v>
      </c>
      <c r="C3284" s="2" t="s">
        <v>4510</v>
      </c>
      <c r="D3284" s="2" t="s">
        <v>13384</v>
      </c>
      <c r="E3284" s="2" t="s">
        <v>13385</v>
      </c>
      <c r="F3284" s="2">
        <v>22.0</v>
      </c>
      <c r="G3284" s="2">
        <v>70.0</v>
      </c>
      <c r="H3284" s="2" t="b">
        <v>1</v>
      </c>
      <c r="I3284" s="2">
        <v>-1.0</v>
      </c>
      <c r="J3284" s="2" t="b">
        <v>0</v>
      </c>
      <c r="K3284" s="2" t="b">
        <v>0</v>
      </c>
      <c r="L3284" s="2" t="b">
        <v>0</v>
      </c>
      <c r="M3284" s="2" t="b">
        <v>0</v>
      </c>
      <c r="N3284" s="2" t="s">
        <v>33</v>
      </c>
      <c r="O3284" s="2">
        <v>14.0</v>
      </c>
      <c r="P3284" s="2">
        <v>3.0</v>
      </c>
      <c r="Q3284" s="2">
        <v>3.0</v>
      </c>
      <c r="R3284" s="2">
        <v>0.0</v>
      </c>
      <c r="S3284" s="3" t="s">
        <v>13386</v>
      </c>
      <c r="T3284" s="2" t="s">
        <v>13387</v>
      </c>
      <c r="Y3284" s="4" t="str">
        <f>IFERROR(__xludf.DUMMYFUNCTION("""COMPUTED_VALUE"""),"6.6879349")</f>
        <v>6.6879349</v>
      </c>
      <c r="Z3284" s="4" t="str">
        <f>IFERROR(__xludf.DUMMYFUNCTION("""COMPUTED_VALUE"""),"3.3047644")</f>
        <v>3.3047644</v>
      </c>
      <c r="AA3284" s="4" t="str">
        <f t="shared" si="1"/>
        <v>Neighbor</v>
      </c>
      <c r="AC3284" s="4">
        <f>IFERROR(__xludf.DUMMYFUNCTION("IFERROR(ABS(O3284-AVERAGE(FILTER(O3284:O7352,AA3284:AA7352=""Neighbor""))) / STDEV(FILTER(O3284:O7352, AA3284:AA7352 =""Neighbor"")), """")"),0.9414137034382065)</f>
        <v>0.9414137034</v>
      </c>
      <c r="AF3284" s="2">
        <f>IFERROR(__xludf.DUMMYFUNCTION("IFERROR(ABS(R3284-AVERAGE(FILTER(R3284:R7352,AA3284:AA7352=""Neighbor""))) / STDEV(FILTER(R3284:R7352, AA3284:AA7352 =""Neighbor"")), """")"),0.33357371253781126)</f>
        <v>0.3335737125</v>
      </c>
    </row>
    <row r="3285">
      <c r="A3285" s="2" t="s">
        <v>28</v>
      </c>
      <c r="B3285" s="2" t="s">
        <v>4358</v>
      </c>
      <c r="C3285" s="2" t="s">
        <v>4510</v>
      </c>
      <c r="D3285" s="2" t="s">
        <v>13388</v>
      </c>
      <c r="E3285" s="2" t="s">
        <v>13389</v>
      </c>
      <c r="F3285" s="2">
        <v>69.0</v>
      </c>
      <c r="G3285" s="2">
        <v>154.0</v>
      </c>
      <c r="H3285" s="2" t="b">
        <v>1</v>
      </c>
      <c r="I3285" s="2">
        <v>-1.0</v>
      </c>
      <c r="J3285" s="2" t="b">
        <v>0</v>
      </c>
      <c r="K3285" s="2" t="b">
        <v>1</v>
      </c>
      <c r="L3285" s="2" t="b">
        <v>0</v>
      </c>
      <c r="M3285" s="2" t="b">
        <v>0</v>
      </c>
      <c r="N3285" s="2" t="s">
        <v>33</v>
      </c>
      <c r="O3285" s="2">
        <v>41.0</v>
      </c>
      <c r="P3285" s="2">
        <v>11.0</v>
      </c>
      <c r="Q3285" s="2">
        <v>9.0</v>
      </c>
      <c r="R3285" s="2">
        <v>0.0</v>
      </c>
      <c r="S3285" s="3" t="s">
        <v>13390</v>
      </c>
      <c r="T3285" s="2" t="s">
        <v>13391</v>
      </c>
      <c r="Y3285" s="4" t="str">
        <f>IFERROR(__xludf.DUMMYFUNCTION("""COMPUTED_VALUE"""),"6.6879349")</f>
        <v>6.6879349</v>
      </c>
      <c r="Z3285" s="4" t="str">
        <f>IFERROR(__xludf.DUMMYFUNCTION("""COMPUTED_VALUE"""),"3.3047644")</f>
        <v>3.3047644</v>
      </c>
      <c r="AA3285" s="4" t="str">
        <f t="shared" si="1"/>
        <v>Neighbor</v>
      </c>
      <c r="AC3285" s="4">
        <f>IFERROR(__xludf.DUMMYFUNCTION("IFERROR(ABS(O3285-AVERAGE(FILTER(O3285:O7353,AA3285:AA7353=""Neighbor""))) / STDEV(FILTER(O3285:O7353, AA3285:AA7353 =""Neighbor"")), """")"),0.11113660974028743)</f>
        <v>0.1111366097</v>
      </c>
      <c r="AF3285" s="2">
        <f>IFERROR(__xludf.DUMMYFUNCTION("IFERROR(ABS(R3285-AVERAGE(FILTER(R3285:R7353,AA3285:AA7353=""Neighbor""))) / STDEV(FILTER(R3285:R7353, AA3285:AA7353 =""Neighbor"")), """")"),0.3342151113822018)</f>
        <v>0.3342151114</v>
      </c>
    </row>
    <row r="3286">
      <c r="A3286" s="2" t="s">
        <v>28</v>
      </c>
      <c r="B3286" s="2" t="s">
        <v>4358</v>
      </c>
      <c r="C3286" s="2" t="s">
        <v>4510</v>
      </c>
      <c r="D3286" s="2" t="s">
        <v>13392</v>
      </c>
      <c r="E3286" s="2" t="s">
        <v>13393</v>
      </c>
      <c r="F3286" s="2">
        <v>40.0</v>
      </c>
      <c r="G3286" s="2">
        <v>77.0</v>
      </c>
      <c r="H3286" s="2" t="b">
        <v>1</v>
      </c>
      <c r="I3286" s="2">
        <v>-1.0</v>
      </c>
      <c r="J3286" s="2" t="b">
        <v>0</v>
      </c>
      <c r="K3286" s="2" t="b">
        <v>0</v>
      </c>
      <c r="L3286" s="2" t="b">
        <v>0</v>
      </c>
      <c r="M3286" s="2" t="b">
        <v>0</v>
      </c>
      <c r="N3286" s="2" t="s">
        <v>33</v>
      </c>
      <c r="O3286" s="2">
        <v>18.0</v>
      </c>
      <c r="P3286" s="2">
        <v>3.0</v>
      </c>
      <c r="Q3286" s="2">
        <v>7.0</v>
      </c>
      <c r="R3286" s="2">
        <v>0.0</v>
      </c>
      <c r="S3286" s="3" t="s">
        <v>13394</v>
      </c>
      <c r="T3286" s="2" t="s">
        <v>13395</v>
      </c>
      <c r="Y3286" s="4" t="str">
        <f>IFERROR(__xludf.DUMMYFUNCTION("""COMPUTED_VALUE"""),"6.6879349")</f>
        <v>6.6879349</v>
      </c>
      <c r="Z3286" s="4" t="str">
        <f>IFERROR(__xludf.DUMMYFUNCTION("""COMPUTED_VALUE"""),"3.3047644")</f>
        <v>3.3047644</v>
      </c>
      <c r="AA3286" s="4" t="str">
        <f t="shared" si="1"/>
        <v>Neighbor</v>
      </c>
      <c r="AC3286" s="4">
        <f>IFERROR(__xludf.DUMMYFUNCTION("IFERROR(ABS(O3286-AVERAGE(FILTER(O3286:O7354,AA3286:AA7354=""Neighbor""))) / STDEV(FILTER(O3286:O7354, AA3286:AA7354 =""Neighbor"")), """")"),0.8200117569578692)</f>
        <v>0.820011757</v>
      </c>
      <c r="AF3286" s="2">
        <f>IFERROR(__xludf.DUMMYFUNCTION("IFERROR(ABS(R3286-AVERAGE(FILTER(R3286:R7354,AA3286:AA7354=""Neighbor""))) / STDEV(FILTER(R3286:R7354, AA3286:AA7354 =""Neighbor"")), """")"),0.3348602259099308)</f>
        <v>0.3348602259</v>
      </c>
    </row>
    <row r="3287">
      <c r="A3287" s="2" t="s">
        <v>28</v>
      </c>
      <c r="B3287" s="2" t="s">
        <v>4358</v>
      </c>
      <c r="C3287" s="2" t="s">
        <v>4510</v>
      </c>
      <c r="D3287" s="2" t="s">
        <v>13396</v>
      </c>
      <c r="E3287" s="2" t="s">
        <v>13397</v>
      </c>
      <c r="F3287" s="2">
        <v>46.0</v>
      </c>
      <c r="G3287" s="2">
        <v>123.0</v>
      </c>
      <c r="H3287" s="2" t="b">
        <v>1</v>
      </c>
      <c r="I3287" s="2">
        <v>-1.0</v>
      </c>
      <c r="J3287" s="2" t="b">
        <v>0</v>
      </c>
      <c r="K3287" s="2" t="b">
        <v>1</v>
      </c>
      <c r="L3287" s="2" t="b">
        <v>0</v>
      </c>
      <c r="M3287" s="2" t="b">
        <v>0</v>
      </c>
      <c r="N3287" s="2" t="s">
        <v>33</v>
      </c>
      <c r="O3287" s="2">
        <v>30.0</v>
      </c>
      <c r="P3287" s="2">
        <v>11.0</v>
      </c>
      <c r="Q3287" s="2">
        <v>3.0</v>
      </c>
      <c r="R3287" s="2">
        <v>0.0</v>
      </c>
      <c r="S3287" s="3" t="s">
        <v>13398</v>
      </c>
      <c r="T3287" s="2" t="s">
        <v>13399</v>
      </c>
      <c r="Y3287" s="4" t="str">
        <f>IFERROR(__xludf.DUMMYFUNCTION("""COMPUTED_VALUE"""),"6.6879349")</f>
        <v>6.6879349</v>
      </c>
      <c r="Z3287" s="4" t="str">
        <f>IFERROR(__xludf.DUMMYFUNCTION("""COMPUTED_VALUE"""),"3.3047644")</f>
        <v>3.3047644</v>
      </c>
      <c r="AA3287" s="4" t="str">
        <f t="shared" si="1"/>
        <v>Not Neighbor</v>
      </c>
      <c r="AC3287" s="4">
        <f>IFERROR(__xludf.DUMMYFUNCTION("IFERROR(ABS(O3287-AVERAGE(FILTER(O3287:O7355,AA3287:AA7355=""Neighbor""))) / STDEV(FILTER(O3287:O7355, AA3287:AA7355 =""Neighbor"")), """")"),0.4528745331647039)</f>
        <v>0.4528745332</v>
      </c>
      <c r="AF3287" s="2">
        <f>IFERROR(__xludf.DUMMYFUNCTION("IFERROR(ABS(R3287-AVERAGE(FILTER(R3287:R7355,AA3287:AA7355=""Neighbor""))) / STDEV(FILTER(R3287:R7355, AA3287:AA7355 =""Neighbor"")), """")"),0.3355090921488661)</f>
        <v>0.3355090921</v>
      </c>
    </row>
    <row r="3288">
      <c r="A3288" s="2" t="s">
        <v>28</v>
      </c>
      <c r="B3288" s="2" t="s">
        <v>4358</v>
      </c>
      <c r="C3288" s="2" t="s">
        <v>4628</v>
      </c>
      <c r="D3288" s="2" t="s">
        <v>13400</v>
      </c>
      <c r="E3288" s="2" t="s">
        <v>13401</v>
      </c>
      <c r="F3288" s="2">
        <v>108.0</v>
      </c>
      <c r="G3288" s="2">
        <v>220.0</v>
      </c>
      <c r="H3288" s="2" t="b">
        <v>1</v>
      </c>
      <c r="I3288" s="2">
        <v>-1.0</v>
      </c>
      <c r="J3288" s="2" t="b">
        <v>0</v>
      </c>
      <c r="K3288" s="2" t="b">
        <v>0</v>
      </c>
      <c r="L3288" s="2" t="b">
        <v>0</v>
      </c>
      <c r="M3288" s="2" t="b">
        <v>0</v>
      </c>
      <c r="N3288" s="2" t="s">
        <v>33</v>
      </c>
      <c r="O3288" s="2">
        <v>23.0</v>
      </c>
      <c r="P3288" s="2">
        <v>74.0</v>
      </c>
      <c r="Q3288" s="2">
        <v>4.0</v>
      </c>
      <c r="R3288" s="2">
        <v>1.0</v>
      </c>
      <c r="S3288" s="3" t="s">
        <v>13402</v>
      </c>
      <c r="T3288" s="2" t="s">
        <v>13403</v>
      </c>
      <c r="Y3288" s="4" t="str">
        <f>IFERROR(__xludf.DUMMYFUNCTION("""COMPUTED_VALUE"""),"6.6780273")</f>
        <v>6.6780273</v>
      </c>
      <c r="Z3288" s="4" t="str">
        <f>IFERROR(__xludf.DUMMYFUNCTION("""COMPUTED_VALUE"""),"3.3579579")</f>
        <v>3.3579579</v>
      </c>
      <c r="AA3288" s="4" t="str">
        <f t="shared" si="1"/>
        <v>Not Neighbor</v>
      </c>
      <c r="AC3288" s="4">
        <f>IFERROR(__xludf.DUMMYFUNCTION("IFERROR(ABS(O3288-AVERAGE(FILTER(O3288:O7356,AA3288:AA7356=""Neighbor""))) / STDEV(FILTER(O3288:O7356, AA3288:AA7356 =""Neighbor"")), """")"),0.6684367812378701)</f>
        <v>0.6684367812</v>
      </c>
      <c r="AF3288" s="2">
        <f>IFERROR(__xludf.DUMMYFUNCTION("IFERROR(ABS(R3288-AVERAGE(FILTER(R3288:R7356,AA3288:AA7356=""Neighbor""))) / STDEV(FILTER(R3288:R7356, AA3288:AA7356 =""Neighbor"")), """")"),0.8791187604406998)</f>
        <v>0.8791187604</v>
      </c>
    </row>
    <row r="3289">
      <c r="A3289" s="2" t="s">
        <v>28</v>
      </c>
      <c r="B3289" s="2" t="s">
        <v>4358</v>
      </c>
      <c r="C3289" s="2" t="s">
        <v>4628</v>
      </c>
      <c r="D3289" s="2" t="s">
        <v>13404</v>
      </c>
      <c r="E3289" s="2" t="s">
        <v>13405</v>
      </c>
      <c r="F3289" s="2">
        <v>86.0</v>
      </c>
      <c r="G3289" s="2">
        <v>146.0</v>
      </c>
      <c r="H3289" s="2" t="b">
        <v>1</v>
      </c>
      <c r="I3289" s="2">
        <v>-1.0</v>
      </c>
      <c r="J3289" s="2" t="b">
        <v>0</v>
      </c>
      <c r="K3289" s="2" t="b">
        <v>0</v>
      </c>
      <c r="L3289" s="2" t="b">
        <v>0</v>
      </c>
      <c r="M3289" s="2" t="b">
        <v>0</v>
      </c>
      <c r="N3289" s="2" t="s">
        <v>33</v>
      </c>
      <c r="O3289" s="2">
        <v>28.0</v>
      </c>
      <c r="P3289" s="2">
        <v>54.0</v>
      </c>
      <c r="Q3289" s="2">
        <v>2.0</v>
      </c>
      <c r="R3289" s="2">
        <v>2.0</v>
      </c>
      <c r="S3289" s="3" t="s">
        <v>13406</v>
      </c>
      <c r="T3289" s="2" t="s">
        <v>13407</v>
      </c>
      <c r="Y3289" s="4" t="str">
        <f>IFERROR(__xludf.DUMMYFUNCTION("""COMPUTED_VALUE"""),"6.6844258")</f>
        <v>6.6844258</v>
      </c>
      <c r="Z3289" s="4" t="str">
        <f>IFERROR(__xludf.DUMMYFUNCTION("""COMPUTED_VALUE"""),"3.3691241")</f>
        <v>3.3691241</v>
      </c>
      <c r="AA3289" s="4" t="str">
        <f t="shared" si="1"/>
        <v>Not Neighbor</v>
      </c>
      <c r="AC3289" s="4">
        <f>IFERROR(__xludf.DUMMYFUNCTION("IFERROR(ABS(O3289-AVERAGE(FILTER(O3289:O7357,AA3289:AA7357=""Neighbor""))) / STDEV(FILTER(O3289:O7357, AA3289:AA7357 =""Neighbor"")), """")"),0.5144637468998942)</f>
        <v>0.5144637469</v>
      </c>
      <c r="AF3289" s="2">
        <f>IFERROR(__xludf.DUMMYFUNCTION("IFERROR(ABS(R3289-AVERAGE(FILTER(R3289:R7357,AA3289:AA7357=""Neighbor""))) / STDEV(FILTER(R3289:R7357, AA3289:AA7357 =""Neighbor"")), """")"),2.0937466130302655)</f>
        <v>2.093746613</v>
      </c>
    </row>
    <row r="3290">
      <c r="A3290" s="2" t="s">
        <v>28</v>
      </c>
      <c r="B3290" s="2" t="s">
        <v>4358</v>
      </c>
      <c r="C3290" s="2" t="s">
        <v>4628</v>
      </c>
      <c r="D3290" s="2" t="s">
        <v>13408</v>
      </c>
      <c r="E3290" s="2" t="s">
        <v>13409</v>
      </c>
      <c r="F3290" s="2">
        <v>173.0</v>
      </c>
      <c r="G3290" s="2">
        <v>364.0</v>
      </c>
      <c r="H3290" s="2" t="b">
        <v>1</v>
      </c>
      <c r="I3290" s="2">
        <v>-1.0</v>
      </c>
      <c r="J3290" s="2" t="b">
        <v>0</v>
      </c>
      <c r="K3290" s="2" t="b">
        <v>1</v>
      </c>
      <c r="L3290" s="2" t="b">
        <v>0</v>
      </c>
      <c r="M3290" s="2" t="b">
        <v>0</v>
      </c>
      <c r="N3290" s="2" t="s">
        <v>33</v>
      </c>
      <c r="O3290" s="2">
        <v>29.0</v>
      </c>
      <c r="P3290" s="2">
        <v>128.0</v>
      </c>
      <c r="Q3290" s="2">
        <v>3.0</v>
      </c>
      <c r="R3290" s="2">
        <v>0.0</v>
      </c>
      <c r="S3290" s="3" t="s">
        <v>13410</v>
      </c>
      <c r="T3290" s="2" t="s">
        <v>13411</v>
      </c>
      <c r="Y3290" s="4" t="str">
        <f>IFERROR(__xludf.DUMMYFUNCTION("""COMPUTED_VALUE"""),"6.6713072")</f>
        <v>6.6713072</v>
      </c>
      <c r="Z3290" s="4" t="str">
        <f>IFERROR(__xludf.DUMMYFUNCTION("""COMPUTED_VALUE"""),"3.3583632")</f>
        <v>3.3583632</v>
      </c>
      <c r="AA3290" s="4" t="str">
        <f t="shared" si="1"/>
        <v>Neighbor</v>
      </c>
      <c r="AC3290" s="4">
        <f>IFERROR(__xludf.DUMMYFUNCTION("IFERROR(ABS(O3290-AVERAGE(FILTER(O3290:O7358,AA3290:AA7358=""Neighbor""))) / STDEV(FILTER(O3290:O7358, AA3290:AA7358 =""Neighbor"")), """")"),0.48366914003229905)</f>
        <v>0.48366914</v>
      </c>
      <c r="AF3290" s="2">
        <f>IFERROR(__xludf.DUMMYFUNCTION("IFERROR(ABS(R3290-AVERAGE(FILTER(R3290:R7358,AA3290:AA7358=""Neighbor""))) / STDEV(FILTER(R3290:R7358, AA3290:AA7358 =""Neighbor"")), """")"),0.3355090921488661)</f>
        <v>0.3355090921</v>
      </c>
    </row>
    <row r="3291">
      <c r="A3291" s="2" t="s">
        <v>28</v>
      </c>
      <c r="B3291" s="2" t="s">
        <v>4358</v>
      </c>
      <c r="C3291" s="2" t="s">
        <v>4628</v>
      </c>
      <c r="D3291" s="2" t="s">
        <v>13412</v>
      </c>
      <c r="E3291" s="2" t="s">
        <v>13413</v>
      </c>
      <c r="F3291" s="2">
        <v>272.0</v>
      </c>
      <c r="G3291" s="2">
        <v>558.0</v>
      </c>
      <c r="H3291" s="2" t="b">
        <v>1</v>
      </c>
      <c r="I3291" s="2">
        <v>-1.0</v>
      </c>
      <c r="J3291" s="2" t="b">
        <v>0</v>
      </c>
      <c r="K3291" s="2" t="b">
        <v>0</v>
      </c>
      <c r="L3291" s="2" t="b">
        <v>0</v>
      </c>
      <c r="M3291" s="2" t="b">
        <v>0</v>
      </c>
      <c r="N3291" s="2" t="s">
        <v>33</v>
      </c>
      <c r="O3291" s="2">
        <v>37.0</v>
      </c>
      <c r="P3291" s="2">
        <v>188.0</v>
      </c>
      <c r="Q3291" s="2">
        <v>22.0</v>
      </c>
      <c r="R3291" s="2">
        <v>0.0</v>
      </c>
      <c r="S3291" s="3" t="s">
        <v>13414</v>
      </c>
      <c r="T3291" s="2" t="s">
        <v>13415</v>
      </c>
      <c r="Y3291" s="4" t="str">
        <f>IFERROR(__xludf.DUMMYFUNCTION("""COMPUTED_VALUE"""),"6.6713072")</f>
        <v>6.6713072</v>
      </c>
      <c r="Z3291" s="4" t="str">
        <f>IFERROR(__xludf.DUMMYFUNCTION("""COMPUTED_VALUE"""),"3.3583632")</f>
        <v>3.3583632</v>
      </c>
      <c r="AA3291" s="4" t="str">
        <f t="shared" si="1"/>
        <v>Not Neighbor</v>
      </c>
      <c r="AC3291" s="4">
        <f>IFERROR(__xludf.DUMMYFUNCTION("IFERROR(ABS(O3291-AVERAGE(FILTER(O3291:O7359,AA3291:AA7359=""Neighbor""))) / STDEV(FILTER(O3291:O7359, AA3291:AA7359 =""Neighbor"")), """")"),0.23868801145875113)</f>
        <v>0.2386880115</v>
      </c>
      <c r="AF3291" s="2">
        <f>IFERROR(__xludf.DUMMYFUNCTION("IFERROR(ABS(R3291-AVERAGE(FILTER(R3291:R7359,AA3291:AA7359=""Neighbor""))) / STDEV(FILTER(R3291:R7359, AA3291:AA7359 =""Neighbor"")), """")"),0.3361617466180051)</f>
        <v>0.3361617466</v>
      </c>
    </row>
    <row r="3292">
      <c r="A3292" s="2" t="s">
        <v>28</v>
      </c>
      <c r="B3292" s="2" t="s">
        <v>4358</v>
      </c>
      <c r="C3292" s="2" t="s">
        <v>4628</v>
      </c>
      <c r="D3292" s="2" t="s">
        <v>13416</v>
      </c>
      <c r="E3292" s="2" t="s">
        <v>13417</v>
      </c>
      <c r="F3292" s="2">
        <v>54.0</v>
      </c>
      <c r="G3292" s="2">
        <v>135.0</v>
      </c>
      <c r="H3292" s="2" t="b">
        <v>1</v>
      </c>
      <c r="I3292" s="2">
        <v>-1.0</v>
      </c>
      <c r="J3292" s="2" t="b">
        <v>0</v>
      </c>
      <c r="K3292" s="2" t="b">
        <v>0</v>
      </c>
      <c r="L3292" s="2" t="b">
        <v>0</v>
      </c>
      <c r="M3292" s="2" t="b">
        <v>0</v>
      </c>
      <c r="N3292" s="2" t="s">
        <v>33</v>
      </c>
      <c r="O3292" s="2">
        <v>33.0</v>
      </c>
      <c r="P3292" s="2">
        <v>15.0</v>
      </c>
      <c r="Q3292" s="2">
        <v>0.0</v>
      </c>
      <c r="R3292" s="2">
        <v>0.0</v>
      </c>
      <c r="S3292" s="3" t="s">
        <v>13418</v>
      </c>
      <c r="T3292" s="2" t="s">
        <v>13419</v>
      </c>
      <c r="Y3292" s="4" t="str">
        <f>IFERROR(__xludf.DUMMYFUNCTION("""COMPUTED_VALUE"""),"6.6844258")</f>
        <v>6.6844258</v>
      </c>
      <c r="Z3292" s="4" t="str">
        <f>IFERROR(__xludf.DUMMYFUNCTION("""COMPUTED_VALUE"""),"3.3691241")</f>
        <v>3.3691241</v>
      </c>
      <c r="AA3292" s="4" t="str">
        <f t="shared" si="1"/>
        <v>Neighbor</v>
      </c>
      <c r="AC3292" s="4">
        <f>IFERROR(__xludf.DUMMYFUNCTION("IFERROR(ABS(O3292-AVERAGE(FILTER(O3292:O7360,AA3292:AA7360=""Neighbor""))) / STDEV(FILTER(O3292:O7360, AA3292:AA7360 =""Neighbor"")), """")"),0.361700820257565)</f>
        <v>0.3617008203</v>
      </c>
      <c r="AF3292" s="2">
        <f>IFERROR(__xludf.DUMMYFUNCTION("IFERROR(ABS(R3292-AVERAGE(FILTER(R3292:R7360,AA3292:AA7360=""Neighbor""))) / STDEV(FILTER(R3292:R7360, AA3292:AA7360 =""Neighbor"")), """")"),0.3361617466180051)</f>
        <v>0.3361617466</v>
      </c>
    </row>
    <row r="3293">
      <c r="A3293" s="2" t="s">
        <v>28</v>
      </c>
      <c r="B3293" s="2" t="s">
        <v>4358</v>
      </c>
      <c r="C3293" s="2" t="s">
        <v>4628</v>
      </c>
      <c r="D3293" s="2" t="s">
        <v>13420</v>
      </c>
      <c r="E3293" s="2" t="s">
        <v>13421</v>
      </c>
      <c r="F3293" s="2">
        <v>88.0</v>
      </c>
      <c r="G3293" s="2">
        <v>193.0</v>
      </c>
      <c r="H3293" s="2" t="b">
        <v>1</v>
      </c>
      <c r="I3293" s="2">
        <v>-1.0</v>
      </c>
      <c r="J3293" s="2" t="b">
        <v>0</v>
      </c>
      <c r="K3293" s="2" t="b">
        <v>0</v>
      </c>
      <c r="L3293" s="2" t="b">
        <v>0</v>
      </c>
      <c r="M3293" s="2" t="b">
        <v>0</v>
      </c>
      <c r="N3293" s="2" t="s">
        <v>33</v>
      </c>
      <c r="O3293" s="2">
        <v>31.0</v>
      </c>
      <c r="P3293" s="2">
        <v>53.0</v>
      </c>
      <c r="Q3293" s="2">
        <v>0.0</v>
      </c>
      <c r="R3293" s="2">
        <v>0.0</v>
      </c>
      <c r="S3293" s="3" t="s">
        <v>13422</v>
      </c>
      <c r="T3293" s="2" t="s">
        <v>13423</v>
      </c>
      <c r="Y3293" s="4" t="str">
        <f>IFERROR(__xludf.DUMMYFUNCTION("""COMPUTED_VALUE"""),"6.6844258")</f>
        <v>6.6844258</v>
      </c>
      <c r="Z3293" s="4" t="str">
        <f>IFERROR(__xludf.DUMMYFUNCTION("""COMPUTED_VALUE"""),"3.3691241")</f>
        <v>3.3691241</v>
      </c>
      <c r="AA3293" s="4" t="str">
        <f t="shared" si="1"/>
        <v>Neighbor</v>
      </c>
      <c r="AC3293" s="4">
        <f>IFERROR(__xludf.DUMMYFUNCTION("IFERROR(ABS(O3293-AVERAGE(FILTER(O3293:O7361,AA3293:AA7361=""Neighbor""))) / STDEV(FILTER(O3293:O7361, AA3293:AA7361 =""Neighbor"")), """")"),0.42383081073447326)</f>
        <v>0.4238308107</v>
      </c>
      <c r="AF3293" s="2">
        <f>IFERROR(__xludf.DUMMYFUNCTION("IFERROR(ABS(R3293-AVERAGE(FILTER(R3293:R7361,AA3293:AA7361=""Neighbor""))) / STDEV(FILTER(R3293:R7361, AA3293:AA7361 =""Neighbor"")), """")"),0.33681822633611946)</f>
        <v>0.3368182263</v>
      </c>
    </row>
    <row r="3294">
      <c r="A3294" s="2" t="s">
        <v>28</v>
      </c>
      <c r="B3294" s="2" t="s">
        <v>4358</v>
      </c>
      <c r="C3294" s="2" t="s">
        <v>4628</v>
      </c>
      <c r="D3294" s="2" t="s">
        <v>13424</v>
      </c>
      <c r="E3294" s="2" t="s">
        <v>13425</v>
      </c>
      <c r="F3294" s="2">
        <v>131.0</v>
      </c>
      <c r="G3294" s="2">
        <v>265.0</v>
      </c>
      <c r="H3294" s="2" t="b">
        <v>1</v>
      </c>
      <c r="I3294" s="2">
        <v>-1.0</v>
      </c>
      <c r="J3294" s="2" t="b">
        <v>0</v>
      </c>
      <c r="K3294" s="2" t="b">
        <v>0</v>
      </c>
      <c r="L3294" s="2" t="b">
        <v>0</v>
      </c>
      <c r="M3294" s="2" t="b">
        <v>0</v>
      </c>
      <c r="N3294" s="2" t="s">
        <v>33</v>
      </c>
      <c r="O3294" s="2">
        <v>42.0</v>
      </c>
      <c r="P3294" s="2">
        <v>37.0</v>
      </c>
      <c r="Q3294" s="2">
        <v>17.0</v>
      </c>
      <c r="R3294" s="2">
        <v>0.0</v>
      </c>
      <c r="S3294" s="3" t="s">
        <v>13426</v>
      </c>
      <c r="T3294" s="2" t="s">
        <v>13427</v>
      </c>
      <c r="Y3294" s="4" t="str">
        <f>IFERROR(__xludf.DUMMYFUNCTION("""COMPUTED_VALUE"""),"6.6779555")</f>
        <v>6.6779555</v>
      </c>
      <c r="Z3294" s="4" t="str">
        <f>IFERROR(__xludf.DUMMYFUNCTION("""COMPUTED_VALUE"""),"3.3595429")</f>
        <v>3.3595429</v>
      </c>
      <c r="AA3294" s="4" t="str">
        <f t="shared" si="1"/>
        <v>Neighbor</v>
      </c>
      <c r="AC3294" s="4">
        <f>IFERROR(__xludf.DUMMYFUNCTION("IFERROR(ABS(O3294-AVERAGE(FILTER(O3294:O7362,AA3294:AA7362=""Neighbor""))) / STDEV(FILTER(O3294:O7362, AA3294:AA7362 =""Neighbor"")), """")"),0.08743425171180233)</f>
        <v>0.08743425171</v>
      </c>
      <c r="AF3294" s="2">
        <f>IFERROR(__xludf.DUMMYFUNCTION("IFERROR(ABS(R3294-AVERAGE(FILTER(R3294:R7362,AA3294:AA7362=""Neighbor""))) / STDEV(FILTER(R3294:R7362, AA3294:AA7362 =""Neighbor"")), """")"),0.33747856883058586)</f>
        <v>0.3374785688</v>
      </c>
    </row>
    <row r="3295">
      <c r="A3295" s="2" t="s">
        <v>28</v>
      </c>
      <c r="B3295" s="2" t="s">
        <v>4358</v>
      </c>
      <c r="C3295" s="2" t="s">
        <v>4628</v>
      </c>
      <c r="D3295" s="2" t="s">
        <v>13428</v>
      </c>
      <c r="E3295" s="2" t="s">
        <v>13429</v>
      </c>
      <c r="F3295" s="2">
        <v>174.0</v>
      </c>
      <c r="G3295" s="2">
        <v>294.0</v>
      </c>
      <c r="H3295" s="2" t="b">
        <v>1</v>
      </c>
      <c r="I3295" s="2">
        <v>-1.0</v>
      </c>
      <c r="J3295" s="2" t="b">
        <v>0</v>
      </c>
      <c r="K3295" s="2" t="b">
        <v>1</v>
      </c>
      <c r="L3295" s="2" t="b">
        <v>0</v>
      </c>
      <c r="M3295" s="2" t="b">
        <v>0</v>
      </c>
      <c r="N3295" s="2" t="s">
        <v>33</v>
      </c>
      <c r="O3295" s="2">
        <v>0.0</v>
      </c>
      <c r="P3295" s="2">
        <v>0.0</v>
      </c>
      <c r="Q3295" s="2">
        <v>0.0</v>
      </c>
      <c r="R3295" s="2">
        <v>0.0</v>
      </c>
      <c r="S3295" s="3" t="s">
        <v>13430</v>
      </c>
      <c r="T3295" s="2" t="s">
        <v>13431</v>
      </c>
      <c r="Y3295" s="4" t="str">
        <f>IFERROR(__xludf.DUMMYFUNCTION("""COMPUTED_VALUE"""),"6.684829")</f>
        <v>6.684829</v>
      </c>
      <c r="Z3295" s="4" t="str">
        <f>IFERROR(__xludf.DUMMYFUNCTION("""COMPUTED_VALUE"""),"3.3684039")</f>
        <v>3.3684039</v>
      </c>
      <c r="AA3295" s="4" t="str">
        <f t="shared" si="1"/>
        <v>Neighbor</v>
      </c>
      <c r="AC3295" s="4">
        <f>IFERROR(__xludf.DUMMYFUNCTION("IFERROR(ABS(O3295-AVERAGE(FILTER(O3295:O7363,AA3295:AA7363=""Neighbor""))) / STDEV(FILTER(O3295:O7363, AA3295:AA7363 =""Neighbor"")), """")"),1.373108195228174)</f>
        <v>1.373108195</v>
      </c>
      <c r="AF3295" s="2">
        <f>IFERROR(__xludf.DUMMYFUNCTION("IFERROR(ABS(R3295-AVERAGE(FILTER(R3295:R7363,AA3295:AA7363=""Neighbor""))) / STDEV(FILTER(R3295:R7363, AA3295:AA7363 =""Neighbor"")), """")"),0.3381428121464088)</f>
        <v>0.3381428121</v>
      </c>
    </row>
    <row r="3296">
      <c r="A3296" s="2" t="s">
        <v>28</v>
      </c>
      <c r="B3296" s="2" t="s">
        <v>4358</v>
      </c>
      <c r="C3296" s="2" t="s">
        <v>4628</v>
      </c>
      <c r="D3296" s="2" t="s">
        <v>13432</v>
      </c>
      <c r="E3296" s="2" t="s">
        <v>13433</v>
      </c>
      <c r="F3296" s="2">
        <v>212.0</v>
      </c>
      <c r="G3296" s="2">
        <v>388.0</v>
      </c>
      <c r="H3296" s="2" t="b">
        <v>1</v>
      </c>
      <c r="I3296" s="2">
        <v>-1.0</v>
      </c>
      <c r="J3296" s="2" t="b">
        <v>0</v>
      </c>
      <c r="K3296" s="2" t="b">
        <v>0</v>
      </c>
      <c r="L3296" s="2" t="b">
        <v>0</v>
      </c>
      <c r="M3296" s="2" t="b">
        <v>0</v>
      </c>
      <c r="N3296" s="2" t="s">
        <v>33</v>
      </c>
      <c r="O3296" s="2">
        <v>55.0</v>
      </c>
      <c r="P3296" s="2">
        <v>101.0</v>
      </c>
      <c r="Q3296" s="2">
        <v>7.0</v>
      </c>
      <c r="R3296" s="2">
        <v>0.0</v>
      </c>
      <c r="S3296" s="3" t="s">
        <v>13434</v>
      </c>
      <c r="T3296" s="2" t="s">
        <v>13435</v>
      </c>
      <c r="Y3296" s="4" t="str">
        <f>IFERROR(__xludf.DUMMYFUNCTION("""COMPUTED_VALUE"""),"6.6937075")</f>
        <v>6.6937075</v>
      </c>
      <c r="Z3296" s="4" t="str">
        <f>IFERROR(__xludf.DUMMYFUNCTION("""COMPUTED_VALUE"""),"3.3613232")</f>
        <v>3.3613232</v>
      </c>
      <c r="AA3296" s="4" t="str">
        <f t="shared" si="1"/>
        <v>Not Neighbor</v>
      </c>
      <c r="AC3296" s="4">
        <f>IFERROR(__xludf.DUMMYFUNCTION("IFERROR(ABS(O3296-AVERAGE(FILTER(O3296:O7364,AA3296:AA7364=""Neighbor""))) / STDEV(FILTER(O3296:O7364, AA3296:AA7364 =""Neighbor"")), """")"),0.3059100043033032)</f>
        <v>0.3059100043</v>
      </c>
      <c r="AF3296" s="2">
        <f>IFERROR(__xludf.DUMMYFUNCTION("IFERROR(ABS(R3296-AVERAGE(FILTER(R3296:R7364,AA3296:AA7364=""Neighbor""))) / STDEV(FILTER(R3296:R7364, AA3296:AA7364 =""Neighbor"")), """")"),0.3388109948554381)</f>
        <v>0.3388109949</v>
      </c>
    </row>
    <row r="3297">
      <c r="A3297" s="2" t="s">
        <v>28</v>
      </c>
      <c r="B3297" s="2" t="s">
        <v>4358</v>
      </c>
      <c r="C3297" s="2" t="s">
        <v>4628</v>
      </c>
      <c r="D3297" s="2" t="s">
        <v>13436</v>
      </c>
      <c r="E3297" s="2" t="s">
        <v>13437</v>
      </c>
      <c r="F3297" s="2">
        <v>199.0</v>
      </c>
      <c r="G3297" s="2">
        <v>427.0</v>
      </c>
      <c r="H3297" s="2" t="b">
        <v>1</v>
      </c>
      <c r="I3297" s="2">
        <v>-1.0</v>
      </c>
      <c r="J3297" s="2" t="b">
        <v>0</v>
      </c>
      <c r="K3297" s="2" t="b">
        <v>0</v>
      </c>
      <c r="L3297" s="2" t="b">
        <v>0</v>
      </c>
      <c r="M3297" s="2" t="b">
        <v>0</v>
      </c>
      <c r="N3297" s="2" t="s">
        <v>33</v>
      </c>
      <c r="O3297" s="2">
        <v>113.0</v>
      </c>
      <c r="P3297" s="2">
        <v>33.0</v>
      </c>
      <c r="Q3297" s="2">
        <v>15.0</v>
      </c>
      <c r="R3297" s="2">
        <v>0.0</v>
      </c>
      <c r="S3297" s="3" t="s">
        <v>13438</v>
      </c>
      <c r="T3297" s="2" t="s">
        <v>13439</v>
      </c>
      <c r="Y3297" s="4" t="str">
        <f>IFERROR(__xludf.DUMMYFUNCTION("""COMPUTED_VALUE"""),"6.6739469")</f>
        <v>6.6739469</v>
      </c>
      <c r="Z3297" s="4" t="str">
        <f>IFERROR(__xludf.DUMMYFUNCTION("""COMPUTED_VALUE"""),"3.3584501")</f>
        <v>3.3584501</v>
      </c>
      <c r="AA3297" s="4" t="str">
        <f t="shared" si="1"/>
        <v>Not Neighbor</v>
      </c>
      <c r="AC3297" s="4">
        <f>IFERROR(__xludf.DUMMYFUNCTION("IFERROR(ABS(O3297-AVERAGE(FILTER(O3297:O7365,AA3297:AA7365=""Neighbor""))) / STDEV(FILTER(O3297:O7365, AA3297:AA7365 =""Neighbor"")), """")"),2.0839846298864835)</f>
        <v>2.08398463</v>
      </c>
      <c r="AF3297" s="2">
        <f>IFERROR(__xludf.DUMMYFUNCTION("IFERROR(ABS(R3297-AVERAGE(FILTER(R3297:R7365,AA3297:AA7365=""Neighbor""))) / STDEV(FILTER(R3297:R7365, AA3297:AA7365 =""Neighbor"")), """")"),0.3388109948554381)</f>
        <v>0.3388109949</v>
      </c>
    </row>
    <row r="3298">
      <c r="A3298" s="2" t="s">
        <v>28</v>
      </c>
      <c r="B3298" s="2" t="s">
        <v>4358</v>
      </c>
      <c r="C3298" s="2" t="s">
        <v>4628</v>
      </c>
      <c r="D3298" s="2" t="s">
        <v>13440</v>
      </c>
      <c r="E3298" s="2" t="s">
        <v>13441</v>
      </c>
      <c r="F3298" s="2">
        <v>73.0</v>
      </c>
      <c r="G3298" s="2">
        <v>188.0</v>
      </c>
      <c r="H3298" s="2" t="b">
        <v>1</v>
      </c>
      <c r="I3298" s="2">
        <v>-1.0</v>
      </c>
      <c r="J3298" s="2" t="b">
        <v>0</v>
      </c>
      <c r="K3298" s="2" t="b">
        <v>0</v>
      </c>
      <c r="L3298" s="2" t="b">
        <v>0</v>
      </c>
      <c r="M3298" s="2" t="b">
        <v>0</v>
      </c>
      <c r="N3298" s="2" t="s">
        <v>33</v>
      </c>
      <c r="O3298" s="2">
        <v>25.0</v>
      </c>
      <c r="P3298" s="2">
        <v>31.0</v>
      </c>
      <c r="Q3298" s="2">
        <v>8.0</v>
      </c>
      <c r="R3298" s="2">
        <v>0.0</v>
      </c>
      <c r="S3298" s="3" t="s">
        <v>13442</v>
      </c>
      <c r="T3298" s="2" t="s">
        <v>13443</v>
      </c>
      <c r="Y3298" s="4" t="str">
        <f>IFERROR(__xludf.DUMMYFUNCTION("""COMPUTED_VALUE"""),"6.715639")</f>
        <v>6.715639</v>
      </c>
      <c r="Z3298" s="4" t="str">
        <f>IFERROR(__xludf.DUMMYFUNCTION("""COMPUTED_VALUE"""),"3.3507026")</f>
        <v>3.3507026</v>
      </c>
      <c r="AA3298" s="4" t="str">
        <f t="shared" si="1"/>
        <v>Not Neighbor</v>
      </c>
      <c r="AC3298" s="4">
        <f>IFERROR(__xludf.DUMMYFUNCTION("IFERROR(ABS(O3298-AVERAGE(FILTER(O3298:O7366,AA3298:AA7366=""Neighbor""))) / STDEV(FILTER(O3298:O7366, AA3298:AA7366 =""Neighbor"")), """")"),0.6137837675500658)</f>
        <v>0.6137837676</v>
      </c>
      <c r="AF3298" s="2">
        <f>IFERROR(__xludf.DUMMYFUNCTION("IFERROR(ABS(R3298-AVERAGE(FILTER(R3298:R7366,AA3298:AA7366=""Neighbor""))) / STDEV(FILTER(R3298:R7366, AA3298:AA7366 =""Neighbor"")), """")"),0.3388109948554381)</f>
        <v>0.3388109949</v>
      </c>
    </row>
    <row r="3299">
      <c r="A3299" s="2" t="s">
        <v>28</v>
      </c>
      <c r="B3299" s="2" t="s">
        <v>4358</v>
      </c>
      <c r="C3299" s="2" t="s">
        <v>4628</v>
      </c>
      <c r="D3299" s="2" t="s">
        <v>13444</v>
      </c>
      <c r="E3299" s="2" t="s">
        <v>13445</v>
      </c>
      <c r="F3299" s="2">
        <v>39.0</v>
      </c>
      <c r="G3299" s="2">
        <v>94.0</v>
      </c>
      <c r="H3299" s="2" t="b">
        <v>1</v>
      </c>
      <c r="I3299" s="2">
        <v>-1.0</v>
      </c>
      <c r="J3299" s="2" t="b">
        <v>0</v>
      </c>
      <c r="K3299" s="2" t="b">
        <v>0</v>
      </c>
      <c r="L3299" s="2" t="b">
        <v>0</v>
      </c>
      <c r="M3299" s="2" t="b">
        <v>0</v>
      </c>
      <c r="N3299" s="2" t="s">
        <v>33</v>
      </c>
      <c r="O3299" s="2">
        <v>15.0</v>
      </c>
      <c r="P3299" s="2">
        <v>19.0</v>
      </c>
      <c r="Q3299" s="2">
        <v>0.0</v>
      </c>
      <c r="R3299" s="2">
        <v>0.0</v>
      </c>
      <c r="S3299" s="3" t="s">
        <v>13446</v>
      </c>
      <c r="T3299" s="2" t="s">
        <v>13447</v>
      </c>
      <c r="Y3299" s="4" t="str">
        <f>IFERROR(__xludf.DUMMYFUNCTION("""COMPUTED_VALUE"""),"6.8028866")</f>
        <v>6.8028866</v>
      </c>
      <c r="Z3299" s="4" t="str">
        <f>IFERROR(__xludf.DUMMYFUNCTION("""COMPUTED_VALUE"""),"3.238251")</f>
        <v>3.238251</v>
      </c>
      <c r="AA3299" s="4" t="str">
        <f t="shared" si="1"/>
        <v>Not Neighbor</v>
      </c>
      <c r="AC3299" s="4">
        <f>IFERROR(__xludf.DUMMYFUNCTION("IFERROR(ABS(O3299-AVERAGE(FILTER(O3299:O7367,AA3299:AA7367=""Neighbor""))) / STDEV(FILTER(O3299:O7367, AA3299:AA7367 =""Neighbor"")), """")"),0.9203483581678554)</f>
        <v>0.9203483582</v>
      </c>
      <c r="AF3299" s="2">
        <f>IFERROR(__xludf.DUMMYFUNCTION("IFERROR(ABS(R3299-AVERAGE(FILTER(R3299:R7367,AA3299:AA7367=""Neighbor""))) / STDEV(FILTER(R3299:R7367, AA3299:AA7367 =""Neighbor"")), """")"),0.3388109948554381)</f>
        <v>0.3388109949</v>
      </c>
    </row>
    <row r="3300">
      <c r="A3300" s="2" t="s">
        <v>28</v>
      </c>
      <c r="B3300" s="2" t="s">
        <v>4358</v>
      </c>
      <c r="C3300" s="2" t="s">
        <v>4628</v>
      </c>
      <c r="D3300" s="2" t="s">
        <v>13448</v>
      </c>
      <c r="E3300" s="2" t="s">
        <v>13449</v>
      </c>
      <c r="F3300" s="2">
        <v>0.0</v>
      </c>
      <c r="G3300" s="2">
        <v>332.0</v>
      </c>
      <c r="H3300" s="2" t="b">
        <v>1</v>
      </c>
      <c r="I3300" s="2">
        <v>-1.0</v>
      </c>
      <c r="J3300" s="2" t="b">
        <v>0</v>
      </c>
      <c r="K3300" s="2" t="b">
        <v>0</v>
      </c>
      <c r="L3300" s="2" t="b">
        <v>0</v>
      </c>
      <c r="M3300" s="2" t="b">
        <v>0</v>
      </c>
      <c r="N3300" s="2" t="s">
        <v>33</v>
      </c>
      <c r="O3300" s="2">
        <v>62.0</v>
      </c>
      <c r="P3300" s="2">
        <v>46.0</v>
      </c>
      <c r="Q3300" s="2">
        <v>13.0</v>
      </c>
      <c r="R3300" s="2">
        <v>7.0</v>
      </c>
      <c r="S3300" s="3" t="s">
        <v>13450</v>
      </c>
      <c r="T3300" s="2" t="s">
        <v>13451</v>
      </c>
      <c r="Y3300" s="4" t="str">
        <f>IFERROR(__xludf.DUMMYFUNCTION("""COMPUTED_VALUE"""),"6.6203103")</f>
        <v>6.6203103</v>
      </c>
      <c r="Z3300" s="4" t="str">
        <f>IFERROR(__xludf.DUMMYFUNCTION("""COMPUTED_VALUE"""),"3.3011051")</f>
        <v>3.3011051</v>
      </c>
      <c r="AA3300" s="4" t="str">
        <f t="shared" si="1"/>
        <v>Not Neighbor</v>
      </c>
      <c r="AC3300" s="4">
        <f>IFERROR(__xludf.DUMMYFUNCTION("IFERROR(ABS(O3300-AVERAGE(FILTER(O3300:O7368,AA3300:AA7368=""Neighbor""))) / STDEV(FILTER(O3300:O7368, AA3300:AA7368 =""Neighbor"")), """")"),0.5205052177357559)</f>
        <v>0.5205052177</v>
      </c>
      <c r="AF3300" s="2">
        <f>IFERROR(__xludf.DUMMYFUNCTION("IFERROR(ABS(R3300-AVERAGE(FILTER(R3300:R7368,AA3300:AA7368=""Neighbor""))) / STDEV(FILTER(R3300:R7368, AA3300:AA7368 =""Neighbor"")), """")"),8.097153902367937)</f>
        <v>8.097153902</v>
      </c>
    </row>
    <row r="3301">
      <c r="A3301" s="2" t="s">
        <v>28</v>
      </c>
      <c r="B3301" s="2" t="s">
        <v>4358</v>
      </c>
      <c r="C3301" s="2" t="s">
        <v>4628</v>
      </c>
      <c r="D3301" s="2" t="s">
        <v>13452</v>
      </c>
      <c r="E3301" s="2" t="s">
        <v>13453</v>
      </c>
      <c r="F3301" s="2">
        <v>54.0</v>
      </c>
      <c r="G3301" s="2">
        <v>139.0</v>
      </c>
      <c r="H3301" s="2" t="b">
        <v>1</v>
      </c>
      <c r="I3301" s="2">
        <v>-1.0</v>
      </c>
      <c r="J3301" s="2" t="b">
        <v>0</v>
      </c>
      <c r="K3301" s="2" t="b">
        <v>0</v>
      </c>
      <c r="L3301" s="2" t="b">
        <v>0</v>
      </c>
      <c r="M3301" s="2" t="b">
        <v>0</v>
      </c>
      <c r="N3301" s="2" t="s">
        <v>33</v>
      </c>
      <c r="O3301" s="2">
        <v>25.0</v>
      </c>
      <c r="P3301" s="2">
        <v>17.0</v>
      </c>
      <c r="Q3301" s="2">
        <v>3.0</v>
      </c>
      <c r="R3301" s="2">
        <v>0.0</v>
      </c>
      <c r="S3301" s="3" t="s">
        <v>13454</v>
      </c>
      <c r="T3301" s="2" t="s">
        <v>13455</v>
      </c>
      <c r="Y3301" s="4" t="str">
        <f>IFERROR(__xludf.DUMMYFUNCTION("""COMPUTED_VALUE"""),"6.6779555")</f>
        <v>6.6779555</v>
      </c>
      <c r="Z3301" s="4" t="str">
        <f>IFERROR(__xludf.DUMMYFUNCTION("""COMPUTED_VALUE"""),"3.3595429")</f>
        <v>3.3595429</v>
      </c>
      <c r="AA3301" s="4" t="str">
        <f t="shared" si="1"/>
        <v>Neighbor</v>
      </c>
      <c r="AC3301" s="4">
        <f>IFERROR(__xludf.DUMMYFUNCTION("IFERROR(ABS(O3301-AVERAGE(FILTER(O3301:O7369,AA3301:AA7369=""Neighbor""))) / STDEV(FILTER(O3301:O7369, AA3301:AA7369 =""Neighbor"")), """")"),0.6137837675500658)</f>
        <v>0.6137837676</v>
      </c>
      <c r="AF3301" s="2">
        <f>IFERROR(__xludf.DUMMYFUNCTION("IFERROR(ABS(R3301-AVERAGE(FILTER(R3301:R7369,AA3301:AA7369=""Neighbor""))) / STDEV(FILTER(R3301:R7369, AA3301:AA7369 =""Neighbor"")), """")"),0.3388109948554381)</f>
        <v>0.3388109949</v>
      </c>
    </row>
    <row r="3302">
      <c r="A3302" s="2" t="s">
        <v>28</v>
      </c>
      <c r="B3302" s="2" t="s">
        <v>4358</v>
      </c>
      <c r="C3302" s="2" t="s">
        <v>4628</v>
      </c>
      <c r="D3302" s="2" t="s">
        <v>13456</v>
      </c>
      <c r="E3302" s="2" t="s">
        <v>13457</v>
      </c>
      <c r="F3302" s="2">
        <v>76.0</v>
      </c>
      <c r="G3302" s="2">
        <v>130.0</v>
      </c>
      <c r="H3302" s="2" t="b">
        <v>1</v>
      </c>
      <c r="I3302" s="2">
        <v>-1.0</v>
      </c>
      <c r="J3302" s="2" t="b">
        <v>1</v>
      </c>
      <c r="K3302" s="2" t="b">
        <v>0</v>
      </c>
      <c r="L3302" s="2" t="b">
        <v>0</v>
      </c>
      <c r="M3302" s="2" t="b">
        <v>0</v>
      </c>
      <c r="N3302" s="2" t="s">
        <v>33</v>
      </c>
      <c r="O3302" s="2">
        <v>45.0</v>
      </c>
      <c r="P3302" s="2">
        <v>37.0</v>
      </c>
      <c r="Q3302" s="2">
        <v>1.0</v>
      </c>
      <c r="R3302" s="2">
        <v>2.0</v>
      </c>
      <c r="S3302" s="3" t="s">
        <v>13458</v>
      </c>
      <c r="T3302" s="2" t="s">
        <v>13459</v>
      </c>
      <c r="Y3302" s="4" t="str">
        <f>IFERROR(__xludf.DUMMYFUNCTION("""COMPUTED_VALUE"""),"6.6844258")</f>
        <v>6.6844258</v>
      </c>
      <c r="Z3302" s="4" t="str">
        <f>IFERROR(__xludf.DUMMYFUNCTION("""COMPUTED_VALUE"""),"3.3691241")</f>
        <v>3.3691241</v>
      </c>
      <c r="AA3302" s="4" t="str">
        <f t="shared" si="1"/>
        <v>Neighbor</v>
      </c>
      <c r="AC3302" s="4">
        <f>IFERROR(__xludf.DUMMYFUNCTION("IFERROR(ABS(O3302-AVERAGE(FILTER(O3302:O7370,AA3302:AA7370=""Neighbor""))) / STDEV(FILTER(O3302:O7370, AA3302:AA7370 =""Neighbor"")), """")"),0.0028435037096346404)</f>
        <v>0.00284350371</v>
      </c>
      <c r="AF3302" s="2">
        <f>IFERROR(__xludf.DUMMYFUNCTION("IFERROR(ABS(R3302-AVERAGE(FILTER(R3302:R7370,AA3302:AA7370=""Neighbor""))) / STDEV(FILTER(R3302:R7370, AA3302:AA7370 =""Neighbor"")), """")"),2.066979722375258)</f>
        <v>2.066979722</v>
      </c>
    </row>
    <row r="3303">
      <c r="A3303" s="2" t="s">
        <v>28</v>
      </c>
      <c r="B3303" s="2" t="s">
        <v>4358</v>
      </c>
      <c r="C3303" s="2" t="s">
        <v>4628</v>
      </c>
      <c r="D3303" s="2" t="s">
        <v>13460</v>
      </c>
      <c r="E3303" s="2" t="s">
        <v>13461</v>
      </c>
      <c r="F3303" s="2">
        <v>132.0</v>
      </c>
      <c r="G3303" s="2">
        <v>228.0</v>
      </c>
      <c r="H3303" s="2" t="b">
        <v>1</v>
      </c>
      <c r="I3303" s="2">
        <v>-1.0</v>
      </c>
      <c r="J3303" s="2" t="b">
        <v>0</v>
      </c>
      <c r="K3303" s="2" t="b">
        <v>0</v>
      </c>
      <c r="L3303" s="2" t="b">
        <v>0</v>
      </c>
      <c r="M3303" s="2" t="b">
        <v>0</v>
      </c>
      <c r="N3303" s="2" t="s">
        <v>33</v>
      </c>
      <c r="O3303" s="2">
        <v>44.0</v>
      </c>
      <c r="P3303" s="2">
        <v>76.0</v>
      </c>
      <c r="Q3303" s="2">
        <v>3.0</v>
      </c>
      <c r="R3303" s="2">
        <v>0.0</v>
      </c>
      <c r="S3303" s="3" t="s">
        <v>13462</v>
      </c>
      <c r="T3303" s="2" t="s">
        <v>13463</v>
      </c>
      <c r="Y3303" s="4" t="str">
        <f>IFERROR(__xludf.DUMMYFUNCTION("""COMPUTED_VALUE"""),"6.6788074")</f>
        <v>6.6788074</v>
      </c>
      <c r="Z3303" s="4" t="str">
        <f>IFERROR(__xludf.DUMMYFUNCTION("""COMPUTED_VALUE"""),"3.3610601")</f>
        <v>3.3610601</v>
      </c>
      <c r="AA3303" s="4" t="str">
        <f t="shared" si="1"/>
        <v>Not Neighbor</v>
      </c>
      <c r="AC3303" s="4">
        <f>IFERROR(__xludf.DUMMYFUNCTION("IFERROR(ABS(O3303-AVERAGE(FILTER(O3303:O7371,AA3303:AA7371=""Neighbor""))) / STDEV(FILTER(O3303:O7371, AA3303:AA7371 =""Neighbor"")), """")"),0.03341599684490012)</f>
        <v>0.03341599684</v>
      </c>
      <c r="AF3303" s="2">
        <f>IFERROR(__xludf.DUMMYFUNCTION("IFERROR(ABS(R3303-AVERAGE(FILTER(R3303:R7371,AA3303:AA7371=""Neighbor""))) / STDEV(FILTER(R3303:R7371, AA3303:AA7371 =""Neighbor"")), """")"),0.33405582805697853)</f>
        <v>0.3340558281</v>
      </c>
    </row>
    <row r="3304">
      <c r="A3304" s="2" t="s">
        <v>28</v>
      </c>
      <c r="B3304" s="2" t="s">
        <v>4358</v>
      </c>
      <c r="C3304" s="2" t="s">
        <v>4935</v>
      </c>
      <c r="D3304" s="2" t="s">
        <v>13464</v>
      </c>
      <c r="E3304" s="2" t="s">
        <v>13465</v>
      </c>
      <c r="F3304" s="2">
        <v>92.0</v>
      </c>
      <c r="G3304" s="2">
        <v>227.0</v>
      </c>
      <c r="H3304" s="2" t="b">
        <v>1</v>
      </c>
      <c r="I3304" s="2">
        <v>-1.0</v>
      </c>
      <c r="J3304" s="2" t="b">
        <v>0</v>
      </c>
      <c r="K3304" s="2" t="b">
        <v>0</v>
      </c>
      <c r="L3304" s="2" t="b">
        <v>0</v>
      </c>
      <c r="M3304" s="2" t="b">
        <v>0</v>
      </c>
      <c r="N3304" s="2" t="s">
        <v>33</v>
      </c>
      <c r="O3304" s="2">
        <v>51.0</v>
      </c>
      <c r="P3304" s="2">
        <v>22.0</v>
      </c>
      <c r="Q3304" s="2">
        <v>10.0</v>
      </c>
      <c r="R3304" s="2">
        <v>0.0</v>
      </c>
      <c r="S3304" s="3" t="s">
        <v>13466</v>
      </c>
      <c r="T3304" s="2" t="s">
        <v>13467</v>
      </c>
      <c r="Y3304" s="4" t="str">
        <f>IFERROR(__xludf.DUMMYFUNCTION("""COMPUTED_VALUE"""),"6.4932302")</f>
        <v>6.4932302</v>
      </c>
      <c r="Z3304" s="4" t="str">
        <f>IFERROR(__xludf.DUMMYFUNCTION("""COMPUTED_VALUE"""),"2.7484286")</f>
        <v>2.7484286</v>
      </c>
      <c r="AA3304" s="4" t="str">
        <f t="shared" si="1"/>
        <v>Not Neighbor</v>
      </c>
      <c r="AC3304" s="4">
        <f>IFERROR(__xludf.DUMMYFUNCTION("IFERROR(ABS(O3304-AVERAGE(FILTER(O3304:O7372,AA3304:AA7372=""Neighbor""))) / STDEV(FILTER(O3304:O7372, AA3304:AA7372 =""Neighbor"")), """")"),0.18055594360785318)</f>
        <v>0.1805559436</v>
      </c>
      <c r="AF3304" s="2">
        <f>IFERROR(__xludf.DUMMYFUNCTION("IFERROR(ABS(R3304-AVERAGE(FILTER(R3304:R7372,AA3304:AA7372=""Neighbor""))) / STDEV(FILTER(R3304:R7372, AA3304:AA7372 =""Neighbor"")), """")"),0.33405582805697853)</f>
        <v>0.3340558281</v>
      </c>
    </row>
    <row r="3305">
      <c r="A3305" s="2" t="s">
        <v>28</v>
      </c>
      <c r="B3305" s="2" t="s">
        <v>4358</v>
      </c>
      <c r="C3305" s="2" t="s">
        <v>4935</v>
      </c>
      <c r="D3305" s="2" t="s">
        <v>13468</v>
      </c>
      <c r="E3305" s="2" t="s">
        <v>13469</v>
      </c>
      <c r="F3305" s="2">
        <v>75.0</v>
      </c>
      <c r="G3305" s="2">
        <v>143.0</v>
      </c>
      <c r="H3305" s="2" t="b">
        <v>1</v>
      </c>
      <c r="I3305" s="2">
        <v>-1.0</v>
      </c>
      <c r="J3305" s="2" t="b">
        <v>0</v>
      </c>
      <c r="K3305" s="2" t="b">
        <v>0</v>
      </c>
      <c r="L3305" s="2" t="b">
        <v>0</v>
      </c>
      <c r="M3305" s="2" t="b">
        <v>0</v>
      </c>
      <c r="N3305" s="2" t="s">
        <v>33</v>
      </c>
      <c r="O3305" s="2">
        <v>48.0</v>
      </c>
      <c r="P3305" s="2">
        <v>6.0</v>
      </c>
      <c r="Q3305" s="2">
        <v>49.0</v>
      </c>
      <c r="R3305" s="2">
        <v>0.0</v>
      </c>
      <c r="S3305" s="3" t="s">
        <v>13470</v>
      </c>
      <c r="T3305" s="2" t="s">
        <v>13471</v>
      </c>
      <c r="Y3305" s="4" t="str">
        <f>IFERROR(__xludf.DUMMYFUNCTION("""COMPUTED_VALUE"""),"6.7745052")</f>
        <v>6.7745052</v>
      </c>
      <c r="Z3305" s="4" t="str">
        <f>IFERROR(__xludf.DUMMYFUNCTION("""COMPUTED_VALUE"""),"3.2219838")</f>
        <v>3.2219838</v>
      </c>
      <c r="AA3305" s="4" t="str">
        <f t="shared" si="1"/>
        <v>Not Neighbor</v>
      </c>
      <c r="AC3305" s="4">
        <f>IFERROR(__xludf.DUMMYFUNCTION("IFERROR(ABS(O3305-AVERAGE(FILTER(O3305:O7373,AA3305:AA7373=""Neighbor""))) / STDEV(FILTER(O3305:O7373, AA3305:AA7373 =""Neighbor"")), """")"),0.08885368341381605)</f>
        <v>0.08885368341</v>
      </c>
      <c r="AF3305" s="2">
        <f>IFERROR(__xludf.DUMMYFUNCTION("IFERROR(ABS(R3305-AVERAGE(FILTER(R3305:R7373,AA3305:AA7373=""Neighbor""))) / STDEV(FILTER(R3305:R7373, AA3305:AA7373 =""Neighbor"")), """")"),0.33405582805697853)</f>
        <v>0.3340558281</v>
      </c>
    </row>
    <row r="3306">
      <c r="A3306" s="2" t="s">
        <v>28</v>
      </c>
      <c r="B3306" s="2" t="s">
        <v>4358</v>
      </c>
      <c r="C3306" s="2" t="s">
        <v>4935</v>
      </c>
      <c r="D3306" s="2" t="s">
        <v>13472</v>
      </c>
      <c r="E3306" s="2" t="s">
        <v>13473</v>
      </c>
      <c r="F3306" s="2">
        <v>91.0</v>
      </c>
      <c r="G3306" s="2">
        <v>338.0</v>
      </c>
      <c r="H3306" s="2" t="b">
        <v>1</v>
      </c>
      <c r="I3306" s="2">
        <v>-1.0</v>
      </c>
      <c r="J3306" s="2" t="b">
        <v>0</v>
      </c>
      <c r="K3306" s="2" t="b">
        <v>0</v>
      </c>
      <c r="L3306" s="2" t="b">
        <v>0</v>
      </c>
      <c r="M3306" s="2" t="b">
        <v>0</v>
      </c>
      <c r="N3306" s="2" t="s">
        <v>33</v>
      </c>
      <c r="O3306" s="2">
        <v>32.0</v>
      </c>
      <c r="P3306" s="2">
        <v>18.0</v>
      </c>
      <c r="Q3306" s="2">
        <v>6.0</v>
      </c>
      <c r="R3306" s="2">
        <v>0.0</v>
      </c>
      <c r="S3306" s="3" t="s">
        <v>13474</v>
      </c>
      <c r="T3306" s="2" t="s">
        <v>13475</v>
      </c>
      <c r="Y3306" s="4" t="str">
        <f>IFERROR(__xludf.DUMMYFUNCTION("""COMPUTED_VALUE"""),"6.8028866")</f>
        <v>6.8028866</v>
      </c>
      <c r="Z3306" s="4" t="str">
        <f>IFERROR(__xludf.DUMMYFUNCTION("""COMPUTED_VALUE"""),"3.238251")</f>
        <v>3.238251</v>
      </c>
      <c r="AA3306" s="4" t="str">
        <f t="shared" si="1"/>
        <v>Not Neighbor</v>
      </c>
      <c r="AC3306" s="4">
        <f>IFERROR(__xludf.DUMMYFUNCTION("IFERROR(ABS(O3306-AVERAGE(FILTER(O3306:O7374,AA3306:AA7374=""Neighbor""))) / STDEV(FILTER(O3306:O7374, AA3306:AA7374 =""Neighbor"")), """")"),0.4002250376210486)</f>
        <v>0.4002250376</v>
      </c>
      <c r="AF3306" s="2">
        <f>IFERROR(__xludf.DUMMYFUNCTION("IFERROR(ABS(R3306-AVERAGE(FILTER(R3306:R7374,AA3306:AA7374=""Neighbor""))) / STDEV(FILTER(R3306:R7374, AA3306:AA7374 =""Neighbor"")), """")"),0.33405582805697853)</f>
        <v>0.3340558281</v>
      </c>
    </row>
    <row r="3307">
      <c r="A3307" s="2" t="s">
        <v>28</v>
      </c>
      <c r="B3307" s="2" t="s">
        <v>4358</v>
      </c>
      <c r="C3307" s="2" t="s">
        <v>4935</v>
      </c>
      <c r="D3307" s="2" t="s">
        <v>13476</v>
      </c>
      <c r="E3307" s="2" t="s">
        <v>13477</v>
      </c>
      <c r="F3307" s="2">
        <v>208.0</v>
      </c>
      <c r="G3307" s="2">
        <v>468.0</v>
      </c>
      <c r="H3307" s="2" t="b">
        <v>1</v>
      </c>
      <c r="I3307" s="2">
        <v>-1.0</v>
      </c>
      <c r="J3307" s="2" t="b">
        <v>0</v>
      </c>
      <c r="K3307" s="2" t="b">
        <v>0</v>
      </c>
      <c r="L3307" s="2" t="b">
        <v>0</v>
      </c>
      <c r="M3307" s="2" t="b">
        <v>0</v>
      </c>
      <c r="N3307" s="2" t="s">
        <v>33</v>
      </c>
      <c r="O3307" s="2">
        <v>117.0</v>
      </c>
      <c r="P3307" s="2">
        <v>29.0</v>
      </c>
      <c r="Q3307" s="2">
        <v>17.0</v>
      </c>
      <c r="R3307" s="2">
        <v>0.0</v>
      </c>
      <c r="S3307" s="3" t="s">
        <v>13478</v>
      </c>
      <c r="T3307" s="2" t="s">
        <v>13479</v>
      </c>
      <c r="Y3307" s="4" t="str">
        <f>IFERROR(__xludf.DUMMYFUNCTION("""COMPUTED_VALUE"""),"6.7863718")</f>
        <v>6.7863718</v>
      </c>
      <c r="Z3307" s="4" t="str">
        <f>IFERROR(__xludf.DUMMYFUNCTION("""COMPUTED_VALUE"""),"3.2018858")</f>
        <v>3.2018858</v>
      </c>
      <c r="AA3307" s="4" t="str">
        <f t="shared" si="1"/>
        <v>Not Neighbor</v>
      </c>
      <c r="AC3307" s="4">
        <f>IFERROR(__xludf.DUMMYFUNCTION("IFERROR(ABS(O3307-AVERAGE(FILTER(O3307:O7375,AA3307:AA7375=""Neighbor""))) / STDEV(FILTER(O3307:O7375, AA3307:AA7375 =""Neighbor"")), """")"),2.1980056678766697)</f>
        <v>2.198005668</v>
      </c>
      <c r="AF3307" s="2">
        <f>IFERROR(__xludf.DUMMYFUNCTION("IFERROR(ABS(R3307-AVERAGE(FILTER(R3307:R7375,AA3307:AA7375=""Neighbor""))) / STDEV(FILTER(R3307:R7375, AA3307:AA7375 =""Neighbor"")), """")"),0.33405582805697853)</f>
        <v>0.3340558281</v>
      </c>
    </row>
    <row r="3308">
      <c r="A3308" s="2" t="s">
        <v>28</v>
      </c>
      <c r="B3308" s="2" t="s">
        <v>4358</v>
      </c>
      <c r="C3308" s="2" t="s">
        <v>4935</v>
      </c>
      <c r="D3308" s="2" t="s">
        <v>13480</v>
      </c>
      <c r="E3308" s="2" t="s">
        <v>13481</v>
      </c>
      <c r="F3308" s="2">
        <v>261.0</v>
      </c>
      <c r="G3308" s="2">
        <v>604.0</v>
      </c>
      <c r="H3308" s="2" t="b">
        <v>1</v>
      </c>
      <c r="I3308" s="2">
        <v>-1.0</v>
      </c>
      <c r="J3308" s="2" t="b">
        <v>1</v>
      </c>
      <c r="K3308" s="2" t="b">
        <v>0</v>
      </c>
      <c r="L3308" s="2" t="b">
        <v>0</v>
      </c>
      <c r="M3308" s="2" t="b">
        <v>0</v>
      </c>
      <c r="N3308" s="2" t="s">
        <v>33</v>
      </c>
      <c r="O3308" s="2">
        <v>0.0</v>
      </c>
      <c r="P3308" s="2">
        <v>0.0</v>
      </c>
      <c r="Q3308" s="2">
        <v>0.0</v>
      </c>
      <c r="R3308" s="2">
        <v>0.0</v>
      </c>
      <c r="S3308" s="3" t="s">
        <v>13482</v>
      </c>
      <c r="T3308" s="2" t="s">
        <v>13483</v>
      </c>
      <c r="Y3308" s="4" t="str">
        <f>IFERROR(__xludf.DUMMYFUNCTION("""COMPUTED_VALUE"""),"6.830923")</f>
        <v>6.830923</v>
      </c>
      <c r="Z3308" s="4" t="str">
        <f>IFERROR(__xludf.DUMMYFUNCTION("""COMPUTED_VALUE"""),"3.1933491")</f>
        <v>3.1933491</v>
      </c>
      <c r="AA3308" s="4" t="str">
        <f t="shared" si="1"/>
        <v>Not Neighbor</v>
      </c>
      <c r="AC3308" s="4">
        <f>IFERROR(__xludf.DUMMYFUNCTION("IFERROR(ABS(O3308-AVERAGE(FILTER(O3308:O7376,AA3308:AA7376=""Neighbor""))) / STDEV(FILTER(O3308:O7376, AA3308:AA7376 =""Neighbor"")), """")"),1.378382479690778)</f>
        <v>1.37838248</v>
      </c>
      <c r="AF3308" s="2">
        <f>IFERROR(__xludf.DUMMYFUNCTION("IFERROR(ABS(R3308-AVERAGE(FILTER(R3308:R7376,AA3308:AA7376=""Neighbor""))) / STDEV(FILTER(R3308:R7376, AA3308:AA7376 =""Neighbor"")), """")"),0.33405582805697853)</f>
        <v>0.3340558281</v>
      </c>
    </row>
    <row r="3309">
      <c r="A3309" s="2" t="s">
        <v>28</v>
      </c>
      <c r="B3309" s="2" t="s">
        <v>4358</v>
      </c>
      <c r="C3309" s="2" t="s">
        <v>4935</v>
      </c>
      <c r="D3309" s="2" t="s">
        <v>13484</v>
      </c>
      <c r="E3309" s="2" t="s">
        <v>13485</v>
      </c>
      <c r="F3309" s="2">
        <v>83.0</v>
      </c>
      <c r="G3309" s="2">
        <v>206.0</v>
      </c>
      <c r="H3309" s="2" t="b">
        <v>1</v>
      </c>
      <c r="I3309" s="2">
        <v>-1.0</v>
      </c>
      <c r="J3309" s="2" t="b">
        <v>1</v>
      </c>
      <c r="K3309" s="2" t="b">
        <v>0</v>
      </c>
      <c r="L3309" s="2" t="b">
        <v>0</v>
      </c>
      <c r="M3309" s="2" t="b">
        <v>0</v>
      </c>
      <c r="N3309" s="2" t="s">
        <v>33</v>
      </c>
      <c r="O3309" s="2">
        <v>0.0</v>
      </c>
      <c r="P3309" s="2">
        <v>0.0</v>
      </c>
      <c r="Q3309" s="2">
        <v>0.0</v>
      </c>
      <c r="R3309" s="2">
        <v>0.0</v>
      </c>
      <c r="S3309" s="3" t="s">
        <v>13486</v>
      </c>
      <c r="T3309" s="2" t="s">
        <v>13487</v>
      </c>
      <c r="Y3309" s="4" t="str">
        <f>IFERROR(__xludf.DUMMYFUNCTION("""COMPUTED_VALUE"""),"6.4932302")</f>
        <v>6.4932302</v>
      </c>
      <c r="Z3309" s="4" t="str">
        <f>IFERROR(__xludf.DUMMYFUNCTION("""COMPUTED_VALUE"""),"2.7484286")</f>
        <v>2.7484286</v>
      </c>
      <c r="AA3309" s="4" t="str">
        <f t="shared" si="1"/>
        <v>Not Neighbor</v>
      </c>
      <c r="AC3309" s="4">
        <f>IFERROR(__xludf.DUMMYFUNCTION("IFERROR(ABS(O3309-AVERAGE(FILTER(O3309:O7377,AA3309:AA7377=""Neighbor""))) / STDEV(FILTER(O3309:O7377, AA3309:AA7377 =""Neighbor"")), """")"),1.378382479690778)</f>
        <v>1.37838248</v>
      </c>
      <c r="AF3309" s="2">
        <f>IFERROR(__xludf.DUMMYFUNCTION("IFERROR(ABS(R3309-AVERAGE(FILTER(R3309:R7377,AA3309:AA7377=""Neighbor""))) / STDEV(FILTER(R3309:R7377, AA3309:AA7377 =""Neighbor"")), """")"),0.33405582805697853)</f>
        <v>0.3340558281</v>
      </c>
    </row>
    <row r="3310">
      <c r="A3310" s="2" t="s">
        <v>28</v>
      </c>
      <c r="B3310" s="2" t="s">
        <v>4358</v>
      </c>
      <c r="C3310" s="2" t="s">
        <v>4935</v>
      </c>
      <c r="D3310" s="2" t="s">
        <v>13488</v>
      </c>
      <c r="E3310" s="2" t="s">
        <v>13489</v>
      </c>
      <c r="F3310" s="2">
        <v>108.0</v>
      </c>
      <c r="G3310" s="2">
        <v>186.0</v>
      </c>
      <c r="H3310" s="2" t="b">
        <v>1</v>
      </c>
      <c r="I3310" s="2">
        <v>-1.0</v>
      </c>
      <c r="J3310" s="2" t="b">
        <v>1</v>
      </c>
      <c r="K3310" s="2" t="b">
        <v>0</v>
      </c>
      <c r="L3310" s="2" t="b">
        <v>0</v>
      </c>
      <c r="M3310" s="2" t="b">
        <v>0</v>
      </c>
      <c r="N3310" s="2" t="s">
        <v>33</v>
      </c>
      <c r="O3310" s="2">
        <v>69.0</v>
      </c>
      <c r="P3310" s="2">
        <v>0.0</v>
      </c>
      <c r="Q3310" s="2">
        <v>0.0</v>
      </c>
      <c r="R3310" s="2">
        <v>0.0</v>
      </c>
      <c r="S3310" s="3" t="s">
        <v>13490</v>
      </c>
      <c r="T3310" s="2" t="s">
        <v>13491</v>
      </c>
      <c r="Y3310" s="4" t="str">
        <f>IFERROR(__xludf.DUMMYFUNCTION("""COMPUTED_VALUE"""),"6.7913862")</f>
        <v>6.7913862</v>
      </c>
      <c r="Z3310" s="4" t="str">
        <f>IFERROR(__xludf.DUMMYFUNCTION("""COMPUTED_VALUE"""),"3.1566328")</f>
        <v>3.1566328</v>
      </c>
      <c r="AA3310" s="4" t="str">
        <f t="shared" si="1"/>
        <v>Not Neighbor</v>
      </c>
      <c r="AC3310" s="4">
        <f>IFERROR(__xludf.DUMMYFUNCTION("IFERROR(ABS(O3310-AVERAGE(FILTER(O3310:O7378,AA3310:AA7378=""Neighbor""))) / STDEV(FILTER(O3310:O7378, AA3310:AA7378 =""Neighbor"")), """")"),0.7307695047720759)</f>
        <v>0.7307695048</v>
      </c>
      <c r="AF3310" s="2">
        <f>IFERROR(__xludf.DUMMYFUNCTION("IFERROR(ABS(R3310-AVERAGE(FILTER(R3310:R7378,AA3310:AA7378=""Neighbor""))) / STDEV(FILTER(R3310:R7378, AA3310:AA7378 =""Neighbor"")), """")"),0.33405582805697853)</f>
        <v>0.3340558281</v>
      </c>
    </row>
    <row r="3311">
      <c r="A3311" s="2" t="s">
        <v>28</v>
      </c>
      <c r="B3311" s="2" t="s">
        <v>4358</v>
      </c>
      <c r="C3311" s="2" t="s">
        <v>4935</v>
      </c>
      <c r="D3311" s="2" t="s">
        <v>13492</v>
      </c>
      <c r="E3311" s="2" t="s">
        <v>13493</v>
      </c>
      <c r="F3311" s="2">
        <v>123.0</v>
      </c>
      <c r="G3311" s="2">
        <v>208.0</v>
      </c>
      <c r="H3311" s="2" t="b">
        <v>1</v>
      </c>
      <c r="I3311" s="2">
        <v>-1.0</v>
      </c>
      <c r="J3311" s="2" t="b">
        <v>1</v>
      </c>
      <c r="K3311" s="2" t="b">
        <v>1</v>
      </c>
      <c r="L3311" s="2" t="b">
        <v>0</v>
      </c>
      <c r="M3311" s="2" t="b">
        <v>0</v>
      </c>
      <c r="N3311" s="2" t="s">
        <v>33</v>
      </c>
      <c r="O3311" s="2">
        <v>0.0</v>
      </c>
      <c r="P3311" s="2">
        <v>0.0</v>
      </c>
      <c r="Q3311" s="2">
        <v>0.0</v>
      </c>
      <c r="R3311" s="2">
        <v>0.0</v>
      </c>
      <c r="S3311" s="3" t="s">
        <v>13494</v>
      </c>
      <c r="T3311" s="2" t="s">
        <v>13495</v>
      </c>
      <c r="Y3311" s="4" t="str">
        <f>IFERROR(__xludf.DUMMYFUNCTION("""COMPUTED_VALUE"""),"")</f>
        <v/>
      </c>
      <c r="Z3311" s="4" t="str">
        <f>IFERROR(__xludf.DUMMYFUNCTION("""COMPUTED_VALUE"""),"")</f>
        <v/>
      </c>
      <c r="AA3311" s="4" t="str">
        <f t="shared" si="1"/>
        <v>Not Neighbor</v>
      </c>
      <c r="AC3311" s="4">
        <f>IFERROR(__xludf.DUMMYFUNCTION("IFERROR(ABS(O3311-AVERAGE(FILTER(O3311:O7379,AA3311:AA7379=""Neighbor""))) / STDEV(FILTER(O3311:O7379, AA3311:AA7379 =""Neighbor"")), """")"),1.378382479690778)</f>
        <v>1.37838248</v>
      </c>
      <c r="AF3311" s="2">
        <f>IFERROR(__xludf.DUMMYFUNCTION("IFERROR(ABS(R3311-AVERAGE(FILTER(R3311:R7379,AA3311:AA7379=""Neighbor""))) / STDEV(FILTER(R3311:R7379, AA3311:AA7379 =""Neighbor"")), """")"),0.33405582805697853)</f>
        <v>0.3340558281</v>
      </c>
    </row>
    <row r="3312">
      <c r="A3312" s="2" t="s">
        <v>28</v>
      </c>
      <c r="B3312" s="2" t="s">
        <v>4358</v>
      </c>
      <c r="C3312" s="2" t="s">
        <v>4935</v>
      </c>
      <c r="D3312" s="2" t="s">
        <v>13496</v>
      </c>
      <c r="E3312" s="2" t="s">
        <v>13497</v>
      </c>
      <c r="F3312" s="2">
        <v>62.0</v>
      </c>
      <c r="G3312" s="2">
        <v>151.0</v>
      </c>
      <c r="H3312" s="2" t="b">
        <v>1</v>
      </c>
      <c r="I3312" s="2">
        <v>-1.0</v>
      </c>
      <c r="J3312" s="2" t="b">
        <v>1</v>
      </c>
      <c r="K3312" s="2" t="b">
        <v>0</v>
      </c>
      <c r="L3312" s="2" t="b">
        <v>0</v>
      </c>
      <c r="M3312" s="2" t="b">
        <v>0</v>
      </c>
      <c r="N3312" s="2" t="s">
        <v>33</v>
      </c>
      <c r="O3312" s="2">
        <v>23.0</v>
      </c>
      <c r="P3312" s="2">
        <v>15.0</v>
      </c>
      <c r="Q3312" s="2">
        <v>2.0</v>
      </c>
      <c r="R3312" s="2">
        <v>1.0</v>
      </c>
      <c r="S3312" s="3" t="s">
        <v>13498</v>
      </c>
      <c r="T3312" s="2" t="s">
        <v>13499</v>
      </c>
      <c r="Y3312" s="4" t="str">
        <f>IFERROR(__xludf.DUMMYFUNCTION("""COMPUTED_VALUE"""),"6.7712569")</f>
        <v>6.7712569</v>
      </c>
      <c r="Z3312" s="4" t="str">
        <f>IFERROR(__xludf.DUMMYFUNCTION("""COMPUTED_VALUE"""),"3.1679257")</f>
        <v>3.1679257</v>
      </c>
      <c r="AA3312" s="4" t="str">
        <f t="shared" si="1"/>
        <v>Neighbor</v>
      </c>
      <c r="AC3312" s="4">
        <f>IFERROR(__xludf.DUMMYFUNCTION("IFERROR(ABS(O3312-AVERAGE(FILTER(O3312:O7380,AA3312:AA7380=""Neighbor""))) / STDEV(FILTER(O3312:O7380, AA3312:AA7380 =""Neighbor"")), """")"),0.67533181820316)</f>
        <v>0.6753318182</v>
      </c>
      <c r="AF3312" s="2">
        <f>IFERROR(__xludf.DUMMYFUNCTION("IFERROR(ABS(R3312-AVERAGE(FILTER(R3312:R7380,AA3312:AA7380=""Neighbor""))) / STDEV(FILTER(R3312:R7380, AA3312:AA7380 =""Neighbor"")), """")"),0.8763542502273982)</f>
        <v>0.8763542502</v>
      </c>
    </row>
    <row r="3313">
      <c r="A3313" s="2" t="s">
        <v>28</v>
      </c>
      <c r="B3313" s="2" t="s">
        <v>4358</v>
      </c>
      <c r="C3313" s="2" t="s">
        <v>4935</v>
      </c>
      <c r="D3313" s="2" t="s">
        <v>13500</v>
      </c>
      <c r="E3313" s="2" t="s">
        <v>13501</v>
      </c>
      <c r="F3313" s="2">
        <v>115.0</v>
      </c>
      <c r="G3313" s="2">
        <v>208.0</v>
      </c>
      <c r="H3313" s="2" t="b">
        <v>1</v>
      </c>
      <c r="I3313" s="2">
        <v>-1.0</v>
      </c>
      <c r="J3313" s="2" t="b">
        <v>0</v>
      </c>
      <c r="K3313" s="2" t="b">
        <v>0</v>
      </c>
      <c r="L3313" s="2" t="b">
        <v>0</v>
      </c>
      <c r="M3313" s="2" t="b">
        <v>0</v>
      </c>
      <c r="N3313" s="2" t="s">
        <v>33</v>
      </c>
      <c r="O3313" s="2">
        <v>47.0</v>
      </c>
      <c r="P3313" s="2">
        <v>15.0</v>
      </c>
      <c r="Q3313" s="2">
        <v>17.0</v>
      </c>
      <c r="R3313" s="2">
        <v>0.0</v>
      </c>
      <c r="S3313" s="3" t="s">
        <v>13502</v>
      </c>
      <c r="T3313" s="2" t="s">
        <v>13503</v>
      </c>
      <c r="Y3313" s="4" t="str">
        <f>IFERROR(__xludf.DUMMYFUNCTION("""COMPUTED_VALUE"""),"6.7712569")</f>
        <v>6.7712569</v>
      </c>
      <c r="Z3313" s="4" t="str">
        <f>IFERROR(__xludf.DUMMYFUNCTION("""COMPUTED_VALUE"""),"3.1679257")</f>
        <v>3.1679257</v>
      </c>
      <c r="AA3313" s="4" t="str">
        <f t="shared" si="1"/>
        <v>Not Neighbor</v>
      </c>
      <c r="AC3313" s="4">
        <f>IFERROR(__xludf.DUMMYFUNCTION("IFERROR(ABS(O3313-AVERAGE(FILTER(O3313:O7381,AA3313:AA7381=""Neighbor""))) / STDEV(FILTER(O3313:O7381, AA3313:AA7381 =""Neighbor"")), """")"),0.05580241636593231)</f>
        <v>0.05580241637</v>
      </c>
      <c r="AF3313" s="2">
        <f>IFERROR(__xludf.DUMMYFUNCTION("IFERROR(ABS(R3313-AVERAGE(FILTER(R3313:R7381,AA3313:AA7381=""Neighbor""))) / STDEV(FILTER(R3313:R7381, AA3313:AA7381 =""Neighbor"")), """")"),0.3307666344281)</f>
        <v>0.3307666344</v>
      </c>
    </row>
    <row r="3314">
      <c r="A3314" s="2" t="s">
        <v>28</v>
      </c>
      <c r="B3314" s="2" t="s">
        <v>4358</v>
      </c>
      <c r="C3314" s="2" t="s">
        <v>4935</v>
      </c>
      <c r="D3314" s="2" t="s">
        <v>13504</v>
      </c>
      <c r="E3314" s="2" t="s">
        <v>13505</v>
      </c>
      <c r="F3314" s="2">
        <v>28.0</v>
      </c>
      <c r="G3314" s="2">
        <v>86.0</v>
      </c>
      <c r="H3314" s="2" t="b">
        <v>1</v>
      </c>
      <c r="I3314" s="2">
        <v>-1.0</v>
      </c>
      <c r="J3314" s="2" t="b">
        <v>0</v>
      </c>
      <c r="K3314" s="2" t="b">
        <v>0</v>
      </c>
      <c r="L3314" s="2" t="b">
        <v>0</v>
      </c>
      <c r="M3314" s="2" t="b">
        <v>0</v>
      </c>
      <c r="N3314" s="2" t="s">
        <v>33</v>
      </c>
      <c r="O3314" s="2">
        <v>10.0</v>
      </c>
      <c r="P3314" s="2">
        <v>9.0</v>
      </c>
      <c r="Q3314" s="2">
        <v>0.0</v>
      </c>
      <c r="R3314" s="2">
        <v>0.0</v>
      </c>
      <c r="S3314" s="3" t="s">
        <v>13506</v>
      </c>
      <c r="T3314" s="2" t="s">
        <v>13507</v>
      </c>
      <c r="Y3314" s="4" t="str">
        <f>IFERROR(__xludf.DUMMYFUNCTION("""COMPUTED_VALUE"""),"6.7637717")</f>
        <v>6.7637717</v>
      </c>
      <c r="Z3314" s="4" t="str">
        <f>IFERROR(__xludf.DUMMYFUNCTION("""COMPUTED_VALUE"""),"3.2009791")</f>
        <v>3.2009791</v>
      </c>
      <c r="AA3314" s="4" t="str">
        <f t="shared" si="1"/>
        <v>Not Neighbor</v>
      </c>
      <c r="AC3314" s="4">
        <f>IFERROR(__xludf.DUMMYFUNCTION("IFERROR(ABS(O3314-AVERAGE(FILTER(O3314:O7382,AA3314:AA7382=""Neighbor""))) / STDEV(FILTER(O3314:O7382, AA3314:AA7382 =""Neighbor"")), """")"),1.0740866677678855)</f>
        <v>1.074086668</v>
      </c>
      <c r="AF3314" s="2">
        <f>IFERROR(__xludf.DUMMYFUNCTION("IFERROR(ABS(R3314-AVERAGE(FILTER(R3314:R7382,AA3314:AA7382=""Neighbor""))) / STDEV(FILTER(R3314:R7382, AA3314:AA7382 =""Neighbor"")), """")"),0.3307666344281)</f>
        <v>0.3307666344</v>
      </c>
    </row>
    <row r="3315">
      <c r="A3315" s="2" t="s">
        <v>28</v>
      </c>
      <c r="B3315" s="2" t="s">
        <v>4358</v>
      </c>
      <c r="C3315" s="2" t="s">
        <v>4935</v>
      </c>
      <c r="D3315" s="2" t="s">
        <v>13508</v>
      </c>
      <c r="E3315" s="2" t="s">
        <v>13509</v>
      </c>
      <c r="F3315" s="2">
        <v>106.0</v>
      </c>
      <c r="G3315" s="2">
        <v>242.0</v>
      </c>
      <c r="H3315" s="2" t="b">
        <v>1</v>
      </c>
      <c r="I3315" s="2">
        <v>-1.0</v>
      </c>
      <c r="J3315" s="2" t="b">
        <v>0</v>
      </c>
      <c r="K3315" s="2" t="b">
        <v>0</v>
      </c>
      <c r="L3315" s="2" t="b">
        <v>0</v>
      </c>
      <c r="M3315" s="2" t="b">
        <v>0</v>
      </c>
      <c r="N3315" s="2" t="s">
        <v>33</v>
      </c>
      <c r="O3315" s="2">
        <v>57.0</v>
      </c>
      <c r="P3315" s="2">
        <v>15.0</v>
      </c>
      <c r="Q3315" s="2">
        <v>13.0</v>
      </c>
      <c r="R3315" s="2">
        <v>0.0</v>
      </c>
      <c r="S3315" s="3" t="s">
        <v>13510</v>
      </c>
      <c r="T3315" s="2" t="s">
        <v>13511</v>
      </c>
      <c r="Y3315" s="4" t="str">
        <f>IFERROR(__xludf.DUMMYFUNCTION("""COMPUTED_VALUE"""),"")</f>
        <v/>
      </c>
      <c r="Z3315" s="4" t="str">
        <f>IFERROR(__xludf.DUMMYFUNCTION("""COMPUTED_VALUE"""),"")</f>
        <v/>
      </c>
      <c r="AA3315" s="4" t="str">
        <f t="shared" si="1"/>
        <v>Not Neighbor</v>
      </c>
      <c r="AC3315" s="4">
        <f>IFERROR(__xludf.DUMMYFUNCTION("IFERROR(ABS(O3315-AVERAGE(FILTER(O3315:O7383,AA3315:AA7383=""Neighbor""))) / STDEV(FILTER(O3315:O7383, AA3315:AA7383 =""Neighbor"")), """")"),0.3611778445102074)</f>
        <v>0.3611778445</v>
      </c>
      <c r="AF3315" s="2">
        <f>IFERROR(__xludf.DUMMYFUNCTION("IFERROR(ABS(R3315-AVERAGE(FILTER(R3315:R7383,AA3315:AA7383=""Neighbor""))) / STDEV(FILTER(R3315:R7383, AA3315:AA7383 =""Neighbor"")), """")"),0.3307666344281)</f>
        <v>0.3307666344</v>
      </c>
    </row>
    <row r="3316">
      <c r="A3316" s="2" t="s">
        <v>28</v>
      </c>
      <c r="B3316" s="2" t="s">
        <v>4358</v>
      </c>
      <c r="C3316" s="2" t="s">
        <v>4935</v>
      </c>
      <c r="D3316" s="2" t="s">
        <v>13512</v>
      </c>
      <c r="E3316" s="2" t="s">
        <v>13513</v>
      </c>
      <c r="F3316" s="2">
        <v>116.0</v>
      </c>
      <c r="G3316" s="2">
        <v>222.0</v>
      </c>
      <c r="H3316" s="2" t="b">
        <v>1</v>
      </c>
      <c r="I3316" s="2">
        <v>-1.0</v>
      </c>
      <c r="J3316" s="2" t="b">
        <v>1</v>
      </c>
      <c r="K3316" s="2" t="b">
        <v>1</v>
      </c>
      <c r="L3316" s="2" t="b">
        <v>0</v>
      </c>
      <c r="M3316" s="2" t="b">
        <v>0</v>
      </c>
      <c r="N3316" s="2" t="s">
        <v>33</v>
      </c>
      <c r="O3316" s="2">
        <v>0.0</v>
      </c>
      <c r="P3316" s="2">
        <v>0.0</v>
      </c>
      <c r="Q3316" s="2">
        <v>0.0</v>
      </c>
      <c r="R3316" s="2">
        <v>0.0</v>
      </c>
      <c r="S3316" s="3" t="s">
        <v>13514</v>
      </c>
      <c r="T3316" s="2" t="s">
        <v>13515</v>
      </c>
      <c r="Y3316" s="4" t="str">
        <f>IFERROR(__xludf.DUMMYFUNCTION("""COMPUTED_VALUE"""),"6.7712569")</f>
        <v>6.7712569</v>
      </c>
      <c r="Z3316" s="4" t="str">
        <f>IFERROR(__xludf.DUMMYFUNCTION("""COMPUTED_VALUE"""),"3.1679257")</f>
        <v>3.1679257</v>
      </c>
      <c r="AA3316" s="4" t="str">
        <f t="shared" si="1"/>
        <v>Neighbor</v>
      </c>
      <c r="AC3316" s="4">
        <f>IFERROR(__xludf.DUMMYFUNCTION("IFERROR(ABS(O3316-AVERAGE(FILTER(O3316:O7384,AA3316:AA7384=""Neighbor""))) / STDEV(FILTER(O3316:O7384, AA3316:AA7384 =""Neighbor"")), """")"),1.3794620959121604)</f>
        <v>1.379462096</v>
      </c>
      <c r="AF3316" s="2">
        <f>IFERROR(__xludf.DUMMYFUNCTION("IFERROR(ABS(R3316-AVERAGE(FILTER(R3316:R7384,AA3316:AA7384=""Neighbor""))) / STDEV(FILTER(R3316:R7384, AA3316:AA7384 =""Neighbor"")), """")"),0.3307666344281)</f>
        <v>0.3307666344</v>
      </c>
    </row>
    <row r="3317">
      <c r="A3317" s="2" t="s">
        <v>28</v>
      </c>
      <c r="B3317" s="2" t="s">
        <v>4358</v>
      </c>
      <c r="C3317" s="2" t="s">
        <v>4935</v>
      </c>
      <c r="D3317" s="2" t="s">
        <v>13516</v>
      </c>
      <c r="E3317" s="2" t="s">
        <v>13517</v>
      </c>
      <c r="F3317" s="2">
        <v>41.0</v>
      </c>
      <c r="G3317" s="2">
        <v>113.0</v>
      </c>
      <c r="H3317" s="2" t="b">
        <v>1</v>
      </c>
      <c r="I3317" s="2">
        <v>-1.0</v>
      </c>
      <c r="J3317" s="2" t="b">
        <v>1</v>
      </c>
      <c r="K3317" s="2" t="b">
        <v>0</v>
      </c>
      <c r="L3317" s="2" t="b">
        <v>0</v>
      </c>
      <c r="M3317" s="2" t="b">
        <v>0</v>
      </c>
      <c r="N3317" s="2" t="s">
        <v>33</v>
      </c>
      <c r="O3317" s="2">
        <v>27.0</v>
      </c>
      <c r="P3317" s="2">
        <v>7.0</v>
      </c>
      <c r="Q3317" s="2">
        <v>5.0</v>
      </c>
      <c r="R3317" s="2">
        <v>0.0</v>
      </c>
      <c r="S3317" s="3" t="s">
        <v>13518</v>
      </c>
      <c r="T3317" s="2" t="s">
        <v>13519</v>
      </c>
      <c r="Y3317" s="4" t="str">
        <f>IFERROR(__xludf.DUMMYFUNCTION("""COMPUTED_VALUE"""),"6.7712569")</f>
        <v>6.7712569</v>
      </c>
      <c r="Z3317" s="4" t="str">
        <f>IFERROR(__xludf.DUMMYFUNCTION("""COMPUTED_VALUE"""),"3.1679257")</f>
        <v>3.1679257</v>
      </c>
      <c r="AA3317" s="4" t="str">
        <f t="shared" si="1"/>
        <v>Not Neighbor</v>
      </c>
      <c r="AC3317" s="4">
        <f>IFERROR(__xludf.DUMMYFUNCTION("IFERROR(ABS(O3317-AVERAGE(FILTER(O3317:O7385,AA3317:AA7385=""Neighbor""))) / STDEV(FILTER(O3317:O7385, AA3317:AA7385 =""Neighbor"")), """")"),0.5608535880619983)</f>
        <v>0.5608535881</v>
      </c>
      <c r="AF3317" s="2">
        <f>IFERROR(__xludf.DUMMYFUNCTION("IFERROR(ABS(R3317-AVERAGE(FILTER(R3317:R7385,AA3317:AA7385=""Neighbor""))) / STDEV(FILTER(R3317:R7385, AA3317:AA7385 =""Neighbor"")), """")"),0.33142668343789866)</f>
        <v>0.3314266834</v>
      </c>
    </row>
    <row r="3318">
      <c r="A3318" s="2" t="s">
        <v>28</v>
      </c>
      <c r="B3318" s="2" t="s">
        <v>4358</v>
      </c>
      <c r="C3318" s="2" t="s">
        <v>4935</v>
      </c>
      <c r="D3318" s="2" t="s">
        <v>13520</v>
      </c>
      <c r="E3318" s="2" t="s">
        <v>13521</v>
      </c>
      <c r="F3318" s="2">
        <v>59.0</v>
      </c>
      <c r="G3318" s="2">
        <v>199.0</v>
      </c>
      <c r="H3318" s="2" t="b">
        <v>1</v>
      </c>
      <c r="I3318" s="2">
        <v>-1.0</v>
      </c>
      <c r="J3318" s="2" t="b">
        <v>1</v>
      </c>
      <c r="K3318" s="2" t="b">
        <v>1</v>
      </c>
      <c r="L3318" s="2" t="b">
        <v>0</v>
      </c>
      <c r="M3318" s="2" t="b">
        <v>0</v>
      </c>
      <c r="N3318" s="2" t="s">
        <v>33</v>
      </c>
      <c r="O3318" s="2">
        <v>3.0</v>
      </c>
      <c r="P3318" s="2">
        <v>21.0</v>
      </c>
      <c r="Q3318" s="2">
        <v>3.0</v>
      </c>
      <c r="R3318" s="2">
        <v>1.0</v>
      </c>
      <c r="S3318" s="3" t="s">
        <v>13522</v>
      </c>
      <c r="T3318" s="2" t="s">
        <v>13523</v>
      </c>
      <c r="Y3318" s="4" t="str">
        <f>IFERROR(__xludf.DUMMYFUNCTION("""COMPUTED_VALUE"""),"6.7521376")</f>
        <v>6.7521376</v>
      </c>
      <c r="Z3318" s="4" t="str">
        <f>IFERROR(__xludf.DUMMYFUNCTION("""COMPUTED_VALUE"""),"3.1907511")</f>
        <v>3.1907511</v>
      </c>
      <c r="AA3318" s="4" t="str">
        <f t="shared" si="1"/>
        <v>Not Neighbor</v>
      </c>
      <c r="AC3318" s="4">
        <f>IFERROR(__xludf.DUMMYFUNCTION("IFERROR(ABS(O3318-AVERAGE(FILTER(O3318:O7386,AA3318:AA7386=""Neighbor""))) / STDEV(FILTER(O3318:O7386, AA3318:AA7386 =""Neighbor"")), """")"),1.2949655497544899)</f>
        <v>1.29496555</v>
      </c>
      <c r="AF3318" s="2">
        <f>IFERROR(__xludf.DUMMYFUNCTION("IFERROR(ABS(R3318-AVERAGE(FILTER(R3318:R7386,AA3318:AA7386=""Neighbor""))) / STDEV(FILTER(R3318:R7386, AA3318:AA7386 =""Neighbor"")), """")"),0.8765363601449687)</f>
        <v>0.8765363601</v>
      </c>
    </row>
    <row r="3319">
      <c r="A3319" s="2" t="s">
        <v>28</v>
      </c>
      <c r="B3319" s="2" t="s">
        <v>4358</v>
      </c>
      <c r="C3319" s="2" t="s">
        <v>4935</v>
      </c>
      <c r="D3319" s="2" t="s">
        <v>13524</v>
      </c>
      <c r="E3319" s="2" t="s">
        <v>13525</v>
      </c>
      <c r="F3319" s="2">
        <v>151.0</v>
      </c>
      <c r="G3319" s="2">
        <v>370.0</v>
      </c>
      <c r="H3319" s="2" t="b">
        <v>1</v>
      </c>
      <c r="I3319" s="2">
        <v>-1.0</v>
      </c>
      <c r="J3319" s="2" t="b">
        <v>0</v>
      </c>
      <c r="K3319" s="2" t="b">
        <v>1</v>
      </c>
      <c r="L3319" s="2" t="b">
        <v>0</v>
      </c>
      <c r="M3319" s="2" t="b">
        <v>0</v>
      </c>
      <c r="N3319" s="2" t="s">
        <v>33</v>
      </c>
      <c r="O3319" s="2">
        <v>0.0</v>
      </c>
      <c r="P3319" s="2">
        <v>0.0</v>
      </c>
      <c r="Q3319" s="2">
        <v>0.0</v>
      </c>
      <c r="R3319" s="2">
        <v>0.0</v>
      </c>
      <c r="S3319" s="3" t="s">
        <v>13526</v>
      </c>
      <c r="T3319" s="2" t="s">
        <v>13527</v>
      </c>
      <c r="Y3319" s="4" t="str">
        <f>IFERROR(__xludf.DUMMYFUNCTION("""COMPUTED_VALUE"""),"")</f>
        <v/>
      </c>
      <c r="Z3319" s="4" t="str">
        <f>IFERROR(__xludf.DUMMYFUNCTION("""COMPUTED_VALUE"""),"")</f>
        <v/>
      </c>
      <c r="AA3319" s="4" t="str">
        <f t="shared" si="1"/>
        <v>Neighbor</v>
      </c>
      <c r="AC3319" s="4">
        <f>IFERROR(__xludf.DUMMYFUNCTION("IFERROR(ABS(O3319-AVERAGE(FILTER(O3319:O7387,AA3319:AA7387=""Neighbor""))) / STDEV(FILTER(O3319:O7387, AA3319:AA7387 =""Neighbor"")), """")"),1.3867295449660513)</f>
        <v>1.386729545</v>
      </c>
      <c r="AF3319" s="2">
        <f>IFERROR(__xludf.DUMMYFUNCTION("IFERROR(ABS(R3319-AVERAGE(FILTER(R3319:R7387,AA3319:AA7387=""Neighbor""))) / STDEV(FILTER(R3319:R7387, AA3319:AA7387 =""Neighbor"")), """")"),0.33142668343789866)</f>
        <v>0.3314266834</v>
      </c>
    </row>
    <row r="3320">
      <c r="A3320" s="2" t="s">
        <v>28</v>
      </c>
      <c r="B3320" s="2" t="s">
        <v>4358</v>
      </c>
      <c r="C3320" s="2" t="s">
        <v>4935</v>
      </c>
      <c r="D3320" s="2" t="s">
        <v>13528</v>
      </c>
      <c r="E3320" s="2" t="s">
        <v>13529</v>
      </c>
      <c r="F3320" s="2">
        <v>78.0</v>
      </c>
      <c r="G3320" s="2">
        <v>154.0</v>
      </c>
      <c r="H3320" s="2" t="b">
        <v>1</v>
      </c>
      <c r="I3320" s="2">
        <v>-1.0</v>
      </c>
      <c r="J3320" s="2" t="b">
        <v>0</v>
      </c>
      <c r="K3320" s="2" t="b">
        <v>0</v>
      </c>
      <c r="L3320" s="2" t="b">
        <v>0</v>
      </c>
      <c r="M3320" s="2" t="b">
        <v>0</v>
      </c>
      <c r="N3320" s="2" t="s">
        <v>33</v>
      </c>
      <c r="O3320" s="2">
        <v>60.0</v>
      </c>
      <c r="P3320" s="2">
        <v>7.0</v>
      </c>
      <c r="Q3320" s="2">
        <v>6.0</v>
      </c>
      <c r="R3320" s="2">
        <v>0.0</v>
      </c>
      <c r="S3320" s="3" t="s">
        <v>13530</v>
      </c>
      <c r="T3320" s="2" t="s">
        <v>13531</v>
      </c>
      <c r="Y3320" s="4" t="str">
        <f>IFERROR(__xludf.DUMMYFUNCTION("""COMPUTED_VALUE"""),"")</f>
        <v/>
      </c>
      <c r="Z3320" s="4" t="str">
        <f>IFERROR(__xludf.DUMMYFUNCTION("""COMPUTED_VALUE"""),"")</f>
        <v/>
      </c>
      <c r="AA3320" s="4" t="str">
        <f t="shared" si="1"/>
        <v>Not Neighbor</v>
      </c>
      <c r="AC3320" s="4">
        <f>IFERROR(__xludf.DUMMYFUNCTION("IFERROR(ABS(O3320-AVERAGE(FILTER(O3320:O7388,AA3320:AA7388=""Neighbor""))) / STDEV(FILTER(O3320:O7388, AA3320:AA7388 =""Neighbor"")), """")"),0.44427783540352733)</f>
        <v>0.4442778354</v>
      </c>
      <c r="AF3320" s="2">
        <f>IFERROR(__xludf.DUMMYFUNCTION("IFERROR(ABS(R3320-AVERAGE(FILTER(R3320:R7388,AA3320:AA7388=""Neighbor""))) / STDEV(FILTER(R3320:R7388, AA3320:AA7388 =""Neighbor"")), """")"),0.33209070137086705)</f>
        <v>0.3320907014</v>
      </c>
    </row>
    <row r="3321">
      <c r="A3321" s="2" t="s">
        <v>28</v>
      </c>
      <c r="B3321" s="2" t="s">
        <v>4358</v>
      </c>
      <c r="C3321" s="2" t="s">
        <v>4935</v>
      </c>
      <c r="D3321" s="2" t="s">
        <v>13532</v>
      </c>
      <c r="E3321" s="2" t="s">
        <v>13533</v>
      </c>
      <c r="F3321" s="2">
        <v>65.0</v>
      </c>
      <c r="G3321" s="2">
        <v>134.0</v>
      </c>
      <c r="H3321" s="2" t="b">
        <v>1</v>
      </c>
      <c r="I3321" s="2">
        <v>-1.0</v>
      </c>
      <c r="J3321" s="2" t="b">
        <v>1</v>
      </c>
      <c r="K3321" s="2" t="b">
        <v>1</v>
      </c>
      <c r="L3321" s="2" t="b">
        <v>0</v>
      </c>
      <c r="M3321" s="2" t="b">
        <v>0</v>
      </c>
      <c r="N3321" s="2" t="s">
        <v>33</v>
      </c>
      <c r="O3321" s="2">
        <v>49.0</v>
      </c>
      <c r="P3321" s="2">
        <v>8.0</v>
      </c>
      <c r="Q3321" s="2">
        <v>0.0</v>
      </c>
      <c r="R3321" s="2">
        <v>0.0</v>
      </c>
      <c r="S3321" s="3" t="s">
        <v>13534</v>
      </c>
      <c r="T3321" s="2" t="s">
        <v>13535</v>
      </c>
      <c r="Y3321" s="4" t="str">
        <f>IFERROR(__xludf.DUMMYFUNCTION("""COMPUTED_VALUE"""),"6.7712569")</f>
        <v>6.7712569</v>
      </c>
      <c r="Z3321" s="4" t="str">
        <f>IFERROR(__xludf.DUMMYFUNCTION("""COMPUTED_VALUE"""),"3.1679257")</f>
        <v>3.1679257</v>
      </c>
      <c r="AA3321" s="4" t="str">
        <f t="shared" si="1"/>
        <v>Not Neighbor</v>
      </c>
      <c r="AC3321" s="4">
        <f>IFERROR(__xludf.DUMMYFUNCTION("IFERROR(ABS(O3321-AVERAGE(FILTER(O3321:O7389,AA3321:AA7389=""Neighbor""))) / STDEV(FILTER(O3321:O7389, AA3321:AA7389 =""Neighbor"")), """")"),0.10723947751119625)</f>
        <v>0.1072394775</v>
      </c>
      <c r="AF3321" s="2">
        <f>IFERROR(__xludf.DUMMYFUNCTION("IFERROR(ABS(R3321-AVERAGE(FILTER(R3321:R7389,AA3321:AA7389=""Neighbor""))) / STDEV(FILTER(R3321:R7389, AA3321:AA7389 =""Neighbor"")), """")"),0.33209070137086705)</f>
        <v>0.3320907014</v>
      </c>
    </row>
    <row r="3322">
      <c r="A3322" s="2" t="s">
        <v>28</v>
      </c>
      <c r="B3322" s="2" t="s">
        <v>4358</v>
      </c>
      <c r="C3322" s="2" t="s">
        <v>4960</v>
      </c>
      <c r="D3322" s="2" t="s">
        <v>13536</v>
      </c>
      <c r="E3322" s="2" t="s">
        <v>13537</v>
      </c>
      <c r="F3322" s="2">
        <v>68.0</v>
      </c>
      <c r="G3322" s="2">
        <v>122.0</v>
      </c>
      <c r="H3322" s="2" t="b">
        <v>1</v>
      </c>
      <c r="I3322" s="2">
        <v>-1.0</v>
      </c>
      <c r="J3322" s="2" t="b">
        <v>0</v>
      </c>
      <c r="K3322" s="2" t="b">
        <v>0</v>
      </c>
      <c r="L3322" s="2" t="b">
        <v>0</v>
      </c>
      <c r="M3322" s="2" t="b">
        <v>0</v>
      </c>
      <c r="N3322" s="2" t="s">
        <v>33</v>
      </c>
      <c r="O3322" s="2">
        <v>40.0</v>
      </c>
      <c r="P3322" s="2">
        <v>8.0</v>
      </c>
      <c r="Q3322" s="2">
        <v>12.0</v>
      </c>
      <c r="R3322" s="2">
        <v>1.0</v>
      </c>
      <c r="S3322" s="3" t="s">
        <v>13538</v>
      </c>
      <c r="T3322" s="2" t="s">
        <v>13539</v>
      </c>
      <c r="Y3322" s="4" t="str">
        <f>IFERROR(__xludf.DUMMYFUNCTION("""COMPUTED_VALUE"""),"6.8143107")</f>
        <v>6.8143107</v>
      </c>
      <c r="Z3322" s="4" t="str">
        <f>IFERROR(__xludf.DUMMYFUNCTION("""COMPUTED_VALUE"""),"3.1277854")</f>
        <v>3.1277854</v>
      </c>
      <c r="AA3322" s="4" t="str">
        <f t="shared" si="1"/>
        <v>Neighbor</v>
      </c>
      <c r="AC3322" s="4">
        <f>IFERROR(__xludf.DUMMYFUNCTION("IFERROR(ABS(O3322-AVERAGE(FILTER(O3322:O7390,AA3322:AA7390=""Neighbor""))) / STDEV(FILTER(O3322:O7390, AA3322:AA7390 =""Neighbor"")), """")"),0.16851917894616555)</f>
        <v>0.1685191789</v>
      </c>
      <c r="AF3322" s="2">
        <f>IFERROR(__xludf.DUMMYFUNCTION("IFERROR(ABS(R3322-AVERAGE(FILTER(R3322:R7390,AA3322:AA7390=""Neighbor""))) / STDEV(FILTER(R3322:R7390, AA3322:AA7390 =""Neighbor"")), """")"),0.873922898344387)</f>
        <v>0.8739228983</v>
      </c>
    </row>
    <row r="3323">
      <c r="A3323" s="2" t="s">
        <v>28</v>
      </c>
      <c r="B3323" s="2" t="s">
        <v>4358</v>
      </c>
      <c r="C3323" s="2" t="s">
        <v>4960</v>
      </c>
      <c r="D3323" s="2" t="s">
        <v>13540</v>
      </c>
      <c r="E3323" s="2" t="s">
        <v>13541</v>
      </c>
      <c r="F3323" s="2">
        <v>75.0</v>
      </c>
      <c r="G3323" s="2">
        <v>140.0</v>
      </c>
      <c r="H3323" s="2" t="b">
        <v>1</v>
      </c>
      <c r="I3323" s="2">
        <v>-1.0</v>
      </c>
      <c r="J3323" s="2" t="b">
        <v>0</v>
      </c>
      <c r="K3323" s="2" t="b">
        <v>0</v>
      </c>
      <c r="L3323" s="2" t="b">
        <v>0</v>
      </c>
      <c r="M3323" s="2" t="b">
        <v>0</v>
      </c>
      <c r="N3323" s="2" t="s">
        <v>33</v>
      </c>
      <c r="O3323" s="2">
        <v>63.0</v>
      </c>
      <c r="P3323" s="2">
        <v>0.0</v>
      </c>
      <c r="Q3323" s="2">
        <v>4.0</v>
      </c>
      <c r="R3323" s="2">
        <v>0.0</v>
      </c>
      <c r="S3323" s="3" t="s">
        <v>13542</v>
      </c>
      <c r="T3323" s="2" t="s">
        <v>13543</v>
      </c>
      <c r="Y3323" s="4" t="str">
        <f>IFERROR(__xludf.DUMMYFUNCTION("""COMPUTED_VALUE"""),"6.8143107")</f>
        <v>6.8143107</v>
      </c>
      <c r="Z3323" s="4" t="str">
        <f>IFERROR(__xludf.DUMMYFUNCTION("""COMPUTED_VALUE"""),"3.1277854")</f>
        <v>3.1277854</v>
      </c>
      <c r="AA3323" s="4" t="str">
        <f t="shared" si="1"/>
        <v>Not Neighbor</v>
      </c>
      <c r="AC3323" s="4">
        <f>IFERROR(__xludf.DUMMYFUNCTION("IFERROR(ABS(O3323-AVERAGE(FILTER(O3323:O7391,AA3323:AA7391=""Neighbor""))) / STDEV(FILTER(O3323:O7391, AA3323:AA7391 =""Neighbor"")), """")"),0.5346376200936823)</f>
        <v>0.5346376201</v>
      </c>
      <c r="AF3323" s="2">
        <f>IFERROR(__xludf.DUMMYFUNCTION("IFERROR(ABS(R3323-AVERAGE(FILTER(R3323:R7391,AA3323:AA7391=""Neighbor""))) / STDEV(FILTER(R3323:R7391, AA3323:AA7391 =""Neighbor"")), """")"),0.32877275244336956)</f>
        <v>0.3287727524</v>
      </c>
    </row>
    <row r="3324">
      <c r="A3324" s="2" t="s">
        <v>28</v>
      </c>
      <c r="B3324" s="2" t="s">
        <v>4358</v>
      </c>
      <c r="C3324" s="2" t="s">
        <v>4960</v>
      </c>
      <c r="D3324" s="2" t="s">
        <v>13544</v>
      </c>
      <c r="E3324" s="2" t="s">
        <v>13545</v>
      </c>
      <c r="F3324" s="2">
        <v>70.0</v>
      </c>
      <c r="G3324" s="2">
        <v>124.0</v>
      </c>
      <c r="H3324" s="2" t="b">
        <v>1</v>
      </c>
      <c r="I3324" s="2">
        <v>-1.0</v>
      </c>
      <c r="J3324" s="2" t="b">
        <v>0</v>
      </c>
      <c r="K3324" s="2" t="b">
        <v>0</v>
      </c>
      <c r="L3324" s="2" t="b">
        <v>0</v>
      </c>
      <c r="M3324" s="2" t="b">
        <v>0</v>
      </c>
      <c r="N3324" s="2" t="s">
        <v>33</v>
      </c>
      <c r="O3324" s="2">
        <v>36.0</v>
      </c>
      <c r="P3324" s="2">
        <v>6.0</v>
      </c>
      <c r="Q3324" s="2">
        <v>1.0</v>
      </c>
      <c r="R3324" s="2">
        <v>0.0</v>
      </c>
      <c r="S3324" s="3" t="s">
        <v>13546</v>
      </c>
      <c r="T3324" s="2" t="s">
        <v>13547</v>
      </c>
      <c r="Y3324" s="4" t="str">
        <f>IFERROR(__xludf.DUMMYFUNCTION("""COMPUTED_VALUE"""),"6.7939548")</f>
        <v>6.7939548</v>
      </c>
      <c r="Z3324" s="4" t="str">
        <f>IFERROR(__xludf.DUMMYFUNCTION("""COMPUTED_VALUE"""),"3.121203")</f>
        <v>3.121203</v>
      </c>
      <c r="AA3324" s="4" t="str">
        <f t="shared" si="1"/>
        <v>Not Neighbor</v>
      </c>
      <c r="AC3324" s="4">
        <f>IFERROR(__xludf.DUMMYFUNCTION("IFERROR(ABS(O3324-AVERAGE(FILTER(O3324:O7392,AA3324:AA7392=""Neighbor""))) / STDEV(FILTER(O3324:O7392, AA3324:AA7392 =""Neighbor"")), """")"),0.2911756374880926)</f>
        <v>0.2911756375</v>
      </c>
      <c r="AF3324" s="2">
        <f>IFERROR(__xludf.DUMMYFUNCTION("IFERROR(ABS(R3324-AVERAGE(FILTER(R3324:R7392,AA3324:AA7392=""Neighbor""))) / STDEV(FILTER(R3324:R7392, AA3324:AA7392 =""Neighbor"")), """")"),0.32877275244336956)</f>
        <v>0.3287727524</v>
      </c>
    </row>
    <row r="3325">
      <c r="A3325" s="2" t="s">
        <v>28</v>
      </c>
      <c r="B3325" s="2" t="s">
        <v>4358</v>
      </c>
      <c r="C3325" s="2" t="s">
        <v>4359</v>
      </c>
      <c r="D3325" s="2" t="s">
        <v>13548</v>
      </c>
      <c r="E3325" s="2" t="s">
        <v>13549</v>
      </c>
      <c r="F3325" s="2">
        <v>102.0</v>
      </c>
      <c r="G3325" s="2">
        <v>750.0</v>
      </c>
      <c r="H3325" s="2" t="b">
        <v>1</v>
      </c>
      <c r="I3325" s="2">
        <v>-1.0</v>
      </c>
      <c r="J3325" s="2" t="b">
        <v>1</v>
      </c>
      <c r="K3325" s="2" t="b">
        <v>1</v>
      </c>
      <c r="L3325" s="2" t="b">
        <v>0</v>
      </c>
      <c r="M3325" s="2" t="b">
        <v>0</v>
      </c>
      <c r="N3325" s="2" t="s">
        <v>33</v>
      </c>
      <c r="O3325" s="2">
        <v>0.0</v>
      </c>
      <c r="P3325" s="2">
        <v>0.0</v>
      </c>
      <c r="Q3325" s="2">
        <v>0.0</v>
      </c>
      <c r="R3325" s="2">
        <v>0.0</v>
      </c>
      <c r="S3325" s="3" t="s">
        <v>13550</v>
      </c>
      <c r="T3325" s="2" t="s">
        <v>13551</v>
      </c>
      <c r="Y3325" s="4" t="str">
        <f>IFERROR(__xludf.DUMMYFUNCTION("""COMPUTED_VALUE"""),"8.5380979")</f>
        <v>8.5380979</v>
      </c>
      <c r="Z3325" s="4" t="str">
        <f>IFERROR(__xludf.DUMMYFUNCTION("""COMPUTED_VALUE"""),"5.1432068")</f>
        <v>5.1432068</v>
      </c>
      <c r="AA3325" s="4" t="str">
        <f t="shared" si="1"/>
        <v>Not Neighbor</v>
      </c>
      <c r="AC3325" s="4">
        <f>IFERROR(__xludf.DUMMYFUNCTION("IFERROR(ABS(O3325-AVERAGE(FILTER(O3325:O7393,AA3325:AA7393=""Neighbor""))) / STDEV(FILTER(O3325:O7393, AA3325:AA7393 =""Neighbor"")), """")"),1.3922599809304592)</f>
        <v>1.392259981</v>
      </c>
      <c r="AF3325" s="2">
        <f>IFERROR(__xludf.DUMMYFUNCTION("IFERROR(ABS(R3325-AVERAGE(FILTER(R3325:R7393,AA3325:AA7393=""Neighbor""))) / STDEV(FILTER(R3325:R7393, AA3325:AA7393 =""Neighbor"")), """")"),0.32877275244336956)</f>
        <v>0.3287727524</v>
      </c>
    </row>
    <row r="3326">
      <c r="A3326" s="2" t="s">
        <v>28</v>
      </c>
      <c r="B3326" s="2" t="s">
        <v>4358</v>
      </c>
      <c r="C3326" s="2" t="s">
        <v>4359</v>
      </c>
      <c r="D3326" s="2" t="s">
        <v>13552</v>
      </c>
      <c r="E3326" s="2" t="s">
        <v>13553</v>
      </c>
      <c r="F3326" s="2">
        <v>132.0</v>
      </c>
      <c r="G3326" s="2">
        <v>391.0</v>
      </c>
      <c r="H3326" s="2" t="b">
        <v>1</v>
      </c>
      <c r="I3326" s="2">
        <v>-1.0</v>
      </c>
      <c r="J3326" s="2" t="b">
        <v>0</v>
      </c>
      <c r="K3326" s="2" t="b">
        <v>0</v>
      </c>
      <c r="L3326" s="2" t="b">
        <v>0</v>
      </c>
      <c r="M3326" s="2" t="b">
        <v>0</v>
      </c>
      <c r="N3326" s="2" t="s">
        <v>33</v>
      </c>
      <c r="O3326" s="2">
        <v>67.0</v>
      </c>
      <c r="P3326" s="2">
        <v>34.0</v>
      </c>
      <c r="Q3326" s="2">
        <v>20.0</v>
      </c>
      <c r="R3326" s="2">
        <v>0.0</v>
      </c>
      <c r="S3326" s="3" t="s">
        <v>13554</v>
      </c>
      <c r="T3326" s="2" t="s">
        <v>13555</v>
      </c>
      <c r="Y3326" s="4" t="str">
        <f>IFERROR(__xludf.DUMMYFUNCTION("""COMPUTED_VALUE"""),"6.8192202")</f>
        <v>6.8192202</v>
      </c>
      <c r="Z3326" s="4" t="str">
        <f>IFERROR(__xludf.DUMMYFUNCTION("""COMPUTED_VALUE"""),"3.1929809")</f>
        <v>3.1929809</v>
      </c>
      <c r="AA3326" s="4" t="str">
        <f t="shared" si="1"/>
        <v>Not Neighbor</v>
      </c>
      <c r="AC3326" s="4">
        <f>IFERROR(__xludf.DUMMYFUNCTION("IFERROR(ABS(O3326-AVERAGE(FILTER(O3326:O7394,AA3326:AA7394=""Neighbor""))) / STDEV(FILTER(O3326:O7394, AA3326:AA7394 =""Neighbor"")), """")"),0.656980324920612)</f>
        <v>0.6569803249</v>
      </c>
      <c r="AF3326" s="2">
        <f>IFERROR(__xludf.DUMMYFUNCTION("IFERROR(ABS(R3326-AVERAGE(FILTER(R3326:R7394,AA3326:AA7394=""Neighbor""))) / STDEV(FILTER(R3326:R7394, AA3326:AA7394 =""Neighbor"")), """")"),0.32877275244336956)</f>
        <v>0.3287727524</v>
      </c>
    </row>
    <row r="3327">
      <c r="A3327" s="2" t="s">
        <v>28</v>
      </c>
      <c r="B3327" s="2" t="s">
        <v>4358</v>
      </c>
      <c r="C3327" s="2" t="s">
        <v>4359</v>
      </c>
      <c r="D3327" s="2" t="s">
        <v>13556</v>
      </c>
      <c r="E3327" s="2" t="s">
        <v>13557</v>
      </c>
      <c r="F3327" s="2">
        <v>0.0</v>
      </c>
      <c r="G3327" s="2">
        <v>82.0</v>
      </c>
      <c r="H3327" s="2" t="b">
        <v>1</v>
      </c>
      <c r="I3327" s="2">
        <v>-1.0</v>
      </c>
      <c r="J3327" s="2" t="b">
        <v>0</v>
      </c>
      <c r="K3327" s="2" t="b">
        <v>0</v>
      </c>
      <c r="L3327" s="2" t="b">
        <v>0</v>
      </c>
      <c r="M3327" s="2" t="b">
        <v>0</v>
      </c>
      <c r="N3327" s="2" t="s">
        <v>33</v>
      </c>
      <c r="O3327" s="2">
        <v>18.0</v>
      </c>
      <c r="P3327" s="2">
        <v>17.0</v>
      </c>
      <c r="Q3327" s="2">
        <v>1.0</v>
      </c>
      <c r="R3327" s="2">
        <v>0.0</v>
      </c>
      <c r="S3327" s="3" t="s">
        <v>13558</v>
      </c>
      <c r="T3327" s="2" t="s">
        <v>13559</v>
      </c>
      <c r="Y3327" s="4" t="str">
        <f>IFERROR(__xludf.DUMMYFUNCTION("""COMPUTED_VALUE"""),"6.8028866")</f>
        <v>6.8028866</v>
      </c>
      <c r="Z3327" s="4" t="str">
        <f>IFERROR(__xludf.DUMMYFUNCTION("""COMPUTED_VALUE"""),"3.238251")</f>
        <v>3.238251</v>
      </c>
      <c r="AA3327" s="4" t="str">
        <f t="shared" si="1"/>
        <v>Not Neighbor</v>
      </c>
      <c r="AC3327" s="4">
        <f>IFERROR(__xludf.DUMMYFUNCTION("IFERROR(ABS(O3327-AVERAGE(FILTER(O3327:O7395,AA3327:AA7395=""Neighbor""))) / STDEV(FILTER(O3327:O7395, AA3327:AA7395 =""Neighbor"")), """")"),0.8417178092092759)</f>
        <v>0.8417178092</v>
      </c>
      <c r="AF3327" s="2">
        <f>IFERROR(__xludf.DUMMYFUNCTION("IFERROR(ABS(R3327-AVERAGE(FILTER(R3327:R7395,AA3327:AA7395=""Neighbor""))) / STDEV(FILTER(R3327:R7395, AA3327:AA7395 =""Neighbor"")), """")"),0.32877275244336956)</f>
        <v>0.3287727524</v>
      </c>
    </row>
    <row r="3328">
      <c r="A3328" s="2" t="s">
        <v>28</v>
      </c>
      <c r="B3328" s="2" t="s">
        <v>4358</v>
      </c>
      <c r="C3328" s="2" t="s">
        <v>4359</v>
      </c>
      <c r="D3328" s="2" t="s">
        <v>13560</v>
      </c>
      <c r="E3328" s="2" t="s">
        <v>13561</v>
      </c>
      <c r="F3328" s="2">
        <v>113.0</v>
      </c>
      <c r="G3328" s="2">
        <v>537.0</v>
      </c>
      <c r="H3328" s="2" t="b">
        <v>1</v>
      </c>
      <c r="I3328" s="2">
        <v>-1.0</v>
      </c>
      <c r="J3328" s="2" t="b">
        <v>0</v>
      </c>
      <c r="K3328" s="2" t="b">
        <v>0</v>
      </c>
      <c r="L3328" s="2" t="b">
        <v>0</v>
      </c>
      <c r="M3328" s="2" t="b">
        <v>0</v>
      </c>
      <c r="N3328" s="2" t="s">
        <v>33</v>
      </c>
      <c r="O3328" s="2">
        <v>71.0</v>
      </c>
      <c r="P3328" s="2">
        <v>9.0</v>
      </c>
      <c r="Q3328" s="2">
        <v>18.0</v>
      </c>
      <c r="R3328" s="2">
        <v>0.0</v>
      </c>
      <c r="S3328" s="3" t="s">
        <v>13562</v>
      </c>
      <c r="T3328" s="2" t="s">
        <v>13563</v>
      </c>
      <c r="Y3328" s="4" t="str">
        <f>IFERROR(__xludf.DUMMYFUNCTION("""COMPUTED_VALUE"""),"")</f>
        <v/>
      </c>
      <c r="Z3328" s="4" t="str">
        <f>IFERROR(__xludf.DUMMYFUNCTION("""COMPUTED_VALUE"""),"")</f>
        <v/>
      </c>
      <c r="AA3328" s="4" t="str">
        <f t="shared" si="1"/>
        <v>Not Neighbor</v>
      </c>
      <c r="AC3328" s="4">
        <f>IFERROR(__xludf.DUMMYFUNCTION("IFERROR(ABS(O3328-AVERAGE(FILTER(O3328:O7396,AA3328:AA7396=""Neighbor""))) / STDEV(FILTER(O3328:O7396, AA3328:AA7396 =""Neighbor"")), """")"),0.7793230297475416)</f>
        <v>0.7793230297</v>
      </c>
      <c r="AF3328" s="2">
        <f>IFERROR(__xludf.DUMMYFUNCTION("IFERROR(ABS(R3328-AVERAGE(FILTER(R3328:R7396,AA3328:AA7396=""Neighbor""))) / STDEV(FILTER(R3328:R7396, AA3328:AA7396 =""Neighbor"")), """")"),0.32877275244336956)</f>
        <v>0.3287727524</v>
      </c>
    </row>
    <row r="3329">
      <c r="A3329" s="2" t="s">
        <v>28</v>
      </c>
      <c r="B3329" s="2" t="s">
        <v>4358</v>
      </c>
      <c r="C3329" s="2" t="s">
        <v>4359</v>
      </c>
      <c r="D3329" s="2" t="s">
        <v>13564</v>
      </c>
      <c r="E3329" s="2" t="s">
        <v>13565</v>
      </c>
      <c r="F3329" s="2">
        <v>133.0</v>
      </c>
      <c r="G3329" s="2">
        <v>357.0</v>
      </c>
      <c r="H3329" s="2" t="b">
        <v>1</v>
      </c>
      <c r="I3329" s="2">
        <v>-1.0</v>
      </c>
      <c r="J3329" s="2" t="b">
        <v>0</v>
      </c>
      <c r="K3329" s="2" t="b">
        <v>0</v>
      </c>
      <c r="L3329" s="2" t="b">
        <v>0</v>
      </c>
      <c r="M3329" s="2" t="b">
        <v>0</v>
      </c>
      <c r="N3329" s="2" t="s">
        <v>33</v>
      </c>
      <c r="O3329" s="2">
        <v>71.0</v>
      </c>
      <c r="P3329" s="2">
        <v>17.0</v>
      </c>
      <c r="Q3329" s="2">
        <v>20.0</v>
      </c>
      <c r="R3329" s="2">
        <v>1.0</v>
      </c>
      <c r="S3329" s="3" t="s">
        <v>13566</v>
      </c>
      <c r="T3329" s="2" t="s">
        <v>13567</v>
      </c>
      <c r="Y3329" s="4" t="str">
        <f>IFERROR(__xludf.DUMMYFUNCTION("""COMPUTED_VALUE"""),"6.805844")</f>
        <v>6.805844</v>
      </c>
      <c r="Z3329" s="4" t="str">
        <f>IFERROR(__xludf.DUMMYFUNCTION("""COMPUTED_VALUE"""),"3.1955414")</f>
        <v>3.1955414</v>
      </c>
      <c r="AA3329" s="4" t="str">
        <f t="shared" si="1"/>
        <v>Not Neighbor</v>
      </c>
      <c r="AC3329" s="4">
        <f>IFERROR(__xludf.DUMMYFUNCTION("IFERROR(ABS(O3329-AVERAGE(FILTER(O3329:O7397,AA3329:AA7397=""Neighbor""))) / STDEV(FILTER(O3329:O7397, AA3329:AA7397 =""Neighbor"")), """")"),0.7793230297475416)</f>
        <v>0.7793230297</v>
      </c>
      <c r="AF3329" s="2">
        <f>IFERROR(__xludf.DUMMYFUNCTION("IFERROR(ABS(R3329-AVERAGE(FILTER(R3329:R7397,AA3329:AA7397=""Neighbor""))) / STDEV(FILTER(R3329:R7397, AA3329:AA7397 =""Neighbor"")), """")"),0.8767273398489855)</f>
        <v>0.8767273398</v>
      </c>
    </row>
    <row r="3330">
      <c r="A3330" s="2" t="s">
        <v>28</v>
      </c>
      <c r="B3330" s="2" t="s">
        <v>4358</v>
      </c>
      <c r="C3330" s="2" t="s">
        <v>4359</v>
      </c>
      <c r="D3330" s="2" t="s">
        <v>13568</v>
      </c>
      <c r="E3330" s="2" t="s">
        <v>13569</v>
      </c>
      <c r="F3330" s="2">
        <v>47.0</v>
      </c>
      <c r="G3330" s="2">
        <v>112.0</v>
      </c>
      <c r="H3330" s="2" t="b">
        <v>1</v>
      </c>
      <c r="I3330" s="2">
        <v>-1.0</v>
      </c>
      <c r="J3330" s="2" t="b">
        <v>0</v>
      </c>
      <c r="K3330" s="2" t="b">
        <v>0</v>
      </c>
      <c r="L3330" s="2" t="b">
        <v>0</v>
      </c>
      <c r="M3330" s="2" t="b">
        <v>0</v>
      </c>
      <c r="N3330" s="2" t="s">
        <v>33</v>
      </c>
      <c r="O3330" s="2">
        <v>34.0</v>
      </c>
      <c r="P3330" s="2">
        <v>3.0</v>
      </c>
      <c r="Q3330" s="2">
        <v>2.0</v>
      </c>
      <c r="R3330" s="2">
        <v>0.0</v>
      </c>
      <c r="S3330" s="3" t="s">
        <v>13570</v>
      </c>
      <c r="T3330" s="2" t="s">
        <v>13571</v>
      </c>
      <c r="Y3330" s="4" t="str">
        <f>IFERROR(__xludf.DUMMYFUNCTION("""COMPUTED_VALUE"""),"6.677922")</f>
        <v>6.677922</v>
      </c>
      <c r="Z3330" s="4" t="str">
        <f>IFERROR(__xludf.DUMMYFUNCTION("""COMPUTED_VALUE"""),"3.2269006")</f>
        <v>3.2269006</v>
      </c>
      <c r="AA3330" s="4" t="str">
        <f t="shared" si="1"/>
        <v>Not Neighbor</v>
      </c>
      <c r="AC3330" s="4">
        <f>IFERROR(__xludf.DUMMYFUNCTION("IFERROR(ABS(O3330-AVERAGE(FILTER(O3330:O7398,AA3330:AA7398=""Neighbor""))) / STDEV(FILTER(O3330:O7398, AA3330:AA7398 =""Neighbor"")), """")"),0.3523469899015574)</f>
        <v>0.3523469899</v>
      </c>
      <c r="AF3330" s="2">
        <f>IFERROR(__xludf.DUMMYFUNCTION("IFERROR(ABS(R3330-AVERAGE(FILTER(R3330:R7398,AA3330:AA7398=""Neighbor""))) / STDEV(FILTER(R3330:R7398, AA3330:AA7398 =""Neighbor"")), """")"),0.32877275244336956)</f>
        <v>0.3287727524</v>
      </c>
    </row>
    <row r="3331">
      <c r="A3331" s="2" t="s">
        <v>28</v>
      </c>
      <c r="B3331" s="2" t="s">
        <v>4358</v>
      </c>
      <c r="C3331" s="2" t="s">
        <v>4359</v>
      </c>
      <c r="D3331" s="2" t="s">
        <v>13572</v>
      </c>
      <c r="E3331" s="2" t="s">
        <v>13573</v>
      </c>
      <c r="F3331" s="2">
        <v>109.0</v>
      </c>
      <c r="G3331" s="2">
        <v>750.0</v>
      </c>
      <c r="H3331" s="2" t="b">
        <v>1</v>
      </c>
      <c r="I3331" s="2">
        <v>-1.0</v>
      </c>
      <c r="J3331" s="2" t="b">
        <v>0</v>
      </c>
      <c r="K3331" s="2" t="b">
        <v>0</v>
      </c>
      <c r="L3331" s="2" t="b">
        <v>0</v>
      </c>
      <c r="M3331" s="2" t="b">
        <v>0</v>
      </c>
      <c r="N3331" s="2" t="s">
        <v>33</v>
      </c>
      <c r="O3331" s="2">
        <v>64.0</v>
      </c>
      <c r="P3331" s="2">
        <v>10.0</v>
      </c>
      <c r="Q3331" s="2">
        <v>29.0</v>
      </c>
      <c r="R3331" s="2">
        <v>0.0</v>
      </c>
      <c r="S3331" s="3" t="s">
        <v>13574</v>
      </c>
      <c r="T3331" s="2" t="s">
        <v>13575</v>
      </c>
      <c r="Y3331" s="4" t="str">
        <f>IFERROR(__xludf.DUMMYFUNCTION("""COMPUTED_VALUE"""),"")</f>
        <v/>
      </c>
      <c r="Z3331" s="4" t="str">
        <f>IFERROR(__xludf.DUMMYFUNCTION("""COMPUTED_VALUE"""),"")</f>
        <v/>
      </c>
      <c r="AA3331" s="4" t="str">
        <f t="shared" si="1"/>
        <v>Not Neighbor</v>
      </c>
      <c r="AC3331" s="4">
        <f>IFERROR(__xludf.DUMMYFUNCTION("IFERROR(ABS(O3331-AVERAGE(FILTER(O3331:O7399,AA3331:AA7399=""Neighbor""))) / STDEV(FILTER(O3331:O7399, AA3331:AA7399 =""Neighbor"")), """")"),0.5652232963004148)</f>
        <v>0.5652232963</v>
      </c>
      <c r="AF3331" s="2">
        <f>IFERROR(__xludf.DUMMYFUNCTION("IFERROR(ABS(R3331-AVERAGE(FILTER(R3331:R7399,AA3331:AA7399=""Neighbor""))) / STDEV(FILTER(R3331:R7399, AA3331:AA7399 =""Neighbor"")), """")"),0.32877275244336956)</f>
        <v>0.3287727524</v>
      </c>
    </row>
    <row r="3332">
      <c r="A3332" s="2" t="s">
        <v>28</v>
      </c>
      <c r="B3332" s="2" t="s">
        <v>4358</v>
      </c>
      <c r="C3332" s="2" t="s">
        <v>4359</v>
      </c>
      <c r="D3332" s="2" t="s">
        <v>13576</v>
      </c>
      <c r="E3332" s="2" t="s">
        <v>13577</v>
      </c>
      <c r="F3332" s="2">
        <v>41.0</v>
      </c>
      <c r="G3332" s="2">
        <v>143.0</v>
      </c>
      <c r="H3332" s="2" t="b">
        <v>1</v>
      </c>
      <c r="I3332" s="2">
        <v>-1.0</v>
      </c>
      <c r="J3332" s="2" t="b">
        <v>0</v>
      </c>
      <c r="K3332" s="2" t="b">
        <v>0</v>
      </c>
      <c r="L3332" s="2" t="b">
        <v>0</v>
      </c>
      <c r="M3332" s="2" t="b">
        <v>0</v>
      </c>
      <c r="N3332" s="2" t="s">
        <v>33</v>
      </c>
      <c r="O3332" s="2">
        <v>10.0</v>
      </c>
      <c r="P3332" s="2">
        <v>9.0</v>
      </c>
      <c r="Q3332" s="2">
        <v>12.0</v>
      </c>
      <c r="R3332" s="2">
        <v>1.0</v>
      </c>
      <c r="S3332" s="3" t="s">
        <v>13578</v>
      </c>
      <c r="T3332" s="2" t="s">
        <v>13579</v>
      </c>
      <c r="Y3332" s="4" t="str">
        <f>IFERROR(__xludf.DUMMYFUNCTION("""COMPUTED_VALUE"""),"6.8028866")</f>
        <v>6.8028866</v>
      </c>
      <c r="Z3332" s="4" t="str">
        <f>IFERROR(__xludf.DUMMYFUNCTION("""COMPUTED_VALUE"""),"3.238251")</f>
        <v>3.238251</v>
      </c>
      <c r="AA3332" s="4" t="str">
        <f t="shared" si="1"/>
        <v>Not Neighbor</v>
      </c>
      <c r="AC3332" s="4">
        <f>IFERROR(__xludf.DUMMYFUNCTION("IFERROR(ABS(O3332-AVERAGE(FILTER(O3332:O7400,AA3332:AA7400=""Neighbor""))) / STDEV(FILTER(O3332:O7400, AA3332:AA7400 =""Neighbor"")), """")"),1.0864032188631352)</f>
        <v>1.086403219</v>
      </c>
      <c r="AF3332" s="2">
        <f>IFERROR(__xludf.DUMMYFUNCTION("IFERROR(ABS(R3332-AVERAGE(FILTER(R3332:R7400,AA3332:AA7400=""Neighbor""))) / STDEV(FILTER(R3332:R7400, AA3332:AA7400 =""Neighbor"")), """")"),0.8767273398489855)</f>
        <v>0.8767273398</v>
      </c>
    </row>
    <row r="3333">
      <c r="A3333" s="2" t="s">
        <v>28</v>
      </c>
      <c r="B3333" s="2" t="s">
        <v>4358</v>
      </c>
      <c r="C3333" s="2" t="s">
        <v>4392</v>
      </c>
      <c r="D3333" s="2" t="s">
        <v>13580</v>
      </c>
      <c r="E3333" s="2" t="s">
        <v>13581</v>
      </c>
      <c r="F3333" s="2">
        <v>172.0</v>
      </c>
      <c r="G3333" s="2">
        <v>738.0</v>
      </c>
      <c r="H3333" s="2" t="b">
        <v>1</v>
      </c>
      <c r="I3333" s="2">
        <v>-1.0</v>
      </c>
      <c r="J3333" s="2" t="b">
        <v>0</v>
      </c>
      <c r="K3333" s="2" t="b">
        <v>0</v>
      </c>
      <c r="L3333" s="2" t="b">
        <v>0</v>
      </c>
      <c r="M3333" s="2" t="b">
        <v>0</v>
      </c>
      <c r="N3333" s="2" t="s">
        <v>33</v>
      </c>
      <c r="O3333" s="2">
        <v>79.0</v>
      </c>
      <c r="P3333" s="2">
        <v>16.0</v>
      </c>
      <c r="Q3333" s="2">
        <v>32.0</v>
      </c>
      <c r="R3333" s="2">
        <v>1.0</v>
      </c>
      <c r="S3333" s="3" t="s">
        <v>13582</v>
      </c>
      <c r="T3333" s="2" t="s">
        <v>13583</v>
      </c>
      <c r="Y3333" s="4" t="str">
        <f>IFERROR(__xludf.DUMMYFUNCTION("""COMPUTED_VALUE"""),"6.8220284")</f>
        <v>6.8220284</v>
      </c>
      <c r="Z3333" s="4" t="str">
        <f>IFERROR(__xludf.DUMMYFUNCTION("""COMPUTED_VALUE"""),"3.1754557")</f>
        <v>3.1754557</v>
      </c>
      <c r="AA3333" s="4" t="str">
        <f t="shared" si="1"/>
        <v>Neighbor</v>
      </c>
      <c r="AC3333" s="4">
        <f>IFERROR(__xludf.DUMMYFUNCTION("IFERROR(ABS(O3333-AVERAGE(FILTER(O3333:O7401,AA3333:AA7401=""Neighbor""))) / STDEV(FILTER(O3333:O7401, AA3333:AA7401 =""Neighbor"")), """")"),1.0240084394014008)</f>
        <v>1.024008439</v>
      </c>
      <c r="AF3333" s="2">
        <f>IFERROR(__xludf.DUMMYFUNCTION("IFERROR(ABS(R3333-AVERAGE(FILTER(R3333:R7401,AA3333:AA7401=""Neighbor""))) / STDEV(FILTER(R3333:R7401, AA3333:AA7401 =""Neighbor"")), """")"),0.8767273398489855)</f>
        <v>0.8767273398</v>
      </c>
    </row>
    <row r="3334">
      <c r="A3334" s="2" t="s">
        <v>28</v>
      </c>
      <c r="B3334" s="2" t="s">
        <v>4358</v>
      </c>
      <c r="C3334" s="2" t="s">
        <v>4392</v>
      </c>
      <c r="D3334" s="2" t="s">
        <v>13584</v>
      </c>
      <c r="E3334" s="2" t="s">
        <v>13585</v>
      </c>
      <c r="F3334" s="2">
        <v>65.0</v>
      </c>
      <c r="G3334" s="2">
        <v>133.0</v>
      </c>
      <c r="H3334" s="2" t="b">
        <v>1</v>
      </c>
      <c r="I3334" s="2">
        <v>-1.0</v>
      </c>
      <c r="J3334" s="2" t="b">
        <v>0</v>
      </c>
      <c r="K3334" s="2" t="b">
        <v>0</v>
      </c>
      <c r="L3334" s="2" t="b">
        <v>0</v>
      </c>
      <c r="M3334" s="2" t="b">
        <v>0</v>
      </c>
      <c r="N3334" s="2" t="s">
        <v>33</v>
      </c>
      <c r="O3334" s="2">
        <v>41.0</v>
      </c>
      <c r="P3334" s="2">
        <v>9.0</v>
      </c>
      <c r="Q3334" s="2">
        <v>7.0</v>
      </c>
      <c r="R3334" s="2">
        <v>0.0</v>
      </c>
      <c r="S3334" s="3" t="s">
        <v>13586</v>
      </c>
      <c r="T3334" s="2" t="s">
        <v>13587</v>
      </c>
      <c r="Y3334" s="4" t="str">
        <f>IFERROR(__xludf.DUMMYFUNCTION("""COMPUTED_VALUE"""),"6.8199215")</f>
        <v>6.8199215</v>
      </c>
      <c r="Z3334" s="4" t="str">
        <f>IFERROR(__xludf.DUMMYFUNCTION("""COMPUTED_VALUE"""),"3.1817065")</f>
        <v>3.1817065</v>
      </c>
      <c r="AA3334" s="4" t="str">
        <f t="shared" si="1"/>
        <v>Not Neighbor</v>
      </c>
      <c r="AC3334" s="4">
        <f>IFERROR(__xludf.DUMMYFUNCTION("IFERROR(ABS(O3334-AVERAGE(FILTER(O3334:O7402,AA3334:AA7402=""Neighbor""))) / STDEV(FILTER(O3334:O7402, AA3334:AA7402 =""Neighbor"")), """")"),0.1345229152474672)</f>
        <v>0.1345229152</v>
      </c>
      <c r="AF3334" s="2">
        <f>IFERROR(__xludf.DUMMYFUNCTION("IFERROR(ABS(R3334-AVERAGE(FILTER(R3334:R7402,AA3334:AA7402=""Neighbor""))) / STDEV(FILTER(R3334:R7402, AA3334:AA7402 =""Neighbor"")), """")"),0.3254368252566011)</f>
        <v>0.3254368253</v>
      </c>
    </row>
    <row r="3335">
      <c r="A3335" s="2" t="s">
        <v>28</v>
      </c>
      <c r="B3335" s="2" t="s">
        <v>4358</v>
      </c>
      <c r="C3335" s="2" t="s">
        <v>4392</v>
      </c>
      <c r="D3335" s="2" t="s">
        <v>13588</v>
      </c>
      <c r="E3335" s="2" t="s">
        <v>13589</v>
      </c>
      <c r="F3335" s="2">
        <v>36.0</v>
      </c>
      <c r="G3335" s="2">
        <v>92.0</v>
      </c>
      <c r="H3335" s="2" t="b">
        <v>1</v>
      </c>
      <c r="I3335" s="2">
        <v>-1.0</v>
      </c>
      <c r="J3335" s="2" t="b">
        <v>0</v>
      </c>
      <c r="K3335" s="2" t="b">
        <v>0</v>
      </c>
      <c r="L3335" s="2" t="b">
        <v>0</v>
      </c>
      <c r="M3335" s="2" t="b">
        <v>0</v>
      </c>
      <c r="N3335" s="2" t="s">
        <v>33</v>
      </c>
      <c r="O3335" s="2">
        <v>18.0</v>
      </c>
      <c r="P3335" s="2">
        <v>10.0</v>
      </c>
      <c r="Q3335" s="2">
        <v>2.0</v>
      </c>
      <c r="R3335" s="2">
        <v>0.0</v>
      </c>
      <c r="S3335" s="3" t="s">
        <v>13590</v>
      </c>
      <c r="T3335" s="2" t="s">
        <v>13591</v>
      </c>
      <c r="Y3335" s="4" t="str">
        <f>IFERROR(__xludf.DUMMYFUNCTION("""COMPUTED_VALUE"""),"6.830923")</f>
        <v>6.830923</v>
      </c>
      <c r="Z3335" s="4" t="str">
        <f>IFERROR(__xludf.DUMMYFUNCTION("""COMPUTED_VALUE"""),"3.1933491")</f>
        <v>3.1933491</v>
      </c>
      <c r="AA3335" s="4" t="str">
        <f t="shared" si="1"/>
        <v>Not Neighbor</v>
      </c>
      <c r="AC3335" s="4">
        <f>IFERROR(__xludf.DUMMYFUNCTION("IFERROR(ABS(O3335-AVERAGE(FILTER(O3335:O7403,AA3335:AA7403=""Neighbor""))) / STDEV(FILTER(O3335:O7403, AA3335:AA7403 =""Neighbor"")), """")"),0.8380610164006113)</f>
        <v>0.8380610164</v>
      </c>
      <c r="AF3335" s="2">
        <f>IFERROR(__xludf.DUMMYFUNCTION("IFERROR(ABS(R3335-AVERAGE(FILTER(R3335:R7403,AA3335:AA7403=""Neighbor""))) / STDEV(FILTER(R3335:R7403, AA3335:AA7403 =""Neighbor"")), """")"),0.3254368252566011)</f>
        <v>0.3254368253</v>
      </c>
    </row>
    <row r="3336">
      <c r="A3336" s="2" t="s">
        <v>28</v>
      </c>
      <c r="B3336" s="2" t="s">
        <v>4358</v>
      </c>
      <c r="C3336" s="2" t="s">
        <v>4392</v>
      </c>
      <c r="D3336" s="2" t="s">
        <v>13592</v>
      </c>
      <c r="E3336" s="2" t="s">
        <v>13593</v>
      </c>
      <c r="F3336" s="2">
        <v>30.0</v>
      </c>
      <c r="G3336" s="2">
        <v>66.0</v>
      </c>
      <c r="H3336" s="2" t="b">
        <v>1</v>
      </c>
      <c r="I3336" s="2">
        <v>-1.0</v>
      </c>
      <c r="J3336" s="2" t="b">
        <v>0</v>
      </c>
      <c r="K3336" s="2" t="b">
        <v>0</v>
      </c>
      <c r="L3336" s="2" t="b">
        <v>0</v>
      </c>
      <c r="M3336" s="2" t="b">
        <v>0</v>
      </c>
      <c r="N3336" s="2" t="s">
        <v>33</v>
      </c>
      <c r="O3336" s="2">
        <v>15.0</v>
      </c>
      <c r="P3336" s="2">
        <v>3.0</v>
      </c>
      <c r="Q3336" s="2">
        <v>0.0</v>
      </c>
      <c r="R3336" s="2">
        <v>0.0</v>
      </c>
      <c r="S3336" s="3" t="s">
        <v>13594</v>
      </c>
      <c r="T3336" s="2" t="s">
        <v>13595</v>
      </c>
      <c r="Y3336" s="4" t="str">
        <f>IFERROR(__xludf.DUMMYFUNCTION("""COMPUTED_VALUE"""),"6.8199215")</f>
        <v>6.8199215</v>
      </c>
      <c r="Z3336" s="4" t="str">
        <f>IFERROR(__xludf.DUMMYFUNCTION("""COMPUTED_VALUE"""),"3.1817065")</f>
        <v>3.1817065</v>
      </c>
      <c r="AA3336" s="4" t="str">
        <f t="shared" si="1"/>
        <v>Neighbor</v>
      </c>
      <c r="AC3336" s="4">
        <f>IFERROR(__xludf.DUMMYFUNCTION("IFERROR(ABS(O3336-AVERAGE(FILTER(O3336:O7404,AA3336:AA7404=""Neighbor""))) / STDEV(FILTER(O3336:O7404, AA3336:AA7404 =""Neighbor"")), """")"),0.9298268556814562)</f>
        <v>0.9298268557</v>
      </c>
      <c r="AF3336" s="2">
        <f>IFERROR(__xludf.DUMMYFUNCTION("IFERROR(ABS(R3336-AVERAGE(FILTER(R3336:R7404,AA3336:AA7404=""Neighbor""))) / STDEV(FILTER(R3336:R7404, AA3336:AA7404 =""Neighbor"")), """")"),0.3254368252566011)</f>
        <v>0.3254368253</v>
      </c>
    </row>
    <row r="3337">
      <c r="A3337" s="2" t="s">
        <v>28</v>
      </c>
      <c r="B3337" s="2" t="s">
        <v>4358</v>
      </c>
      <c r="C3337" s="2" t="s">
        <v>4392</v>
      </c>
      <c r="D3337" s="2" t="s">
        <v>13596</v>
      </c>
      <c r="E3337" s="2" t="s">
        <v>13597</v>
      </c>
      <c r="F3337" s="2">
        <v>25.0</v>
      </c>
      <c r="G3337" s="2">
        <v>107.0</v>
      </c>
      <c r="H3337" s="2" t="b">
        <v>1</v>
      </c>
      <c r="I3337" s="2">
        <v>-1.0</v>
      </c>
      <c r="J3337" s="2" t="b">
        <v>0</v>
      </c>
      <c r="K3337" s="2" t="b">
        <v>0</v>
      </c>
      <c r="L3337" s="2" t="b">
        <v>0</v>
      </c>
      <c r="M3337" s="2" t="b">
        <v>0</v>
      </c>
      <c r="N3337" s="2" t="s">
        <v>33</v>
      </c>
      <c r="O3337" s="2">
        <v>11.0</v>
      </c>
      <c r="P3337" s="2">
        <v>6.0</v>
      </c>
      <c r="Q3337" s="2">
        <v>5.0</v>
      </c>
      <c r="R3337" s="2">
        <v>0.0</v>
      </c>
      <c r="S3337" s="3" t="s">
        <v>13598</v>
      </c>
      <c r="T3337" s="2" t="s">
        <v>13599</v>
      </c>
      <c r="Y3337" s="4" t="str">
        <f>IFERROR(__xludf.DUMMYFUNCTION("""COMPUTED_VALUE"""),"6.8220284")</f>
        <v>6.8220284</v>
      </c>
      <c r="Z3337" s="4" t="str">
        <f>IFERROR(__xludf.DUMMYFUNCTION("""COMPUTED_VALUE"""),"3.1754557")</f>
        <v>3.1754557</v>
      </c>
      <c r="AA3337" s="4" t="str">
        <f t="shared" si="1"/>
        <v>Neighbor</v>
      </c>
      <c r="AC3337" s="4">
        <f>IFERROR(__xludf.DUMMYFUNCTION("IFERROR(ABS(O3337-AVERAGE(FILTER(O3337:O7405,AA3337:AA7405=""Neighbor""))) / STDEV(FILTER(O3337:O7405, AA3337:AA7405 =""Neighbor"")), """")"),1.0553307307020265)</f>
        <v>1.055330731</v>
      </c>
      <c r="AF3337" s="2">
        <f>IFERROR(__xludf.DUMMYFUNCTION("IFERROR(ABS(R3337-AVERAGE(FILTER(R3337:R7405,AA3337:AA7405=""Neighbor""))) / STDEV(FILTER(R3337:R7405, AA3337:AA7405 =""Neighbor"")), """")"),0.3260936224387958)</f>
        <v>0.3260936224</v>
      </c>
    </row>
    <row r="3338">
      <c r="A3338" s="2" t="s">
        <v>28</v>
      </c>
      <c r="B3338" s="2" t="s">
        <v>4358</v>
      </c>
      <c r="C3338" s="2" t="s">
        <v>4392</v>
      </c>
      <c r="D3338" s="2" t="s">
        <v>13600</v>
      </c>
      <c r="E3338" s="2" t="s">
        <v>13601</v>
      </c>
      <c r="F3338" s="2">
        <v>44.0</v>
      </c>
      <c r="G3338" s="2">
        <v>102.0</v>
      </c>
      <c r="H3338" s="2" t="b">
        <v>1</v>
      </c>
      <c r="I3338" s="2">
        <v>-1.0</v>
      </c>
      <c r="J3338" s="2" t="b">
        <v>0</v>
      </c>
      <c r="K3338" s="2" t="b">
        <v>0</v>
      </c>
      <c r="L3338" s="2" t="b">
        <v>0</v>
      </c>
      <c r="M3338" s="2" t="b">
        <v>0</v>
      </c>
      <c r="N3338" s="2" t="s">
        <v>33</v>
      </c>
      <c r="O3338" s="2">
        <v>0.0</v>
      </c>
      <c r="P3338" s="2">
        <v>0.0</v>
      </c>
      <c r="Q3338" s="2">
        <v>0.0</v>
      </c>
      <c r="R3338" s="2">
        <v>0.0</v>
      </c>
      <c r="S3338" s="3" t="s">
        <v>13602</v>
      </c>
      <c r="T3338" s="2" t="s">
        <v>13603</v>
      </c>
      <c r="Y3338" s="4" t="str">
        <f>IFERROR(__xludf.DUMMYFUNCTION("""COMPUTED_VALUE"""),"6.8199215")</f>
        <v>6.8199215</v>
      </c>
      <c r="Z3338" s="4" t="str">
        <f>IFERROR(__xludf.DUMMYFUNCTION("""COMPUTED_VALUE"""),"3.1817065")</f>
        <v>3.1817065</v>
      </c>
      <c r="AA3338" s="4" t="str">
        <f t="shared" si="1"/>
        <v>Neighbor</v>
      </c>
      <c r="AC3338" s="4">
        <f>IFERROR(__xludf.DUMMYFUNCTION("IFERROR(ABS(O3338-AVERAGE(FILTER(O3338:O7406,AA3338:AA7406=""Neighbor""))) / STDEV(FILTER(O3338:O7406, AA3338:AA7406 =""Neighbor"")), """")"),1.3959070635551538)</f>
        <v>1.395907064</v>
      </c>
      <c r="AF3338" s="2">
        <f>IFERROR(__xludf.DUMMYFUNCTION("IFERROR(ABS(R3338-AVERAGE(FILTER(R3338:R7406,AA3338:AA7406=""Neighbor""))) / STDEV(FILTER(R3338:R7406, AA3338:AA7406 =""Neighbor"")), """")"),0.3267544140556778)</f>
        <v>0.3267544141</v>
      </c>
    </row>
    <row r="3339">
      <c r="A3339" s="2" t="s">
        <v>28</v>
      </c>
      <c r="B3339" s="2" t="s">
        <v>4358</v>
      </c>
      <c r="C3339" s="2" t="s">
        <v>4392</v>
      </c>
      <c r="D3339" s="2" t="s">
        <v>13604</v>
      </c>
      <c r="E3339" s="2" t="s">
        <v>13605</v>
      </c>
      <c r="F3339" s="2">
        <v>31.0</v>
      </c>
      <c r="G3339" s="2">
        <v>82.0</v>
      </c>
      <c r="H3339" s="2" t="b">
        <v>1</v>
      </c>
      <c r="I3339" s="2">
        <v>-1.0</v>
      </c>
      <c r="J3339" s="2" t="b">
        <v>0</v>
      </c>
      <c r="K3339" s="2" t="b">
        <v>0</v>
      </c>
      <c r="L3339" s="2" t="b">
        <v>0</v>
      </c>
      <c r="M3339" s="2" t="b">
        <v>0</v>
      </c>
      <c r="N3339" s="2" t="s">
        <v>33</v>
      </c>
      <c r="O3339" s="2">
        <v>12.0</v>
      </c>
      <c r="P3339" s="2">
        <v>7.0</v>
      </c>
      <c r="Q3339" s="2">
        <v>7.0</v>
      </c>
      <c r="R3339" s="2">
        <v>0.0</v>
      </c>
      <c r="S3339" s="3" t="s">
        <v>13606</v>
      </c>
      <c r="T3339" s="2" t="s">
        <v>13607</v>
      </c>
      <c r="Y3339" s="4" t="str">
        <f>IFERROR(__xludf.DUMMYFUNCTION("""COMPUTED_VALUE"""),"6.8220284")</f>
        <v>6.8220284</v>
      </c>
      <c r="Z3339" s="4" t="str">
        <f>IFERROR(__xludf.DUMMYFUNCTION("""COMPUTED_VALUE"""),"3.1754557")</f>
        <v>3.1754557</v>
      </c>
      <c r="AA3339" s="4" t="str">
        <f t="shared" si="1"/>
        <v>Not Neighbor</v>
      </c>
      <c r="AC3339" s="4">
        <f>IFERROR(__xludf.DUMMYFUNCTION("IFERROR(ABS(O3339-AVERAGE(FILTER(O3339:O7407,AA3339:AA7407=""Neighbor""))) / STDEV(FILTER(O3339:O7407, AA3339:AA7407 =""Neighbor"")), """")"),1.0358390224769856)</f>
        <v>1.035839022</v>
      </c>
      <c r="AF3339" s="2">
        <f>IFERROR(__xludf.DUMMYFUNCTION("IFERROR(ABS(R3339-AVERAGE(FILTER(R3339:R7407,AA3339:AA7407=""Neighbor""))) / STDEV(FILTER(R3339:R7407, AA3339:AA7407 =""Neighbor"")), """")"),0.3274192407755051)</f>
        <v>0.3274192408</v>
      </c>
    </row>
    <row r="3340">
      <c r="A3340" s="2" t="s">
        <v>28</v>
      </c>
      <c r="B3340" s="2" t="s">
        <v>4358</v>
      </c>
      <c r="C3340" s="2" t="s">
        <v>4392</v>
      </c>
      <c r="D3340" s="2" t="s">
        <v>13608</v>
      </c>
      <c r="E3340" s="2" t="s">
        <v>13609</v>
      </c>
      <c r="F3340" s="2">
        <v>68.0</v>
      </c>
      <c r="G3340" s="2">
        <v>151.0</v>
      </c>
      <c r="H3340" s="2" t="b">
        <v>1</v>
      </c>
      <c r="I3340" s="2">
        <v>-1.0</v>
      </c>
      <c r="J3340" s="2" t="b">
        <v>0</v>
      </c>
      <c r="K3340" s="2" t="b">
        <v>0</v>
      </c>
      <c r="L3340" s="2" t="b">
        <v>0</v>
      </c>
      <c r="M3340" s="2" t="b">
        <v>0</v>
      </c>
      <c r="N3340" s="2" t="s">
        <v>33</v>
      </c>
      <c r="O3340" s="2">
        <v>33.0</v>
      </c>
      <c r="P3340" s="2">
        <v>25.0</v>
      </c>
      <c r="Q3340" s="2">
        <v>4.0</v>
      </c>
      <c r="R3340" s="2">
        <v>0.0</v>
      </c>
      <c r="S3340" s="3" t="s">
        <v>13610</v>
      </c>
      <c r="T3340" s="2" t="s">
        <v>13611</v>
      </c>
      <c r="Y3340" s="4" t="str">
        <f>IFERROR(__xludf.DUMMYFUNCTION("""COMPUTED_VALUE"""),"6.8112666")</f>
        <v>6.8112666</v>
      </c>
      <c r="Z3340" s="4" t="str">
        <f>IFERROR(__xludf.DUMMYFUNCTION("""COMPUTED_VALUE"""),"3.1804875")</f>
        <v>3.1804875</v>
      </c>
      <c r="AA3340" s="4" t="str">
        <f t="shared" si="1"/>
        <v>Not Neighbor</v>
      </c>
      <c r="AC3340" s="4">
        <f>IFERROR(__xludf.DUMMYFUNCTION("IFERROR(ABS(O3340-AVERAGE(FILTER(O3340:O7408,AA3340:AA7408=""Neighbor""))) / STDEV(FILTER(O3340:O7408, AA3340:AA7408 =""Neighbor"")), """")"),0.39235470014137536)</f>
        <v>0.3923547001</v>
      </c>
      <c r="AF3340" s="2">
        <f>IFERROR(__xludf.DUMMYFUNCTION("IFERROR(ABS(R3340-AVERAGE(FILTER(R3340:R7408,AA3340:AA7408=""Neighbor""))) / STDEV(FILTER(R3340:R7408, AA3340:AA7408 =""Neighbor"")), """")"),0.3274192407755051)</f>
        <v>0.3274192408</v>
      </c>
    </row>
    <row r="3341">
      <c r="A3341" s="2" t="s">
        <v>28</v>
      </c>
      <c r="B3341" s="2" t="s">
        <v>4358</v>
      </c>
      <c r="C3341" s="2" t="s">
        <v>4392</v>
      </c>
      <c r="D3341" s="2" t="s">
        <v>13612</v>
      </c>
      <c r="E3341" s="2" t="s">
        <v>13613</v>
      </c>
      <c r="F3341" s="2">
        <v>74.0</v>
      </c>
      <c r="G3341" s="2">
        <v>353.0</v>
      </c>
      <c r="H3341" s="2" t="b">
        <v>1</v>
      </c>
      <c r="I3341" s="2">
        <v>-1.0</v>
      </c>
      <c r="J3341" s="2" t="b">
        <v>0</v>
      </c>
      <c r="K3341" s="2" t="b">
        <v>1</v>
      </c>
      <c r="L3341" s="2" t="b">
        <v>0</v>
      </c>
      <c r="M3341" s="2" t="b">
        <v>0</v>
      </c>
      <c r="N3341" s="2" t="s">
        <v>33</v>
      </c>
      <c r="O3341" s="2">
        <v>33.0</v>
      </c>
      <c r="P3341" s="2">
        <v>5.0</v>
      </c>
      <c r="Q3341" s="2">
        <v>23.0</v>
      </c>
      <c r="R3341" s="2">
        <v>1.0</v>
      </c>
      <c r="S3341" s="3" t="s">
        <v>13614</v>
      </c>
      <c r="T3341" s="2" t="s">
        <v>13615</v>
      </c>
      <c r="Y3341" s="4" t="str">
        <f>IFERROR(__xludf.DUMMYFUNCTION("""COMPUTED_VALUE"""),"6.8220284")</f>
        <v>6.8220284</v>
      </c>
      <c r="Z3341" s="4" t="str">
        <f>IFERROR(__xludf.DUMMYFUNCTION("""COMPUTED_VALUE"""),"3.1754557")</f>
        <v>3.1754557</v>
      </c>
      <c r="AA3341" s="4" t="str">
        <f t="shared" si="1"/>
        <v>Neighbor</v>
      </c>
      <c r="AC3341" s="4">
        <f>IFERROR(__xludf.DUMMYFUNCTION("IFERROR(ABS(O3341-AVERAGE(FILTER(O3341:O7409,AA3341:AA7409=""Neighbor""))) / STDEV(FILTER(O3341:O7409, AA3341:AA7409 =""Neighbor"")), """")"),0.39235470014137536)</f>
        <v>0.3923547001</v>
      </c>
      <c r="AF3341" s="2">
        <f>IFERROR(__xludf.DUMMYFUNCTION("IFERROR(ABS(R3341-AVERAGE(FILTER(R3341:R7409,AA3341:AA7409=""Neighbor""))) / STDEV(FILTER(R3341:R7409, AA3341:AA7409 =""Neighbor"")), """")"),0.8716431139564121)</f>
        <v>0.871643114</v>
      </c>
    </row>
    <row r="3342">
      <c r="A3342" s="2" t="s">
        <v>28</v>
      </c>
      <c r="B3342" s="2" t="s">
        <v>4358</v>
      </c>
      <c r="C3342" s="2" t="s">
        <v>4392</v>
      </c>
      <c r="D3342" s="2" t="s">
        <v>13616</v>
      </c>
      <c r="E3342" s="2" t="s">
        <v>13617</v>
      </c>
      <c r="F3342" s="2">
        <v>100.0</v>
      </c>
      <c r="G3342" s="2">
        <v>750.0</v>
      </c>
      <c r="H3342" s="2" t="b">
        <v>1</v>
      </c>
      <c r="I3342" s="2">
        <v>-1.0</v>
      </c>
      <c r="J3342" s="2" t="b">
        <v>0</v>
      </c>
      <c r="K3342" s="2" t="b">
        <v>1</v>
      </c>
      <c r="L3342" s="2" t="b">
        <v>0</v>
      </c>
      <c r="M3342" s="2" t="b">
        <v>0</v>
      </c>
      <c r="N3342" s="2" t="s">
        <v>33</v>
      </c>
      <c r="O3342" s="2">
        <v>35.0</v>
      </c>
      <c r="P3342" s="2">
        <v>10.0</v>
      </c>
      <c r="Q3342" s="2">
        <v>36.0</v>
      </c>
      <c r="R3342" s="2">
        <v>0.0</v>
      </c>
      <c r="S3342" s="3" t="s">
        <v>13618</v>
      </c>
      <c r="T3342" s="2" t="s">
        <v>13619</v>
      </c>
      <c r="Y3342" s="4" t="str">
        <f>IFERROR(__xludf.DUMMYFUNCTION("""COMPUTED_VALUE"""),"6.8220284")</f>
        <v>6.8220284</v>
      </c>
      <c r="Z3342" s="4" t="str">
        <f>IFERROR(__xludf.DUMMYFUNCTION("""COMPUTED_VALUE"""),"3.1754557")</f>
        <v>3.1754557</v>
      </c>
      <c r="AA3342" s="4" t="str">
        <f t="shared" si="1"/>
        <v>Neighbor</v>
      </c>
      <c r="AC3342" s="4">
        <f>IFERROR(__xludf.DUMMYFUNCTION("IFERROR(ABS(O3342-AVERAGE(FILTER(O3342:O7410,AA3342:AA7410=""Neighbor""))) / STDEV(FILTER(O3342:O7410, AA3342:AA7410 =""Neighbor"")), """")"),0.3320022995117166)</f>
        <v>0.3320022995</v>
      </c>
      <c r="AF3342" s="2">
        <f>IFERROR(__xludf.DUMMYFUNCTION("IFERROR(ABS(R3342-AVERAGE(FILTER(R3342:R7410,AA3342:AA7410=""Neighbor""))) / STDEV(FILTER(R3342:R7410, AA3342:AA7410 =""Neighbor"")), """")"),0.3240479591412945)</f>
        <v>0.3240479591</v>
      </c>
    </row>
    <row r="3343">
      <c r="A3343" s="2" t="s">
        <v>28</v>
      </c>
      <c r="B3343" s="2" t="s">
        <v>4358</v>
      </c>
      <c r="C3343" s="2" t="s">
        <v>4392</v>
      </c>
      <c r="D3343" s="2" t="s">
        <v>13620</v>
      </c>
      <c r="E3343" s="2" t="s">
        <v>13621</v>
      </c>
      <c r="F3343" s="2">
        <v>66.0</v>
      </c>
      <c r="G3343" s="2">
        <v>129.0</v>
      </c>
      <c r="H3343" s="2" t="b">
        <v>1</v>
      </c>
      <c r="I3343" s="2">
        <v>-1.0</v>
      </c>
      <c r="J3343" s="2" t="b">
        <v>0</v>
      </c>
      <c r="K3343" s="2" t="b">
        <v>0</v>
      </c>
      <c r="L3343" s="2" t="b">
        <v>0</v>
      </c>
      <c r="M3343" s="2" t="b">
        <v>0</v>
      </c>
      <c r="N3343" s="2" t="s">
        <v>33</v>
      </c>
      <c r="O3343" s="2">
        <v>40.0</v>
      </c>
      <c r="P3343" s="2">
        <v>8.0</v>
      </c>
      <c r="Q3343" s="2">
        <v>5.0</v>
      </c>
      <c r="R3343" s="2">
        <v>0.0</v>
      </c>
      <c r="S3343" s="3" t="s">
        <v>13622</v>
      </c>
      <c r="T3343" s="2" t="s">
        <v>13623</v>
      </c>
      <c r="Y3343" s="4" t="str">
        <f>IFERROR(__xludf.DUMMYFUNCTION("""COMPUTED_VALUE"""),"6.8220284")</f>
        <v>6.8220284</v>
      </c>
      <c r="Z3343" s="4" t="str">
        <f>IFERROR(__xludf.DUMMYFUNCTION("""COMPUTED_VALUE"""),"3.1754557")</f>
        <v>3.1754557</v>
      </c>
      <c r="AA3343" s="4" t="str">
        <f t="shared" si="1"/>
        <v>Neighbor</v>
      </c>
      <c r="AC3343" s="4">
        <f>IFERROR(__xludf.DUMMYFUNCTION("IFERROR(ABS(O3343-AVERAGE(FILTER(O3343:O7411,AA3343:AA7411=""Neighbor""))) / STDEV(FILTER(O3343:O7411, AA3343:AA7411 =""Neighbor"")), """")"),0.1799677995290339)</f>
        <v>0.1799677995</v>
      </c>
      <c r="AF3343" s="2">
        <f>IFERROR(__xludf.DUMMYFUNCTION("IFERROR(ABS(R3343-AVERAGE(FILTER(R3343:R7411,AA3343:AA7411=""Neighbor""))) / STDEV(FILTER(R3343:R7411, AA3343:AA7411 =""Neighbor"")), """")"),0.32471109584910596)</f>
        <v>0.3247110958</v>
      </c>
    </row>
    <row r="3344">
      <c r="A3344" s="2" t="s">
        <v>28</v>
      </c>
      <c r="B3344" s="2" t="s">
        <v>4358</v>
      </c>
      <c r="C3344" s="2" t="s">
        <v>4392</v>
      </c>
      <c r="D3344" s="2" t="s">
        <v>13624</v>
      </c>
      <c r="E3344" s="2" t="s">
        <v>13625</v>
      </c>
      <c r="F3344" s="2">
        <v>51.0</v>
      </c>
      <c r="G3344" s="2">
        <v>101.0</v>
      </c>
      <c r="H3344" s="2" t="b">
        <v>1</v>
      </c>
      <c r="I3344" s="2">
        <v>-1.0</v>
      </c>
      <c r="J3344" s="2" t="b">
        <v>0</v>
      </c>
      <c r="K3344" s="2" t="b">
        <v>0</v>
      </c>
      <c r="L3344" s="2" t="b">
        <v>0</v>
      </c>
      <c r="M3344" s="2" t="b">
        <v>0</v>
      </c>
      <c r="N3344" s="2" t="s">
        <v>33</v>
      </c>
      <c r="O3344" s="2">
        <v>31.0</v>
      </c>
      <c r="P3344" s="2">
        <v>2.0</v>
      </c>
      <c r="Q3344" s="2">
        <v>5.0</v>
      </c>
      <c r="R3344" s="2">
        <v>0.0</v>
      </c>
      <c r="S3344" s="3" t="s">
        <v>13626</v>
      </c>
      <c r="T3344" s="2" t="s">
        <v>13627</v>
      </c>
      <c r="Y3344" s="4" t="str">
        <f>IFERROR(__xludf.DUMMYFUNCTION("""COMPUTED_VALUE"""),"6.8220284")</f>
        <v>6.8220284</v>
      </c>
      <c r="Z3344" s="4" t="str">
        <f>IFERROR(__xludf.DUMMYFUNCTION("""COMPUTED_VALUE"""),"3.1754557")</f>
        <v>3.1754557</v>
      </c>
      <c r="AA3344" s="4" t="str">
        <f t="shared" si="1"/>
        <v>Not Neighbor</v>
      </c>
      <c r="AC3344" s="4">
        <f>IFERROR(__xludf.DUMMYFUNCTION("IFERROR(ABS(O3344-AVERAGE(FILTER(O3344:O7412,AA3344:AA7412=""Neighbor""))) / STDEV(FILTER(O3344:O7412, AA3344:AA7412 =""Neighbor"")), """")"),0.4547071153249606)</f>
        <v>0.4547071153</v>
      </c>
      <c r="AF3344" s="2">
        <f>IFERROR(__xludf.DUMMYFUNCTION("IFERROR(ABS(R3344-AVERAGE(FILTER(R3344:R7412,AA3344:AA7412=""Neighbor""))) / STDEV(FILTER(R3344:R7412, AA3344:AA7412 =""Neighbor"")), """")"),0.32537832217032076)</f>
        <v>0.3253783222</v>
      </c>
    </row>
    <row r="3345">
      <c r="A3345" s="2" t="s">
        <v>28</v>
      </c>
      <c r="B3345" s="2" t="s">
        <v>4358</v>
      </c>
      <c r="C3345" s="2" t="s">
        <v>4437</v>
      </c>
      <c r="D3345" s="2" t="s">
        <v>13628</v>
      </c>
      <c r="E3345" s="2" t="s">
        <v>13629</v>
      </c>
      <c r="F3345" s="2">
        <v>56.0</v>
      </c>
      <c r="G3345" s="2">
        <v>133.0</v>
      </c>
      <c r="H3345" s="2" t="b">
        <v>1</v>
      </c>
      <c r="I3345" s="2">
        <v>-1.0</v>
      </c>
      <c r="J3345" s="2" t="b">
        <v>0</v>
      </c>
      <c r="K3345" s="2" t="b">
        <v>0</v>
      </c>
      <c r="L3345" s="2" t="b">
        <v>0</v>
      </c>
      <c r="M3345" s="2" t="b">
        <v>0</v>
      </c>
      <c r="N3345" s="2" t="s">
        <v>33</v>
      </c>
      <c r="O3345" s="2">
        <v>39.0</v>
      </c>
      <c r="P3345" s="2">
        <v>7.0</v>
      </c>
      <c r="Q3345" s="2">
        <v>6.0</v>
      </c>
      <c r="R3345" s="2">
        <v>0.0</v>
      </c>
      <c r="S3345" s="3" t="s">
        <v>13630</v>
      </c>
      <c r="T3345" s="2" t="s">
        <v>13631</v>
      </c>
      <c r="Y3345" s="4" t="str">
        <f>IFERROR(__xludf.DUMMYFUNCTION("""COMPUTED_VALUE"""),"6.830923")</f>
        <v>6.830923</v>
      </c>
      <c r="Z3345" s="4" t="str">
        <f>IFERROR(__xludf.DUMMYFUNCTION("""COMPUTED_VALUE"""),"3.1933491")</f>
        <v>3.1933491</v>
      </c>
      <c r="AA3345" s="4" t="str">
        <f t="shared" si="1"/>
        <v>Neighbor</v>
      </c>
      <c r="AC3345" s="4">
        <f>IFERROR(__xludf.DUMMYFUNCTION("IFERROR(ABS(O3345-AVERAGE(FILTER(O3345:O7413,AA3345:AA7413=""Neighbor""))) / STDEV(FILTER(O3345:O7413, AA3345:AA7413 =""Neighbor"")), """")"),0.210801172053328)</f>
        <v>0.2108011721</v>
      </c>
      <c r="AF3345" s="2">
        <f>IFERROR(__xludf.DUMMYFUNCTION("IFERROR(ABS(R3345-AVERAGE(FILTER(R3345:R7413,AA3345:AA7413=""Neighbor""))) / STDEV(FILTER(R3345:R7413, AA3345:AA7413 =""Neighbor"")), """")"),0.32537832217032076)</f>
        <v>0.3253783222</v>
      </c>
    </row>
    <row r="3346">
      <c r="A3346" s="2" t="s">
        <v>28</v>
      </c>
      <c r="B3346" s="2" t="s">
        <v>4358</v>
      </c>
      <c r="C3346" s="2" t="s">
        <v>4437</v>
      </c>
      <c r="D3346" s="2" t="s">
        <v>13632</v>
      </c>
      <c r="E3346" s="2" t="s">
        <v>13633</v>
      </c>
      <c r="F3346" s="2">
        <v>123.0</v>
      </c>
      <c r="G3346" s="2">
        <v>352.0</v>
      </c>
      <c r="H3346" s="2" t="b">
        <v>1</v>
      </c>
      <c r="I3346" s="2">
        <v>-1.0</v>
      </c>
      <c r="J3346" s="2" t="b">
        <v>0</v>
      </c>
      <c r="K3346" s="2" t="b">
        <v>0</v>
      </c>
      <c r="L3346" s="2" t="b">
        <v>0</v>
      </c>
      <c r="M3346" s="2" t="b">
        <v>0</v>
      </c>
      <c r="N3346" s="2" t="s">
        <v>33</v>
      </c>
      <c r="O3346" s="2">
        <v>65.0</v>
      </c>
      <c r="P3346" s="2">
        <v>23.0</v>
      </c>
      <c r="Q3346" s="2">
        <v>22.0</v>
      </c>
      <c r="R3346" s="2">
        <v>1.0</v>
      </c>
      <c r="S3346" s="3" t="s">
        <v>13634</v>
      </c>
      <c r="T3346" s="2" t="s">
        <v>13635</v>
      </c>
      <c r="Y3346" s="4" t="str">
        <f>IFERROR(__xludf.DUMMYFUNCTION("""COMPUTED_VALUE"""),"6.830923")</f>
        <v>6.830923</v>
      </c>
      <c r="Z3346" s="4" t="str">
        <f>IFERROR(__xludf.DUMMYFUNCTION("""COMPUTED_VALUE"""),"3.1933491")</f>
        <v>3.1933491</v>
      </c>
      <c r="AA3346" s="4" t="str">
        <f t="shared" si="1"/>
        <v>Not Neighbor</v>
      </c>
      <c r="AC3346" s="4">
        <f>IFERROR(__xludf.DUMMYFUNCTION("IFERROR(ABS(O3346-AVERAGE(FILTER(O3346:O7414,AA3346:AA7414=""Neighbor""))) / STDEV(FILTER(O3346:O7414, AA3346:AA7414 =""Neighbor"")), """")"),0.5800628493019925)</f>
        <v>0.5800628493</v>
      </c>
      <c r="AF3346" s="2">
        <f>IFERROR(__xludf.DUMMYFUNCTION("IFERROR(ABS(R3346-AVERAGE(FILTER(R3346:R7414,AA3346:AA7414=""Neighbor""))) / STDEV(FILTER(R3346:R7414, AA3346:AA7414 =""Neighbor"")), """")"),0.8664881915602622)</f>
        <v>0.8664881916</v>
      </c>
    </row>
    <row r="3347">
      <c r="A3347" s="2" t="s">
        <v>28</v>
      </c>
      <c r="B3347" s="2" t="s">
        <v>4358</v>
      </c>
      <c r="C3347" s="2" t="s">
        <v>4437</v>
      </c>
      <c r="D3347" s="2" t="s">
        <v>13636</v>
      </c>
      <c r="E3347" s="2" t="s">
        <v>13637</v>
      </c>
      <c r="F3347" s="2">
        <v>49.0</v>
      </c>
      <c r="G3347" s="2">
        <v>149.0</v>
      </c>
      <c r="H3347" s="2" t="b">
        <v>1</v>
      </c>
      <c r="I3347" s="2">
        <v>-1.0</v>
      </c>
      <c r="J3347" s="2" t="b">
        <v>0</v>
      </c>
      <c r="K3347" s="2" t="b">
        <v>0</v>
      </c>
      <c r="L3347" s="2" t="b">
        <v>0</v>
      </c>
      <c r="M3347" s="2" t="b">
        <v>0</v>
      </c>
      <c r="N3347" s="2" t="s">
        <v>33</v>
      </c>
      <c r="O3347" s="2">
        <v>26.0</v>
      </c>
      <c r="P3347" s="2">
        <v>14.0</v>
      </c>
      <c r="Q3347" s="2">
        <v>3.0</v>
      </c>
      <c r="R3347" s="2">
        <v>0.0</v>
      </c>
      <c r="S3347" s="3" t="s">
        <v>13638</v>
      </c>
      <c r="T3347" s="2" t="s">
        <v>13639</v>
      </c>
      <c r="Y3347" s="4" t="str">
        <f>IFERROR(__xludf.DUMMYFUNCTION("""COMPUTED_VALUE"""),"6.8536287")</f>
        <v>6.8536287</v>
      </c>
      <c r="Z3347" s="4" t="str">
        <f>IFERROR(__xludf.DUMMYFUNCTION("""COMPUTED_VALUE"""),"3.1522419")</f>
        <v>3.1522419</v>
      </c>
      <c r="AA3347" s="4" t="str">
        <f t="shared" si="1"/>
        <v>Neighbor</v>
      </c>
      <c r="AC3347" s="4">
        <f>IFERROR(__xludf.DUMMYFUNCTION("IFERROR(ABS(O3347-AVERAGE(FILTER(O3347:O7415,AA3347:AA7415=""Neighbor""))) / STDEV(FILTER(O3347:O7415, AA3347:AA7415 =""Neighbor"")), """")"),0.6068490095664785)</f>
        <v>0.6068490096</v>
      </c>
      <c r="AF3347" s="2">
        <f>IFERROR(__xludf.DUMMYFUNCTION("IFERROR(ABS(R3347-AVERAGE(FILTER(R3347:R7415,AA3347:AA7415=""Neighbor""))) / STDEV(FILTER(R3347:R7415, AA3347:AA7415 =""Neighbor"")), """")"),0.32604968032937703)</f>
        <v>0.3260496803</v>
      </c>
    </row>
    <row r="3348">
      <c r="A3348" s="2" t="s">
        <v>28</v>
      </c>
      <c r="B3348" s="2" t="s">
        <v>4358</v>
      </c>
      <c r="C3348" s="2" t="s">
        <v>4437</v>
      </c>
      <c r="D3348" s="2" t="s">
        <v>13640</v>
      </c>
      <c r="E3348" s="2" t="s">
        <v>13641</v>
      </c>
      <c r="F3348" s="2">
        <v>52.0</v>
      </c>
      <c r="G3348" s="2">
        <v>134.0</v>
      </c>
      <c r="H3348" s="2" t="b">
        <v>1</v>
      </c>
      <c r="I3348" s="2">
        <v>-1.0</v>
      </c>
      <c r="J3348" s="2" t="b">
        <v>0</v>
      </c>
      <c r="K3348" s="2" t="b">
        <v>0</v>
      </c>
      <c r="L3348" s="2" t="b">
        <v>0</v>
      </c>
      <c r="M3348" s="2" t="b">
        <v>0</v>
      </c>
      <c r="N3348" s="2" t="s">
        <v>33</v>
      </c>
      <c r="O3348" s="2">
        <v>20.0</v>
      </c>
      <c r="P3348" s="2">
        <v>17.0</v>
      </c>
      <c r="Q3348" s="2">
        <v>3.0</v>
      </c>
      <c r="R3348" s="2">
        <v>0.0</v>
      </c>
      <c r="S3348" s="3" t="s">
        <v>13642</v>
      </c>
      <c r="T3348" s="2" t="s">
        <v>13643</v>
      </c>
      <c r="Y3348" s="4" t="str">
        <f>IFERROR(__xludf.DUMMYFUNCTION("""COMPUTED_VALUE"""),"6.8536287")</f>
        <v>6.8536287</v>
      </c>
      <c r="Z3348" s="4" t="str">
        <f>IFERROR(__xludf.DUMMYFUNCTION("""COMPUTED_VALUE"""),"3.1522419")</f>
        <v>3.1522419</v>
      </c>
      <c r="AA3348" s="4" t="str">
        <f t="shared" si="1"/>
        <v>Not Neighbor</v>
      </c>
      <c r="AC3348" s="4">
        <f>IFERROR(__xludf.DUMMYFUNCTION("IFERROR(ABS(O3348-AVERAGE(FILTER(O3348:O7416,AA3348:AA7416=""Neighbor""))) / STDEV(FILTER(O3348:O7416, AA3348:AA7416 =""Neighbor"")), """")"),0.7907922595944389)</f>
        <v>0.7907922596</v>
      </c>
      <c r="AF3348" s="2">
        <f>IFERROR(__xludf.DUMMYFUNCTION("IFERROR(ABS(R3348-AVERAGE(FILTER(R3348:R7416,AA3348:AA7416=""Neighbor""))) / STDEV(FILTER(R3348:R7416, AA3348:AA7416 =""Neighbor"")), """")"),0.3267252131637947)</f>
        <v>0.3267252132</v>
      </c>
    </row>
    <row r="3349">
      <c r="A3349" s="2" t="s">
        <v>28</v>
      </c>
      <c r="B3349" s="2" t="s">
        <v>4358</v>
      </c>
      <c r="C3349" s="2" t="s">
        <v>4437</v>
      </c>
      <c r="D3349" s="2" t="s">
        <v>13644</v>
      </c>
      <c r="E3349" s="2" t="s">
        <v>13645</v>
      </c>
      <c r="F3349" s="2">
        <v>51.0</v>
      </c>
      <c r="G3349" s="2">
        <v>117.0</v>
      </c>
      <c r="H3349" s="2" t="b">
        <v>1</v>
      </c>
      <c r="I3349" s="2">
        <v>-1.0</v>
      </c>
      <c r="J3349" s="2" t="b">
        <v>0</v>
      </c>
      <c r="K3349" s="2" t="b">
        <v>0</v>
      </c>
      <c r="L3349" s="2" t="b">
        <v>0</v>
      </c>
      <c r="M3349" s="2" t="b">
        <v>0</v>
      </c>
      <c r="N3349" s="2" t="s">
        <v>33</v>
      </c>
      <c r="O3349" s="2">
        <v>19.0</v>
      </c>
      <c r="P3349" s="2">
        <v>9.0</v>
      </c>
      <c r="Q3349" s="2">
        <v>18.0</v>
      </c>
      <c r="R3349" s="2">
        <v>0.0</v>
      </c>
      <c r="S3349" s="3" t="s">
        <v>13646</v>
      </c>
      <c r="T3349" s="2" t="s">
        <v>13647</v>
      </c>
      <c r="Y3349" s="4" t="str">
        <f>IFERROR(__xludf.DUMMYFUNCTION("""COMPUTED_VALUE"""),"6.8028866")</f>
        <v>6.8028866</v>
      </c>
      <c r="Z3349" s="4" t="str">
        <f>IFERROR(__xludf.DUMMYFUNCTION("""COMPUTED_VALUE"""),"3.238251")</f>
        <v>3.238251</v>
      </c>
      <c r="AA3349" s="4" t="str">
        <f t="shared" si="1"/>
        <v>Not Neighbor</v>
      </c>
      <c r="AC3349" s="4">
        <f>IFERROR(__xludf.DUMMYFUNCTION("IFERROR(ABS(O3349-AVERAGE(FILTER(O3349:O7417,AA3349:AA7417=""Neighbor""))) / STDEV(FILTER(O3349:O7417, AA3349:AA7417 =""Neighbor"")), """")"),0.8211897655268262)</f>
        <v>0.8211897655</v>
      </c>
      <c r="AF3349" s="2">
        <f>IFERROR(__xludf.DUMMYFUNCTION("IFERROR(ABS(R3349-AVERAGE(FILTER(R3349:R7417,AA3349:AA7417=""Neighbor""))) / STDEV(FILTER(R3349:R7417, AA3349:AA7417 =""Neighbor"")), """")"),0.3267252131637947)</f>
        <v>0.3267252132</v>
      </c>
    </row>
    <row r="3350">
      <c r="A3350" s="2" t="s">
        <v>28</v>
      </c>
      <c r="B3350" s="2" t="s">
        <v>4358</v>
      </c>
      <c r="C3350" s="2" t="s">
        <v>4437</v>
      </c>
      <c r="D3350" s="2" t="s">
        <v>13648</v>
      </c>
      <c r="E3350" s="2" t="s">
        <v>13649</v>
      </c>
      <c r="F3350" s="2">
        <v>13.0</v>
      </c>
      <c r="G3350" s="2">
        <v>51.0</v>
      </c>
      <c r="H3350" s="2" t="b">
        <v>1</v>
      </c>
      <c r="I3350" s="2">
        <v>-1.0</v>
      </c>
      <c r="J3350" s="2" t="b">
        <v>0</v>
      </c>
      <c r="K3350" s="2" t="b">
        <v>0</v>
      </c>
      <c r="L3350" s="2" t="b">
        <v>0</v>
      </c>
      <c r="M3350" s="2" t="b">
        <v>0</v>
      </c>
      <c r="N3350" s="2" t="s">
        <v>33</v>
      </c>
      <c r="O3350" s="2">
        <v>0.0</v>
      </c>
      <c r="P3350" s="2">
        <v>0.0</v>
      </c>
      <c r="Q3350" s="2">
        <v>0.0</v>
      </c>
      <c r="R3350" s="2">
        <v>0.0</v>
      </c>
      <c r="S3350" s="3" t="s">
        <v>13650</v>
      </c>
      <c r="T3350" s="2" t="s">
        <v>13651</v>
      </c>
      <c r="Y3350" s="4" t="str">
        <f>IFERROR(__xludf.DUMMYFUNCTION("""COMPUTED_VALUE"""),"6.830923")</f>
        <v>6.830923</v>
      </c>
      <c r="Z3350" s="4" t="str">
        <f>IFERROR(__xludf.DUMMYFUNCTION("""COMPUTED_VALUE"""),"3.1933491")</f>
        <v>3.1933491</v>
      </c>
      <c r="AA3350" s="4" t="str">
        <f t="shared" si="1"/>
        <v>Neighbor</v>
      </c>
      <c r="AC3350" s="4">
        <f>IFERROR(__xludf.DUMMYFUNCTION("IFERROR(ABS(O3350-AVERAGE(FILTER(O3350:O7418,AA3350:AA7418=""Neighbor""))) / STDEV(FILTER(O3350:O7418, AA3350:AA7418 =""Neighbor"")), """")"),1.3987423782421866)</f>
        <v>1.398742378</v>
      </c>
      <c r="AF3350" s="2">
        <f>IFERROR(__xludf.DUMMYFUNCTION("IFERROR(ABS(R3350-AVERAGE(FILTER(R3350:R7418,AA3350:AA7418=""Neighbor""))) / STDEV(FILTER(R3350:R7418, AA3350:AA7418 =""Neighbor"")), """")"),0.3267252131637947)</f>
        <v>0.3267252132</v>
      </c>
    </row>
    <row r="3351">
      <c r="A3351" s="2" t="s">
        <v>28</v>
      </c>
      <c r="B3351" s="2" t="s">
        <v>4358</v>
      </c>
      <c r="C3351" s="2" t="s">
        <v>4437</v>
      </c>
      <c r="D3351" s="2" t="s">
        <v>13652</v>
      </c>
      <c r="E3351" s="2" t="s">
        <v>13653</v>
      </c>
      <c r="F3351" s="2">
        <v>86.0</v>
      </c>
      <c r="G3351" s="2">
        <v>187.0</v>
      </c>
      <c r="H3351" s="2" t="b">
        <v>1</v>
      </c>
      <c r="I3351" s="2">
        <v>-1.0</v>
      </c>
      <c r="J3351" s="2" t="b">
        <v>0</v>
      </c>
      <c r="K3351" s="2" t="b">
        <v>0</v>
      </c>
      <c r="L3351" s="2" t="b">
        <v>0</v>
      </c>
      <c r="M3351" s="2" t="b">
        <v>0</v>
      </c>
      <c r="N3351" s="2" t="s">
        <v>33</v>
      </c>
      <c r="O3351" s="2">
        <v>56.0</v>
      </c>
      <c r="P3351" s="2">
        <v>5.0</v>
      </c>
      <c r="Q3351" s="2">
        <v>15.0</v>
      </c>
      <c r="R3351" s="2">
        <v>0.0</v>
      </c>
      <c r="S3351" s="3" t="s">
        <v>13654</v>
      </c>
      <c r="T3351" s="2" t="s">
        <v>13655</v>
      </c>
      <c r="Y3351" s="4" t="str">
        <f>IFERROR(__xludf.DUMMYFUNCTION("""COMPUTED_VALUE"""),"6.830923")</f>
        <v>6.830923</v>
      </c>
      <c r="Z3351" s="4" t="str">
        <f>IFERROR(__xludf.DUMMYFUNCTION("""COMPUTED_VALUE"""),"3.1933491")</f>
        <v>3.1933491</v>
      </c>
      <c r="AA3351" s="4" t="str">
        <f t="shared" si="1"/>
        <v>Neighbor</v>
      </c>
      <c r="AC3351" s="4">
        <f>IFERROR(__xludf.DUMMYFUNCTION("IFERROR(ABS(O3351-AVERAGE(FILTER(O3351:O7419,AA3351:AA7419=""Neighbor""))) / STDEV(FILTER(O3351:O7419, AA3351:AA7419 =""Neighbor"")), """")"),0.29878561227421846)</f>
        <v>0.2987856123</v>
      </c>
      <c r="AF3351" s="2">
        <f>IFERROR(__xludf.DUMMYFUNCTION("IFERROR(ABS(R3351-AVERAGE(FILTER(R3351:R7419,AA3351:AA7419=""Neighbor""))) / STDEV(FILTER(R3351:R7419, AA3351:AA7419 =""Neighbor"")), """")"),0.3274049641356715)</f>
        <v>0.3274049641</v>
      </c>
    </row>
    <row r="3352">
      <c r="A3352" s="2" t="s">
        <v>28</v>
      </c>
      <c r="B3352" s="2" t="s">
        <v>4358</v>
      </c>
      <c r="C3352" s="2" t="s">
        <v>4437</v>
      </c>
      <c r="D3352" s="2" t="s">
        <v>13656</v>
      </c>
      <c r="E3352" s="2" t="s">
        <v>13657</v>
      </c>
      <c r="F3352" s="2">
        <v>57.0</v>
      </c>
      <c r="G3352" s="2">
        <v>150.0</v>
      </c>
      <c r="H3352" s="2" t="b">
        <v>1</v>
      </c>
      <c r="I3352" s="2">
        <v>-1.0</v>
      </c>
      <c r="J3352" s="2" t="b">
        <v>0</v>
      </c>
      <c r="K3352" s="2" t="b">
        <v>0</v>
      </c>
      <c r="L3352" s="2" t="b">
        <v>0</v>
      </c>
      <c r="M3352" s="2" t="b">
        <v>0</v>
      </c>
      <c r="N3352" s="2" t="s">
        <v>33</v>
      </c>
      <c r="O3352" s="2">
        <v>15.0</v>
      </c>
      <c r="P3352" s="2">
        <v>9.0</v>
      </c>
      <c r="Q3352" s="2">
        <v>4.0</v>
      </c>
      <c r="R3352" s="2">
        <v>0.0</v>
      </c>
      <c r="S3352" s="3" t="s">
        <v>13658</v>
      </c>
      <c r="T3352" s="2" t="s">
        <v>13659</v>
      </c>
      <c r="Y3352" s="4" t="str">
        <f>IFERROR(__xludf.DUMMYFUNCTION("""COMPUTED_VALUE"""),"6.8233358")</f>
        <v>6.8233358</v>
      </c>
      <c r="Z3352" s="4" t="str">
        <f>IFERROR(__xludf.DUMMYFUNCTION("""COMPUTED_VALUE"""),"3.2005603")</f>
        <v>3.2005603</v>
      </c>
      <c r="AA3352" s="4" t="str">
        <f t="shared" si="1"/>
        <v>Neighbor</v>
      </c>
      <c r="AC3352" s="4">
        <f>IFERROR(__xludf.DUMMYFUNCTION("IFERROR(ABS(O3352-AVERAGE(FILTER(O3352:O7420,AA3352:AA7420=""Neighbor""))) / STDEV(FILTER(O3352:O7420, AA3352:AA7420 =""Neighbor"")), """")"),0.947024058716718)</f>
        <v>0.9470240587</v>
      </c>
      <c r="AF3352" s="2">
        <f>IFERROR(__xludf.DUMMYFUNCTION("IFERROR(ABS(R3352-AVERAGE(FILTER(R3352:R7420,AA3352:AA7420=""Neighbor""))) / STDEV(FILTER(R3352:R7420, AA3352:AA7420 =""Neighbor"")), """")"),0.3280889773434441)</f>
        <v>0.3280889773</v>
      </c>
    </row>
    <row r="3353">
      <c r="A3353" s="2" t="s">
        <v>28</v>
      </c>
      <c r="B3353" s="2" t="s">
        <v>4358</v>
      </c>
      <c r="C3353" s="2" t="s">
        <v>4437</v>
      </c>
      <c r="D3353" s="2" t="s">
        <v>13660</v>
      </c>
      <c r="E3353" s="2" t="s">
        <v>13661</v>
      </c>
      <c r="F3353" s="2">
        <v>59.0</v>
      </c>
      <c r="G3353" s="2">
        <v>124.0</v>
      </c>
      <c r="H3353" s="2" t="b">
        <v>1</v>
      </c>
      <c r="I3353" s="2">
        <v>-1.0</v>
      </c>
      <c r="J3353" s="2" t="b">
        <v>0</v>
      </c>
      <c r="K3353" s="2" t="b">
        <v>0</v>
      </c>
      <c r="L3353" s="2" t="b">
        <v>0</v>
      </c>
      <c r="M3353" s="2" t="b">
        <v>0</v>
      </c>
      <c r="N3353" s="2" t="s">
        <v>33</v>
      </c>
      <c r="O3353" s="2">
        <v>39.0</v>
      </c>
      <c r="P3353" s="2">
        <v>5.0</v>
      </c>
      <c r="Q3353" s="2">
        <v>3.0</v>
      </c>
      <c r="R3353" s="2">
        <v>0.0</v>
      </c>
      <c r="S3353" s="3" t="s">
        <v>13662</v>
      </c>
      <c r="T3353" s="2" t="s">
        <v>13663</v>
      </c>
      <c r="Y3353" s="4" t="str">
        <f>IFERROR(__xludf.DUMMYFUNCTION("""COMPUTED_VALUE"""),"6.830923")</f>
        <v>6.830923</v>
      </c>
      <c r="Z3353" s="4" t="str">
        <f>IFERROR(__xludf.DUMMYFUNCTION("""COMPUTED_VALUE"""),"3.1933491")</f>
        <v>3.1933491</v>
      </c>
      <c r="AA3353" s="4" t="str">
        <f t="shared" si="1"/>
        <v>Neighbor</v>
      </c>
      <c r="AC3353" s="4">
        <f>IFERROR(__xludf.DUMMYFUNCTION("IFERROR(ABS(O3353-AVERAGE(FILTER(O3353:O7421,AA3353:AA7421=""Neighbor""))) / STDEV(FILTER(O3353:O7421, AA3353:AA7421 =""Neighbor"")), """")"),0.22096899035618067)</f>
        <v>0.2209689904</v>
      </c>
      <c r="AF3353" s="2">
        <f>IFERROR(__xludf.DUMMYFUNCTION("IFERROR(ABS(R3353-AVERAGE(FILTER(R3353:R7421,AA3353:AA7421=""Neighbor""))) / STDEV(FILTER(R3353:R7421, AA3353:AA7421 =""Neighbor"")), """")"),0.3287772975339205)</f>
        <v>0.3287772975</v>
      </c>
    </row>
    <row r="3354">
      <c r="A3354" s="2" t="s">
        <v>28</v>
      </c>
      <c r="B3354" s="2" t="s">
        <v>4358</v>
      </c>
      <c r="C3354" s="2" t="s">
        <v>4437</v>
      </c>
      <c r="D3354" s="2" t="s">
        <v>13664</v>
      </c>
      <c r="E3354" s="2" t="s">
        <v>13665</v>
      </c>
      <c r="F3354" s="2">
        <v>79.0</v>
      </c>
      <c r="G3354" s="2">
        <v>204.0</v>
      </c>
      <c r="H3354" s="2" t="b">
        <v>1</v>
      </c>
      <c r="I3354" s="2">
        <v>-1.0</v>
      </c>
      <c r="J3354" s="2" t="b">
        <v>0</v>
      </c>
      <c r="K3354" s="2" t="b">
        <v>1</v>
      </c>
      <c r="L3354" s="2" t="b">
        <v>0</v>
      </c>
      <c r="M3354" s="2" t="b">
        <v>0</v>
      </c>
      <c r="N3354" s="2" t="s">
        <v>33</v>
      </c>
      <c r="O3354" s="2">
        <v>52.0</v>
      </c>
      <c r="P3354" s="2">
        <v>6.0</v>
      </c>
      <c r="Q3354" s="2">
        <v>16.0</v>
      </c>
      <c r="R3354" s="2">
        <v>0.0</v>
      </c>
      <c r="S3354" s="3" t="s">
        <v>13666</v>
      </c>
      <c r="T3354" s="2" t="s">
        <v>13667</v>
      </c>
      <c r="Y3354" s="4" t="str">
        <f>IFERROR(__xludf.DUMMYFUNCTION("""COMPUTED_VALUE"""),"6.8233358")</f>
        <v>6.8233358</v>
      </c>
      <c r="Z3354" s="4" t="str">
        <f>IFERROR(__xludf.DUMMYFUNCTION("""COMPUTED_VALUE"""),"3.2005603")</f>
        <v>3.2005603</v>
      </c>
      <c r="AA3354" s="4" t="str">
        <f t="shared" si="1"/>
        <v>Neighbor</v>
      </c>
      <c r="AC3354" s="4">
        <f>IFERROR(__xludf.DUMMYFUNCTION("IFERROR(ABS(O3354-AVERAGE(FILTER(O3354:O7422,AA3354:AA7422=""Neighbor""))) / STDEV(FILTER(O3354:O7422, AA3354:AA7422 =""Neighbor"")), """")"),0.1730050310151854)</f>
        <v>0.173005031</v>
      </c>
      <c r="AF3354" s="2">
        <f>IFERROR(__xludf.DUMMYFUNCTION("IFERROR(ABS(R3354-AVERAGE(FILTER(R3354:R7422,AA3354:AA7422=""Neighbor""))) / STDEV(FILTER(R3354:R7422, AA3354:AA7422 =""Neighbor"")), """")"),0.3294699701145922)</f>
        <v>0.3294699701</v>
      </c>
    </row>
    <row r="3355">
      <c r="A3355" s="2" t="s">
        <v>28</v>
      </c>
      <c r="B3355" s="2" t="s">
        <v>4358</v>
      </c>
      <c r="C3355" s="2" t="s">
        <v>4437</v>
      </c>
      <c r="D3355" s="2" t="s">
        <v>13668</v>
      </c>
      <c r="E3355" s="2" t="s">
        <v>13669</v>
      </c>
      <c r="F3355" s="2">
        <v>41.0</v>
      </c>
      <c r="G3355" s="2">
        <v>98.0</v>
      </c>
      <c r="H3355" s="2" t="b">
        <v>1</v>
      </c>
      <c r="I3355" s="2">
        <v>-1.0</v>
      </c>
      <c r="J3355" s="2" t="b">
        <v>0</v>
      </c>
      <c r="K3355" s="2" t="b">
        <v>0</v>
      </c>
      <c r="L3355" s="2" t="b">
        <v>0</v>
      </c>
      <c r="M3355" s="2" t="b">
        <v>0</v>
      </c>
      <c r="N3355" s="2" t="s">
        <v>33</v>
      </c>
      <c r="O3355" s="2">
        <v>22.0</v>
      </c>
      <c r="P3355" s="2">
        <v>5.0</v>
      </c>
      <c r="Q3355" s="2">
        <v>2.0</v>
      </c>
      <c r="R3355" s="2">
        <v>0.0</v>
      </c>
      <c r="S3355" s="3" t="s">
        <v>13670</v>
      </c>
      <c r="T3355" s="2" t="s">
        <v>13671</v>
      </c>
      <c r="Y3355" s="4" t="str">
        <f>IFERROR(__xludf.DUMMYFUNCTION("""COMPUTED_VALUE"""),"6.830923")</f>
        <v>6.830923</v>
      </c>
      <c r="Z3355" s="4" t="str">
        <f>IFERROR(__xludf.DUMMYFUNCTION("""COMPUTED_VALUE"""),"3.1933491")</f>
        <v>3.1933491</v>
      </c>
      <c r="AA3355" s="4" t="str">
        <f t="shared" si="1"/>
        <v>Not Neighbor</v>
      </c>
      <c r="AC3355" s="4">
        <f>IFERROR(__xludf.DUMMYFUNCTION("IFERROR(ABS(O3355-AVERAGE(FILTER(O3355:O7423,AA3355:AA7423=""Neighbor""))) / STDEV(FILTER(O3355:O7423, AA3355:AA7423 =""Neighbor"")), """")"),0.7351492301037699)</f>
        <v>0.7351492301</v>
      </c>
      <c r="AF3355" s="2">
        <f>IFERROR(__xludf.DUMMYFUNCTION("IFERROR(ABS(R3355-AVERAGE(FILTER(R3355:R7423,AA3355:AA7423=""Neighbor""))) / STDEV(FILTER(R3355:R7423, AA3355:AA7423 =""Neighbor"")), """")"),0.3301670411662338)</f>
        <v>0.3301670412</v>
      </c>
    </row>
    <row r="3356">
      <c r="A3356" s="2" t="s">
        <v>28</v>
      </c>
      <c r="B3356" s="2" t="s">
        <v>4358</v>
      </c>
      <c r="C3356" s="2" t="s">
        <v>4437</v>
      </c>
      <c r="D3356" s="2" t="s">
        <v>13672</v>
      </c>
      <c r="E3356" s="2" t="s">
        <v>13673</v>
      </c>
      <c r="F3356" s="2">
        <v>219.0</v>
      </c>
      <c r="G3356" s="2">
        <v>456.0</v>
      </c>
      <c r="H3356" s="2" t="b">
        <v>1</v>
      </c>
      <c r="I3356" s="2">
        <v>-1.0</v>
      </c>
      <c r="J3356" s="2" t="b">
        <v>0</v>
      </c>
      <c r="K3356" s="2" t="b">
        <v>0</v>
      </c>
      <c r="L3356" s="2" t="b">
        <v>0</v>
      </c>
      <c r="M3356" s="2" t="b">
        <v>0</v>
      </c>
      <c r="N3356" s="2" t="s">
        <v>33</v>
      </c>
      <c r="O3356" s="2">
        <v>113.0</v>
      </c>
      <c r="P3356" s="2">
        <v>55.0</v>
      </c>
      <c r="Q3356" s="2">
        <v>11.0</v>
      </c>
      <c r="R3356" s="2">
        <v>0.0</v>
      </c>
      <c r="S3356" s="3" t="s">
        <v>13674</v>
      </c>
      <c r="T3356" s="2" t="s">
        <v>13675</v>
      </c>
      <c r="Y3356" s="4" t="str">
        <f>IFERROR(__xludf.DUMMYFUNCTION("""COMPUTED_VALUE"""),"6.8028866")</f>
        <v>6.8028866</v>
      </c>
      <c r="Z3356" s="4" t="str">
        <f>IFERROR(__xludf.DUMMYFUNCTION("""COMPUTED_VALUE"""),"3.238251")</f>
        <v>3.238251</v>
      </c>
      <c r="AA3356" s="4" t="str">
        <f t="shared" si="1"/>
        <v>Not Neighbor</v>
      </c>
      <c r="AC3356" s="4">
        <f>IFERROR(__xludf.DUMMYFUNCTION("IFERROR(ABS(O3356-AVERAGE(FILTER(O3356:O7424,AA3356:AA7424=""Neighbor""))) / STDEV(FILTER(O3356:O7424, AA3356:AA7424 =""Neighbor"")), """")"),2.020616136719879)</f>
        <v>2.020616137</v>
      </c>
      <c r="AF3356" s="2">
        <f>IFERROR(__xludf.DUMMYFUNCTION("IFERROR(ABS(R3356-AVERAGE(FILTER(R3356:R7424,AA3356:AA7424=""Neighbor""))) / STDEV(FILTER(R3356:R7424, AA3356:AA7424 =""Neighbor"")), """")"),0.3301670411662338)</f>
        <v>0.3301670412</v>
      </c>
    </row>
    <row r="3357">
      <c r="A3357" s="2" t="s">
        <v>28</v>
      </c>
      <c r="B3357" s="2" t="s">
        <v>4358</v>
      </c>
      <c r="C3357" s="2" t="s">
        <v>4437</v>
      </c>
      <c r="D3357" s="2" t="s">
        <v>13676</v>
      </c>
      <c r="E3357" s="2" t="s">
        <v>13677</v>
      </c>
      <c r="F3357" s="2">
        <v>74.0</v>
      </c>
      <c r="G3357" s="2">
        <v>197.0</v>
      </c>
      <c r="H3357" s="2" t="b">
        <v>1</v>
      </c>
      <c r="I3357" s="2">
        <v>-1.0</v>
      </c>
      <c r="J3357" s="2" t="b">
        <v>0</v>
      </c>
      <c r="K3357" s="2" t="b">
        <v>0</v>
      </c>
      <c r="L3357" s="2" t="b">
        <v>0</v>
      </c>
      <c r="M3357" s="2" t="b">
        <v>0</v>
      </c>
      <c r="N3357" s="2" t="s">
        <v>33</v>
      </c>
      <c r="O3357" s="2">
        <v>45.0</v>
      </c>
      <c r="P3357" s="2">
        <v>6.0</v>
      </c>
      <c r="Q3357" s="2">
        <v>3.0</v>
      </c>
      <c r="R3357" s="2">
        <v>0.0</v>
      </c>
      <c r="S3357" s="3" t="s">
        <v>13678</v>
      </c>
      <c r="T3357" s="2" t="s">
        <v>13679</v>
      </c>
      <c r="Y3357" s="4" t="str">
        <f>IFERROR(__xludf.DUMMYFUNCTION("""COMPUTED_VALUE"""),"6.830923")</f>
        <v>6.830923</v>
      </c>
      <c r="Z3357" s="4" t="str">
        <f>IFERROR(__xludf.DUMMYFUNCTION("""COMPUTED_VALUE"""),"3.1933491")</f>
        <v>3.1933491</v>
      </c>
      <c r="AA3357" s="4" t="str">
        <f t="shared" si="1"/>
        <v>Neighbor</v>
      </c>
      <c r="AC3357" s="4">
        <f>IFERROR(__xludf.DUMMYFUNCTION("IFERROR(ABS(O3357-AVERAGE(FILTER(O3357:O7425,AA3357:AA7425=""Neighbor""))) / STDEV(FILTER(O3357:O7425, AA3357:AA7425 =""Neighbor"")), """")"),0.03863710442306741)</f>
        <v>0.03863710442</v>
      </c>
      <c r="AF3357" s="2">
        <f>IFERROR(__xludf.DUMMYFUNCTION("IFERROR(ABS(R3357-AVERAGE(FILTER(R3357:R7425,AA3357:AA7425=""Neighbor""))) / STDEV(FILTER(R3357:R7425, AA3357:AA7425 =""Neighbor"")), """")"),0.3301670411662338)</f>
        <v>0.3301670412</v>
      </c>
    </row>
    <row r="3358">
      <c r="A3358" s="2" t="s">
        <v>28</v>
      </c>
      <c r="B3358" s="2" t="s">
        <v>4358</v>
      </c>
      <c r="C3358" s="2" t="s">
        <v>4437</v>
      </c>
      <c r="D3358" s="2" t="s">
        <v>13680</v>
      </c>
      <c r="E3358" s="2" t="s">
        <v>13681</v>
      </c>
      <c r="F3358" s="2">
        <v>39.0</v>
      </c>
      <c r="G3358" s="2">
        <v>100.0</v>
      </c>
      <c r="H3358" s="2" t="b">
        <v>1</v>
      </c>
      <c r="I3358" s="2">
        <v>-1.0</v>
      </c>
      <c r="J3358" s="2" t="b">
        <v>0</v>
      </c>
      <c r="K3358" s="2" t="b">
        <v>0</v>
      </c>
      <c r="L3358" s="2" t="b">
        <v>0</v>
      </c>
      <c r="M3358" s="2" t="b">
        <v>0</v>
      </c>
      <c r="N3358" s="2" t="s">
        <v>33</v>
      </c>
      <c r="O3358" s="2">
        <v>16.0</v>
      </c>
      <c r="P3358" s="2">
        <v>15.0</v>
      </c>
      <c r="Q3358" s="2">
        <v>3.0</v>
      </c>
      <c r="R3358" s="2">
        <v>0.0</v>
      </c>
      <c r="S3358" s="3" t="s">
        <v>13682</v>
      </c>
      <c r="T3358" s="2" t="s">
        <v>13683</v>
      </c>
      <c r="Y3358" s="4" t="str">
        <f>IFERROR(__xludf.DUMMYFUNCTION("""COMPUTED_VALUE"""),"6.830923")</f>
        <v>6.830923</v>
      </c>
      <c r="Z3358" s="4" t="str">
        <f>IFERROR(__xludf.DUMMYFUNCTION("""COMPUTED_VALUE"""),"3.1933491")</f>
        <v>3.1933491</v>
      </c>
      <c r="AA3358" s="4" t="str">
        <f t="shared" si="1"/>
        <v>Neighbor</v>
      </c>
      <c r="AC3358" s="4">
        <f>IFERROR(__xludf.DUMMYFUNCTION("IFERROR(ABS(O3358-AVERAGE(FILTER(O3358:O7426,AA3358:AA7426=""Neighbor""))) / STDEV(FILTER(O3358:O7426, AA3358:AA7426 =""Neighbor"")), """")"),0.91523413333319)</f>
        <v>0.9152341333</v>
      </c>
      <c r="AF3358" s="2">
        <f>IFERROR(__xludf.DUMMYFUNCTION("IFERROR(ABS(R3358-AVERAGE(FILTER(R3358:R7426,AA3358:AA7426=""Neighbor""))) / STDEV(FILTER(R3358:R7426, AA3358:AA7426 =""Neighbor"")), """")"),0.3308685574557964)</f>
        <v>0.3308685575</v>
      </c>
    </row>
    <row r="3359">
      <c r="A3359" s="2" t="s">
        <v>28</v>
      </c>
      <c r="B3359" s="2" t="s">
        <v>4358</v>
      </c>
      <c r="C3359" s="2" t="s">
        <v>4437</v>
      </c>
      <c r="D3359" s="2" t="s">
        <v>13684</v>
      </c>
      <c r="E3359" s="2" t="s">
        <v>13685</v>
      </c>
      <c r="F3359" s="2">
        <v>41.0</v>
      </c>
      <c r="G3359" s="2">
        <v>81.0</v>
      </c>
      <c r="H3359" s="2" t="b">
        <v>1</v>
      </c>
      <c r="I3359" s="2">
        <v>-1.0</v>
      </c>
      <c r="J3359" s="2" t="b">
        <v>0</v>
      </c>
      <c r="K3359" s="2" t="b">
        <v>0</v>
      </c>
      <c r="L3359" s="2" t="b">
        <v>0</v>
      </c>
      <c r="M3359" s="2" t="b">
        <v>0</v>
      </c>
      <c r="N3359" s="2" t="s">
        <v>33</v>
      </c>
      <c r="O3359" s="2">
        <v>25.0</v>
      </c>
      <c r="P3359" s="2">
        <v>5.0</v>
      </c>
      <c r="Q3359" s="2">
        <v>4.0</v>
      </c>
      <c r="R3359" s="2">
        <v>1.0</v>
      </c>
      <c r="S3359" s="3" t="s">
        <v>13686</v>
      </c>
      <c r="T3359" s="2" t="s">
        <v>13687</v>
      </c>
      <c r="Y3359" s="4" t="str">
        <f>IFERROR(__xludf.DUMMYFUNCTION("""COMPUTED_VALUE"""),"6.830923")</f>
        <v>6.830923</v>
      </c>
      <c r="Z3359" s="4" t="str">
        <f>IFERROR(__xludf.DUMMYFUNCTION("""COMPUTED_VALUE"""),"3.1933491")</f>
        <v>3.1933491</v>
      </c>
      <c r="AA3359" s="4" t="str">
        <f t="shared" si="1"/>
        <v>Neighbor</v>
      </c>
      <c r="AC3359" s="4">
        <f>IFERROR(__xludf.DUMMYFUNCTION("IFERROR(ABS(O3359-AVERAGE(FILTER(O3359:O7427,AA3359:AA7427=""Neighbor""))) / STDEV(FILTER(O3359:O7427, AA3359:AA7427 =""Neighbor"")), """")"),0.64654414917488)</f>
        <v>0.6465441492</v>
      </c>
      <c r="AF3359" s="2">
        <f>IFERROR(__xludf.DUMMYFUNCTION("IFERROR(ABS(R3359-AVERAGE(FILTER(R3359:R7427,AA3359:AA7427=""Neighbor""))) / STDEV(FILTER(R3359:R7427, AA3359:AA7427 =""Neighbor"")), """")"),0.8448338268441998)</f>
        <v>0.8448338268</v>
      </c>
    </row>
    <row r="3360">
      <c r="A3360" s="2" t="s">
        <v>28</v>
      </c>
      <c r="B3360" s="2" t="s">
        <v>4358</v>
      </c>
      <c r="C3360" s="2" t="s">
        <v>4437</v>
      </c>
      <c r="D3360" s="2" t="s">
        <v>13688</v>
      </c>
      <c r="E3360" s="2" t="s">
        <v>13689</v>
      </c>
      <c r="F3360" s="2">
        <v>5.0</v>
      </c>
      <c r="G3360" s="2">
        <v>86.0</v>
      </c>
      <c r="H3360" s="2" t="b">
        <v>1</v>
      </c>
      <c r="I3360" s="2">
        <v>-1.0</v>
      </c>
      <c r="J3360" s="2" t="b">
        <v>0</v>
      </c>
      <c r="K3360" s="2" t="b">
        <v>0</v>
      </c>
      <c r="L3360" s="2" t="b">
        <v>0</v>
      </c>
      <c r="M3360" s="2" t="b">
        <v>0</v>
      </c>
      <c r="N3360" s="2" t="s">
        <v>33</v>
      </c>
      <c r="O3360" s="2">
        <v>3.0</v>
      </c>
      <c r="P3360" s="2">
        <v>0.0</v>
      </c>
      <c r="Q3360" s="2">
        <v>0.0</v>
      </c>
      <c r="R3360" s="2">
        <v>0.0</v>
      </c>
      <c r="S3360" s="3" t="s">
        <v>13690</v>
      </c>
      <c r="T3360" s="2" t="s">
        <v>13691</v>
      </c>
      <c r="Y3360" s="4" t="str">
        <f>IFERROR(__xludf.DUMMYFUNCTION("""COMPUTED_VALUE"""),"6.830923")</f>
        <v>6.830923</v>
      </c>
      <c r="Z3360" s="4" t="str">
        <f>IFERROR(__xludf.DUMMYFUNCTION("""COMPUTED_VALUE"""),"3.1933491")</f>
        <v>3.1933491</v>
      </c>
      <c r="AA3360" s="4" t="str">
        <f t="shared" si="1"/>
        <v>Not Neighbor</v>
      </c>
      <c r="AC3360" s="4">
        <f>IFERROR(__xludf.DUMMYFUNCTION("IFERROR(ABS(O3360-AVERAGE(FILTER(O3360:O7428,AA3360:AA7428=""Neighbor""))) / STDEV(FILTER(O3360:O7428, AA3360:AA7428 =""Neighbor"")), """")"),1.3123127450992669)</f>
        <v>1.312312745</v>
      </c>
      <c r="AF3360" s="2">
        <f>IFERROR(__xludf.DUMMYFUNCTION("IFERROR(ABS(R3360-AVERAGE(FILTER(R3360:R7428,AA3360:AA7428=""Neighbor""))) / STDEV(FILTER(R3360:R7428, AA3360:AA7428 =""Neighbor"")), """")"),0.32811909721213084)</f>
        <v>0.3281190972</v>
      </c>
    </row>
    <row r="3361">
      <c r="A3361" s="2" t="s">
        <v>28</v>
      </c>
      <c r="B3361" s="2" t="s">
        <v>4358</v>
      </c>
      <c r="C3361" s="2" t="s">
        <v>4567</v>
      </c>
      <c r="D3361" s="2" t="s">
        <v>13692</v>
      </c>
      <c r="E3361" s="2" t="s">
        <v>13693</v>
      </c>
      <c r="F3361" s="2">
        <v>86.0</v>
      </c>
      <c r="G3361" s="2">
        <v>136.0</v>
      </c>
      <c r="H3361" s="2" t="b">
        <v>1</v>
      </c>
      <c r="I3361" s="2">
        <v>-1.0</v>
      </c>
      <c r="J3361" s="2" t="b">
        <v>0</v>
      </c>
      <c r="K3361" s="2" t="b">
        <v>0</v>
      </c>
      <c r="L3361" s="2" t="b">
        <v>0</v>
      </c>
      <c r="M3361" s="2" t="b">
        <v>0</v>
      </c>
      <c r="N3361" s="2" t="s">
        <v>33</v>
      </c>
      <c r="O3361" s="2">
        <v>23.0</v>
      </c>
      <c r="P3361" s="2">
        <v>54.0</v>
      </c>
      <c r="Q3361" s="2">
        <v>3.0</v>
      </c>
      <c r="R3361" s="2">
        <v>0.0</v>
      </c>
      <c r="S3361" s="3" t="s">
        <v>13694</v>
      </c>
      <c r="T3361" s="2" t="s">
        <v>13695</v>
      </c>
      <c r="Y3361" s="4" t="str">
        <f>IFERROR(__xludf.DUMMYFUNCTION("""COMPUTED_VALUE"""),"6.650562")</f>
        <v>6.650562</v>
      </c>
      <c r="Z3361" s="4" t="str">
        <f>IFERROR(__xludf.DUMMYFUNCTION("""COMPUTED_VALUE"""),"3.369281")</f>
        <v>3.369281</v>
      </c>
      <c r="AA3361" s="4" t="str">
        <f t="shared" si="1"/>
        <v>Not Neighbor</v>
      </c>
      <c r="AC3361" s="4">
        <f>IFERROR(__xludf.DUMMYFUNCTION("IFERROR(ABS(O3361-AVERAGE(FILTER(O3361:O7429,AA3361:AA7429=""Neighbor""))) / STDEV(FILTER(O3361:O7429, AA3361:AA7429 =""Neighbor"")), """")"),0.7086816375299838)</f>
        <v>0.7086816375</v>
      </c>
      <c r="AF3361" s="2">
        <f>IFERROR(__xludf.DUMMYFUNCTION("IFERROR(ABS(R3361-AVERAGE(FILTER(R3361:R7429,AA3361:AA7429=""Neighbor""))) / STDEV(FILTER(R3361:R7429, AA3361:AA7429 =""Neighbor"")), """")"),0.32811909721213084)</f>
        <v>0.3281190972</v>
      </c>
    </row>
    <row r="3362">
      <c r="A3362" s="2" t="s">
        <v>28</v>
      </c>
      <c r="B3362" s="2" t="s">
        <v>4358</v>
      </c>
      <c r="C3362" s="2" t="s">
        <v>4567</v>
      </c>
      <c r="D3362" s="2" t="s">
        <v>13696</v>
      </c>
      <c r="E3362" s="2" t="s">
        <v>13697</v>
      </c>
      <c r="F3362" s="2">
        <v>71.0</v>
      </c>
      <c r="G3362" s="2">
        <v>137.0</v>
      </c>
      <c r="H3362" s="2" t="b">
        <v>1</v>
      </c>
      <c r="I3362" s="2">
        <v>-1.0</v>
      </c>
      <c r="J3362" s="2" t="b">
        <v>0</v>
      </c>
      <c r="K3362" s="2" t="b">
        <v>0</v>
      </c>
      <c r="L3362" s="2" t="b">
        <v>0</v>
      </c>
      <c r="M3362" s="2" t="b">
        <v>0</v>
      </c>
      <c r="N3362" s="2" t="s">
        <v>33</v>
      </c>
      <c r="O3362" s="2">
        <v>11.0</v>
      </c>
      <c r="P3362" s="2">
        <v>50.0</v>
      </c>
      <c r="Q3362" s="2">
        <v>2.0</v>
      </c>
      <c r="R3362" s="2">
        <v>0.0</v>
      </c>
      <c r="S3362" s="3" t="s">
        <v>13698</v>
      </c>
      <c r="T3362" s="2" t="s">
        <v>13699</v>
      </c>
      <c r="Y3362" s="4" t="str">
        <f>IFERROR(__xludf.DUMMYFUNCTION("""COMPUTED_VALUE"""),"6.6376907")</f>
        <v>6.6376907</v>
      </c>
      <c r="Z3362" s="4" t="str">
        <f>IFERROR(__xludf.DUMMYFUNCTION("""COMPUTED_VALUE"""),"3.3558525")</f>
        <v>3.3558525</v>
      </c>
      <c r="AA3362" s="4" t="str">
        <f t="shared" si="1"/>
        <v>Not Neighbor</v>
      </c>
      <c r="AC3362" s="4">
        <f>IFERROR(__xludf.DUMMYFUNCTION("IFERROR(ABS(O3362-AVERAGE(FILTER(O3362:O7430,AA3362:AA7430=""Neighbor""))) / STDEV(FILTER(O3362:O7430, AA3362:AA7430 =""Neighbor"")), """")"),1.0708603020715537)</f>
        <v>1.070860302</v>
      </c>
      <c r="AF3362" s="2">
        <f>IFERROR(__xludf.DUMMYFUNCTION("IFERROR(ABS(R3362-AVERAGE(FILTER(R3362:R7430,AA3362:AA7430=""Neighbor""))) / STDEV(FILTER(R3362:R7430, AA3362:AA7430 =""Neighbor"")), """")"),0.32811909721213084)</f>
        <v>0.3281190972</v>
      </c>
    </row>
    <row r="3363">
      <c r="A3363" s="2" t="s">
        <v>28</v>
      </c>
      <c r="B3363" s="2" t="s">
        <v>4358</v>
      </c>
      <c r="C3363" s="2" t="s">
        <v>4567</v>
      </c>
      <c r="D3363" s="2" t="s">
        <v>13700</v>
      </c>
      <c r="E3363" s="2" t="s">
        <v>13701</v>
      </c>
      <c r="F3363" s="2">
        <v>58.0</v>
      </c>
      <c r="G3363" s="2">
        <v>113.0</v>
      </c>
      <c r="H3363" s="2" t="b">
        <v>1</v>
      </c>
      <c r="I3363" s="2">
        <v>-1.0</v>
      </c>
      <c r="J3363" s="2" t="b">
        <v>0</v>
      </c>
      <c r="K3363" s="2" t="b">
        <v>1</v>
      </c>
      <c r="L3363" s="2" t="b">
        <v>0</v>
      </c>
      <c r="M3363" s="2" t="b">
        <v>0</v>
      </c>
      <c r="N3363" s="2" t="s">
        <v>33</v>
      </c>
      <c r="O3363" s="2">
        <v>12.0</v>
      </c>
      <c r="P3363" s="2">
        <v>35.0</v>
      </c>
      <c r="Q3363" s="2">
        <v>2.0</v>
      </c>
      <c r="R3363" s="2">
        <v>0.0</v>
      </c>
      <c r="S3363" s="3" t="s">
        <v>13702</v>
      </c>
      <c r="T3363" s="2" t="s">
        <v>13703</v>
      </c>
      <c r="Y3363" s="4" t="str">
        <f>IFERROR(__xludf.DUMMYFUNCTION("""COMPUTED_VALUE"""),"6.6539717")</f>
        <v>6.6539717</v>
      </c>
      <c r="Z3363" s="4" t="str">
        <f>IFERROR(__xludf.DUMMYFUNCTION("""COMPUTED_VALUE"""),"3.365479")</f>
        <v>3.365479</v>
      </c>
      <c r="AA3363" s="4" t="str">
        <f t="shared" si="1"/>
        <v>Not Neighbor</v>
      </c>
      <c r="AC3363" s="4">
        <f>IFERROR(__xludf.DUMMYFUNCTION("IFERROR(ABS(O3363-AVERAGE(FILTER(O3363:O7431,AA3363:AA7431=""Neighbor""))) / STDEV(FILTER(O3363:O7431, AA3363:AA7431 =""Neighbor"")), """")"),1.0406787466930896)</f>
        <v>1.040678747</v>
      </c>
      <c r="AF3363" s="2">
        <f>IFERROR(__xludf.DUMMYFUNCTION("IFERROR(ABS(R3363-AVERAGE(FILTER(R3363:R7431,AA3363:AA7431=""Neighbor""))) / STDEV(FILTER(R3363:R7431, AA3363:AA7431 =""Neighbor"")), """")"),0.32811909721213084)</f>
        <v>0.3281190972</v>
      </c>
    </row>
    <row r="3364">
      <c r="A3364" s="2" t="s">
        <v>28</v>
      </c>
      <c r="B3364" s="2" t="s">
        <v>4358</v>
      </c>
      <c r="C3364" s="2" t="s">
        <v>4567</v>
      </c>
      <c r="D3364" s="2" t="s">
        <v>13704</v>
      </c>
      <c r="E3364" s="2" t="s">
        <v>13705</v>
      </c>
      <c r="F3364" s="2">
        <v>19.0</v>
      </c>
      <c r="G3364" s="2">
        <v>62.0</v>
      </c>
      <c r="H3364" s="2" t="b">
        <v>1</v>
      </c>
      <c r="I3364" s="2">
        <v>-1.0</v>
      </c>
      <c r="J3364" s="2" t="b">
        <v>0</v>
      </c>
      <c r="K3364" s="2" t="b">
        <v>0</v>
      </c>
      <c r="L3364" s="2" t="b">
        <v>0</v>
      </c>
      <c r="M3364" s="2" t="b">
        <v>0</v>
      </c>
      <c r="N3364" s="2" t="s">
        <v>33</v>
      </c>
      <c r="O3364" s="2">
        <v>4.0</v>
      </c>
      <c r="P3364" s="2">
        <v>13.0</v>
      </c>
      <c r="Q3364" s="2">
        <v>0.0</v>
      </c>
      <c r="R3364" s="2">
        <v>0.0</v>
      </c>
      <c r="S3364" s="3" t="s">
        <v>13706</v>
      </c>
      <c r="T3364" s="2" t="s">
        <v>13707</v>
      </c>
      <c r="Y3364" s="4" t="str">
        <f>IFERROR(__xludf.DUMMYFUNCTION("""COMPUTED_VALUE"""),"8.0901864")</f>
        <v>8.0901864</v>
      </c>
      <c r="Z3364" s="4" t="str">
        <f>IFERROR(__xludf.DUMMYFUNCTION("""COMPUTED_VALUE"""),"3.346448")</f>
        <v>3.346448</v>
      </c>
      <c r="AA3364" s="4" t="str">
        <f t="shared" si="1"/>
        <v>Neighbor</v>
      </c>
      <c r="AC3364" s="4">
        <f>IFERROR(__xludf.DUMMYFUNCTION("IFERROR(ABS(O3364-AVERAGE(FILTER(O3364:O7432,AA3364:AA7432=""Neighbor""))) / STDEV(FILTER(O3364:O7432, AA3364:AA7432 =""Neighbor"")), """")"),1.2821311897208028)</f>
        <v>1.28213119</v>
      </c>
      <c r="AF3364" s="2">
        <f>IFERROR(__xludf.DUMMYFUNCTION("IFERROR(ABS(R3364-AVERAGE(FILTER(R3364:R7432,AA3364:AA7432=""Neighbor""))) / STDEV(FILTER(R3364:R7432, AA3364:AA7432 =""Neighbor"")), """")"),0.32811909721213084)</f>
        <v>0.3281190972</v>
      </c>
    </row>
    <row r="3365">
      <c r="A3365" s="2" t="s">
        <v>28</v>
      </c>
      <c r="B3365" s="2" t="s">
        <v>4358</v>
      </c>
      <c r="C3365" s="2" t="s">
        <v>4567</v>
      </c>
      <c r="D3365" s="2" t="s">
        <v>13708</v>
      </c>
      <c r="E3365" s="2" t="s">
        <v>13709</v>
      </c>
      <c r="F3365" s="2">
        <v>54.0</v>
      </c>
      <c r="G3365" s="2">
        <v>126.0</v>
      </c>
      <c r="H3365" s="2" t="b">
        <v>1</v>
      </c>
      <c r="I3365" s="2">
        <v>-1.0</v>
      </c>
      <c r="J3365" s="2" t="b">
        <v>0</v>
      </c>
      <c r="K3365" s="2" t="b">
        <v>0</v>
      </c>
      <c r="L3365" s="2" t="b">
        <v>0</v>
      </c>
      <c r="M3365" s="2" t="b">
        <v>0</v>
      </c>
      <c r="N3365" s="2" t="s">
        <v>33</v>
      </c>
      <c r="O3365" s="2">
        <v>31.0</v>
      </c>
      <c r="P3365" s="2">
        <v>13.0</v>
      </c>
      <c r="Q3365" s="2">
        <v>1.0</v>
      </c>
      <c r="R3365" s="2">
        <v>1.0</v>
      </c>
      <c r="S3365" s="3" t="s">
        <v>13710</v>
      </c>
      <c r="T3365" s="2" t="s">
        <v>13711</v>
      </c>
      <c r="Y3365" s="4" t="str">
        <f>IFERROR(__xludf.DUMMYFUNCTION("""COMPUTED_VALUE"""),"8.0901864")</f>
        <v>8.0901864</v>
      </c>
      <c r="Z3365" s="4" t="str">
        <f>IFERROR(__xludf.DUMMYFUNCTION("""COMPUTED_VALUE"""),"3.346448")</f>
        <v>3.346448</v>
      </c>
      <c r="AA3365" s="4" t="str">
        <f t="shared" si="1"/>
        <v>Not Neighbor</v>
      </c>
      <c r="AC3365" s="4">
        <f>IFERROR(__xludf.DUMMYFUNCTION("IFERROR(ABS(O3365-AVERAGE(FILTER(O3365:O7433,AA3365:AA7433=""Neighbor""))) / STDEV(FILTER(O3365:O7433, AA3365:AA7433 =""Neighbor"")), """")"),0.4728189090915852)</f>
        <v>0.4728189091</v>
      </c>
      <c r="AF3365" s="2">
        <f>IFERROR(__xludf.DUMMYFUNCTION("IFERROR(ABS(R3365-AVERAGE(FILTER(R3365:R7433,AA3365:AA7433=""Neighbor""))) / STDEV(FILTER(R3365:R7433, AA3365:AA7433 =""Neighbor"")), """")"),0.8448937233646773)</f>
        <v>0.8448937234</v>
      </c>
    </row>
    <row r="3366">
      <c r="A3366" s="2" t="s">
        <v>28</v>
      </c>
      <c r="B3366" s="2" t="s">
        <v>4358</v>
      </c>
      <c r="C3366" s="2" t="s">
        <v>4567</v>
      </c>
      <c r="D3366" s="2" t="s">
        <v>13712</v>
      </c>
      <c r="E3366" s="2" t="s">
        <v>13713</v>
      </c>
      <c r="F3366" s="2">
        <v>43.0</v>
      </c>
      <c r="G3366" s="2">
        <v>98.0</v>
      </c>
      <c r="H3366" s="2" t="b">
        <v>1</v>
      </c>
      <c r="I3366" s="2">
        <v>-1.0</v>
      </c>
      <c r="J3366" s="2" t="b">
        <v>0</v>
      </c>
      <c r="K3366" s="2" t="b">
        <v>0</v>
      </c>
      <c r="L3366" s="2" t="b">
        <v>0</v>
      </c>
      <c r="M3366" s="2" t="b">
        <v>0</v>
      </c>
      <c r="N3366" s="2" t="s">
        <v>33</v>
      </c>
      <c r="O3366" s="2">
        <v>23.0</v>
      </c>
      <c r="P3366" s="2">
        <v>14.0</v>
      </c>
      <c r="Q3366" s="2">
        <v>1.0</v>
      </c>
      <c r="R3366" s="2">
        <v>2.0</v>
      </c>
      <c r="S3366" s="3" t="s">
        <v>13714</v>
      </c>
      <c r="T3366" s="2" t="s">
        <v>13715</v>
      </c>
      <c r="Y3366" s="4" t="str">
        <f>IFERROR(__xludf.DUMMYFUNCTION("""COMPUTED_VALUE"""),"6.6501964")</f>
        <v>6.6501964</v>
      </c>
      <c r="Z3366" s="4" t="str">
        <f>IFERROR(__xludf.DUMMYFUNCTION("""COMPUTED_VALUE"""),"3.3670314")</f>
        <v>3.3670314</v>
      </c>
      <c r="AA3366" s="4" t="str">
        <f t="shared" si="1"/>
        <v>Not Neighbor</v>
      </c>
      <c r="AC3366" s="4">
        <f>IFERROR(__xludf.DUMMYFUNCTION("IFERROR(ABS(O3366-AVERAGE(FILTER(O3366:O7434,AA3366:AA7434=""Neighbor""))) / STDEV(FILTER(O3366:O7434, AA3366:AA7434 =""Neighbor"")), """")"),0.7145785900396825)</f>
        <v>0.71457859</v>
      </c>
      <c r="AF3366" s="2">
        <f>IFERROR(__xludf.DUMMYFUNCTION("IFERROR(ABS(R3366-AVERAGE(FILTER(R3366:R7434,AA3366:AA7434=""Neighbor""))) / STDEV(FILTER(R3366:R7434, AA3366:AA7434 =""Neighbor"")), """")"),2.018610949876688)</f>
        <v>2.01861095</v>
      </c>
    </row>
    <row r="3367">
      <c r="A3367" s="2" t="s">
        <v>28</v>
      </c>
      <c r="B3367" s="2" t="s">
        <v>4358</v>
      </c>
      <c r="C3367" s="2" t="s">
        <v>4567</v>
      </c>
      <c r="D3367" s="2" t="s">
        <v>13716</v>
      </c>
      <c r="E3367" s="2" t="s">
        <v>13717</v>
      </c>
      <c r="F3367" s="2">
        <v>30.0</v>
      </c>
      <c r="G3367" s="2">
        <v>65.0</v>
      </c>
      <c r="H3367" s="2" t="b">
        <v>1</v>
      </c>
      <c r="I3367" s="2">
        <v>-1.0</v>
      </c>
      <c r="J3367" s="2" t="b">
        <v>0</v>
      </c>
      <c r="K3367" s="2" t="b">
        <v>0</v>
      </c>
      <c r="L3367" s="2" t="b">
        <v>0</v>
      </c>
      <c r="M3367" s="2" t="b">
        <v>0</v>
      </c>
      <c r="N3367" s="2" t="s">
        <v>33</v>
      </c>
      <c r="O3367" s="2">
        <v>13.0</v>
      </c>
      <c r="P3367" s="2">
        <v>11.0</v>
      </c>
      <c r="Q3367" s="2">
        <v>3.0</v>
      </c>
      <c r="R3367" s="2">
        <v>0.0</v>
      </c>
      <c r="S3367" s="3" t="s">
        <v>13718</v>
      </c>
      <c r="T3367" s="2" t="s">
        <v>13719</v>
      </c>
      <c r="Y3367" s="4" t="str">
        <f>IFERROR(__xludf.DUMMYFUNCTION("""COMPUTED_VALUE"""),"6.657425")</f>
        <v>6.657425</v>
      </c>
      <c r="Z3367" s="4" t="str">
        <f>IFERROR(__xludf.DUMMYFUNCTION("""COMPUTED_VALUE"""),"3.4145075")</f>
        <v>3.4145075</v>
      </c>
      <c r="AA3367" s="4" t="str">
        <f t="shared" si="1"/>
        <v>Neighbor</v>
      </c>
      <c r="AC3367" s="4">
        <f>IFERROR(__xludf.DUMMYFUNCTION("IFERROR(ABS(O3367-AVERAGE(FILTER(O3367:O7435,AA3367:AA7435=""Neighbor""))) / STDEV(FILTER(O3367:O7435, AA3367:AA7435 =""Neighbor"")), """")"),1.0167781912248042)</f>
        <v>1.016778191</v>
      </c>
      <c r="AF3367" s="2">
        <f>IFERROR(__xludf.DUMMYFUNCTION("IFERROR(ABS(R3367-AVERAGE(FILTER(R3367:R7435,AA3367:AA7435=""Neighbor""))) / STDEV(FILTER(R3367:R7435, AA3367:AA7435 =""Neighbor"")), """")"),0.32882350314733383)</f>
        <v>0.3288235031</v>
      </c>
    </row>
    <row r="3368">
      <c r="A3368" s="2" t="s">
        <v>28</v>
      </c>
      <c r="B3368" s="2" t="s">
        <v>4358</v>
      </c>
      <c r="C3368" s="2" t="s">
        <v>4567</v>
      </c>
      <c r="D3368" s="2" t="s">
        <v>13720</v>
      </c>
      <c r="E3368" s="2" t="s">
        <v>13721</v>
      </c>
      <c r="F3368" s="2">
        <v>24.0</v>
      </c>
      <c r="G3368" s="2">
        <v>54.0</v>
      </c>
      <c r="H3368" s="2" t="b">
        <v>1</v>
      </c>
      <c r="I3368" s="2">
        <v>-1.0</v>
      </c>
      <c r="J3368" s="2" t="b">
        <v>0</v>
      </c>
      <c r="K3368" s="2" t="b">
        <v>0</v>
      </c>
      <c r="L3368" s="2" t="b">
        <v>0</v>
      </c>
      <c r="M3368" s="2" t="b">
        <v>0</v>
      </c>
      <c r="N3368" s="2" t="s">
        <v>33</v>
      </c>
      <c r="O3368" s="2">
        <v>17.0</v>
      </c>
      <c r="P3368" s="2">
        <v>2.0</v>
      </c>
      <c r="Q3368" s="2">
        <v>0.0</v>
      </c>
      <c r="R3368" s="2">
        <v>0.0</v>
      </c>
      <c r="S3368" s="3" t="s">
        <v>13722</v>
      </c>
      <c r="T3368" s="2" t="s">
        <v>13723</v>
      </c>
      <c r="Y3368" s="4" t="str">
        <f>IFERROR(__xludf.DUMMYFUNCTION("""COMPUTED_VALUE"""),"6.657425")</f>
        <v>6.657425</v>
      </c>
      <c r="Z3368" s="4" t="str">
        <f>IFERROR(__xludf.DUMMYFUNCTION("""COMPUTED_VALUE"""),"3.4145075")</f>
        <v>3.4145075</v>
      </c>
      <c r="AA3368" s="4" t="str">
        <f t="shared" si="1"/>
        <v>Not Neighbor</v>
      </c>
      <c r="AC3368" s="4">
        <f>IFERROR(__xludf.DUMMYFUNCTION("IFERROR(ABS(O3368-AVERAGE(FILTER(O3368:O7436,AA3368:AA7436=""Neighbor""))) / STDEV(FILTER(O3368:O7436, AA3368:AA7436 =""Neighbor"")), """")"),0.8999369789255296)</f>
        <v>0.8999369789</v>
      </c>
      <c r="AF3368" s="2">
        <f>IFERROR(__xludf.DUMMYFUNCTION("IFERROR(ABS(R3368-AVERAGE(FILTER(R3368:R7436,AA3368:AA7436=""Neighbor""))) / STDEV(FILTER(R3368:R7436, AA3368:AA7436 =""Neighbor"")), """")"),0.3295324673518999)</f>
        <v>0.3295324674</v>
      </c>
    </row>
    <row r="3369">
      <c r="A3369" s="2" t="s">
        <v>28</v>
      </c>
      <c r="B3369" s="2" t="s">
        <v>4358</v>
      </c>
      <c r="C3369" s="2" t="s">
        <v>4567</v>
      </c>
      <c r="D3369" s="2" t="s">
        <v>13724</v>
      </c>
      <c r="E3369" s="2" t="s">
        <v>13725</v>
      </c>
      <c r="F3369" s="2">
        <v>51.0</v>
      </c>
      <c r="G3369" s="2">
        <v>117.0</v>
      </c>
      <c r="H3369" s="2" t="b">
        <v>1</v>
      </c>
      <c r="I3369" s="2">
        <v>-1.0</v>
      </c>
      <c r="J3369" s="2" t="b">
        <v>0</v>
      </c>
      <c r="K3369" s="2" t="b">
        <v>0</v>
      </c>
      <c r="L3369" s="2" t="b">
        <v>0</v>
      </c>
      <c r="M3369" s="2" t="b">
        <v>0</v>
      </c>
      <c r="N3369" s="2" t="s">
        <v>33</v>
      </c>
      <c r="O3369" s="2">
        <v>9.0</v>
      </c>
      <c r="P3369" s="2">
        <v>35.0</v>
      </c>
      <c r="Q3369" s="2">
        <v>1.0</v>
      </c>
      <c r="R3369" s="2">
        <v>0.0</v>
      </c>
      <c r="S3369" s="3" t="s">
        <v>13726</v>
      </c>
      <c r="T3369" s="2" t="s">
        <v>13727</v>
      </c>
      <c r="Y3369" s="4" t="str">
        <f>IFERROR(__xludf.DUMMYFUNCTION("""COMPUTED_VALUE"""),"6.644031")</f>
        <v>6.644031</v>
      </c>
      <c r="Z3369" s="4" t="str">
        <f>IFERROR(__xludf.DUMMYFUNCTION("""COMPUTED_VALUE"""),"3.3688841")</f>
        <v>3.3688841</v>
      </c>
      <c r="AA3369" s="4" t="str">
        <f t="shared" si="1"/>
        <v>Not Neighbor</v>
      </c>
      <c r="AC3369" s="4">
        <f>IFERROR(__xludf.DUMMYFUNCTION("IFERROR(ABS(O3369-AVERAGE(FILTER(O3369:O7437,AA3369:AA7437=""Neighbor""))) / STDEV(FILTER(O3369:O7437, AA3369:AA7437 =""Neighbor"")), """")"),1.1417146167111107)</f>
        <v>1.141714617</v>
      </c>
      <c r="AF3369" s="2">
        <f>IFERROR(__xludf.DUMMYFUNCTION("IFERROR(ABS(R3369-AVERAGE(FILTER(R3369:R7437,AA3369:AA7437=""Neighbor""))) / STDEV(FILTER(R3369:R7437, AA3369:AA7437 =""Neighbor"")), """")"),0.3295324673518999)</f>
        <v>0.3295324674</v>
      </c>
    </row>
    <row r="3370">
      <c r="A3370" s="2" t="s">
        <v>28</v>
      </c>
      <c r="B3370" s="2" t="s">
        <v>4358</v>
      </c>
      <c r="C3370" s="2" t="s">
        <v>4567</v>
      </c>
      <c r="D3370" s="2" t="s">
        <v>13728</v>
      </c>
      <c r="E3370" s="2" t="s">
        <v>13729</v>
      </c>
      <c r="F3370" s="2">
        <v>24.0</v>
      </c>
      <c r="G3370" s="2">
        <v>80.0</v>
      </c>
      <c r="H3370" s="2" t="b">
        <v>1</v>
      </c>
      <c r="I3370" s="2">
        <v>-1.0</v>
      </c>
      <c r="J3370" s="2" t="b">
        <v>0</v>
      </c>
      <c r="K3370" s="2" t="b">
        <v>0</v>
      </c>
      <c r="L3370" s="2" t="b">
        <v>0</v>
      </c>
      <c r="M3370" s="2" t="b">
        <v>0</v>
      </c>
      <c r="N3370" s="2" t="s">
        <v>33</v>
      </c>
      <c r="O3370" s="2">
        <v>13.0</v>
      </c>
      <c r="P3370" s="2">
        <v>5.0</v>
      </c>
      <c r="Q3370" s="2">
        <v>4.0</v>
      </c>
      <c r="R3370" s="2">
        <v>0.0</v>
      </c>
      <c r="S3370" s="3" t="s">
        <v>13730</v>
      </c>
      <c r="T3370" s="2" t="s">
        <v>13731</v>
      </c>
      <c r="Y3370" s="4" t="str">
        <f>IFERROR(__xludf.DUMMYFUNCTION("""COMPUTED_VALUE"""),"6.6351101")</f>
        <v>6.6351101</v>
      </c>
      <c r="Z3370" s="4" t="str">
        <f>IFERROR(__xludf.DUMMYFUNCTION("""COMPUTED_VALUE"""),"3.4044792")</f>
        <v>3.4044792</v>
      </c>
      <c r="AA3370" s="4" t="str">
        <f t="shared" si="1"/>
        <v>Not Neighbor</v>
      </c>
      <c r="AC3370" s="4">
        <f>IFERROR(__xludf.DUMMYFUNCTION("IFERROR(ABS(O3370-AVERAGE(FILTER(O3370:O7438,AA3370:AA7438=""Neighbor""))) / STDEV(FILTER(O3370:O7438, AA3370:AA7438 =""Neighbor"")), """")"),1.0208257978183202)</f>
        <v>1.020825798</v>
      </c>
      <c r="AF3370" s="2">
        <f>IFERROR(__xludf.DUMMYFUNCTION("IFERROR(ABS(R3370-AVERAGE(FILTER(R3370:R7438,AA3370:AA7438=""Neighbor""))) / STDEV(FILTER(R3370:R7438, AA3370:AA7438 =""Neighbor"")), """")"),0.3295324673518999)</f>
        <v>0.3295324674</v>
      </c>
    </row>
    <row r="3371">
      <c r="A3371" s="2" t="s">
        <v>28</v>
      </c>
      <c r="B3371" s="2" t="s">
        <v>4358</v>
      </c>
      <c r="C3371" s="2" t="s">
        <v>4567</v>
      </c>
      <c r="D3371" s="2" t="s">
        <v>13732</v>
      </c>
      <c r="E3371" s="2" t="s">
        <v>13733</v>
      </c>
      <c r="F3371" s="2">
        <v>70.0</v>
      </c>
      <c r="G3371" s="2">
        <v>137.0</v>
      </c>
      <c r="H3371" s="2" t="b">
        <v>1</v>
      </c>
      <c r="I3371" s="2">
        <v>-1.0</v>
      </c>
      <c r="J3371" s="2" t="b">
        <v>0</v>
      </c>
      <c r="K3371" s="2" t="b">
        <v>0</v>
      </c>
      <c r="L3371" s="2" t="b">
        <v>0</v>
      </c>
      <c r="M3371" s="2" t="b">
        <v>0</v>
      </c>
      <c r="N3371" s="2" t="s">
        <v>33</v>
      </c>
      <c r="O3371" s="2">
        <v>18.0</v>
      </c>
      <c r="P3371" s="2">
        <v>50.0</v>
      </c>
      <c r="Q3371" s="2">
        <v>0.0</v>
      </c>
      <c r="R3371" s="2">
        <v>0.0</v>
      </c>
      <c r="S3371" s="3" t="s">
        <v>13734</v>
      </c>
      <c r="T3371" s="2" t="s">
        <v>13735</v>
      </c>
      <c r="Y3371" s="4" t="str">
        <f>IFERROR(__xludf.DUMMYFUNCTION("""COMPUTED_VALUE"""),"6.6351156")</f>
        <v>6.6351156</v>
      </c>
      <c r="Z3371" s="4" t="str">
        <f>IFERROR(__xludf.DUMMYFUNCTION("""COMPUTED_VALUE"""),"3.3603044")</f>
        <v>3.3603044</v>
      </c>
      <c r="AA3371" s="4" t="str">
        <f t="shared" si="1"/>
        <v>Not Neighbor</v>
      </c>
      <c r="AC3371" s="4">
        <f>IFERROR(__xludf.DUMMYFUNCTION("IFERROR(ABS(O3371-AVERAGE(FILTER(O3371:O7439,AA3371:AA7439=""Neighbor""))) / STDEV(FILTER(O3371:O7439, AA3371:AA7439 =""Neighbor"")), """")"),0.869714774202332)</f>
        <v>0.8697147742</v>
      </c>
      <c r="AF3371" s="2">
        <f>IFERROR(__xludf.DUMMYFUNCTION("IFERROR(ABS(R3371-AVERAGE(FILTER(R3371:R7439,AA3371:AA7439=""Neighbor""))) / STDEV(FILTER(R3371:R7439, AA3371:AA7439 =""Neighbor"")), """")"),0.3295324673518999)</f>
        <v>0.3295324674</v>
      </c>
    </row>
    <row r="3372">
      <c r="A3372" s="2" t="s">
        <v>28</v>
      </c>
      <c r="B3372" s="2" t="s">
        <v>4358</v>
      </c>
      <c r="C3372" s="2" t="s">
        <v>4567</v>
      </c>
      <c r="D3372" s="2" t="s">
        <v>13736</v>
      </c>
      <c r="E3372" s="2" t="s">
        <v>13737</v>
      </c>
      <c r="F3372" s="2">
        <v>60.0</v>
      </c>
      <c r="G3372" s="2">
        <v>166.0</v>
      </c>
      <c r="H3372" s="2" t="b">
        <v>1</v>
      </c>
      <c r="I3372" s="2">
        <v>-1.0</v>
      </c>
      <c r="J3372" s="2" t="b">
        <v>0</v>
      </c>
      <c r="K3372" s="2" t="b">
        <v>0</v>
      </c>
      <c r="L3372" s="2" t="b">
        <v>0</v>
      </c>
      <c r="M3372" s="2" t="b">
        <v>0</v>
      </c>
      <c r="N3372" s="2" t="s">
        <v>33</v>
      </c>
      <c r="O3372" s="2">
        <v>14.0</v>
      </c>
      <c r="P3372" s="2">
        <v>34.0</v>
      </c>
      <c r="Q3372" s="2">
        <v>0.0</v>
      </c>
      <c r="R3372" s="2">
        <v>0.0</v>
      </c>
      <c r="S3372" s="3" t="s">
        <v>13738</v>
      </c>
      <c r="T3372" s="2" t="s">
        <v>13739</v>
      </c>
      <c r="Y3372" s="4" t="str">
        <f>IFERROR(__xludf.DUMMYFUNCTION("""COMPUTED_VALUE"""),"6.657425")</f>
        <v>6.657425</v>
      </c>
      <c r="Z3372" s="4" t="str">
        <f>IFERROR(__xludf.DUMMYFUNCTION("""COMPUTED_VALUE"""),"3.4145075")</f>
        <v>3.4145075</v>
      </c>
      <c r="AA3372" s="4" t="str">
        <f t="shared" si="1"/>
        <v>Not Neighbor</v>
      </c>
      <c r="AC3372" s="4">
        <f>IFERROR(__xludf.DUMMYFUNCTION("IFERROR(ABS(O3372-AVERAGE(FILTER(O3372:O7440,AA3372:AA7440=""Neighbor""))) / STDEV(FILTER(O3372:O7440, AA3372:AA7440 =""Neighbor"")), """")"),0.9906035930951225)</f>
        <v>0.9906035931</v>
      </c>
      <c r="AF3372" s="2">
        <f>IFERROR(__xludf.DUMMYFUNCTION("IFERROR(ABS(R3372-AVERAGE(FILTER(R3372:R7440,AA3372:AA7440=""Neighbor""))) / STDEV(FILTER(R3372:R7440, AA3372:AA7440 =""Neighbor"")), """")"),0.3295324673518999)</f>
        <v>0.3295324674</v>
      </c>
    </row>
    <row r="3373">
      <c r="A3373" s="2" t="s">
        <v>28</v>
      </c>
      <c r="B3373" s="2" t="s">
        <v>4358</v>
      </c>
      <c r="C3373" s="2" t="s">
        <v>4567</v>
      </c>
      <c r="D3373" s="2" t="s">
        <v>13740</v>
      </c>
      <c r="E3373" s="2" t="s">
        <v>13741</v>
      </c>
      <c r="F3373" s="2">
        <v>62.0</v>
      </c>
      <c r="G3373" s="2">
        <v>165.0</v>
      </c>
      <c r="H3373" s="2" t="b">
        <v>1</v>
      </c>
      <c r="I3373" s="2">
        <v>-1.0</v>
      </c>
      <c r="J3373" s="2" t="b">
        <v>0</v>
      </c>
      <c r="K3373" s="2" t="b">
        <v>0</v>
      </c>
      <c r="L3373" s="2" t="b">
        <v>0</v>
      </c>
      <c r="M3373" s="2" t="b">
        <v>0</v>
      </c>
      <c r="N3373" s="2" t="s">
        <v>33</v>
      </c>
      <c r="O3373" s="2">
        <v>11.0</v>
      </c>
      <c r="P3373" s="2">
        <v>40.0</v>
      </c>
      <c r="Q3373" s="2">
        <v>5.0</v>
      </c>
      <c r="R3373" s="2">
        <v>0.0</v>
      </c>
      <c r="S3373" s="3" t="s">
        <v>13742</v>
      </c>
      <c r="T3373" s="2" t="s">
        <v>13743</v>
      </c>
      <c r="Y3373" s="4" t="str">
        <f>IFERROR(__xludf.DUMMYFUNCTION("""COMPUTED_VALUE"""),"6.6612648")</f>
        <v>6.6612648</v>
      </c>
      <c r="Z3373" s="4" t="str">
        <f>IFERROR(__xludf.DUMMYFUNCTION("""COMPUTED_VALUE"""),"3.3896045")</f>
        <v>3.3896045</v>
      </c>
      <c r="AA3373" s="4" t="str">
        <f t="shared" si="1"/>
        <v>Not Neighbor</v>
      </c>
      <c r="AC3373" s="4">
        <f>IFERROR(__xludf.DUMMYFUNCTION("IFERROR(ABS(O3373-AVERAGE(FILTER(O3373:O7441,AA3373:AA7441=""Neighbor""))) / STDEV(FILTER(O3373:O7441, AA3373:AA7441 =""Neighbor"")), """")"),1.0812702072647153)</f>
        <v>1.081270207</v>
      </c>
      <c r="AF3373" s="2">
        <f>IFERROR(__xludf.DUMMYFUNCTION("IFERROR(ABS(R3373-AVERAGE(FILTER(R3373:R7441,AA3373:AA7441=""Neighbor""))) / STDEV(FILTER(R3373:R7441, AA3373:AA7441 =""Neighbor"")), """")"),0.3295324673518999)</f>
        <v>0.3295324674</v>
      </c>
    </row>
    <row r="3374">
      <c r="A3374" s="2" t="s">
        <v>28</v>
      </c>
      <c r="B3374" s="2" t="s">
        <v>4358</v>
      </c>
      <c r="C3374" s="2" t="s">
        <v>4567</v>
      </c>
      <c r="D3374" s="2" t="s">
        <v>13744</v>
      </c>
      <c r="E3374" s="2" t="s">
        <v>13745</v>
      </c>
      <c r="F3374" s="2">
        <v>34.0</v>
      </c>
      <c r="G3374" s="2">
        <v>58.0</v>
      </c>
      <c r="H3374" s="2" t="b">
        <v>1</v>
      </c>
      <c r="I3374" s="2">
        <v>-1.0</v>
      </c>
      <c r="J3374" s="2" t="b">
        <v>0</v>
      </c>
      <c r="K3374" s="2" t="b">
        <v>0</v>
      </c>
      <c r="L3374" s="2" t="b">
        <v>0</v>
      </c>
      <c r="M3374" s="2" t="b">
        <v>0</v>
      </c>
      <c r="N3374" s="2" t="s">
        <v>33</v>
      </c>
      <c r="O3374" s="2">
        <v>11.0</v>
      </c>
      <c r="P3374" s="2">
        <v>20.0</v>
      </c>
      <c r="Q3374" s="2">
        <v>1.0</v>
      </c>
      <c r="R3374" s="2">
        <v>0.0</v>
      </c>
      <c r="S3374" s="3" t="s">
        <v>13746</v>
      </c>
      <c r="T3374" s="2" t="s">
        <v>13747</v>
      </c>
      <c r="Y3374" s="4" t="str">
        <f>IFERROR(__xludf.DUMMYFUNCTION("""COMPUTED_VALUE"""),"6.657425")</f>
        <v>6.657425</v>
      </c>
      <c r="Z3374" s="4" t="str">
        <f>IFERROR(__xludf.DUMMYFUNCTION("""COMPUTED_VALUE"""),"3.4145075")</f>
        <v>3.4145075</v>
      </c>
      <c r="AA3374" s="4" t="str">
        <f t="shared" si="1"/>
        <v>Not Neighbor</v>
      </c>
      <c r="AC3374" s="4">
        <f>IFERROR(__xludf.DUMMYFUNCTION("IFERROR(ABS(O3374-AVERAGE(FILTER(O3374:O7442,AA3374:AA7442=""Neighbor""))) / STDEV(FILTER(O3374:O7442, AA3374:AA7442 =""Neighbor"")), """")"),1.0812702072647153)</f>
        <v>1.081270207</v>
      </c>
      <c r="AF3374" s="2">
        <f>IFERROR(__xludf.DUMMYFUNCTION("IFERROR(ABS(R3374-AVERAGE(FILTER(R3374:R7442,AA3374:AA7442=""Neighbor""))) / STDEV(FILTER(R3374:R7442, AA3374:AA7442 =""Neighbor"")), """")"),0.3295324673518999)</f>
        <v>0.3295324674</v>
      </c>
    </row>
    <row r="3375">
      <c r="A3375" s="2" t="s">
        <v>28</v>
      </c>
      <c r="B3375" s="2" t="s">
        <v>4358</v>
      </c>
      <c r="C3375" s="2" t="s">
        <v>4567</v>
      </c>
      <c r="D3375" s="2" t="s">
        <v>13748</v>
      </c>
      <c r="E3375" s="2" t="s">
        <v>13749</v>
      </c>
      <c r="F3375" s="2">
        <v>56.0</v>
      </c>
      <c r="G3375" s="2">
        <v>117.0</v>
      </c>
      <c r="H3375" s="2" t="b">
        <v>1</v>
      </c>
      <c r="I3375" s="2">
        <v>-1.0</v>
      </c>
      <c r="J3375" s="2" t="b">
        <v>0</v>
      </c>
      <c r="K3375" s="2" t="b">
        <v>0</v>
      </c>
      <c r="L3375" s="2" t="b">
        <v>0</v>
      </c>
      <c r="M3375" s="2" t="b">
        <v>0</v>
      </c>
      <c r="N3375" s="2" t="s">
        <v>33</v>
      </c>
      <c r="O3375" s="2">
        <v>18.0</v>
      </c>
      <c r="P3375" s="2">
        <v>20.0</v>
      </c>
      <c r="Q3375" s="2">
        <v>2.0</v>
      </c>
      <c r="R3375" s="2">
        <v>0.0</v>
      </c>
      <c r="S3375" s="3" t="s">
        <v>13750</v>
      </c>
      <c r="T3375" s="2" t="s">
        <v>13751</v>
      </c>
      <c r="Y3375" s="4" t="str">
        <f>IFERROR(__xludf.DUMMYFUNCTION("""COMPUTED_VALUE"""),"6.6376907")</f>
        <v>6.6376907</v>
      </c>
      <c r="Z3375" s="4" t="str">
        <f>IFERROR(__xludf.DUMMYFUNCTION("""COMPUTED_VALUE"""),"3.3558525")</f>
        <v>3.3558525</v>
      </c>
      <c r="AA3375" s="4" t="str">
        <f t="shared" si="1"/>
        <v>Neighbor</v>
      </c>
      <c r="AC3375" s="4">
        <f>IFERROR(__xludf.DUMMYFUNCTION("IFERROR(ABS(O3375-AVERAGE(FILTER(O3375:O7443,AA3375:AA7443=""Neighbor""))) / STDEV(FILTER(O3375:O7443, AA3375:AA7443 =""Neighbor"")), """")"),0.869714774202332)</f>
        <v>0.8697147742</v>
      </c>
      <c r="AF3375" s="2">
        <f>IFERROR(__xludf.DUMMYFUNCTION("IFERROR(ABS(R3375-AVERAGE(FILTER(R3375:R7443,AA3375:AA7443=""Neighbor""))) / STDEV(FILTER(R3375:R7443, AA3375:AA7443 =""Neighbor"")), """")"),0.3295324673518999)</f>
        <v>0.3295324674</v>
      </c>
    </row>
    <row r="3376">
      <c r="A3376" s="2" t="s">
        <v>28</v>
      </c>
      <c r="B3376" s="2" t="s">
        <v>4358</v>
      </c>
      <c r="C3376" s="2" t="s">
        <v>4567</v>
      </c>
      <c r="D3376" s="2" t="s">
        <v>13752</v>
      </c>
      <c r="E3376" s="2" t="s">
        <v>13753</v>
      </c>
      <c r="F3376" s="2">
        <v>27.0</v>
      </c>
      <c r="G3376" s="2">
        <v>57.0</v>
      </c>
      <c r="H3376" s="2" t="b">
        <v>1</v>
      </c>
      <c r="I3376" s="2">
        <v>-1.0</v>
      </c>
      <c r="J3376" s="2" t="b">
        <v>0</v>
      </c>
      <c r="K3376" s="2" t="b">
        <v>0</v>
      </c>
      <c r="L3376" s="2" t="b">
        <v>0</v>
      </c>
      <c r="M3376" s="2" t="b">
        <v>0</v>
      </c>
      <c r="N3376" s="2" t="s">
        <v>33</v>
      </c>
      <c r="O3376" s="2">
        <v>6.0</v>
      </c>
      <c r="P3376" s="2">
        <v>13.0</v>
      </c>
      <c r="Q3376" s="2">
        <v>2.0</v>
      </c>
      <c r="R3376" s="2">
        <v>0.0</v>
      </c>
      <c r="S3376" s="3" t="s">
        <v>13754</v>
      </c>
      <c r="T3376" s="2" t="s">
        <v>13755</v>
      </c>
      <c r="Y3376" s="4" t="str">
        <f>IFERROR(__xludf.DUMMYFUNCTION("""COMPUTED_VALUE"""),"6.6376907")</f>
        <v>6.6376907</v>
      </c>
      <c r="Z3376" s="4" t="str">
        <f>IFERROR(__xludf.DUMMYFUNCTION("""COMPUTED_VALUE"""),"3.3558525")</f>
        <v>3.3558525</v>
      </c>
      <c r="AA3376" s="4" t="str">
        <f t="shared" si="1"/>
        <v>Not Neighbor</v>
      </c>
      <c r="AC3376" s="4">
        <f>IFERROR(__xludf.DUMMYFUNCTION("IFERROR(ABS(O3376-AVERAGE(FILTER(O3376:O7444,AA3376:AA7444=""Neighbor""))) / STDEV(FILTER(O3376:O7444, AA3376:AA7444 =""Neighbor"")), """")"),1.2352069215753758)</f>
        <v>1.235206922</v>
      </c>
      <c r="AF3376" s="2">
        <f>IFERROR(__xludf.DUMMYFUNCTION("IFERROR(ABS(R3376-AVERAGE(FILTER(R3376:R7444,AA3376:AA7444=""Neighbor""))) / STDEV(FILTER(R3376:R7444, AA3376:AA7444 =""Neighbor"")), """")"),0.33024603922033274)</f>
        <v>0.3302460392</v>
      </c>
    </row>
    <row r="3377">
      <c r="A3377" s="2" t="s">
        <v>28</v>
      </c>
      <c r="B3377" s="2" t="s">
        <v>4358</v>
      </c>
      <c r="C3377" s="2" t="s">
        <v>4567</v>
      </c>
      <c r="D3377" s="2" t="s">
        <v>13756</v>
      </c>
      <c r="E3377" s="2" t="s">
        <v>13757</v>
      </c>
      <c r="F3377" s="2">
        <v>33.0</v>
      </c>
      <c r="G3377" s="2">
        <v>71.0</v>
      </c>
      <c r="H3377" s="2" t="b">
        <v>1</v>
      </c>
      <c r="I3377" s="2">
        <v>-1.0</v>
      </c>
      <c r="J3377" s="2" t="b">
        <v>0</v>
      </c>
      <c r="K3377" s="2" t="b">
        <v>1</v>
      </c>
      <c r="L3377" s="2" t="b">
        <v>0</v>
      </c>
      <c r="M3377" s="2" t="b">
        <v>0</v>
      </c>
      <c r="N3377" s="2" t="s">
        <v>33</v>
      </c>
      <c r="O3377" s="2">
        <v>6.0</v>
      </c>
      <c r="P3377" s="2">
        <v>21.0</v>
      </c>
      <c r="Q3377" s="2">
        <v>1.0</v>
      </c>
      <c r="R3377" s="2">
        <v>0.0</v>
      </c>
      <c r="S3377" s="3" t="s">
        <v>13758</v>
      </c>
      <c r="T3377" s="2" t="s">
        <v>13759</v>
      </c>
      <c r="Y3377" s="4" t="str">
        <f>IFERROR(__xludf.DUMMYFUNCTION("""COMPUTED_VALUE"""),"6.639892")</f>
        <v>6.639892</v>
      </c>
      <c r="Z3377" s="4" t="str">
        <f>IFERROR(__xludf.DUMMYFUNCTION("""COMPUTED_VALUE"""),"3.3400352")</f>
        <v>3.3400352</v>
      </c>
      <c r="AA3377" s="4" t="str">
        <f t="shared" si="1"/>
        <v>Not Neighbor</v>
      </c>
      <c r="AC3377" s="4">
        <f>IFERROR(__xludf.DUMMYFUNCTION("IFERROR(ABS(O3377-AVERAGE(FILTER(O3377:O7445,AA3377:AA7445=""Neighbor""))) / STDEV(FILTER(O3377:O7445, AA3377:AA7445 =""Neighbor"")), """")"),1.2352069215753758)</f>
        <v>1.235206922</v>
      </c>
      <c r="AF3377" s="2">
        <f>IFERROR(__xludf.DUMMYFUNCTION("IFERROR(ABS(R3377-AVERAGE(FILTER(R3377:R7445,AA3377:AA7445=""Neighbor""))) / STDEV(FILTER(R3377:R7445, AA3377:AA7445 =""Neighbor"")), """")"),0.33024603922033274)</f>
        <v>0.3302460392</v>
      </c>
    </row>
    <row r="3378">
      <c r="A3378" s="2" t="s">
        <v>28</v>
      </c>
      <c r="B3378" s="2" t="s">
        <v>4358</v>
      </c>
      <c r="C3378" s="2" t="s">
        <v>4567</v>
      </c>
      <c r="D3378" s="2" t="s">
        <v>13760</v>
      </c>
      <c r="E3378" s="2" t="s">
        <v>13761</v>
      </c>
      <c r="F3378" s="2">
        <v>39.0</v>
      </c>
      <c r="G3378" s="2">
        <v>66.0</v>
      </c>
      <c r="H3378" s="2" t="b">
        <v>1</v>
      </c>
      <c r="I3378" s="2">
        <v>-1.0</v>
      </c>
      <c r="J3378" s="2" t="b">
        <v>0</v>
      </c>
      <c r="K3378" s="2" t="b">
        <v>1</v>
      </c>
      <c r="L3378" s="2" t="b">
        <v>0</v>
      </c>
      <c r="M3378" s="2" t="b">
        <v>0</v>
      </c>
      <c r="N3378" s="2" t="s">
        <v>33</v>
      </c>
      <c r="O3378" s="2">
        <v>22.0</v>
      </c>
      <c r="P3378" s="2">
        <v>13.0</v>
      </c>
      <c r="Q3378" s="2">
        <v>2.0</v>
      </c>
      <c r="R3378" s="2">
        <v>0.0</v>
      </c>
      <c r="S3378" s="3" t="s">
        <v>13762</v>
      </c>
      <c r="T3378" s="2" t="s">
        <v>13763</v>
      </c>
      <c r="Y3378" s="4" t="str">
        <f>IFERROR(__xludf.DUMMYFUNCTION("""COMPUTED_VALUE"""),"6.6351156")</f>
        <v>6.6351156</v>
      </c>
      <c r="Z3378" s="4" t="str">
        <f>IFERROR(__xludf.DUMMYFUNCTION("""COMPUTED_VALUE"""),"3.3603044")</f>
        <v>3.3603044</v>
      </c>
      <c r="AA3378" s="4" t="str">
        <f t="shared" si="1"/>
        <v>Neighbor</v>
      </c>
      <c r="AC3378" s="4">
        <f>IFERROR(__xludf.DUMMYFUNCTION("IFERROR(ABS(O3378-AVERAGE(FILTER(O3378:O7446,AA3378:AA7446=""Neighbor""))) / STDEV(FILTER(O3378:O7446, AA3378:AA7446 =""Neighbor"")), """")"),0.751880534308901)</f>
        <v>0.7518805343</v>
      </c>
      <c r="AF3378" s="2">
        <f>IFERROR(__xludf.DUMMYFUNCTION("IFERROR(ABS(R3378-AVERAGE(FILTER(R3378:R7446,AA3378:AA7446=""Neighbor""))) / STDEV(FILTER(R3378:R7446, AA3378:AA7446 =""Neighbor"")), """")"),0.33024603922033274)</f>
        <v>0.3302460392</v>
      </c>
    </row>
    <row r="3379">
      <c r="A3379" s="2" t="s">
        <v>28</v>
      </c>
      <c r="B3379" s="2" t="s">
        <v>4358</v>
      </c>
      <c r="C3379" s="2" t="s">
        <v>4567</v>
      </c>
      <c r="D3379" s="2" t="s">
        <v>13764</v>
      </c>
      <c r="E3379" s="2" t="s">
        <v>13765</v>
      </c>
      <c r="F3379" s="2">
        <v>80.0</v>
      </c>
      <c r="G3379" s="2">
        <v>144.0</v>
      </c>
      <c r="H3379" s="2" t="b">
        <v>1</v>
      </c>
      <c r="I3379" s="2">
        <v>-1.0</v>
      </c>
      <c r="J3379" s="2" t="b">
        <v>0</v>
      </c>
      <c r="K3379" s="2" t="b">
        <v>0</v>
      </c>
      <c r="L3379" s="2" t="b">
        <v>0</v>
      </c>
      <c r="M3379" s="2" t="b">
        <v>0</v>
      </c>
      <c r="N3379" s="2" t="s">
        <v>33</v>
      </c>
      <c r="O3379" s="2">
        <v>7.0</v>
      </c>
      <c r="P3379" s="2">
        <v>60.0</v>
      </c>
      <c r="Q3379" s="2">
        <v>4.0</v>
      </c>
      <c r="R3379" s="2">
        <v>0.0</v>
      </c>
      <c r="S3379" s="3" t="s">
        <v>13766</v>
      </c>
      <c r="T3379" s="2" t="s">
        <v>13767</v>
      </c>
      <c r="Y3379" s="4" t="str">
        <f>IFERROR(__xludf.DUMMYFUNCTION("""COMPUTED_VALUE"""),"6.6351156")</f>
        <v>6.6351156</v>
      </c>
      <c r="Z3379" s="4" t="str">
        <f>IFERROR(__xludf.DUMMYFUNCTION("""COMPUTED_VALUE"""),"3.3603044")</f>
        <v>3.3603044</v>
      </c>
      <c r="AA3379" s="4" t="str">
        <f t="shared" si="1"/>
        <v>Neighbor</v>
      </c>
      <c r="AC3379" s="4">
        <f>IFERROR(__xludf.DUMMYFUNCTION("IFERROR(ABS(O3379-AVERAGE(FILTER(O3379:O7447,AA3379:AA7447=""Neighbor""))) / STDEV(FILTER(O3379:O7447, AA3379:AA7447 =""Neighbor"")), """")"),1.2069281282092894)</f>
        <v>1.206928128</v>
      </c>
      <c r="AF3379" s="2">
        <f>IFERROR(__xludf.DUMMYFUNCTION("IFERROR(ABS(R3379-AVERAGE(FILTER(R3379:R7447,AA3379:AA7447=""Neighbor""))) / STDEV(FILTER(R3379:R7447, AA3379:AA7447 =""Neighbor"")), """")"),0.33096426890002156)</f>
        <v>0.3309642689</v>
      </c>
    </row>
    <row r="3380">
      <c r="A3380" s="2" t="s">
        <v>28</v>
      </c>
      <c r="B3380" s="2" t="s">
        <v>4358</v>
      </c>
      <c r="C3380" s="2" t="s">
        <v>4567</v>
      </c>
      <c r="D3380" s="2" t="s">
        <v>13768</v>
      </c>
      <c r="E3380" s="2" t="s">
        <v>13769</v>
      </c>
      <c r="F3380" s="2">
        <v>17.0</v>
      </c>
      <c r="G3380" s="2">
        <v>53.0</v>
      </c>
      <c r="H3380" s="2" t="b">
        <v>1</v>
      </c>
      <c r="I3380" s="2">
        <v>-1.0</v>
      </c>
      <c r="J3380" s="2" t="b">
        <v>0</v>
      </c>
      <c r="K3380" s="2" t="b">
        <v>1</v>
      </c>
      <c r="L3380" s="2" t="b">
        <v>0</v>
      </c>
      <c r="M3380" s="2" t="b">
        <v>0</v>
      </c>
      <c r="N3380" s="2" t="s">
        <v>33</v>
      </c>
      <c r="O3380" s="2">
        <v>2.0</v>
      </c>
      <c r="P3380" s="2">
        <v>12.0</v>
      </c>
      <c r="Q3380" s="2">
        <v>3.0</v>
      </c>
      <c r="R3380" s="2">
        <v>0.0</v>
      </c>
      <c r="S3380" s="3" t="s">
        <v>13770</v>
      </c>
      <c r="T3380" s="2" t="s">
        <v>13771</v>
      </c>
      <c r="Y3380" s="4" t="str">
        <f>IFERROR(__xludf.DUMMYFUNCTION("""COMPUTED_VALUE"""),"6.6351156")</f>
        <v>6.6351156</v>
      </c>
      <c r="Z3380" s="4" t="str">
        <f>IFERROR(__xludf.DUMMYFUNCTION("""COMPUTED_VALUE"""),"3.3603044")</f>
        <v>3.3603044</v>
      </c>
      <c r="AA3380" s="4" t="str">
        <f t="shared" si="1"/>
        <v>Not Neighbor</v>
      </c>
      <c r="AC3380" s="4">
        <f>IFERROR(__xludf.DUMMYFUNCTION("IFERROR(ABS(O3380-AVERAGE(FILTER(O3380:O7448,AA3380:AA7448=""Neighbor""))) / STDEV(FILTER(O3380:O7448, AA3380:AA7448 =""Neighbor"")), """")"),1.3638611240460654)</f>
        <v>1.363861124</v>
      </c>
      <c r="AF3380" s="2">
        <f>IFERROR(__xludf.DUMMYFUNCTION("IFERROR(ABS(R3380-AVERAGE(FILTER(R3380:R7448,AA3380:AA7448=""Neighbor""))) / STDEV(FILTER(R3380:R7448, AA3380:AA7448 =""Neighbor"")), """")"),0.3316872073060639)</f>
        <v>0.3316872073</v>
      </c>
    </row>
    <row r="3381">
      <c r="A3381" s="2" t="s">
        <v>28</v>
      </c>
      <c r="B3381" s="2" t="s">
        <v>4358</v>
      </c>
      <c r="C3381" s="2" t="s">
        <v>4567</v>
      </c>
      <c r="D3381" s="2" t="s">
        <v>13772</v>
      </c>
      <c r="E3381" s="2" t="s">
        <v>13773</v>
      </c>
      <c r="F3381" s="2">
        <v>159.0</v>
      </c>
      <c r="G3381" s="2">
        <v>250.0</v>
      </c>
      <c r="H3381" s="2" t="b">
        <v>1</v>
      </c>
      <c r="I3381" s="2">
        <v>-1.0</v>
      </c>
      <c r="J3381" s="2" t="b">
        <v>0</v>
      </c>
      <c r="K3381" s="2" t="b">
        <v>0</v>
      </c>
      <c r="L3381" s="2" t="b">
        <v>0</v>
      </c>
      <c r="M3381" s="2" t="b">
        <v>0</v>
      </c>
      <c r="N3381" s="2" t="s">
        <v>33</v>
      </c>
      <c r="O3381" s="2">
        <v>39.0</v>
      </c>
      <c r="P3381" s="2">
        <v>99.0</v>
      </c>
      <c r="Q3381" s="2">
        <v>0.0</v>
      </c>
      <c r="R3381" s="2">
        <v>5.0</v>
      </c>
      <c r="S3381" s="3" t="s">
        <v>13774</v>
      </c>
      <c r="T3381" s="2" t="s">
        <v>13775</v>
      </c>
      <c r="Y3381" s="4" t="str">
        <f>IFERROR(__xludf.DUMMYFUNCTION("""COMPUTED_VALUE"""),"6.6511865")</f>
        <v>6.6511865</v>
      </c>
      <c r="Z3381" s="4" t="str">
        <f>IFERROR(__xludf.DUMMYFUNCTION("""COMPUTED_VALUE"""),"3.3909026")</f>
        <v>3.3909026</v>
      </c>
      <c r="AA3381" s="4" t="str">
        <f t="shared" si="1"/>
        <v>Not Neighbor</v>
      </c>
      <c r="AC3381" s="4">
        <f>IFERROR(__xludf.DUMMYFUNCTION("IFERROR(ABS(O3381-AVERAGE(FILTER(O3381:O7449,AA3381:AA7449=""Neighbor""))) / STDEV(FILTER(O3381:O7449, AA3381:AA7449 =""Neighbor"")), """")"),0.24609681112405368)</f>
        <v>0.2460968111</v>
      </c>
      <c r="AF3381" s="2">
        <f>IFERROR(__xludf.DUMMYFUNCTION("IFERROR(ABS(R3381-AVERAGE(FILTER(R3381:R7449,AA3381:AA7449=""Neighbor""))) / STDEV(FILTER(R3381:R7449, AA3381:AA7449 =""Neighbor"")), """")"),5.495872754390753)</f>
        <v>5.495872754</v>
      </c>
    </row>
    <row r="3382">
      <c r="A3382" s="2" t="s">
        <v>28</v>
      </c>
      <c r="B3382" s="2" t="s">
        <v>4358</v>
      </c>
      <c r="C3382" s="2" t="s">
        <v>4745</v>
      </c>
      <c r="D3382" s="2" t="s">
        <v>13776</v>
      </c>
      <c r="E3382" s="2" t="s">
        <v>13777</v>
      </c>
      <c r="F3382" s="2">
        <v>208.0</v>
      </c>
      <c r="G3382" s="2">
        <v>419.0</v>
      </c>
      <c r="H3382" s="2" t="b">
        <v>1</v>
      </c>
      <c r="I3382" s="2">
        <v>-1.0</v>
      </c>
      <c r="J3382" s="2" t="b">
        <v>0</v>
      </c>
      <c r="K3382" s="2" t="b">
        <v>0</v>
      </c>
      <c r="L3382" s="2" t="b">
        <v>0</v>
      </c>
      <c r="M3382" s="2" t="b">
        <v>0</v>
      </c>
      <c r="N3382" s="2" t="s">
        <v>33</v>
      </c>
      <c r="O3382" s="2">
        <v>132.0</v>
      </c>
      <c r="P3382" s="2">
        <v>59.0</v>
      </c>
      <c r="Q3382" s="2">
        <v>11.0</v>
      </c>
      <c r="R3382" s="2">
        <v>0.0</v>
      </c>
      <c r="S3382" s="3" t="s">
        <v>13778</v>
      </c>
      <c r="T3382" s="2" t="s">
        <v>13779</v>
      </c>
      <c r="Y3382" s="4" t="str">
        <f>IFERROR(__xludf.DUMMYFUNCTION("""COMPUTED_VALUE"""),"")</f>
        <v/>
      </c>
      <c r="Z3382" s="4" t="str">
        <f>IFERROR(__xludf.DUMMYFUNCTION("""COMPUTED_VALUE"""),"")</f>
        <v/>
      </c>
      <c r="AA3382" s="4" t="str">
        <f t="shared" si="1"/>
        <v>Not Neighbor</v>
      </c>
      <c r="AC3382" s="4">
        <f>IFERROR(__xludf.DUMMYFUNCTION("IFERROR(ABS(O3382-AVERAGE(FILTER(O3382:O7450,AA3382:AA7450=""Neighbor""))) / STDEV(FILTER(O3382:O7450, AA3382:AA7450 =""Neighbor"")), """")"),2.5634188943285707)</f>
        <v>2.563418894</v>
      </c>
      <c r="AF3382" s="2">
        <f>IFERROR(__xludf.DUMMYFUNCTION("IFERROR(ABS(R3382-AVERAGE(FILTER(R3382:R7450,AA3382:AA7450=""Neighbor""))) / STDEV(FILTER(R3382:R7450, AA3382:AA7450 =""Neighbor"")), """")"),0.3316872073060639)</f>
        <v>0.3316872073</v>
      </c>
    </row>
    <row r="3383">
      <c r="A3383" s="2" t="s">
        <v>28</v>
      </c>
      <c r="B3383" s="2" t="s">
        <v>4358</v>
      </c>
      <c r="C3383" s="2" t="s">
        <v>4745</v>
      </c>
      <c r="D3383" s="2" t="s">
        <v>13780</v>
      </c>
      <c r="E3383" s="2" t="s">
        <v>13781</v>
      </c>
      <c r="F3383" s="2">
        <v>154.0</v>
      </c>
      <c r="G3383" s="2">
        <v>347.0</v>
      </c>
      <c r="H3383" s="2" t="b">
        <v>1</v>
      </c>
      <c r="I3383" s="2">
        <v>-1.0</v>
      </c>
      <c r="J3383" s="2" t="b">
        <v>0</v>
      </c>
      <c r="K3383" s="2" t="b">
        <v>0</v>
      </c>
      <c r="L3383" s="2" t="b">
        <v>0</v>
      </c>
      <c r="M3383" s="2" t="b">
        <v>0</v>
      </c>
      <c r="N3383" s="2" t="s">
        <v>33</v>
      </c>
      <c r="O3383" s="2">
        <v>81.0</v>
      </c>
      <c r="P3383" s="2">
        <v>29.0</v>
      </c>
      <c r="Q3383" s="2">
        <v>5.0</v>
      </c>
      <c r="R3383" s="2">
        <v>0.0</v>
      </c>
      <c r="S3383" s="3" t="s">
        <v>13782</v>
      </c>
      <c r="T3383" s="2" t="s">
        <v>13783</v>
      </c>
      <c r="Y3383" s="4" t="str">
        <f>IFERROR(__xludf.DUMMYFUNCTION("""COMPUTED_VALUE"""),"6.7494516")</f>
        <v>6.7494516</v>
      </c>
      <c r="Z3383" s="4" t="str">
        <f>IFERROR(__xludf.DUMMYFUNCTION("""COMPUTED_VALUE"""),"3.331966")</f>
        <v>3.331966</v>
      </c>
      <c r="AA3383" s="4" t="str">
        <f t="shared" si="1"/>
        <v>Not Neighbor</v>
      </c>
      <c r="AC3383" s="4">
        <f>IFERROR(__xludf.DUMMYFUNCTION("IFERROR(ABS(O3383-AVERAGE(FILTER(O3383:O7451,AA3383:AA7451=""Neighbor""))) / STDEV(FILTER(O3383:O7451, AA3383:AA7451 =""Neighbor"")), """")"),1.0227167332739056)</f>
        <v>1.022716733</v>
      </c>
      <c r="AF3383" s="2">
        <f>IFERROR(__xludf.DUMMYFUNCTION("IFERROR(ABS(R3383-AVERAGE(FILTER(R3383:R7451,AA3383:AA7451=""Neighbor""))) / STDEV(FILTER(R3383:R7451, AA3383:AA7451 =""Neighbor"")), """")"),0.3316872073060639)</f>
        <v>0.3316872073</v>
      </c>
    </row>
    <row r="3384">
      <c r="A3384" s="2" t="s">
        <v>28</v>
      </c>
      <c r="B3384" s="2" t="s">
        <v>4358</v>
      </c>
      <c r="C3384" s="2" t="s">
        <v>4745</v>
      </c>
      <c r="D3384" s="2" t="s">
        <v>13784</v>
      </c>
      <c r="E3384" s="2" t="s">
        <v>13785</v>
      </c>
      <c r="F3384" s="2">
        <v>250.0</v>
      </c>
      <c r="G3384" s="2">
        <v>548.0</v>
      </c>
      <c r="H3384" s="2" t="b">
        <v>1</v>
      </c>
      <c r="I3384" s="2">
        <v>-1.0</v>
      </c>
      <c r="J3384" s="2" t="b">
        <v>0</v>
      </c>
      <c r="K3384" s="2" t="b">
        <v>0</v>
      </c>
      <c r="L3384" s="2" t="b">
        <v>0</v>
      </c>
      <c r="M3384" s="2" t="b">
        <v>0</v>
      </c>
      <c r="N3384" s="2" t="s">
        <v>33</v>
      </c>
      <c r="O3384" s="2">
        <v>169.0</v>
      </c>
      <c r="P3384" s="2">
        <v>48.0</v>
      </c>
      <c r="Q3384" s="2">
        <v>4.0</v>
      </c>
      <c r="R3384" s="2">
        <v>0.0</v>
      </c>
      <c r="S3384" s="3" t="s">
        <v>13786</v>
      </c>
      <c r="T3384" s="2" t="s">
        <v>13787</v>
      </c>
      <c r="Y3384" s="4" t="str">
        <f>IFERROR(__xludf.DUMMYFUNCTION("""COMPUTED_VALUE"""),"6.7088792")</f>
        <v>6.7088792</v>
      </c>
      <c r="Z3384" s="4" t="str">
        <f>IFERROR(__xludf.DUMMYFUNCTION("""COMPUTED_VALUE"""),"3.3307257")</f>
        <v>3.3307257</v>
      </c>
      <c r="AA3384" s="4" t="str">
        <f t="shared" si="1"/>
        <v>Not Neighbor</v>
      </c>
      <c r="AC3384" s="4">
        <f>IFERROR(__xludf.DUMMYFUNCTION("IFERROR(ABS(O3384-AVERAGE(FILTER(O3384:O7452,AA3384:AA7452=""Neighbor""))) / STDEV(FILTER(O3384:O7452, AA3384:AA7452 =""Neighbor"")), """")"),3.6811832072505823)</f>
        <v>3.681183207</v>
      </c>
      <c r="AF3384" s="2">
        <f>IFERROR(__xludf.DUMMYFUNCTION("IFERROR(ABS(R3384-AVERAGE(FILTER(R3384:R7452,AA3384:AA7452=""Neighbor""))) / STDEV(FILTER(R3384:R7452, AA3384:AA7452 =""Neighbor"")), """")"),0.3316872073060639)</f>
        <v>0.3316872073</v>
      </c>
    </row>
    <row r="3385">
      <c r="A3385" s="2" t="s">
        <v>28</v>
      </c>
      <c r="B3385" s="2" t="s">
        <v>4358</v>
      </c>
      <c r="C3385" s="2" t="s">
        <v>4745</v>
      </c>
      <c r="D3385" s="2" t="s">
        <v>13788</v>
      </c>
      <c r="E3385" s="2" t="s">
        <v>13789</v>
      </c>
      <c r="F3385" s="2">
        <v>114.0</v>
      </c>
      <c r="G3385" s="2">
        <v>242.0</v>
      </c>
      <c r="H3385" s="2" t="b">
        <v>1</v>
      </c>
      <c r="I3385" s="2">
        <v>-1.0</v>
      </c>
      <c r="J3385" s="2" t="b">
        <v>0</v>
      </c>
      <c r="K3385" s="2" t="b">
        <v>0</v>
      </c>
      <c r="L3385" s="2" t="b">
        <v>0</v>
      </c>
      <c r="M3385" s="2" t="b">
        <v>0</v>
      </c>
      <c r="N3385" s="2" t="s">
        <v>33</v>
      </c>
      <c r="O3385" s="2">
        <v>58.0</v>
      </c>
      <c r="P3385" s="2">
        <v>14.0</v>
      </c>
      <c r="Q3385" s="2">
        <v>8.0</v>
      </c>
      <c r="R3385" s="2">
        <v>0.0</v>
      </c>
      <c r="S3385" s="3" t="s">
        <v>13790</v>
      </c>
      <c r="T3385" s="2" t="s">
        <v>13791</v>
      </c>
      <c r="Y3385" s="4" t="str">
        <f>IFERROR(__xludf.DUMMYFUNCTION("""COMPUTED_VALUE"""),"6.7226975")</f>
        <v>6.7226975</v>
      </c>
      <c r="Z3385" s="4" t="str">
        <f>IFERROR(__xludf.DUMMYFUNCTION("""COMPUTED_VALUE"""),"3.3288945")</f>
        <v>3.3288945</v>
      </c>
      <c r="AA3385" s="4" t="str">
        <f t="shared" si="1"/>
        <v>Not Neighbor</v>
      </c>
      <c r="AC3385" s="4">
        <f>IFERROR(__xludf.DUMMYFUNCTION("IFERROR(ABS(O3385-AVERAGE(FILTER(O3385:O7453,AA3385:AA7453=""Neighbor""))) / STDEV(FILTER(O3385:O7453, AA3385:AA7453 =""Neighbor"")), """")"),0.32789026848454694)</f>
        <v>0.3278902685</v>
      </c>
      <c r="AF3385" s="2">
        <f>IFERROR(__xludf.DUMMYFUNCTION("IFERROR(ABS(R3385-AVERAGE(FILTER(R3385:R7453,AA3385:AA7453=""Neighbor""))) / STDEV(FILTER(R3385:R7453, AA3385:AA7453 =""Neighbor"")), """")"),0.3316872073060639)</f>
        <v>0.3316872073</v>
      </c>
    </row>
    <row r="3386">
      <c r="A3386" s="2" t="s">
        <v>28</v>
      </c>
      <c r="B3386" s="2" t="s">
        <v>4358</v>
      </c>
      <c r="C3386" s="2" t="s">
        <v>4745</v>
      </c>
      <c r="D3386" s="2" t="s">
        <v>13792</v>
      </c>
      <c r="E3386" s="2" t="s">
        <v>13793</v>
      </c>
      <c r="F3386" s="2">
        <v>291.0</v>
      </c>
      <c r="G3386" s="2">
        <v>554.0</v>
      </c>
      <c r="H3386" s="2" t="b">
        <v>1</v>
      </c>
      <c r="I3386" s="2">
        <v>-1.0</v>
      </c>
      <c r="J3386" s="2" t="b">
        <v>0</v>
      </c>
      <c r="K3386" s="2" t="b">
        <v>0</v>
      </c>
      <c r="L3386" s="2" t="b">
        <v>0</v>
      </c>
      <c r="M3386" s="2" t="b">
        <v>0</v>
      </c>
      <c r="N3386" s="2" t="s">
        <v>33</v>
      </c>
      <c r="O3386" s="2">
        <v>145.0</v>
      </c>
      <c r="P3386" s="2">
        <v>52.0</v>
      </c>
      <c r="Q3386" s="2">
        <v>24.0</v>
      </c>
      <c r="R3386" s="2">
        <v>0.0</v>
      </c>
      <c r="S3386" s="3" t="s">
        <v>13794</v>
      </c>
      <c r="T3386" s="2" t="s">
        <v>13795</v>
      </c>
      <c r="Y3386" s="4" t="str">
        <f>IFERROR(__xludf.DUMMYFUNCTION("""COMPUTED_VALUE"""),"6.7484781")</f>
        <v>6.7484781</v>
      </c>
      <c r="Z3386" s="4" t="str">
        <f>IFERROR(__xludf.DUMMYFUNCTION("""COMPUTED_VALUE"""),"3.2991032")</f>
        <v>3.2991032</v>
      </c>
      <c r="AA3386" s="4" t="str">
        <f t="shared" si="1"/>
        <v>Not Neighbor</v>
      </c>
      <c r="AC3386" s="4">
        <f>IFERROR(__xludf.DUMMYFUNCTION("IFERROR(ABS(O3386-AVERAGE(FILTER(O3386:O7454,AA3386:AA7454=""Neighbor""))) / STDEV(FILTER(O3386:O7454, AA3386:AA7454 =""Neighbor"")), """")"),2.956146896166034)</f>
        <v>2.956146896</v>
      </c>
      <c r="AF3386" s="2">
        <f>IFERROR(__xludf.DUMMYFUNCTION("IFERROR(ABS(R3386-AVERAGE(FILTER(R3386:R7454,AA3386:AA7454=""Neighbor""))) / STDEV(FILTER(R3386:R7454, AA3386:AA7454 =""Neighbor"")), """")"),0.3316872073060639)</f>
        <v>0.3316872073</v>
      </c>
    </row>
    <row r="3387">
      <c r="A3387" s="2" t="s">
        <v>28</v>
      </c>
      <c r="B3387" s="2" t="s">
        <v>4358</v>
      </c>
      <c r="C3387" s="2" t="s">
        <v>4745</v>
      </c>
      <c r="D3387" s="2" t="s">
        <v>13796</v>
      </c>
      <c r="E3387" s="2" t="s">
        <v>13797</v>
      </c>
      <c r="F3387" s="2">
        <v>87.0</v>
      </c>
      <c r="G3387" s="2">
        <v>225.0</v>
      </c>
      <c r="H3387" s="2" t="b">
        <v>1</v>
      </c>
      <c r="I3387" s="2">
        <v>-1.0</v>
      </c>
      <c r="J3387" s="2" t="b">
        <v>0</v>
      </c>
      <c r="K3387" s="2" t="b">
        <v>1</v>
      </c>
      <c r="L3387" s="2" t="b">
        <v>0</v>
      </c>
      <c r="M3387" s="2" t="b">
        <v>0</v>
      </c>
      <c r="N3387" s="2" t="s">
        <v>33</v>
      </c>
      <c r="O3387" s="2">
        <v>50.0</v>
      </c>
      <c r="P3387" s="2">
        <v>12.0</v>
      </c>
      <c r="Q3387" s="2">
        <v>19.0</v>
      </c>
      <c r="R3387" s="2">
        <v>0.0</v>
      </c>
      <c r="S3387" s="3" t="s">
        <v>13798</v>
      </c>
      <c r="T3387" s="2" t="s">
        <v>13799</v>
      </c>
      <c r="Y3387" s="4" t="str">
        <f>IFERROR(__xludf.DUMMYFUNCTION("""COMPUTED_VALUE"""),"6.6847759")</f>
        <v>6.6847759</v>
      </c>
      <c r="Z3387" s="4" t="str">
        <f>IFERROR(__xludf.DUMMYFUNCTION("""COMPUTED_VALUE"""),"3.3168365")</f>
        <v>3.3168365</v>
      </c>
      <c r="AA3387" s="4" t="str">
        <f t="shared" si="1"/>
        <v>Not Neighbor</v>
      </c>
      <c r="AC3387" s="4">
        <f>IFERROR(__xludf.DUMMYFUNCTION("IFERROR(ABS(O3387-AVERAGE(FILTER(O3387:O7455,AA3387:AA7455=""Neighbor""))) / STDEV(FILTER(O3387:O7455, AA3387:AA7455 =""Neighbor"")), """")"),0.08621149812303087)</f>
        <v>0.08621149812</v>
      </c>
      <c r="AF3387" s="2">
        <f>IFERROR(__xludf.DUMMYFUNCTION("IFERROR(ABS(R3387-AVERAGE(FILTER(R3387:R7455,AA3387:AA7455=""Neighbor""))) / STDEV(FILTER(R3387:R7455, AA3387:AA7455 =""Neighbor"")), """")"),0.3316872073060639)</f>
        <v>0.3316872073</v>
      </c>
    </row>
    <row r="3388">
      <c r="A3388" s="2" t="s">
        <v>28</v>
      </c>
      <c r="B3388" s="2" t="s">
        <v>4358</v>
      </c>
      <c r="C3388" s="2" t="s">
        <v>4745</v>
      </c>
      <c r="D3388" s="2" t="s">
        <v>13800</v>
      </c>
      <c r="E3388" s="2" t="s">
        <v>13801</v>
      </c>
      <c r="F3388" s="2">
        <v>198.0</v>
      </c>
      <c r="G3388" s="2">
        <v>452.0</v>
      </c>
      <c r="H3388" s="2" t="b">
        <v>1</v>
      </c>
      <c r="I3388" s="2">
        <v>-1.0</v>
      </c>
      <c r="J3388" s="2" t="b">
        <v>0</v>
      </c>
      <c r="K3388" s="2" t="b">
        <v>0</v>
      </c>
      <c r="L3388" s="2" t="b">
        <v>0</v>
      </c>
      <c r="M3388" s="2" t="b">
        <v>0</v>
      </c>
      <c r="N3388" s="2" t="s">
        <v>33</v>
      </c>
      <c r="O3388" s="2">
        <v>148.0</v>
      </c>
      <c r="P3388" s="2">
        <v>25.0</v>
      </c>
      <c r="Q3388" s="2">
        <v>1.0</v>
      </c>
      <c r="R3388" s="2">
        <v>0.0</v>
      </c>
      <c r="S3388" s="3" t="s">
        <v>13802</v>
      </c>
      <c r="T3388" s="2" t="s">
        <v>13803</v>
      </c>
      <c r="Y3388" s="4" t="str">
        <f>IFERROR(__xludf.DUMMYFUNCTION("""COMPUTED_VALUE"""),"6.727429")</f>
        <v>6.727429</v>
      </c>
      <c r="Z3388" s="4" t="str">
        <f>IFERROR(__xludf.DUMMYFUNCTION("""COMPUTED_VALUE"""),"3.3288183")</f>
        <v>3.3288183</v>
      </c>
      <c r="AA3388" s="4" t="str">
        <f t="shared" si="1"/>
        <v>Neighbor</v>
      </c>
      <c r="AC3388" s="4">
        <f>IFERROR(__xludf.DUMMYFUNCTION("IFERROR(ABS(O3388-AVERAGE(FILTER(O3388:O7456,AA3388:AA7456=""Neighbor""))) / STDEV(FILTER(O3388:O7456, AA3388:AA7456 =""Neighbor"")), """")"),3.0467764350516027)</f>
        <v>3.046776435</v>
      </c>
      <c r="AF3388" s="2">
        <f>IFERROR(__xludf.DUMMYFUNCTION("IFERROR(ABS(R3388-AVERAGE(FILTER(R3388:R7456,AA3388:AA7456=""Neighbor""))) / STDEV(FILTER(R3388:R7456, AA3388:AA7456 =""Neighbor"")), """")"),0.3316872073060639)</f>
        <v>0.3316872073</v>
      </c>
    </row>
    <row r="3389">
      <c r="A3389" s="2" t="s">
        <v>28</v>
      </c>
      <c r="B3389" s="2" t="s">
        <v>4358</v>
      </c>
      <c r="C3389" s="2" t="s">
        <v>4745</v>
      </c>
      <c r="D3389" s="2" t="s">
        <v>13804</v>
      </c>
      <c r="E3389" s="2" t="s">
        <v>13805</v>
      </c>
      <c r="F3389" s="2">
        <v>198.0</v>
      </c>
      <c r="G3389" s="2">
        <v>472.0</v>
      </c>
      <c r="H3389" s="2" t="b">
        <v>1</v>
      </c>
      <c r="I3389" s="2">
        <v>-1.0</v>
      </c>
      <c r="J3389" s="2" t="b">
        <v>0</v>
      </c>
      <c r="K3389" s="2" t="b">
        <v>0</v>
      </c>
      <c r="L3389" s="2" t="b">
        <v>0</v>
      </c>
      <c r="M3389" s="2" t="b">
        <v>0</v>
      </c>
      <c r="N3389" s="2" t="s">
        <v>33</v>
      </c>
      <c r="O3389" s="2">
        <v>136.0</v>
      </c>
      <c r="P3389" s="2">
        <v>24.0</v>
      </c>
      <c r="Q3389" s="2">
        <v>11.0</v>
      </c>
      <c r="R3389" s="2">
        <v>0.0</v>
      </c>
      <c r="S3389" s="3" t="s">
        <v>13806</v>
      </c>
      <c r="T3389" s="2" t="s">
        <v>13807</v>
      </c>
      <c r="Y3389" s="4" t="str">
        <f>IFERROR(__xludf.DUMMYFUNCTION("""COMPUTED_VALUE"""),"6.7296508")</f>
        <v>6.7296508</v>
      </c>
      <c r="Z3389" s="4" t="str">
        <f>IFERROR(__xludf.DUMMYFUNCTION("""COMPUTED_VALUE"""),"3.3246179")</f>
        <v>3.3246179</v>
      </c>
      <c r="AA3389" s="4" t="str">
        <f t="shared" si="1"/>
        <v>Not Neighbor</v>
      </c>
      <c r="AC3389" s="4">
        <f>IFERROR(__xludf.DUMMYFUNCTION("IFERROR(ABS(O3389-AVERAGE(FILTER(O3389:O7457,AA3389:AA7457=""Neighbor""))) / STDEV(FILTER(O3389:O7457, AA3389:AA7457 =""Neighbor"")), """")"),2.7421779475572596)</f>
        <v>2.742177948</v>
      </c>
      <c r="AF3389" s="2">
        <f>IFERROR(__xludf.DUMMYFUNCTION("IFERROR(ABS(R3389-AVERAGE(FILTER(R3389:R7457,AA3389:AA7457=""Neighbor""))) / STDEV(FILTER(R3389:R7457, AA3389:AA7457 =""Neighbor"")), """")"),0.3324149061364483)</f>
        <v>0.3324149061</v>
      </c>
    </row>
    <row r="3390">
      <c r="A3390" s="2" t="s">
        <v>28</v>
      </c>
      <c r="B3390" s="2" t="s">
        <v>4358</v>
      </c>
      <c r="C3390" s="2" t="s">
        <v>4745</v>
      </c>
      <c r="D3390" s="2" t="s">
        <v>13808</v>
      </c>
      <c r="E3390" s="2" t="s">
        <v>13809</v>
      </c>
      <c r="F3390" s="2">
        <v>197.0</v>
      </c>
      <c r="G3390" s="2">
        <v>422.0</v>
      </c>
      <c r="H3390" s="2" t="b">
        <v>1</v>
      </c>
      <c r="I3390" s="2">
        <v>-1.0</v>
      </c>
      <c r="J3390" s="2" t="b">
        <v>0</v>
      </c>
      <c r="K3390" s="2" t="b">
        <v>0</v>
      </c>
      <c r="L3390" s="2" t="b">
        <v>0</v>
      </c>
      <c r="M3390" s="2" t="b">
        <v>0</v>
      </c>
      <c r="N3390" s="2" t="s">
        <v>33</v>
      </c>
      <c r="O3390" s="2">
        <v>107.0</v>
      </c>
      <c r="P3390" s="2">
        <v>39.0</v>
      </c>
      <c r="Q3390" s="2">
        <v>5.0</v>
      </c>
      <c r="R3390" s="2">
        <v>1.0</v>
      </c>
      <c r="S3390" s="3" t="s">
        <v>13810</v>
      </c>
      <c r="T3390" s="2" t="s">
        <v>13811</v>
      </c>
      <c r="Y3390" s="4" t="str">
        <f>IFERROR(__xludf.DUMMYFUNCTION("""COMPUTED_VALUE"""),"7.5479221")</f>
        <v>7.5479221</v>
      </c>
      <c r="Z3390" s="4" t="str">
        <f>IFERROR(__xludf.DUMMYFUNCTION("""COMPUTED_VALUE"""),"3.8261751")</f>
        <v>3.8261751</v>
      </c>
      <c r="AA3390" s="4" t="str">
        <f t="shared" si="1"/>
        <v>Not Neighbor</v>
      </c>
      <c r="AC3390" s="4">
        <f>IFERROR(__xludf.DUMMYFUNCTION("IFERROR(ABS(O3390-AVERAGE(FILTER(O3390:O7458,AA3390:AA7458=""Neighbor""))) / STDEV(FILTER(O3390:O7458, AA3390:AA7458 =""Neighbor"")), """")"),1.8512017586568306)</f>
        <v>1.851201759</v>
      </c>
      <c r="AF3390" s="2">
        <f>IFERROR(__xludf.DUMMYFUNCTION("IFERROR(ABS(R3390-AVERAGE(FILTER(R3390:R7458,AA3390:AA7458=""Neighbor""))) / STDEV(FILTER(R3390:R7458, AA3390:AA7458 =""Neighbor"")), """")"),0.8310372653411209)</f>
        <v>0.8310372653</v>
      </c>
    </row>
    <row r="3391">
      <c r="A3391" s="2" t="s">
        <v>28</v>
      </c>
      <c r="B3391" s="2" t="s">
        <v>4358</v>
      </c>
      <c r="C3391" s="2" t="s">
        <v>4745</v>
      </c>
      <c r="D3391" s="2" t="s">
        <v>13812</v>
      </c>
      <c r="E3391" s="2" t="s">
        <v>13813</v>
      </c>
      <c r="F3391" s="2">
        <v>82.0</v>
      </c>
      <c r="G3391" s="2">
        <v>147.0</v>
      </c>
      <c r="H3391" s="2" t="b">
        <v>1</v>
      </c>
      <c r="I3391" s="2">
        <v>-1.0</v>
      </c>
      <c r="J3391" s="2" t="b">
        <v>0</v>
      </c>
      <c r="K3391" s="2" t="b">
        <v>0</v>
      </c>
      <c r="L3391" s="2" t="b">
        <v>0</v>
      </c>
      <c r="M3391" s="2" t="b">
        <v>0</v>
      </c>
      <c r="N3391" s="2" t="s">
        <v>33</v>
      </c>
      <c r="O3391" s="2">
        <v>57.0</v>
      </c>
      <c r="P3391" s="2">
        <v>4.0</v>
      </c>
      <c r="Q3391" s="2">
        <v>3.0</v>
      </c>
      <c r="R3391" s="2">
        <v>0.0</v>
      </c>
      <c r="S3391" s="3" t="s">
        <v>13814</v>
      </c>
      <c r="T3391" s="2" t="s">
        <v>13815</v>
      </c>
      <c r="Y3391" s="4" t="str">
        <f>IFERROR(__xludf.DUMMYFUNCTION("""COMPUTED_VALUE"""),"6.7037611")</f>
        <v>6.7037611</v>
      </c>
      <c r="Z3391" s="4" t="str">
        <f>IFERROR(__xludf.DUMMYFUNCTION("""COMPUTED_VALUE"""),"3.2952095")</f>
        <v>3.2952095</v>
      </c>
      <c r="AA3391" s="4" t="str">
        <f t="shared" si="1"/>
        <v>Not Neighbor</v>
      </c>
      <c r="AC3391" s="4">
        <f>IFERROR(__xludf.DUMMYFUNCTION("IFERROR(ABS(O3391-AVERAGE(FILTER(O3391:O7459,AA3391:AA7459=""Neighbor""))) / STDEV(FILTER(O3391:O7459, AA3391:AA7459 =""Neighbor"")), """")"),0.31503591572505596)</f>
        <v>0.3150359157</v>
      </c>
      <c r="AF3391" s="2">
        <f>IFERROR(__xludf.DUMMYFUNCTION("IFERROR(ABS(R3391-AVERAGE(FILTER(R3391:R7459,AA3391:AA7459=""Neighbor""))) / STDEV(FILTER(R3391:R7459, AA3391:AA7459 =""Neighbor"")), """")"),0.3324149061364483)</f>
        <v>0.3324149061</v>
      </c>
    </row>
    <row r="3392">
      <c r="A3392" s="2" t="s">
        <v>28</v>
      </c>
      <c r="B3392" s="2" t="s">
        <v>4358</v>
      </c>
      <c r="C3392" s="2" t="s">
        <v>4745</v>
      </c>
      <c r="D3392" s="2" t="s">
        <v>13816</v>
      </c>
      <c r="E3392" s="2" t="s">
        <v>13817</v>
      </c>
      <c r="F3392" s="2">
        <v>132.0</v>
      </c>
      <c r="G3392" s="2">
        <v>283.0</v>
      </c>
      <c r="H3392" s="2" t="b">
        <v>1</v>
      </c>
      <c r="I3392" s="2">
        <v>-1.0</v>
      </c>
      <c r="J3392" s="2" t="b">
        <v>0</v>
      </c>
      <c r="K3392" s="2" t="b">
        <v>0</v>
      </c>
      <c r="L3392" s="2" t="b">
        <v>0</v>
      </c>
      <c r="M3392" s="2" t="b">
        <v>0</v>
      </c>
      <c r="N3392" s="2" t="s">
        <v>33</v>
      </c>
      <c r="O3392" s="2">
        <v>71.0</v>
      </c>
      <c r="P3392" s="2">
        <v>40.0</v>
      </c>
      <c r="Q3392" s="2">
        <v>6.0</v>
      </c>
      <c r="R3392" s="2">
        <v>0.0</v>
      </c>
      <c r="S3392" s="3" t="s">
        <v>13818</v>
      </c>
      <c r="T3392" s="2" t="s">
        <v>13819</v>
      </c>
      <c r="Y3392" s="4" t="str">
        <f>IFERROR(__xludf.DUMMYFUNCTION("""COMPUTED_VALUE"""),"6.727429")</f>
        <v>6.727429</v>
      </c>
      <c r="Z3392" s="4" t="str">
        <f>IFERROR(__xludf.DUMMYFUNCTION("""COMPUTED_VALUE"""),"3.3288183")</f>
        <v>3.3288183</v>
      </c>
      <c r="AA3392" s="4" t="str">
        <f t="shared" si="1"/>
        <v>Not Neighbor</v>
      </c>
      <c r="AC3392" s="4">
        <f>IFERROR(__xludf.DUMMYFUNCTION("IFERROR(ABS(O3392-AVERAGE(FILTER(O3392:O7460,AA3392:AA7460=""Neighbor""))) / STDEV(FILTER(O3392:O7460, AA3392:AA7460 =""Neighbor"")), """")"),0.7451623517459528)</f>
        <v>0.7451623517</v>
      </c>
      <c r="AF3392" s="2">
        <f>IFERROR(__xludf.DUMMYFUNCTION("IFERROR(ABS(R3392-AVERAGE(FILTER(R3392:R7460,AA3392:AA7460=""Neighbor""))) / STDEV(FILTER(R3392:R7460, AA3392:AA7460 =""Neighbor"")), """")"),0.3324149061364483)</f>
        <v>0.3324149061</v>
      </c>
    </row>
    <row r="3393">
      <c r="A3393" s="2" t="s">
        <v>28</v>
      </c>
      <c r="B3393" s="2" t="s">
        <v>4358</v>
      </c>
      <c r="C3393" s="2" t="s">
        <v>4745</v>
      </c>
      <c r="D3393" s="2" t="s">
        <v>13820</v>
      </c>
      <c r="E3393" s="2" t="s">
        <v>13821</v>
      </c>
      <c r="F3393" s="2">
        <v>129.0</v>
      </c>
      <c r="G3393" s="2">
        <v>292.0</v>
      </c>
      <c r="H3393" s="2" t="b">
        <v>1</v>
      </c>
      <c r="I3393" s="2">
        <v>-1.0</v>
      </c>
      <c r="J3393" s="2" t="b">
        <v>0</v>
      </c>
      <c r="K3393" s="2" t="b">
        <v>0</v>
      </c>
      <c r="L3393" s="2" t="b">
        <v>0</v>
      </c>
      <c r="M3393" s="2" t="b">
        <v>0</v>
      </c>
      <c r="N3393" s="2" t="s">
        <v>33</v>
      </c>
      <c r="O3393" s="2">
        <v>55.0</v>
      </c>
      <c r="P3393" s="2">
        <v>59.0</v>
      </c>
      <c r="Q3393" s="2">
        <v>0.0</v>
      </c>
      <c r="R3393" s="2">
        <v>0.0</v>
      </c>
      <c r="S3393" s="3" t="s">
        <v>13822</v>
      </c>
      <c r="T3393" s="2" t="s">
        <v>13823</v>
      </c>
      <c r="Y3393" s="4" t="str">
        <f>IFERROR(__xludf.DUMMYFUNCTION("""COMPUTED_VALUE"""),"6.6995068")</f>
        <v>6.6995068</v>
      </c>
      <c r="Z3393" s="4" t="str">
        <f>IFERROR(__xludf.DUMMYFUNCTION("""COMPUTED_VALUE"""),"3.3441054")</f>
        <v>3.3441054</v>
      </c>
      <c r="AA3393" s="4" t="str">
        <f t="shared" si="1"/>
        <v>Neighbor</v>
      </c>
      <c r="AC3393" s="4">
        <f>IFERROR(__xludf.DUMMYFUNCTION("IFERROR(ABS(O3393-AVERAGE(FILTER(O3393:O7461,AA3393:AA7461=""Neighbor""))) / STDEV(FILTER(O3393:O7461, AA3393:AA7461 =""Neighbor"")), """")"),0.25358928200778497)</f>
        <v>0.253589282</v>
      </c>
      <c r="AF3393" s="2">
        <f>IFERROR(__xludf.DUMMYFUNCTION("IFERROR(ABS(R3393-AVERAGE(FILTER(R3393:R7461,AA3393:AA7461=""Neighbor""))) / STDEV(FILTER(R3393:R7461, AA3393:AA7461 =""Neighbor"")), """")"),0.3324149061364483)</f>
        <v>0.3324149061</v>
      </c>
    </row>
    <row r="3394">
      <c r="A3394" s="2" t="s">
        <v>28</v>
      </c>
      <c r="B3394" s="2" t="s">
        <v>4358</v>
      </c>
      <c r="C3394" s="2" t="s">
        <v>4745</v>
      </c>
      <c r="D3394" s="2" t="s">
        <v>13824</v>
      </c>
      <c r="E3394" s="2" t="s">
        <v>13825</v>
      </c>
      <c r="F3394" s="2">
        <v>132.0</v>
      </c>
      <c r="G3394" s="2">
        <v>229.0</v>
      </c>
      <c r="H3394" s="2" t="b">
        <v>1</v>
      </c>
      <c r="I3394" s="2">
        <v>-1.0</v>
      </c>
      <c r="J3394" s="2" t="b">
        <v>0</v>
      </c>
      <c r="K3394" s="2" t="b">
        <v>1</v>
      </c>
      <c r="L3394" s="2" t="b">
        <v>0</v>
      </c>
      <c r="M3394" s="2" t="b">
        <v>0</v>
      </c>
      <c r="N3394" s="2" t="s">
        <v>33</v>
      </c>
      <c r="O3394" s="2">
        <v>85.0</v>
      </c>
      <c r="P3394" s="2">
        <v>31.0</v>
      </c>
      <c r="Q3394" s="2">
        <v>13.0</v>
      </c>
      <c r="R3394" s="2">
        <v>0.0</v>
      </c>
      <c r="S3394" s="3" t="s">
        <v>13826</v>
      </c>
      <c r="T3394" s="2" t="s">
        <v>13827</v>
      </c>
      <c r="Y3394" s="4" t="str">
        <f>IFERROR(__xludf.DUMMYFUNCTION("""COMPUTED_VALUE"""),"6.6995068")</f>
        <v>6.6995068</v>
      </c>
      <c r="Z3394" s="4" t="str">
        <f>IFERROR(__xludf.DUMMYFUNCTION("""COMPUTED_VALUE"""),"3.3441054")</f>
        <v>3.3441054</v>
      </c>
      <c r="AA3394" s="4" t="str">
        <f t="shared" si="1"/>
        <v>Not Neighbor</v>
      </c>
      <c r="AC3394" s="4">
        <f>IFERROR(__xludf.DUMMYFUNCTION("IFERROR(ABS(O3394-AVERAGE(FILTER(O3394:O7462,AA3394:AA7462=""Neighbor""))) / STDEV(FILTER(O3394:O7462, AA3394:AA7462 =""Neighbor"")), """")"),1.174104554603327)</f>
        <v>1.174104555</v>
      </c>
      <c r="AF3394" s="2">
        <f>IFERROR(__xludf.DUMMYFUNCTION("IFERROR(ABS(R3394-AVERAGE(FILTER(R3394:R7462,AA3394:AA7462=""Neighbor""))) / STDEV(FILTER(R3394:R7462, AA3394:AA7462 =""Neighbor"")), """")"),0.33314741788760593)</f>
        <v>0.3331474179</v>
      </c>
    </row>
    <row r="3395">
      <c r="A3395" s="2" t="s">
        <v>28</v>
      </c>
      <c r="B3395" s="2" t="s">
        <v>4358</v>
      </c>
      <c r="C3395" s="2" t="s">
        <v>4745</v>
      </c>
      <c r="D3395" s="2" t="s">
        <v>13828</v>
      </c>
      <c r="E3395" s="2" t="s">
        <v>13829</v>
      </c>
      <c r="F3395" s="2">
        <v>56.0</v>
      </c>
      <c r="G3395" s="2">
        <v>108.0</v>
      </c>
      <c r="H3395" s="2" t="b">
        <v>1</v>
      </c>
      <c r="I3395" s="2">
        <v>-1.0</v>
      </c>
      <c r="J3395" s="2" t="b">
        <v>0</v>
      </c>
      <c r="K3395" s="2" t="b">
        <v>1</v>
      </c>
      <c r="L3395" s="2" t="b">
        <v>0</v>
      </c>
      <c r="M3395" s="2" t="b">
        <v>0</v>
      </c>
      <c r="N3395" s="2" t="s">
        <v>33</v>
      </c>
      <c r="O3395" s="2">
        <v>29.0</v>
      </c>
      <c r="P3395" s="2">
        <v>8.0</v>
      </c>
      <c r="Q3395" s="2">
        <v>1.0</v>
      </c>
      <c r="R3395" s="2">
        <v>0.0</v>
      </c>
      <c r="S3395" s="3" t="s">
        <v>13830</v>
      </c>
      <c r="T3395" s="2" t="s">
        <v>13831</v>
      </c>
      <c r="Y3395" s="4" t="str">
        <f>IFERROR(__xludf.DUMMYFUNCTION("""COMPUTED_VALUE"""),"6.6805782")</f>
        <v>6.6805782</v>
      </c>
      <c r="Z3395" s="4" t="str">
        <f>IFERROR(__xludf.DUMMYFUNCTION("""COMPUTED_VALUE"""),"3.3215008")</f>
        <v>3.3215008</v>
      </c>
      <c r="AA3395" s="4" t="str">
        <f t="shared" si="1"/>
        <v>Neighbor</v>
      </c>
      <c r="AC3395" s="4">
        <f>IFERROR(__xludf.DUMMYFUNCTION("IFERROR(ABS(O3395-AVERAGE(FILTER(O3395:O7463,AA3395:AA7463=""Neighbor""))) / STDEV(FILTER(O3395:O7463, AA3395:AA7463 =""Neighbor"")), """")"),0.5431913475303217)</f>
        <v>0.5431913475</v>
      </c>
      <c r="AF3395" s="2">
        <f>IFERROR(__xludf.DUMMYFUNCTION("IFERROR(ABS(R3395-AVERAGE(FILTER(R3395:R7463,AA3395:AA7463=""Neighbor""))) / STDEV(FILTER(R3395:R7463, AA3395:AA7463 =""Neighbor"")), """")"),0.33314741788760593)</f>
        <v>0.3331474179</v>
      </c>
    </row>
    <row r="3396">
      <c r="A3396" s="2" t="s">
        <v>28</v>
      </c>
      <c r="B3396" s="2" t="s">
        <v>4358</v>
      </c>
      <c r="C3396" s="2" t="s">
        <v>4745</v>
      </c>
      <c r="D3396" s="2" t="s">
        <v>13832</v>
      </c>
      <c r="E3396" s="2" t="s">
        <v>13833</v>
      </c>
      <c r="F3396" s="2">
        <v>79.0</v>
      </c>
      <c r="G3396" s="2">
        <v>112.0</v>
      </c>
      <c r="H3396" s="2" t="b">
        <v>1</v>
      </c>
      <c r="I3396" s="2">
        <v>-1.0</v>
      </c>
      <c r="J3396" s="2" t="b">
        <v>0</v>
      </c>
      <c r="K3396" s="2" t="b">
        <v>0</v>
      </c>
      <c r="L3396" s="2" t="b">
        <v>0</v>
      </c>
      <c r="M3396" s="2" t="b">
        <v>0</v>
      </c>
      <c r="N3396" s="2" t="s">
        <v>33</v>
      </c>
      <c r="O3396" s="2">
        <v>60.0</v>
      </c>
      <c r="P3396" s="2">
        <v>6.0</v>
      </c>
      <c r="Q3396" s="2">
        <v>1.0</v>
      </c>
      <c r="R3396" s="2">
        <v>0.0</v>
      </c>
      <c r="S3396" s="3" t="s">
        <v>13834</v>
      </c>
      <c r="T3396" s="2" t="s">
        <v>13835</v>
      </c>
      <c r="Y3396" s="4" t="str">
        <f>IFERROR(__xludf.DUMMYFUNCTION("""COMPUTED_VALUE"""),"6.6847759")</f>
        <v>6.6847759</v>
      </c>
      <c r="Z3396" s="4" t="str">
        <f>IFERROR(__xludf.DUMMYFUNCTION("""COMPUTED_VALUE"""),"3.3168365")</f>
        <v>3.3168365</v>
      </c>
      <c r="AA3396" s="4" t="str">
        <f t="shared" si="1"/>
        <v>Neighbor</v>
      </c>
      <c r="AC3396" s="4">
        <f>IFERROR(__xludf.DUMMYFUNCTION("IFERROR(ABS(O3396-AVERAGE(FILTER(O3396:O7464,AA3396:AA7464=""Neighbor""))) / STDEV(FILTER(O3396:O7464, AA3396:AA7464 =""Neighbor"")), """")"),0.4047103085127061)</f>
        <v>0.4047103085</v>
      </c>
      <c r="AF3396" s="2">
        <f>IFERROR(__xludf.DUMMYFUNCTION("IFERROR(ABS(R3396-AVERAGE(FILTER(R3396:R7464,AA3396:AA7464=""Neighbor""))) / STDEV(FILTER(R3396:R7464, AA3396:AA7464 =""Neighbor"")), """")"),0.33388479587033865)</f>
        <v>0.3338847959</v>
      </c>
    </row>
    <row r="3397">
      <c r="A3397" s="2" t="s">
        <v>28</v>
      </c>
      <c r="B3397" s="2" t="s">
        <v>4358</v>
      </c>
      <c r="C3397" s="2" t="s">
        <v>4745</v>
      </c>
      <c r="D3397" s="2" t="s">
        <v>13836</v>
      </c>
      <c r="E3397" s="2" t="s">
        <v>13837</v>
      </c>
      <c r="F3397" s="2">
        <v>37.0</v>
      </c>
      <c r="G3397" s="2">
        <v>99.0</v>
      </c>
      <c r="H3397" s="2" t="b">
        <v>1</v>
      </c>
      <c r="I3397" s="2">
        <v>-1.0</v>
      </c>
      <c r="J3397" s="2" t="b">
        <v>0</v>
      </c>
      <c r="K3397" s="2" t="b">
        <v>0</v>
      </c>
      <c r="L3397" s="2" t="b">
        <v>0</v>
      </c>
      <c r="M3397" s="2" t="b">
        <v>0</v>
      </c>
      <c r="N3397" s="2" t="s">
        <v>33</v>
      </c>
      <c r="O3397" s="2">
        <v>24.0</v>
      </c>
      <c r="P3397" s="2">
        <v>5.0</v>
      </c>
      <c r="Q3397" s="2">
        <v>1.0</v>
      </c>
      <c r="R3397" s="2">
        <v>0.0</v>
      </c>
      <c r="S3397" s="3" t="s">
        <v>13838</v>
      </c>
      <c r="T3397" s="2" t="s">
        <v>13839</v>
      </c>
      <c r="Y3397" s="4" t="str">
        <f>IFERROR(__xludf.DUMMYFUNCTION("""COMPUTED_VALUE"""),"6.6852722")</f>
        <v>6.6852722</v>
      </c>
      <c r="Z3397" s="4" t="str">
        <f>IFERROR(__xludf.DUMMYFUNCTION("""COMPUTED_VALUE"""),"3.3191504")</f>
        <v>3.3191504</v>
      </c>
      <c r="AA3397" s="4" t="str">
        <f t="shared" si="1"/>
        <v>Not Neighbor</v>
      </c>
      <c r="AC3397" s="4">
        <f>IFERROR(__xludf.DUMMYFUNCTION("IFERROR(ABS(O3397-AVERAGE(FILTER(O3397:O7465,AA3397:AA7465=""Neighbor""))) / STDEV(FILTER(O3397:O7465, AA3397:AA7465 =""Neighbor"")), """")"),0.694913816445847)</f>
        <v>0.6949138164</v>
      </c>
      <c r="AF3397" s="2">
        <f>IFERROR(__xludf.DUMMYFUNCTION("IFERROR(ABS(R3397-AVERAGE(FILTER(R3397:R7465,AA3397:AA7465=""Neighbor""))) / STDEV(FILTER(R3397:R7465, AA3397:AA7465 =""Neighbor"")), """")"),0.33462709422614206)</f>
        <v>0.3346270942</v>
      </c>
    </row>
    <row r="3398">
      <c r="A3398" s="2" t="s">
        <v>28</v>
      </c>
      <c r="B3398" s="2" t="s">
        <v>4358</v>
      </c>
      <c r="C3398" s="2" t="s">
        <v>4745</v>
      </c>
      <c r="D3398" s="2" t="s">
        <v>13840</v>
      </c>
      <c r="E3398" s="2" t="s">
        <v>13841</v>
      </c>
      <c r="F3398" s="2">
        <v>114.0</v>
      </c>
      <c r="G3398" s="2">
        <v>297.0</v>
      </c>
      <c r="H3398" s="2" t="b">
        <v>1</v>
      </c>
      <c r="I3398" s="2">
        <v>-1.0</v>
      </c>
      <c r="J3398" s="2" t="b">
        <v>0</v>
      </c>
      <c r="K3398" s="2" t="b">
        <v>1</v>
      </c>
      <c r="L3398" s="2" t="b">
        <v>0</v>
      </c>
      <c r="M3398" s="2" t="b">
        <v>0</v>
      </c>
      <c r="N3398" s="2" t="s">
        <v>33</v>
      </c>
      <c r="O3398" s="2">
        <v>84.0</v>
      </c>
      <c r="P3398" s="2">
        <v>9.0</v>
      </c>
      <c r="Q3398" s="2">
        <v>11.0</v>
      </c>
      <c r="R3398" s="2">
        <v>1.0</v>
      </c>
      <c r="S3398" s="3" t="s">
        <v>13842</v>
      </c>
      <c r="T3398" s="2" t="s">
        <v>13843</v>
      </c>
      <c r="Y3398" s="4" t="str">
        <f>IFERROR(__xludf.DUMMYFUNCTION("""COMPUTED_VALUE"""),"")</f>
        <v/>
      </c>
      <c r="Z3398" s="4" t="str">
        <f>IFERROR(__xludf.DUMMYFUNCTION("""COMPUTED_VALUE"""),"")</f>
        <v/>
      </c>
      <c r="AA3398" s="4" t="str">
        <f t="shared" si="1"/>
        <v>Not Neighbor</v>
      </c>
      <c r="AC3398" s="4">
        <f>IFERROR(__xludf.DUMMYFUNCTION("IFERROR(ABS(O3398-AVERAGE(FILTER(O3398:O7466,AA3398:AA7466=""Neighbor""))) / STDEV(FILTER(O3398:O7466, AA3398:AA7466 =""Neighbor"")), """")"),1.1393639958688093)</f>
        <v>1.139363996</v>
      </c>
      <c r="AF3398" s="2">
        <f>IFERROR(__xludf.DUMMYFUNCTION("IFERROR(ABS(R3398-AVERAGE(FILTER(R3398:R7466,AA3398:AA7466=""Neighbor""))) / STDEV(FILTER(R3398:R7466, AA3398:AA7466 =""Neighbor"")), """")"),0.8226249399725992)</f>
        <v>0.82262494</v>
      </c>
    </row>
    <row r="3399">
      <c r="A3399" s="2" t="s">
        <v>28</v>
      </c>
      <c r="B3399" s="2" t="s">
        <v>4358</v>
      </c>
      <c r="C3399" s="2" t="s">
        <v>4745</v>
      </c>
      <c r="D3399" s="2" t="s">
        <v>13844</v>
      </c>
      <c r="E3399" s="2" t="s">
        <v>13845</v>
      </c>
      <c r="F3399" s="2">
        <v>79.0</v>
      </c>
      <c r="G3399" s="2">
        <v>153.0</v>
      </c>
      <c r="H3399" s="2" t="b">
        <v>1</v>
      </c>
      <c r="I3399" s="2">
        <v>-1.0</v>
      </c>
      <c r="J3399" s="2" t="b">
        <v>1</v>
      </c>
      <c r="K3399" s="2" t="b">
        <v>1</v>
      </c>
      <c r="L3399" s="2" t="b">
        <v>0</v>
      </c>
      <c r="M3399" s="2" t="b">
        <v>0</v>
      </c>
      <c r="N3399" s="2" t="s">
        <v>33</v>
      </c>
      <c r="O3399" s="2">
        <v>0.0</v>
      </c>
      <c r="P3399" s="2">
        <v>0.0</v>
      </c>
      <c r="Q3399" s="2">
        <v>0.0</v>
      </c>
      <c r="R3399" s="2">
        <v>0.0</v>
      </c>
      <c r="S3399" s="3" t="s">
        <v>13846</v>
      </c>
      <c r="T3399" s="2" t="s">
        <v>13847</v>
      </c>
      <c r="Y3399" s="4" t="str">
        <f>IFERROR(__xludf.DUMMYFUNCTION("""COMPUTED_VALUE"""),"6.684602")</f>
        <v>6.684602</v>
      </c>
      <c r="Z3399" s="4" t="str">
        <f>IFERROR(__xludf.DUMMYFUNCTION("""COMPUTED_VALUE"""),"3.2997709")</f>
        <v>3.2997709</v>
      </c>
      <c r="AA3399" s="4" t="str">
        <f t="shared" si="1"/>
        <v>Not Neighbor</v>
      </c>
      <c r="AC3399" s="4">
        <f>IFERROR(__xludf.DUMMYFUNCTION("IFERROR(ABS(O3399-AVERAGE(FILTER(O3399:O7467,AA3399:AA7467=""Neighbor""))) / STDEV(FILTER(O3399:O7467, AA3399:AA7467 =""Neighbor"")), """")"),1.4286249413717096)</f>
        <v>1.428624941</v>
      </c>
      <c r="AF3399" s="2">
        <f>IFERROR(__xludf.DUMMYFUNCTION("IFERROR(ABS(R3399-AVERAGE(FILTER(R3399:R7467,AA3399:AA7467=""Neighbor""))) / STDEV(FILTER(R3399:R7467, AA3399:AA7467 =""Neighbor"")), """")"),0.33462709422614206)</f>
        <v>0.3346270942</v>
      </c>
    </row>
    <row r="3400">
      <c r="A3400" s="2" t="s">
        <v>28</v>
      </c>
      <c r="B3400" s="2" t="s">
        <v>4358</v>
      </c>
      <c r="C3400" s="2" t="s">
        <v>4745</v>
      </c>
      <c r="D3400" s="2" t="s">
        <v>13848</v>
      </c>
      <c r="E3400" s="2" t="s">
        <v>13849</v>
      </c>
      <c r="F3400" s="2">
        <v>124.0</v>
      </c>
      <c r="G3400" s="2">
        <v>299.0</v>
      </c>
      <c r="H3400" s="2" t="b">
        <v>1</v>
      </c>
      <c r="I3400" s="2">
        <v>-1.0</v>
      </c>
      <c r="J3400" s="2" t="b">
        <v>0</v>
      </c>
      <c r="K3400" s="2" t="b">
        <v>0</v>
      </c>
      <c r="L3400" s="2" t="b">
        <v>0</v>
      </c>
      <c r="M3400" s="2" t="b">
        <v>0</v>
      </c>
      <c r="N3400" s="2" t="s">
        <v>33</v>
      </c>
      <c r="O3400" s="2">
        <v>66.0</v>
      </c>
      <c r="P3400" s="2">
        <v>25.0</v>
      </c>
      <c r="Q3400" s="2">
        <v>10.0</v>
      </c>
      <c r="R3400" s="2">
        <v>0.0</v>
      </c>
      <c r="S3400" s="3" t="s">
        <v>13850</v>
      </c>
      <c r="T3400" s="2" t="s">
        <v>13851</v>
      </c>
      <c r="Y3400" s="4" t="str">
        <f>IFERROR(__xludf.DUMMYFUNCTION("""COMPUTED_VALUE"""),"6.7494516")</f>
        <v>6.7494516</v>
      </c>
      <c r="Z3400" s="4" t="str">
        <f>IFERROR(__xludf.DUMMYFUNCTION("""COMPUTED_VALUE"""),"3.331966")</f>
        <v>3.331966</v>
      </c>
      <c r="AA3400" s="4" t="str">
        <f t="shared" si="1"/>
        <v>Not Neighbor</v>
      </c>
      <c r="AC3400" s="4">
        <f>IFERROR(__xludf.DUMMYFUNCTION("IFERROR(ABS(O3400-AVERAGE(FILTER(O3400:O7468,AA3400:AA7468=""Neighbor""))) / STDEV(FILTER(O3400:O7468, AA3400:AA7468 =""Neighbor"")), """")"),0.5890806521744124)</f>
        <v>0.5890806522</v>
      </c>
      <c r="AF3400" s="2">
        <f>IFERROR(__xludf.DUMMYFUNCTION("IFERROR(ABS(R3400-AVERAGE(FILTER(R3400:R7468,AA3400:AA7468=""Neighbor""))) / STDEV(FILTER(R3400:R7468, AA3400:AA7468 =""Neighbor"")), """")"),0.33462709422614206)</f>
        <v>0.3346270942</v>
      </c>
    </row>
    <row r="3401">
      <c r="A3401" s="2" t="s">
        <v>28</v>
      </c>
      <c r="B3401" s="2" t="s">
        <v>4358</v>
      </c>
      <c r="C3401" s="2" t="s">
        <v>4745</v>
      </c>
      <c r="D3401" s="2" t="s">
        <v>13852</v>
      </c>
      <c r="E3401" s="2" t="s">
        <v>13853</v>
      </c>
      <c r="F3401" s="2">
        <v>100.0</v>
      </c>
      <c r="G3401" s="2">
        <v>154.0</v>
      </c>
      <c r="H3401" s="2" t="b">
        <v>1</v>
      </c>
      <c r="I3401" s="2">
        <v>-1.0</v>
      </c>
      <c r="J3401" s="2" t="b">
        <v>1</v>
      </c>
      <c r="K3401" s="2" t="b">
        <v>0</v>
      </c>
      <c r="L3401" s="2" t="b">
        <v>0</v>
      </c>
      <c r="M3401" s="2" t="b">
        <v>0</v>
      </c>
      <c r="N3401" s="2" t="s">
        <v>33</v>
      </c>
      <c r="O3401" s="2">
        <v>65.0</v>
      </c>
      <c r="P3401" s="2">
        <v>12.0</v>
      </c>
      <c r="Q3401" s="2">
        <v>19.0</v>
      </c>
      <c r="R3401" s="2">
        <v>0.0</v>
      </c>
      <c r="S3401" s="3" t="s">
        <v>13854</v>
      </c>
      <c r="T3401" s="2" t="s">
        <v>13855</v>
      </c>
      <c r="Y3401" s="4" t="str">
        <f>IFERROR(__xludf.DUMMYFUNCTION("""COMPUTED_VALUE"""),"6.7242251")</f>
        <v>6.7242251</v>
      </c>
      <c r="Z3401" s="4" t="str">
        <f>IFERROR(__xludf.DUMMYFUNCTION("""COMPUTED_VALUE"""),"3.3365502")</f>
        <v>3.3365502</v>
      </c>
      <c r="AA3401" s="4" t="str">
        <f t="shared" si="1"/>
        <v>Not Neighbor</v>
      </c>
      <c r="AC3401" s="4">
        <f>IFERROR(__xludf.DUMMYFUNCTION("IFERROR(ABS(O3401-AVERAGE(FILTER(O3401:O7469,AA3401:AA7469=""Neighbor""))) / STDEV(FILTER(O3401:O7469, AA3401:AA7469 =""Neighbor"")), """")"),0.5585093553025015)</f>
        <v>0.5585093553</v>
      </c>
      <c r="AF3401" s="2">
        <f>IFERROR(__xludf.DUMMYFUNCTION("IFERROR(ABS(R3401-AVERAGE(FILTER(R3401:R7469,AA3401:AA7469=""Neighbor""))) / STDEV(FILTER(R3401:R7469, AA3401:AA7469 =""Neighbor"")), """")"),0.33462709422614206)</f>
        <v>0.3346270942</v>
      </c>
    </row>
    <row r="3402">
      <c r="A3402" s="2" t="s">
        <v>28</v>
      </c>
      <c r="B3402" s="2" t="s">
        <v>4358</v>
      </c>
      <c r="C3402" s="2" t="s">
        <v>4745</v>
      </c>
      <c r="D3402" s="2" t="s">
        <v>13856</v>
      </c>
      <c r="E3402" s="2" t="s">
        <v>13857</v>
      </c>
      <c r="F3402" s="2">
        <v>163.0</v>
      </c>
      <c r="G3402" s="2">
        <v>347.0</v>
      </c>
      <c r="H3402" s="2" t="b">
        <v>1</v>
      </c>
      <c r="I3402" s="2">
        <v>-1.0</v>
      </c>
      <c r="J3402" s="2" t="b">
        <v>0</v>
      </c>
      <c r="K3402" s="2" t="b">
        <v>1</v>
      </c>
      <c r="L3402" s="2" t="b">
        <v>0</v>
      </c>
      <c r="M3402" s="2" t="b">
        <v>0</v>
      </c>
      <c r="N3402" s="2" t="s">
        <v>33</v>
      </c>
      <c r="O3402" s="2">
        <v>79.0</v>
      </c>
      <c r="P3402" s="2">
        <v>30.0</v>
      </c>
      <c r="Q3402" s="2">
        <v>15.0</v>
      </c>
      <c r="R3402" s="2">
        <v>0.0</v>
      </c>
      <c r="S3402" s="3" t="s">
        <v>13858</v>
      </c>
      <c r="T3402" s="2" t="s">
        <v>13859</v>
      </c>
      <c r="Y3402" s="4" t="str">
        <f>IFERROR(__xludf.DUMMYFUNCTION("""COMPUTED_VALUE"""),"6.6903999")</f>
        <v>6.6903999</v>
      </c>
      <c r="Z3402" s="4" t="str">
        <f>IFERROR(__xludf.DUMMYFUNCTION("""COMPUTED_VALUE"""),"3.3340361")</f>
        <v>3.3340361</v>
      </c>
      <c r="AA3402" s="4" t="str">
        <f t="shared" si="1"/>
        <v>Not Neighbor</v>
      </c>
      <c r="AC3402" s="4">
        <f>IFERROR(__xludf.DUMMYFUNCTION("IFERROR(ABS(O3402-AVERAGE(FILTER(O3402:O7470,AA3402:AA7470=""Neighbor""))) / STDEV(FILTER(O3402:O7470, AA3402:AA7470 =""Neighbor"")), """")"),0.9865075115092546)</f>
        <v>0.9865075115</v>
      </c>
      <c r="AF3402" s="2">
        <f>IFERROR(__xludf.DUMMYFUNCTION("IFERROR(ABS(R3402-AVERAGE(FILTER(R3402:R7470,AA3402:AA7470=""Neighbor""))) / STDEV(FILTER(R3402:R7470, AA3402:AA7470 =""Neighbor"")), """")"),0.33462709422614206)</f>
        <v>0.3346270942</v>
      </c>
    </row>
    <row r="3403">
      <c r="A3403" s="2" t="s">
        <v>28</v>
      </c>
      <c r="B3403" s="2" t="s">
        <v>4358</v>
      </c>
      <c r="C3403" s="2" t="s">
        <v>4745</v>
      </c>
      <c r="D3403" s="2" t="s">
        <v>13860</v>
      </c>
      <c r="E3403" s="2" t="s">
        <v>13861</v>
      </c>
      <c r="F3403" s="2">
        <v>99.0</v>
      </c>
      <c r="G3403" s="2">
        <v>184.0</v>
      </c>
      <c r="H3403" s="2" t="b">
        <v>1</v>
      </c>
      <c r="I3403" s="2">
        <v>-1.0</v>
      </c>
      <c r="J3403" s="2" t="b">
        <v>0</v>
      </c>
      <c r="K3403" s="2" t="b">
        <v>0</v>
      </c>
      <c r="L3403" s="2" t="b">
        <v>0</v>
      </c>
      <c r="M3403" s="2" t="b">
        <v>0</v>
      </c>
      <c r="N3403" s="2" t="s">
        <v>33</v>
      </c>
      <c r="O3403" s="2">
        <v>73.0</v>
      </c>
      <c r="P3403" s="2">
        <v>10.0</v>
      </c>
      <c r="Q3403" s="2">
        <v>3.0</v>
      </c>
      <c r="R3403" s="2">
        <v>1.0</v>
      </c>
      <c r="S3403" s="3" t="s">
        <v>13862</v>
      </c>
      <c r="T3403" s="2" t="s">
        <v>13863</v>
      </c>
      <c r="Y3403" s="4" t="str">
        <f>IFERROR(__xludf.DUMMYFUNCTION("""COMPUTED_VALUE"""),"")</f>
        <v/>
      </c>
      <c r="Z3403" s="4" t="str">
        <f>IFERROR(__xludf.DUMMYFUNCTION("""COMPUTED_VALUE"""),"")</f>
        <v/>
      </c>
      <c r="AA3403" s="4" t="str">
        <f t="shared" si="1"/>
        <v>Not Neighbor</v>
      </c>
      <c r="AC3403" s="4">
        <f>IFERROR(__xludf.DUMMYFUNCTION("IFERROR(ABS(O3403-AVERAGE(FILTER(O3403:O7471,AA3403:AA7471=""Neighbor""))) / STDEV(FILTER(O3403:O7471, AA3403:AA7471 =""Neighbor"")), """")"),0.803079730277789)</f>
        <v>0.8030797303</v>
      </c>
      <c r="AF3403" s="2">
        <f>IFERROR(__xludf.DUMMYFUNCTION("IFERROR(ABS(R3403-AVERAGE(FILTER(R3403:R7471,AA3403:AA7471=""Neighbor""))) / STDEV(FILTER(R3403:R7471, AA3403:AA7471 =""Neighbor"")), """")"),0.8226249399725992)</f>
        <v>0.82262494</v>
      </c>
    </row>
    <row r="3404">
      <c r="A3404" s="2" t="s">
        <v>28</v>
      </c>
      <c r="B3404" s="2" t="s">
        <v>4358</v>
      </c>
      <c r="C3404" s="2" t="s">
        <v>4858</v>
      </c>
      <c r="D3404" s="2" t="s">
        <v>13864</v>
      </c>
      <c r="E3404" s="2" t="s">
        <v>13865</v>
      </c>
      <c r="F3404" s="2">
        <v>60.0</v>
      </c>
      <c r="G3404" s="2">
        <v>126.0</v>
      </c>
      <c r="H3404" s="2" t="b">
        <v>1</v>
      </c>
      <c r="I3404" s="2">
        <v>-1.0</v>
      </c>
      <c r="J3404" s="2" t="b">
        <v>0</v>
      </c>
      <c r="K3404" s="2" t="b">
        <v>0</v>
      </c>
      <c r="L3404" s="2" t="b">
        <v>0</v>
      </c>
      <c r="M3404" s="2" t="b">
        <v>0</v>
      </c>
      <c r="N3404" s="2" t="s">
        <v>33</v>
      </c>
      <c r="O3404" s="2">
        <v>43.0</v>
      </c>
      <c r="P3404" s="2">
        <v>4.0</v>
      </c>
      <c r="Q3404" s="2">
        <v>1.0</v>
      </c>
      <c r="R3404" s="2">
        <v>0.0</v>
      </c>
      <c r="S3404" s="3" t="s">
        <v>13866</v>
      </c>
      <c r="T3404" s="2" t="s">
        <v>13867</v>
      </c>
      <c r="Y3404" s="4" t="str">
        <f>IFERROR(__xludf.DUMMYFUNCTION("""COMPUTED_VALUE"""),"6.7765393")</f>
        <v>6.7765393</v>
      </c>
      <c r="Z3404" s="4" t="str">
        <f>IFERROR(__xludf.DUMMYFUNCTION("""COMPUTED_VALUE"""),"3.2791114")</f>
        <v>3.2791114</v>
      </c>
      <c r="AA3404" s="4" t="str">
        <f t="shared" si="1"/>
        <v>Not Neighbor</v>
      </c>
      <c r="AC3404" s="4">
        <f>IFERROR(__xludf.DUMMYFUNCTION("IFERROR(ABS(O3404-AVERAGE(FILTER(O3404:O7472,AA3404:AA7472=""Neighbor""))) / STDEV(FILTER(O3404:O7472, AA3404:AA7472 =""Neighbor"")), """")"),0.11405917587953916)</f>
        <v>0.1140591759</v>
      </c>
      <c r="AF3404" s="2">
        <f>IFERROR(__xludf.DUMMYFUNCTION("IFERROR(ABS(R3404-AVERAGE(FILTER(R3404:R7472,AA3404:AA7472=""Neighbor""))) / STDEV(FILTER(R3404:R7472, AA3404:AA7472 =""Neighbor"")), """")"),0.33462709422614206)</f>
        <v>0.3346270942</v>
      </c>
    </row>
    <row r="3405">
      <c r="A3405" s="2" t="s">
        <v>28</v>
      </c>
      <c r="B3405" s="2" t="s">
        <v>4358</v>
      </c>
      <c r="C3405" s="2" t="s">
        <v>4858</v>
      </c>
      <c r="D3405" s="2" t="s">
        <v>13868</v>
      </c>
      <c r="E3405" s="2" t="s">
        <v>13869</v>
      </c>
      <c r="F3405" s="2">
        <v>99.0</v>
      </c>
      <c r="G3405" s="2">
        <v>205.0</v>
      </c>
      <c r="H3405" s="2" t="b">
        <v>1</v>
      </c>
      <c r="I3405" s="2">
        <v>-1.0</v>
      </c>
      <c r="J3405" s="2" t="b">
        <v>0</v>
      </c>
      <c r="K3405" s="2" t="b">
        <v>0</v>
      </c>
      <c r="L3405" s="2" t="b">
        <v>0</v>
      </c>
      <c r="M3405" s="2" t="b">
        <v>0</v>
      </c>
      <c r="N3405" s="2" t="s">
        <v>33</v>
      </c>
      <c r="O3405" s="2">
        <v>16.0</v>
      </c>
      <c r="P3405" s="2">
        <v>80.0</v>
      </c>
      <c r="Q3405" s="2">
        <v>15.0</v>
      </c>
      <c r="R3405" s="2">
        <v>0.0</v>
      </c>
      <c r="S3405" s="3" t="s">
        <v>13870</v>
      </c>
      <c r="T3405" s="2" t="s">
        <v>13871</v>
      </c>
      <c r="Y3405" s="4" t="str">
        <f>IFERROR(__xludf.DUMMYFUNCTION("""COMPUTED_VALUE"""),"26.1679752")</f>
        <v>26.1679752</v>
      </c>
      <c r="Z3405" s="4" t="str">
        <f>IFERROR(__xludf.DUMMYFUNCTION("""COMPUTED_VALUE"""),"50.5564742")</f>
        <v>50.5564742</v>
      </c>
      <c r="AA3405" s="4" t="str">
        <f t="shared" si="1"/>
        <v>Not Neighbor</v>
      </c>
      <c r="AC3405" s="4">
        <f>IFERROR(__xludf.DUMMYFUNCTION("IFERROR(ABS(O3405-AVERAGE(FILTER(O3405:O7473,AA3405:AA7473=""Neighbor""))) / STDEV(FILTER(O3405:O7473, AA3405:AA7473 =""Neighbor"")), """")"),0.9394841914211345)</f>
        <v>0.9394841914</v>
      </c>
      <c r="AF3405" s="2">
        <f>IFERROR(__xludf.DUMMYFUNCTION("IFERROR(ABS(R3405-AVERAGE(FILTER(R3405:R7473,AA3405:AA7473=""Neighbor""))) / STDEV(FILTER(R3405:R7473, AA3405:AA7473 =""Neighbor"")), """")"),0.33462709422614206)</f>
        <v>0.3346270942</v>
      </c>
    </row>
    <row r="3406">
      <c r="A3406" s="2" t="s">
        <v>28</v>
      </c>
      <c r="B3406" s="2" t="s">
        <v>4358</v>
      </c>
      <c r="C3406" s="2" t="s">
        <v>4858</v>
      </c>
      <c r="D3406" s="2" t="s">
        <v>13872</v>
      </c>
      <c r="E3406" s="2" t="s">
        <v>13873</v>
      </c>
      <c r="F3406" s="2">
        <v>217.0</v>
      </c>
      <c r="G3406" s="2">
        <v>404.0</v>
      </c>
      <c r="H3406" s="2" t="b">
        <v>1</v>
      </c>
      <c r="I3406" s="2">
        <v>-1.0</v>
      </c>
      <c r="J3406" s="2" t="b">
        <v>0</v>
      </c>
      <c r="K3406" s="2" t="b">
        <v>0</v>
      </c>
      <c r="L3406" s="2" t="b">
        <v>0</v>
      </c>
      <c r="M3406" s="2" t="b">
        <v>0</v>
      </c>
      <c r="N3406" s="2" t="s">
        <v>33</v>
      </c>
      <c r="O3406" s="2">
        <v>148.0</v>
      </c>
      <c r="P3406" s="2">
        <v>30.0</v>
      </c>
      <c r="Q3406" s="2">
        <v>7.0</v>
      </c>
      <c r="R3406" s="2">
        <v>0.0</v>
      </c>
      <c r="S3406" s="3" t="s">
        <v>13874</v>
      </c>
      <c r="T3406" s="2" t="s">
        <v>13875</v>
      </c>
      <c r="Y3406" s="4" t="str">
        <f>IFERROR(__xludf.DUMMYFUNCTION("""COMPUTED_VALUE"""),"6.7429921")</f>
        <v>6.7429921</v>
      </c>
      <c r="Z3406" s="4" t="str">
        <f>IFERROR(__xludf.DUMMYFUNCTION("""COMPUTED_VALUE"""),"3.2666287")</f>
        <v>3.2666287</v>
      </c>
      <c r="AA3406" s="4" t="str">
        <f t="shared" si="1"/>
        <v>Not Neighbor</v>
      </c>
      <c r="AC3406" s="4">
        <f>IFERROR(__xludf.DUMMYFUNCTION("IFERROR(ABS(O3406-AVERAGE(FILTER(O3406:O7474,AA3406:AA7474=""Neighbor""))) / STDEV(FILTER(O3406:O7474, AA3406:AA7474 =""Neighbor"")), """")"),3.0959269956711095)</f>
        <v>3.095926996</v>
      </c>
      <c r="AF3406" s="2">
        <f>IFERROR(__xludf.DUMMYFUNCTION("IFERROR(ABS(R3406-AVERAGE(FILTER(R3406:R7474,AA3406:AA7474=""Neighbor""))) / STDEV(FILTER(R3406:R7474, AA3406:AA7474 =""Neighbor"")), """")"),0.33462709422614206)</f>
        <v>0.3346270942</v>
      </c>
    </row>
    <row r="3407">
      <c r="A3407" s="2" t="s">
        <v>28</v>
      </c>
      <c r="B3407" s="2" t="s">
        <v>4358</v>
      </c>
      <c r="C3407" s="2" t="s">
        <v>4858</v>
      </c>
      <c r="D3407" s="2" t="s">
        <v>13876</v>
      </c>
      <c r="E3407" s="2" t="s">
        <v>13877</v>
      </c>
      <c r="F3407" s="2">
        <v>76.0</v>
      </c>
      <c r="G3407" s="2">
        <v>169.0</v>
      </c>
      <c r="H3407" s="2" t="b">
        <v>1</v>
      </c>
      <c r="I3407" s="2">
        <v>-1.0</v>
      </c>
      <c r="J3407" s="2" t="b">
        <v>0</v>
      </c>
      <c r="K3407" s="2" t="b">
        <v>0</v>
      </c>
      <c r="L3407" s="2" t="b">
        <v>0</v>
      </c>
      <c r="M3407" s="2" t="b">
        <v>0</v>
      </c>
      <c r="N3407" s="2" t="s">
        <v>33</v>
      </c>
      <c r="O3407" s="2">
        <v>55.0</v>
      </c>
      <c r="P3407" s="2">
        <v>9.0</v>
      </c>
      <c r="Q3407" s="2">
        <v>3.0</v>
      </c>
      <c r="R3407" s="2">
        <v>0.0</v>
      </c>
      <c r="S3407" s="3" t="s">
        <v>13878</v>
      </c>
      <c r="T3407" s="2" t="s">
        <v>13879</v>
      </c>
      <c r="Y3407" s="4" t="str">
        <f>IFERROR(__xludf.DUMMYFUNCTION("""COMPUTED_VALUE"""),"6.7414071")</f>
        <v>6.7414071</v>
      </c>
      <c r="Z3407" s="4" t="str">
        <f>IFERROR(__xludf.DUMMYFUNCTION("""COMPUTED_VALUE"""),"3.2511699")</f>
        <v>3.2511699</v>
      </c>
      <c r="AA3407" s="4" t="str">
        <f t="shared" si="1"/>
        <v>Neighbor</v>
      </c>
      <c r="AC3407" s="4">
        <f>IFERROR(__xludf.DUMMYFUNCTION("IFERROR(ABS(O3407-AVERAGE(FILTER(O3407:O7475,AA3407:AA7475=""Neighbor""))) / STDEV(FILTER(O3407:O7475, AA3407:AA7475 =""Neighbor"")), """")"),0.2527963865833921)</f>
        <v>0.2527963866</v>
      </c>
      <c r="AF3407" s="2">
        <f>IFERROR(__xludf.DUMMYFUNCTION("IFERROR(ABS(R3407-AVERAGE(FILTER(R3407:R7475,AA3407:AA7475=""Neighbor""))) / STDEV(FILTER(R3407:R7475, AA3407:AA7475 =""Neighbor"")), """")"),0.33462709422614206)</f>
        <v>0.3346270942</v>
      </c>
    </row>
    <row r="3408">
      <c r="A3408" s="2" t="s">
        <v>28</v>
      </c>
      <c r="B3408" s="2" t="s">
        <v>4358</v>
      </c>
      <c r="C3408" s="2" t="s">
        <v>4858</v>
      </c>
      <c r="D3408" s="2" t="s">
        <v>13880</v>
      </c>
      <c r="E3408" s="2" t="s">
        <v>13881</v>
      </c>
      <c r="F3408" s="2">
        <v>112.0</v>
      </c>
      <c r="G3408" s="2">
        <v>279.0</v>
      </c>
      <c r="H3408" s="2" t="b">
        <v>1</v>
      </c>
      <c r="I3408" s="2">
        <v>-1.0</v>
      </c>
      <c r="J3408" s="2" t="b">
        <v>0</v>
      </c>
      <c r="K3408" s="2" t="b">
        <v>0</v>
      </c>
      <c r="L3408" s="2" t="b">
        <v>0</v>
      </c>
      <c r="M3408" s="2" t="b">
        <v>0</v>
      </c>
      <c r="N3408" s="2" t="s">
        <v>33</v>
      </c>
      <c r="O3408" s="2">
        <v>66.0</v>
      </c>
      <c r="P3408" s="2">
        <v>11.0</v>
      </c>
      <c r="Q3408" s="2">
        <v>13.0</v>
      </c>
      <c r="R3408" s="2">
        <v>0.0</v>
      </c>
      <c r="S3408" s="3" t="s">
        <v>13882</v>
      </c>
      <c r="T3408" s="2" t="s">
        <v>13883</v>
      </c>
      <c r="Y3408" s="4" t="str">
        <f>IFERROR(__xludf.DUMMYFUNCTION("""COMPUTED_VALUE"""),"6.7414071")</f>
        <v>6.7414071</v>
      </c>
      <c r="Z3408" s="4" t="str">
        <f>IFERROR(__xludf.DUMMYFUNCTION("""COMPUTED_VALUE"""),"3.2511699")</f>
        <v>3.2511699</v>
      </c>
      <c r="AA3408" s="4" t="str">
        <f t="shared" si="1"/>
        <v>Not Neighbor</v>
      </c>
      <c r="AC3408" s="4">
        <f>IFERROR(__xludf.DUMMYFUNCTION("IFERROR(ABS(O3408-AVERAGE(FILTER(O3408:O7476,AA3408:AA7476=""Neighbor""))) / STDEV(FILTER(O3408:O7476, AA3408:AA7476 =""Neighbor"")), """")"),0.5889852703953852)</f>
        <v>0.5889852704</v>
      </c>
      <c r="AF3408" s="2">
        <f>IFERROR(__xludf.DUMMYFUNCTION("IFERROR(ABS(R3408-AVERAGE(FILTER(R3408:R7476,AA3408:AA7476=""Neighbor""))) / STDEV(FILTER(R3408:R7476, AA3408:AA7476 =""Neighbor"")), """")"),0.33537436794392567)</f>
        <v>0.3353743679</v>
      </c>
    </row>
    <row r="3409">
      <c r="A3409" s="2" t="s">
        <v>28</v>
      </c>
      <c r="B3409" s="2" t="s">
        <v>4358</v>
      </c>
      <c r="C3409" s="2" t="s">
        <v>4858</v>
      </c>
      <c r="D3409" s="2" t="s">
        <v>13884</v>
      </c>
      <c r="E3409" s="2" t="s">
        <v>13885</v>
      </c>
      <c r="F3409" s="2">
        <v>75.0</v>
      </c>
      <c r="G3409" s="2">
        <v>192.0</v>
      </c>
      <c r="H3409" s="2" t="b">
        <v>1</v>
      </c>
      <c r="I3409" s="2">
        <v>-1.0</v>
      </c>
      <c r="J3409" s="2" t="b">
        <v>0</v>
      </c>
      <c r="K3409" s="2" t="b">
        <v>0</v>
      </c>
      <c r="L3409" s="2" t="b">
        <v>0</v>
      </c>
      <c r="M3409" s="2" t="b">
        <v>0</v>
      </c>
      <c r="N3409" s="2" t="s">
        <v>33</v>
      </c>
      <c r="O3409" s="2">
        <v>31.0</v>
      </c>
      <c r="P3409" s="2">
        <v>15.0</v>
      </c>
      <c r="Q3409" s="2">
        <v>4.0</v>
      </c>
      <c r="R3409" s="2">
        <v>0.0</v>
      </c>
      <c r="S3409" s="3" t="s">
        <v>13886</v>
      </c>
      <c r="T3409" s="2" t="s">
        <v>13887</v>
      </c>
      <c r="Y3409" s="4" t="str">
        <f>IFERROR(__xludf.DUMMYFUNCTION("""COMPUTED_VALUE"""),"6.8180648")</f>
        <v>6.8180648</v>
      </c>
      <c r="Z3409" s="4" t="str">
        <f>IFERROR(__xludf.DUMMYFUNCTION("""COMPUTED_VALUE"""),"3.1956608")</f>
        <v>3.1956608</v>
      </c>
      <c r="AA3409" s="4" t="str">
        <f t="shared" si="1"/>
        <v>Not Neighbor</v>
      </c>
      <c r="AC3409" s="4">
        <f>IFERROR(__xludf.DUMMYFUNCTION("IFERROR(ABS(O3409-AVERAGE(FILTER(O3409:O7477,AA3409:AA7477=""Neighbor""))) / STDEV(FILTER(O3409:O7477, AA3409:AA7477 =""Neighbor"")), """")"),0.47898885683084064)</f>
        <v>0.4789888568</v>
      </c>
      <c r="AF3409" s="2">
        <f>IFERROR(__xludf.DUMMYFUNCTION("IFERROR(ABS(R3409-AVERAGE(FILTER(R3409:R7477,AA3409:AA7477=""Neighbor""))) / STDEV(FILTER(R3409:R7477, AA3409:AA7477 =""Neighbor"")), """")"),0.33537436794392567)</f>
        <v>0.3353743679</v>
      </c>
    </row>
    <row r="3410">
      <c r="A3410" s="2" t="s">
        <v>28</v>
      </c>
      <c r="B3410" s="2" t="s">
        <v>4358</v>
      </c>
      <c r="C3410" s="2" t="s">
        <v>4858</v>
      </c>
      <c r="D3410" s="2" t="s">
        <v>13888</v>
      </c>
      <c r="E3410" s="2" t="s">
        <v>13889</v>
      </c>
      <c r="F3410" s="2">
        <v>205.0</v>
      </c>
      <c r="G3410" s="2">
        <v>391.0</v>
      </c>
      <c r="H3410" s="2" t="b">
        <v>1</v>
      </c>
      <c r="I3410" s="2">
        <v>-1.0</v>
      </c>
      <c r="J3410" s="2" t="b">
        <v>0</v>
      </c>
      <c r="K3410" s="2" t="b">
        <v>0</v>
      </c>
      <c r="L3410" s="2" t="b">
        <v>0</v>
      </c>
      <c r="M3410" s="2" t="b">
        <v>0</v>
      </c>
      <c r="N3410" s="2" t="s">
        <v>33</v>
      </c>
      <c r="O3410" s="2">
        <v>150.0</v>
      </c>
      <c r="P3410" s="2">
        <v>14.0</v>
      </c>
      <c r="Q3410" s="2">
        <v>7.0</v>
      </c>
      <c r="R3410" s="2">
        <v>0.0</v>
      </c>
      <c r="S3410" s="3" t="s">
        <v>13890</v>
      </c>
      <c r="T3410" s="2" t="s">
        <v>13891</v>
      </c>
      <c r="Y3410" s="4" t="str">
        <f>IFERROR(__xludf.DUMMYFUNCTION("""COMPUTED_VALUE"""),"6.7919866")</f>
        <v>6.7919866</v>
      </c>
      <c r="Z3410" s="4" t="str">
        <f>IFERROR(__xludf.DUMMYFUNCTION("""COMPUTED_VALUE"""),"3.2684215")</f>
        <v>3.2684215</v>
      </c>
      <c r="AA3410" s="4" t="str">
        <f t="shared" si="1"/>
        <v>Not Neighbor</v>
      </c>
      <c r="AC3410" s="4">
        <f>IFERROR(__xludf.DUMMYFUNCTION("IFERROR(ABS(O3410-AVERAGE(FILTER(O3410:O7478,AA3410:AA7478=""Neighbor""))) / STDEV(FILTER(O3410:O7478, AA3410:AA7478 =""Neighbor"")), """")"),3.1521231757383275)</f>
        <v>3.152123176</v>
      </c>
      <c r="AF3410" s="2">
        <f>IFERROR(__xludf.DUMMYFUNCTION("IFERROR(ABS(R3410-AVERAGE(FILTER(R3410:R7478,AA3410:AA7478=""Neighbor""))) / STDEV(FILTER(R3410:R7478, AA3410:AA7478 =""Neighbor"")), """")"),0.33537436794392567)</f>
        <v>0.3353743679</v>
      </c>
    </row>
    <row r="3411">
      <c r="A3411" s="2" t="s">
        <v>28</v>
      </c>
      <c r="B3411" s="2" t="s">
        <v>4358</v>
      </c>
      <c r="C3411" s="2" t="s">
        <v>4858</v>
      </c>
      <c r="D3411" s="2" t="s">
        <v>13892</v>
      </c>
      <c r="E3411" s="2" t="s">
        <v>13893</v>
      </c>
      <c r="F3411" s="2">
        <v>202.0</v>
      </c>
      <c r="G3411" s="2">
        <v>452.0</v>
      </c>
      <c r="H3411" s="2" t="b">
        <v>1</v>
      </c>
      <c r="I3411" s="2">
        <v>-1.0</v>
      </c>
      <c r="J3411" s="2" t="b">
        <v>0</v>
      </c>
      <c r="K3411" s="2" t="b">
        <v>0</v>
      </c>
      <c r="L3411" s="2" t="b">
        <v>0</v>
      </c>
      <c r="M3411" s="2" t="b">
        <v>0</v>
      </c>
      <c r="N3411" s="2" t="s">
        <v>33</v>
      </c>
      <c r="O3411" s="2">
        <v>148.0</v>
      </c>
      <c r="P3411" s="2">
        <v>21.0</v>
      </c>
      <c r="Q3411" s="2">
        <v>15.0</v>
      </c>
      <c r="R3411" s="2">
        <v>0.0</v>
      </c>
      <c r="S3411" s="3" t="s">
        <v>13894</v>
      </c>
      <c r="T3411" s="2" t="s">
        <v>13895</v>
      </c>
      <c r="Y3411" s="4" t="str">
        <f>IFERROR(__xludf.DUMMYFUNCTION("""COMPUTED_VALUE"""),"6.7429921")</f>
        <v>6.7429921</v>
      </c>
      <c r="Z3411" s="4" t="str">
        <f>IFERROR(__xludf.DUMMYFUNCTION("""COMPUTED_VALUE"""),"3.2666287")</f>
        <v>3.2666287</v>
      </c>
      <c r="AA3411" s="4" t="str">
        <f t="shared" si="1"/>
        <v>Not Neighbor</v>
      </c>
      <c r="AC3411" s="4">
        <f>IFERROR(__xludf.DUMMYFUNCTION("IFERROR(ABS(O3411-AVERAGE(FILTER(O3411:O7479,AA3411:AA7479=""Neighbor""))) / STDEV(FILTER(O3411:O7479, AA3411:AA7479 =""Neighbor"")), """")"),3.0910960827539715)</f>
        <v>3.091096083</v>
      </c>
      <c r="AF3411" s="2">
        <f>IFERROR(__xludf.DUMMYFUNCTION("IFERROR(ABS(R3411-AVERAGE(FILTER(R3411:R7479,AA3411:AA7479=""Neighbor""))) / STDEV(FILTER(R3411:R7479, AA3411:AA7479 =""Neighbor"")), """")"),0.33537436794392567)</f>
        <v>0.3353743679</v>
      </c>
    </row>
    <row r="3412">
      <c r="A3412" s="2" t="s">
        <v>28</v>
      </c>
      <c r="B3412" s="2" t="s">
        <v>4358</v>
      </c>
      <c r="C3412" s="2" t="s">
        <v>4858</v>
      </c>
      <c r="D3412" s="2" t="s">
        <v>13896</v>
      </c>
      <c r="E3412" s="2" t="s">
        <v>13897</v>
      </c>
      <c r="F3412" s="2">
        <v>92.0</v>
      </c>
      <c r="G3412" s="2">
        <v>249.0</v>
      </c>
      <c r="H3412" s="2" t="b">
        <v>1</v>
      </c>
      <c r="I3412" s="2">
        <v>-1.0</v>
      </c>
      <c r="J3412" s="2" t="b">
        <v>0</v>
      </c>
      <c r="K3412" s="2" t="b">
        <v>0</v>
      </c>
      <c r="L3412" s="2" t="b">
        <v>0</v>
      </c>
      <c r="M3412" s="2" t="b">
        <v>0</v>
      </c>
      <c r="N3412" s="2" t="s">
        <v>33</v>
      </c>
      <c r="O3412" s="2">
        <v>74.0</v>
      </c>
      <c r="P3412" s="2">
        <v>8.0</v>
      </c>
      <c r="Q3412" s="2">
        <v>4.0</v>
      </c>
      <c r="R3412" s="2">
        <v>1.0</v>
      </c>
      <c r="S3412" s="3" t="s">
        <v>13898</v>
      </c>
      <c r="T3412" s="2" t="s">
        <v>13899</v>
      </c>
      <c r="Y3412" s="4" t="str">
        <f>IFERROR(__xludf.DUMMYFUNCTION("""COMPUTED_VALUE"""),"6.8056117")</f>
        <v>6.8056117</v>
      </c>
      <c r="Z3412" s="4" t="str">
        <f>IFERROR(__xludf.DUMMYFUNCTION("""COMPUTED_VALUE"""),"3.2307113")</f>
        <v>3.2307113</v>
      </c>
      <c r="AA3412" s="4" t="str">
        <f t="shared" si="1"/>
        <v>Not Neighbor</v>
      </c>
      <c r="AC3412" s="4">
        <f>IFERROR(__xludf.DUMMYFUNCTION("IFERROR(ABS(O3412-AVERAGE(FILTER(O3412:O7480,AA3412:AA7480=""Neighbor""))) / STDEV(FILTER(O3412:O7480, AA3412:AA7480 =""Neighbor"")), """")"),0.8330936423328082)</f>
        <v>0.8330936423</v>
      </c>
      <c r="AF3412" s="2">
        <f>IFERROR(__xludf.DUMMYFUNCTION("IFERROR(ABS(R3412-AVERAGE(FILTER(R3412:R7480,AA3412:AA7480=""Neighbor""))) / STDEV(FILTER(R3412:R7480, AA3412:AA7480 =""Neighbor"")), """")"),0.8198040105295961)</f>
        <v>0.8198040105</v>
      </c>
    </row>
    <row r="3413">
      <c r="A3413" s="2" t="s">
        <v>28</v>
      </c>
      <c r="B3413" s="2" t="s">
        <v>4358</v>
      </c>
      <c r="C3413" s="2" t="s">
        <v>4858</v>
      </c>
      <c r="D3413" s="2" t="s">
        <v>13900</v>
      </c>
      <c r="E3413" s="2" t="s">
        <v>13901</v>
      </c>
      <c r="F3413" s="2">
        <v>74.0</v>
      </c>
      <c r="G3413" s="2">
        <v>167.0</v>
      </c>
      <c r="H3413" s="2" t="b">
        <v>1</v>
      </c>
      <c r="I3413" s="2">
        <v>-1.0</v>
      </c>
      <c r="J3413" s="2" t="b">
        <v>0</v>
      </c>
      <c r="K3413" s="2" t="b">
        <v>0</v>
      </c>
      <c r="L3413" s="2" t="b">
        <v>0</v>
      </c>
      <c r="M3413" s="2" t="b">
        <v>0</v>
      </c>
      <c r="N3413" s="2" t="s">
        <v>33</v>
      </c>
      <c r="O3413" s="2">
        <v>55.0</v>
      </c>
      <c r="P3413" s="2">
        <v>4.0</v>
      </c>
      <c r="Q3413" s="2">
        <v>6.0</v>
      </c>
      <c r="R3413" s="2">
        <v>0.0</v>
      </c>
      <c r="S3413" s="3" t="s">
        <v>13902</v>
      </c>
      <c r="T3413" s="2" t="s">
        <v>13903</v>
      </c>
      <c r="Y3413" s="4" t="str">
        <f>IFERROR(__xludf.DUMMYFUNCTION("""COMPUTED_VALUE"""),"6.7919866")</f>
        <v>6.7919866</v>
      </c>
      <c r="Z3413" s="4" t="str">
        <f>IFERROR(__xludf.DUMMYFUNCTION("""COMPUTED_VALUE"""),"3.2684215")</f>
        <v>3.2684215</v>
      </c>
      <c r="AA3413" s="4" t="str">
        <f t="shared" si="1"/>
        <v>Not Neighbor</v>
      </c>
      <c r="AC3413" s="4">
        <f>IFERROR(__xludf.DUMMYFUNCTION("IFERROR(ABS(O3413-AVERAGE(FILTER(O3413:O7481,AA3413:AA7481=""Neighbor""))) / STDEV(FILTER(O3413:O7481, AA3413:AA7481 =""Neighbor"")), """")"),0.25333625898142853)</f>
        <v>0.253336259</v>
      </c>
      <c r="AF3413" s="2">
        <f>IFERROR(__xludf.DUMMYFUNCTION("IFERROR(ABS(R3413-AVERAGE(FILTER(R3413:R7481,AA3413:AA7481=""Neighbor""))) / STDEV(FILTER(R3413:R7481, AA3413:AA7481 =""Neighbor"")), """")"),0.33537436794392567)</f>
        <v>0.3353743679</v>
      </c>
    </row>
    <row r="3414">
      <c r="A3414" s="2" t="s">
        <v>28</v>
      </c>
      <c r="B3414" s="2" t="s">
        <v>4358</v>
      </c>
      <c r="C3414" s="2" t="s">
        <v>4858</v>
      </c>
      <c r="D3414" s="2" t="s">
        <v>13904</v>
      </c>
      <c r="E3414" s="2" t="s">
        <v>13905</v>
      </c>
      <c r="F3414" s="2">
        <v>121.0</v>
      </c>
      <c r="G3414" s="2">
        <v>269.0</v>
      </c>
      <c r="H3414" s="2" t="b">
        <v>1</v>
      </c>
      <c r="I3414" s="2">
        <v>-1.0</v>
      </c>
      <c r="J3414" s="2" t="b">
        <v>0</v>
      </c>
      <c r="K3414" s="2" t="b">
        <v>1</v>
      </c>
      <c r="L3414" s="2" t="b">
        <v>0</v>
      </c>
      <c r="M3414" s="2" t="b">
        <v>0</v>
      </c>
      <c r="N3414" s="2" t="s">
        <v>33</v>
      </c>
      <c r="O3414" s="2">
        <v>97.0</v>
      </c>
      <c r="P3414" s="2">
        <v>10.0</v>
      </c>
      <c r="Q3414" s="2">
        <v>2.0</v>
      </c>
      <c r="R3414" s="2">
        <v>1.0</v>
      </c>
      <c r="S3414" s="3" t="s">
        <v>13906</v>
      </c>
      <c r="T3414" s="2" t="s">
        <v>13907</v>
      </c>
      <c r="Y3414" s="4" t="str">
        <f>IFERROR(__xludf.DUMMYFUNCTION("""COMPUTED_VALUE"""),"6.8028866")</f>
        <v>6.8028866</v>
      </c>
      <c r="Z3414" s="4" t="str">
        <f>IFERROR(__xludf.DUMMYFUNCTION("""COMPUTED_VALUE"""),"3.238251")</f>
        <v>3.238251</v>
      </c>
      <c r="AA3414" s="4" t="str">
        <f t="shared" si="1"/>
        <v>Not Neighbor</v>
      </c>
      <c r="AC3414" s="4">
        <f>IFERROR(__xludf.DUMMYFUNCTION("IFERROR(ABS(O3414-AVERAGE(FILTER(O3414:O7482,AA3414:AA7482=""Neighbor""))) / STDEV(FILTER(O3414:O7482, AA3414:AA7482 =""Neighbor"")), """")"),1.5349052116528996)</f>
        <v>1.534905212</v>
      </c>
      <c r="AF3414" s="2">
        <f>IFERROR(__xludf.DUMMYFUNCTION("IFERROR(ABS(R3414-AVERAGE(FILTER(R3414:R7482,AA3414:AA7482=""Neighbor""))) / STDEV(FILTER(R3414:R7482, AA3414:AA7482 =""Neighbor"")), """")"),0.8198040105295961)</f>
        <v>0.8198040105</v>
      </c>
    </row>
    <row r="3415">
      <c r="A3415" s="2" t="s">
        <v>28</v>
      </c>
      <c r="B3415" s="2" t="s">
        <v>4358</v>
      </c>
      <c r="C3415" s="2" t="s">
        <v>4858</v>
      </c>
      <c r="D3415" s="2" t="s">
        <v>13908</v>
      </c>
      <c r="E3415" s="2" t="s">
        <v>13909</v>
      </c>
      <c r="F3415" s="2">
        <v>64.0</v>
      </c>
      <c r="G3415" s="2">
        <v>158.0</v>
      </c>
      <c r="H3415" s="2" t="b">
        <v>1</v>
      </c>
      <c r="I3415" s="2">
        <v>-1.0</v>
      </c>
      <c r="J3415" s="2" t="b">
        <v>0</v>
      </c>
      <c r="K3415" s="2" t="b">
        <v>1</v>
      </c>
      <c r="L3415" s="2" t="b">
        <v>0</v>
      </c>
      <c r="M3415" s="2" t="b">
        <v>0</v>
      </c>
      <c r="N3415" s="2" t="s">
        <v>33</v>
      </c>
      <c r="O3415" s="2">
        <v>38.0</v>
      </c>
      <c r="P3415" s="2">
        <v>4.0</v>
      </c>
      <c r="Q3415" s="2">
        <v>3.0</v>
      </c>
      <c r="R3415" s="2">
        <v>0.0</v>
      </c>
      <c r="S3415" s="3" t="s">
        <v>13910</v>
      </c>
      <c r="T3415" s="2" t="s">
        <v>13911</v>
      </c>
      <c r="Y3415" s="4" t="str">
        <f>IFERROR(__xludf.DUMMYFUNCTION("""COMPUTED_VALUE"""),"6.7878315")</f>
        <v>6.7878315</v>
      </c>
      <c r="Z3415" s="4" t="str">
        <f>IFERROR(__xludf.DUMMYFUNCTION("""COMPUTED_VALUE"""),"3.2898035")</f>
        <v>3.2898035</v>
      </c>
      <c r="AA3415" s="4" t="str">
        <f t="shared" si="1"/>
        <v>Not Neighbor</v>
      </c>
      <c r="AC3415" s="4">
        <f>IFERROR(__xludf.DUMMYFUNCTION("IFERROR(ABS(O3415-AVERAGE(FILTER(O3415:O7483,AA3415:AA7483=""Neighbor""))) / STDEV(FILTER(O3415:O7483, AA3415:AA7483 =""Neighbor"")), """")"),0.2653940313855955)</f>
        <v>0.2653940314</v>
      </c>
      <c r="AF3415" s="2">
        <f>IFERROR(__xludf.DUMMYFUNCTION("IFERROR(ABS(R3415-AVERAGE(FILTER(R3415:R7483,AA3415:AA7483=""Neighbor""))) / STDEV(FILTER(R3415:R7483, AA3415:AA7483 =""Neighbor"")), """")"),0.33537436794392567)</f>
        <v>0.3353743679</v>
      </c>
    </row>
    <row r="3416">
      <c r="A3416" s="2" t="s">
        <v>28</v>
      </c>
      <c r="B3416" s="2" t="s">
        <v>4358</v>
      </c>
      <c r="C3416" s="2" t="s">
        <v>4858</v>
      </c>
      <c r="D3416" s="2" t="s">
        <v>13912</v>
      </c>
      <c r="E3416" s="2" t="s">
        <v>13913</v>
      </c>
      <c r="F3416" s="2">
        <v>70.0</v>
      </c>
      <c r="G3416" s="2">
        <v>123.0</v>
      </c>
      <c r="H3416" s="2" t="b">
        <v>1</v>
      </c>
      <c r="I3416" s="2">
        <v>-1.0</v>
      </c>
      <c r="J3416" s="2" t="b">
        <v>0</v>
      </c>
      <c r="K3416" s="2" t="b">
        <v>1</v>
      </c>
      <c r="L3416" s="2" t="b">
        <v>0</v>
      </c>
      <c r="M3416" s="2" t="b">
        <v>0</v>
      </c>
      <c r="N3416" s="2" t="s">
        <v>33</v>
      </c>
      <c r="O3416" s="2">
        <v>30.0</v>
      </c>
      <c r="P3416" s="2">
        <v>2.0</v>
      </c>
      <c r="Q3416" s="2">
        <v>8.0</v>
      </c>
      <c r="R3416" s="2">
        <v>0.0</v>
      </c>
      <c r="S3416" s="3" t="s">
        <v>13914</v>
      </c>
      <c r="T3416" s="2" t="s">
        <v>13915</v>
      </c>
      <c r="Y3416" s="4" t="str">
        <f>IFERROR(__xludf.DUMMYFUNCTION("""COMPUTED_VALUE"""),"6.7919866")</f>
        <v>6.7919866</v>
      </c>
      <c r="Z3416" s="4" t="str">
        <f>IFERROR(__xludf.DUMMYFUNCTION("""COMPUTED_VALUE"""),"3.2684215")</f>
        <v>3.2684215</v>
      </c>
      <c r="AA3416" s="4" t="str">
        <f t="shared" si="1"/>
        <v>Not Neighbor</v>
      </c>
      <c r="AC3416" s="4">
        <f>IFERROR(__xludf.DUMMYFUNCTION("IFERROR(ABS(O3416-AVERAGE(FILTER(O3416:O7484,AA3416:AA7484=""Neighbor""))) / STDEV(FILTER(O3416:O7484, AA3416:AA7484 =""Neighbor"")), """")"),0.5095024033230185)</f>
        <v>0.5095024033</v>
      </c>
      <c r="AF3416" s="2">
        <f>IFERROR(__xludf.DUMMYFUNCTION("IFERROR(ABS(R3416-AVERAGE(FILTER(R3416:R7484,AA3416:AA7484=""Neighbor""))) / STDEV(FILTER(R3416:R7484, AA3416:AA7484 =""Neighbor"")), """")"),0.33537436794392567)</f>
        <v>0.3353743679</v>
      </c>
    </row>
    <row r="3417">
      <c r="A3417" s="2" t="s">
        <v>28</v>
      </c>
      <c r="B3417" s="2" t="s">
        <v>4358</v>
      </c>
      <c r="C3417" s="2" t="s">
        <v>4858</v>
      </c>
      <c r="D3417" s="2" t="s">
        <v>13916</v>
      </c>
      <c r="E3417" s="2" t="s">
        <v>13917</v>
      </c>
      <c r="F3417" s="2">
        <v>212.0</v>
      </c>
      <c r="G3417" s="2">
        <v>378.0</v>
      </c>
      <c r="H3417" s="2" t="b">
        <v>1</v>
      </c>
      <c r="I3417" s="2">
        <v>-1.0</v>
      </c>
      <c r="J3417" s="2" t="b">
        <v>0</v>
      </c>
      <c r="K3417" s="2" t="b">
        <v>1</v>
      </c>
      <c r="L3417" s="2" t="b">
        <v>0</v>
      </c>
      <c r="M3417" s="2" t="b">
        <v>0</v>
      </c>
      <c r="N3417" s="2" t="s">
        <v>33</v>
      </c>
      <c r="O3417" s="2">
        <v>130.0</v>
      </c>
      <c r="P3417" s="2">
        <v>9.0</v>
      </c>
      <c r="Q3417" s="2">
        <v>35.0</v>
      </c>
      <c r="R3417" s="2">
        <v>2.0</v>
      </c>
      <c r="S3417" s="3" t="s">
        <v>13918</v>
      </c>
      <c r="T3417" s="2" t="s">
        <v>13919</v>
      </c>
      <c r="Y3417" s="4" t="str">
        <f>IFERROR(__xludf.DUMMYFUNCTION("""COMPUTED_VALUE"""),"6.8028866")</f>
        <v>6.8028866</v>
      </c>
      <c r="Z3417" s="4" t="str">
        <f>IFERROR(__xludf.DUMMYFUNCTION("""COMPUTED_VALUE"""),"3.238251")</f>
        <v>3.238251</v>
      </c>
      <c r="AA3417" s="4" t="str">
        <f t="shared" si="1"/>
        <v>Not Neighbor</v>
      </c>
      <c r="AC3417" s="4">
        <f>IFERROR(__xludf.DUMMYFUNCTION("IFERROR(ABS(O3417-AVERAGE(FILTER(O3417:O7485,AA3417:AA7485=""Neighbor""))) / STDEV(FILTER(O3417:O7485, AA3417:AA7485 =""Neighbor"")), """")"),2.54185224589477)</f>
        <v>2.541852246</v>
      </c>
      <c r="AF3417" s="2">
        <f>IFERROR(__xludf.DUMMYFUNCTION("IFERROR(ABS(R3417-AVERAGE(FILTER(R3417:R7485,AA3417:AA7485=""Neighbor""))) / STDEV(FILTER(R3417:R7485, AA3417:AA7485 =""Neighbor"")), """")"),1.9749823890031177)</f>
        <v>1.974982389</v>
      </c>
    </row>
    <row r="3418">
      <c r="A3418" s="2" t="s">
        <v>28</v>
      </c>
      <c r="B3418" s="2" t="s">
        <v>4358</v>
      </c>
      <c r="C3418" s="2" t="s">
        <v>4858</v>
      </c>
      <c r="D3418" s="2" t="s">
        <v>13920</v>
      </c>
      <c r="E3418" s="2" t="s">
        <v>13921</v>
      </c>
      <c r="F3418" s="2">
        <v>51.0</v>
      </c>
      <c r="G3418" s="2">
        <v>120.0</v>
      </c>
      <c r="H3418" s="2" t="b">
        <v>1</v>
      </c>
      <c r="I3418" s="2">
        <v>-1.0</v>
      </c>
      <c r="J3418" s="2" t="b">
        <v>0</v>
      </c>
      <c r="K3418" s="2" t="b">
        <v>0</v>
      </c>
      <c r="L3418" s="2" t="b">
        <v>0</v>
      </c>
      <c r="M3418" s="2" t="b">
        <v>0</v>
      </c>
      <c r="N3418" s="2" t="s">
        <v>33</v>
      </c>
      <c r="O3418" s="2">
        <v>15.0</v>
      </c>
      <c r="P3418" s="2">
        <v>13.0</v>
      </c>
      <c r="Q3418" s="2">
        <v>18.0</v>
      </c>
      <c r="R3418" s="2">
        <v>0.0</v>
      </c>
      <c r="S3418" s="3" t="s">
        <v>13922</v>
      </c>
      <c r="T3418" s="2" t="s">
        <v>13923</v>
      </c>
      <c r="Y3418" s="4" t="str">
        <f>IFERROR(__xludf.DUMMYFUNCTION("""COMPUTED_VALUE"""),"")</f>
        <v/>
      </c>
      <c r="Z3418" s="4" t="str">
        <f>IFERROR(__xludf.DUMMYFUNCTION("""COMPUTED_VALUE"""),"")</f>
        <v/>
      </c>
      <c r="AA3418" s="4" t="str">
        <f t="shared" si="1"/>
        <v>Not Neighbor</v>
      </c>
      <c r="AC3418" s="4">
        <f>IFERROR(__xludf.DUMMYFUNCTION("IFERROR(ABS(O3418-AVERAGE(FILTER(O3418:O7486,AA3418:AA7486=""Neighbor""))) / STDEV(FILTER(O3418:O7486, AA3418:AA7486 =""Neighbor"")), """")"),0.9672056007056867)</f>
        <v>0.9672056007</v>
      </c>
      <c r="AF3418" s="2">
        <f>IFERROR(__xludf.DUMMYFUNCTION("IFERROR(ABS(R3418-AVERAGE(FILTER(R3418:R7486,AA3418:AA7486=""Neighbor""))) / STDEV(FILTER(R3418:R7486, AA3418:AA7486 =""Neighbor"")), """")"),0.33537436794392567)</f>
        <v>0.3353743679</v>
      </c>
    </row>
    <row r="3419">
      <c r="A3419" s="2" t="s">
        <v>28</v>
      </c>
      <c r="B3419" s="2" t="s">
        <v>4358</v>
      </c>
      <c r="C3419" s="2" t="s">
        <v>4858</v>
      </c>
      <c r="D3419" s="2" t="s">
        <v>13924</v>
      </c>
      <c r="E3419" s="2" t="s">
        <v>13925</v>
      </c>
      <c r="F3419" s="2">
        <v>90.0</v>
      </c>
      <c r="G3419" s="2">
        <v>194.0</v>
      </c>
      <c r="H3419" s="2" t="b">
        <v>1</v>
      </c>
      <c r="I3419" s="2">
        <v>-1.0</v>
      </c>
      <c r="J3419" s="2" t="b">
        <v>0</v>
      </c>
      <c r="K3419" s="2" t="b">
        <v>0</v>
      </c>
      <c r="L3419" s="2" t="b">
        <v>0</v>
      </c>
      <c r="M3419" s="2" t="b">
        <v>0</v>
      </c>
      <c r="N3419" s="2" t="s">
        <v>33</v>
      </c>
      <c r="O3419" s="2">
        <v>49.0</v>
      </c>
      <c r="P3419" s="2">
        <v>14.0</v>
      </c>
      <c r="Q3419" s="2">
        <v>14.0</v>
      </c>
      <c r="R3419" s="2">
        <v>1.0</v>
      </c>
      <c r="S3419" s="3" t="s">
        <v>13926</v>
      </c>
      <c r="T3419" s="2" t="s">
        <v>13927</v>
      </c>
      <c r="Y3419" s="4" t="str">
        <f>IFERROR(__xludf.DUMMYFUNCTION("""COMPUTED_VALUE"""),"6.7765393")</f>
        <v>6.7765393</v>
      </c>
      <c r="Z3419" s="4" t="str">
        <f>IFERROR(__xludf.DUMMYFUNCTION("""COMPUTED_VALUE"""),"3.2791114")</f>
        <v>3.2791114</v>
      </c>
      <c r="AA3419" s="4" t="str">
        <f t="shared" si="1"/>
        <v>Not Neighbor</v>
      </c>
      <c r="AC3419" s="4">
        <f>IFERROR(__xludf.DUMMYFUNCTION("IFERROR(ABS(O3419-AVERAGE(FILTER(O3419:O7487,AA3419:AA7487=""Neighbor""))) / STDEV(FILTER(O3419:O7487, AA3419:AA7487 =""Neighbor"")), """")"),0.07025498002836124)</f>
        <v>0.07025498003</v>
      </c>
      <c r="AF3419" s="2">
        <f>IFERROR(__xludf.DUMMYFUNCTION("IFERROR(ABS(R3419-AVERAGE(FILTER(R3419:R7487,AA3419:AA7487=""Neighbor""))) / STDEV(FILTER(R3419:R7487, AA3419:AA7487 =""Neighbor"")), """")"),0.8198040105295961)</f>
        <v>0.8198040105</v>
      </c>
    </row>
    <row r="3420">
      <c r="A3420" s="2" t="s">
        <v>28</v>
      </c>
      <c r="B3420" s="2" t="s">
        <v>4358</v>
      </c>
      <c r="C3420" s="2" t="s">
        <v>4858</v>
      </c>
      <c r="D3420" s="2" t="s">
        <v>13928</v>
      </c>
      <c r="E3420" s="2" t="s">
        <v>13929</v>
      </c>
      <c r="F3420" s="2">
        <v>150.0</v>
      </c>
      <c r="G3420" s="2">
        <v>288.0</v>
      </c>
      <c r="H3420" s="2" t="b">
        <v>1</v>
      </c>
      <c r="I3420" s="2">
        <v>-1.0</v>
      </c>
      <c r="J3420" s="2" t="b">
        <v>0</v>
      </c>
      <c r="K3420" s="2" t="b">
        <v>0</v>
      </c>
      <c r="L3420" s="2" t="b">
        <v>0</v>
      </c>
      <c r="M3420" s="2" t="b">
        <v>0</v>
      </c>
      <c r="N3420" s="2" t="s">
        <v>33</v>
      </c>
      <c r="O3420" s="2">
        <v>97.0</v>
      </c>
      <c r="P3420" s="2">
        <v>14.0</v>
      </c>
      <c r="Q3420" s="2">
        <v>31.0</v>
      </c>
      <c r="R3420" s="2">
        <v>0.0</v>
      </c>
      <c r="S3420" s="3" t="s">
        <v>13930</v>
      </c>
      <c r="T3420" s="2" t="s">
        <v>13931</v>
      </c>
      <c r="Y3420" s="4" t="str">
        <f>IFERROR(__xludf.DUMMYFUNCTION("""COMPUTED_VALUE"""),"6.7919866")</f>
        <v>6.7919866</v>
      </c>
      <c r="Z3420" s="4" t="str">
        <f>IFERROR(__xludf.DUMMYFUNCTION("""COMPUTED_VALUE"""),"3.2684215")</f>
        <v>3.2684215</v>
      </c>
      <c r="AA3420" s="4" t="str">
        <f t="shared" si="1"/>
        <v>Neighbor</v>
      </c>
      <c r="AC3420" s="4">
        <f>IFERROR(__xludf.DUMMYFUNCTION("IFERROR(ABS(O3420-AVERAGE(FILTER(O3420:O7488,AA3420:AA7488=""Neighbor""))) / STDEV(FILTER(O3420:O7488, AA3420:AA7488 =""Neighbor"")), """")"),1.5349052116528996)</f>
        <v>1.534905212</v>
      </c>
      <c r="AF3420" s="2">
        <f>IFERROR(__xludf.DUMMYFUNCTION("IFERROR(ABS(R3420-AVERAGE(FILTER(R3420:R7488,AA3420:AA7488=""Neighbor""))) / STDEV(FILTER(R3420:R7488, AA3420:AA7488 =""Neighbor"")), """")"),0.33537436794392567)</f>
        <v>0.3353743679</v>
      </c>
    </row>
    <row r="3421">
      <c r="A3421" s="2" t="s">
        <v>28</v>
      </c>
      <c r="B3421" s="2" t="s">
        <v>4358</v>
      </c>
      <c r="C3421" s="2" t="s">
        <v>4858</v>
      </c>
      <c r="D3421" s="2" t="s">
        <v>13932</v>
      </c>
      <c r="E3421" s="2" t="s">
        <v>13933</v>
      </c>
      <c r="F3421" s="2">
        <v>172.0</v>
      </c>
      <c r="G3421" s="2">
        <v>411.0</v>
      </c>
      <c r="H3421" s="2" t="b">
        <v>1</v>
      </c>
      <c r="I3421" s="2">
        <v>-1.0</v>
      </c>
      <c r="J3421" s="2" t="b">
        <v>0</v>
      </c>
      <c r="K3421" s="2" t="b">
        <v>0</v>
      </c>
      <c r="L3421" s="2" t="b">
        <v>0</v>
      </c>
      <c r="M3421" s="2" t="b">
        <v>0</v>
      </c>
      <c r="N3421" s="2" t="s">
        <v>33</v>
      </c>
      <c r="O3421" s="2">
        <v>104.0</v>
      </c>
      <c r="P3421" s="2">
        <v>26.0</v>
      </c>
      <c r="Q3421" s="2">
        <v>15.0</v>
      </c>
      <c r="R3421" s="2">
        <v>0.0</v>
      </c>
      <c r="S3421" s="3" t="s">
        <v>13934</v>
      </c>
      <c r="T3421" s="2" t="s">
        <v>13935</v>
      </c>
      <c r="Y3421" s="4" t="str">
        <f>IFERROR(__xludf.DUMMYFUNCTION("""COMPUTED_VALUE"""),"6.7919866")</f>
        <v>6.7919866</v>
      </c>
      <c r="Z3421" s="4" t="str">
        <f>IFERROR(__xludf.DUMMYFUNCTION("""COMPUTED_VALUE"""),"3.2684215")</f>
        <v>3.2684215</v>
      </c>
      <c r="AA3421" s="4" t="str">
        <f t="shared" si="1"/>
        <v>Not Neighbor</v>
      </c>
      <c r="AC3421" s="4">
        <f>IFERROR(__xludf.DUMMYFUNCTION("IFERROR(ABS(O3421-AVERAGE(FILTER(O3421:O7489,AA3421:AA7489=""Neighbor""))) / STDEV(FILTER(O3421:O7489, AA3421:AA7489 =""Neighbor"")), """")"),1.7596045423260036)</f>
        <v>1.759604542</v>
      </c>
      <c r="AF3421" s="2">
        <f>IFERROR(__xludf.DUMMYFUNCTION("IFERROR(ABS(R3421-AVERAGE(FILTER(R3421:R7489,AA3421:AA7489=""Neighbor""))) / STDEV(FILTER(R3421:R7489, AA3421:AA7489 =""Neighbor"")), """")"),0.33612667287714953)</f>
        <v>0.3361266729</v>
      </c>
    </row>
    <row r="3422">
      <c r="A3422" s="2" t="s">
        <v>28</v>
      </c>
      <c r="B3422" s="2" t="s">
        <v>4358</v>
      </c>
      <c r="C3422" s="2" t="s">
        <v>4858</v>
      </c>
      <c r="D3422" s="2" t="s">
        <v>13936</v>
      </c>
      <c r="E3422" s="2" t="s">
        <v>13937</v>
      </c>
      <c r="F3422" s="2">
        <v>63.0</v>
      </c>
      <c r="G3422" s="2">
        <v>116.0</v>
      </c>
      <c r="H3422" s="2" t="b">
        <v>1</v>
      </c>
      <c r="I3422" s="2">
        <v>-1.0</v>
      </c>
      <c r="J3422" s="2" t="b">
        <v>0</v>
      </c>
      <c r="K3422" s="2" t="b">
        <v>0</v>
      </c>
      <c r="L3422" s="2" t="b">
        <v>0</v>
      </c>
      <c r="M3422" s="2" t="b">
        <v>0</v>
      </c>
      <c r="N3422" s="2" t="s">
        <v>33</v>
      </c>
      <c r="O3422" s="2">
        <v>39.0</v>
      </c>
      <c r="P3422" s="2">
        <v>7.0</v>
      </c>
      <c r="Q3422" s="2">
        <v>11.0</v>
      </c>
      <c r="R3422" s="2">
        <v>0.0</v>
      </c>
      <c r="S3422" s="3" t="s">
        <v>13938</v>
      </c>
      <c r="T3422" s="2" t="s">
        <v>13939</v>
      </c>
      <c r="Y3422" s="4" t="str">
        <f>IFERROR(__xludf.DUMMYFUNCTION("""COMPUTED_VALUE"""),"7.8582665")</f>
        <v>7.8582665</v>
      </c>
      <c r="Z3422" s="4" t="str">
        <f>IFERROR(__xludf.DUMMYFUNCTION("""COMPUTED_VALUE"""),"4.5727598")</f>
        <v>4.5727598</v>
      </c>
      <c r="AA3422" s="4" t="str">
        <f t="shared" si="1"/>
        <v>Not Neighbor</v>
      </c>
      <c r="AC3422" s="4">
        <f>IFERROR(__xludf.DUMMYFUNCTION("IFERROR(ABS(O3422-AVERAGE(FILTER(O3422:O7490,AA3422:AA7490=""Neighbor""))) / STDEV(FILTER(O3422:O7490, AA3422:AA7490 =""Neighbor"")), """")"),0.22930357700967574)</f>
        <v>0.229303577</v>
      </c>
      <c r="AF3422" s="2">
        <f>IFERROR(__xludf.DUMMYFUNCTION("IFERROR(ABS(R3422-AVERAGE(FILTER(R3422:R7490,AA3422:AA7490=""Neighbor""))) / STDEV(FILTER(R3422:R7490, AA3422:AA7490 =""Neighbor"")), """")"),0.33612667287714953)</f>
        <v>0.3361266729</v>
      </c>
    </row>
    <row r="3423">
      <c r="A3423" s="2" t="s">
        <v>28</v>
      </c>
      <c r="B3423" s="2" t="s">
        <v>4358</v>
      </c>
      <c r="C3423" s="2" t="s">
        <v>4858</v>
      </c>
      <c r="D3423" s="2" t="s">
        <v>13940</v>
      </c>
      <c r="E3423" s="2" t="s">
        <v>13941</v>
      </c>
      <c r="F3423" s="2">
        <v>49.0</v>
      </c>
      <c r="G3423" s="2">
        <v>128.0</v>
      </c>
      <c r="H3423" s="2" t="b">
        <v>1</v>
      </c>
      <c r="I3423" s="2">
        <v>-1.0</v>
      </c>
      <c r="J3423" s="2" t="b">
        <v>0</v>
      </c>
      <c r="K3423" s="2" t="b">
        <v>0</v>
      </c>
      <c r="L3423" s="2" t="b">
        <v>0</v>
      </c>
      <c r="M3423" s="2" t="b">
        <v>0</v>
      </c>
      <c r="N3423" s="2" t="s">
        <v>33</v>
      </c>
      <c r="O3423" s="2">
        <v>23.0</v>
      </c>
      <c r="P3423" s="2">
        <v>9.0</v>
      </c>
      <c r="Q3423" s="2">
        <v>13.0</v>
      </c>
      <c r="R3423" s="2">
        <v>0.0</v>
      </c>
      <c r="S3423" s="3" t="s">
        <v>13942</v>
      </c>
      <c r="T3423" s="2" t="s">
        <v>13943</v>
      </c>
      <c r="Y3423" s="4" t="str">
        <f>IFERROR(__xludf.DUMMYFUNCTION("""COMPUTED_VALUE"""),"6.7919866")</f>
        <v>6.7919866</v>
      </c>
      <c r="Z3423" s="4" t="str">
        <f>IFERROR(__xludf.DUMMYFUNCTION("""COMPUTED_VALUE"""),"3.2684215")</f>
        <v>3.2684215</v>
      </c>
      <c r="AA3423" s="4" t="str">
        <f t="shared" si="1"/>
        <v>Neighbor</v>
      </c>
      <c r="AC3423" s="4">
        <f>IFERROR(__xludf.DUMMYFUNCTION("IFERROR(ABS(O3423-AVERAGE(FILTER(O3423:O7491,AA3423:AA7491=""Neighbor""))) / STDEV(FILTER(O3423:O7491, AA3423:AA7491 =""Neighbor"")), """")"),0.718880960230766)</f>
        <v>0.7188809602</v>
      </c>
      <c r="AF3423" s="2">
        <f>IFERROR(__xludf.DUMMYFUNCTION("IFERROR(ABS(R3423-AVERAGE(FILTER(R3423:R7491,AA3423:AA7491=""Neighbor""))) / STDEV(FILTER(R3423:R7491, AA3423:AA7491 =""Neighbor"")), """")"),0.33612667287714953)</f>
        <v>0.3361266729</v>
      </c>
    </row>
    <row r="3424">
      <c r="A3424" s="2" t="s">
        <v>28</v>
      </c>
      <c r="B3424" s="2" t="s">
        <v>4358</v>
      </c>
      <c r="C3424" s="2" t="s">
        <v>4858</v>
      </c>
      <c r="D3424" s="2" t="s">
        <v>13944</v>
      </c>
      <c r="E3424" s="2" t="s">
        <v>13945</v>
      </c>
      <c r="F3424" s="2">
        <v>15.0</v>
      </c>
      <c r="G3424" s="2">
        <v>64.0</v>
      </c>
      <c r="H3424" s="2" t="b">
        <v>1</v>
      </c>
      <c r="I3424" s="2">
        <v>-1.0</v>
      </c>
      <c r="J3424" s="2" t="b">
        <v>0</v>
      </c>
      <c r="K3424" s="2" t="b">
        <v>1</v>
      </c>
      <c r="L3424" s="2" t="b">
        <v>0</v>
      </c>
      <c r="M3424" s="2" t="b">
        <v>0</v>
      </c>
      <c r="N3424" s="2" t="s">
        <v>33</v>
      </c>
      <c r="O3424" s="2">
        <v>11.0</v>
      </c>
      <c r="P3424" s="2">
        <v>1.0</v>
      </c>
      <c r="Q3424" s="2">
        <v>0.0</v>
      </c>
      <c r="R3424" s="2">
        <v>0.0</v>
      </c>
      <c r="S3424" s="3" t="s">
        <v>13946</v>
      </c>
      <c r="T3424" s="2" t="s">
        <v>13947</v>
      </c>
      <c r="Y3424" s="4" t="str">
        <f>IFERROR(__xludf.DUMMYFUNCTION("""COMPUTED_VALUE"""),"6.7919866")</f>
        <v>6.7919866</v>
      </c>
      <c r="Z3424" s="4" t="str">
        <f>IFERROR(__xludf.DUMMYFUNCTION("""COMPUTED_VALUE"""),"3.2684215")</f>
        <v>3.2684215</v>
      </c>
      <c r="AA3424" s="4" t="str">
        <f t="shared" si="1"/>
        <v>Neighbor</v>
      </c>
      <c r="AC3424" s="4">
        <f>IFERROR(__xludf.DUMMYFUNCTION("IFERROR(ABS(O3424-AVERAGE(FILTER(O3424:O7492,AA3424:AA7492=""Neighbor""))) / STDEV(FILTER(O3424:O7492, AA3424:AA7492 =""Neighbor"")), """")"),1.08791862253413)</f>
        <v>1.087918623</v>
      </c>
      <c r="AF3424" s="2">
        <f>IFERROR(__xludf.DUMMYFUNCTION("IFERROR(ABS(R3424-AVERAGE(FILTER(R3424:R7492,AA3424:AA7492=""Neighbor""))) / STDEV(FILTER(R3424:R7492, AA3424:AA7492 =""Neighbor"")), """")"),0.33688406576138474)</f>
        <v>0.3368840658</v>
      </c>
    </row>
    <row r="3425">
      <c r="A3425" s="2" t="s">
        <v>28</v>
      </c>
      <c r="B3425" s="2" t="s">
        <v>4358</v>
      </c>
      <c r="C3425" s="2" t="s">
        <v>4858</v>
      </c>
      <c r="D3425" s="2" t="s">
        <v>13948</v>
      </c>
      <c r="E3425" s="2" t="s">
        <v>13949</v>
      </c>
      <c r="F3425" s="2">
        <v>98.0</v>
      </c>
      <c r="G3425" s="2">
        <v>170.0</v>
      </c>
      <c r="H3425" s="2" t="b">
        <v>1</v>
      </c>
      <c r="I3425" s="2">
        <v>-1.0</v>
      </c>
      <c r="J3425" s="2" t="b">
        <v>0</v>
      </c>
      <c r="K3425" s="2" t="b">
        <v>0</v>
      </c>
      <c r="L3425" s="2" t="b">
        <v>0</v>
      </c>
      <c r="M3425" s="2" t="b">
        <v>0</v>
      </c>
      <c r="N3425" s="2" t="s">
        <v>33</v>
      </c>
      <c r="O3425" s="2">
        <v>75.0</v>
      </c>
      <c r="P3425" s="2">
        <v>4.0</v>
      </c>
      <c r="Q3425" s="2">
        <v>5.0</v>
      </c>
      <c r="R3425" s="2">
        <v>0.0</v>
      </c>
      <c r="S3425" s="3" t="s">
        <v>13950</v>
      </c>
      <c r="T3425" s="2" t="s">
        <v>13951</v>
      </c>
      <c r="Y3425" s="4" t="str">
        <f>IFERROR(__xludf.DUMMYFUNCTION("""COMPUTED_VALUE"""),"6.7919866")</f>
        <v>6.7919866</v>
      </c>
      <c r="Z3425" s="4" t="str">
        <f>IFERROR(__xludf.DUMMYFUNCTION("""COMPUTED_VALUE"""),"3.2684215")</f>
        <v>3.2684215</v>
      </c>
      <c r="AA3425" s="4" t="str">
        <f t="shared" si="1"/>
        <v>Not Neighbor</v>
      </c>
      <c r="AC3425" s="4">
        <f>IFERROR(__xludf.DUMMYFUNCTION("IFERROR(ABS(O3425-AVERAGE(FILTER(O3425:O7493,AA3425:AA7493=""Neighbor""))) / STDEV(FILTER(O3425:O7493, AA3425:AA7493 =""Neighbor"")), """")"),0.8643642374515808)</f>
        <v>0.8643642375</v>
      </c>
      <c r="AF3425" s="2">
        <f>IFERROR(__xludf.DUMMYFUNCTION("IFERROR(ABS(R3425-AVERAGE(FILTER(R3425:R7493,AA3425:AA7493=""Neighbor""))) / STDEV(FILTER(R3425:R7493, AA3425:AA7493 =""Neighbor"")), """")"),0.3376466042323128)</f>
        <v>0.3376466042</v>
      </c>
    </row>
    <row r="3426">
      <c r="A3426" s="2" t="s">
        <v>28</v>
      </c>
      <c r="B3426" s="2" t="s">
        <v>4358</v>
      </c>
      <c r="C3426" s="2" t="s">
        <v>4858</v>
      </c>
      <c r="D3426" s="2" t="s">
        <v>13952</v>
      </c>
      <c r="E3426" s="2" t="s">
        <v>13953</v>
      </c>
      <c r="F3426" s="2">
        <v>53.0</v>
      </c>
      <c r="G3426" s="2">
        <v>120.0</v>
      </c>
      <c r="H3426" s="2" t="b">
        <v>1</v>
      </c>
      <c r="I3426" s="2">
        <v>-1.0</v>
      </c>
      <c r="J3426" s="2" t="b">
        <v>0</v>
      </c>
      <c r="K3426" s="2" t="b">
        <v>1</v>
      </c>
      <c r="L3426" s="2" t="b">
        <v>0</v>
      </c>
      <c r="M3426" s="2" t="b">
        <v>0</v>
      </c>
      <c r="N3426" s="2" t="s">
        <v>33</v>
      </c>
      <c r="O3426" s="2">
        <v>0.0</v>
      </c>
      <c r="P3426" s="2">
        <v>0.0</v>
      </c>
      <c r="Q3426" s="2">
        <v>0.0</v>
      </c>
      <c r="R3426" s="2">
        <v>0.0</v>
      </c>
      <c r="S3426" s="3" t="s">
        <v>13954</v>
      </c>
      <c r="T3426" s="2" t="s">
        <v>13955</v>
      </c>
      <c r="Y3426" s="4" t="str">
        <f>IFERROR(__xludf.DUMMYFUNCTION("""COMPUTED_VALUE"""),"6.7765393")</f>
        <v>6.7765393</v>
      </c>
      <c r="Z3426" s="4" t="str">
        <f>IFERROR(__xludf.DUMMYFUNCTION("""COMPUTED_VALUE"""),"3.2791114")</f>
        <v>3.2791114</v>
      </c>
      <c r="AA3426" s="4" t="str">
        <f t="shared" si="1"/>
        <v>Not Neighbor</v>
      </c>
      <c r="AC3426" s="4">
        <f>IFERROR(__xludf.DUMMYFUNCTION("IFERROR(ABS(O3426-AVERAGE(FILTER(O3426:O7494,AA3426:AA7494=""Neighbor""))) / STDEV(FILTER(O3426:O7494, AA3426:AA7494 =""Neighbor"")), """")"),1.429165417880231)</f>
        <v>1.429165418</v>
      </c>
      <c r="AF3426" s="2">
        <f>IFERROR(__xludf.DUMMYFUNCTION("IFERROR(ABS(R3426-AVERAGE(FILTER(R3426:R7494,AA3426:AA7494=""Neighbor""))) / STDEV(FILTER(R3426:R7494, AA3426:AA7494 =""Neighbor"")), """")"),0.3376466042323128)</f>
        <v>0.3376466042</v>
      </c>
    </row>
    <row r="3427">
      <c r="A3427" s="2" t="s">
        <v>28</v>
      </c>
      <c r="B3427" s="2" t="s">
        <v>4358</v>
      </c>
      <c r="C3427" s="2" t="s">
        <v>4858</v>
      </c>
      <c r="D3427" s="2" t="s">
        <v>13956</v>
      </c>
      <c r="E3427" s="2" t="s">
        <v>13957</v>
      </c>
      <c r="F3427" s="2">
        <v>41.0</v>
      </c>
      <c r="G3427" s="2">
        <v>80.0</v>
      </c>
      <c r="H3427" s="2" t="b">
        <v>1</v>
      </c>
      <c r="I3427" s="2">
        <v>-1.0</v>
      </c>
      <c r="J3427" s="2" t="b">
        <v>0</v>
      </c>
      <c r="K3427" s="2" t="b">
        <v>0</v>
      </c>
      <c r="L3427" s="2" t="b">
        <v>0</v>
      </c>
      <c r="M3427" s="2" t="b">
        <v>0</v>
      </c>
      <c r="N3427" s="2" t="s">
        <v>33</v>
      </c>
      <c r="O3427" s="2">
        <v>14.0</v>
      </c>
      <c r="P3427" s="2">
        <v>2.0</v>
      </c>
      <c r="Q3427" s="2">
        <v>9.0</v>
      </c>
      <c r="R3427" s="2">
        <v>0.0</v>
      </c>
      <c r="S3427" s="3" t="s">
        <v>13958</v>
      </c>
      <c r="T3427" s="2" t="s">
        <v>13959</v>
      </c>
      <c r="Y3427" s="4" t="str">
        <f>IFERROR(__xludf.DUMMYFUNCTION("""COMPUTED_VALUE"""),"6.7919866")</f>
        <v>6.7919866</v>
      </c>
      <c r="Z3427" s="4" t="str">
        <f>IFERROR(__xludf.DUMMYFUNCTION("""COMPUTED_VALUE"""),"3.2684215")</f>
        <v>3.2684215</v>
      </c>
      <c r="AA3427" s="4" t="str">
        <f t="shared" si="1"/>
        <v>Not Neighbor</v>
      </c>
      <c r="AC3427" s="4">
        <f>IFERROR(__xludf.DUMMYFUNCTION("IFERROR(ABS(O3427-AVERAGE(FILTER(O3427:O7495,AA3427:AA7495=""Neighbor""))) / STDEV(FILTER(O3427:O7495, AA3427:AA7495 =""Neighbor"")), """")"),1.0010398822182929)</f>
        <v>1.001039882</v>
      </c>
      <c r="AF3427" s="2">
        <f>IFERROR(__xludf.DUMMYFUNCTION("IFERROR(ABS(R3427-AVERAGE(FILTER(R3427:R7495,AA3427:AA7495=""Neighbor""))) / STDEV(FILTER(R3427:R7495, AA3427:AA7495 =""Neighbor"")), """")"),0.3376466042323128)</f>
        <v>0.3376466042</v>
      </c>
    </row>
    <row r="3428">
      <c r="A3428" s="2" t="s">
        <v>28</v>
      </c>
      <c r="B3428" s="2" t="s">
        <v>4358</v>
      </c>
      <c r="C3428" s="2" t="s">
        <v>4858</v>
      </c>
      <c r="D3428" s="2" t="s">
        <v>13960</v>
      </c>
      <c r="E3428" s="2" t="s">
        <v>13961</v>
      </c>
      <c r="F3428" s="2">
        <v>49.0</v>
      </c>
      <c r="G3428" s="2">
        <v>105.0</v>
      </c>
      <c r="H3428" s="2" t="b">
        <v>1</v>
      </c>
      <c r="I3428" s="2">
        <v>-1.0</v>
      </c>
      <c r="J3428" s="2" t="b">
        <v>0</v>
      </c>
      <c r="K3428" s="2" t="b">
        <v>1</v>
      </c>
      <c r="L3428" s="2" t="b">
        <v>0</v>
      </c>
      <c r="M3428" s="2" t="b">
        <v>0</v>
      </c>
      <c r="N3428" s="2" t="s">
        <v>33</v>
      </c>
      <c r="O3428" s="2">
        <v>28.0</v>
      </c>
      <c r="P3428" s="2">
        <v>0.0</v>
      </c>
      <c r="Q3428" s="2">
        <v>1.0</v>
      </c>
      <c r="R3428" s="2">
        <v>0.0</v>
      </c>
      <c r="S3428" s="3" t="s">
        <v>13962</v>
      </c>
      <c r="T3428" s="2" t="s">
        <v>13963</v>
      </c>
      <c r="Y3428" s="4" t="str">
        <f>IFERROR(__xludf.DUMMYFUNCTION("""COMPUTED_VALUE"""),"6.8056117")</f>
        <v>6.8056117</v>
      </c>
      <c r="Z3428" s="4" t="str">
        <f>IFERROR(__xludf.DUMMYFUNCTION("""COMPUTED_VALUE"""),"3.2307113")</f>
        <v>3.2307113</v>
      </c>
      <c r="AA3428" s="4" t="str">
        <f t="shared" si="1"/>
        <v>Not Neighbor</v>
      </c>
      <c r="AC3428" s="4">
        <f>IFERROR(__xludf.DUMMYFUNCTION("IFERROR(ABS(O3428-AVERAGE(FILTER(O3428:O7496,AA3428:AA7496=""Neighbor""))) / STDEV(FILTER(O3428:O7496, AA3428:AA7496 =""Neighbor"")), """")"),0.5729143465563548)</f>
        <v>0.5729143466</v>
      </c>
      <c r="AF3428" s="2">
        <f>IFERROR(__xludf.DUMMYFUNCTION("IFERROR(ABS(R3428-AVERAGE(FILTER(R3428:R7496,AA3428:AA7496=""Neighbor""))) / STDEV(FILTER(R3428:R7496, AA3428:AA7496 =""Neighbor"")), """")"),0.3376466042323128)</f>
        <v>0.3376466042</v>
      </c>
    </row>
    <row r="3429">
      <c r="A3429" s="2" t="s">
        <v>28</v>
      </c>
      <c r="B3429" s="2" t="s">
        <v>4358</v>
      </c>
      <c r="C3429" s="2" t="s">
        <v>4858</v>
      </c>
      <c r="D3429" s="2" t="s">
        <v>13964</v>
      </c>
      <c r="E3429" s="2" t="s">
        <v>13965</v>
      </c>
      <c r="F3429" s="2">
        <v>135.0</v>
      </c>
      <c r="G3429" s="2">
        <v>234.0</v>
      </c>
      <c r="H3429" s="2" t="b">
        <v>1</v>
      </c>
      <c r="I3429" s="2">
        <v>-1.0</v>
      </c>
      <c r="J3429" s="2" t="b">
        <v>0</v>
      </c>
      <c r="K3429" s="2" t="b">
        <v>0</v>
      </c>
      <c r="L3429" s="2" t="b">
        <v>0</v>
      </c>
      <c r="M3429" s="2" t="b">
        <v>0</v>
      </c>
      <c r="N3429" s="2" t="s">
        <v>33</v>
      </c>
      <c r="O3429" s="2">
        <v>82.0</v>
      </c>
      <c r="P3429" s="2">
        <v>17.0</v>
      </c>
      <c r="Q3429" s="2">
        <v>19.0</v>
      </c>
      <c r="R3429" s="2">
        <v>0.0</v>
      </c>
      <c r="S3429" s="3" t="s">
        <v>13966</v>
      </c>
      <c r="T3429" s="2" t="s">
        <v>13967</v>
      </c>
      <c r="Y3429" s="4" t="str">
        <f>IFERROR(__xludf.DUMMYFUNCTION("""COMPUTED_VALUE"""),"6.7919866")</f>
        <v>6.7919866</v>
      </c>
      <c r="Z3429" s="4" t="str">
        <f>IFERROR(__xludf.DUMMYFUNCTION("""COMPUTED_VALUE"""),"3.2684215")</f>
        <v>3.2684215</v>
      </c>
      <c r="AA3429" s="4" t="str">
        <f t="shared" si="1"/>
        <v>Not Neighbor</v>
      </c>
      <c r="AC3429" s="4">
        <f>IFERROR(__xludf.DUMMYFUNCTION("IFERROR(ABS(O3429-AVERAGE(FILTER(O3429:O7497,AA3429:AA7497=""Neighbor""))) / STDEV(FILTER(O3429:O7497, AA3429:AA7497 =""Neighbor"")), """")"),1.0784270052825498)</f>
        <v>1.078427005</v>
      </c>
      <c r="AF3429" s="2">
        <f>IFERROR(__xludf.DUMMYFUNCTION("IFERROR(ABS(R3429-AVERAGE(FILTER(R3429:R7497,AA3429:AA7497=""Neighbor""))) / STDEV(FILTER(R3429:R7497, AA3429:AA7497 =""Neighbor"")), """")"),0.3376466042323128)</f>
        <v>0.3376466042</v>
      </c>
    </row>
    <row r="3430">
      <c r="A3430" s="2" t="s">
        <v>28</v>
      </c>
      <c r="B3430" s="2" t="s">
        <v>4358</v>
      </c>
      <c r="C3430" s="2" t="s">
        <v>4919</v>
      </c>
      <c r="D3430" s="2" t="s">
        <v>13968</v>
      </c>
      <c r="E3430" s="2" t="s">
        <v>13969</v>
      </c>
      <c r="F3430" s="2">
        <v>24.0</v>
      </c>
      <c r="G3430" s="2">
        <v>52.0</v>
      </c>
      <c r="H3430" s="2" t="b">
        <v>1</v>
      </c>
      <c r="I3430" s="2">
        <v>-1.0</v>
      </c>
      <c r="J3430" s="2" t="b">
        <v>0</v>
      </c>
      <c r="K3430" s="2" t="b">
        <v>1</v>
      </c>
      <c r="L3430" s="2" t="b">
        <v>0</v>
      </c>
      <c r="M3430" s="2" t="b">
        <v>0</v>
      </c>
      <c r="N3430" s="2" t="s">
        <v>33</v>
      </c>
      <c r="O3430" s="2">
        <v>15.0</v>
      </c>
      <c r="P3430" s="2">
        <v>2.0</v>
      </c>
      <c r="Q3430" s="2">
        <v>2.0</v>
      </c>
      <c r="R3430" s="2">
        <v>0.0</v>
      </c>
      <c r="S3430" s="3" t="s">
        <v>13970</v>
      </c>
      <c r="T3430" s="2" t="s">
        <v>13971</v>
      </c>
      <c r="Y3430" s="4" t="str">
        <f>IFERROR(__xludf.DUMMYFUNCTION("""COMPUTED_VALUE"""),"8.7699197")</f>
        <v>8.7699197</v>
      </c>
      <c r="Z3430" s="4" t="str">
        <f>IFERROR(__xludf.DUMMYFUNCTION("""COMPUTED_VALUE"""),"4.1104449")</f>
        <v>4.1104449</v>
      </c>
      <c r="AA3430" s="4" t="str">
        <f t="shared" si="1"/>
        <v>Not Neighbor</v>
      </c>
      <c r="AC3430" s="4">
        <f>IFERROR(__xludf.DUMMYFUNCTION("IFERROR(ABS(O3430-AVERAGE(FILTER(O3430:O7498,AA3430:AA7498=""Neighbor""))) / STDEV(FILTER(O3430:O7498, AA3430:AA7498 =""Neighbor"")), """")"),0.9704594868138688)</f>
        <v>0.9704594868</v>
      </c>
      <c r="AF3430" s="2">
        <f>IFERROR(__xludf.DUMMYFUNCTION("IFERROR(ABS(R3430-AVERAGE(FILTER(R3430:R7498,AA3430:AA7498=""Neighbor""))) / STDEV(FILTER(R3430:R7498, AA3430:AA7498 =""Neighbor"")), """")"),0.3376466042323128)</f>
        <v>0.3376466042</v>
      </c>
    </row>
    <row r="3431">
      <c r="A3431" s="2" t="s">
        <v>28</v>
      </c>
      <c r="B3431" s="2" t="s">
        <v>4358</v>
      </c>
      <c r="C3431" s="2" t="s">
        <v>4919</v>
      </c>
      <c r="D3431" s="2" t="s">
        <v>13972</v>
      </c>
      <c r="E3431" s="2" t="s">
        <v>13973</v>
      </c>
      <c r="F3431" s="2">
        <v>59.0</v>
      </c>
      <c r="G3431" s="2">
        <v>107.0</v>
      </c>
      <c r="H3431" s="2" t="b">
        <v>1</v>
      </c>
      <c r="I3431" s="2">
        <v>-1.0</v>
      </c>
      <c r="J3431" s="2" t="b">
        <v>0</v>
      </c>
      <c r="K3431" s="2" t="b">
        <v>0</v>
      </c>
      <c r="L3431" s="2" t="b">
        <v>0</v>
      </c>
      <c r="M3431" s="2" t="b">
        <v>0</v>
      </c>
      <c r="N3431" s="2" t="s">
        <v>33</v>
      </c>
      <c r="O3431" s="2">
        <v>16.0</v>
      </c>
      <c r="P3431" s="2">
        <v>5.0</v>
      </c>
      <c r="Q3431" s="2">
        <v>30.0</v>
      </c>
      <c r="R3431" s="2">
        <v>1.0</v>
      </c>
      <c r="S3431" s="3" t="s">
        <v>13974</v>
      </c>
      <c r="T3431" s="2" t="s">
        <v>13975</v>
      </c>
      <c r="Y3431" s="4" t="str">
        <f>IFERROR(__xludf.DUMMYFUNCTION("""COMPUTED_VALUE"""),"40.7845262")</f>
        <v>40.7845262</v>
      </c>
      <c r="Z3431" s="4" t="str">
        <f>IFERROR(__xludf.DUMMYFUNCTION("""COMPUTED_VALUE"""),"21.4131222")</f>
        <v>21.4131222</v>
      </c>
      <c r="AA3431" s="4" t="str">
        <f t="shared" si="1"/>
        <v>Not Neighbor</v>
      </c>
      <c r="AC3431" s="4">
        <f>IFERROR(__xludf.DUMMYFUNCTION("IFERROR(ABS(O3431-AVERAGE(FILTER(O3431:O7499,AA3431:AA7499=""Neighbor""))) / STDEV(FILTER(O3431:O7499, AA3431:AA7499 =""Neighbor"")), """")"),0.9398790914094447)</f>
        <v>0.9398790914</v>
      </c>
      <c r="AF3431" s="2">
        <f>IFERROR(__xludf.DUMMYFUNCTION("IFERROR(ABS(R3431-AVERAGE(FILTER(R3431:R7499,AA3431:AA7499=""Neighbor""))) / STDEV(FILTER(R3431:R7499, AA3431:AA7499 =""Neighbor"")), """")"),0.8112897573915293)</f>
        <v>0.8112897574</v>
      </c>
    </row>
    <row r="3432">
      <c r="A3432" s="2" t="s">
        <v>28</v>
      </c>
      <c r="B3432" s="2" t="s">
        <v>4981</v>
      </c>
      <c r="C3432" s="2" t="s">
        <v>5351</v>
      </c>
      <c r="D3432" s="2" t="s">
        <v>13976</v>
      </c>
      <c r="E3432" s="2" t="s">
        <v>13977</v>
      </c>
      <c r="F3432" s="2">
        <v>98.0</v>
      </c>
      <c r="G3432" s="2">
        <v>159.0</v>
      </c>
      <c r="H3432" s="2" t="b">
        <v>1</v>
      </c>
      <c r="I3432" s="2">
        <v>-1.0</v>
      </c>
      <c r="J3432" s="2" t="b">
        <v>0</v>
      </c>
      <c r="K3432" s="2" t="b">
        <v>1</v>
      </c>
      <c r="L3432" s="2" t="b">
        <v>0</v>
      </c>
      <c r="M3432" s="2" t="b">
        <v>0</v>
      </c>
      <c r="N3432" s="2" t="s">
        <v>33</v>
      </c>
      <c r="O3432" s="2">
        <v>76.0</v>
      </c>
      <c r="P3432" s="2">
        <v>9.0</v>
      </c>
      <c r="Q3432" s="2">
        <v>8.0</v>
      </c>
      <c r="R3432" s="2">
        <v>0.0</v>
      </c>
      <c r="S3432" s="3" t="s">
        <v>13978</v>
      </c>
      <c r="T3432" s="2" t="s">
        <v>13979</v>
      </c>
      <c r="Y3432" s="4" t="str">
        <f>IFERROR(__xludf.DUMMYFUNCTION("""COMPUTED_VALUE"""),"6.7383561")</f>
        <v>6.7383561</v>
      </c>
      <c r="Z3432" s="4" t="str">
        <f>IFERROR(__xludf.DUMMYFUNCTION("""COMPUTED_VALUE"""),"4.4008497")</f>
        <v>4.4008497</v>
      </c>
      <c r="AA3432" s="4" t="str">
        <f t="shared" si="1"/>
        <v>Neighbor</v>
      </c>
      <c r="AC3432" s="4">
        <f>IFERROR(__xludf.DUMMYFUNCTION("IFERROR(ABS(O3432-AVERAGE(FILTER(O3432:O7500,AA3432:AA7500=""Neighbor""))) / STDEV(FILTER(O3432:O7500, AA3432:AA7500 =""Neighbor"")), """")"),0.8949446328560049)</f>
        <v>0.8949446329</v>
      </c>
      <c r="AF3432" s="2">
        <f>IFERROR(__xludf.DUMMYFUNCTION("IFERROR(ABS(R3432-AVERAGE(FILTER(R3432:R7500,AA3432:AA7500=""Neighbor""))) / STDEV(FILTER(R3432:R7500, AA3432:AA7500 =""Neighbor"")), """")"),0.3376466042323128)</f>
        <v>0.3376466042</v>
      </c>
    </row>
    <row r="3433">
      <c r="A3433" s="2" t="s">
        <v>28</v>
      </c>
      <c r="B3433" s="2" t="s">
        <v>4981</v>
      </c>
      <c r="C3433" s="2" t="s">
        <v>5351</v>
      </c>
      <c r="D3433" s="2" t="s">
        <v>13980</v>
      </c>
      <c r="E3433" s="2" t="s">
        <v>13981</v>
      </c>
      <c r="F3433" s="2">
        <v>92.0</v>
      </c>
      <c r="G3433" s="2">
        <v>135.0</v>
      </c>
      <c r="H3433" s="2" t="b">
        <v>1</v>
      </c>
      <c r="I3433" s="2">
        <v>-1.0</v>
      </c>
      <c r="J3433" s="2" t="b">
        <v>0</v>
      </c>
      <c r="K3433" s="2" t="b">
        <v>1</v>
      </c>
      <c r="L3433" s="2" t="b">
        <v>0</v>
      </c>
      <c r="M3433" s="2" t="b">
        <v>0</v>
      </c>
      <c r="N3433" s="2" t="s">
        <v>33</v>
      </c>
      <c r="O3433" s="2">
        <v>51.0</v>
      </c>
      <c r="P3433" s="2">
        <v>6.0</v>
      </c>
      <c r="Q3433" s="2">
        <v>19.0</v>
      </c>
      <c r="R3433" s="2">
        <v>0.0</v>
      </c>
      <c r="S3433" s="3" t="s">
        <v>13982</v>
      </c>
      <c r="T3433" s="2" t="s">
        <v>13983</v>
      </c>
      <c r="Y3433" s="4" t="str">
        <f>IFERROR(__xludf.DUMMYFUNCTION("""COMPUTED_VALUE"""),"6.7383561")</f>
        <v>6.7383561</v>
      </c>
      <c r="Z3433" s="4" t="str">
        <f>IFERROR(__xludf.DUMMYFUNCTION("""COMPUTED_VALUE"""),"4.4008497")</f>
        <v>4.4008497</v>
      </c>
      <c r="AA3433" s="4" t="str">
        <f t="shared" si="1"/>
        <v>Neighbor</v>
      </c>
      <c r="AC3433" s="4">
        <f>IFERROR(__xludf.DUMMYFUNCTION("IFERROR(ABS(O3433-AVERAGE(FILTER(O3433:O7501,AA3433:AA7501=""Neighbor""))) / STDEV(FILTER(O3433:O7501, AA3433:AA7501 =""Neighbor"")), """")"),0.13404856122985243)</f>
        <v>0.1340485612</v>
      </c>
      <c r="AF3433" s="2">
        <f>IFERROR(__xludf.DUMMYFUNCTION("IFERROR(ABS(R3433-AVERAGE(FILTER(R3433:R7501,AA3433:AA7501=""Neighbor""))) / STDEV(FILTER(R3433:R7501, AA3433:AA7501 =""Neighbor"")), """")"),0.3384143468441761)</f>
        <v>0.3384143468</v>
      </c>
    </row>
    <row r="3434">
      <c r="A3434" s="2" t="s">
        <v>28</v>
      </c>
      <c r="B3434" s="2" t="s">
        <v>4981</v>
      </c>
      <c r="C3434" s="2" t="s">
        <v>5351</v>
      </c>
      <c r="D3434" s="2" t="s">
        <v>13984</v>
      </c>
      <c r="E3434" s="2" t="s">
        <v>13985</v>
      </c>
      <c r="F3434" s="2">
        <v>133.0</v>
      </c>
      <c r="G3434" s="2">
        <v>183.0</v>
      </c>
      <c r="H3434" s="2" t="b">
        <v>1</v>
      </c>
      <c r="I3434" s="2">
        <v>-1.0</v>
      </c>
      <c r="J3434" s="2" t="b">
        <v>0</v>
      </c>
      <c r="K3434" s="2" t="b">
        <v>0</v>
      </c>
      <c r="L3434" s="2" t="b">
        <v>0</v>
      </c>
      <c r="M3434" s="2" t="b">
        <v>0</v>
      </c>
      <c r="N3434" s="2" t="s">
        <v>33</v>
      </c>
      <c r="O3434" s="2">
        <v>75.0</v>
      </c>
      <c r="P3434" s="2">
        <v>4.0</v>
      </c>
      <c r="Q3434" s="2">
        <v>20.0</v>
      </c>
      <c r="R3434" s="2">
        <v>0.0</v>
      </c>
      <c r="S3434" s="3" t="s">
        <v>13986</v>
      </c>
      <c r="T3434" s="2" t="s">
        <v>13987</v>
      </c>
      <c r="Y3434" s="4" t="str">
        <f>IFERROR(__xludf.DUMMYFUNCTION("""COMPUTED_VALUE"""),"6.7383561")</f>
        <v>6.7383561</v>
      </c>
      <c r="Z3434" s="4" t="str">
        <f>IFERROR(__xludf.DUMMYFUNCTION("""COMPUTED_VALUE"""),"4.4008497")</f>
        <v>4.4008497</v>
      </c>
      <c r="AA3434" s="4" t="str">
        <f t="shared" si="1"/>
        <v>Neighbor</v>
      </c>
      <c r="AC3434" s="4">
        <f>IFERROR(__xludf.DUMMYFUNCTION("IFERROR(ABS(O3434-AVERAGE(FILTER(O3434:O7502,AA3434:AA7502=""Neighbor""))) / STDEV(FILTER(O3434:O7502, AA3434:AA7502 =""Neighbor"")), """")"),0.8664780334315734)</f>
        <v>0.8664780334</v>
      </c>
      <c r="AF3434" s="2">
        <f>IFERROR(__xludf.DUMMYFUNCTION("IFERROR(ABS(R3434-AVERAGE(FILTER(R3434:R7502,AA3434:AA7502=""Neighbor""))) / STDEV(FILTER(R3434:R7502, AA3434:AA7502 =""Neighbor"")), """")"),0.33918735308869186)</f>
        <v>0.3391873531</v>
      </c>
    </row>
    <row r="3435">
      <c r="A3435" s="2" t="s">
        <v>28</v>
      </c>
      <c r="B3435" s="2" t="s">
        <v>4981</v>
      </c>
      <c r="C3435" s="2" t="s">
        <v>5351</v>
      </c>
      <c r="D3435" s="2" t="s">
        <v>13988</v>
      </c>
      <c r="E3435" s="2" t="s">
        <v>13989</v>
      </c>
      <c r="F3435" s="2">
        <v>119.0</v>
      </c>
      <c r="G3435" s="2">
        <v>198.0</v>
      </c>
      <c r="H3435" s="2" t="b">
        <v>1</v>
      </c>
      <c r="I3435" s="2">
        <v>-1.0</v>
      </c>
      <c r="J3435" s="2" t="b">
        <v>0</v>
      </c>
      <c r="K3435" s="2" t="b">
        <v>0</v>
      </c>
      <c r="L3435" s="2" t="b">
        <v>0</v>
      </c>
      <c r="M3435" s="2" t="b">
        <v>0</v>
      </c>
      <c r="N3435" s="2" t="s">
        <v>33</v>
      </c>
      <c r="O3435" s="2">
        <v>83.0</v>
      </c>
      <c r="P3435" s="2">
        <v>3.0</v>
      </c>
      <c r="Q3435" s="2">
        <v>24.0</v>
      </c>
      <c r="R3435" s="2">
        <v>0.0</v>
      </c>
      <c r="S3435" s="3" t="s">
        <v>13990</v>
      </c>
      <c r="T3435" s="2" t="s">
        <v>13991</v>
      </c>
      <c r="Y3435" s="4" t="str">
        <f>IFERROR(__xludf.DUMMYFUNCTION("""COMPUTED_VALUE"""),"6.7383561")</f>
        <v>6.7383561</v>
      </c>
      <c r="Z3435" s="4" t="str">
        <f>IFERROR(__xludf.DUMMYFUNCTION("""COMPUTED_VALUE"""),"4.4008497")</f>
        <v>4.4008497</v>
      </c>
      <c r="AA3435" s="4" t="str">
        <f t="shared" si="1"/>
        <v>Not Neighbor</v>
      </c>
      <c r="AC3435" s="4">
        <f>IFERROR(__xludf.DUMMYFUNCTION("IFERROR(ABS(O3435-AVERAGE(FILTER(O3435:O7503,AA3435:AA7503=""Neighbor""))) / STDEV(FILTER(O3435:O7503, AA3435:AA7503 =""Neighbor"")), """")"),1.1135401115095822)</f>
        <v>1.113540112</v>
      </c>
      <c r="AF3435" s="2">
        <f>IFERROR(__xludf.DUMMYFUNCTION("IFERROR(ABS(R3435-AVERAGE(FILTER(R3435:R7503,AA3435:AA7503=""Neighbor""))) / STDEV(FILTER(R3435:R7503, AA3435:AA7503 =""Neighbor"")), """")"),0.33996568341444605)</f>
        <v>0.3399656834</v>
      </c>
    </row>
    <row r="3436">
      <c r="A3436" s="2" t="s">
        <v>28</v>
      </c>
      <c r="B3436" s="2" t="s">
        <v>4981</v>
      </c>
      <c r="C3436" s="2" t="s">
        <v>5351</v>
      </c>
      <c r="D3436" s="2" t="s">
        <v>13992</v>
      </c>
      <c r="E3436" s="2" t="s">
        <v>13993</v>
      </c>
      <c r="F3436" s="2">
        <v>134.0</v>
      </c>
      <c r="G3436" s="2">
        <v>213.0</v>
      </c>
      <c r="H3436" s="2" t="b">
        <v>1</v>
      </c>
      <c r="I3436" s="2">
        <v>-1.0</v>
      </c>
      <c r="J3436" s="2" t="b">
        <v>0</v>
      </c>
      <c r="K3436" s="2" t="b">
        <v>1</v>
      </c>
      <c r="L3436" s="2" t="b">
        <v>0</v>
      </c>
      <c r="M3436" s="2" t="b">
        <v>0</v>
      </c>
      <c r="N3436" s="2" t="s">
        <v>33</v>
      </c>
      <c r="O3436" s="2">
        <v>124.0</v>
      </c>
      <c r="P3436" s="2">
        <v>15.0</v>
      </c>
      <c r="Q3436" s="2">
        <v>2.0</v>
      </c>
      <c r="R3436" s="2">
        <v>0.0</v>
      </c>
      <c r="S3436" s="3" t="s">
        <v>13994</v>
      </c>
      <c r="T3436" s="2" t="s">
        <v>13995</v>
      </c>
      <c r="Y3436" s="4" t="str">
        <f>IFERROR(__xludf.DUMMYFUNCTION("""COMPUTED_VALUE"""),"6.779517")</f>
        <v>6.779517</v>
      </c>
      <c r="Z3436" s="4" t="str">
        <f>IFERROR(__xludf.DUMMYFUNCTION("""COMPUTED_VALUE"""),"4.277941")</f>
        <v>4.277941</v>
      </c>
      <c r="AA3436" s="4" t="str">
        <f t="shared" si="1"/>
        <v>Not Neighbor</v>
      </c>
      <c r="AC3436" s="4">
        <f>IFERROR(__xludf.DUMMYFUNCTION("IFERROR(ABS(O3436-AVERAGE(FILTER(O3436:O7504,AA3436:AA7504=""Neighbor""))) / STDEV(FILTER(O3436:O7504, AA3436:AA7504 =""Neighbor"")), """")"),2.363658349391238)</f>
        <v>2.363658349</v>
      </c>
      <c r="AF3436" s="2">
        <f>IFERROR(__xludf.DUMMYFUNCTION("IFERROR(ABS(R3436-AVERAGE(FILTER(R3436:R7504,AA3436:AA7504=""Neighbor""))) / STDEV(FILTER(R3436:R7504, AA3436:AA7504 =""Neighbor"")), """")"),0.33996568341444605)</f>
        <v>0.3399656834</v>
      </c>
    </row>
    <row r="3437">
      <c r="A3437" s="2" t="s">
        <v>28</v>
      </c>
      <c r="B3437" s="2" t="s">
        <v>4981</v>
      </c>
      <c r="C3437" s="2" t="s">
        <v>5351</v>
      </c>
      <c r="D3437" s="2" t="s">
        <v>13996</v>
      </c>
      <c r="E3437" s="2" t="s">
        <v>13997</v>
      </c>
      <c r="F3437" s="2">
        <v>148.0</v>
      </c>
      <c r="G3437" s="2">
        <v>373.0</v>
      </c>
      <c r="H3437" s="2" t="b">
        <v>1</v>
      </c>
      <c r="I3437" s="2">
        <v>-1.0</v>
      </c>
      <c r="J3437" s="2" t="b">
        <v>0</v>
      </c>
      <c r="K3437" s="2" t="b">
        <v>1</v>
      </c>
      <c r="L3437" s="2" t="b">
        <v>0</v>
      </c>
      <c r="M3437" s="2" t="b">
        <v>0</v>
      </c>
      <c r="N3437" s="2" t="s">
        <v>33</v>
      </c>
      <c r="O3437" s="2">
        <v>119.0</v>
      </c>
      <c r="P3437" s="2">
        <v>17.0</v>
      </c>
      <c r="Q3437" s="2">
        <v>3.0</v>
      </c>
      <c r="R3437" s="2">
        <v>0.0</v>
      </c>
      <c r="S3437" s="3" t="s">
        <v>13998</v>
      </c>
      <c r="T3437" s="2" t="s">
        <v>13999</v>
      </c>
      <c r="Y3437" s="4" t="str">
        <f>IFERROR(__xludf.DUMMYFUNCTION("""COMPUTED_VALUE"""),"6.7165733")</f>
        <v>6.7165733</v>
      </c>
      <c r="Z3437" s="4" t="str">
        <f>IFERROR(__xludf.DUMMYFUNCTION("""COMPUTED_VALUE"""),"4.2605766")</f>
        <v>4.2605766</v>
      </c>
      <c r="AA3437" s="4" t="str">
        <f t="shared" si="1"/>
        <v>Not Neighbor</v>
      </c>
      <c r="AC3437" s="4">
        <f>IFERROR(__xludf.DUMMYFUNCTION("IFERROR(ABS(O3437-AVERAGE(FILTER(O3437:O7505,AA3437:AA7505=""Neighbor""))) / STDEV(FILTER(O3437:O7505, AA3437:AA7505 =""Neighbor"")), """")"),2.2112049057471337)</f>
        <v>2.211204906</v>
      </c>
      <c r="AF3437" s="2">
        <f>IFERROR(__xludf.DUMMYFUNCTION("IFERROR(ABS(R3437-AVERAGE(FILTER(R3437:R7505,AA3437:AA7505=""Neighbor""))) / STDEV(FILTER(R3437:R7505, AA3437:AA7505 =""Neighbor"")), """")"),0.33996568341444605)</f>
        <v>0.3399656834</v>
      </c>
    </row>
    <row r="3438">
      <c r="A3438" s="2" t="s">
        <v>28</v>
      </c>
      <c r="B3438" s="2" t="s">
        <v>4981</v>
      </c>
      <c r="C3438" s="2" t="s">
        <v>5351</v>
      </c>
      <c r="D3438" s="2" t="s">
        <v>14000</v>
      </c>
      <c r="E3438" s="2" t="s">
        <v>14001</v>
      </c>
      <c r="F3438" s="2">
        <v>91.0</v>
      </c>
      <c r="G3438" s="2">
        <v>130.0</v>
      </c>
      <c r="H3438" s="2" t="b">
        <v>1</v>
      </c>
      <c r="I3438" s="2">
        <v>-1.0</v>
      </c>
      <c r="J3438" s="2" t="b">
        <v>0</v>
      </c>
      <c r="K3438" s="2" t="b">
        <v>1</v>
      </c>
      <c r="L3438" s="2" t="b">
        <v>0</v>
      </c>
      <c r="M3438" s="2" t="b">
        <v>0</v>
      </c>
      <c r="N3438" s="2" t="s">
        <v>33</v>
      </c>
      <c r="O3438" s="2">
        <v>54.0</v>
      </c>
      <c r="P3438" s="2">
        <v>1.0</v>
      </c>
      <c r="Q3438" s="2">
        <v>12.0</v>
      </c>
      <c r="R3438" s="2">
        <v>0.0</v>
      </c>
      <c r="S3438" s="3" t="s">
        <v>14002</v>
      </c>
      <c r="T3438" s="2" t="s">
        <v>14003</v>
      </c>
      <c r="Y3438" s="4" t="str">
        <f>IFERROR(__xludf.DUMMYFUNCTION("""COMPUTED_VALUE"""),"6.7383561")</f>
        <v>6.7383561</v>
      </c>
      <c r="Z3438" s="4" t="str">
        <f>IFERROR(__xludf.DUMMYFUNCTION("""COMPUTED_VALUE"""),"4.4008497")</f>
        <v>4.4008497</v>
      </c>
      <c r="AA3438" s="4" t="str">
        <f t="shared" si="1"/>
        <v>Not Neighbor</v>
      </c>
      <c r="AC3438" s="4">
        <f>IFERROR(__xludf.DUMMYFUNCTION("IFERROR(ABS(O3438-AVERAGE(FILTER(O3438:O7506,AA3438:AA7506=""Neighbor""))) / STDEV(FILTER(O3438:O7506, AA3438:AA7506 =""Neighbor"")), """")"),0.22931013837377673)</f>
        <v>0.2293101384</v>
      </c>
      <c r="AF3438" s="2">
        <f>IFERROR(__xludf.DUMMYFUNCTION("IFERROR(ABS(R3438-AVERAGE(FILTER(R3438:R7506,AA3438:AA7506=""Neighbor""))) / STDEV(FILTER(R3438:R7506, AA3438:AA7506 =""Neighbor"")), """")"),0.33996568341444605)</f>
        <v>0.3399656834</v>
      </c>
    </row>
    <row r="3439">
      <c r="A3439" s="2" t="s">
        <v>28</v>
      </c>
      <c r="B3439" s="2" t="s">
        <v>4981</v>
      </c>
      <c r="C3439" s="2" t="s">
        <v>5351</v>
      </c>
      <c r="D3439" s="2" t="s">
        <v>14004</v>
      </c>
      <c r="E3439" s="2" t="s">
        <v>14005</v>
      </c>
      <c r="F3439" s="2">
        <v>283.0</v>
      </c>
      <c r="G3439" s="2">
        <v>413.0</v>
      </c>
      <c r="H3439" s="2" t="b">
        <v>1</v>
      </c>
      <c r="I3439" s="2">
        <v>-1.0</v>
      </c>
      <c r="J3439" s="2" t="b">
        <v>0</v>
      </c>
      <c r="K3439" s="2" t="b">
        <v>0</v>
      </c>
      <c r="L3439" s="2" t="b">
        <v>0</v>
      </c>
      <c r="M3439" s="2" t="b">
        <v>0</v>
      </c>
      <c r="N3439" s="2" t="s">
        <v>33</v>
      </c>
      <c r="O3439" s="2">
        <v>154.0</v>
      </c>
      <c r="P3439" s="2">
        <v>18.0</v>
      </c>
      <c r="Q3439" s="2">
        <v>91.0</v>
      </c>
      <c r="R3439" s="2">
        <v>0.0</v>
      </c>
      <c r="S3439" s="3" t="s">
        <v>14006</v>
      </c>
      <c r="T3439" s="2" t="s">
        <v>14007</v>
      </c>
      <c r="Y3439" s="4" t="str">
        <f>IFERROR(__xludf.DUMMYFUNCTION("""COMPUTED_VALUE"""),"7.2209729")</f>
        <v>7.2209729</v>
      </c>
      <c r="Z3439" s="4" t="str">
        <f>IFERROR(__xludf.DUMMYFUNCTION("""COMPUTED_VALUE"""),"3.2530982")</f>
        <v>3.2530982</v>
      </c>
      <c r="AA3439" s="4" t="str">
        <f t="shared" si="1"/>
        <v>Not Neighbor</v>
      </c>
      <c r="AC3439" s="4">
        <f>IFERROR(__xludf.DUMMYFUNCTION("IFERROR(ABS(O3439-AVERAGE(FILTER(O3439:O7507,AA3439:AA7507=""Neighbor""))) / STDEV(FILTER(O3439:O7507, AA3439:AA7507 =""Neighbor"")), """")"),3.2783790112558644)</f>
        <v>3.278379011</v>
      </c>
      <c r="AF3439" s="2">
        <f>IFERROR(__xludf.DUMMYFUNCTION("IFERROR(ABS(R3439-AVERAGE(FILTER(R3439:R7507,AA3439:AA7507=""Neighbor""))) / STDEV(FILTER(R3439:R7507, AA3439:AA7507 =""Neighbor"")), """")"),0.33996568341444605)</f>
        <v>0.3399656834</v>
      </c>
    </row>
    <row r="3440">
      <c r="A3440" s="2" t="s">
        <v>28</v>
      </c>
      <c r="B3440" s="2" t="s">
        <v>4981</v>
      </c>
      <c r="C3440" s="2" t="s">
        <v>5351</v>
      </c>
      <c r="D3440" s="2" t="s">
        <v>14008</v>
      </c>
      <c r="E3440" s="2" t="s">
        <v>14009</v>
      </c>
      <c r="F3440" s="2">
        <v>207.0</v>
      </c>
      <c r="G3440" s="2">
        <v>432.0</v>
      </c>
      <c r="H3440" s="2" t="b">
        <v>1</v>
      </c>
      <c r="I3440" s="2">
        <v>-1.0</v>
      </c>
      <c r="J3440" s="2" t="b">
        <v>1</v>
      </c>
      <c r="K3440" s="2" t="b">
        <v>0</v>
      </c>
      <c r="L3440" s="2" t="b">
        <v>0</v>
      </c>
      <c r="M3440" s="2" t="b">
        <v>0</v>
      </c>
      <c r="N3440" s="2" t="s">
        <v>33</v>
      </c>
      <c r="O3440" s="2">
        <v>115.0</v>
      </c>
      <c r="P3440" s="2">
        <v>24.0</v>
      </c>
      <c r="Q3440" s="2">
        <v>43.0</v>
      </c>
      <c r="R3440" s="2">
        <v>0.0</v>
      </c>
      <c r="S3440" s="3" t="s">
        <v>14010</v>
      </c>
      <c r="T3440" s="2" t="s">
        <v>14011</v>
      </c>
      <c r="Y3440" s="4" t="str">
        <f>IFERROR(__xludf.DUMMYFUNCTION("""COMPUTED_VALUE"""),"6.7383561")</f>
        <v>6.7383561</v>
      </c>
      <c r="Z3440" s="4" t="str">
        <f>IFERROR(__xludf.DUMMYFUNCTION("""COMPUTED_VALUE"""),"4.4008497")</f>
        <v>4.4008497</v>
      </c>
      <c r="AA3440" s="4" t="str">
        <f t="shared" si="1"/>
        <v>Not Neighbor</v>
      </c>
      <c r="AC3440" s="4">
        <f>IFERROR(__xludf.DUMMYFUNCTION("IFERROR(ABS(O3440-AVERAGE(FILTER(O3440:O7508,AA3440:AA7508=""Neighbor""))) / STDEV(FILTER(O3440:O7508, AA3440:AA7508 =""Neighbor"")), """")"),2.08924215083185)</f>
        <v>2.089242151</v>
      </c>
      <c r="AF3440" s="2">
        <f>IFERROR(__xludf.DUMMYFUNCTION("IFERROR(ABS(R3440-AVERAGE(FILTER(R3440:R7508,AA3440:AA7508=""Neighbor""))) / STDEV(FILTER(R3440:R7508, AA3440:AA7508 =""Neighbor"")), """")"),0.33996568341444605)</f>
        <v>0.3399656834</v>
      </c>
    </row>
    <row r="3441">
      <c r="A3441" s="2" t="s">
        <v>28</v>
      </c>
      <c r="B3441" s="2" t="s">
        <v>4981</v>
      </c>
      <c r="C3441" s="2" t="s">
        <v>5351</v>
      </c>
      <c r="D3441" s="2" t="s">
        <v>14012</v>
      </c>
      <c r="E3441" s="2" t="s">
        <v>14013</v>
      </c>
      <c r="F3441" s="2">
        <v>113.0</v>
      </c>
      <c r="G3441" s="2">
        <v>187.0</v>
      </c>
      <c r="H3441" s="2" t="b">
        <v>1</v>
      </c>
      <c r="I3441" s="2">
        <v>-1.0</v>
      </c>
      <c r="J3441" s="2" t="b">
        <v>0</v>
      </c>
      <c r="K3441" s="2" t="b">
        <v>0</v>
      </c>
      <c r="L3441" s="2" t="b">
        <v>0</v>
      </c>
      <c r="M3441" s="2" t="b">
        <v>0</v>
      </c>
      <c r="N3441" s="2" t="s">
        <v>33</v>
      </c>
      <c r="O3441" s="2">
        <v>82.0</v>
      </c>
      <c r="P3441" s="2">
        <v>9.0</v>
      </c>
      <c r="Q3441" s="2">
        <v>7.0</v>
      </c>
      <c r="R3441" s="2">
        <v>0.0</v>
      </c>
      <c r="S3441" s="3" t="s">
        <v>14014</v>
      </c>
      <c r="T3441" s="2" t="s">
        <v>14015</v>
      </c>
      <c r="Y3441" s="4" t="str">
        <f>IFERROR(__xludf.DUMMYFUNCTION("""COMPUTED_VALUE"""),"6.8583095")</f>
        <v>6.8583095</v>
      </c>
      <c r="Z3441" s="4" t="str">
        <f>IFERROR(__xludf.DUMMYFUNCTION("""COMPUTED_VALUE"""),"4.356513")</f>
        <v>4.356513</v>
      </c>
      <c r="AA3441" s="4" t="str">
        <f t="shared" si="1"/>
        <v>Neighbor</v>
      </c>
      <c r="AC3441" s="4">
        <f>IFERROR(__xludf.DUMMYFUNCTION("IFERROR(ABS(O3441-AVERAGE(FILTER(O3441:O7509,AA3441:AA7509=""Neighbor""))) / STDEV(FILTER(O3441:O7509, AA3441:AA7509 =""Neighbor"")), """")"),1.0830494227807612)</f>
        <v>1.083049423</v>
      </c>
      <c r="AF3441" s="2">
        <f>IFERROR(__xludf.DUMMYFUNCTION("IFERROR(ABS(R3441-AVERAGE(FILTER(R3441:R7509,AA3441:AA7509=""Neighbor""))) / STDEV(FILTER(R3441:R7509, AA3441:AA7509 =""Neighbor"")), """")"),0.33996568341444605)</f>
        <v>0.3399656834</v>
      </c>
    </row>
    <row r="3442">
      <c r="A3442" s="2" t="s">
        <v>28</v>
      </c>
      <c r="B3442" s="2" t="s">
        <v>4981</v>
      </c>
      <c r="C3442" s="2" t="s">
        <v>5351</v>
      </c>
      <c r="D3442" s="2" t="s">
        <v>14016</v>
      </c>
      <c r="E3442" s="2" t="s">
        <v>14017</v>
      </c>
      <c r="F3442" s="2">
        <v>108.0</v>
      </c>
      <c r="G3442" s="2">
        <v>150.0</v>
      </c>
      <c r="H3442" s="2" t="b">
        <v>1</v>
      </c>
      <c r="I3442" s="2">
        <v>-1.0</v>
      </c>
      <c r="J3442" s="2" t="b">
        <v>0</v>
      </c>
      <c r="K3442" s="2" t="b">
        <v>0</v>
      </c>
      <c r="L3442" s="2" t="b">
        <v>0</v>
      </c>
      <c r="M3442" s="2" t="b">
        <v>0</v>
      </c>
      <c r="N3442" s="2" t="s">
        <v>33</v>
      </c>
      <c r="O3442" s="2">
        <v>0.0</v>
      </c>
      <c r="P3442" s="2">
        <v>0.0</v>
      </c>
      <c r="Q3442" s="2">
        <v>0.0</v>
      </c>
      <c r="R3442" s="2">
        <v>0.0</v>
      </c>
      <c r="S3442" s="3" t="s">
        <v>14018</v>
      </c>
      <c r="T3442" s="2" t="s">
        <v>14019</v>
      </c>
      <c r="Y3442" s="4" t="str">
        <f>IFERROR(__xludf.DUMMYFUNCTION("""COMPUTED_VALUE"""),"6.8583095")</f>
        <v>6.8583095</v>
      </c>
      <c r="Z3442" s="4" t="str">
        <f>IFERROR(__xludf.DUMMYFUNCTION("""COMPUTED_VALUE"""),"4.356513")</f>
        <v>4.356513</v>
      </c>
      <c r="AA3442" s="4" t="str">
        <f t="shared" si="1"/>
        <v>Not Neighbor</v>
      </c>
      <c r="AC3442" s="4">
        <f>IFERROR(__xludf.DUMMYFUNCTION("IFERROR(ABS(O3442-AVERAGE(FILTER(O3442:O7510,AA3442:AA7510=""Neighbor""))) / STDEV(FILTER(O3442:O7510, AA3442:AA7510 =""Neighbor"")), """")"),1.413216834339472)</f>
        <v>1.413216834</v>
      </c>
      <c r="AF3442" s="2">
        <f>IFERROR(__xludf.DUMMYFUNCTION("IFERROR(ABS(R3442-AVERAGE(FILTER(R3442:R7510,AA3442:AA7510=""Neighbor""))) / STDEV(FILTER(R3442:R7510, AA3442:AA7510 =""Neighbor"")), """")"),0.3407493992467793)</f>
        <v>0.3407493992</v>
      </c>
    </row>
    <row r="3443">
      <c r="A3443" s="2" t="s">
        <v>28</v>
      </c>
      <c r="B3443" s="2" t="s">
        <v>4981</v>
      </c>
      <c r="C3443" s="2" t="s">
        <v>5351</v>
      </c>
      <c r="D3443" s="2" t="s">
        <v>14020</v>
      </c>
      <c r="E3443" s="2" t="s">
        <v>14021</v>
      </c>
      <c r="F3443" s="2">
        <v>125.0</v>
      </c>
      <c r="G3443" s="2">
        <v>264.0</v>
      </c>
      <c r="H3443" s="2" t="b">
        <v>1</v>
      </c>
      <c r="I3443" s="2">
        <v>-1.0</v>
      </c>
      <c r="J3443" s="2" t="b">
        <v>0</v>
      </c>
      <c r="K3443" s="2" t="b">
        <v>0</v>
      </c>
      <c r="L3443" s="2" t="b">
        <v>0</v>
      </c>
      <c r="M3443" s="2" t="b">
        <v>0</v>
      </c>
      <c r="N3443" s="2" t="s">
        <v>33</v>
      </c>
      <c r="O3443" s="2">
        <v>118.0</v>
      </c>
      <c r="P3443" s="2">
        <v>4.0</v>
      </c>
      <c r="Q3443" s="2">
        <v>0.0</v>
      </c>
      <c r="R3443" s="2">
        <v>0.0</v>
      </c>
      <c r="S3443" s="3" t="s">
        <v>14022</v>
      </c>
      <c r="T3443" s="2" t="s">
        <v>14023</v>
      </c>
      <c r="Y3443" s="4" t="str">
        <f>IFERROR(__xludf.DUMMYFUNCTION("""COMPUTED_VALUE"""),"6.7383561")</f>
        <v>6.7383561</v>
      </c>
      <c r="Z3443" s="4" t="str">
        <f>IFERROR(__xludf.DUMMYFUNCTION("""COMPUTED_VALUE"""),"4.4008497")</f>
        <v>4.4008497</v>
      </c>
      <c r="AA3443" s="4" t="str">
        <f t="shared" si="1"/>
        <v>Neighbor</v>
      </c>
      <c r="AC3443" s="4">
        <f>IFERROR(__xludf.DUMMYFUNCTION("IFERROR(ABS(O3443-AVERAGE(FILTER(O3443:O7511,AA3443:AA7511=""Neighbor""))) / STDEV(FILTER(O3443:O7511, AA3443:AA7511 =""Neighbor"")), """")"),2.1860183738770695)</f>
        <v>2.186018374</v>
      </c>
      <c r="AF3443" s="2">
        <f>IFERROR(__xludf.DUMMYFUNCTION("IFERROR(ABS(R3443-AVERAGE(FILTER(R3443:R7511,AA3443:AA7511=""Neighbor""))) / STDEV(FILTER(R3443:R7511, AA3443:AA7511 =""Neighbor"")), """")"),0.3407493992467793)</f>
        <v>0.3407493992</v>
      </c>
    </row>
    <row r="3444">
      <c r="A3444" s="2" t="s">
        <v>28</v>
      </c>
      <c r="B3444" s="2" t="s">
        <v>4981</v>
      </c>
      <c r="C3444" s="2" t="s">
        <v>5351</v>
      </c>
      <c r="D3444" s="2" t="s">
        <v>14024</v>
      </c>
      <c r="E3444" s="2" t="s">
        <v>14025</v>
      </c>
      <c r="F3444" s="2">
        <v>68.0</v>
      </c>
      <c r="G3444" s="2">
        <v>140.0</v>
      </c>
      <c r="H3444" s="2" t="b">
        <v>1</v>
      </c>
      <c r="I3444" s="2">
        <v>-1.0</v>
      </c>
      <c r="J3444" s="2" t="b">
        <v>0</v>
      </c>
      <c r="K3444" s="2" t="b">
        <v>0</v>
      </c>
      <c r="L3444" s="2" t="b">
        <v>0</v>
      </c>
      <c r="M3444" s="2" t="b">
        <v>0</v>
      </c>
      <c r="N3444" s="2" t="s">
        <v>33</v>
      </c>
      <c r="O3444" s="2">
        <v>31.0</v>
      </c>
      <c r="P3444" s="2">
        <v>1.0</v>
      </c>
      <c r="Q3444" s="2">
        <v>31.0</v>
      </c>
      <c r="R3444" s="2">
        <v>0.0</v>
      </c>
      <c r="S3444" s="3" t="s">
        <v>14026</v>
      </c>
      <c r="T3444" s="2" t="s">
        <v>14027</v>
      </c>
      <c r="Y3444" s="4" t="str">
        <f>IFERROR(__xludf.DUMMYFUNCTION("""COMPUTED_VALUE"""),"6.7383561")</f>
        <v>6.7383561</v>
      </c>
      <c r="Z3444" s="4" t="str">
        <f>IFERROR(__xludf.DUMMYFUNCTION("""COMPUTED_VALUE"""),"4.4008497")</f>
        <v>4.4008497</v>
      </c>
      <c r="AA3444" s="4" t="str">
        <f t="shared" si="1"/>
        <v>Neighbor</v>
      </c>
      <c r="AC3444" s="4">
        <f>IFERROR(__xludf.DUMMYFUNCTION("IFERROR(ABS(O3444-AVERAGE(FILTER(O3444:O7512,AA3444:AA7512=""Neighbor""))) / STDEV(FILTER(O3444:O7512, AA3444:AA7512 =""Neighbor"")), """")"),0.4622346479996343)</f>
        <v>0.462234648</v>
      </c>
      <c r="AF3444" s="2">
        <f>IFERROR(__xludf.DUMMYFUNCTION("IFERROR(ABS(R3444-AVERAGE(FILTER(R3444:R7512,AA3444:AA7512=""Neighbor""))) / STDEV(FILTER(R3444:R7512, AA3444:AA7512 =""Neighbor"")), """")"),0.3415385630081793)</f>
        <v>0.341538563</v>
      </c>
    </row>
    <row r="3445">
      <c r="A3445" s="2" t="s">
        <v>28</v>
      </c>
      <c r="B3445" s="2" t="s">
        <v>4981</v>
      </c>
      <c r="C3445" s="2" t="s">
        <v>5351</v>
      </c>
      <c r="D3445" s="2" t="s">
        <v>14028</v>
      </c>
      <c r="E3445" s="2" t="s">
        <v>14029</v>
      </c>
      <c r="F3445" s="2">
        <v>96.0</v>
      </c>
      <c r="G3445" s="2">
        <v>128.0</v>
      </c>
      <c r="H3445" s="2" t="b">
        <v>1</v>
      </c>
      <c r="I3445" s="2">
        <v>-1.0</v>
      </c>
      <c r="J3445" s="2" t="b">
        <v>0</v>
      </c>
      <c r="K3445" s="2" t="b">
        <v>0</v>
      </c>
      <c r="L3445" s="2" t="b">
        <v>0</v>
      </c>
      <c r="M3445" s="2" t="b">
        <v>0</v>
      </c>
      <c r="N3445" s="2" t="s">
        <v>33</v>
      </c>
      <c r="O3445" s="2">
        <v>68.0</v>
      </c>
      <c r="P3445" s="2">
        <v>0.0</v>
      </c>
      <c r="Q3445" s="2">
        <v>26.0</v>
      </c>
      <c r="R3445" s="2">
        <v>0.0</v>
      </c>
      <c r="S3445" s="3" t="s">
        <v>14030</v>
      </c>
      <c r="T3445" s="2" t="s">
        <v>14031</v>
      </c>
      <c r="Y3445" s="4" t="str">
        <f>IFERROR(__xludf.DUMMYFUNCTION("""COMPUTED_VALUE"""),"6.7383561")</f>
        <v>6.7383561</v>
      </c>
      <c r="Z3445" s="4" t="str">
        <f>IFERROR(__xludf.DUMMYFUNCTION("""COMPUTED_VALUE"""),"4.4008497")</f>
        <v>4.4008497</v>
      </c>
      <c r="AA3445" s="4" t="str">
        <f t="shared" si="1"/>
        <v>Not Neighbor</v>
      </c>
      <c r="AC3445" s="4">
        <f>IFERROR(__xludf.DUMMYFUNCTION("IFERROR(ABS(O3445-AVERAGE(FILTER(O3445:O7513,AA3445:AA7513=""Neighbor""))) / STDEV(FILTER(O3445:O7513, AA3445:AA7513 =""Neighbor"")), """")"),0.6723734354990586)</f>
        <v>0.6723734355</v>
      </c>
      <c r="AF3445" s="2">
        <f>IFERROR(__xludf.DUMMYFUNCTION("IFERROR(ABS(R3445-AVERAGE(FILTER(R3445:R7513,AA3445:AA7513=""Neighbor""))) / STDEV(FILTER(R3445:R7513, AA3445:AA7513 =""Neighbor"")), """")"),0.3423332381391977)</f>
        <v>0.3423332381</v>
      </c>
    </row>
    <row r="3446">
      <c r="A3446" s="2" t="s">
        <v>28</v>
      </c>
      <c r="B3446" s="2" t="s">
        <v>4981</v>
      </c>
      <c r="C3446" s="2" t="s">
        <v>5351</v>
      </c>
      <c r="D3446" s="2" t="s">
        <v>14032</v>
      </c>
      <c r="E3446" s="2" t="s">
        <v>14033</v>
      </c>
      <c r="F3446" s="2">
        <v>141.0</v>
      </c>
      <c r="G3446" s="2">
        <v>206.0</v>
      </c>
      <c r="H3446" s="2" t="b">
        <v>1</v>
      </c>
      <c r="I3446" s="2">
        <v>-1.0</v>
      </c>
      <c r="J3446" s="2" t="b">
        <v>1</v>
      </c>
      <c r="K3446" s="2" t="b">
        <v>0</v>
      </c>
      <c r="L3446" s="2" t="b">
        <v>0</v>
      </c>
      <c r="M3446" s="2" t="b">
        <v>0</v>
      </c>
      <c r="N3446" s="2" t="s">
        <v>33</v>
      </c>
      <c r="O3446" s="2">
        <v>67.0</v>
      </c>
      <c r="P3446" s="2">
        <v>0.0</v>
      </c>
      <c r="Q3446" s="2">
        <v>42.0</v>
      </c>
      <c r="R3446" s="2">
        <v>1.0</v>
      </c>
      <c r="S3446" s="3" t="s">
        <v>14034</v>
      </c>
      <c r="T3446" s="2" t="s">
        <v>14035</v>
      </c>
      <c r="Y3446" s="4" t="str">
        <f>IFERROR(__xludf.DUMMYFUNCTION("""COMPUTED_VALUE"""),"6.779517")</f>
        <v>6.779517</v>
      </c>
      <c r="Z3446" s="4" t="str">
        <f>IFERROR(__xludf.DUMMYFUNCTION("""COMPUTED_VALUE"""),"4.277941")</f>
        <v>4.277941</v>
      </c>
      <c r="AA3446" s="4" t="str">
        <f t="shared" si="1"/>
        <v>Not Neighbor</v>
      </c>
      <c r="AC3446" s="4">
        <f>IFERROR(__xludf.DUMMYFUNCTION("IFERROR(ABS(O3446-AVERAGE(FILTER(O3446:O7514,AA3446:AA7514=""Neighbor""))) / STDEV(FILTER(O3446:O7514, AA3446:AA7514 =""Neighbor"")), """")"),0.641676730420878)</f>
        <v>0.6416767304</v>
      </c>
      <c r="AF3446" s="2">
        <f>IFERROR(__xludf.DUMMYFUNCTION("IFERROR(ABS(R3446-AVERAGE(FILTER(R3446:R7514,AA3446:AA7514=""Neighbor""))) / STDEV(FILTER(R3446:R7514, AA3446:AA7514 =""Neighbor"")), """")"),0.7940229273506391)</f>
        <v>0.7940229274</v>
      </c>
    </row>
    <row r="3447">
      <c r="A3447" s="2" t="s">
        <v>28</v>
      </c>
      <c r="B3447" s="2" t="s">
        <v>4981</v>
      </c>
      <c r="C3447" s="2" t="s">
        <v>5064</v>
      </c>
      <c r="D3447" s="2" t="s">
        <v>14036</v>
      </c>
      <c r="E3447" s="2" t="s">
        <v>14037</v>
      </c>
      <c r="F3447" s="2">
        <v>50.0</v>
      </c>
      <c r="G3447" s="2">
        <v>99.0</v>
      </c>
      <c r="H3447" s="2" t="b">
        <v>1</v>
      </c>
      <c r="I3447" s="2">
        <v>-1.0</v>
      </c>
      <c r="J3447" s="2" t="b">
        <v>0</v>
      </c>
      <c r="K3447" s="2" t="b">
        <v>0</v>
      </c>
      <c r="L3447" s="2" t="b">
        <v>0</v>
      </c>
      <c r="M3447" s="2" t="b">
        <v>0</v>
      </c>
      <c r="N3447" s="2" t="s">
        <v>33</v>
      </c>
      <c r="O3447" s="2">
        <v>18.0</v>
      </c>
      <c r="P3447" s="2">
        <v>8.0</v>
      </c>
      <c r="Q3447" s="2">
        <v>12.0</v>
      </c>
      <c r="R3447" s="2">
        <v>0.0</v>
      </c>
      <c r="S3447" s="3" t="s">
        <v>14038</v>
      </c>
      <c r="T3447" s="2" t="s">
        <v>14039</v>
      </c>
      <c r="Y3447" s="4" t="str">
        <f>IFERROR(__xludf.DUMMYFUNCTION("""COMPUTED_VALUE"""),"6.8286369")</f>
        <v>6.8286369</v>
      </c>
      <c r="Z3447" s="4" t="str">
        <f>IFERROR(__xludf.DUMMYFUNCTION("""COMPUTED_VALUE"""),"4.0797673")</f>
        <v>4.0797673</v>
      </c>
      <c r="AA3447" s="4" t="str">
        <f t="shared" si="1"/>
        <v>Neighbor</v>
      </c>
      <c r="AC3447" s="4">
        <f>IFERROR(__xludf.DUMMYFUNCTION("IFERROR(ABS(O3447-AVERAGE(FILTER(O3447:O7515,AA3447:AA7515=""Neighbor""))) / STDEV(FILTER(O3447:O7515, AA3447:AA7515 =""Neighbor"")), """")"),0.8624618184099674)</f>
        <v>0.8624618184</v>
      </c>
      <c r="AF3447" s="2">
        <f>IFERROR(__xludf.DUMMYFUNCTION("IFERROR(ABS(R3447-AVERAGE(FILTER(R3447:R7515,AA3447:AA7515=""Neighbor""))) / STDEV(FILTER(R3447:R7515, AA3447:AA7515 =""Neighbor"")), """")"),0.3423332381391977)</f>
        <v>0.3423332381</v>
      </c>
    </row>
    <row r="3448">
      <c r="A3448" s="2" t="s">
        <v>28</v>
      </c>
      <c r="B3448" s="2" t="s">
        <v>4981</v>
      </c>
      <c r="C3448" s="2" t="s">
        <v>5064</v>
      </c>
      <c r="D3448" s="2" t="s">
        <v>14040</v>
      </c>
      <c r="E3448" s="2" t="s">
        <v>14041</v>
      </c>
      <c r="F3448" s="2">
        <v>14.0</v>
      </c>
      <c r="G3448" s="2">
        <v>34.0</v>
      </c>
      <c r="H3448" s="2" t="b">
        <v>1</v>
      </c>
      <c r="I3448" s="2">
        <v>-1.0</v>
      </c>
      <c r="J3448" s="2" t="b">
        <v>0</v>
      </c>
      <c r="K3448" s="2" t="b">
        <v>0</v>
      </c>
      <c r="L3448" s="2" t="b">
        <v>0</v>
      </c>
      <c r="M3448" s="2" t="b">
        <v>0</v>
      </c>
      <c r="N3448" s="2" t="s">
        <v>33</v>
      </c>
      <c r="O3448" s="2">
        <v>5.0</v>
      </c>
      <c r="P3448" s="2">
        <v>2.0</v>
      </c>
      <c r="Q3448" s="2">
        <v>7.0</v>
      </c>
      <c r="R3448" s="2">
        <v>0.0</v>
      </c>
      <c r="S3448" s="3" t="s">
        <v>14042</v>
      </c>
      <c r="T3448" s="2" t="s">
        <v>14043</v>
      </c>
      <c r="Y3448" s="4" t="str">
        <f>IFERROR(__xludf.DUMMYFUNCTION("""COMPUTED_VALUE"""),"6.8286369")</f>
        <v>6.8286369</v>
      </c>
      <c r="Z3448" s="4" t="str">
        <f>IFERROR(__xludf.DUMMYFUNCTION("""COMPUTED_VALUE"""),"4.0797673")</f>
        <v>4.0797673</v>
      </c>
      <c r="AA3448" s="4" t="str">
        <f t="shared" si="1"/>
        <v>Neighbor</v>
      </c>
      <c r="AC3448" s="4">
        <f>IFERROR(__xludf.DUMMYFUNCTION("IFERROR(ABS(O3448-AVERAGE(FILTER(O3448:O7516,AA3448:AA7516=""Neighbor""))) / STDEV(FILTER(O3448:O7516, AA3448:AA7516 =""Neighbor"")), """")"),1.2644679458976382)</f>
        <v>1.264467946</v>
      </c>
      <c r="AF3448" s="2">
        <f>IFERROR(__xludf.DUMMYFUNCTION("IFERROR(ABS(R3448-AVERAGE(FILTER(R3448:R7516,AA3448:AA7516=""Neighbor""))) / STDEV(FILTER(R3448:R7516, AA3448:AA7516 =""Neighbor"")), """")"),0.3431334891199061)</f>
        <v>0.3431334891</v>
      </c>
    </row>
    <row r="3449">
      <c r="A3449" s="2" t="s">
        <v>28</v>
      </c>
      <c r="B3449" s="2" t="s">
        <v>4981</v>
      </c>
      <c r="C3449" s="2" t="s">
        <v>5064</v>
      </c>
      <c r="D3449" s="2" t="s">
        <v>14044</v>
      </c>
      <c r="E3449" s="2" t="s">
        <v>14045</v>
      </c>
      <c r="F3449" s="2">
        <v>32.0</v>
      </c>
      <c r="G3449" s="2">
        <v>75.0</v>
      </c>
      <c r="H3449" s="2" t="b">
        <v>1</v>
      </c>
      <c r="I3449" s="2">
        <v>-1.0</v>
      </c>
      <c r="J3449" s="2" t="b">
        <v>0</v>
      </c>
      <c r="K3449" s="2" t="b">
        <v>0</v>
      </c>
      <c r="L3449" s="2" t="b">
        <v>0</v>
      </c>
      <c r="M3449" s="2" t="b">
        <v>0</v>
      </c>
      <c r="N3449" s="2" t="s">
        <v>33</v>
      </c>
      <c r="O3449" s="2">
        <v>21.0</v>
      </c>
      <c r="P3449" s="2">
        <v>2.0</v>
      </c>
      <c r="Q3449" s="2">
        <v>8.0</v>
      </c>
      <c r="R3449" s="2">
        <v>0.0</v>
      </c>
      <c r="S3449" s="3" t="s">
        <v>14046</v>
      </c>
      <c r="T3449" s="2" t="s">
        <v>14047</v>
      </c>
      <c r="Y3449" s="4" t="str">
        <f>IFERROR(__xludf.DUMMYFUNCTION("""COMPUTED_VALUE"""),"6.8286369")</f>
        <v>6.8286369</v>
      </c>
      <c r="Z3449" s="4" t="str">
        <f>IFERROR(__xludf.DUMMYFUNCTION("""COMPUTED_VALUE"""),"4.0797673")</f>
        <v>4.0797673</v>
      </c>
      <c r="AA3449" s="4" t="str">
        <f t="shared" si="1"/>
        <v>Not Neighbor</v>
      </c>
      <c r="AC3449" s="4">
        <f>IFERROR(__xludf.DUMMYFUNCTION("IFERROR(ABS(O3449-AVERAGE(FILTER(O3449:O7517,AA3449:AA7517=""Neighbor""))) / STDEV(FILTER(O3449:O7517, AA3449:AA7517 =""Neighbor"")), """")"),0.7799193117267865)</f>
        <v>0.7799193117</v>
      </c>
      <c r="AF3449" s="2">
        <f>IFERROR(__xludf.DUMMYFUNCTION("IFERROR(ABS(R3449-AVERAGE(FILTER(R3449:R7517,AA3449:AA7517=""Neighbor""))) / STDEV(FILTER(R3449:R7517, AA3449:AA7517 =""Neighbor"")), """")"),0.343939381491906)</f>
        <v>0.3439393815</v>
      </c>
    </row>
    <row r="3450">
      <c r="A3450" s="2" t="s">
        <v>28</v>
      </c>
      <c r="B3450" s="2" t="s">
        <v>4981</v>
      </c>
      <c r="C3450" s="2" t="s">
        <v>4982</v>
      </c>
      <c r="D3450" s="2" t="s">
        <v>14048</v>
      </c>
      <c r="E3450" s="2" t="s">
        <v>14049</v>
      </c>
      <c r="F3450" s="2">
        <v>36.0</v>
      </c>
      <c r="G3450" s="2">
        <v>55.0</v>
      </c>
      <c r="H3450" s="2" t="b">
        <v>1</v>
      </c>
      <c r="I3450" s="2">
        <v>-1.0</v>
      </c>
      <c r="J3450" s="2" t="b">
        <v>0</v>
      </c>
      <c r="K3450" s="2" t="b">
        <v>0</v>
      </c>
      <c r="L3450" s="2" t="b">
        <v>0</v>
      </c>
      <c r="M3450" s="2" t="b">
        <v>0</v>
      </c>
      <c r="N3450" s="2" t="s">
        <v>33</v>
      </c>
      <c r="O3450" s="2">
        <v>18.0</v>
      </c>
      <c r="P3450" s="2">
        <v>10.0</v>
      </c>
      <c r="Q3450" s="2">
        <v>8.0</v>
      </c>
      <c r="R3450" s="2">
        <v>0.0</v>
      </c>
      <c r="S3450" s="3" t="s">
        <v>14050</v>
      </c>
      <c r="T3450" s="2" t="s">
        <v>14051</v>
      </c>
      <c r="Y3450" s="4" t="str">
        <f>IFERROR(__xludf.DUMMYFUNCTION("""COMPUTED_VALUE"""),"6.7704747")</f>
        <v>6.7704747</v>
      </c>
      <c r="Z3450" s="4" t="str">
        <f>IFERROR(__xludf.DUMMYFUNCTION("""COMPUTED_VALUE"""),"4.0031521")</f>
        <v>4.0031521</v>
      </c>
      <c r="AA3450" s="4" t="str">
        <f t="shared" si="1"/>
        <v>Not Neighbor</v>
      </c>
      <c r="AC3450" s="4">
        <f>IFERROR(__xludf.DUMMYFUNCTION("IFERROR(ABS(O3450-AVERAGE(FILTER(O3450:O7518,AA3450:AA7518=""Neighbor""))) / STDEV(FILTER(O3450:O7518, AA3450:AA7518 =""Neighbor"")), """")"),0.8720786320920425)</f>
        <v>0.8720786321</v>
      </c>
      <c r="AF3450" s="2">
        <f>IFERROR(__xludf.DUMMYFUNCTION("IFERROR(ABS(R3450-AVERAGE(FILTER(R3450:R7518,AA3450:AA7518=""Neighbor""))) / STDEV(FILTER(R3450:R7518, AA3450:AA7518 =""Neighbor"")), """")"),0.343939381491906)</f>
        <v>0.3439393815</v>
      </c>
    </row>
    <row r="3451">
      <c r="A3451" s="2" t="s">
        <v>28</v>
      </c>
      <c r="B3451" s="2" t="s">
        <v>4981</v>
      </c>
      <c r="C3451" s="2" t="s">
        <v>4982</v>
      </c>
      <c r="D3451" s="2" t="s">
        <v>14052</v>
      </c>
      <c r="E3451" s="2" t="s">
        <v>14053</v>
      </c>
      <c r="F3451" s="2">
        <v>32.0</v>
      </c>
      <c r="G3451" s="2">
        <v>100.0</v>
      </c>
      <c r="H3451" s="2" t="b">
        <v>1</v>
      </c>
      <c r="I3451" s="2">
        <v>-1.0</v>
      </c>
      <c r="J3451" s="2" t="b">
        <v>0</v>
      </c>
      <c r="K3451" s="2" t="b">
        <v>0</v>
      </c>
      <c r="L3451" s="2" t="b">
        <v>0</v>
      </c>
      <c r="M3451" s="2" t="b">
        <v>0</v>
      </c>
      <c r="N3451" s="2" t="s">
        <v>33</v>
      </c>
      <c r="O3451" s="2">
        <v>22.0</v>
      </c>
      <c r="P3451" s="2">
        <v>4.0</v>
      </c>
      <c r="Q3451" s="2">
        <v>6.0</v>
      </c>
      <c r="R3451" s="2">
        <v>0.0</v>
      </c>
      <c r="S3451" s="3" t="s">
        <v>14054</v>
      </c>
      <c r="T3451" s="2" t="s">
        <v>14055</v>
      </c>
      <c r="Y3451" s="4" t="str">
        <f>IFERROR(__xludf.DUMMYFUNCTION("""COMPUTED_VALUE"""),"6.779599")</f>
        <v>6.779599</v>
      </c>
      <c r="Z3451" s="4" t="str">
        <f>IFERROR(__xludf.DUMMYFUNCTION("""COMPUTED_VALUE"""),"3.990075")</f>
        <v>3.990075</v>
      </c>
      <c r="AA3451" s="4" t="str">
        <f t="shared" si="1"/>
        <v>Not Neighbor</v>
      </c>
      <c r="AC3451" s="4">
        <f>IFERROR(__xludf.DUMMYFUNCTION("IFERROR(ABS(O3451-AVERAGE(FILTER(O3451:O7519,AA3451:AA7519=""Neighbor""))) / STDEV(FILTER(O3451:O7519, AA3451:AA7519 =""Neighbor"")), """")"),0.7491995382717012)</f>
        <v>0.7491995383</v>
      </c>
      <c r="AF3451" s="2">
        <f>IFERROR(__xludf.DUMMYFUNCTION("IFERROR(ABS(R3451-AVERAGE(FILTER(R3451:R7519,AA3451:AA7519=""Neighbor""))) / STDEV(FILTER(R3451:R7519, AA3451:AA7519 =""Neighbor"")), """")"),0.343939381491906)</f>
        <v>0.3439393815</v>
      </c>
    </row>
    <row r="3452">
      <c r="A3452" s="2" t="s">
        <v>28</v>
      </c>
      <c r="B3452" s="2" t="s">
        <v>4981</v>
      </c>
      <c r="C3452" s="2" t="s">
        <v>5019</v>
      </c>
      <c r="D3452" s="2" t="s">
        <v>14056</v>
      </c>
      <c r="E3452" s="2" t="s">
        <v>14057</v>
      </c>
      <c r="F3452" s="2">
        <v>95.0</v>
      </c>
      <c r="G3452" s="2">
        <v>174.0</v>
      </c>
      <c r="H3452" s="2" t="b">
        <v>1</v>
      </c>
      <c r="I3452" s="2">
        <v>-1.0</v>
      </c>
      <c r="J3452" s="2" t="b">
        <v>0</v>
      </c>
      <c r="K3452" s="2" t="b">
        <v>1</v>
      </c>
      <c r="L3452" s="2" t="b">
        <v>0</v>
      </c>
      <c r="M3452" s="2" t="b">
        <v>0</v>
      </c>
      <c r="N3452" s="2" t="s">
        <v>33</v>
      </c>
      <c r="O3452" s="2">
        <v>56.0</v>
      </c>
      <c r="P3452" s="2">
        <v>11.0</v>
      </c>
      <c r="Q3452" s="2">
        <v>24.0</v>
      </c>
      <c r="R3452" s="2">
        <v>2.0</v>
      </c>
      <c r="S3452" s="3" t="s">
        <v>14058</v>
      </c>
      <c r="T3452" s="2" t="s">
        <v>14059</v>
      </c>
      <c r="Y3452" s="4" t="str">
        <f>IFERROR(__xludf.DUMMYFUNCTION("""COMPUTED_VALUE"""),"6.7987126")</f>
        <v>6.7987126</v>
      </c>
      <c r="Z3452" s="4" t="str">
        <f>IFERROR(__xludf.DUMMYFUNCTION("""COMPUTED_VALUE"""),"3.9907299")</f>
        <v>3.9907299</v>
      </c>
      <c r="AA3452" s="4" t="str">
        <f t="shared" si="1"/>
        <v>Neighbor</v>
      </c>
      <c r="AC3452" s="4">
        <f>IFERROR(__xludf.DUMMYFUNCTION("IFERROR(ABS(O3452-AVERAGE(FILTER(O3452:O7520,AA3452:AA7520=""Neighbor""))) / STDEV(FILTER(O3452:O7520, AA3452:AA7520 =""Neighbor"")), """")"),0.2952727592011999)</f>
        <v>0.2952727592</v>
      </c>
      <c r="AF3452" s="2">
        <f>IFERROR(__xludf.DUMMYFUNCTION("IFERROR(ABS(R3452-AVERAGE(FILTER(R3452:R7520,AA3452:AA7520=""Neighbor""))) / STDEV(FILTER(R3452:R7520, AA3452:AA7520 =""Neighbor"")), """")"),1.9203282133298085)</f>
        <v>1.920328213</v>
      </c>
    </row>
    <row r="3453">
      <c r="A3453" s="2" t="s">
        <v>28</v>
      </c>
      <c r="B3453" s="2" t="s">
        <v>4981</v>
      </c>
      <c r="C3453" s="2" t="s">
        <v>5019</v>
      </c>
      <c r="D3453" s="2" t="s">
        <v>14060</v>
      </c>
      <c r="E3453" s="2" t="s">
        <v>14061</v>
      </c>
      <c r="F3453" s="2">
        <v>20.0</v>
      </c>
      <c r="G3453" s="2">
        <v>54.0</v>
      </c>
      <c r="H3453" s="2" t="b">
        <v>1</v>
      </c>
      <c r="I3453" s="2">
        <v>-1.0</v>
      </c>
      <c r="J3453" s="2" t="b">
        <v>0</v>
      </c>
      <c r="K3453" s="2" t="b">
        <v>0</v>
      </c>
      <c r="L3453" s="2" t="b">
        <v>0</v>
      </c>
      <c r="M3453" s="2" t="b">
        <v>0</v>
      </c>
      <c r="N3453" s="2" t="s">
        <v>33</v>
      </c>
      <c r="O3453" s="2">
        <v>15.0</v>
      </c>
      <c r="P3453" s="2">
        <v>4.0</v>
      </c>
      <c r="Q3453" s="2">
        <v>1.0</v>
      </c>
      <c r="R3453" s="2">
        <v>0.0</v>
      </c>
      <c r="S3453" s="3" t="s">
        <v>14062</v>
      </c>
      <c r="T3453" s="2" t="s">
        <v>14063</v>
      </c>
      <c r="Y3453" s="4" t="str">
        <f>IFERROR(__xludf.DUMMYFUNCTION("""COMPUTED_VALUE"""),"6.7945985")</f>
        <v>6.7945985</v>
      </c>
      <c r="Z3453" s="4" t="str">
        <f>IFERROR(__xludf.DUMMYFUNCTION("""COMPUTED_VALUE"""),"3.9909243")</f>
        <v>3.9909243</v>
      </c>
      <c r="AA3453" s="4" t="str">
        <f t="shared" si="1"/>
        <v>Not Neighbor</v>
      </c>
      <c r="AC3453" s="4">
        <f>IFERROR(__xludf.DUMMYFUNCTION("IFERROR(ABS(O3453-AVERAGE(FILTER(O3453:O7521,AA3453:AA7521=""Neighbor""))) / STDEV(FILTER(O3453:O7521, AA3453:AA7521 =""Neighbor"")), """")"),0.9611227082360835)</f>
        <v>0.9611227082</v>
      </c>
      <c r="AF3453" s="2">
        <f>IFERROR(__xludf.DUMMYFUNCTION("IFERROR(ABS(R3453-AVERAGE(FILTER(R3453:R7521,AA3453:AA7521=""Neighbor""))) / STDEV(FILTER(R3453:R7521, AA3453:AA7521 =""Neighbor"")), """")"),0.33775064774168784)</f>
        <v>0.3377506477</v>
      </c>
    </row>
    <row r="3454">
      <c r="A3454" s="2" t="s">
        <v>28</v>
      </c>
      <c r="B3454" s="2" t="s">
        <v>4981</v>
      </c>
      <c r="C3454" s="2" t="s">
        <v>81</v>
      </c>
      <c r="D3454" s="2" t="s">
        <v>14064</v>
      </c>
      <c r="E3454" s="2" t="s">
        <v>14065</v>
      </c>
      <c r="F3454" s="2">
        <v>94.0</v>
      </c>
      <c r="G3454" s="2">
        <v>150.0</v>
      </c>
      <c r="H3454" s="2" t="b">
        <v>1</v>
      </c>
      <c r="I3454" s="2">
        <v>-1.0</v>
      </c>
      <c r="J3454" s="2" t="b">
        <v>0</v>
      </c>
      <c r="K3454" s="2" t="b">
        <v>0</v>
      </c>
      <c r="L3454" s="2" t="b">
        <v>0</v>
      </c>
      <c r="M3454" s="2" t="b">
        <v>0</v>
      </c>
      <c r="N3454" s="2" t="s">
        <v>33</v>
      </c>
      <c r="O3454" s="2">
        <v>83.0</v>
      </c>
      <c r="P3454" s="2">
        <v>0.0</v>
      </c>
      <c r="Q3454" s="2">
        <v>1.0</v>
      </c>
      <c r="R3454" s="2">
        <v>0.0</v>
      </c>
      <c r="S3454" s="3" t="s">
        <v>14066</v>
      </c>
      <c r="T3454" s="2" t="s">
        <v>14067</v>
      </c>
      <c r="Y3454" s="4" t="str">
        <f>IFERROR(__xludf.DUMMYFUNCTION("""COMPUTED_VALUE"""),"6.8159044")</f>
        <v>6.8159044</v>
      </c>
      <c r="Z3454" s="4" t="str">
        <f>IFERROR(__xludf.DUMMYFUNCTION("""COMPUTED_VALUE"""),"4.315422")</f>
        <v>4.315422</v>
      </c>
      <c r="AA3454" s="4" t="str">
        <f t="shared" si="1"/>
        <v>Not Neighbor</v>
      </c>
      <c r="AC3454" s="4">
        <f>IFERROR(__xludf.DUMMYFUNCTION("IFERROR(ABS(O3454-AVERAGE(FILTER(O3454:O7522,AA3454:AA7522=""Neighbor""))) / STDEV(FILTER(O3454:O7522, AA3454:AA7522 =""Neighbor"")), """")"),1.1237782409086405)</f>
        <v>1.123778241</v>
      </c>
      <c r="AF3454" s="2">
        <f>IFERROR(__xludf.DUMMYFUNCTION("IFERROR(ABS(R3454-AVERAGE(FILTER(R3454:R7522,AA3454:AA7522=""Neighbor""))) / STDEV(FILTER(R3454:R7522, AA3454:AA7522 =""Neighbor"")), """")"),0.33775064774168784)</f>
        <v>0.3377506477</v>
      </c>
    </row>
    <row r="3455">
      <c r="A3455" s="2" t="s">
        <v>28</v>
      </c>
      <c r="B3455" s="2" t="s">
        <v>4981</v>
      </c>
      <c r="C3455" s="2" t="s">
        <v>81</v>
      </c>
      <c r="D3455" s="2" t="s">
        <v>14068</v>
      </c>
      <c r="E3455" s="2" t="s">
        <v>14069</v>
      </c>
      <c r="F3455" s="2">
        <v>122.0</v>
      </c>
      <c r="G3455" s="2">
        <v>155.0</v>
      </c>
      <c r="H3455" s="2" t="b">
        <v>1</v>
      </c>
      <c r="I3455" s="2">
        <v>-1.0</v>
      </c>
      <c r="J3455" s="2" t="b">
        <v>0</v>
      </c>
      <c r="K3455" s="2" t="b">
        <v>1</v>
      </c>
      <c r="L3455" s="2" t="b">
        <v>0</v>
      </c>
      <c r="M3455" s="2" t="b">
        <v>0</v>
      </c>
      <c r="N3455" s="2" t="s">
        <v>33</v>
      </c>
      <c r="O3455" s="2">
        <v>115.0</v>
      </c>
      <c r="P3455" s="2">
        <v>1.0</v>
      </c>
      <c r="Q3455" s="2">
        <v>2.0</v>
      </c>
      <c r="R3455" s="2">
        <v>0.0</v>
      </c>
      <c r="S3455" s="3" t="s">
        <v>14070</v>
      </c>
      <c r="T3455" s="2" t="s">
        <v>14071</v>
      </c>
      <c r="Y3455" s="4" t="str">
        <f>IFERROR(__xludf.DUMMYFUNCTION("""COMPUTED_VALUE"""),"6.83437")</f>
        <v>6.83437</v>
      </c>
      <c r="Z3455" s="4" t="str">
        <f>IFERROR(__xludf.DUMMYFUNCTION("""COMPUTED_VALUE"""),"4.0337846")</f>
        <v>4.0337846</v>
      </c>
      <c r="AA3455" s="4" t="str">
        <f t="shared" si="1"/>
        <v>Not Neighbor</v>
      </c>
      <c r="AC3455" s="4">
        <f>IFERROR(__xludf.DUMMYFUNCTION("IFERROR(ABS(O3455-AVERAGE(FILTER(O3455:O7523,AA3455:AA7523=""Neighbor""))) / STDEV(FILTER(O3455:O7523, AA3455:AA7523 =""Neighbor"")), """")"),2.104908099329687)</f>
        <v>2.104908099</v>
      </c>
      <c r="AF3455" s="2">
        <f>IFERROR(__xludf.DUMMYFUNCTION("IFERROR(ABS(R3455-AVERAGE(FILTER(R3455:R7523,AA3455:AA7523=""Neighbor""))) / STDEV(FILTER(R3455:R7523, AA3455:AA7523 =""Neighbor"")), """")"),0.33775064774168784)</f>
        <v>0.3377506477</v>
      </c>
    </row>
    <row r="3456">
      <c r="A3456" s="2" t="s">
        <v>28</v>
      </c>
      <c r="B3456" s="2" t="s">
        <v>4981</v>
      </c>
      <c r="C3456" s="2" t="s">
        <v>5203</v>
      </c>
      <c r="D3456" s="2" t="s">
        <v>14072</v>
      </c>
      <c r="E3456" s="2" t="s">
        <v>14073</v>
      </c>
      <c r="F3456" s="2">
        <v>141.0</v>
      </c>
      <c r="G3456" s="2">
        <v>419.0</v>
      </c>
      <c r="H3456" s="2" t="b">
        <v>1</v>
      </c>
      <c r="I3456" s="2">
        <v>-1.0</v>
      </c>
      <c r="J3456" s="2" t="b">
        <v>0</v>
      </c>
      <c r="K3456" s="2" t="b">
        <v>1</v>
      </c>
      <c r="L3456" s="2" t="b">
        <v>0</v>
      </c>
      <c r="M3456" s="2" t="b">
        <v>0</v>
      </c>
      <c r="N3456" s="2" t="s">
        <v>33</v>
      </c>
      <c r="O3456" s="2">
        <v>0.0</v>
      </c>
      <c r="P3456" s="2">
        <v>0.0</v>
      </c>
      <c r="Q3456" s="2">
        <v>0.0</v>
      </c>
      <c r="R3456" s="2">
        <v>0.0</v>
      </c>
      <c r="S3456" s="3" t="s">
        <v>14074</v>
      </c>
      <c r="T3456" s="2" t="s">
        <v>14075</v>
      </c>
      <c r="Y3456" s="4" t="str">
        <f>IFERROR(__xludf.DUMMYFUNCTION("""COMPUTED_VALUE"""),"6.7699688")</f>
        <v>6.7699688</v>
      </c>
      <c r="Z3456" s="4" t="str">
        <f>IFERROR(__xludf.DUMMYFUNCTION("""COMPUTED_VALUE"""),"4.0644352")</f>
        <v>4.0644352</v>
      </c>
      <c r="AA3456" s="4" t="str">
        <f t="shared" si="1"/>
        <v>Neighbor</v>
      </c>
      <c r="AC3456" s="4">
        <f>IFERROR(__xludf.DUMMYFUNCTION("IFERROR(ABS(O3456-AVERAGE(FILTER(O3456:O7524,AA3456:AA7524=""Neighbor""))) / STDEV(FILTER(O3456:O7524, AA3456:AA7524 =""Neighbor"")), """")"),1.4210273293709492)</f>
        <v>1.421027329</v>
      </c>
      <c r="AF3456" s="2">
        <f>IFERROR(__xludf.DUMMYFUNCTION("IFERROR(ABS(R3456-AVERAGE(FILTER(R3456:R7524,AA3456:AA7524=""Neighbor""))) / STDEV(FILTER(R3456:R7524, AA3456:AA7524 =""Neighbor"")), """")"),0.33775064774168784)</f>
        <v>0.3377506477</v>
      </c>
    </row>
    <row r="3457">
      <c r="A3457" s="2" t="s">
        <v>28</v>
      </c>
      <c r="B3457" s="2" t="s">
        <v>4981</v>
      </c>
      <c r="C3457" s="2" t="s">
        <v>5203</v>
      </c>
      <c r="D3457" s="2" t="s">
        <v>14076</v>
      </c>
      <c r="E3457" s="2" t="s">
        <v>14077</v>
      </c>
      <c r="F3457" s="2">
        <v>36.0</v>
      </c>
      <c r="G3457" s="2">
        <v>86.0</v>
      </c>
      <c r="H3457" s="2" t="b">
        <v>1</v>
      </c>
      <c r="I3457" s="2">
        <v>-1.0</v>
      </c>
      <c r="J3457" s="2" t="b">
        <v>0</v>
      </c>
      <c r="K3457" s="2" t="b">
        <v>0</v>
      </c>
      <c r="L3457" s="2" t="b">
        <v>0</v>
      </c>
      <c r="M3457" s="2" t="b">
        <v>0</v>
      </c>
      <c r="N3457" s="2" t="s">
        <v>33</v>
      </c>
      <c r="O3457" s="2">
        <v>17.0</v>
      </c>
      <c r="P3457" s="2">
        <v>4.0</v>
      </c>
      <c r="Q3457" s="2">
        <v>6.0</v>
      </c>
      <c r="R3457" s="2">
        <v>1.0</v>
      </c>
      <c r="S3457" s="3" t="s">
        <v>14078</v>
      </c>
      <c r="T3457" s="2" t="s">
        <v>14079</v>
      </c>
      <c r="Y3457" s="4" t="str">
        <f>IFERROR(__xludf.DUMMYFUNCTION("""COMPUTED_VALUE"""),"6.7699688")</f>
        <v>6.7699688</v>
      </c>
      <c r="Z3457" s="4" t="str">
        <f>IFERROR(__xludf.DUMMYFUNCTION("""COMPUTED_VALUE"""),"4.0644352")</f>
        <v>4.0644352</v>
      </c>
      <c r="AA3457" s="4" t="str">
        <f t="shared" si="1"/>
        <v>Neighbor</v>
      </c>
      <c r="AC3457" s="4">
        <f>IFERROR(__xludf.DUMMYFUNCTION("IFERROR(ABS(O3457-AVERAGE(FILTER(O3457:O7525,AA3457:AA7525=""Neighbor""))) / STDEV(FILTER(O3457:O7525, AA3457:AA7525 =""Neighbor"")), """")"),0.9078451955404558)</f>
        <v>0.9078451955</v>
      </c>
      <c r="AF3457" s="2">
        <f>IFERROR(__xludf.DUMMYFUNCTION("IFERROR(ABS(R3457-AVERAGE(FILTER(R3457:R7525,AA3457:AA7525=""Neighbor""))) / STDEV(FILTER(R3457:R7525, AA3457:AA7525 =""Neighbor"")), """")"),0.7980059264716146)</f>
        <v>0.7980059265</v>
      </c>
    </row>
    <row r="3458">
      <c r="A3458" s="2" t="s">
        <v>28</v>
      </c>
      <c r="B3458" s="2" t="s">
        <v>4981</v>
      </c>
      <c r="C3458" s="2" t="s">
        <v>5203</v>
      </c>
      <c r="D3458" s="2" t="s">
        <v>14080</v>
      </c>
      <c r="E3458" s="2" t="s">
        <v>14081</v>
      </c>
      <c r="F3458" s="2">
        <v>180.0</v>
      </c>
      <c r="G3458" s="2">
        <v>469.0</v>
      </c>
      <c r="H3458" s="2" t="b">
        <v>1</v>
      </c>
      <c r="I3458" s="2">
        <v>-1.0</v>
      </c>
      <c r="J3458" s="2" t="b">
        <v>0</v>
      </c>
      <c r="K3458" s="2" t="b">
        <v>0</v>
      </c>
      <c r="L3458" s="2" t="b">
        <v>0</v>
      </c>
      <c r="M3458" s="2" t="b">
        <v>0</v>
      </c>
      <c r="N3458" s="2" t="s">
        <v>33</v>
      </c>
      <c r="O3458" s="2">
        <v>131.0</v>
      </c>
      <c r="P3458" s="2">
        <v>21.0</v>
      </c>
      <c r="Q3458" s="2">
        <v>15.0</v>
      </c>
      <c r="R3458" s="2">
        <v>0.0</v>
      </c>
      <c r="S3458" s="3" t="s">
        <v>14082</v>
      </c>
      <c r="T3458" s="2" t="s">
        <v>14083</v>
      </c>
      <c r="Y3458" s="4" t="str">
        <f>IFERROR(__xludf.DUMMYFUNCTION("""COMPUTED_VALUE"""),"6.7626")</f>
        <v>6.7626</v>
      </c>
      <c r="Z3458" s="4" t="str">
        <f>IFERROR(__xludf.DUMMYFUNCTION("""COMPUTED_VALUE"""),"4.0659")</f>
        <v>4.0659</v>
      </c>
      <c r="AA3458" s="4" t="str">
        <f t="shared" si="1"/>
        <v>Not Neighbor</v>
      </c>
      <c r="AC3458" s="4">
        <f>IFERROR(__xludf.DUMMYFUNCTION("IFERROR(ABS(O3458-AVERAGE(FILTER(O3458:O7526,AA3458:AA7526=""Neighbor""))) / STDEV(FILTER(O3458:O7526, AA3458:AA7526 =""Neighbor"")), """")"),2.5902950878953157)</f>
        <v>2.590295088</v>
      </c>
      <c r="AF3458" s="2">
        <f>IFERROR(__xludf.DUMMYFUNCTION("IFERROR(ABS(R3458-AVERAGE(FILTER(R3458:R7526,AA3458:AA7526=""Neighbor""))) / STDEV(FILTER(R3458:R7526, AA3458:AA7526 =""Neighbor"")), """")"),0.334878748322736)</f>
        <v>0.3348787483</v>
      </c>
    </row>
    <row r="3459">
      <c r="A3459" s="2" t="s">
        <v>28</v>
      </c>
      <c r="B3459" s="2" t="s">
        <v>4981</v>
      </c>
      <c r="C3459" s="2" t="s">
        <v>5203</v>
      </c>
      <c r="D3459" s="2" t="s">
        <v>14084</v>
      </c>
      <c r="E3459" s="2" t="s">
        <v>14085</v>
      </c>
      <c r="F3459" s="2">
        <v>32.0</v>
      </c>
      <c r="G3459" s="2">
        <v>68.0</v>
      </c>
      <c r="H3459" s="2" t="b">
        <v>1</v>
      </c>
      <c r="I3459" s="2">
        <v>-1.0</v>
      </c>
      <c r="J3459" s="2" t="b">
        <v>0</v>
      </c>
      <c r="K3459" s="2" t="b">
        <v>0</v>
      </c>
      <c r="L3459" s="2" t="b">
        <v>0</v>
      </c>
      <c r="M3459" s="2" t="b">
        <v>0</v>
      </c>
      <c r="N3459" s="2" t="s">
        <v>33</v>
      </c>
      <c r="O3459" s="2">
        <v>23.0</v>
      </c>
      <c r="P3459" s="2">
        <v>4.0</v>
      </c>
      <c r="Q3459" s="2">
        <v>3.0</v>
      </c>
      <c r="R3459" s="2">
        <v>0.0</v>
      </c>
      <c r="S3459" s="3" t="s">
        <v>14086</v>
      </c>
      <c r="T3459" s="2" t="s">
        <v>14087</v>
      </c>
      <c r="Y3459" s="4" t="str">
        <f>IFERROR(__xludf.DUMMYFUNCTION("""COMPUTED_VALUE"""),"6.7624473")</f>
        <v>6.7624473</v>
      </c>
      <c r="Z3459" s="4" t="str">
        <f>IFERROR(__xludf.DUMMYFUNCTION("""COMPUTED_VALUE"""),"4.0855179")</f>
        <v>4.0855179</v>
      </c>
      <c r="AA3459" s="4" t="str">
        <f t="shared" si="1"/>
        <v>Not Neighbor</v>
      </c>
      <c r="AC3459" s="4">
        <f>IFERROR(__xludf.DUMMYFUNCTION("IFERROR(ABS(O3459-AVERAGE(FILTER(O3459:O7527,AA3459:AA7527=""Neighbor""))) / STDEV(FILTER(O3459:O7527, AA3459:AA7527 =""Neighbor"")), """")"),0.7270888608854281)</f>
        <v>0.7270888609</v>
      </c>
      <c r="AF3459" s="2">
        <f>IFERROR(__xludf.DUMMYFUNCTION("IFERROR(ABS(R3459-AVERAGE(FILTER(R3459:R7527,AA3459:AA7527=""Neighbor""))) / STDEV(FILTER(R3459:R7527, AA3459:AA7527 =""Neighbor"")), """")"),0.334878748322736)</f>
        <v>0.3348787483</v>
      </c>
    </row>
    <row r="3460">
      <c r="A3460" s="2" t="s">
        <v>28</v>
      </c>
      <c r="B3460" s="2" t="s">
        <v>4981</v>
      </c>
      <c r="C3460" s="2" t="s">
        <v>5203</v>
      </c>
      <c r="D3460" s="2" t="s">
        <v>14088</v>
      </c>
      <c r="E3460" s="2" t="s">
        <v>14089</v>
      </c>
      <c r="F3460" s="2">
        <v>82.0</v>
      </c>
      <c r="G3460" s="2">
        <v>382.0</v>
      </c>
      <c r="H3460" s="2" t="b">
        <v>1</v>
      </c>
      <c r="I3460" s="2">
        <v>-1.0</v>
      </c>
      <c r="J3460" s="2" t="b">
        <v>0</v>
      </c>
      <c r="K3460" s="2" t="b">
        <v>0</v>
      </c>
      <c r="L3460" s="2" t="b">
        <v>0</v>
      </c>
      <c r="M3460" s="2" t="b">
        <v>0</v>
      </c>
      <c r="N3460" s="2" t="s">
        <v>33</v>
      </c>
      <c r="O3460" s="2">
        <v>40.0</v>
      </c>
      <c r="P3460" s="2">
        <v>22.0</v>
      </c>
      <c r="Q3460" s="2">
        <v>10.0</v>
      </c>
      <c r="R3460" s="2">
        <v>0.0</v>
      </c>
      <c r="S3460" s="3" t="s">
        <v>14090</v>
      </c>
      <c r="T3460" s="2" t="s">
        <v>14091</v>
      </c>
      <c r="Y3460" s="4" t="str">
        <f>IFERROR(__xludf.DUMMYFUNCTION("""COMPUTED_VALUE"""),"6.7059345")</f>
        <v>6.7059345</v>
      </c>
      <c r="Z3460" s="4" t="str">
        <f>IFERROR(__xludf.DUMMYFUNCTION("""COMPUTED_VALUE"""),"4.1349612")</f>
        <v>4.1349612</v>
      </c>
      <c r="AA3460" s="4" t="str">
        <f t="shared" si="1"/>
        <v>Not Neighbor</v>
      </c>
      <c r="AC3460" s="4">
        <f>IFERROR(__xludf.DUMMYFUNCTION("IFERROR(ABS(O3460-AVERAGE(FILTER(O3460:O7528,AA3460:AA7528=""Neighbor""))) / STDEV(FILTER(O3460:O7528, AA3460:AA7528 =""Neighbor"")), """")"),0.20490805413290364)</f>
        <v>0.2049080541</v>
      </c>
      <c r="AF3460" s="2">
        <f>IFERROR(__xludf.DUMMYFUNCTION("IFERROR(ABS(R3460-AVERAGE(FILTER(R3460:R7528,AA3460:AA7528=""Neighbor""))) / STDEV(FILTER(R3460:R7528, AA3460:AA7528 =""Neighbor"")), """")"),0.334878748322736)</f>
        <v>0.3348787483</v>
      </c>
    </row>
    <row r="3461">
      <c r="A3461" s="2" t="s">
        <v>28</v>
      </c>
      <c r="B3461" s="2" t="s">
        <v>4981</v>
      </c>
      <c r="C3461" s="2" t="s">
        <v>5244</v>
      </c>
      <c r="D3461" s="2" t="s">
        <v>14092</v>
      </c>
      <c r="E3461" s="2" t="s">
        <v>14093</v>
      </c>
      <c r="F3461" s="2">
        <v>174.0</v>
      </c>
      <c r="G3461" s="2">
        <v>311.0</v>
      </c>
      <c r="H3461" s="2" t="b">
        <v>1</v>
      </c>
      <c r="I3461" s="2">
        <v>-1.0</v>
      </c>
      <c r="J3461" s="2" t="b">
        <v>0</v>
      </c>
      <c r="K3461" s="2" t="b">
        <v>0</v>
      </c>
      <c r="L3461" s="2" t="b">
        <v>0</v>
      </c>
      <c r="M3461" s="2" t="b">
        <v>0</v>
      </c>
      <c r="N3461" s="2" t="s">
        <v>33</v>
      </c>
      <c r="O3461" s="2">
        <v>50.0</v>
      </c>
      <c r="P3461" s="2">
        <v>15.0</v>
      </c>
      <c r="Q3461" s="2">
        <v>95.0</v>
      </c>
      <c r="R3461" s="2">
        <v>0.0</v>
      </c>
      <c r="S3461" s="3" t="s">
        <v>14094</v>
      </c>
      <c r="T3461" s="2" t="s">
        <v>14095</v>
      </c>
      <c r="Y3461" s="4" t="str">
        <f>IFERROR(__xludf.DUMMYFUNCTION("""COMPUTED_VALUE"""),"6.7397541")</f>
        <v>6.7397541</v>
      </c>
      <c r="Z3461" s="4" t="str">
        <f>IFERROR(__xludf.DUMMYFUNCTION("""COMPUTED_VALUE"""),"4.1641741")</f>
        <v>4.1641741</v>
      </c>
      <c r="AA3461" s="4" t="str">
        <f t="shared" si="1"/>
        <v>Neighbor</v>
      </c>
      <c r="AC3461" s="4">
        <f>IFERROR(__xludf.DUMMYFUNCTION("IFERROR(ABS(O3461-AVERAGE(FILTER(O3461:O7529,AA3461:AA7529=""Neighbor""))) / STDEV(FILTER(O3461:O7529, AA3461:AA7529 =""Neighbor"")), """")"),0.10225712630975783)</f>
        <v>0.1022571263</v>
      </c>
      <c r="AF3461" s="2">
        <f>IFERROR(__xludf.DUMMYFUNCTION("IFERROR(ABS(R3461-AVERAGE(FILTER(R3461:R7529,AA3461:AA7529=""Neighbor""))) / STDEV(FILTER(R3461:R7529, AA3461:AA7529 =""Neighbor"")), """")"),0.334878748322736)</f>
        <v>0.3348787483</v>
      </c>
    </row>
    <row r="3462">
      <c r="A3462" s="2" t="s">
        <v>28</v>
      </c>
      <c r="B3462" s="2" t="s">
        <v>4981</v>
      </c>
      <c r="C3462" s="2" t="s">
        <v>5244</v>
      </c>
      <c r="D3462" s="2" t="s">
        <v>14096</v>
      </c>
      <c r="E3462" s="2" t="s">
        <v>14097</v>
      </c>
      <c r="F3462" s="2">
        <v>95.0</v>
      </c>
      <c r="G3462" s="2">
        <v>162.0</v>
      </c>
      <c r="H3462" s="2" t="b">
        <v>1</v>
      </c>
      <c r="I3462" s="2">
        <v>-1.0</v>
      </c>
      <c r="J3462" s="2" t="b">
        <v>0</v>
      </c>
      <c r="K3462" s="2" t="b">
        <v>0</v>
      </c>
      <c r="L3462" s="2" t="b">
        <v>0</v>
      </c>
      <c r="M3462" s="2" t="b">
        <v>0</v>
      </c>
      <c r="N3462" s="2" t="s">
        <v>33</v>
      </c>
      <c r="O3462" s="2">
        <v>47.0</v>
      </c>
      <c r="P3462" s="2">
        <v>11.0</v>
      </c>
      <c r="Q3462" s="2">
        <v>21.0</v>
      </c>
      <c r="R3462" s="2">
        <v>0.0</v>
      </c>
      <c r="S3462" s="3" t="s">
        <v>14098</v>
      </c>
      <c r="T3462" s="2" t="s">
        <v>14099</v>
      </c>
      <c r="Y3462" s="4" t="str">
        <f>IFERROR(__xludf.DUMMYFUNCTION("""COMPUTED_VALUE"""),"6.7397541")</f>
        <v>6.7397541</v>
      </c>
      <c r="Z3462" s="4" t="str">
        <f>IFERROR(__xludf.DUMMYFUNCTION("""COMPUTED_VALUE"""),"4.1641741")</f>
        <v>4.1641741</v>
      </c>
      <c r="AA3462" s="4" t="str">
        <f t="shared" si="1"/>
        <v>Neighbor</v>
      </c>
      <c r="AC3462" s="4">
        <f>IFERROR(__xludf.DUMMYFUNCTION("IFERROR(ABS(O3462-AVERAGE(FILTER(O3462:O7530,AA3462:AA7530=""Neighbor""))) / STDEV(FILTER(O3462:O7530, AA3462:AA7530 =""Neighbor"")), """")"),0.01052402493789597)</f>
        <v>0.01052402494</v>
      </c>
      <c r="AF3462" s="2">
        <f>IFERROR(__xludf.DUMMYFUNCTION("IFERROR(ABS(R3462-AVERAGE(FILTER(R3462:R7530,AA3462:AA7530=""Neighbor""))) / STDEV(FILTER(R3462:R7530, AA3462:AA7530 =""Neighbor"")), """")"),0.3356746492320064)</f>
        <v>0.3356746492</v>
      </c>
    </row>
    <row r="3463">
      <c r="A3463" s="2" t="s">
        <v>28</v>
      </c>
      <c r="B3463" s="2" t="s">
        <v>4981</v>
      </c>
      <c r="C3463" s="2" t="s">
        <v>5244</v>
      </c>
      <c r="D3463" s="2" t="s">
        <v>14100</v>
      </c>
      <c r="E3463" s="2" t="s">
        <v>14101</v>
      </c>
      <c r="F3463" s="2">
        <v>212.0</v>
      </c>
      <c r="G3463" s="2">
        <v>750.0</v>
      </c>
      <c r="H3463" s="2" t="b">
        <v>1</v>
      </c>
      <c r="I3463" s="2">
        <v>-1.0</v>
      </c>
      <c r="J3463" s="2" t="b">
        <v>0</v>
      </c>
      <c r="K3463" s="2" t="b">
        <v>0</v>
      </c>
      <c r="L3463" s="2" t="b">
        <v>0</v>
      </c>
      <c r="M3463" s="2" t="b">
        <v>0</v>
      </c>
      <c r="N3463" s="2" t="s">
        <v>33</v>
      </c>
      <c r="O3463" s="2">
        <v>80.0</v>
      </c>
      <c r="P3463" s="2">
        <v>61.0</v>
      </c>
      <c r="Q3463" s="2">
        <v>55.0</v>
      </c>
      <c r="R3463" s="2">
        <v>1.0</v>
      </c>
      <c r="S3463" s="3" t="s">
        <v>14102</v>
      </c>
      <c r="T3463" s="2" t="s">
        <v>14103</v>
      </c>
      <c r="Y3463" s="4" t="str">
        <f>IFERROR(__xludf.DUMMYFUNCTION("""COMPUTED_VALUE"""),"6.739718")</f>
        <v>6.739718</v>
      </c>
      <c r="Z3463" s="4" t="str">
        <f>IFERROR(__xludf.DUMMYFUNCTION("""COMPUTED_VALUE"""),"4.168225")</f>
        <v>4.168225</v>
      </c>
      <c r="AA3463" s="4" t="str">
        <f t="shared" si="1"/>
        <v>Not Neighbor</v>
      </c>
      <c r="AC3463" s="4">
        <f>IFERROR(__xludf.DUMMYFUNCTION("IFERROR(ABS(O3463-AVERAGE(FILTER(O3463:O7531,AA3463:AA7531=""Neighbor""))) / STDEV(FILTER(O3463:O7531, AA3463:AA7531 =""Neighbor"")), """")"),1.0198548847543278)</f>
        <v>1.019854885</v>
      </c>
      <c r="AF3463" s="2">
        <f>IFERROR(__xludf.DUMMYFUNCTION("IFERROR(ABS(R3463-AVERAGE(FILTER(R3463:R7531,AA3463:AA7531=""Neighbor""))) / STDEV(FILTER(R3463:R7531, AA3463:AA7531 =""Neighbor"")), """")"),0.7948641965622001)</f>
        <v>0.7948641966</v>
      </c>
    </row>
    <row r="3464">
      <c r="A3464" s="2" t="s">
        <v>28</v>
      </c>
      <c r="B3464" s="2" t="s">
        <v>4981</v>
      </c>
      <c r="C3464" s="2" t="s">
        <v>5244</v>
      </c>
      <c r="D3464" s="2" t="s">
        <v>14104</v>
      </c>
      <c r="E3464" s="2" t="s">
        <v>14105</v>
      </c>
      <c r="F3464" s="2">
        <v>83.0</v>
      </c>
      <c r="G3464" s="2">
        <v>100.0</v>
      </c>
      <c r="H3464" s="2" t="b">
        <v>1</v>
      </c>
      <c r="I3464" s="2">
        <v>-1.0</v>
      </c>
      <c r="J3464" s="2" t="b">
        <v>0</v>
      </c>
      <c r="K3464" s="2" t="b">
        <v>0</v>
      </c>
      <c r="L3464" s="2" t="b">
        <v>0</v>
      </c>
      <c r="M3464" s="2" t="b">
        <v>0</v>
      </c>
      <c r="N3464" s="2" t="s">
        <v>33</v>
      </c>
      <c r="O3464" s="2">
        <v>63.0</v>
      </c>
      <c r="P3464" s="2">
        <v>1.0</v>
      </c>
      <c r="Q3464" s="2">
        <v>10.0</v>
      </c>
      <c r="R3464" s="2">
        <v>0.0</v>
      </c>
      <c r="S3464" s="3" t="s">
        <v>14106</v>
      </c>
      <c r="T3464" s="2" t="s">
        <v>14107</v>
      </c>
      <c r="Y3464" s="4" t="str">
        <f>IFERROR(__xludf.DUMMYFUNCTION("""COMPUTED_VALUE"""),"6.779517")</f>
        <v>6.779517</v>
      </c>
      <c r="Z3464" s="4" t="str">
        <f>IFERROR(__xludf.DUMMYFUNCTION("""COMPUTED_VALUE"""),"4.277941")</f>
        <v>4.277941</v>
      </c>
      <c r="AA3464" s="4" t="str">
        <f t="shared" si="1"/>
        <v>Not Neighbor</v>
      </c>
      <c r="AC3464" s="4">
        <f>IFERROR(__xludf.DUMMYFUNCTION("IFERROR(ABS(O3464-AVERAGE(FILTER(O3464:O7532,AA3464:AA7532=""Neighbor""))) / STDEV(FILTER(O3464:O7532, AA3464:AA7532 =""Neighbor"")), """")"),0.49990818549488253)</f>
        <v>0.4999081855</v>
      </c>
      <c r="AF3464" s="2">
        <f>IFERROR(__xludf.DUMMYFUNCTION("IFERROR(ABS(R3464-AVERAGE(FILTER(R3464:R7532,AA3464:AA7532=""Neighbor""))) / STDEV(FILTER(R3464:R7532, AA3464:AA7532 =""Neighbor"")), """")"),0.33647625498645284)</f>
        <v>0.336476255</v>
      </c>
    </row>
    <row r="3465">
      <c r="A3465" s="2" t="s">
        <v>28</v>
      </c>
      <c r="B3465" s="2" t="s">
        <v>4981</v>
      </c>
      <c r="C3465" s="2" t="s">
        <v>5244</v>
      </c>
      <c r="D3465" s="2" t="s">
        <v>14108</v>
      </c>
      <c r="E3465" s="2" t="s">
        <v>14109</v>
      </c>
      <c r="F3465" s="2">
        <v>72.0</v>
      </c>
      <c r="G3465" s="2">
        <v>120.0</v>
      </c>
      <c r="H3465" s="2" t="b">
        <v>1</v>
      </c>
      <c r="I3465" s="2">
        <v>-1.0</v>
      </c>
      <c r="J3465" s="2" t="b">
        <v>0</v>
      </c>
      <c r="K3465" s="2" t="b">
        <v>0</v>
      </c>
      <c r="L3465" s="2" t="b">
        <v>0</v>
      </c>
      <c r="M3465" s="2" t="b">
        <v>0</v>
      </c>
      <c r="N3465" s="2" t="s">
        <v>33</v>
      </c>
      <c r="O3465" s="2">
        <v>28.0</v>
      </c>
      <c r="P3465" s="2">
        <v>18.0</v>
      </c>
      <c r="Q3465" s="2">
        <v>13.0</v>
      </c>
      <c r="R3465" s="2">
        <v>2.0</v>
      </c>
      <c r="S3465" s="3" t="s">
        <v>14110</v>
      </c>
      <c r="T3465" s="2" t="s">
        <v>14111</v>
      </c>
      <c r="Y3465" s="4" t="str">
        <f>IFERROR(__xludf.DUMMYFUNCTION("""COMPUTED_VALUE"""),"6.7397541")</f>
        <v>6.7397541</v>
      </c>
      <c r="Z3465" s="4" t="str">
        <f>IFERROR(__xludf.DUMMYFUNCTION("""COMPUTED_VALUE"""),"4.1641741")</f>
        <v>4.1641741</v>
      </c>
      <c r="AA3465" s="4" t="str">
        <f t="shared" si="1"/>
        <v>Not Neighbor</v>
      </c>
      <c r="AC3465" s="4">
        <f>IFERROR(__xludf.DUMMYFUNCTION("IFERROR(ABS(O3465-AVERAGE(FILTER(O3465:O7533,AA3465:AA7533=""Neighbor""))) / STDEV(FILTER(O3465:O7533, AA3465:AA7533 =""Neighbor"")), """")"),0.570570312980446)</f>
        <v>0.570570313</v>
      </c>
      <c r="AF3465" s="2">
        <f>IFERROR(__xludf.DUMMYFUNCTION("IFERROR(ABS(R3465-AVERAGE(FILTER(R3465:R7533,AA3465:AA7533=""Neighbor""))) / STDEV(FILTER(R3465:R7533, AA3465:AA7533 =""Neighbor"")), """")"),1.9262046481108528)</f>
        <v>1.926204648</v>
      </c>
    </row>
    <row r="3466">
      <c r="A3466" s="2" t="s">
        <v>28</v>
      </c>
      <c r="B3466" s="2" t="s">
        <v>4981</v>
      </c>
      <c r="C3466" s="2" t="s">
        <v>5244</v>
      </c>
      <c r="D3466" s="2" t="s">
        <v>14112</v>
      </c>
      <c r="E3466" s="2" t="s">
        <v>14113</v>
      </c>
      <c r="F3466" s="2">
        <v>156.0</v>
      </c>
      <c r="G3466" s="2">
        <v>238.0</v>
      </c>
      <c r="H3466" s="2" t="b">
        <v>1</v>
      </c>
      <c r="I3466" s="2">
        <v>-1.0</v>
      </c>
      <c r="J3466" s="2" t="b">
        <v>0</v>
      </c>
      <c r="K3466" s="2" t="b">
        <v>0</v>
      </c>
      <c r="L3466" s="2" t="b">
        <v>0</v>
      </c>
      <c r="M3466" s="2" t="b">
        <v>0</v>
      </c>
      <c r="N3466" s="2" t="s">
        <v>33</v>
      </c>
      <c r="O3466" s="2">
        <v>86.0</v>
      </c>
      <c r="P3466" s="2">
        <v>17.0</v>
      </c>
      <c r="Q3466" s="2">
        <v>58.0</v>
      </c>
      <c r="R3466" s="2">
        <v>0.0</v>
      </c>
      <c r="S3466" s="3" t="s">
        <v>14114</v>
      </c>
      <c r="T3466" s="2" t="s">
        <v>14115</v>
      </c>
      <c r="Y3466" s="4" t="str">
        <f>IFERROR(__xludf.DUMMYFUNCTION("""COMPUTED_VALUE"""),"6.779517")</f>
        <v>6.779517</v>
      </c>
      <c r="Z3466" s="4" t="str">
        <f>IFERROR(__xludf.DUMMYFUNCTION("""COMPUTED_VALUE"""),"4.277941")</f>
        <v>4.277941</v>
      </c>
      <c r="AA3466" s="4" t="str">
        <f t="shared" si="1"/>
        <v>Not Neighbor</v>
      </c>
      <c r="AC3466" s="4">
        <f>IFERROR(__xludf.DUMMYFUNCTION("IFERROR(ABS(O3466-AVERAGE(FILTER(O3466:O7534,AA3466:AA7534=""Neighbor""))) / STDEV(FILTER(O3466:O7534, AA3466:AA7534 =""Neighbor"")), """")"),1.2033654844929556)</f>
        <v>1.203365484</v>
      </c>
      <c r="AF3466" s="2">
        <f>IFERROR(__xludf.DUMMYFUNCTION("IFERROR(ABS(R3466-AVERAGE(FILTER(R3466:R7534,AA3466:AA7534=""Neighbor""))) / STDEV(FILTER(R3466:R7534, AA3466:AA7534 =""Neighbor"")), """")"),0.33647625498645284)</f>
        <v>0.336476255</v>
      </c>
    </row>
    <row r="3467">
      <c r="A3467" s="2" t="s">
        <v>28</v>
      </c>
      <c r="B3467" s="2" t="s">
        <v>4981</v>
      </c>
      <c r="C3467" s="2" t="s">
        <v>5244</v>
      </c>
      <c r="D3467" s="2" t="s">
        <v>14116</v>
      </c>
      <c r="E3467" s="2" t="s">
        <v>14117</v>
      </c>
      <c r="F3467" s="2">
        <v>45.0</v>
      </c>
      <c r="G3467" s="2">
        <v>67.0</v>
      </c>
      <c r="H3467" s="2" t="b">
        <v>1</v>
      </c>
      <c r="I3467" s="2">
        <v>-1.0</v>
      </c>
      <c r="J3467" s="2" t="b">
        <v>0</v>
      </c>
      <c r="K3467" s="2" t="b">
        <v>0</v>
      </c>
      <c r="L3467" s="2" t="b">
        <v>0</v>
      </c>
      <c r="M3467" s="2" t="b">
        <v>0</v>
      </c>
      <c r="N3467" s="2" t="s">
        <v>33</v>
      </c>
      <c r="O3467" s="2">
        <v>18.0</v>
      </c>
      <c r="P3467" s="2">
        <v>19.0</v>
      </c>
      <c r="Q3467" s="2">
        <v>0.0</v>
      </c>
      <c r="R3467" s="2">
        <v>0.0</v>
      </c>
      <c r="S3467" s="3" t="s">
        <v>14118</v>
      </c>
      <c r="T3467" s="2" t="s">
        <v>14119</v>
      </c>
      <c r="Y3467" s="4" t="str">
        <f>IFERROR(__xludf.DUMMYFUNCTION("""COMPUTED_VALUE"""),"6.7526886")</f>
        <v>6.7526886</v>
      </c>
      <c r="Z3467" s="4" t="str">
        <f>IFERROR(__xludf.DUMMYFUNCTION("""COMPUTED_VALUE"""),"4.2128337")</f>
        <v>4.2128337</v>
      </c>
      <c r="AA3467" s="4" t="str">
        <f t="shared" si="1"/>
        <v>Not Neighbor</v>
      </c>
      <c r="AC3467" s="4">
        <f>IFERROR(__xludf.DUMMYFUNCTION("IFERROR(ABS(O3467-AVERAGE(FILTER(O3467:O7535,AA3467:AA7535=""Neighbor""))) / STDEV(FILTER(O3467:O7535, AA3467:AA7535 =""Neighbor"")), """")"),0.8764213125448257)</f>
        <v>0.8764213125</v>
      </c>
      <c r="AF3467" s="2">
        <f>IFERROR(__xludf.DUMMYFUNCTION("IFERROR(ABS(R3467-AVERAGE(FILTER(R3467:R7535,AA3467:AA7535=""Neighbor""))) / STDEV(FILTER(R3467:R7535, AA3467:AA7535 =""Neighbor"")), """")"),0.33647625498645284)</f>
        <v>0.336476255</v>
      </c>
    </row>
    <row r="3468">
      <c r="A3468" s="2" t="s">
        <v>28</v>
      </c>
      <c r="B3468" s="2" t="s">
        <v>4981</v>
      </c>
      <c r="C3468" s="2" t="s">
        <v>5146</v>
      </c>
      <c r="D3468" s="2" t="s">
        <v>14120</v>
      </c>
      <c r="E3468" s="2" t="s">
        <v>14121</v>
      </c>
      <c r="F3468" s="2">
        <v>142.0</v>
      </c>
      <c r="G3468" s="2">
        <v>278.0</v>
      </c>
      <c r="H3468" s="2" t="b">
        <v>1</v>
      </c>
      <c r="I3468" s="2">
        <v>-1.0</v>
      </c>
      <c r="J3468" s="2" t="b">
        <v>0</v>
      </c>
      <c r="K3468" s="2" t="b">
        <v>0</v>
      </c>
      <c r="L3468" s="2" t="b">
        <v>0</v>
      </c>
      <c r="M3468" s="2" t="b">
        <v>0</v>
      </c>
      <c r="N3468" s="2" t="s">
        <v>33</v>
      </c>
      <c r="O3468" s="2">
        <v>109.0</v>
      </c>
      <c r="P3468" s="2">
        <v>19.0</v>
      </c>
      <c r="Q3468" s="2">
        <v>6.0</v>
      </c>
      <c r="R3468" s="2">
        <v>0.0</v>
      </c>
      <c r="S3468" s="3" t="s">
        <v>14122</v>
      </c>
      <c r="T3468" s="2" t="s">
        <v>14123</v>
      </c>
      <c r="Y3468" s="4" t="str">
        <f>IFERROR(__xludf.DUMMYFUNCTION("""COMPUTED_VALUE"""),"6.8738342")</f>
        <v>6.8738342</v>
      </c>
      <c r="Z3468" s="4" t="str">
        <f>IFERROR(__xludf.DUMMYFUNCTION("""COMPUTED_VALUE"""),"4.1697283")</f>
        <v>4.1697283</v>
      </c>
      <c r="AA3468" s="4" t="str">
        <f t="shared" si="1"/>
        <v>Not Neighbor</v>
      </c>
      <c r="AC3468" s="4">
        <f>IFERROR(__xludf.DUMMYFUNCTION("IFERROR(ABS(O3468-AVERAGE(FILTER(O3468:O7536,AA3468:AA7536=""Neighbor""))) / STDEV(FILTER(O3468:O7536, AA3468:AA7536 =""Neighbor"")), """")"),1.9068227834910287)</f>
        <v>1.906822783</v>
      </c>
      <c r="AF3468" s="2">
        <f>IFERROR(__xludf.DUMMYFUNCTION("IFERROR(ABS(R3468-AVERAGE(FILTER(R3468:R7536,AA3468:AA7536=""Neighbor""))) / STDEV(FILTER(R3468:R7536, AA3468:AA7536 =""Neighbor"")), """")"),0.33647625498645284)</f>
        <v>0.336476255</v>
      </c>
    </row>
    <row r="3469">
      <c r="A3469" s="2" t="s">
        <v>28</v>
      </c>
      <c r="B3469" s="2" t="s">
        <v>4981</v>
      </c>
      <c r="C3469" s="2" t="s">
        <v>5146</v>
      </c>
      <c r="D3469" s="2" t="s">
        <v>14124</v>
      </c>
      <c r="E3469" s="2" t="s">
        <v>14125</v>
      </c>
      <c r="F3469" s="2">
        <v>71.0</v>
      </c>
      <c r="G3469" s="2">
        <v>97.0</v>
      </c>
      <c r="H3469" s="2" t="b">
        <v>1</v>
      </c>
      <c r="I3469" s="2">
        <v>-1.0</v>
      </c>
      <c r="J3469" s="2" t="b">
        <v>0</v>
      </c>
      <c r="K3469" s="2" t="b">
        <v>0</v>
      </c>
      <c r="L3469" s="2" t="b">
        <v>0</v>
      </c>
      <c r="M3469" s="2" t="b">
        <v>0</v>
      </c>
      <c r="N3469" s="2" t="s">
        <v>33</v>
      </c>
      <c r="O3469" s="2">
        <v>57.0</v>
      </c>
      <c r="P3469" s="2">
        <v>0.0</v>
      </c>
      <c r="Q3469" s="2">
        <v>8.0</v>
      </c>
      <c r="R3469" s="2">
        <v>0.0</v>
      </c>
      <c r="S3469" s="3" t="s">
        <v>14126</v>
      </c>
      <c r="T3469" s="2" t="s">
        <v>14127</v>
      </c>
      <c r="Y3469" s="4" t="str">
        <f>IFERROR(__xludf.DUMMYFUNCTION("""COMPUTED_VALUE"""),"6.8597645")</f>
        <v>6.8597645</v>
      </c>
      <c r="Z3469" s="4" t="str">
        <f>IFERROR(__xludf.DUMMYFUNCTION("""COMPUTED_VALUE"""),"4.19234")</f>
        <v>4.19234</v>
      </c>
      <c r="AA3469" s="4" t="str">
        <f t="shared" si="1"/>
        <v>Neighbor</v>
      </c>
      <c r="AC3469" s="4">
        <f>IFERROR(__xludf.DUMMYFUNCTION("IFERROR(ABS(O3469-AVERAGE(FILTER(O3469:O7537,AA3469:AA7537=""Neighbor""))) / STDEV(FILTER(O3469:O7537, AA3469:AA7537 =""Neighbor"")), """")"),0.31639758575625476)</f>
        <v>0.3163975858</v>
      </c>
      <c r="AF3469" s="2">
        <f>IFERROR(__xludf.DUMMYFUNCTION("IFERROR(ABS(R3469-AVERAGE(FILTER(R3469:R7537,AA3469:AA7537=""Neighbor""))) / STDEV(FILTER(R3469:R7537, AA3469:AA7537 =""Neighbor"")), """")"),0.33647625498645284)</f>
        <v>0.336476255</v>
      </c>
    </row>
    <row r="3470">
      <c r="A3470" s="2" t="s">
        <v>28</v>
      </c>
      <c r="B3470" s="2" t="s">
        <v>4981</v>
      </c>
      <c r="C3470" s="2" t="s">
        <v>5146</v>
      </c>
      <c r="D3470" s="2" t="s">
        <v>14128</v>
      </c>
      <c r="E3470" s="2" t="s">
        <v>14129</v>
      </c>
      <c r="F3470" s="2">
        <v>127.0</v>
      </c>
      <c r="G3470" s="2">
        <v>220.0</v>
      </c>
      <c r="H3470" s="2" t="b">
        <v>1</v>
      </c>
      <c r="I3470" s="2">
        <v>-1.0</v>
      </c>
      <c r="J3470" s="2" t="b">
        <v>0</v>
      </c>
      <c r="K3470" s="2" t="b">
        <v>1</v>
      </c>
      <c r="L3470" s="2" t="b">
        <v>0</v>
      </c>
      <c r="M3470" s="2" t="b">
        <v>0</v>
      </c>
      <c r="N3470" s="2" t="s">
        <v>33</v>
      </c>
      <c r="O3470" s="2">
        <v>117.0</v>
      </c>
      <c r="P3470" s="2">
        <v>0.0</v>
      </c>
      <c r="Q3470" s="2">
        <v>3.0</v>
      </c>
      <c r="R3470" s="2">
        <v>0.0</v>
      </c>
      <c r="S3470" s="3" t="s">
        <v>14130</v>
      </c>
      <c r="T3470" s="2" t="s">
        <v>14131</v>
      </c>
      <c r="Y3470" s="4" t="str">
        <f>IFERROR(__xludf.DUMMYFUNCTION("""COMPUTED_VALUE"""),"6.8597645")</f>
        <v>6.8597645</v>
      </c>
      <c r="Z3470" s="4" t="str">
        <f>IFERROR(__xludf.DUMMYFUNCTION("""COMPUTED_VALUE"""),"4.19234")</f>
        <v>4.19234</v>
      </c>
      <c r="AA3470" s="4" t="str">
        <f t="shared" si="1"/>
        <v>Neighbor</v>
      </c>
      <c r="AC3470" s="4">
        <f>IFERROR(__xludf.DUMMYFUNCTION("IFERROR(ABS(O3470-AVERAGE(FILTER(O3470:O7538,AA3470:AA7538=""Neighbor""))) / STDEV(FILTER(O3470:O7538, AA3470:AA7538 =""Neighbor"")), """")"),2.1486759641004123)</f>
        <v>2.148675964</v>
      </c>
      <c r="AF3470" s="2">
        <f>IFERROR(__xludf.DUMMYFUNCTION("IFERROR(ABS(R3470-AVERAGE(FILTER(R3470:R7538,AA3470:AA7538=""Neighbor""))) / STDEV(FILTER(R3470:R7538, AA3470:AA7538 =""Neighbor"")), """")"),0.33728363409653345)</f>
        <v>0.3372836341</v>
      </c>
    </row>
    <row r="3471">
      <c r="A3471" s="2" t="s">
        <v>28</v>
      </c>
      <c r="B3471" s="2" t="s">
        <v>4981</v>
      </c>
      <c r="C3471" s="2" t="s">
        <v>5146</v>
      </c>
      <c r="D3471" s="2" t="s">
        <v>14132</v>
      </c>
      <c r="E3471" s="2" t="s">
        <v>14133</v>
      </c>
      <c r="F3471" s="2">
        <v>108.0</v>
      </c>
      <c r="G3471" s="2">
        <v>155.0</v>
      </c>
      <c r="H3471" s="2" t="b">
        <v>1</v>
      </c>
      <c r="I3471" s="2">
        <v>-1.0</v>
      </c>
      <c r="J3471" s="2" t="b">
        <v>0</v>
      </c>
      <c r="K3471" s="2" t="b">
        <v>0</v>
      </c>
      <c r="L3471" s="2" t="b">
        <v>0</v>
      </c>
      <c r="M3471" s="2" t="b">
        <v>0</v>
      </c>
      <c r="N3471" s="2" t="s">
        <v>33</v>
      </c>
      <c r="O3471" s="2">
        <v>75.0</v>
      </c>
      <c r="P3471" s="2">
        <v>0.0</v>
      </c>
      <c r="Q3471" s="2">
        <v>8.0</v>
      </c>
      <c r="R3471" s="2">
        <v>0.0</v>
      </c>
      <c r="S3471" s="3" t="s">
        <v>14134</v>
      </c>
      <c r="T3471" s="2" t="s">
        <v>14135</v>
      </c>
      <c r="Y3471" s="4" t="str">
        <f>IFERROR(__xludf.DUMMYFUNCTION("""COMPUTED_VALUE"""),"6.8597645")</f>
        <v>6.8597645</v>
      </c>
      <c r="Z3471" s="4" t="str">
        <f>IFERROR(__xludf.DUMMYFUNCTION("""COMPUTED_VALUE"""),"4.19234")</f>
        <v>4.19234</v>
      </c>
      <c r="AA3471" s="4" t="str">
        <f t="shared" si="1"/>
        <v>Neighbor</v>
      </c>
      <c r="AC3471" s="4">
        <f>IFERROR(__xludf.DUMMYFUNCTION("IFERROR(ABS(O3471-AVERAGE(FILTER(O3471:O7539,AA3471:AA7539=""Neighbor""))) / STDEV(FILTER(O3471:O7539, AA3471:AA7539 =""Neighbor"")), """")"),0.8829879627968786)</f>
        <v>0.8829879628</v>
      </c>
      <c r="AF3471" s="2">
        <f>IFERROR(__xludf.DUMMYFUNCTION("IFERROR(ABS(R3471-AVERAGE(FILTER(R3471:R7539,AA3471:AA7539=""Neighbor""))) / STDEV(FILTER(R3471:R7539, AA3471:AA7539 =""Neighbor"")), """")"),0.33809685623059493)</f>
        <v>0.3380968562</v>
      </c>
    </row>
    <row r="3472">
      <c r="A3472" s="2" t="s">
        <v>28</v>
      </c>
      <c r="B3472" s="2" t="s">
        <v>4981</v>
      </c>
      <c r="C3472" s="2" t="s">
        <v>5146</v>
      </c>
      <c r="D3472" s="2" t="s">
        <v>14136</v>
      </c>
      <c r="E3472" s="2" t="s">
        <v>14137</v>
      </c>
      <c r="F3472" s="2">
        <v>62.0</v>
      </c>
      <c r="G3472" s="2">
        <v>84.0</v>
      </c>
      <c r="H3472" s="2" t="b">
        <v>1</v>
      </c>
      <c r="I3472" s="2">
        <v>-1.0</v>
      </c>
      <c r="J3472" s="2" t="b">
        <v>0</v>
      </c>
      <c r="K3472" s="2" t="b">
        <v>1</v>
      </c>
      <c r="L3472" s="2" t="b">
        <v>0</v>
      </c>
      <c r="M3472" s="2" t="b">
        <v>0</v>
      </c>
      <c r="N3472" s="2" t="s">
        <v>33</v>
      </c>
      <c r="O3472" s="2">
        <v>26.0</v>
      </c>
      <c r="P3472" s="2">
        <v>1.0</v>
      </c>
      <c r="Q3472" s="2">
        <v>32.0</v>
      </c>
      <c r="R3472" s="2">
        <v>0.0</v>
      </c>
      <c r="S3472" s="3" t="s">
        <v>14138</v>
      </c>
      <c r="T3472" s="2" t="s">
        <v>14139</v>
      </c>
      <c r="Y3472" s="4" t="str">
        <f>IFERROR(__xludf.DUMMYFUNCTION("""COMPUTED_VALUE"""),"6.8597645")</f>
        <v>6.8597645</v>
      </c>
      <c r="Z3472" s="4" t="str">
        <f>IFERROR(__xludf.DUMMYFUNCTION("""COMPUTED_VALUE"""),"4.19234")</f>
        <v>4.19234</v>
      </c>
      <c r="AA3472" s="4" t="str">
        <f t="shared" si="1"/>
        <v>Not Neighbor</v>
      </c>
      <c r="AC3472" s="4">
        <f>IFERROR(__xludf.DUMMYFUNCTION("IFERROR(ABS(O3472-AVERAGE(FILTER(O3472:O7540,AA3472:AA7540=""Neighbor""))) / STDEV(FILTER(O3472:O7540, AA3472:AA7540 =""Neighbor"")), """")"),0.6206298592175614)</f>
        <v>0.6206298592</v>
      </c>
      <c r="AF3472" s="2">
        <f>IFERROR(__xludf.DUMMYFUNCTION("IFERROR(ABS(R3472-AVERAGE(FILTER(R3472:R7540,AA3472:AA7540=""Neighbor""))) / STDEV(FILTER(R3472:R7540, AA3472:AA7540 =""Neighbor"")), """")"),0.3389159922401641)</f>
        <v>0.3389159922</v>
      </c>
    </row>
    <row r="3473">
      <c r="A3473" s="2" t="s">
        <v>28</v>
      </c>
      <c r="B3473" s="2" t="s">
        <v>5384</v>
      </c>
      <c r="C3473" s="2" t="s">
        <v>5936</v>
      </c>
      <c r="D3473" s="2" t="s">
        <v>14140</v>
      </c>
      <c r="E3473" s="2" t="s">
        <v>14141</v>
      </c>
      <c r="F3473" s="2">
        <v>95.0</v>
      </c>
      <c r="G3473" s="2">
        <v>396.0</v>
      </c>
      <c r="H3473" s="2" t="b">
        <v>1</v>
      </c>
      <c r="I3473" s="2">
        <v>-1.0</v>
      </c>
      <c r="J3473" s="2" t="b">
        <v>0</v>
      </c>
      <c r="K3473" s="2" t="b">
        <v>1</v>
      </c>
      <c r="L3473" s="2" t="b">
        <v>0</v>
      </c>
      <c r="M3473" s="2" t="b">
        <v>0</v>
      </c>
      <c r="N3473" s="2" t="s">
        <v>33</v>
      </c>
      <c r="O3473" s="2">
        <v>63.0</v>
      </c>
      <c r="P3473" s="2">
        <v>4.0</v>
      </c>
      <c r="Q3473" s="2">
        <v>19.0</v>
      </c>
      <c r="R3473" s="2">
        <v>0.0</v>
      </c>
      <c r="S3473" s="3" t="s">
        <v>14142</v>
      </c>
      <c r="T3473" s="2" t="s">
        <v>14143</v>
      </c>
      <c r="Y3473" s="4" t="str">
        <f>IFERROR(__xludf.DUMMYFUNCTION("""COMPUTED_VALUE"""),"6.9331596")</f>
        <v>6.9331596</v>
      </c>
      <c r="Z3473" s="4" t="str">
        <f>IFERROR(__xludf.DUMMYFUNCTION("""COMPUTED_VALUE"""),"3.9272988")</f>
        <v>3.9272988</v>
      </c>
      <c r="AA3473" s="4" t="str">
        <f t="shared" si="1"/>
        <v>Not Neighbor</v>
      </c>
      <c r="AC3473" s="4">
        <f>IFERROR(__xludf.DUMMYFUNCTION("IFERROR(ABS(O3473-AVERAGE(FILTER(O3473:O7541,AA3473:AA7541=""Neighbor""))) / STDEV(FILTER(O3473:O7541, AA3473:AA7541 =""Neighbor"")), """")"),0.5173482401441349)</f>
        <v>0.5173482401</v>
      </c>
      <c r="AF3473" s="2">
        <f>IFERROR(__xludf.DUMMYFUNCTION("IFERROR(ABS(R3473-AVERAGE(FILTER(R3473:R7541,AA3473:AA7541=""Neighbor""))) / STDEV(FILTER(R3473:R7541, AA3473:AA7541 =""Neighbor"")), """")"),0.3389159922401641)</f>
        <v>0.3389159922</v>
      </c>
    </row>
    <row r="3474">
      <c r="A3474" s="2" t="s">
        <v>28</v>
      </c>
      <c r="B3474" s="2" t="s">
        <v>5384</v>
      </c>
      <c r="C3474" s="2" t="s">
        <v>5936</v>
      </c>
      <c r="D3474" s="2" t="s">
        <v>14144</v>
      </c>
      <c r="E3474" s="2" t="s">
        <v>14145</v>
      </c>
      <c r="F3474" s="2">
        <v>46.0</v>
      </c>
      <c r="G3474" s="2">
        <v>104.0</v>
      </c>
      <c r="H3474" s="2" t="b">
        <v>1</v>
      </c>
      <c r="I3474" s="2">
        <v>-1.0</v>
      </c>
      <c r="J3474" s="2" t="b">
        <v>1</v>
      </c>
      <c r="K3474" s="2" t="b">
        <v>0</v>
      </c>
      <c r="L3474" s="2" t="b">
        <v>0</v>
      </c>
      <c r="M3474" s="2" t="b">
        <v>0</v>
      </c>
      <c r="N3474" s="2" t="s">
        <v>33</v>
      </c>
      <c r="O3474" s="2">
        <v>15.0</v>
      </c>
      <c r="P3474" s="2">
        <v>19.0</v>
      </c>
      <c r="Q3474" s="2">
        <v>8.0</v>
      </c>
      <c r="R3474" s="2">
        <v>0.0</v>
      </c>
      <c r="S3474" s="3" t="s">
        <v>14146</v>
      </c>
      <c r="T3474" s="2" t="s">
        <v>14147</v>
      </c>
      <c r="Y3474" s="4" t="str">
        <f>IFERROR(__xludf.DUMMYFUNCTION("""COMPUTED_VALUE"""),"6.9448284")</f>
        <v>6.9448284</v>
      </c>
      <c r="Z3474" s="4" t="str">
        <f>IFERROR(__xludf.DUMMYFUNCTION("""COMPUTED_VALUE"""),"3.9030251")</f>
        <v>3.9030251</v>
      </c>
      <c r="AA3474" s="4" t="str">
        <f t="shared" si="1"/>
        <v>Not Neighbor</v>
      </c>
      <c r="AC3474" s="4">
        <f>IFERROR(__xludf.DUMMYFUNCTION("IFERROR(ABS(O3474-AVERAGE(FILTER(O3474:O7542,AA3474:AA7542=""Neighbor""))) / STDEV(FILTER(O3474:O7542, AA3474:AA7542 =""Neighbor"")), """")"),0.9589476725413091)</f>
        <v>0.9589476725</v>
      </c>
      <c r="AF3474" s="2">
        <f>IFERROR(__xludf.DUMMYFUNCTION("IFERROR(ABS(R3474-AVERAGE(FILTER(R3474:R7542,AA3474:AA7542=""Neighbor""))) / STDEV(FILTER(R3474:R7542, AA3474:AA7542 =""Neighbor"")), """")"),0.3389159922401641)</f>
        <v>0.3389159922</v>
      </c>
    </row>
    <row r="3475">
      <c r="A3475" s="2" t="s">
        <v>28</v>
      </c>
      <c r="B3475" s="2" t="s">
        <v>5384</v>
      </c>
      <c r="C3475" s="2" t="s">
        <v>5936</v>
      </c>
      <c r="D3475" s="2" t="s">
        <v>14148</v>
      </c>
      <c r="E3475" s="2" t="s">
        <v>14149</v>
      </c>
      <c r="F3475" s="2">
        <v>137.0</v>
      </c>
      <c r="G3475" s="2">
        <v>530.0</v>
      </c>
      <c r="H3475" s="2" t="b">
        <v>1</v>
      </c>
      <c r="I3475" s="2">
        <v>-1.0</v>
      </c>
      <c r="J3475" s="2" t="b">
        <v>0</v>
      </c>
      <c r="K3475" s="2" t="b">
        <v>1</v>
      </c>
      <c r="L3475" s="2" t="b">
        <v>0</v>
      </c>
      <c r="M3475" s="2" t="b">
        <v>0</v>
      </c>
      <c r="N3475" s="2" t="s">
        <v>33</v>
      </c>
      <c r="O3475" s="2">
        <v>88.0</v>
      </c>
      <c r="P3475" s="2">
        <v>24.0</v>
      </c>
      <c r="Q3475" s="2">
        <v>24.0</v>
      </c>
      <c r="R3475" s="2">
        <v>0.0</v>
      </c>
      <c r="S3475" s="3" t="s">
        <v>14150</v>
      </c>
      <c r="T3475" s="2" t="s">
        <v>14151</v>
      </c>
      <c r="Y3475" s="4" t="str">
        <f>IFERROR(__xludf.DUMMYFUNCTION("""COMPUTED_VALUE"""),"6.9362588")</f>
        <v>6.9362588</v>
      </c>
      <c r="Z3475" s="4" t="str">
        <f>IFERROR(__xludf.DUMMYFUNCTION("""COMPUTED_VALUE"""),"3.921949")</f>
        <v>3.921949</v>
      </c>
      <c r="AA3475" s="4" t="str">
        <f t="shared" si="1"/>
        <v>Neighbor</v>
      </c>
      <c r="AC3475" s="4">
        <f>IFERROR(__xludf.DUMMYFUNCTION("IFERROR(ABS(O3475-AVERAGE(FILTER(O3475:O7543,AA3475:AA7543=""Neighbor""))) / STDEV(FILTER(O3475:O7543, AA3475:AA7543 =""Neighbor"")), """")"),1.2862523613344703)</f>
        <v>1.286252361</v>
      </c>
      <c r="AF3475" s="2">
        <f>IFERROR(__xludf.DUMMYFUNCTION("IFERROR(ABS(R3475-AVERAGE(FILTER(R3475:R7543,AA3475:AA7543=""Neighbor""))) / STDEV(FILTER(R3475:R7543, AA3475:AA7543 =""Neighbor"")), """")"),0.3389159922401641)</f>
        <v>0.3389159922</v>
      </c>
    </row>
    <row r="3476">
      <c r="A3476" s="2" t="s">
        <v>28</v>
      </c>
      <c r="B3476" s="2" t="s">
        <v>5384</v>
      </c>
      <c r="C3476" s="2" t="s">
        <v>5936</v>
      </c>
      <c r="D3476" s="2" t="s">
        <v>14152</v>
      </c>
      <c r="E3476" s="2" t="s">
        <v>14153</v>
      </c>
      <c r="F3476" s="2">
        <v>40.0</v>
      </c>
      <c r="G3476" s="2">
        <v>72.0</v>
      </c>
      <c r="H3476" s="2" t="b">
        <v>1</v>
      </c>
      <c r="I3476" s="2">
        <v>-1.0</v>
      </c>
      <c r="J3476" s="2" t="b">
        <v>0</v>
      </c>
      <c r="K3476" s="2" t="b">
        <v>0</v>
      </c>
      <c r="L3476" s="2" t="b">
        <v>0</v>
      </c>
      <c r="M3476" s="2" t="b">
        <v>0</v>
      </c>
      <c r="N3476" s="2" t="s">
        <v>33</v>
      </c>
      <c r="O3476" s="2">
        <v>59.0</v>
      </c>
      <c r="P3476" s="2">
        <v>8.0</v>
      </c>
      <c r="Q3476" s="2">
        <v>7.0</v>
      </c>
      <c r="R3476" s="2">
        <v>0.0</v>
      </c>
      <c r="S3476" s="3" t="s">
        <v>14154</v>
      </c>
      <c r="T3476" s="2" t="s">
        <v>14155</v>
      </c>
      <c r="Y3476" s="4" t="str">
        <f>IFERROR(__xludf.DUMMYFUNCTION("""COMPUTED_VALUE"""),"6.9399504")</f>
        <v>6.9399504</v>
      </c>
      <c r="Z3476" s="4" t="str">
        <f>IFERROR(__xludf.DUMMYFUNCTION("""COMPUTED_VALUE"""),"3.9153837")</f>
        <v>3.9153837</v>
      </c>
      <c r="AA3476" s="4" t="str">
        <f t="shared" si="1"/>
        <v>Not Neighbor</v>
      </c>
      <c r="AC3476" s="4">
        <f>IFERROR(__xludf.DUMMYFUNCTION("IFERROR(ABS(O3476-AVERAGE(FILTER(O3476:O7544,AA3476:AA7544=""Neighbor""))) / STDEV(FILTER(O3476:O7544, AA3476:AA7544 =""Neighbor"")), """")"),0.4005492619798188)</f>
        <v>0.400549262</v>
      </c>
      <c r="AF3476" s="2">
        <f>IFERROR(__xludf.DUMMYFUNCTION("IFERROR(ABS(R3476-AVERAGE(FILTER(R3476:R7544,AA3476:AA7544=""Neighbor""))) / STDEV(FILTER(R3476:R7544, AA3476:AA7544 =""Neighbor"")), """")"),0.3397411141859183)</f>
        <v>0.3397411142</v>
      </c>
    </row>
    <row r="3477">
      <c r="A3477" s="2" t="s">
        <v>28</v>
      </c>
      <c r="B3477" s="2" t="s">
        <v>5384</v>
      </c>
      <c r="C3477" s="2" t="s">
        <v>5936</v>
      </c>
      <c r="D3477" s="2" t="s">
        <v>14156</v>
      </c>
      <c r="E3477" s="2" t="s">
        <v>14157</v>
      </c>
      <c r="F3477" s="2">
        <v>78.0</v>
      </c>
      <c r="G3477" s="2">
        <v>137.0</v>
      </c>
      <c r="H3477" s="2" t="b">
        <v>1</v>
      </c>
      <c r="I3477" s="2">
        <v>-1.0</v>
      </c>
      <c r="J3477" s="2" t="b">
        <v>0</v>
      </c>
      <c r="K3477" s="2" t="b">
        <v>0</v>
      </c>
      <c r="L3477" s="2" t="b">
        <v>0</v>
      </c>
      <c r="M3477" s="2" t="b">
        <v>0</v>
      </c>
      <c r="N3477" s="2" t="s">
        <v>33</v>
      </c>
      <c r="O3477" s="2">
        <v>59.0</v>
      </c>
      <c r="P3477" s="2">
        <v>8.0</v>
      </c>
      <c r="Q3477" s="2">
        <v>7.0</v>
      </c>
      <c r="R3477" s="2">
        <v>0.0</v>
      </c>
      <c r="S3477" s="3" t="s">
        <v>14158</v>
      </c>
      <c r="T3477" s="2" t="s">
        <v>14159</v>
      </c>
      <c r="Y3477" s="4" t="str">
        <f>IFERROR(__xludf.DUMMYFUNCTION("""COMPUTED_VALUE"""),"6.9436631")</f>
        <v>6.9436631</v>
      </c>
      <c r="Z3477" s="4" t="str">
        <f>IFERROR(__xludf.DUMMYFUNCTION("""COMPUTED_VALUE"""),"3.9030014")</f>
        <v>3.9030014</v>
      </c>
      <c r="AA3477" s="4" t="str">
        <f t="shared" si="1"/>
        <v>Not Neighbor</v>
      </c>
      <c r="AC3477" s="4">
        <f>IFERROR(__xludf.DUMMYFUNCTION("IFERROR(ABS(O3477-AVERAGE(FILTER(O3477:O7545,AA3477:AA7545=""Neighbor""))) / STDEV(FILTER(O3477:O7545, AA3477:AA7545 =""Neighbor"")), """")"),0.4005492619798188)</f>
        <v>0.400549262</v>
      </c>
      <c r="AF3477" s="2">
        <f>IFERROR(__xludf.DUMMYFUNCTION("IFERROR(ABS(R3477-AVERAGE(FILTER(R3477:R7545,AA3477:AA7545=""Neighbor""))) / STDEV(FILTER(R3477:R7545, AA3477:AA7545 =""Neighbor"")), """")"),0.3397411141859183)</f>
        <v>0.3397411142</v>
      </c>
    </row>
    <row r="3478">
      <c r="A3478" s="2" t="s">
        <v>28</v>
      </c>
      <c r="B3478" s="2" t="s">
        <v>5384</v>
      </c>
      <c r="C3478" s="2" t="s">
        <v>5936</v>
      </c>
      <c r="D3478" s="2" t="s">
        <v>14160</v>
      </c>
      <c r="E3478" s="2" t="s">
        <v>14161</v>
      </c>
      <c r="F3478" s="2">
        <v>49.0</v>
      </c>
      <c r="G3478" s="2">
        <v>148.0</v>
      </c>
      <c r="H3478" s="2" t="b">
        <v>1</v>
      </c>
      <c r="I3478" s="2">
        <v>-1.0</v>
      </c>
      <c r="J3478" s="2" t="b">
        <v>0</v>
      </c>
      <c r="K3478" s="2" t="b">
        <v>0</v>
      </c>
      <c r="L3478" s="2" t="b">
        <v>0</v>
      </c>
      <c r="M3478" s="2" t="b">
        <v>0</v>
      </c>
      <c r="N3478" s="2" t="s">
        <v>33</v>
      </c>
      <c r="O3478" s="2">
        <v>30.0</v>
      </c>
      <c r="P3478" s="2">
        <v>4.0</v>
      </c>
      <c r="Q3478" s="2">
        <v>10.0</v>
      </c>
      <c r="R3478" s="2">
        <v>0.0</v>
      </c>
      <c r="S3478" s="3" t="s">
        <v>14162</v>
      </c>
      <c r="T3478" s="2" t="s">
        <v>14163</v>
      </c>
      <c r="Y3478" s="4" t="str">
        <f>IFERROR(__xludf.DUMMYFUNCTION("""COMPUTED_VALUE"""),"6.9157838")</f>
        <v>6.9157838</v>
      </c>
      <c r="Z3478" s="4" t="str">
        <f>IFERROR(__xludf.DUMMYFUNCTION("""COMPUTED_VALUE"""),"3.8960811")</f>
        <v>3.8960811</v>
      </c>
      <c r="AA3478" s="4" t="str">
        <f t="shared" si="1"/>
        <v>Not Neighbor</v>
      </c>
      <c r="AC3478" s="4">
        <f>IFERROR(__xludf.DUMMYFUNCTION("IFERROR(ABS(O3478-AVERAGE(FILTER(O3478:O7546,AA3478:AA7546=""Neighbor""))) / STDEV(FILTER(O3478:O7546, AA3478:AA7546 =""Neighbor"")), """")"),0.4926823468601684)</f>
        <v>0.4926823469</v>
      </c>
      <c r="AF3478" s="2">
        <f>IFERROR(__xludf.DUMMYFUNCTION("IFERROR(ABS(R3478-AVERAGE(FILTER(R3478:R7546,AA3478:AA7546=""Neighbor""))) / STDEV(FILTER(R3478:R7546, AA3478:AA7546 =""Neighbor"")), """")"),0.3397411141859183)</f>
        <v>0.3397411142</v>
      </c>
    </row>
    <row r="3479">
      <c r="A3479" s="2" t="s">
        <v>28</v>
      </c>
      <c r="B3479" s="2" t="s">
        <v>5384</v>
      </c>
      <c r="C3479" s="2" t="s">
        <v>6009</v>
      </c>
      <c r="D3479" s="2" t="s">
        <v>14164</v>
      </c>
      <c r="E3479" s="2" t="s">
        <v>14165</v>
      </c>
      <c r="F3479" s="2">
        <v>176.0</v>
      </c>
      <c r="G3479" s="2">
        <v>508.0</v>
      </c>
      <c r="H3479" s="2" t="b">
        <v>1</v>
      </c>
      <c r="I3479" s="2">
        <v>-1.0</v>
      </c>
      <c r="J3479" s="2" t="b">
        <v>0</v>
      </c>
      <c r="K3479" s="2" t="b">
        <v>0</v>
      </c>
      <c r="L3479" s="2" t="b">
        <v>0</v>
      </c>
      <c r="M3479" s="2" t="b">
        <v>0</v>
      </c>
      <c r="N3479" s="2" t="s">
        <v>33</v>
      </c>
      <c r="O3479" s="2">
        <v>113.0</v>
      </c>
      <c r="P3479" s="2">
        <v>15.0</v>
      </c>
      <c r="Q3479" s="2">
        <v>46.0</v>
      </c>
      <c r="R3479" s="2">
        <v>1.0</v>
      </c>
      <c r="S3479" s="3" t="s">
        <v>14166</v>
      </c>
      <c r="T3479" s="2" t="s">
        <v>14167</v>
      </c>
      <c r="Y3479" s="4" t="str">
        <f>IFERROR(__xludf.DUMMYFUNCTION("""COMPUTED_VALUE"""),"6.9304634")</f>
        <v>6.9304634</v>
      </c>
      <c r="Z3479" s="4" t="str">
        <f>IFERROR(__xludf.DUMMYFUNCTION("""COMPUTED_VALUE"""),"3.9172807")</f>
        <v>3.9172807</v>
      </c>
      <c r="AA3479" s="4" t="str">
        <f t="shared" si="1"/>
        <v>Neighbor</v>
      </c>
      <c r="AC3479" s="4">
        <f>IFERROR(__xludf.DUMMYFUNCTION("IFERROR(ABS(O3479-AVERAGE(FILTER(O3479:O7547,AA3479:AA7547=""Neighbor""))) / STDEV(FILTER(O3479:O7547, AA3479:AA7547 =""Neighbor"")), """")"),2.063808119819795)</f>
        <v>2.06380812</v>
      </c>
      <c r="AF3479" s="2">
        <f>IFERROR(__xludf.DUMMYFUNCTION("IFERROR(ABS(R3479-AVERAGE(FILTER(R3479:R7547,AA3479:AA7547=""Neighbor""))) / STDEV(FILTER(R3479:R7547, AA3479:AA7547 =""Neighbor"")), """")"),0.7828816979066814)</f>
        <v>0.7828816979</v>
      </c>
    </row>
    <row r="3480">
      <c r="A3480" s="2" t="s">
        <v>28</v>
      </c>
      <c r="B3480" s="2" t="s">
        <v>5384</v>
      </c>
      <c r="C3480" s="2" t="s">
        <v>6009</v>
      </c>
      <c r="D3480" s="2" t="s">
        <v>14168</v>
      </c>
      <c r="E3480" s="2" t="s">
        <v>14169</v>
      </c>
      <c r="F3480" s="2">
        <v>124.0</v>
      </c>
      <c r="G3480" s="2">
        <v>201.0</v>
      </c>
      <c r="H3480" s="2" t="b">
        <v>1</v>
      </c>
      <c r="I3480" s="2">
        <v>-1.0</v>
      </c>
      <c r="J3480" s="2" t="b">
        <v>0</v>
      </c>
      <c r="K3480" s="2" t="b">
        <v>0</v>
      </c>
      <c r="L3480" s="2" t="b">
        <v>0</v>
      </c>
      <c r="M3480" s="2" t="b">
        <v>0</v>
      </c>
      <c r="N3480" s="2" t="s">
        <v>33</v>
      </c>
      <c r="O3480" s="2">
        <v>94.0</v>
      </c>
      <c r="P3480" s="2">
        <v>6.0</v>
      </c>
      <c r="Q3480" s="2">
        <v>21.0</v>
      </c>
      <c r="R3480" s="2">
        <v>0.0</v>
      </c>
      <c r="S3480" s="3" t="s">
        <v>14170</v>
      </c>
      <c r="T3480" s="2" t="s">
        <v>14171</v>
      </c>
      <c r="Y3480" s="4" t="str">
        <f>IFERROR(__xludf.DUMMYFUNCTION("""COMPUTED_VALUE"""),"6.9289869")</f>
        <v>6.9289869</v>
      </c>
      <c r="Z3480" s="4" t="str">
        <f>IFERROR(__xludf.DUMMYFUNCTION("""COMPUTED_VALUE"""),"3.9190062")</f>
        <v>3.9190062</v>
      </c>
      <c r="AA3480" s="4" t="str">
        <f t="shared" si="1"/>
        <v>Not Neighbor</v>
      </c>
      <c r="AC3480" s="4">
        <f>IFERROR(__xludf.DUMMYFUNCTION("IFERROR(ABS(O3480-AVERAGE(FILTER(O3480:O7548,AA3480:AA7548=""Neighbor""))) / STDEV(FILTER(O3480:O7548, AA3480:AA7548 =""Neighbor"")), """")"),1.4985870703549022)</f>
        <v>1.49858707</v>
      </c>
      <c r="AF3480" s="2">
        <f>IFERROR(__xludf.DUMMYFUNCTION("IFERROR(ABS(R3480-AVERAGE(FILTER(R3480:R7548,AA3480:AA7548=""Neighbor""))) / STDEV(FILTER(R3480:R7548, AA3480:AA7548 =""Neighbor"")), """")"),0.3360066659971856)</f>
        <v>0.336006666</v>
      </c>
    </row>
    <row r="3481">
      <c r="A3481" s="2" t="s">
        <v>28</v>
      </c>
      <c r="B3481" s="2" t="s">
        <v>5384</v>
      </c>
      <c r="C3481" s="2" t="s">
        <v>6058</v>
      </c>
      <c r="D3481" s="2" t="s">
        <v>14172</v>
      </c>
      <c r="E3481" s="2" t="s">
        <v>14173</v>
      </c>
      <c r="F3481" s="2">
        <v>95.0</v>
      </c>
      <c r="G3481" s="2">
        <v>750.0</v>
      </c>
      <c r="H3481" s="2" t="b">
        <v>1</v>
      </c>
      <c r="I3481" s="2">
        <v>-1.0</v>
      </c>
      <c r="J3481" s="2" t="b">
        <v>0</v>
      </c>
      <c r="K3481" s="2" t="b">
        <v>0</v>
      </c>
      <c r="L3481" s="2" t="b">
        <v>0</v>
      </c>
      <c r="M3481" s="2" t="b">
        <v>0</v>
      </c>
      <c r="N3481" s="2" t="s">
        <v>33</v>
      </c>
      <c r="O3481" s="2">
        <v>32.0</v>
      </c>
      <c r="P3481" s="2">
        <v>9.0</v>
      </c>
      <c r="Q3481" s="2">
        <v>46.0</v>
      </c>
      <c r="R3481" s="2">
        <v>0.0</v>
      </c>
      <c r="S3481" s="3" t="s">
        <v>14174</v>
      </c>
      <c r="T3481" s="2" t="s">
        <v>14175</v>
      </c>
      <c r="Y3481" s="4" t="str">
        <f>IFERROR(__xludf.DUMMYFUNCTION("""COMPUTED_VALUE"""),"6.9348849")</f>
        <v>6.9348849</v>
      </c>
      <c r="Z3481" s="4" t="str">
        <f>IFERROR(__xludf.DUMMYFUNCTION("""COMPUTED_VALUE"""),"3.8830587")</f>
        <v>3.8830587</v>
      </c>
      <c r="AA3481" s="4" t="str">
        <f t="shared" si="1"/>
        <v>Not Neighbor</v>
      </c>
      <c r="AC3481" s="4">
        <f>IFERROR(__xludf.DUMMYFUNCTION("IFERROR(ABS(O3481-AVERAGE(FILTER(O3481:O7549,AA3481:AA7549=""Neighbor""))) / STDEV(FILTER(O3481:O7549, AA3481:AA7549 =""Neighbor"")), """")"),0.42508261481245396)</f>
        <v>0.4250826148</v>
      </c>
      <c r="AF3481" s="2">
        <f>IFERROR(__xludf.DUMMYFUNCTION("IFERROR(ABS(R3481-AVERAGE(FILTER(R3481:R7549,AA3481:AA7549=""Neighbor""))) / STDEV(FILTER(R3481:R7549, AA3481:AA7549 =""Neighbor"")), """")"),0.3360066659971856)</f>
        <v>0.336006666</v>
      </c>
    </row>
    <row r="3482">
      <c r="A3482" s="2" t="s">
        <v>28</v>
      </c>
      <c r="B3482" s="2" t="s">
        <v>5384</v>
      </c>
      <c r="C3482" s="2" t="s">
        <v>6058</v>
      </c>
      <c r="D3482" s="2" t="s">
        <v>14176</v>
      </c>
      <c r="E3482" s="2" t="s">
        <v>14177</v>
      </c>
      <c r="F3482" s="2">
        <v>66.0</v>
      </c>
      <c r="G3482" s="2">
        <v>161.0</v>
      </c>
      <c r="H3482" s="2" t="b">
        <v>1</v>
      </c>
      <c r="I3482" s="2">
        <v>-1.0</v>
      </c>
      <c r="J3482" s="2" t="b">
        <v>0</v>
      </c>
      <c r="K3482" s="2" t="b">
        <v>0</v>
      </c>
      <c r="L3482" s="2" t="b">
        <v>0</v>
      </c>
      <c r="M3482" s="2" t="b">
        <v>0</v>
      </c>
      <c r="N3482" s="2" t="s">
        <v>33</v>
      </c>
      <c r="O3482" s="2">
        <v>14.0</v>
      </c>
      <c r="P3482" s="2">
        <v>11.0</v>
      </c>
      <c r="Q3482" s="2">
        <v>30.0</v>
      </c>
      <c r="R3482" s="2">
        <v>0.0</v>
      </c>
      <c r="S3482" s="3" t="s">
        <v>14178</v>
      </c>
      <c r="T3482" s="2" t="s">
        <v>14179</v>
      </c>
      <c r="Y3482" s="4" t="str">
        <f>IFERROR(__xludf.DUMMYFUNCTION("""COMPUTED_VALUE"""),"6.9269085")</f>
        <v>6.9269085</v>
      </c>
      <c r="Z3482" s="4" t="str">
        <f>IFERROR(__xludf.DUMMYFUNCTION("""COMPUTED_VALUE"""),"3.8451731")</f>
        <v>3.8451731</v>
      </c>
      <c r="AA3482" s="4" t="str">
        <f t="shared" si="1"/>
        <v>Not Neighbor</v>
      </c>
      <c r="AC3482" s="4">
        <f>IFERROR(__xludf.DUMMYFUNCTION("IFERROR(ABS(O3482-AVERAGE(FILTER(O3482:O7550,AA3482:AA7550=""Neighbor""))) / STDEV(FILTER(O3482:O7550, AA3482:AA7550 =""Neighbor"")), """")"),0.9835673621191058)</f>
        <v>0.9835673621</v>
      </c>
      <c r="AF3482" s="2">
        <f>IFERROR(__xludf.DUMMYFUNCTION("IFERROR(ABS(R3482-AVERAGE(FILTER(R3482:R7550,AA3482:AA7550=""Neighbor""))) / STDEV(FILTER(R3482:R7550, AA3482:AA7550 =""Neighbor"")), """")"),0.3360066659971856)</f>
        <v>0.336006666</v>
      </c>
    </row>
    <row r="3483">
      <c r="A3483" s="2" t="s">
        <v>28</v>
      </c>
      <c r="B3483" s="2" t="s">
        <v>5384</v>
      </c>
      <c r="C3483" s="2" t="s">
        <v>5385</v>
      </c>
      <c r="D3483" s="2" t="s">
        <v>14180</v>
      </c>
      <c r="E3483" s="2" t="s">
        <v>14181</v>
      </c>
      <c r="F3483" s="2">
        <v>67.0</v>
      </c>
      <c r="G3483" s="2">
        <v>171.0</v>
      </c>
      <c r="H3483" s="2" t="b">
        <v>1</v>
      </c>
      <c r="I3483" s="2">
        <v>-1.0</v>
      </c>
      <c r="J3483" s="2" t="b">
        <v>0</v>
      </c>
      <c r="K3483" s="2" t="b">
        <v>0</v>
      </c>
      <c r="L3483" s="2" t="b">
        <v>0</v>
      </c>
      <c r="M3483" s="2" t="b">
        <v>0</v>
      </c>
      <c r="N3483" s="2" t="s">
        <v>33</v>
      </c>
      <c r="O3483" s="2">
        <v>35.0</v>
      </c>
      <c r="P3483" s="2">
        <v>5.0</v>
      </c>
      <c r="Q3483" s="2">
        <v>21.0</v>
      </c>
      <c r="R3483" s="2">
        <v>0.0</v>
      </c>
      <c r="S3483" s="3" t="s">
        <v>14182</v>
      </c>
      <c r="T3483" s="2" t="s">
        <v>14183</v>
      </c>
      <c r="Y3483" s="4" t="str">
        <f>IFERROR(__xludf.DUMMYFUNCTION("""COMPUTED_VALUE"""),"6.9951883")</f>
        <v>6.9951883</v>
      </c>
      <c r="Z3483" s="4" t="str">
        <f>IFERROR(__xludf.DUMMYFUNCTION("""COMPUTED_VALUE"""),"4.013361")</f>
        <v>4.013361</v>
      </c>
      <c r="AA3483" s="4" t="str">
        <f t="shared" si="1"/>
        <v>Neighbor</v>
      </c>
      <c r="AC3483" s="4">
        <f>IFERROR(__xludf.DUMMYFUNCTION("IFERROR(ABS(O3483-AVERAGE(FILTER(O3483:O7551,AA3483:AA7551=""Neighbor""))) / STDEV(FILTER(O3483:O7551, AA3483:AA7551 =""Neighbor"")), """")"),0.33200182359467867)</f>
        <v>0.3320018236</v>
      </c>
      <c r="AF3483" s="2">
        <f>IFERROR(__xludf.DUMMYFUNCTION("IFERROR(ABS(R3483-AVERAGE(FILTER(R3483:R7551,AA3483:AA7551=""Neighbor""))) / STDEV(FILTER(R3483:R7551, AA3483:AA7551 =""Neighbor"")), """")"),0.3360066659971856)</f>
        <v>0.336006666</v>
      </c>
    </row>
    <row r="3484">
      <c r="A3484" s="2" t="s">
        <v>28</v>
      </c>
      <c r="B3484" s="2" t="s">
        <v>5384</v>
      </c>
      <c r="C3484" s="2" t="s">
        <v>5385</v>
      </c>
      <c r="D3484" s="2" t="s">
        <v>14184</v>
      </c>
      <c r="E3484" s="2" t="s">
        <v>14185</v>
      </c>
      <c r="F3484" s="2">
        <v>91.0</v>
      </c>
      <c r="G3484" s="2">
        <v>207.0</v>
      </c>
      <c r="H3484" s="2" t="b">
        <v>1</v>
      </c>
      <c r="I3484" s="2">
        <v>-1.0</v>
      </c>
      <c r="J3484" s="2" t="b">
        <v>0</v>
      </c>
      <c r="K3484" s="2" t="b">
        <v>0</v>
      </c>
      <c r="L3484" s="2" t="b">
        <v>0</v>
      </c>
      <c r="M3484" s="2" t="b">
        <v>0</v>
      </c>
      <c r="N3484" s="2" t="s">
        <v>33</v>
      </c>
      <c r="O3484" s="2">
        <v>61.0</v>
      </c>
      <c r="P3484" s="2">
        <v>2.0</v>
      </c>
      <c r="Q3484" s="2">
        <v>19.0</v>
      </c>
      <c r="R3484" s="2">
        <v>0.0</v>
      </c>
      <c r="S3484" s="3" t="s">
        <v>14186</v>
      </c>
      <c r="T3484" s="2" t="s">
        <v>14187</v>
      </c>
      <c r="Y3484" s="4" t="str">
        <f>IFERROR(__xludf.DUMMYFUNCTION("""COMPUTED_VALUE"""),"6.9951883")</f>
        <v>6.9951883</v>
      </c>
      <c r="Z3484" s="4" t="str">
        <f>IFERROR(__xludf.DUMMYFUNCTION("""COMPUTED_VALUE"""),"4.013361")</f>
        <v>4.013361</v>
      </c>
      <c r="AA3484" s="4" t="str">
        <f t="shared" si="1"/>
        <v>Neighbor</v>
      </c>
      <c r="AC3484" s="4">
        <f>IFERROR(__xludf.DUMMYFUNCTION("IFERROR(ABS(O3484-AVERAGE(FILTER(O3484:O7552,AA3484:AA7552=""Neighbor""))) / STDEV(FILTER(O3484:O7552, AA3484:AA7552 =""Neighbor"")), """")"),0.47229690270306485)</f>
        <v>0.4722969027</v>
      </c>
      <c r="AF3484" s="2">
        <f>IFERROR(__xludf.DUMMYFUNCTION("IFERROR(ABS(R3484-AVERAGE(FILTER(R3484:R7552,AA3484:AA7552=""Neighbor""))) / STDEV(FILTER(R3484:R7552, AA3484:AA7552 =""Neighbor"")), """")"),0.3368304428274272)</f>
        <v>0.3368304428</v>
      </c>
    </row>
    <row r="3485">
      <c r="A3485" s="2" t="s">
        <v>28</v>
      </c>
      <c r="B3485" s="2" t="s">
        <v>5384</v>
      </c>
      <c r="C3485" s="2" t="s">
        <v>5385</v>
      </c>
      <c r="D3485" s="2" t="s">
        <v>14188</v>
      </c>
      <c r="E3485" s="2" t="s">
        <v>14189</v>
      </c>
      <c r="F3485" s="2">
        <v>56.0</v>
      </c>
      <c r="G3485" s="2">
        <v>117.0</v>
      </c>
      <c r="H3485" s="2" t="b">
        <v>1</v>
      </c>
      <c r="I3485" s="2">
        <v>-1.0</v>
      </c>
      <c r="J3485" s="2" t="b">
        <v>0</v>
      </c>
      <c r="K3485" s="2" t="b">
        <v>0</v>
      </c>
      <c r="L3485" s="2" t="b">
        <v>0</v>
      </c>
      <c r="M3485" s="2" t="b">
        <v>0</v>
      </c>
      <c r="N3485" s="2" t="s">
        <v>33</v>
      </c>
      <c r="O3485" s="2">
        <v>40.0</v>
      </c>
      <c r="P3485" s="2">
        <v>1.0</v>
      </c>
      <c r="Q3485" s="2">
        <v>8.0</v>
      </c>
      <c r="R3485" s="2">
        <v>0.0</v>
      </c>
      <c r="S3485" s="3" t="s">
        <v>14190</v>
      </c>
      <c r="T3485" s="2" t="s">
        <v>14191</v>
      </c>
      <c r="Y3485" s="4" t="str">
        <f>IFERROR(__xludf.DUMMYFUNCTION("""COMPUTED_VALUE"""),"6.9951883")</f>
        <v>6.9951883</v>
      </c>
      <c r="Z3485" s="4" t="str">
        <f>IFERROR(__xludf.DUMMYFUNCTION("""COMPUTED_VALUE"""),"4.013361")</f>
        <v>4.013361</v>
      </c>
      <c r="AA3485" s="4" t="str">
        <f t="shared" si="1"/>
        <v>Neighbor</v>
      </c>
      <c r="AC3485" s="4">
        <f>IFERROR(__xludf.DUMMYFUNCTION("IFERROR(ABS(O3485-AVERAGE(FILTER(O3485:O7553,AA3485:AA7553=""Neighbor""))) / STDEV(FILTER(O3485:O7553, AA3485:AA7553 =""Neighbor"")), """")"),0.1755818751267438)</f>
        <v>0.1755818751</v>
      </c>
      <c r="AF3485" s="2">
        <f>IFERROR(__xludf.DUMMYFUNCTION("IFERROR(ABS(R3485-AVERAGE(FILTER(R3485:R7553,AA3485:AA7553=""Neighbor""))) / STDEV(FILTER(R3485:R7553, AA3485:AA7553 =""Neighbor"")), """")"),0.33766031163481586)</f>
        <v>0.3376603116</v>
      </c>
    </row>
    <row r="3486">
      <c r="A3486" s="2" t="s">
        <v>28</v>
      </c>
      <c r="B3486" s="2" t="s">
        <v>5384</v>
      </c>
      <c r="C3486" s="2" t="s">
        <v>5385</v>
      </c>
      <c r="D3486" s="2" t="s">
        <v>14192</v>
      </c>
      <c r="E3486" s="2" t="s">
        <v>14193</v>
      </c>
      <c r="F3486" s="2">
        <v>80.0</v>
      </c>
      <c r="G3486" s="2">
        <v>261.0</v>
      </c>
      <c r="H3486" s="2" t="b">
        <v>1</v>
      </c>
      <c r="I3486" s="2">
        <v>-1.0</v>
      </c>
      <c r="J3486" s="2" t="b">
        <v>0</v>
      </c>
      <c r="K3486" s="2" t="b">
        <v>0</v>
      </c>
      <c r="L3486" s="2" t="b">
        <v>0</v>
      </c>
      <c r="M3486" s="2" t="b">
        <v>0</v>
      </c>
      <c r="N3486" s="2" t="s">
        <v>33</v>
      </c>
      <c r="O3486" s="2">
        <v>45.0</v>
      </c>
      <c r="P3486" s="2">
        <v>6.0</v>
      </c>
      <c r="Q3486" s="2">
        <v>21.0</v>
      </c>
      <c r="R3486" s="2">
        <v>0.0</v>
      </c>
      <c r="S3486" s="3" t="s">
        <v>14194</v>
      </c>
      <c r="T3486" s="2" t="s">
        <v>14195</v>
      </c>
      <c r="Y3486" s="4" t="str">
        <f>IFERROR(__xludf.DUMMYFUNCTION("""COMPUTED_VALUE"""),"6.9930608")</f>
        <v>6.9930608</v>
      </c>
      <c r="Z3486" s="4" t="str">
        <f>IFERROR(__xludf.DUMMYFUNCTION("""COMPUTED_VALUE"""),"4.0052929")</f>
        <v>4.0052929</v>
      </c>
      <c r="AA3486" s="4" t="str">
        <f t="shared" si="1"/>
        <v>Not Neighbor</v>
      </c>
      <c r="AC3486" s="4">
        <f>IFERROR(__xludf.DUMMYFUNCTION("IFERROR(ABS(O3486-AVERAGE(FILTER(O3486:O7554,AA3486:AA7554=""Neighbor""))) / STDEV(FILTER(O3486:O7554, AA3486:AA7554 =""Neighbor"")), """")"),0.02175699236696271)</f>
        <v>0.02175699237</v>
      </c>
      <c r="AF3486" s="2">
        <f>IFERROR(__xludf.DUMMYFUNCTION("IFERROR(ABS(R3486-AVERAGE(FILTER(R3486:R7554,AA3486:AA7554=""Neighbor""))) / STDEV(FILTER(R3486:R7554, AA3486:AA7554 =""Neighbor"")), """")"),0.33849634791265865)</f>
        <v>0.3384963479</v>
      </c>
    </row>
    <row r="3487">
      <c r="A3487" s="2" t="s">
        <v>28</v>
      </c>
      <c r="B3487" s="2" t="s">
        <v>5384</v>
      </c>
      <c r="C3487" s="2" t="s">
        <v>5430</v>
      </c>
      <c r="D3487" s="2" t="s">
        <v>14196</v>
      </c>
      <c r="E3487" s="2" t="s">
        <v>14197</v>
      </c>
      <c r="F3487" s="2">
        <v>31.0</v>
      </c>
      <c r="G3487" s="2">
        <v>70.0</v>
      </c>
      <c r="H3487" s="2" t="b">
        <v>1</v>
      </c>
      <c r="I3487" s="2">
        <v>-1.0</v>
      </c>
      <c r="J3487" s="2" t="b">
        <v>0</v>
      </c>
      <c r="K3487" s="2" t="b">
        <v>0</v>
      </c>
      <c r="L3487" s="2" t="b">
        <v>0</v>
      </c>
      <c r="M3487" s="2" t="b">
        <v>0</v>
      </c>
      <c r="N3487" s="2" t="s">
        <v>33</v>
      </c>
      <c r="O3487" s="2">
        <v>22.0</v>
      </c>
      <c r="P3487" s="2">
        <v>2.0</v>
      </c>
      <c r="Q3487" s="2">
        <v>4.0</v>
      </c>
      <c r="R3487" s="2">
        <v>0.0</v>
      </c>
      <c r="S3487" s="3" t="s">
        <v>14198</v>
      </c>
      <c r="T3487" s="2" t="s">
        <v>14199</v>
      </c>
      <c r="Y3487" s="4" t="str">
        <f>IFERROR(__xludf.DUMMYFUNCTION("""COMPUTED_VALUE"""),"6.9873835")</f>
        <v>6.9873835</v>
      </c>
      <c r="Z3487" s="4" t="str">
        <f>IFERROR(__xludf.DUMMYFUNCTION("""COMPUTED_VALUE"""),"3.9852916")</f>
        <v>3.9852916</v>
      </c>
      <c r="AA3487" s="4" t="str">
        <f t="shared" si="1"/>
        <v>Neighbor</v>
      </c>
      <c r="AC3487" s="4">
        <f>IFERROR(__xludf.DUMMYFUNCTION("IFERROR(ABS(O3487-AVERAGE(FILTER(O3487:O7555,AA3487:AA7555=""Neighbor""))) / STDEV(FILTER(O3487:O7555, AA3487:AA7555 =""Neighbor"")), """")"),0.7312001865099462)</f>
        <v>0.7312001865</v>
      </c>
      <c r="AF3487" s="2">
        <f>IFERROR(__xludf.DUMMYFUNCTION("IFERROR(ABS(R3487-AVERAGE(FILTER(R3487:R7555,AA3487:AA7555=""Neighbor""))) / STDEV(FILTER(R3487:R7555, AA3487:AA7555 =""Neighbor"")), """")"),0.33849634791265865)</f>
        <v>0.3384963479</v>
      </c>
    </row>
    <row r="3488">
      <c r="A3488" s="2" t="s">
        <v>28</v>
      </c>
      <c r="B3488" s="2" t="s">
        <v>5384</v>
      </c>
      <c r="C3488" s="2" t="s">
        <v>5430</v>
      </c>
      <c r="D3488" s="2" t="s">
        <v>14200</v>
      </c>
      <c r="E3488" s="2" t="s">
        <v>14201</v>
      </c>
      <c r="F3488" s="2">
        <v>111.0</v>
      </c>
      <c r="G3488" s="2">
        <v>239.0</v>
      </c>
      <c r="H3488" s="2" t="b">
        <v>1</v>
      </c>
      <c r="I3488" s="2">
        <v>-1.0</v>
      </c>
      <c r="J3488" s="2" t="b">
        <v>0</v>
      </c>
      <c r="K3488" s="2" t="b">
        <v>0</v>
      </c>
      <c r="L3488" s="2" t="b">
        <v>0</v>
      </c>
      <c r="M3488" s="2" t="b">
        <v>0</v>
      </c>
      <c r="N3488" s="2" t="s">
        <v>33</v>
      </c>
      <c r="O3488" s="2">
        <v>74.0</v>
      </c>
      <c r="P3488" s="2">
        <v>5.0</v>
      </c>
      <c r="Q3488" s="2">
        <v>29.0</v>
      </c>
      <c r="R3488" s="2">
        <v>0.0</v>
      </c>
      <c r="S3488" s="3" t="s">
        <v>14202</v>
      </c>
      <c r="T3488" s="2" t="s">
        <v>14203</v>
      </c>
      <c r="Y3488" s="4" t="str">
        <f>IFERROR(__xludf.DUMMYFUNCTION("""COMPUTED_VALUE"""),"6.9921782")</f>
        <v>6.9921782</v>
      </c>
      <c r="Z3488" s="4" t="str">
        <f>IFERROR(__xludf.DUMMYFUNCTION("""COMPUTED_VALUE"""),"3.9906597")</f>
        <v>3.9906597</v>
      </c>
      <c r="AA3488" s="4" t="str">
        <f t="shared" si="1"/>
        <v>Not Neighbor</v>
      </c>
      <c r="AC3488" s="4">
        <f>IFERROR(__xludf.DUMMYFUNCTION("IFERROR(ABS(O3488-AVERAGE(FILTER(O3488:O7556,AA3488:AA7556=""Neighbor""))) / STDEV(FILTER(O3488:O7556, AA3488:AA7556 =""Neighbor"")), """")"),0.8685742437520783)</f>
        <v>0.8685742438</v>
      </c>
      <c r="AF3488" s="2">
        <f>IFERROR(__xludf.DUMMYFUNCTION("IFERROR(ABS(R3488-AVERAGE(FILTER(R3488:R7556,AA3488:AA7556=""Neighbor""))) / STDEV(FILTER(R3488:R7556, AA3488:AA7556 =""Neighbor"")), """")"),0.3393386284710885)</f>
        <v>0.3393386285</v>
      </c>
    </row>
    <row r="3489">
      <c r="A3489" s="2" t="s">
        <v>28</v>
      </c>
      <c r="B3489" s="2" t="s">
        <v>5384</v>
      </c>
      <c r="C3489" s="2" t="s">
        <v>5430</v>
      </c>
      <c r="D3489" s="2" t="s">
        <v>14204</v>
      </c>
      <c r="E3489" s="2" t="s">
        <v>14205</v>
      </c>
      <c r="F3489" s="2">
        <v>67.0</v>
      </c>
      <c r="G3489" s="2">
        <v>139.0</v>
      </c>
      <c r="H3489" s="2" t="b">
        <v>1</v>
      </c>
      <c r="I3489" s="2">
        <v>-1.0</v>
      </c>
      <c r="J3489" s="2" t="b">
        <v>1</v>
      </c>
      <c r="K3489" s="2" t="b">
        <v>1</v>
      </c>
      <c r="L3489" s="2" t="b">
        <v>0</v>
      </c>
      <c r="M3489" s="2" t="b">
        <v>0</v>
      </c>
      <c r="N3489" s="2" t="s">
        <v>33</v>
      </c>
      <c r="O3489" s="2">
        <v>51.0</v>
      </c>
      <c r="P3489" s="2">
        <v>2.0</v>
      </c>
      <c r="Q3489" s="2">
        <v>10.0</v>
      </c>
      <c r="R3489" s="2">
        <v>0.0</v>
      </c>
      <c r="S3489" s="3" t="s">
        <v>14206</v>
      </c>
      <c r="T3489" s="2" t="s">
        <v>14207</v>
      </c>
      <c r="Y3489" s="4" t="str">
        <f>IFERROR(__xludf.DUMMYFUNCTION("""COMPUTED_VALUE"""),"6.9771007")</f>
        <v>6.9771007</v>
      </c>
      <c r="Z3489" s="4" t="str">
        <f>IFERROR(__xludf.DUMMYFUNCTION("""COMPUTED_VALUE"""),"3.9850849")</f>
        <v>3.9850849</v>
      </c>
      <c r="AA3489" s="4" t="str">
        <f t="shared" si="1"/>
        <v>Not Neighbor</v>
      </c>
      <c r="AC3489" s="4">
        <f>IFERROR(__xludf.DUMMYFUNCTION("IFERROR(ABS(O3489-AVERAGE(FILTER(O3489:O7557,AA3489:AA7557=""Neighbor""))) / STDEV(FILTER(O3489:O7557, AA3489:AA7557 =""Neighbor"")), """")"),0.15986961502086458)</f>
        <v>0.159869615</v>
      </c>
      <c r="AF3489" s="2">
        <f>IFERROR(__xludf.DUMMYFUNCTION("IFERROR(ABS(R3489-AVERAGE(FILTER(R3489:R7557,AA3489:AA7557=""Neighbor""))) / STDEV(FILTER(R3489:R7557, AA3489:AA7557 =""Neighbor"")), """")"),0.3393386284710885)</f>
        <v>0.3393386285</v>
      </c>
    </row>
    <row r="3490">
      <c r="A3490" s="2" t="s">
        <v>28</v>
      </c>
      <c r="B3490" s="2" t="s">
        <v>5384</v>
      </c>
      <c r="C3490" s="2" t="s">
        <v>5685</v>
      </c>
      <c r="D3490" s="2" t="s">
        <v>14208</v>
      </c>
      <c r="E3490" s="2" t="s">
        <v>14209</v>
      </c>
      <c r="F3490" s="2">
        <v>44.0</v>
      </c>
      <c r="G3490" s="2">
        <v>132.0</v>
      </c>
      <c r="H3490" s="2" t="b">
        <v>1</v>
      </c>
      <c r="I3490" s="2">
        <v>-1.0</v>
      </c>
      <c r="J3490" s="2" t="b">
        <v>0</v>
      </c>
      <c r="K3490" s="2" t="b">
        <v>0</v>
      </c>
      <c r="L3490" s="2" t="b">
        <v>0</v>
      </c>
      <c r="M3490" s="2" t="b">
        <v>0</v>
      </c>
      <c r="N3490" s="2" t="s">
        <v>33</v>
      </c>
      <c r="O3490" s="2">
        <v>31.0</v>
      </c>
      <c r="P3490" s="2">
        <v>3.0</v>
      </c>
      <c r="Q3490" s="2">
        <v>7.0</v>
      </c>
      <c r="R3490" s="2">
        <v>0.0</v>
      </c>
      <c r="S3490" s="3" t="s">
        <v>14210</v>
      </c>
      <c r="T3490" s="2" t="s">
        <v>14211</v>
      </c>
      <c r="Y3490" s="4" t="str">
        <f>IFERROR(__xludf.DUMMYFUNCTION("""COMPUTED_VALUE"""),"6.9570781")</f>
        <v>6.9570781</v>
      </c>
      <c r="Z3490" s="4" t="str">
        <f>IFERROR(__xludf.DUMMYFUNCTION("""COMPUTED_VALUE"""),"4.0049458")</f>
        <v>4.0049458</v>
      </c>
      <c r="AA3490" s="4" t="str">
        <f t="shared" si="1"/>
        <v>Not Neighbor</v>
      </c>
      <c r="AC3490" s="4">
        <f>IFERROR(__xludf.DUMMYFUNCTION("IFERROR(ABS(O3490-AVERAGE(FILTER(O3490:O7558,AA3490:AA7558=""Neighbor""))) / STDEV(FILTER(O3490:O7558, AA3490:AA7558 =""Neighbor"")), """")"),0.4563952795280169)</f>
        <v>0.4563952795</v>
      </c>
      <c r="AF3490" s="2">
        <f>IFERROR(__xludf.DUMMYFUNCTION("IFERROR(ABS(R3490-AVERAGE(FILTER(R3490:R7558,AA3490:AA7558=""Neighbor""))) / STDEV(FILTER(R3490:R7558, AA3490:AA7558 =""Neighbor"")), """")"),0.3393386284710885)</f>
        <v>0.3393386285</v>
      </c>
    </row>
    <row r="3491">
      <c r="A3491" s="2" t="s">
        <v>28</v>
      </c>
      <c r="B3491" s="2" t="s">
        <v>5384</v>
      </c>
      <c r="C3491" s="2" t="s">
        <v>5774</v>
      </c>
      <c r="D3491" s="2" t="s">
        <v>14212</v>
      </c>
      <c r="E3491" s="2" t="s">
        <v>14213</v>
      </c>
      <c r="F3491" s="2">
        <v>29.0</v>
      </c>
      <c r="G3491" s="2">
        <v>74.0</v>
      </c>
      <c r="H3491" s="2" t="b">
        <v>1</v>
      </c>
      <c r="I3491" s="2">
        <v>-1.0</v>
      </c>
      <c r="J3491" s="2" t="b">
        <v>0</v>
      </c>
      <c r="K3491" s="2" t="b">
        <v>0</v>
      </c>
      <c r="L3491" s="2" t="b">
        <v>0</v>
      </c>
      <c r="M3491" s="2" t="b">
        <v>0</v>
      </c>
      <c r="N3491" s="2" t="s">
        <v>33</v>
      </c>
      <c r="O3491" s="2">
        <v>16.0</v>
      </c>
      <c r="P3491" s="2">
        <v>6.0</v>
      </c>
      <c r="Q3491" s="2">
        <v>5.0</v>
      </c>
      <c r="R3491" s="2">
        <v>0.0</v>
      </c>
      <c r="S3491" s="3" t="s">
        <v>14214</v>
      </c>
      <c r="T3491" s="2" t="s">
        <v>14215</v>
      </c>
      <c r="Y3491" s="4" t="str">
        <f>IFERROR(__xludf.DUMMYFUNCTION("""COMPUTED_VALUE"""),"6.9525673")</f>
        <v>6.9525673</v>
      </c>
      <c r="Z3491" s="4" t="str">
        <f>IFERROR(__xludf.DUMMYFUNCTION("""COMPUTED_VALUE"""),"3.9827405")</f>
        <v>3.9827405</v>
      </c>
      <c r="AA3491" s="4" t="str">
        <f t="shared" si="1"/>
        <v>Neighbor</v>
      </c>
      <c r="AC3491" s="4">
        <f>IFERROR(__xludf.DUMMYFUNCTION("IFERROR(ABS(O3491-AVERAGE(FILTER(O3491:O7559,AA3491:AA7559=""Neighbor""))) / STDEV(FILTER(O3491:O7559, AA3491:AA7559 =""Neighbor"")), """")"),0.918593950439678)</f>
        <v>0.9185939504</v>
      </c>
      <c r="AF3491" s="2">
        <f>IFERROR(__xludf.DUMMYFUNCTION("IFERROR(ABS(R3491-AVERAGE(FILTER(R3491:R7559,AA3491:AA7559=""Neighbor""))) / STDEV(FILTER(R3491:R7559, AA3491:AA7559 =""Neighbor"")), """")"),0.3393386284710885)</f>
        <v>0.3393386285</v>
      </c>
    </row>
    <row r="3492">
      <c r="A3492" s="2" t="s">
        <v>28</v>
      </c>
      <c r="B3492" s="2" t="s">
        <v>5384</v>
      </c>
      <c r="C3492" s="2" t="s">
        <v>5774</v>
      </c>
      <c r="D3492" s="2" t="s">
        <v>14216</v>
      </c>
      <c r="E3492" s="2" t="s">
        <v>14217</v>
      </c>
      <c r="F3492" s="2">
        <v>46.0</v>
      </c>
      <c r="G3492" s="2">
        <v>121.0</v>
      </c>
      <c r="H3492" s="2" t="b">
        <v>1</v>
      </c>
      <c r="I3492" s="2">
        <v>-1.0</v>
      </c>
      <c r="J3492" s="2" t="b">
        <v>0</v>
      </c>
      <c r="K3492" s="2" t="b">
        <v>0</v>
      </c>
      <c r="L3492" s="2" t="b">
        <v>0</v>
      </c>
      <c r="M3492" s="2" t="b">
        <v>0</v>
      </c>
      <c r="N3492" s="2" t="s">
        <v>33</v>
      </c>
      <c r="O3492" s="2">
        <v>0.0</v>
      </c>
      <c r="P3492" s="2">
        <v>0.0</v>
      </c>
      <c r="Q3492" s="2">
        <v>0.0</v>
      </c>
      <c r="R3492" s="2">
        <v>0.0</v>
      </c>
      <c r="S3492" s="3" t="s">
        <v>14218</v>
      </c>
      <c r="T3492" s="2" t="s">
        <v>14219</v>
      </c>
      <c r="Y3492" s="4" t="str">
        <f>IFERROR(__xludf.DUMMYFUNCTION("""COMPUTED_VALUE"""),"6.9525673")</f>
        <v>6.9525673</v>
      </c>
      <c r="Z3492" s="4" t="str">
        <f>IFERROR(__xludf.DUMMYFUNCTION("""COMPUTED_VALUE"""),"3.9827405")</f>
        <v>3.9827405</v>
      </c>
      <c r="AA3492" s="4" t="str">
        <f t="shared" si="1"/>
        <v>Not Neighbor</v>
      </c>
      <c r="AC3492" s="4">
        <f>IFERROR(__xludf.DUMMYFUNCTION("IFERROR(ABS(O3492-AVERAGE(FILTER(O3492:O7560,AA3492:AA7560=""Neighbor""))) / STDEV(FILTER(O3492:O7560, AA3492:AA7560 =""Neighbor"")), """")"),1.41525583629068)</f>
        <v>1.415255836</v>
      </c>
      <c r="AF3492" s="2">
        <f>IFERROR(__xludf.DUMMYFUNCTION("IFERROR(ABS(R3492-AVERAGE(FILTER(R3492:R7560,AA3492:AA7560=""Neighbor""))) / STDEV(FILTER(R3492:R7560, AA3492:AA7560 =""Neighbor"")), """")"),0.3401872314667558)</f>
        <v>0.3401872315</v>
      </c>
    </row>
    <row r="3493">
      <c r="A3493" s="2" t="s">
        <v>28</v>
      </c>
      <c r="B3493" s="2" t="s">
        <v>5384</v>
      </c>
      <c r="C3493" s="2" t="s">
        <v>5774</v>
      </c>
      <c r="D3493" s="2" t="s">
        <v>14220</v>
      </c>
      <c r="E3493" s="2" t="s">
        <v>14221</v>
      </c>
      <c r="F3493" s="2">
        <v>50.0</v>
      </c>
      <c r="G3493" s="2">
        <v>172.0</v>
      </c>
      <c r="H3493" s="2" t="b">
        <v>1</v>
      </c>
      <c r="I3493" s="2">
        <v>-1.0</v>
      </c>
      <c r="J3493" s="2" t="b">
        <v>0</v>
      </c>
      <c r="K3493" s="2" t="b">
        <v>0</v>
      </c>
      <c r="L3493" s="2" t="b">
        <v>0</v>
      </c>
      <c r="M3493" s="2" t="b">
        <v>0</v>
      </c>
      <c r="N3493" s="2" t="s">
        <v>33</v>
      </c>
      <c r="O3493" s="2">
        <v>20.0</v>
      </c>
      <c r="P3493" s="2">
        <v>11.0</v>
      </c>
      <c r="Q3493" s="2">
        <v>13.0</v>
      </c>
      <c r="R3493" s="2">
        <v>0.0</v>
      </c>
      <c r="S3493" s="3" t="s">
        <v>14222</v>
      </c>
      <c r="T3493" s="2" t="s">
        <v>14223</v>
      </c>
      <c r="Y3493" s="4" t="str">
        <f>IFERROR(__xludf.DUMMYFUNCTION("""COMPUTED_VALUE"""),"6.9641915")</f>
        <v>6.9641915</v>
      </c>
      <c r="Z3493" s="4" t="str">
        <f>IFERROR(__xludf.DUMMYFUNCTION("""COMPUTED_VALUE"""),"3.9981819")</f>
        <v>3.9981819</v>
      </c>
      <c r="AA3493" s="4" t="str">
        <f t="shared" si="1"/>
        <v>Not Neighbor</v>
      </c>
      <c r="AC3493" s="4">
        <f>IFERROR(__xludf.DUMMYFUNCTION("IFERROR(ABS(O3493-AVERAGE(FILTER(O3493:O7561,AA3493:AA7561=""Neighbor""))) / STDEV(FILTER(O3493:O7561, AA3493:AA7561 =""Neighbor"")), """")"),0.7992032957876781)</f>
        <v>0.7992032958</v>
      </c>
      <c r="AF3493" s="2">
        <f>IFERROR(__xludf.DUMMYFUNCTION("IFERROR(ABS(R3493-AVERAGE(FILTER(R3493:R7561,AA3493:AA7561=""Neighbor""))) / STDEV(FILTER(R3493:R7561, AA3493:AA7561 =""Neighbor"")), """")"),0.3401872314667558)</f>
        <v>0.3401872315</v>
      </c>
    </row>
    <row r="3494">
      <c r="A3494" s="2" t="s">
        <v>28</v>
      </c>
      <c r="B3494" s="2" t="s">
        <v>5384</v>
      </c>
      <c r="C3494" s="2" t="s">
        <v>5774</v>
      </c>
      <c r="D3494" s="2" t="s">
        <v>14224</v>
      </c>
      <c r="E3494" s="2" t="s">
        <v>14225</v>
      </c>
      <c r="F3494" s="2">
        <v>126.0</v>
      </c>
      <c r="G3494" s="2">
        <v>584.0</v>
      </c>
      <c r="H3494" s="2" t="b">
        <v>1</v>
      </c>
      <c r="I3494" s="2">
        <v>-1.0</v>
      </c>
      <c r="J3494" s="2" t="b">
        <v>0</v>
      </c>
      <c r="K3494" s="2" t="b">
        <v>0</v>
      </c>
      <c r="L3494" s="2" t="b">
        <v>0</v>
      </c>
      <c r="M3494" s="2" t="b">
        <v>0</v>
      </c>
      <c r="N3494" s="2" t="s">
        <v>33</v>
      </c>
      <c r="O3494" s="2">
        <v>75.0</v>
      </c>
      <c r="P3494" s="2">
        <v>37.0</v>
      </c>
      <c r="Q3494" s="2">
        <v>11.0</v>
      </c>
      <c r="R3494" s="2">
        <v>0.0</v>
      </c>
      <c r="S3494" s="3" t="s">
        <v>14226</v>
      </c>
      <c r="T3494" s="2" t="s">
        <v>14227</v>
      </c>
      <c r="Y3494" s="4" t="str">
        <f>IFERROR(__xludf.DUMMYFUNCTION("""COMPUTED_VALUE"""),"6.9750448")</f>
        <v>6.9750448</v>
      </c>
      <c r="Z3494" s="4" t="str">
        <f>IFERROR(__xludf.DUMMYFUNCTION("""COMPUTED_VALUE"""),"4.0011903")</f>
        <v>4.0011903</v>
      </c>
      <c r="AA3494" s="4" t="str">
        <f t="shared" si="1"/>
        <v>Not Neighbor</v>
      </c>
      <c r="AC3494" s="4">
        <f>IFERROR(__xludf.DUMMYFUNCTION("IFERROR(ABS(O3494-AVERAGE(FILTER(O3494:O7562,AA3494:AA7562=""Neighbor""))) / STDEV(FILTER(O3494:O7562, AA3494:AA7562 =""Neighbor"")), """")"),0.8949411905955772)</f>
        <v>0.8949411906</v>
      </c>
      <c r="AF3494" s="2">
        <f>IFERROR(__xludf.DUMMYFUNCTION("IFERROR(ABS(R3494-AVERAGE(FILTER(R3494:R7562,AA3494:AA7562=""Neighbor""))) / STDEV(FILTER(R3494:R7562, AA3494:AA7562 =""Neighbor"")), """")"),0.3401872314667558)</f>
        <v>0.3401872315</v>
      </c>
    </row>
    <row r="3495">
      <c r="A3495" s="2" t="s">
        <v>28</v>
      </c>
      <c r="B3495" s="2" t="s">
        <v>5384</v>
      </c>
      <c r="C3495" s="2" t="s">
        <v>5774</v>
      </c>
      <c r="D3495" s="2" t="s">
        <v>14228</v>
      </c>
      <c r="E3495" s="2" t="s">
        <v>14229</v>
      </c>
      <c r="F3495" s="2">
        <v>154.0</v>
      </c>
      <c r="G3495" s="2">
        <v>750.0</v>
      </c>
      <c r="H3495" s="2" t="b">
        <v>1</v>
      </c>
      <c r="I3495" s="2">
        <v>-1.0</v>
      </c>
      <c r="J3495" s="2" t="b">
        <v>0</v>
      </c>
      <c r="K3495" s="2" t="b">
        <v>0</v>
      </c>
      <c r="L3495" s="2" t="b">
        <v>0</v>
      </c>
      <c r="M3495" s="2" t="b">
        <v>0</v>
      </c>
      <c r="N3495" s="2" t="s">
        <v>33</v>
      </c>
      <c r="O3495" s="2">
        <v>92.0</v>
      </c>
      <c r="P3495" s="2">
        <v>35.0</v>
      </c>
      <c r="Q3495" s="2">
        <v>18.0</v>
      </c>
      <c r="R3495" s="2">
        <v>0.0</v>
      </c>
      <c r="S3495" s="3" t="s">
        <v>14230</v>
      </c>
      <c r="T3495" s="2" t="s">
        <v>14231</v>
      </c>
      <c r="Y3495" s="4" t="str">
        <f>IFERROR(__xludf.DUMMYFUNCTION("""COMPUTED_VALUE"""),"6.9589439")</f>
        <v>6.9589439</v>
      </c>
      <c r="Z3495" s="4" t="str">
        <f>IFERROR(__xludf.DUMMYFUNCTION("""COMPUTED_VALUE"""),"3.9811462")</f>
        <v>3.9811462</v>
      </c>
      <c r="AA3495" s="4" t="str">
        <f t="shared" si="1"/>
        <v>Neighbor</v>
      </c>
      <c r="AC3495" s="4">
        <f>IFERROR(__xludf.DUMMYFUNCTION("IFERROR(ABS(O3495-AVERAGE(FILTER(O3495:O7563,AA3495:AA7563=""Neighbor""))) / STDEV(FILTER(O3495:O7563, AA3495:AA7563 =""Neighbor"")), """")"),1.4185858500231288)</f>
        <v>1.41858585</v>
      </c>
      <c r="AF3495" s="2">
        <f>IFERROR(__xludf.DUMMYFUNCTION("IFERROR(ABS(R3495-AVERAGE(FILTER(R3495:R7563,AA3495:AA7563=""Neighbor""))) / STDEV(FILTER(R3495:R7563, AA3495:AA7563 =""Neighbor"")), """")"),0.3401872314667558)</f>
        <v>0.3401872315</v>
      </c>
    </row>
    <row r="3496">
      <c r="A3496" s="2" t="s">
        <v>28</v>
      </c>
      <c r="B3496" s="2" t="s">
        <v>5384</v>
      </c>
      <c r="C3496" s="2" t="s">
        <v>5774</v>
      </c>
      <c r="D3496" s="2" t="s">
        <v>14232</v>
      </c>
      <c r="E3496" s="2" t="s">
        <v>14233</v>
      </c>
      <c r="F3496" s="2">
        <v>43.0</v>
      </c>
      <c r="G3496" s="2">
        <v>116.0</v>
      </c>
      <c r="H3496" s="2" t="b">
        <v>1</v>
      </c>
      <c r="I3496" s="2">
        <v>-1.0</v>
      </c>
      <c r="J3496" s="2" t="b">
        <v>0</v>
      </c>
      <c r="K3496" s="2" t="b">
        <v>0</v>
      </c>
      <c r="L3496" s="2" t="b">
        <v>0</v>
      </c>
      <c r="M3496" s="2" t="b">
        <v>0</v>
      </c>
      <c r="N3496" s="2" t="s">
        <v>33</v>
      </c>
      <c r="O3496" s="2">
        <v>33.0</v>
      </c>
      <c r="P3496" s="2">
        <v>6.0</v>
      </c>
      <c r="Q3496" s="2">
        <v>2.0</v>
      </c>
      <c r="R3496" s="2">
        <v>0.0</v>
      </c>
      <c r="S3496" s="3" t="s">
        <v>14234</v>
      </c>
      <c r="T3496" s="2" t="s">
        <v>14235</v>
      </c>
      <c r="Y3496" s="4" t="str">
        <f>IFERROR(__xludf.DUMMYFUNCTION("""COMPUTED_VALUE"""),"6.9525673")</f>
        <v>6.9525673</v>
      </c>
      <c r="Z3496" s="4" t="str">
        <f>IFERROR(__xludf.DUMMYFUNCTION("""COMPUTED_VALUE"""),"3.9827405")</f>
        <v>3.9827405</v>
      </c>
      <c r="AA3496" s="4" t="str">
        <f t="shared" si="1"/>
        <v>Not Neighbor</v>
      </c>
      <c r="AC3496" s="4">
        <f>IFERROR(__xludf.DUMMYFUNCTION("IFERROR(ABS(O3496-AVERAGE(FILTER(O3496:O7564,AA3496:AA7564=""Neighbor""))) / STDEV(FILTER(O3496:O7564, AA3496:AA7564 =""Neighbor"")), """")"),0.3932642574636972)</f>
        <v>0.3932642575</v>
      </c>
      <c r="AF3496" s="2">
        <f>IFERROR(__xludf.DUMMYFUNCTION("IFERROR(ABS(R3496-AVERAGE(FILTER(R3496:R7564,AA3496:AA7564=""Neighbor""))) / STDEV(FILTER(R3496:R7564, AA3496:AA7564 =""Neighbor"")), """")"),0.3410422364333434)</f>
        <v>0.3410422364</v>
      </c>
    </row>
    <row r="3497">
      <c r="A3497" s="2" t="s">
        <v>28</v>
      </c>
      <c r="B3497" s="2" t="s">
        <v>5384</v>
      </c>
      <c r="C3497" s="2" t="s">
        <v>5875</v>
      </c>
      <c r="D3497" s="2" t="s">
        <v>14236</v>
      </c>
      <c r="E3497" s="2" t="s">
        <v>14237</v>
      </c>
      <c r="F3497" s="2">
        <v>203.0</v>
      </c>
      <c r="G3497" s="2">
        <v>612.0</v>
      </c>
      <c r="H3497" s="2" t="b">
        <v>1</v>
      </c>
      <c r="I3497" s="2">
        <v>-1.0</v>
      </c>
      <c r="J3497" s="2" t="b">
        <v>0</v>
      </c>
      <c r="K3497" s="2" t="b">
        <v>0</v>
      </c>
      <c r="L3497" s="2" t="b">
        <v>0</v>
      </c>
      <c r="M3497" s="2" t="b">
        <v>0</v>
      </c>
      <c r="N3497" s="2" t="s">
        <v>33</v>
      </c>
      <c r="O3497" s="2">
        <v>139.0</v>
      </c>
      <c r="P3497" s="2">
        <v>24.0</v>
      </c>
      <c r="Q3497" s="2">
        <v>32.0</v>
      </c>
      <c r="R3497" s="2">
        <v>0.0</v>
      </c>
      <c r="S3497" s="3" t="s">
        <v>14238</v>
      </c>
      <c r="T3497" s="2" t="s">
        <v>14239</v>
      </c>
      <c r="Y3497" s="4" t="str">
        <f>IFERROR(__xludf.DUMMYFUNCTION("""COMPUTED_VALUE"""),"6.9528224")</f>
        <v>6.9528224</v>
      </c>
      <c r="Z3497" s="4" t="str">
        <f>IFERROR(__xludf.DUMMYFUNCTION("""COMPUTED_VALUE"""),"3.9521382")</f>
        <v>3.9521382</v>
      </c>
      <c r="AA3497" s="4" t="str">
        <f t="shared" si="1"/>
        <v>Neighbor</v>
      </c>
      <c r="AC3497" s="4">
        <f>IFERROR(__xludf.DUMMYFUNCTION("IFERROR(ABS(O3497-AVERAGE(FILTER(O3497:O7565,AA3497:AA7565=""Neighbor""))) / STDEV(FILTER(O3497:O7565, AA3497:AA7565 =""Neighbor"")), """")"),2.879420820811461)</f>
        <v>2.879420821</v>
      </c>
      <c r="AF3497" s="2">
        <f>IFERROR(__xludf.DUMMYFUNCTION("IFERROR(ABS(R3497-AVERAGE(FILTER(R3497:R7565,AA3497:AA7565=""Neighbor""))) / STDEV(FILTER(R3497:R7565, AA3497:AA7565 =""Neighbor"")), """")"),0.3410422364333434)</f>
        <v>0.3410422364</v>
      </c>
    </row>
    <row r="3498">
      <c r="A3498" s="2" t="s">
        <v>28</v>
      </c>
      <c r="B3498" s="2" t="s">
        <v>5384</v>
      </c>
      <c r="C3498" s="2" t="s">
        <v>5875</v>
      </c>
      <c r="D3498" s="2" t="s">
        <v>14240</v>
      </c>
      <c r="E3498" s="2" t="s">
        <v>14241</v>
      </c>
      <c r="F3498" s="2">
        <v>137.0</v>
      </c>
      <c r="G3498" s="2">
        <v>224.0</v>
      </c>
      <c r="H3498" s="2" t="b">
        <v>1</v>
      </c>
      <c r="I3498" s="2">
        <v>-1.0</v>
      </c>
      <c r="J3498" s="2" t="b">
        <v>0</v>
      </c>
      <c r="K3498" s="2" t="b">
        <v>0</v>
      </c>
      <c r="L3498" s="2" t="b">
        <v>0</v>
      </c>
      <c r="M3498" s="2" t="b">
        <v>0</v>
      </c>
      <c r="N3498" s="2" t="s">
        <v>33</v>
      </c>
      <c r="O3498" s="2">
        <v>79.0</v>
      </c>
      <c r="P3498" s="2">
        <v>8.0</v>
      </c>
      <c r="Q3498" s="2">
        <v>42.0</v>
      </c>
      <c r="R3498" s="2">
        <v>0.0</v>
      </c>
      <c r="S3498" s="3" t="s">
        <v>14242</v>
      </c>
      <c r="T3498" s="2" t="s">
        <v>14243</v>
      </c>
      <c r="Y3498" s="4" t="str">
        <f>IFERROR(__xludf.DUMMYFUNCTION("""COMPUTED_VALUE"""),"6.9528224")</f>
        <v>6.9528224</v>
      </c>
      <c r="Z3498" s="4" t="str">
        <f>IFERROR(__xludf.DUMMYFUNCTION("""COMPUTED_VALUE"""),"3.9521382")</f>
        <v>3.9521382</v>
      </c>
      <c r="AA3498" s="4" t="str">
        <f t="shared" si="1"/>
        <v>Not Neighbor</v>
      </c>
      <c r="AC3498" s="4">
        <f>IFERROR(__xludf.DUMMYFUNCTION("IFERROR(ABS(O3498-AVERAGE(FILTER(O3498:O7566,AA3498:AA7566=""Neighbor""))) / STDEV(FILTER(O3498:O7566, AA3498:AA7566 =""Neighbor"")), """")"),1.0578975336298413)</f>
        <v>1.057897534</v>
      </c>
      <c r="AF3498" s="2">
        <f>IFERROR(__xludf.DUMMYFUNCTION("IFERROR(ABS(R3498-AVERAGE(FILTER(R3498:R7566,AA3498:AA7566=""Neighbor""))) / STDEV(FILTER(R3498:R7566, AA3498:AA7566 =""Neighbor"")), """")"),0.34190372431292776)</f>
        <v>0.3419037243</v>
      </c>
    </row>
    <row r="3499">
      <c r="A3499" s="2" t="s">
        <v>28</v>
      </c>
      <c r="B3499" s="2" t="s">
        <v>5384</v>
      </c>
      <c r="C3499" s="2" t="s">
        <v>5875</v>
      </c>
      <c r="D3499" s="2" t="s">
        <v>14244</v>
      </c>
      <c r="E3499" s="2" t="s">
        <v>14245</v>
      </c>
      <c r="F3499" s="2">
        <v>162.0</v>
      </c>
      <c r="G3499" s="2">
        <v>433.0</v>
      </c>
      <c r="H3499" s="2" t="b">
        <v>1</v>
      </c>
      <c r="I3499" s="2">
        <v>-1.0</v>
      </c>
      <c r="J3499" s="2" t="b">
        <v>0</v>
      </c>
      <c r="K3499" s="2" t="b">
        <v>1</v>
      </c>
      <c r="L3499" s="2" t="b">
        <v>0</v>
      </c>
      <c r="M3499" s="2" t="b">
        <v>0</v>
      </c>
      <c r="N3499" s="2" t="s">
        <v>33</v>
      </c>
      <c r="O3499" s="2">
        <v>139.0</v>
      </c>
      <c r="P3499" s="2">
        <v>10.0</v>
      </c>
      <c r="Q3499" s="2">
        <v>4.0</v>
      </c>
      <c r="R3499" s="2">
        <v>0.0</v>
      </c>
      <c r="S3499" s="3" t="s">
        <v>14246</v>
      </c>
      <c r="T3499" s="2" t="s">
        <v>14247</v>
      </c>
      <c r="Y3499" s="4" t="str">
        <f>IFERROR(__xludf.DUMMYFUNCTION("""COMPUTED_VALUE"""),"6.6272242")</f>
        <v>6.6272242</v>
      </c>
      <c r="Z3499" s="4" t="str">
        <f>IFERROR(__xludf.DUMMYFUNCTION("""COMPUTED_VALUE"""),"3.5051226")</f>
        <v>3.5051226</v>
      </c>
      <c r="AA3499" s="4" t="str">
        <f t="shared" si="1"/>
        <v>Not Neighbor</v>
      </c>
      <c r="AC3499" s="4">
        <f>IFERROR(__xludf.DUMMYFUNCTION("IFERROR(ABS(O3499-AVERAGE(FILTER(O3499:O7567,AA3499:AA7567=""Neighbor""))) / STDEV(FILTER(O3499:O7567, AA3499:AA7567 =""Neighbor"")), """")"),2.942157072681778)</f>
        <v>2.942157073</v>
      </c>
      <c r="AF3499" s="2">
        <f>IFERROR(__xludf.DUMMYFUNCTION("IFERROR(ABS(R3499-AVERAGE(FILTER(R3499:R7567,AA3499:AA7567=""Neighbor""))) / STDEV(FILTER(R3499:R7567, AA3499:AA7567 =""Neighbor"")), """")"),0.34190372431292776)</f>
        <v>0.3419037243</v>
      </c>
    </row>
    <row r="3500">
      <c r="A3500" s="2" t="s">
        <v>28</v>
      </c>
      <c r="B3500" s="2" t="s">
        <v>5384</v>
      </c>
      <c r="C3500" s="2" t="s">
        <v>5875</v>
      </c>
      <c r="D3500" s="2" t="s">
        <v>14248</v>
      </c>
      <c r="E3500" s="2" t="s">
        <v>14249</v>
      </c>
      <c r="F3500" s="2">
        <v>123.0</v>
      </c>
      <c r="G3500" s="2">
        <v>192.0</v>
      </c>
      <c r="H3500" s="2" t="b">
        <v>1</v>
      </c>
      <c r="I3500" s="2">
        <v>-1.0</v>
      </c>
      <c r="J3500" s="2" t="b">
        <v>1</v>
      </c>
      <c r="K3500" s="2" t="b">
        <v>0</v>
      </c>
      <c r="L3500" s="2" t="b">
        <v>0</v>
      </c>
      <c r="M3500" s="2" t="b">
        <v>0</v>
      </c>
      <c r="N3500" s="2" t="s">
        <v>33</v>
      </c>
      <c r="O3500" s="2">
        <v>66.0</v>
      </c>
      <c r="P3500" s="2">
        <v>26.0</v>
      </c>
      <c r="Q3500" s="2">
        <v>24.0</v>
      </c>
      <c r="R3500" s="2">
        <v>1.0</v>
      </c>
      <c r="S3500" s="3" t="s">
        <v>14250</v>
      </c>
      <c r="T3500" s="2" t="s">
        <v>14251</v>
      </c>
      <c r="Y3500" s="4" t="str">
        <f>IFERROR(__xludf.DUMMYFUNCTION("""COMPUTED_VALUE"""),"6.9492863")</f>
        <v>6.9492863</v>
      </c>
      <c r="Z3500" s="4" t="str">
        <f>IFERROR(__xludf.DUMMYFUNCTION("""COMPUTED_VALUE"""),"3.9494381")</f>
        <v>3.9494381</v>
      </c>
      <c r="AA3500" s="4" t="str">
        <f t="shared" si="1"/>
        <v>Not Neighbor</v>
      </c>
      <c r="AC3500" s="4">
        <f>IFERROR(__xludf.DUMMYFUNCTION("IFERROR(ABS(O3500-AVERAGE(FILTER(O3500:O7568,AA3500:AA7568=""Neighbor""))) / STDEV(FILTER(O3500:O7568, AA3500:AA7568 =""Neighbor"")), """")"),0.6496413001685882)</f>
        <v>0.6496413002</v>
      </c>
      <c r="AF3500" s="2">
        <f>IFERROR(__xludf.DUMMYFUNCTION("IFERROR(ABS(R3500-AVERAGE(FILTER(R3500:R7568,AA3500:AA7568=""Neighbor""))) / STDEV(FILTER(R3500:R7568, AA3500:AA7568 =""Neighbor"")), """")"),0.7642553837583091)</f>
        <v>0.7642553838</v>
      </c>
    </row>
    <row r="3501">
      <c r="A3501" s="2" t="s">
        <v>28</v>
      </c>
      <c r="B3501" s="2" t="s">
        <v>5384</v>
      </c>
      <c r="C3501" s="2" t="s">
        <v>5875</v>
      </c>
      <c r="D3501" s="2" t="s">
        <v>14252</v>
      </c>
      <c r="E3501" s="2" t="s">
        <v>14253</v>
      </c>
      <c r="F3501" s="2">
        <v>136.0</v>
      </c>
      <c r="G3501" s="2">
        <v>324.0</v>
      </c>
      <c r="H3501" s="2" t="b">
        <v>1</v>
      </c>
      <c r="I3501" s="2">
        <v>-1.0</v>
      </c>
      <c r="J3501" s="2" t="b">
        <v>1</v>
      </c>
      <c r="K3501" s="2" t="b">
        <v>0</v>
      </c>
      <c r="L3501" s="2" t="b">
        <v>0</v>
      </c>
      <c r="M3501" s="2" t="b">
        <v>0</v>
      </c>
      <c r="N3501" s="2" t="s">
        <v>33</v>
      </c>
      <c r="O3501" s="2">
        <v>83.0</v>
      </c>
      <c r="P3501" s="2">
        <v>33.0</v>
      </c>
      <c r="Q3501" s="2">
        <v>7.0</v>
      </c>
      <c r="R3501" s="2">
        <v>0.0</v>
      </c>
      <c r="S3501" s="3" t="s">
        <v>14254</v>
      </c>
      <c r="T3501" s="2" t="s">
        <v>14255</v>
      </c>
      <c r="Y3501" s="4" t="str">
        <f>IFERROR(__xludf.DUMMYFUNCTION("""COMPUTED_VALUE"""),"6.9621082")</f>
        <v>6.9621082</v>
      </c>
      <c r="Z3501" s="4" t="str">
        <f>IFERROR(__xludf.DUMMYFUNCTION("""COMPUTED_VALUE"""),"3.9430567")</f>
        <v>3.9430567</v>
      </c>
      <c r="AA3501" s="4" t="str">
        <f t="shared" si="1"/>
        <v>Neighbor</v>
      </c>
      <c r="AC3501" s="4">
        <f>IFERROR(__xludf.DUMMYFUNCTION("IFERROR(ABS(O3501-AVERAGE(FILTER(O3501:O7569,AA3501:AA7569=""Neighbor""))) / STDEV(FILTER(O3501:O7569, AA3501:AA7569 =""Neighbor"")), """")"),1.1835148362333037)</f>
        <v>1.183514836</v>
      </c>
      <c r="AF3501" s="2">
        <f>IFERROR(__xludf.DUMMYFUNCTION("IFERROR(ABS(R3501-AVERAGE(FILTER(R3501:R7569,AA3501:AA7569=""Neighbor""))) / STDEV(FILTER(R3501:R7569, AA3501:AA7569 =""Neighbor"")), """")"),0.34190372431292776)</f>
        <v>0.3419037243</v>
      </c>
    </row>
    <row r="3502">
      <c r="A3502" s="2" t="s">
        <v>28</v>
      </c>
      <c r="B3502" s="2" t="s">
        <v>5384</v>
      </c>
      <c r="C3502" s="2" t="s">
        <v>5875</v>
      </c>
      <c r="D3502" s="2" t="s">
        <v>14256</v>
      </c>
      <c r="E3502" s="2" t="s">
        <v>14257</v>
      </c>
      <c r="F3502" s="2">
        <v>73.0</v>
      </c>
      <c r="G3502" s="2">
        <v>150.0</v>
      </c>
      <c r="H3502" s="2" t="b">
        <v>1</v>
      </c>
      <c r="I3502" s="2">
        <v>-1.0</v>
      </c>
      <c r="J3502" s="2" t="b">
        <v>1</v>
      </c>
      <c r="K3502" s="2" t="b">
        <v>0</v>
      </c>
      <c r="L3502" s="2" t="b">
        <v>0</v>
      </c>
      <c r="M3502" s="2" t="b">
        <v>0</v>
      </c>
      <c r="N3502" s="2" t="s">
        <v>33</v>
      </c>
      <c r="O3502" s="2">
        <v>44.0</v>
      </c>
      <c r="P3502" s="2">
        <v>7.0</v>
      </c>
      <c r="Q3502" s="2">
        <v>15.0</v>
      </c>
      <c r="R3502" s="2">
        <v>1.0</v>
      </c>
      <c r="S3502" s="3" t="s">
        <v>14258</v>
      </c>
      <c r="T3502" s="2" t="s">
        <v>14259</v>
      </c>
      <c r="Y3502" s="4" t="str">
        <f>IFERROR(__xludf.DUMMYFUNCTION("""COMPUTED_VALUE"""),"6.9528224")</f>
        <v>6.9528224</v>
      </c>
      <c r="Z3502" s="4" t="str">
        <f>IFERROR(__xludf.DUMMYFUNCTION("""COMPUTED_VALUE"""),"3.9521382")</f>
        <v>3.9521382</v>
      </c>
      <c r="AA3502" s="4" t="str">
        <f t="shared" si="1"/>
        <v>Not Neighbor</v>
      </c>
      <c r="AC3502" s="4">
        <f>IFERROR(__xludf.DUMMYFUNCTION("IFERROR(ABS(O3502-AVERAGE(FILTER(O3502:O7570,AA3502:AA7570=""Neighbor""))) / STDEV(FILTER(O3502:O7570, AA3502:AA7570 =""Neighbor"")), """")"),0.03588320745421868)</f>
        <v>0.03588320745</v>
      </c>
      <c r="AF3502" s="2">
        <f>IFERROR(__xludf.DUMMYFUNCTION("IFERROR(ABS(R3502-AVERAGE(FILTER(R3502:R7570,AA3502:AA7570=""Neighbor""))) / STDEV(FILTER(R3502:R7570, AA3502:AA7570 =""Neighbor"")), """")"),0.7611549764812)</f>
        <v>0.7611549765</v>
      </c>
    </row>
    <row r="3503">
      <c r="A3503" s="2" t="s">
        <v>28</v>
      </c>
      <c r="B3503" s="2" t="s">
        <v>5384</v>
      </c>
      <c r="C3503" s="2" t="s">
        <v>5584</v>
      </c>
      <c r="D3503" s="2" t="s">
        <v>14260</v>
      </c>
      <c r="E3503" s="2" t="s">
        <v>14261</v>
      </c>
      <c r="F3503" s="2">
        <v>100.0</v>
      </c>
      <c r="G3503" s="2">
        <v>180.0</v>
      </c>
      <c r="H3503" s="2" t="b">
        <v>1</v>
      </c>
      <c r="I3503" s="2">
        <v>-1.0</v>
      </c>
      <c r="J3503" s="2" t="b">
        <v>0</v>
      </c>
      <c r="K3503" s="2" t="b">
        <v>0</v>
      </c>
      <c r="L3503" s="2" t="b">
        <v>0</v>
      </c>
      <c r="M3503" s="2" t="b">
        <v>0</v>
      </c>
      <c r="N3503" s="2" t="s">
        <v>33</v>
      </c>
      <c r="O3503" s="2">
        <v>84.0</v>
      </c>
      <c r="P3503" s="2">
        <v>0.0</v>
      </c>
      <c r="Q3503" s="2">
        <v>6.0</v>
      </c>
      <c r="R3503" s="2">
        <v>0.0</v>
      </c>
      <c r="S3503" s="3" t="s">
        <v>14262</v>
      </c>
      <c r="T3503" s="2" t="s">
        <v>14263</v>
      </c>
      <c r="Y3503" s="4" t="str">
        <f>IFERROR(__xludf.DUMMYFUNCTION("""COMPUTED_VALUE"""),"7.0332904")</f>
        <v>7.0332904</v>
      </c>
      <c r="Z3503" s="4" t="str">
        <f>IFERROR(__xludf.DUMMYFUNCTION("""COMPUTED_VALUE"""),"3.9470396")</f>
        <v>3.9470396</v>
      </c>
      <c r="AA3503" s="4" t="str">
        <f t="shared" si="1"/>
        <v>Neighbor</v>
      </c>
      <c r="AC3503" s="4">
        <f>IFERROR(__xludf.DUMMYFUNCTION("IFERROR(ABS(O3503-AVERAGE(FILTER(O3503:O7571,AA3503:AA7571=""Neighbor""))) / STDEV(FILTER(O3503:O7571, AA3503:AA7571 =""Neighbor"")), """")"),1.2214643817416029)</f>
        <v>1.221464382</v>
      </c>
      <c r="AF3503" s="2">
        <f>IFERROR(__xludf.DUMMYFUNCTION("IFERROR(ABS(R3503-AVERAGE(FILTER(R3503:R7571,AA3503:AA7571=""Neighbor""))) / STDEV(FILTER(R3503:R7571, AA3503:AA7571 =""Neighbor"")), """")"),0.34277177748822246)</f>
        <v>0.3427717775</v>
      </c>
    </row>
    <row r="3504">
      <c r="A3504" s="2" t="s">
        <v>28</v>
      </c>
      <c r="B3504" s="2" t="s">
        <v>5384</v>
      </c>
      <c r="C3504" s="2" t="s">
        <v>5584</v>
      </c>
      <c r="D3504" s="2" t="s">
        <v>14264</v>
      </c>
      <c r="E3504" s="2" t="s">
        <v>14265</v>
      </c>
      <c r="F3504" s="2">
        <v>61.0</v>
      </c>
      <c r="G3504" s="2">
        <v>330.0</v>
      </c>
      <c r="H3504" s="2" t="b">
        <v>1</v>
      </c>
      <c r="I3504" s="2">
        <v>-1.0</v>
      </c>
      <c r="J3504" s="2" t="b">
        <v>0</v>
      </c>
      <c r="K3504" s="2" t="b">
        <v>0</v>
      </c>
      <c r="L3504" s="2" t="b">
        <v>0</v>
      </c>
      <c r="M3504" s="2" t="b">
        <v>0</v>
      </c>
      <c r="N3504" s="2" t="s">
        <v>33</v>
      </c>
      <c r="O3504" s="2">
        <v>49.0</v>
      </c>
      <c r="P3504" s="2">
        <v>2.0</v>
      </c>
      <c r="Q3504" s="2">
        <v>4.0</v>
      </c>
      <c r="R3504" s="2">
        <v>0.0</v>
      </c>
      <c r="S3504" s="3" t="s">
        <v>14266</v>
      </c>
      <c r="T3504" s="2" t="s">
        <v>14267</v>
      </c>
      <c r="Y3504" s="4" t="str">
        <f>IFERROR(__xludf.DUMMYFUNCTION("""COMPUTED_VALUE"""),"7.0332904")</f>
        <v>7.0332904</v>
      </c>
      <c r="Z3504" s="4" t="str">
        <f>IFERROR(__xludf.DUMMYFUNCTION("""COMPUTED_VALUE"""),"3.9470396")</f>
        <v>3.9470396</v>
      </c>
      <c r="AA3504" s="4" t="str">
        <f t="shared" si="1"/>
        <v>Neighbor</v>
      </c>
      <c r="AC3504" s="4">
        <f>IFERROR(__xludf.DUMMYFUNCTION("IFERROR(ABS(O3504-AVERAGE(FILTER(O3504:O7572,AA3504:AA7572=""Neighbor""))) / STDEV(FILTER(O3504:O7572, AA3504:AA7572 =""Neighbor"")), """")"),0.12703438015481758)</f>
        <v>0.1270343802</v>
      </c>
      <c r="AF3504" s="2">
        <f>IFERROR(__xludf.DUMMYFUNCTION("IFERROR(ABS(R3504-AVERAGE(FILTER(R3504:R7572,AA3504:AA7572=""Neighbor""))) / STDEV(FILTER(R3504:R7572, AA3504:AA7572 =""Neighbor"")), """")"),0.34364647981572494)</f>
        <v>0.3436464798</v>
      </c>
    </row>
    <row r="3505">
      <c r="A3505" s="2" t="s">
        <v>28</v>
      </c>
      <c r="B3505" s="2" t="s">
        <v>5384</v>
      </c>
      <c r="C3505" s="2" t="s">
        <v>5584</v>
      </c>
      <c r="D3505" s="2" t="s">
        <v>14268</v>
      </c>
      <c r="E3505" s="2" t="s">
        <v>14269</v>
      </c>
      <c r="F3505" s="2">
        <v>66.0</v>
      </c>
      <c r="G3505" s="2">
        <v>401.0</v>
      </c>
      <c r="H3505" s="2" t="b">
        <v>1</v>
      </c>
      <c r="I3505" s="2">
        <v>-1.0</v>
      </c>
      <c r="J3505" s="2" t="b">
        <v>0</v>
      </c>
      <c r="K3505" s="2" t="b">
        <v>0</v>
      </c>
      <c r="L3505" s="2" t="b">
        <v>0</v>
      </c>
      <c r="M3505" s="2" t="b">
        <v>0</v>
      </c>
      <c r="N3505" s="2" t="s">
        <v>33</v>
      </c>
      <c r="O3505" s="2">
        <v>113.0</v>
      </c>
      <c r="P3505" s="2">
        <v>4.0</v>
      </c>
      <c r="Q3505" s="2">
        <v>7.0</v>
      </c>
      <c r="R3505" s="2">
        <v>0.0</v>
      </c>
      <c r="S3505" s="3" t="s">
        <v>14270</v>
      </c>
      <c r="T3505" s="2" t="s">
        <v>14271</v>
      </c>
      <c r="Y3505" s="4" t="str">
        <f>IFERROR(__xludf.DUMMYFUNCTION("""COMPUTED_VALUE"""),"7.0332904")</f>
        <v>7.0332904</v>
      </c>
      <c r="Z3505" s="4" t="str">
        <f>IFERROR(__xludf.DUMMYFUNCTION("""COMPUTED_VALUE"""),"3.9470396")</f>
        <v>3.9470396</v>
      </c>
      <c r="AA3505" s="4" t="str">
        <f t="shared" si="1"/>
        <v>Not Neighbor</v>
      </c>
      <c r="AC3505" s="4">
        <f>IFERROR(__xludf.DUMMYFUNCTION("IFERROR(ABS(O3505-AVERAGE(FILTER(O3505:O7573,AA3505:AA7573=""Neighbor""))) / STDEV(FILTER(O3505:O7573, AA3505:AA7573 =""Neighbor"")), """")"),2.1368314965918165)</f>
        <v>2.136831497</v>
      </c>
      <c r="AF3505" s="2">
        <f>IFERROR(__xludf.DUMMYFUNCTION("IFERROR(ABS(R3505-AVERAGE(FILTER(R3505:R7573,AA3505:AA7573=""Neighbor""))) / STDEV(FILTER(R3505:R7573, AA3505:AA7573 =""Neighbor"")), """")"),0.3445279166598025)</f>
        <v>0.3445279167</v>
      </c>
    </row>
    <row r="3506">
      <c r="A3506" s="2" t="s">
        <v>28</v>
      </c>
      <c r="B3506" s="2" t="s">
        <v>6144</v>
      </c>
      <c r="C3506" s="2" t="s">
        <v>6418</v>
      </c>
      <c r="D3506" s="2" t="s">
        <v>14272</v>
      </c>
      <c r="E3506" s="2" t="s">
        <v>14273</v>
      </c>
      <c r="F3506" s="2">
        <v>169.0</v>
      </c>
      <c r="G3506" s="2">
        <v>280.0</v>
      </c>
      <c r="H3506" s="2" t="b">
        <v>1</v>
      </c>
      <c r="I3506" s="2">
        <v>-1.0</v>
      </c>
      <c r="J3506" s="2" t="b">
        <v>1</v>
      </c>
      <c r="K3506" s="2" t="b">
        <v>0</v>
      </c>
      <c r="L3506" s="2" t="b">
        <v>0</v>
      </c>
      <c r="M3506" s="2" t="b">
        <v>0</v>
      </c>
      <c r="N3506" s="2" t="s">
        <v>33</v>
      </c>
      <c r="O3506" s="2">
        <v>109.0</v>
      </c>
      <c r="P3506" s="2">
        <v>13.0</v>
      </c>
      <c r="Q3506" s="2">
        <v>38.0</v>
      </c>
      <c r="R3506" s="2">
        <v>0.0</v>
      </c>
      <c r="S3506" s="3" t="s">
        <v>14274</v>
      </c>
      <c r="T3506" s="2" t="s">
        <v>14275</v>
      </c>
      <c r="Y3506" s="4" t="str">
        <f>IFERROR(__xludf.DUMMYFUNCTION("""COMPUTED_VALUE"""),"6.8389194")</f>
        <v>6.8389194</v>
      </c>
      <c r="Z3506" s="4" t="str">
        <f>IFERROR(__xludf.DUMMYFUNCTION("""COMPUTED_VALUE"""),"3.9687122")</f>
        <v>3.9687122</v>
      </c>
      <c r="AA3506" s="4" t="str">
        <f t="shared" si="1"/>
        <v>Neighbor</v>
      </c>
      <c r="AC3506" s="4">
        <f>IFERROR(__xludf.DUMMYFUNCTION("IFERROR(ABS(O3506-AVERAGE(FILTER(O3506:O7574,AA3506:AA7574=""Neighbor""))) / STDEV(FILTER(O3506:O7574, AA3506:AA7574 =""Neighbor"")), """")"),2.0112376626913764)</f>
        <v>2.011237663</v>
      </c>
      <c r="AF3506" s="2">
        <f>IFERROR(__xludf.DUMMYFUNCTION("IFERROR(ABS(R3506-AVERAGE(FILTER(R3506:R7574,AA3506:AA7574=""Neighbor""))) / STDEV(FILTER(R3506:R7574, AA3506:AA7574 =""Neighbor"")), """")"),0.3445279166598025)</f>
        <v>0.3445279167</v>
      </c>
    </row>
    <row r="3507">
      <c r="A3507" s="2" t="s">
        <v>28</v>
      </c>
      <c r="B3507" s="2" t="s">
        <v>6144</v>
      </c>
      <c r="C3507" s="2" t="s">
        <v>6418</v>
      </c>
      <c r="D3507" s="2" t="s">
        <v>14276</v>
      </c>
      <c r="E3507" s="2" t="s">
        <v>14277</v>
      </c>
      <c r="F3507" s="2">
        <v>142.0</v>
      </c>
      <c r="G3507" s="2">
        <v>240.0</v>
      </c>
      <c r="H3507" s="2" t="b">
        <v>1</v>
      </c>
      <c r="I3507" s="2">
        <v>-1.0</v>
      </c>
      <c r="J3507" s="2" t="b">
        <v>0</v>
      </c>
      <c r="K3507" s="2" t="b">
        <v>0</v>
      </c>
      <c r="L3507" s="2" t="b">
        <v>0</v>
      </c>
      <c r="M3507" s="2" t="b">
        <v>0</v>
      </c>
      <c r="N3507" s="2" t="s">
        <v>33</v>
      </c>
      <c r="O3507" s="2">
        <v>106.0</v>
      </c>
      <c r="P3507" s="2">
        <v>18.0</v>
      </c>
      <c r="Q3507" s="2">
        <v>10.0</v>
      </c>
      <c r="R3507" s="2">
        <v>0.0</v>
      </c>
      <c r="S3507" s="3" t="s">
        <v>14278</v>
      </c>
      <c r="T3507" s="2" t="s">
        <v>14279</v>
      </c>
      <c r="Y3507" s="4" t="str">
        <f>IFERROR(__xludf.DUMMYFUNCTION("""COMPUTED_VALUE"""),"6.8389194")</f>
        <v>6.8389194</v>
      </c>
      <c r="Z3507" s="4" t="str">
        <f>IFERROR(__xludf.DUMMYFUNCTION("""COMPUTED_VALUE"""),"3.9687122")</f>
        <v>3.9687122</v>
      </c>
      <c r="AA3507" s="4" t="str">
        <f t="shared" si="1"/>
        <v>Not Neighbor</v>
      </c>
      <c r="AC3507" s="4">
        <f>IFERROR(__xludf.DUMMYFUNCTION("IFERROR(ABS(O3507-AVERAGE(FILTER(O3507:O7575,AA3507:AA7575=""Neighbor""))) / STDEV(FILTER(O3507:O7575, AA3507:AA7575 =""Neighbor"")), """")"),1.9402275425308104)</f>
        <v>1.940227543</v>
      </c>
      <c r="AF3507" s="2">
        <f>IFERROR(__xludf.DUMMYFUNCTION("IFERROR(ABS(R3507-AVERAGE(FILTER(R3507:R7575,AA3507:AA7575=""Neighbor""))) / STDEV(FILTER(R3507:R7575, AA3507:AA7575 =""Neighbor"")), """")"),0.34541617492774696)</f>
        <v>0.3454161749</v>
      </c>
    </row>
    <row r="3508">
      <c r="A3508" s="2" t="s">
        <v>28</v>
      </c>
      <c r="B3508" s="2" t="s">
        <v>6144</v>
      </c>
      <c r="C3508" s="2" t="s">
        <v>6356</v>
      </c>
      <c r="D3508" s="2" t="s">
        <v>14280</v>
      </c>
      <c r="E3508" s="2" t="s">
        <v>14281</v>
      </c>
      <c r="F3508" s="2">
        <v>59.0</v>
      </c>
      <c r="G3508" s="2">
        <v>200.0</v>
      </c>
      <c r="H3508" s="2" t="b">
        <v>1</v>
      </c>
      <c r="I3508" s="2">
        <v>-1.0</v>
      </c>
      <c r="J3508" s="2" t="b">
        <v>0</v>
      </c>
      <c r="K3508" s="2" t="b">
        <v>0</v>
      </c>
      <c r="L3508" s="2" t="b">
        <v>0</v>
      </c>
      <c r="M3508" s="2" t="b">
        <v>0</v>
      </c>
      <c r="N3508" s="2" t="s">
        <v>33</v>
      </c>
      <c r="O3508" s="2">
        <v>18.0</v>
      </c>
      <c r="P3508" s="2">
        <v>23.0</v>
      </c>
      <c r="Q3508" s="2">
        <v>12.0</v>
      </c>
      <c r="R3508" s="2">
        <v>0.0</v>
      </c>
      <c r="S3508" s="3" t="s">
        <v>14282</v>
      </c>
      <c r="T3508" s="2" t="s">
        <v>14283</v>
      </c>
      <c r="Y3508" s="4" t="str">
        <f>IFERROR(__xludf.DUMMYFUNCTION("""COMPUTED_VALUE"""),"6.8012452")</f>
        <v>6.8012452</v>
      </c>
      <c r="Z3508" s="4" t="str">
        <f>IFERROR(__xludf.DUMMYFUNCTION("""COMPUTED_VALUE"""),"3.9531201")</f>
        <v>3.9531201</v>
      </c>
      <c r="AA3508" s="4" t="str">
        <f t="shared" si="1"/>
        <v>Not Neighbor</v>
      </c>
      <c r="AC3508" s="4">
        <f>IFERROR(__xludf.DUMMYFUNCTION("IFERROR(ABS(O3508-AVERAGE(FILTER(O3508:O7576,AA3508:AA7576=""Neighbor""))) / STDEV(FILTER(O3508:O7576, AA3508:AA7576 =""Neighbor"")), """")"),0.8427369253552175)</f>
        <v>0.8427369254</v>
      </c>
      <c r="AF3508" s="2">
        <f>IFERROR(__xludf.DUMMYFUNCTION("IFERROR(ABS(R3508-AVERAGE(FILTER(R3508:R7576,AA3508:AA7576=""Neighbor""))) / STDEV(FILTER(R3508:R7576, AA3508:AA7576 =""Neighbor"")), """")"),0.34541617492774696)</f>
        <v>0.3454161749</v>
      </c>
    </row>
    <row r="3509">
      <c r="A3509" s="2" t="s">
        <v>28</v>
      </c>
      <c r="B3509" s="2" t="s">
        <v>6144</v>
      </c>
      <c r="C3509" s="2" t="s">
        <v>6356</v>
      </c>
      <c r="D3509" s="2" t="s">
        <v>14284</v>
      </c>
      <c r="E3509" s="2" t="s">
        <v>14285</v>
      </c>
      <c r="F3509" s="2">
        <v>108.0</v>
      </c>
      <c r="G3509" s="2">
        <v>183.0</v>
      </c>
      <c r="H3509" s="2" t="b">
        <v>1</v>
      </c>
      <c r="I3509" s="2">
        <v>-1.0</v>
      </c>
      <c r="J3509" s="2" t="b">
        <v>0</v>
      </c>
      <c r="K3509" s="2" t="b">
        <v>0</v>
      </c>
      <c r="L3509" s="2" t="b">
        <v>0</v>
      </c>
      <c r="M3509" s="2" t="b">
        <v>0</v>
      </c>
      <c r="N3509" s="2" t="s">
        <v>33</v>
      </c>
      <c r="O3509" s="2">
        <v>73.0</v>
      </c>
      <c r="P3509" s="2">
        <v>8.0</v>
      </c>
      <c r="Q3509" s="2">
        <v>13.0</v>
      </c>
      <c r="R3509" s="2">
        <v>0.0</v>
      </c>
      <c r="S3509" s="3" t="s">
        <v>14286</v>
      </c>
      <c r="T3509" s="2" t="s">
        <v>14287</v>
      </c>
      <c r="Y3509" s="4" t="str">
        <f>IFERROR(__xludf.DUMMYFUNCTION("""COMPUTED_VALUE"""),"6.8827355")</f>
        <v>6.8827355</v>
      </c>
      <c r="Z3509" s="4" t="str">
        <f>IFERROR(__xludf.DUMMYFUNCTION("""COMPUTED_VALUE"""),"4.0082563")</f>
        <v>4.0082563</v>
      </c>
      <c r="AA3509" s="4" t="str">
        <f t="shared" si="1"/>
        <v>Not Neighbor</v>
      </c>
      <c r="AC3509" s="4">
        <f>IFERROR(__xludf.DUMMYFUNCTION("IFERROR(ABS(O3509-AVERAGE(FILTER(O3509:O7577,AA3509:AA7577=""Neighbor""))) / STDEV(FILTER(O3509:O7577, AA3509:AA7577 =""Neighbor"")), """")"),0.8966158670735499)</f>
        <v>0.8966158671</v>
      </c>
      <c r="AF3509" s="2">
        <f>IFERROR(__xludf.DUMMYFUNCTION("IFERROR(ABS(R3509-AVERAGE(FILTER(R3509:R7577,AA3509:AA7577=""Neighbor""))) / STDEV(FILTER(R3509:R7577, AA3509:AA7577 =""Neighbor"")), """")"),0.34541617492774696)</f>
        <v>0.3454161749</v>
      </c>
    </row>
    <row r="3510">
      <c r="A3510" s="2" t="s">
        <v>28</v>
      </c>
      <c r="B3510" s="2" t="s">
        <v>6144</v>
      </c>
      <c r="C3510" s="2" t="s">
        <v>6356</v>
      </c>
      <c r="D3510" s="2" t="s">
        <v>14288</v>
      </c>
      <c r="E3510" s="2" t="s">
        <v>14289</v>
      </c>
      <c r="F3510" s="2">
        <v>158.0</v>
      </c>
      <c r="G3510" s="2">
        <v>262.0</v>
      </c>
      <c r="H3510" s="2" t="b">
        <v>1</v>
      </c>
      <c r="I3510" s="2">
        <v>-1.0</v>
      </c>
      <c r="J3510" s="2" t="b">
        <v>1</v>
      </c>
      <c r="K3510" s="2" t="b">
        <v>0</v>
      </c>
      <c r="L3510" s="2" t="b">
        <v>0</v>
      </c>
      <c r="M3510" s="2" t="b">
        <v>0</v>
      </c>
      <c r="N3510" s="2" t="s">
        <v>33</v>
      </c>
      <c r="O3510" s="2">
        <v>85.0</v>
      </c>
      <c r="P3510" s="2">
        <v>31.0</v>
      </c>
      <c r="Q3510" s="2">
        <v>36.0</v>
      </c>
      <c r="R3510" s="2">
        <v>1.0</v>
      </c>
      <c r="S3510" s="3" t="s">
        <v>14290</v>
      </c>
      <c r="T3510" s="2" t="s">
        <v>14291</v>
      </c>
      <c r="Y3510" s="4" t="str">
        <f>IFERROR(__xludf.DUMMYFUNCTION("""COMPUTED_VALUE"""),"6.8228953")</f>
        <v>6.8228953</v>
      </c>
      <c r="Z3510" s="4" t="str">
        <f>IFERROR(__xludf.DUMMYFUNCTION("""COMPUTED_VALUE"""),"3.966162")</f>
        <v>3.966162</v>
      </c>
      <c r="AA3510" s="4" t="str">
        <f t="shared" si="1"/>
        <v>Not Neighbor</v>
      </c>
      <c r="AC3510" s="4">
        <f>IFERROR(__xludf.DUMMYFUNCTION("IFERROR(ABS(O3510-AVERAGE(FILTER(O3510:O7578,AA3510:AA7578=""Neighbor""))) / STDEV(FILTER(O3510:O7578, AA3510:AA7578 =""Neighbor"")), """")"),1.276111021785281)</f>
        <v>1.276111022</v>
      </c>
      <c r="AF3510" s="2">
        <f>IFERROR(__xludf.DUMMYFUNCTION("IFERROR(ABS(R3510-AVERAGE(FILTER(R3510:R7578,AA3510:AA7578=""Neighbor""))) / STDEV(FILTER(R3510:R7578, AA3510:AA7578 =""Neighbor"")), """")"),0.7517881454309786)</f>
        <v>0.7517881454</v>
      </c>
    </row>
    <row r="3511">
      <c r="A3511" s="2" t="s">
        <v>28</v>
      </c>
      <c r="B3511" s="2" t="s">
        <v>6144</v>
      </c>
      <c r="C3511" s="2" t="s">
        <v>6356</v>
      </c>
      <c r="D3511" s="2" t="s">
        <v>14292</v>
      </c>
      <c r="E3511" s="2" t="s">
        <v>14293</v>
      </c>
      <c r="F3511" s="2">
        <v>133.0</v>
      </c>
      <c r="G3511" s="2">
        <v>228.0</v>
      </c>
      <c r="H3511" s="2" t="b">
        <v>1</v>
      </c>
      <c r="I3511" s="2">
        <v>-1.0</v>
      </c>
      <c r="J3511" s="2" t="b">
        <v>0</v>
      </c>
      <c r="K3511" s="2" t="b">
        <v>1</v>
      </c>
      <c r="L3511" s="2" t="b">
        <v>0</v>
      </c>
      <c r="M3511" s="2" t="b">
        <v>0</v>
      </c>
      <c r="N3511" s="2" t="s">
        <v>33</v>
      </c>
      <c r="O3511" s="2">
        <v>68.0</v>
      </c>
      <c r="P3511" s="2">
        <v>23.0</v>
      </c>
      <c r="Q3511" s="2">
        <v>26.0</v>
      </c>
      <c r="R3511" s="2">
        <v>0.0</v>
      </c>
      <c r="S3511" s="3" t="s">
        <v>14294</v>
      </c>
      <c r="T3511" s="2" t="s">
        <v>14295</v>
      </c>
      <c r="Y3511" s="4" t="str">
        <f>IFERROR(__xludf.DUMMYFUNCTION("""COMPUTED_VALUE"""),"6.8827355")</f>
        <v>6.8827355</v>
      </c>
      <c r="Z3511" s="4" t="str">
        <f>IFERROR(__xludf.DUMMYFUNCTION("""COMPUTED_VALUE"""),"4.0082563")</f>
        <v>4.0082563</v>
      </c>
      <c r="AA3511" s="4" t="str">
        <f t="shared" si="1"/>
        <v>Neighbor</v>
      </c>
      <c r="AC3511" s="4">
        <f>IFERROR(__xludf.DUMMYFUNCTION("IFERROR(ABS(O3511-AVERAGE(FILTER(O3511:O7579,AA3511:AA7579=""Neighbor""))) / STDEV(FILTER(O3511:O7579, AA3511:AA7579 =""Neighbor"")), """")"),0.7384928859436619)</f>
        <v>0.7384928859</v>
      </c>
      <c r="AF3511" s="2">
        <f>IFERROR(__xludf.DUMMYFUNCTION("IFERROR(ABS(R3511-AVERAGE(FILTER(R3511:R7579,AA3511:AA7579=""Neighbor""))) / STDEV(FILTER(R3511:R7579, AA3511:AA7579 =""Neighbor"")), """")"),0.34541617492774696)</f>
        <v>0.3454161749</v>
      </c>
    </row>
    <row r="3512">
      <c r="A3512" s="2" t="s">
        <v>28</v>
      </c>
      <c r="B3512" s="2" t="s">
        <v>6144</v>
      </c>
      <c r="C3512" s="2" t="s">
        <v>6356</v>
      </c>
      <c r="D3512" s="2" t="s">
        <v>14296</v>
      </c>
      <c r="E3512" s="2" t="s">
        <v>14297</v>
      </c>
      <c r="F3512" s="2">
        <v>205.0</v>
      </c>
      <c r="G3512" s="2">
        <v>326.0</v>
      </c>
      <c r="H3512" s="2" t="b">
        <v>1</v>
      </c>
      <c r="I3512" s="2">
        <v>-1.0</v>
      </c>
      <c r="J3512" s="2" t="b">
        <v>0</v>
      </c>
      <c r="K3512" s="2" t="b">
        <v>0</v>
      </c>
      <c r="L3512" s="2" t="b">
        <v>0</v>
      </c>
      <c r="M3512" s="2" t="b">
        <v>0</v>
      </c>
      <c r="N3512" s="2" t="s">
        <v>33</v>
      </c>
      <c r="O3512" s="2">
        <v>146.0</v>
      </c>
      <c r="P3512" s="2">
        <v>27.0</v>
      </c>
      <c r="Q3512" s="2">
        <v>17.0</v>
      </c>
      <c r="R3512" s="2">
        <v>0.0</v>
      </c>
      <c r="S3512" s="3" t="s">
        <v>14298</v>
      </c>
      <c r="T3512" s="2" t="s">
        <v>14299</v>
      </c>
      <c r="Y3512" s="4" t="str">
        <f>IFERROR(__xludf.DUMMYFUNCTION("""COMPUTED_VALUE"""),"6.8827355")</f>
        <v>6.8827355</v>
      </c>
      <c r="Z3512" s="4" t="str">
        <f>IFERROR(__xludf.DUMMYFUNCTION("""COMPUTED_VALUE"""),"4.0082563")</f>
        <v>4.0082563</v>
      </c>
      <c r="AA3512" s="4" t="str">
        <f t="shared" si="1"/>
        <v>Not Neighbor</v>
      </c>
      <c r="AC3512" s="4">
        <f>IFERROR(__xludf.DUMMYFUNCTION("IFERROR(ABS(O3512-AVERAGE(FILTER(O3512:O7580,AA3512:AA7580=""Neighbor""))) / STDEV(FILTER(O3512:O7580, AA3512:AA7580 =""Neighbor"")), """")"),3.2052623454425513)</f>
        <v>3.205262345</v>
      </c>
      <c r="AF3512" s="2">
        <f>IFERROR(__xludf.DUMMYFUNCTION("IFERROR(ABS(R3512-AVERAGE(FILTER(R3512:R7580,AA3512:AA7580=""Neighbor""))) / STDEV(FILTER(R3512:R7580, AA3512:AA7580 =""Neighbor"")), """")"),0.34631134310583034)</f>
        <v>0.3463113431</v>
      </c>
    </row>
    <row r="3513">
      <c r="A3513" s="2" t="s">
        <v>28</v>
      </c>
      <c r="B3513" s="2" t="s">
        <v>6144</v>
      </c>
      <c r="C3513" s="2" t="s">
        <v>6401</v>
      </c>
      <c r="D3513" s="2" t="s">
        <v>14300</v>
      </c>
      <c r="E3513" s="2" t="s">
        <v>14301</v>
      </c>
      <c r="F3513" s="2">
        <v>226.0</v>
      </c>
      <c r="G3513" s="2">
        <v>750.0</v>
      </c>
      <c r="H3513" s="2" t="b">
        <v>1</v>
      </c>
      <c r="I3513" s="2">
        <v>-1.0</v>
      </c>
      <c r="J3513" s="2" t="b">
        <v>0</v>
      </c>
      <c r="K3513" s="2" t="b">
        <v>0</v>
      </c>
      <c r="L3513" s="2" t="b">
        <v>0</v>
      </c>
      <c r="M3513" s="2" t="b">
        <v>0</v>
      </c>
      <c r="N3513" s="2" t="s">
        <v>33</v>
      </c>
      <c r="O3513" s="2">
        <v>115.0</v>
      </c>
      <c r="P3513" s="2">
        <v>42.0</v>
      </c>
      <c r="Q3513" s="2">
        <v>37.0</v>
      </c>
      <c r="R3513" s="2">
        <v>0.0</v>
      </c>
      <c r="S3513" s="3" t="s">
        <v>14302</v>
      </c>
      <c r="T3513" s="2" t="s">
        <v>14303</v>
      </c>
      <c r="Y3513" s="4" t="str">
        <f>IFERROR(__xludf.DUMMYFUNCTION("""COMPUTED_VALUE"""),"6.8694369")</f>
        <v>6.8694369</v>
      </c>
      <c r="Z3513" s="4" t="str">
        <f>IFERROR(__xludf.DUMMYFUNCTION("""COMPUTED_VALUE"""),"3.9170954")</f>
        <v>3.9170954</v>
      </c>
      <c r="AA3513" s="4" t="str">
        <f t="shared" si="1"/>
        <v>Not Neighbor</v>
      </c>
      <c r="AC3513" s="4">
        <f>IFERROR(__xludf.DUMMYFUNCTION("IFERROR(ABS(O3513-AVERAGE(FILTER(O3513:O7581,AA3513:AA7581=""Neighbor""))) / STDEV(FILTER(O3513:O7581, AA3513:AA7581 =""Neighbor"")), """")"),2.225933770565197)</f>
        <v>2.225933771</v>
      </c>
      <c r="AF3513" s="2">
        <f>IFERROR(__xludf.DUMMYFUNCTION("IFERROR(ABS(R3513-AVERAGE(FILTER(R3513:R7581,AA3513:AA7581=""Neighbor""))) / STDEV(FILTER(R3513:R7581, AA3513:AA7581 =""Neighbor"")), """")"),0.34631134310583034)</f>
        <v>0.3463113431</v>
      </c>
    </row>
    <row r="3514">
      <c r="A3514" s="2" t="s">
        <v>28</v>
      </c>
      <c r="B3514" s="2" t="s">
        <v>6144</v>
      </c>
      <c r="C3514" s="2" t="s">
        <v>6401</v>
      </c>
      <c r="D3514" s="2" t="s">
        <v>14304</v>
      </c>
      <c r="E3514" s="2" t="s">
        <v>14305</v>
      </c>
      <c r="F3514" s="2">
        <v>64.0</v>
      </c>
      <c r="G3514" s="2">
        <v>155.0</v>
      </c>
      <c r="H3514" s="2" t="b">
        <v>1</v>
      </c>
      <c r="I3514" s="2">
        <v>-1.0</v>
      </c>
      <c r="J3514" s="2" t="b">
        <v>0</v>
      </c>
      <c r="K3514" s="2" t="b">
        <v>0</v>
      </c>
      <c r="L3514" s="2" t="b">
        <v>0</v>
      </c>
      <c r="M3514" s="2" t="b">
        <v>0</v>
      </c>
      <c r="N3514" s="2" t="s">
        <v>33</v>
      </c>
      <c r="O3514" s="2">
        <v>29.0</v>
      </c>
      <c r="P3514" s="2">
        <v>20.0</v>
      </c>
      <c r="Q3514" s="2">
        <v>2.0</v>
      </c>
      <c r="R3514" s="2">
        <v>0.0</v>
      </c>
      <c r="S3514" s="3" t="s">
        <v>14306</v>
      </c>
      <c r="T3514" s="2" t="s">
        <v>14307</v>
      </c>
      <c r="Y3514" s="4" t="str">
        <f>IFERROR(__xludf.DUMMYFUNCTION("""COMPUTED_VALUE"""),"6.8146656")</f>
        <v>6.8146656</v>
      </c>
      <c r="Z3514" s="4" t="str">
        <f>IFERROR(__xludf.DUMMYFUNCTION("""COMPUTED_VALUE"""),"3.9256827")</f>
        <v>3.9256827</v>
      </c>
      <c r="AA3514" s="4" t="str">
        <f t="shared" si="1"/>
        <v>Not Neighbor</v>
      </c>
      <c r="AC3514" s="4">
        <f>IFERROR(__xludf.DUMMYFUNCTION("IFERROR(ABS(O3514-AVERAGE(FILTER(O3514:O7582,AA3514:AA7582=""Neighbor""))) / STDEV(FILTER(O3514:O7582, AA3514:AA7582 =""Neighbor"")), """")"),0.49091324361068883)</f>
        <v>0.4909132436</v>
      </c>
      <c r="AF3514" s="2">
        <f>IFERROR(__xludf.DUMMYFUNCTION("IFERROR(ABS(R3514-AVERAGE(FILTER(R3514:R7582,AA3514:AA7582=""Neighbor""))) / STDEV(FILTER(R3514:R7582, AA3514:AA7582 =""Neighbor"")), """")"),0.34631134310583034)</f>
        <v>0.3463113431</v>
      </c>
    </row>
    <row r="3515">
      <c r="A3515" s="2" t="s">
        <v>28</v>
      </c>
      <c r="B3515" s="2" t="s">
        <v>6144</v>
      </c>
      <c r="C3515" s="2" t="s">
        <v>6401</v>
      </c>
      <c r="D3515" s="2" t="s">
        <v>14308</v>
      </c>
      <c r="E3515" s="2" t="s">
        <v>14309</v>
      </c>
      <c r="F3515" s="2">
        <v>44.0</v>
      </c>
      <c r="G3515" s="2">
        <v>120.0</v>
      </c>
      <c r="H3515" s="2" t="b">
        <v>1</v>
      </c>
      <c r="I3515" s="2">
        <v>-1.0</v>
      </c>
      <c r="J3515" s="2" t="b">
        <v>0</v>
      </c>
      <c r="K3515" s="2" t="b">
        <v>1</v>
      </c>
      <c r="L3515" s="2" t="b">
        <v>0</v>
      </c>
      <c r="M3515" s="2" t="b">
        <v>0</v>
      </c>
      <c r="N3515" s="2" t="s">
        <v>33</v>
      </c>
      <c r="O3515" s="2">
        <v>34.0</v>
      </c>
      <c r="P3515" s="2">
        <v>6.0</v>
      </c>
      <c r="Q3515" s="2">
        <v>1.0</v>
      </c>
      <c r="R3515" s="2">
        <v>0.0</v>
      </c>
      <c r="S3515" s="3" t="s">
        <v>14310</v>
      </c>
      <c r="T3515" s="2" t="s">
        <v>14311</v>
      </c>
      <c r="Y3515" s="4" t="str">
        <f>IFERROR(__xludf.DUMMYFUNCTION("""COMPUTED_VALUE"""),"6.8672274")</f>
        <v>6.8672274</v>
      </c>
      <c r="Z3515" s="4" t="str">
        <f>IFERROR(__xludf.DUMMYFUNCTION("""COMPUTED_VALUE"""),"3.9419415")</f>
        <v>3.9419415</v>
      </c>
      <c r="AA3515" s="4" t="str">
        <f t="shared" si="1"/>
        <v>Not Neighbor</v>
      </c>
      <c r="AC3515" s="4">
        <f>IFERROR(__xludf.DUMMYFUNCTION("IFERROR(ABS(O3515-AVERAGE(FILTER(O3515:O7583,AA3515:AA7583=""Neighbor""))) / STDEV(FILTER(O3515:O7583, AA3515:AA7583 =""Neighbor"")), """")"),0.33295702185627685)</f>
        <v>0.3329570219</v>
      </c>
      <c r="AF3515" s="2">
        <f>IFERROR(__xludf.DUMMYFUNCTION("IFERROR(ABS(R3515-AVERAGE(FILTER(R3515:R7583,AA3515:AA7583=""Neighbor""))) / STDEV(FILTER(R3515:R7583, AA3515:AA7583 =""Neighbor"")), """")"),0.34631134310583034)</f>
        <v>0.3463113431</v>
      </c>
    </row>
    <row r="3516">
      <c r="A3516" s="2" t="s">
        <v>28</v>
      </c>
      <c r="B3516" s="2" t="s">
        <v>6431</v>
      </c>
      <c r="C3516" s="2" t="s">
        <v>6454</v>
      </c>
      <c r="D3516" s="2" t="s">
        <v>14312</v>
      </c>
      <c r="E3516" s="2" t="s">
        <v>14313</v>
      </c>
      <c r="F3516" s="2">
        <v>75.0</v>
      </c>
      <c r="G3516" s="2">
        <v>121.0</v>
      </c>
      <c r="H3516" s="2" t="b">
        <v>1</v>
      </c>
      <c r="I3516" s="2">
        <v>-1.0</v>
      </c>
      <c r="J3516" s="2" t="b">
        <v>0</v>
      </c>
      <c r="K3516" s="2" t="b">
        <v>0</v>
      </c>
      <c r="L3516" s="2" t="b">
        <v>0</v>
      </c>
      <c r="M3516" s="2" t="b">
        <v>0</v>
      </c>
      <c r="N3516" s="2" t="s">
        <v>33</v>
      </c>
      <c r="O3516" s="2">
        <v>61.0</v>
      </c>
      <c r="P3516" s="2">
        <v>5.0</v>
      </c>
      <c r="Q3516" s="2">
        <v>8.0</v>
      </c>
      <c r="R3516" s="2">
        <v>0.0</v>
      </c>
      <c r="S3516" s="3" t="s">
        <v>14314</v>
      </c>
      <c r="T3516" s="2" t="s">
        <v>14315</v>
      </c>
      <c r="Y3516" s="4" t="str">
        <f>IFERROR(__xludf.DUMMYFUNCTION("""COMPUTED_VALUE"""),"6.7950021")</f>
        <v>6.7950021</v>
      </c>
      <c r="Z3516" s="4" t="str">
        <f>IFERROR(__xludf.DUMMYFUNCTION("""COMPUTED_VALUE"""),"3.9444905")</f>
        <v>3.9444905</v>
      </c>
      <c r="AA3516" s="4" t="str">
        <f t="shared" si="1"/>
        <v>Neighbor</v>
      </c>
      <c r="AC3516" s="4">
        <f>IFERROR(__xludf.DUMMYFUNCTION("IFERROR(ABS(O3516-AVERAGE(FILTER(O3516:O7584,AA3516:AA7584=""Neighbor""))) / STDEV(FILTER(O3516:O7584, AA3516:AA7584 =""Neighbor"")), """")"),0.5200065756175478)</f>
        <v>0.5200065756</v>
      </c>
      <c r="AF3516" s="2">
        <f>IFERROR(__xludf.DUMMYFUNCTION("IFERROR(ABS(R3516-AVERAGE(FILTER(R3516:R7584,AA3516:AA7584=""Neighbor""))) / STDEV(FILTER(R3516:R7584, AA3516:AA7584 =""Neighbor"")), """")"),0.34631134310583034)</f>
        <v>0.3463113431</v>
      </c>
    </row>
    <row r="3517">
      <c r="A3517" s="2" t="s">
        <v>28</v>
      </c>
      <c r="B3517" s="2" t="s">
        <v>6431</v>
      </c>
      <c r="C3517" s="2" t="s">
        <v>6454</v>
      </c>
      <c r="D3517" s="2" t="s">
        <v>14316</v>
      </c>
      <c r="E3517" s="2" t="s">
        <v>14317</v>
      </c>
      <c r="F3517" s="2">
        <v>167.0</v>
      </c>
      <c r="G3517" s="2">
        <v>750.0</v>
      </c>
      <c r="H3517" s="2" t="b">
        <v>1</v>
      </c>
      <c r="I3517" s="2">
        <v>-1.0</v>
      </c>
      <c r="J3517" s="2" t="b">
        <v>0</v>
      </c>
      <c r="K3517" s="2" t="b">
        <v>0</v>
      </c>
      <c r="L3517" s="2" t="b">
        <v>0</v>
      </c>
      <c r="M3517" s="2" t="b">
        <v>0</v>
      </c>
      <c r="N3517" s="2" t="s">
        <v>33</v>
      </c>
      <c r="O3517" s="2">
        <v>86.0</v>
      </c>
      <c r="P3517" s="2">
        <v>44.0</v>
      </c>
      <c r="Q3517" s="2">
        <v>13.0</v>
      </c>
      <c r="R3517" s="2">
        <v>0.0</v>
      </c>
      <c r="S3517" s="3" t="s">
        <v>14318</v>
      </c>
      <c r="T3517" s="2" t="s">
        <v>14319</v>
      </c>
      <c r="Y3517" s="4" t="str">
        <f>IFERROR(__xludf.DUMMYFUNCTION("""COMPUTED_VALUE"""),"6.7950021")</f>
        <v>6.7950021</v>
      </c>
      <c r="Z3517" s="4" t="str">
        <f>IFERROR(__xludf.DUMMYFUNCTION("""COMPUTED_VALUE"""),"3.9444905")</f>
        <v>3.9444905</v>
      </c>
      <c r="AA3517" s="4" t="str">
        <f t="shared" si="1"/>
        <v>Neighbor</v>
      </c>
      <c r="AC3517" s="4">
        <f>IFERROR(__xludf.DUMMYFUNCTION("IFERROR(ABS(O3517-AVERAGE(FILTER(O3517:O7585,AA3517:AA7585=""Neighbor""))) / STDEV(FILTER(O3517:O7585, AA3517:AA7585 =""Neighbor"")), """")"),1.3099798684447075)</f>
        <v>1.309979868</v>
      </c>
      <c r="AF3517" s="2">
        <f>IFERROR(__xludf.DUMMYFUNCTION("IFERROR(ABS(R3517-AVERAGE(FILTER(R3517:R7585,AA3517:AA7585=""Neighbor""))) / STDEV(FILTER(R3517:R7585, AA3517:AA7585 =""Neighbor"")), """")"),0.3472135112963965)</f>
        <v>0.3472135113</v>
      </c>
    </row>
    <row r="3518">
      <c r="A3518" s="2" t="s">
        <v>28</v>
      </c>
      <c r="B3518" s="2" t="s">
        <v>6431</v>
      </c>
      <c r="C3518" s="2" t="s">
        <v>6454</v>
      </c>
      <c r="D3518" s="2" t="s">
        <v>14320</v>
      </c>
      <c r="E3518" s="2" t="s">
        <v>14321</v>
      </c>
      <c r="F3518" s="2">
        <v>74.0</v>
      </c>
      <c r="G3518" s="2">
        <v>147.0</v>
      </c>
      <c r="H3518" s="2" t="b">
        <v>1</v>
      </c>
      <c r="I3518" s="2">
        <v>-1.0</v>
      </c>
      <c r="J3518" s="2" t="b">
        <v>0</v>
      </c>
      <c r="K3518" s="2" t="b">
        <v>1</v>
      </c>
      <c r="L3518" s="2" t="b">
        <v>0</v>
      </c>
      <c r="M3518" s="2" t="b">
        <v>0</v>
      </c>
      <c r="N3518" s="2" t="s">
        <v>33</v>
      </c>
      <c r="O3518" s="2">
        <v>0.0</v>
      </c>
      <c r="P3518" s="2">
        <v>0.0</v>
      </c>
      <c r="Q3518" s="2">
        <v>0.0</v>
      </c>
      <c r="R3518" s="2">
        <v>0.0</v>
      </c>
      <c r="S3518" s="3" t="s">
        <v>14322</v>
      </c>
      <c r="T3518" s="2" t="s">
        <v>14323</v>
      </c>
      <c r="Y3518" s="4" t="str">
        <f>IFERROR(__xludf.DUMMYFUNCTION("""COMPUTED_VALUE"""),"6.7950021")</f>
        <v>6.7950021</v>
      </c>
      <c r="Z3518" s="4" t="str">
        <f>IFERROR(__xludf.DUMMYFUNCTION("""COMPUTED_VALUE"""),"3.9444905")</f>
        <v>3.9444905</v>
      </c>
      <c r="AA3518" s="4" t="str">
        <f t="shared" si="1"/>
        <v>Neighbor</v>
      </c>
      <c r="AC3518" s="4">
        <f>IFERROR(__xludf.DUMMYFUNCTION("IFERROR(ABS(O3518-AVERAGE(FILTER(O3518:O7586,AA3518:AA7586=""Neighbor""))) / STDEV(FILTER(O3518:O7586, AA3518:AA7586 =""Neighbor"")), """")"),1.398474253295155)</f>
        <v>1.398474253</v>
      </c>
      <c r="AF3518" s="2">
        <f>IFERROR(__xludf.DUMMYFUNCTION("IFERROR(ABS(R3518-AVERAGE(FILTER(R3518:R7586,AA3518:AA7586=""Neighbor""))) / STDEV(FILTER(R3518:R7586, AA3518:AA7586 =""Neighbor"")), """")"),0.34812277125602403)</f>
        <v>0.3481227713</v>
      </c>
    </row>
    <row r="3519">
      <c r="A3519" s="2" t="s">
        <v>28</v>
      </c>
      <c r="B3519" s="2" t="s">
        <v>6431</v>
      </c>
      <c r="C3519" s="2" t="s">
        <v>6454</v>
      </c>
      <c r="D3519" s="2" t="s">
        <v>14324</v>
      </c>
      <c r="E3519" s="2" t="s">
        <v>14325</v>
      </c>
      <c r="F3519" s="2">
        <v>36.0</v>
      </c>
      <c r="G3519" s="2">
        <v>67.0</v>
      </c>
      <c r="H3519" s="2" t="b">
        <v>1</v>
      </c>
      <c r="I3519" s="2">
        <v>-1.0</v>
      </c>
      <c r="J3519" s="2" t="b">
        <v>0</v>
      </c>
      <c r="K3519" s="2" t="b">
        <v>1</v>
      </c>
      <c r="L3519" s="2" t="b">
        <v>0</v>
      </c>
      <c r="M3519" s="2" t="b">
        <v>0</v>
      </c>
      <c r="N3519" s="2" t="s">
        <v>33</v>
      </c>
      <c r="O3519" s="2">
        <v>0.0</v>
      </c>
      <c r="P3519" s="2">
        <v>0.0</v>
      </c>
      <c r="Q3519" s="2">
        <v>0.0</v>
      </c>
      <c r="R3519" s="2">
        <v>0.0</v>
      </c>
      <c r="S3519" s="3" t="s">
        <v>14326</v>
      </c>
      <c r="T3519" s="2" t="s">
        <v>14327</v>
      </c>
      <c r="Y3519" s="4" t="str">
        <f>IFERROR(__xludf.DUMMYFUNCTION("""COMPUTED_VALUE"""),"6.7950021")</f>
        <v>6.7950021</v>
      </c>
      <c r="Z3519" s="4" t="str">
        <f>IFERROR(__xludf.DUMMYFUNCTION("""COMPUTED_VALUE"""),"3.9444905")</f>
        <v>3.9444905</v>
      </c>
      <c r="AA3519" s="4" t="str">
        <f t="shared" si="1"/>
        <v>Not Neighbor</v>
      </c>
      <c r="AC3519" s="4">
        <f>IFERROR(__xludf.DUMMYFUNCTION("IFERROR(ABS(O3519-AVERAGE(FILTER(O3519:O7587,AA3519:AA7587=""Neighbor""))) / STDEV(FILTER(O3519:O7587, AA3519:AA7587 =""Neighbor"")), """")"),1.4082947609167642)</f>
        <v>1.408294761</v>
      </c>
      <c r="AF3519" s="2">
        <f>IFERROR(__xludf.DUMMYFUNCTION("IFERROR(ABS(R3519-AVERAGE(FILTER(R3519:R7587,AA3519:AA7587=""Neighbor""))) / STDEV(FILTER(R3519:R7587, AA3519:AA7587 =""Neighbor"")), """")"),0.34903921643479485)</f>
        <v>0.3490392164</v>
      </c>
    </row>
    <row r="3520">
      <c r="A3520" s="2" t="s">
        <v>28</v>
      </c>
      <c r="B3520" s="2" t="s">
        <v>6431</v>
      </c>
      <c r="C3520" s="2" t="s">
        <v>6454</v>
      </c>
      <c r="D3520" s="2" t="s">
        <v>14328</v>
      </c>
      <c r="E3520" s="2" t="s">
        <v>14329</v>
      </c>
      <c r="F3520" s="2">
        <v>71.0</v>
      </c>
      <c r="G3520" s="2">
        <v>122.0</v>
      </c>
      <c r="H3520" s="2" t="b">
        <v>1</v>
      </c>
      <c r="I3520" s="2">
        <v>-1.0</v>
      </c>
      <c r="J3520" s="2" t="b">
        <v>0</v>
      </c>
      <c r="K3520" s="2" t="b">
        <v>0</v>
      </c>
      <c r="L3520" s="2" t="b">
        <v>0</v>
      </c>
      <c r="M3520" s="2" t="b">
        <v>0</v>
      </c>
      <c r="N3520" s="2" t="s">
        <v>33</v>
      </c>
      <c r="O3520" s="2">
        <v>54.0</v>
      </c>
      <c r="P3520" s="2">
        <v>3.0</v>
      </c>
      <c r="Q3520" s="2">
        <v>4.0</v>
      </c>
      <c r="R3520" s="2">
        <v>0.0</v>
      </c>
      <c r="S3520" s="3" t="s">
        <v>14330</v>
      </c>
      <c r="T3520" s="2" t="s">
        <v>14331</v>
      </c>
      <c r="Y3520" s="4" t="str">
        <f>IFERROR(__xludf.DUMMYFUNCTION("""COMPUTED_VALUE"""),"6.8113155")</f>
        <v>6.8113155</v>
      </c>
      <c r="Z3520" s="4" t="str">
        <f>IFERROR(__xludf.DUMMYFUNCTION("""COMPUTED_VALUE"""),"3.9260682")</f>
        <v>3.9260682</v>
      </c>
      <c r="AA3520" s="4" t="str">
        <f t="shared" si="1"/>
        <v>Not Neighbor</v>
      </c>
      <c r="AC3520" s="4">
        <f>IFERROR(__xludf.DUMMYFUNCTION("IFERROR(ABS(O3520-AVERAGE(FILTER(O3520:O7588,AA3520:AA7588=""Neighbor""))) / STDEV(FILTER(O3520:O7588, AA3520:AA7588 =""Neighbor"")), """")"),0.3015534120575827)</f>
        <v>0.3015534121</v>
      </c>
      <c r="AF3520" s="2">
        <f>IFERROR(__xludf.DUMMYFUNCTION("IFERROR(ABS(R3520-AVERAGE(FILTER(R3520:R7588,AA3520:AA7588=""Neighbor""))) / STDEV(FILTER(R3520:R7588, AA3520:AA7588 =""Neighbor"")), """")"),0.34903921643479485)</f>
        <v>0.3490392164</v>
      </c>
    </row>
    <row r="3521">
      <c r="A3521" s="2" t="s">
        <v>28</v>
      </c>
      <c r="B3521" s="2" t="s">
        <v>6431</v>
      </c>
      <c r="C3521" s="2" t="s">
        <v>6496</v>
      </c>
      <c r="D3521" s="2" t="s">
        <v>14332</v>
      </c>
      <c r="E3521" s="2" t="s">
        <v>14333</v>
      </c>
      <c r="F3521" s="2">
        <v>51.0</v>
      </c>
      <c r="G3521" s="2">
        <v>124.0</v>
      </c>
      <c r="H3521" s="2" t="b">
        <v>1</v>
      </c>
      <c r="I3521" s="2">
        <v>-1.0</v>
      </c>
      <c r="J3521" s="2" t="b">
        <v>0</v>
      </c>
      <c r="K3521" s="2" t="b">
        <v>0</v>
      </c>
      <c r="L3521" s="2" t="b">
        <v>0</v>
      </c>
      <c r="M3521" s="2" t="b">
        <v>0</v>
      </c>
      <c r="N3521" s="2" t="s">
        <v>33</v>
      </c>
      <c r="O3521" s="2">
        <v>35.0</v>
      </c>
      <c r="P3521" s="2">
        <v>2.0</v>
      </c>
      <c r="Q3521" s="2">
        <v>11.0</v>
      </c>
      <c r="R3521" s="2">
        <v>0.0</v>
      </c>
      <c r="S3521" s="3" t="s">
        <v>14334</v>
      </c>
      <c r="T3521" s="2" t="s">
        <v>14335</v>
      </c>
      <c r="Y3521" s="4" t="str">
        <f>IFERROR(__xludf.DUMMYFUNCTION("""COMPUTED_VALUE"""),"6.8220071")</f>
        <v>6.8220071</v>
      </c>
      <c r="Z3521" s="4" t="str">
        <f>IFERROR(__xludf.DUMMYFUNCTION("""COMPUTED_VALUE"""),"3.9362142")</f>
        <v>3.9362142</v>
      </c>
      <c r="AA3521" s="4" t="str">
        <f t="shared" si="1"/>
        <v>Not Neighbor</v>
      </c>
      <c r="AC3521" s="4">
        <f>IFERROR(__xludf.DUMMYFUNCTION("IFERROR(ABS(O3521-AVERAGE(FILTER(O3521:O7589,AA3521:AA7589=""Neighbor""))) / STDEV(FILTER(O3521:O7589, AA3521:AA7589 =""Neighbor"")), """")"),0.30005983398894676)</f>
        <v>0.300059834</v>
      </c>
      <c r="AF3521" s="2">
        <f>IFERROR(__xludf.DUMMYFUNCTION("IFERROR(ABS(R3521-AVERAGE(FILTER(R3521:R7589,AA3521:AA7589=""Neighbor""))) / STDEV(FILTER(R3521:R7589, AA3521:AA7589 =""Neighbor"")), """")"),0.34903921643479485)</f>
        <v>0.3490392164</v>
      </c>
    </row>
    <row r="3522">
      <c r="A3522" s="2" t="s">
        <v>28</v>
      </c>
      <c r="B3522" s="2" t="s">
        <v>6431</v>
      </c>
      <c r="C3522" s="2" t="s">
        <v>6496</v>
      </c>
      <c r="D3522" s="2" t="s">
        <v>14336</v>
      </c>
      <c r="E3522" s="2" t="s">
        <v>14337</v>
      </c>
      <c r="F3522" s="2">
        <v>100.0</v>
      </c>
      <c r="G3522" s="2">
        <v>152.0</v>
      </c>
      <c r="H3522" s="2" t="b">
        <v>1</v>
      </c>
      <c r="I3522" s="2">
        <v>-1.0</v>
      </c>
      <c r="J3522" s="2" t="b">
        <v>0</v>
      </c>
      <c r="K3522" s="2" t="b">
        <v>0</v>
      </c>
      <c r="L3522" s="2" t="b">
        <v>0</v>
      </c>
      <c r="M3522" s="2" t="b">
        <v>0</v>
      </c>
      <c r="N3522" s="2" t="s">
        <v>33</v>
      </c>
      <c r="O3522" s="2">
        <v>54.0</v>
      </c>
      <c r="P3522" s="2">
        <v>3.0</v>
      </c>
      <c r="Q3522" s="2">
        <v>25.0</v>
      </c>
      <c r="R3522" s="2">
        <v>0.0</v>
      </c>
      <c r="S3522" s="3" t="s">
        <v>14338</v>
      </c>
      <c r="T3522" s="2" t="s">
        <v>14339</v>
      </c>
      <c r="Y3522" s="4" t="str">
        <f>IFERROR(__xludf.DUMMYFUNCTION("""COMPUTED_VALUE"""),"6.8208211")</f>
        <v>6.8208211</v>
      </c>
      <c r="Z3522" s="4" t="str">
        <f>IFERROR(__xludf.DUMMYFUNCTION("""COMPUTED_VALUE"""),"3.9216482")</f>
        <v>3.9216482</v>
      </c>
      <c r="AA3522" s="4" t="str">
        <f t="shared" si="1"/>
        <v>Not Neighbor</v>
      </c>
      <c r="AC3522" s="4">
        <f>IFERROR(__xludf.DUMMYFUNCTION("IFERROR(ABS(O3522-AVERAGE(FILTER(O3522:O7590,AA3522:AA7590=""Neighbor""))) / STDEV(FILTER(O3522:O7590, AA3522:AA7590 =""Neighbor"")), """")"),0.3015534120575827)</f>
        <v>0.3015534121</v>
      </c>
      <c r="AF3522" s="2">
        <f>IFERROR(__xludf.DUMMYFUNCTION("IFERROR(ABS(R3522-AVERAGE(FILTER(R3522:R7590,AA3522:AA7590=""Neighbor""))) / STDEV(FILTER(R3522:R7590, AA3522:AA7590 =""Neighbor"")), """")"),0.34903921643479485)</f>
        <v>0.3490392164</v>
      </c>
    </row>
    <row r="3523">
      <c r="A3523" s="2" t="s">
        <v>28</v>
      </c>
      <c r="B3523" s="2" t="s">
        <v>6431</v>
      </c>
      <c r="C3523" s="2" t="s">
        <v>6513</v>
      </c>
      <c r="D3523" s="2" t="s">
        <v>14340</v>
      </c>
      <c r="E3523" s="2" t="s">
        <v>14341</v>
      </c>
      <c r="F3523" s="2">
        <v>91.0</v>
      </c>
      <c r="G3523" s="2">
        <v>174.0</v>
      </c>
      <c r="H3523" s="2" t="b">
        <v>1</v>
      </c>
      <c r="I3523" s="2">
        <v>-1.0</v>
      </c>
      <c r="J3523" s="2" t="b">
        <v>1</v>
      </c>
      <c r="K3523" s="2" t="b">
        <v>1</v>
      </c>
      <c r="L3523" s="2" t="b">
        <v>0</v>
      </c>
      <c r="M3523" s="2" t="b">
        <v>0</v>
      </c>
      <c r="N3523" s="2" t="s">
        <v>33</v>
      </c>
      <c r="O3523" s="2">
        <v>67.0</v>
      </c>
      <c r="P3523" s="2">
        <v>11.0</v>
      </c>
      <c r="Q3523" s="2">
        <v>11.0</v>
      </c>
      <c r="R3523" s="2">
        <v>0.0</v>
      </c>
      <c r="S3523" s="3" t="s">
        <v>14342</v>
      </c>
      <c r="T3523" s="2" t="s">
        <v>14343</v>
      </c>
      <c r="Y3523" s="4" t="str">
        <f>IFERROR(__xludf.DUMMYFUNCTION("""COMPUTED_VALUE"""),"6.8099615")</f>
        <v>6.8099615</v>
      </c>
      <c r="Z3523" s="4" t="str">
        <f>IFERROR(__xludf.DUMMYFUNCTION("""COMPUTED_VALUE"""),"3.9126371")</f>
        <v>3.9126371</v>
      </c>
      <c r="AA3523" s="4" t="str">
        <f t="shared" si="1"/>
        <v>Neighbor</v>
      </c>
      <c r="AC3523" s="4">
        <f>IFERROR(__xludf.DUMMYFUNCTION("IFERROR(ABS(O3523-AVERAGE(FILTER(O3523:O7591,AA3523:AA7591=""Neighbor""))) / STDEV(FILTER(O3523:O7591, AA3523:AA7591 =""Neighbor"")), """")"),0.7131835277736291)</f>
        <v>0.7131835278</v>
      </c>
      <c r="AF3523" s="2">
        <f>IFERROR(__xludf.DUMMYFUNCTION("IFERROR(ABS(R3523-AVERAGE(FILTER(R3523:R7591,AA3523:AA7591=""Neighbor""))) / STDEV(FILTER(R3523:R7591, AA3523:AA7591 =""Neighbor"")), """")"),0.34903921643479485)</f>
        <v>0.3490392164</v>
      </c>
    </row>
    <row r="3524">
      <c r="A3524" s="2" t="s">
        <v>28</v>
      </c>
      <c r="B3524" s="2" t="s">
        <v>6431</v>
      </c>
      <c r="C3524" s="2" t="s">
        <v>6513</v>
      </c>
      <c r="D3524" s="2" t="s">
        <v>14344</v>
      </c>
      <c r="E3524" s="2" t="s">
        <v>14345</v>
      </c>
      <c r="F3524" s="2">
        <v>86.0</v>
      </c>
      <c r="G3524" s="2">
        <v>151.0</v>
      </c>
      <c r="H3524" s="2" t="b">
        <v>1</v>
      </c>
      <c r="I3524" s="2">
        <v>-1.0</v>
      </c>
      <c r="J3524" s="2" t="b">
        <v>0</v>
      </c>
      <c r="K3524" s="2" t="b">
        <v>0</v>
      </c>
      <c r="L3524" s="2" t="b">
        <v>0</v>
      </c>
      <c r="M3524" s="2" t="b">
        <v>0</v>
      </c>
      <c r="N3524" s="2" t="s">
        <v>33</v>
      </c>
      <c r="O3524" s="2">
        <v>56.0</v>
      </c>
      <c r="P3524" s="2">
        <v>15.0</v>
      </c>
      <c r="Q3524" s="2">
        <v>8.0</v>
      </c>
      <c r="R3524" s="2">
        <v>0.0</v>
      </c>
      <c r="S3524" s="3" t="s">
        <v>14346</v>
      </c>
      <c r="T3524" s="2" t="s">
        <v>14347</v>
      </c>
      <c r="Y3524" s="4" t="str">
        <f>IFERROR(__xludf.DUMMYFUNCTION("""COMPUTED_VALUE"""),"6.8099615")</f>
        <v>6.8099615</v>
      </c>
      <c r="Z3524" s="4" t="str">
        <f>IFERROR(__xludf.DUMMYFUNCTION("""COMPUTED_VALUE"""),"3.9126371")</f>
        <v>3.9126371</v>
      </c>
      <c r="AA3524" s="4" t="str">
        <f t="shared" si="1"/>
        <v>Neighbor</v>
      </c>
      <c r="AC3524" s="4">
        <f>IFERROR(__xludf.DUMMYFUNCTION("IFERROR(ABS(O3524-AVERAGE(FILTER(O3524:O7592,AA3524:AA7592=""Neighbor""))) / STDEV(FILTER(O3524:O7592, AA3524:AA7592 =""Neighbor"")), """")"),0.36783316115530296)</f>
        <v>0.3678331612</v>
      </c>
      <c r="AF3524" s="2">
        <f>IFERROR(__xludf.DUMMYFUNCTION("IFERROR(ABS(R3524-AVERAGE(FILTER(R3524:R7592,AA3524:AA7592=""Neighbor""))) / STDEV(FILTER(R3524:R7592, AA3524:AA7592 =""Neighbor"")), """")"),0.3499629420167117)</f>
        <v>0.349962942</v>
      </c>
    </row>
    <row r="3525">
      <c r="A3525" s="2" t="s">
        <v>28</v>
      </c>
      <c r="B3525" s="2" t="s">
        <v>6431</v>
      </c>
      <c r="C3525" s="2" t="s">
        <v>6513</v>
      </c>
      <c r="D3525" s="2" t="s">
        <v>14348</v>
      </c>
      <c r="E3525" s="2" t="s">
        <v>14349</v>
      </c>
      <c r="F3525" s="2">
        <v>71.0</v>
      </c>
      <c r="G3525" s="2">
        <v>162.0</v>
      </c>
      <c r="H3525" s="2" t="b">
        <v>1</v>
      </c>
      <c r="I3525" s="2">
        <v>-1.0</v>
      </c>
      <c r="J3525" s="2" t="b">
        <v>0</v>
      </c>
      <c r="K3525" s="2" t="b">
        <v>0</v>
      </c>
      <c r="L3525" s="2" t="b">
        <v>0</v>
      </c>
      <c r="M3525" s="2" t="b">
        <v>0</v>
      </c>
      <c r="N3525" s="2" t="s">
        <v>33</v>
      </c>
      <c r="O3525" s="2">
        <v>46.0</v>
      </c>
      <c r="P3525" s="2">
        <v>8.0</v>
      </c>
      <c r="Q3525" s="2">
        <v>11.0</v>
      </c>
      <c r="R3525" s="2">
        <v>0.0</v>
      </c>
      <c r="S3525" s="3" t="s">
        <v>14350</v>
      </c>
      <c r="T3525" s="2" t="s">
        <v>14351</v>
      </c>
      <c r="Y3525" s="4" t="str">
        <f>IFERROR(__xludf.DUMMYFUNCTION("""COMPUTED_VALUE"""),"6.8086013")</f>
        <v>6.8086013</v>
      </c>
      <c r="Z3525" s="4" t="str">
        <f>IFERROR(__xludf.DUMMYFUNCTION("""COMPUTED_VALUE"""),"3.9060581")</f>
        <v>3.9060581</v>
      </c>
      <c r="AA3525" s="4" t="str">
        <f t="shared" si="1"/>
        <v>Neighbor</v>
      </c>
      <c r="AC3525" s="4">
        <f>IFERROR(__xludf.DUMMYFUNCTION("IFERROR(ABS(O3525-AVERAGE(FILTER(O3525:O7593,AA3525:AA7593=""Neighbor""))) / STDEV(FILTER(O3525:O7593, AA3525:AA7593 =""Neighbor"")), """")"),0.05320431514596331)</f>
        <v>0.05320431515</v>
      </c>
      <c r="AF3525" s="2">
        <f>IFERROR(__xludf.DUMMYFUNCTION("IFERROR(ABS(R3525-AVERAGE(FILTER(R3525:R7593,AA3525:AA7593=""Neighbor""))) / STDEV(FILTER(R3525:R7593, AA3525:AA7593 =""Neighbor"")), """")"),0.35089404496129895)</f>
        <v>0.350894045</v>
      </c>
    </row>
    <row r="3526">
      <c r="A3526" s="2" t="s">
        <v>28</v>
      </c>
      <c r="B3526" s="2" t="s">
        <v>6431</v>
      </c>
      <c r="C3526" s="2" t="s">
        <v>6513</v>
      </c>
      <c r="D3526" s="2" t="s">
        <v>14352</v>
      </c>
      <c r="E3526" s="2" t="s">
        <v>14353</v>
      </c>
      <c r="F3526" s="2">
        <v>172.0</v>
      </c>
      <c r="G3526" s="2">
        <v>750.0</v>
      </c>
      <c r="H3526" s="2" t="b">
        <v>1</v>
      </c>
      <c r="I3526" s="2">
        <v>-1.0</v>
      </c>
      <c r="J3526" s="2" t="b">
        <v>0</v>
      </c>
      <c r="K3526" s="2" t="b">
        <v>0</v>
      </c>
      <c r="L3526" s="2" t="b">
        <v>0</v>
      </c>
      <c r="M3526" s="2" t="b">
        <v>0</v>
      </c>
      <c r="N3526" s="2" t="s">
        <v>33</v>
      </c>
      <c r="O3526" s="2">
        <v>98.0</v>
      </c>
      <c r="P3526" s="2">
        <v>43.0</v>
      </c>
      <c r="Q3526" s="2">
        <v>21.0</v>
      </c>
      <c r="R3526" s="2">
        <v>1.0</v>
      </c>
      <c r="S3526" s="3" t="s">
        <v>14354</v>
      </c>
      <c r="T3526" s="2" t="s">
        <v>14355</v>
      </c>
      <c r="Y3526" s="4" t="str">
        <f>IFERROR(__xludf.DUMMYFUNCTION("""COMPUTED_VALUE"""),"6.8053908")</f>
        <v>6.8053908</v>
      </c>
      <c r="Z3526" s="4" t="str">
        <f>IFERROR(__xludf.DUMMYFUNCTION("""COMPUTED_VALUE"""),"3.9064697")</f>
        <v>3.9064697</v>
      </c>
      <c r="AA3526" s="4" t="str">
        <f t="shared" si="1"/>
        <v>Neighbor</v>
      </c>
      <c r="AC3526" s="4">
        <f>IFERROR(__xludf.DUMMYFUNCTION("IFERROR(ABS(O3526-AVERAGE(FILTER(O3526:O7594,AA3526:AA7594=""Neighbor""))) / STDEV(FILTER(O3526:O7594, AA3526:AA7594 =""Neighbor"")), """")"),1.6906291302753618)</f>
        <v>1.69062913</v>
      </c>
      <c r="AF3526" s="2">
        <f>IFERROR(__xludf.DUMMYFUNCTION("IFERROR(ABS(R3526-AVERAGE(FILTER(R3526:R7594,AA3526:AA7594=""Neighbor""))) / STDEV(FILTER(R3526:R7594, AA3526:AA7594 =""Neighbor"")), """")"),0.7295352939786282)</f>
        <v>0.729535294</v>
      </c>
    </row>
    <row r="3527">
      <c r="A3527" s="2" t="s">
        <v>28</v>
      </c>
      <c r="B3527" s="2" t="s">
        <v>6431</v>
      </c>
      <c r="C3527" s="2" t="s">
        <v>6513</v>
      </c>
      <c r="D3527" s="2" t="s">
        <v>14356</v>
      </c>
      <c r="E3527" s="2" t="s">
        <v>14353</v>
      </c>
      <c r="F3527" s="2">
        <v>172.0</v>
      </c>
      <c r="G3527" s="2">
        <v>750.0</v>
      </c>
      <c r="H3527" s="2" t="b">
        <v>1</v>
      </c>
      <c r="I3527" s="2">
        <v>-1.0</v>
      </c>
      <c r="J3527" s="2" t="b">
        <v>0</v>
      </c>
      <c r="K3527" s="2" t="b">
        <v>0</v>
      </c>
      <c r="L3527" s="2" t="b">
        <v>0</v>
      </c>
      <c r="M3527" s="2" t="b">
        <v>0</v>
      </c>
      <c r="N3527" s="2" t="s">
        <v>33</v>
      </c>
      <c r="O3527" s="2">
        <v>49.0</v>
      </c>
      <c r="P3527" s="2">
        <v>54.0</v>
      </c>
      <c r="Q3527" s="2">
        <v>9.0</v>
      </c>
      <c r="R3527" s="2">
        <v>0.0</v>
      </c>
      <c r="S3527" s="3" t="s">
        <v>14354</v>
      </c>
      <c r="T3527" s="2" t="s">
        <v>14355</v>
      </c>
      <c r="Y3527" s="4" t="str">
        <f>IFERROR(__xludf.DUMMYFUNCTION("""COMPUTED_VALUE"""),"6.8053908")</f>
        <v>6.8053908</v>
      </c>
      <c r="Z3527" s="4" t="str">
        <f>IFERROR(__xludf.DUMMYFUNCTION("""COMPUTED_VALUE"""),"3.9064697")</f>
        <v>3.9064697</v>
      </c>
      <c r="AA3527" s="4" t="str">
        <f t="shared" si="1"/>
        <v>Neighbor</v>
      </c>
      <c r="AC3527" s="4">
        <f>IFERROR(__xludf.DUMMYFUNCTION("IFERROR(ABS(O3527-AVERAGE(FILTER(O3527:O7595,AA3527:AA7595=""Neighbor""))) / STDEV(FILTER(O3527:O7595, AA3527:AA7595 =""Neighbor"")), """")"),0.15662854935267312)</f>
        <v>0.1566285494</v>
      </c>
      <c r="AF3527" s="2">
        <f>IFERROR(__xludf.DUMMYFUNCTION("IFERROR(ABS(R3527-AVERAGE(FILTER(R3527:R7595,AA3527:AA7595=""Neighbor""))) / STDEV(FILTER(R3527:R7595, AA3527:AA7595 =""Neighbor"")), """")"),0.3479344818093988)</f>
        <v>0.3479344818</v>
      </c>
    </row>
    <row r="3528">
      <c r="A3528" s="2" t="s">
        <v>28</v>
      </c>
      <c r="B3528" s="2" t="s">
        <v>6431</v>
      </c>
      <c r="C3528" s="2" t="s">
        <v>6513</v>
      </c>
      <c r="D3528" s="2" t="s">
        <v>14357</v>
      </c>
      <c r="E3528" s="2" t="s">
        <v>14358</v>
      </c>
      <c r="F3528" s="2">
        <v>37.0</v>
      </c>
      <c r="G3528" s="2">
        <v>124.0</v>
      </c>
      <c r="H3528" s="2" t="b">
        <v>1</v>
      </c>
      <c r="I3528" s="2">
        <v>-1.0</v>
      </c>
      <c r="J3528" s="2" t="b">
        <v>0</v>
      </c>
      <c r="K3528" s="2" t="b">
        <v>0</v>
      </c>
      <c r="L3528" s="2" t="b">
        <v>0</v>
      </c>
      <c r="M3528" s="2" t="b">
        <v>0</v>
      </c>
      <c r="N3528" s="2" t="s">
        <v>33</v>
      </c>
      <c r="O3528" s="2">
        <v>20.0</v>
      </c>
      <c r="P3528" s="2">
        <v>9.0</v>
      </c>
      <c r="Q3528" s="2">
        <v>4.0</v>
      </c>
      <c r="R3528" s="2">
        <v>1.0</v>
      </c>
      <c r="S3528" s="3" t="s">
        <v>14359</v>
      </c>
      <c r="T3528" s="2" t="s">
        <v>14360</v>
      </c>
      <c r="Y3528" s="4" t="str">
        <f>IFERROR(__xludf.DUMMYFUNCTION("""COMPUTED_VALUE"""),"6.8091501")</f>
        <v>6.8091501</v>
      </c>
      <c r="Z3528" s="4" t="str">
        <f>IFERROR(__xludf.DUMMYFUNCTION("""COMPUTED_VALUE"""),"3.9088994")</f>
        <v>3.9088994</v>
      </c>
      <c r="AA3528" s="4" t="str">
        <f t="shared" si="1"/>
        <v>Neighbor</v>
      </c>
      <c r="AC3528" s="4">
        <f>IFERROR(__xludf.DUMMYFUNCTION("IFERROR(ABS(O3528-AVERAGE(FILTER(O3528:O7596,AA3528:AA7596=""Neighbor""))) / STDEV(FILTER(O3528:O7596, AA3528:AA7596 =""Neighbor"")), """")"),0.7580876962284834)</f>
        <v>0.7580876962</v>
      </c>
      <c r="AF3528" s="2">
        <f>IFERROR(__xludf.DUMMYFUNCTION("IFERROR(ABS(R3528-AVERAGE(FILTER(R3528:R7596,AA3528:AA7596=""Neighbor""))) / STDEV(FILTER(R3528:R7596, AA3528:AA7596 =""Neighbor"")), """")"),0.7289869855564395)</f>
        <v>0.7289869856</v>
      </c>
    </row>
    <row r="3529">
      <c r="A3529" s="2" t="s">
        <v>28</v>
      </c>
      <c r="B3529" s="2" t="s">
        <v>6431</v>
      </c>
      <c r="C3529" s="2" t="s">
        <v>6513</v>
      </c>
      <c r="D3529" s="2" t="s">
        <v>14361</v>
      </c>
      <c r="E3529" s="2" t="s">
        <v>14362</v>
      </c>
      <c r="F3529" s="2">
        <v>40.0</v>
      </c>
      <c r="G3529" s="2">
        <v>82.0</v>
      </c>
      <c r="H3529" s="2" t="b">
        <v>1</v>
      </c>
      <c r="I3529" s="2">
        <v>-1.0</v>
      </c>
      <c r="J3529" s="2" t="b">
        <v>0</v>
      </c>
      <c r="K3529" s="2" t="b">
        <v>1</v>
      </c>
      <c r="L3529" s="2" t="b">
        <v>0</v>
      </c>
      <c r="M3529" s="2" t="b">
        <v>0</v>
      </c>
      <c r="N3529" s="2" t="s">
        <v>33</v>
      </c>
      <c r="O3529" s="2">
        <v>21.0</v>
      </c>
      <c r="P3529" s="2">
        <v>7.0</v>
      </c>
      <c r="Q3529" s="2">
        <v>9.0</v>
      </c>
      <c r="R3529" s="2">
        <v>0.0</v>
      </c>
      <c r="S3529" s="3" t="s">
        <v>14363</v>
      </c>
      <c r="T3529" s="2" t="s">
        <v>14364</v>
      </c>
      <c r="Y3529" s="4" t="str">
        <f>IFERROR(__xludf.DUMMYFUNCTION("""COMPUTED_VALUE"""),"6.8099615")</f>
        <v>6.8099615</v>
      </c>
      <c r="Z3529" s="4" t="str">
        <f>IFERROR(__xludf.DUMMYFUNCTION("""COMPUTED_VALUE"""),"3.9126371")</f>
        <v>3.9126371</v>
      </c>
      <c r="AA3529" s="4" t="str">
        <f t="shared" si="1"/>
        <v>Neighbor</v>
      </c>
      <c r="AC3529" s="4">
        <f>IFERROR(__xludf.DUMMYFUNCTION("IFERROR(ABS(O3529-AVERAGE(FILTER(O3529:O7597,AA3529:AA7597=""Neighbor""))) / STDEV(FILTER(O3529:O7597, AA3529:AA7597 =""Neighbor"")), """")"),0.7294611672462864)</f>
        <v>0.7294611672</v>
      </c>
      <c r="AF3529" s="2">
        <f>IFERROR(__xludf.DUMMYFUNCTION("IFERROR(ABS(R3529-AVERAGE(FILTER(R3529:R7597,AA3529:AA7597=""Neighbor""))) / STDEV(FILTER(R3529:R7597, AA3529:AA7597 =""Neighbor"")), """")"),0.3449417395947432)</f>
        <v>0.3449417396</v>
      </c>
    </row>
    <row r="3530">
      <c r="A3530" s="2" t="s">
        <v>28</v>
      </c>
      <c r="B3530" s="2" t="s">
        <v>6431</v>
      </c>
      <c r="C3530" s="2" t="s">
        <v>6513</v>
      </c>
      <c r="D3530" s="2" t="s">
        <v>14365</v>
      </c>
      <c r="E3530" s="2" t="s">
        <v>14366</v>
      </c>
      <c r="F3530" s="2">
        <v>146.0</v>
      </c>
      <c r="G3530" s="2">
        <v>565.0</v>
      </c>
      <c r="H3530" s="2" t="b">
        <v>1</v>
      </c>
      <c r="I3530" s="2">
        <v>-1.0</v>
      </c>
      <c r="J3530" s="2" t="b">
        <v>0</v>
      </c>
      <c r="K3530" s="2" t="b">
        <v>0</v>
      </c>
      <c r="L3530" s="2" t="b">
        <v>0</v>
      </c>
      <c r="M3530" s="2" t="b">
        <v>0</v>
      </c>
      <c r="N3530" s="2" t="s">
        <v>33</v>
      </c>
      <c r="O3530" s="2">
        <v>83.0</v>
      </c>
      <c r="P3530" s="2">
        <v>13.0</v>
      </c>
      <c r="Q3530" s="2">
        <v>28.0</v>
      </c>
      <c r="R3530" s="2">
        <v>0.0</v>
      </c>
      <c r="S3530" s="3" t="s">
        <v>14367</v>
      </c>
      <c r="T3530" s="2" t="s">
        <v>14368</v>
      </c>
      <c r="Y3530" s="4" t="str">
        <f>IFERROR(__xludf.DUMMYFUNCTION("""COMPUTED_VALUE"""),"6.8163182")</f>
        <v>6.8163182</v>
      </c>
      <c r="Z3530" s="4" t="str">
        <f>IFERROR(__xludf.DUMMYFUNCTION("""COMPUTED_VALUE"""),"3.9170674")</f>
        <v>3.9170674</v>
      </c>
      <c r="AA3530" s="4" t="str">
        <f t="shared" si="1"/>
        <v>Not Neighbor</v>
      </c>
      <c r="AC3530" s="4">
        <f>IFERROR(__xludf.DUMMYFUNCTION("IFERROR(ABS(O3530-AVERAGE(FILTER(O3530:O7598,AA3530:AA7598=""Neighbor""))) / STDEV(FILTER(O3530:O7598, AA3530:AA7598 =""Neighbor"")), """")"),1.2200011321732795)</f>
        <v>1.220001132</v>
      </c>
      <c r="AF3530" s="2">
        <f>IFERROR(__xludf.DUMMYFUNCTION("IFERROR(ABS(R3530-AVERAGE(FILTER(R3530:R7598,AA3530:AA7598=""Neighbor""))) / STDEV(FILTER(R3530:R7598, AA3530:AA7598 =""Neighbor"")), """")"),0.34587880412240307)</f>
        <v>0.3458788041</v>
      </c>
    </row>
    <row r="3531">
      <c r="A3531" s="2" t="s">
        <v>28</v>
      </c>
      <c r="B3531" s="2" t="s">
        <v>6431</v>
      </c>
      <c r="C3531" s="2" t="s">
        <v>6620</v>
      </c>
      <c r="D3531" s="2" t="s">
        <v>14369</v>
      </c>
      <c r="E3531" s="2" t="s">
        <v>14370</v>
      </c>
      <c r="F3531" s="2">
        <v>75.0</v>
      </c>
      <c r="G3531" s="2">
        <v>111.0</v>
      </c>
      <c r="H3531" s="2" t="b">
        <v>1</v>
      </c>
      <c r="I3531" s="2">
        <v>-1.0</v>
      </c>
      <c r="J3531" s="2" t="b">
        <v>0</v>
      </c>
      <c r="K3531" s="2" t="b">
        <v>1</v>
      </c>
      <c r="L3531" s="2" t="b">
        <v>0</v>
      </c>
      <c r="M3531" s="2" t="b">
        <v>0</v>
      </c>
      <c r="N3531" s="2" t="s">
        <v>33</v>
      </c>
      <c r="O3531" s="2">
        <v>52.0</v>
      </c>
      <c r="P3531" s="2">
        <v>12.0</v>
      </c>
      <c r="Q3531" s="2">
        <v>6.0</v>
      </c>
      <c r="R3531" s="2">
        <v>0.0</v>
      </c>
      <c r="S3531" s="3" t="s">
        <v>14371</v>
      </c>
      <c r="T3531" s="2" t="s">
        <v>14372</v>
      </c>
      <c r="Y3531" s="4" t="str">
        <f>IFERROR(__xludf.DUMMYFUNCTION("""COMPUTED_VALUE"""),"6.8401973")</f>
        <v>6.8401973</v>
      </c>
      <c r="Z3531" s="4" t="str">
        <f>IFERROR(__xludf.DUMMYFUNCTION("""COMPUTED_VALUE"""),"3.9128873")</f>
        <v>3.9128873</v>
      </c>
      <c r="AA3531" s="4" t="str">
        <f t="shared" si="1"/>
        <v>Neighbor</v>
      </c>
      <c r="AC3531" s="4">
        <f>IFERROR(__xludf.DUMMYFUNCTION("IFERROR(ABS(O3531-AVERAGE(FILTER(O3531:O7599,AA3531:AA7599=""Neighbor""))) / STDEV(FILTER(O3531:O7599, AA3531:AA7599 =""Neighbor"")), """")"),0.24390806973324544)</f>
        <v>0.2439080697</v>
      </c>
      <c r="AF3531" s="2">
        <f>IFERROR(__xludf.DUMMYFUNCTION("IFERROR(ABS(R3531-AVERAGE(FILTER(R3531:R7599,AA3531:AA7599=""Neighbor""))) / STDEV(FILTER(R3531:R7599, AA3531:AA7599 =""Neighbor"")), """")"),0.34587880412240307)</f>
        <v>0.3458788041</v>
      </c>
    </row>
    <row r="3532">
      <c r="A3532" s="2" t="s">
        <v>28</v>
      </c>
      <c r="B3532" s="2" t="s">
        <v>6431</v>
      </c>
      <c r="C3532" s="2" t="s">
        <v>6620</v>
      </c>
      <c r="D3532" s="2" t="s">
        <v>14373</v>
      </c>
      <c r="E3532" s="2" t="s">
        <v>14374</v>
      </c>
      <c r="F3532" s="2">
        <v>84.0</v>
      </c>
      <c r="G3532" s="2">
        <v>143.0</v>
      </c>
      <c r="H3532" s="2" t="b">
        <v>1</v>
      </c>
      <c r="I3532" s="2">
        <v>-1.0</v>
      </c>
      <c r="J3532" s="2" t="b">
        <v>0</v>
      </c>
      <c r="K3532" s="2" t="b">
        <v>0</v>
      </c>
      <c r="L3532" s="2" t="b">
        <v>0</v>
      </c>
      <c r="M3532" s="2" t="b">
        <v>0</v>
      </c>
      <c r="N3532" s="2" t="s">
        <v>33</v>
      </c>
      <c r="O3532" s="2">
        <v>39.0</v>
      </c>
      <c r="P3532" s="2">
        <v>9.0</v>
      </c>
      <c r="Q3532" s="2">
        <v>30.0</v>
      </c>
      <c r="R3532" s="2">
        <v>1.0</v>
      </c>
      <c r="S3532" s="3" t="s">
        <v>14375</v>
      </c>
      <c r="T3532" s="2" t="s">
        <v>14376</v>
      </c>
      <c r="Y3532" s="4" t="str">
        <f>IFERROR(__xludf.DUMMYFUNCTION("""COMPUTED_VALUE"""),"6.8401973")</f>
        <v>6.8401973</v>
      </c>
      <c r="Z3532" s="4" t="str">
        <f>IFERROR(__xludf.DUMMYFUNCTION("""COMPUTED_VALUE"""),"3.9128873")</f>
        <v>3.9128873</v>
      </c>
      <c r="AA3532" s="4" t="str">
        <f t="shared" si="1"/>
        <v>Neighbor</v>
      </c>
      <c r="AC3532" s="4">
        <f>IFERROR(__xludf.DUMMYFUNCTION("IFERROR(ABS(O3532-AVERAGE(FILTER(O3532:O7600,AA3532:AA7600=""Neighbor""))) / STDEV(FILTER(O3532:O7600, AA3532:AA7600 =""Neighbor"")), """")"),0.16384665251724995)</f>
        <v>0.1638466525</v>
      </c>
      <c r="AF3532" s="2">
        <f>IFERROR(__xludf.DUMMYFUNCTION("IFERROR(ABS(R3532-AVERAGE(FILTER(R3532:R7600,AA3532:AA7600=""Neighbor""))) / STDEV(FILTER(R3532:R7600, AA3532:AA7600 =""Neighbor"")), """")"),0.7251765176585181)</f>
        <v>0.7251765177</v>
      </c>
    </row>
    <row r="3533">
      <c r="A3533" s="2" t="s">
        <v>28</v>
      </c>
      <c r="B3533" s="2" t="s">
        <v>6431</v>
      </c>
      <c r="C3533" s="2" t="s">
        <v>6620</v>
      </c>
      <c r="D3533" s="2" t="s">
        <v>14377</v>
      </c>
      <c r="E3533" s="2" t="s">
        <v>14378</v>
      </c>
      <c r="F3533" s="2">
        <v>189.0</v>
      </c>
      <c r="G3533" s="2">
        <v>750.0</v>
      </c>
      <c r="H3533" s="2" t="b">
        <v>1</v>
      </c>
      <c r="I3533" s="2">
        <v>-1.0</v>
      </c>
      <c r="J3533" s="2" t="b">
        <v>0</v>
      </c>
      <c r="K3533" s="2" t="b">
        <v>0</v>
      </c>
      <c r="L3533" s="2" t="b">
        <v>0</v>
      </c>
      <c r="M3533" s="2" t="b">
        <v>0</v>
      </c>
      <c r="N3533" s="2" t="s">
        <v>33</v>
      </c>
      <c r="O3533" s="2">
        <v>108.0</v>
      </c>
      <c r="P3533" s="2">
        <v>48.0</v>
      </c>
      <c r="Q3533" s="2">
        <v>15.0</v>
      </c>
      <c r="R3533" s="2">
        <v>0.0</v>
      </c>
      <c r="S3533" s="3" t="s">
        <v>14379</v>
      </c>
      <c r="T3533" s="2" t="s">
        <v>14380</v>
      </c>
      <c r="Y3533" s="4" t="str">
        <f>IFERROR(__xludf.DUMMYFUNCTION("""COMPUTED_VALUE"""),"6.8401973")</f>
        <v>6.8401973</v>
      </c>
      <c r="Z3533" s="4" t="str">
        <f>IFERROR(__xludf.DUMMYFUNCTION("""COMPUTED_VALUE"""),"3.9128873")</f>
        <v>3.9128873</v>
      </c>
      <c r="AA3533" s="4" t="str">
        <f t="shared" si="1"/>
        <v>Not Neighbor</v>
      </c>
      <c r="AC3533" s="4">
        <f>IFERROR(__xludf.DUMMYFUNCTION("IFERROR(ABS(O3533-AVERAGE(FILTER(O3533:O7601,AA3533:AA7601=""Neighbor""))) / STDEV(FILTER(O3533:O7601, AA3533:AA7601 =""Neighbor"")), """")"),1.9981199289602762)</f>
        <v>1.998119929</v>
      </c>
      <c r="AF3533" s="2">
        <f>IFERROR(__xludf.DUMMYFUNCTION("IFERROR(ABS(R3533-AVERAGE(FILTER(R3533:R7601,AA3533:AA7601=""Neighbor""))) / STDEV(FILTER(R3533:R7601, AA3533:AA7601 =""Neighbor"")), """")"),0.3428513282388271)</f>
        <v>0.3428513282</v>
      </c>
    </row>
    <row r="3534">
      <c r="A3534" s="2" t="s">
        <v>28</v>
      </c>
      <c r="B3534" s="2" t="s">
        <v>6431</v>
      </c>
      <c r="C3534" s="2" t="s">
        <v>6620</v>
      </c>
      <c r="D3534" s="2" t="s">
        <v>14381</v>
      </c>
      <c r="E3534" s="2" t="s">
        <v>14382</v>
      </c>
      <c r="F3534" s="2">
        <v>119.0</v>
      </c>
      <c r="G3534" s="2">
        <v>208.0</v>
      </c>
      <c r="H3534" s="2" t="b">
        <v>1</v>
      </c>
      <c r="I3534" s="2">
        <v>-1.0</v>
      </c>
      <c r="J3534" s="2" t="b">
        <v>0</v>
      </c>
      <c r="K3534" s="2" t="b">
        <v>0</v>
      </c>
      <c r="L3534" s="2" t="b">
        <v>0</v>
      </c>
      <c r="M3534" s="2" t="b">
        <v>0</v>
      </c>
      <c r="N3534" s="2" t="s">
        <v>33</v>
      </c>
      <c r="O3534" s="2">
        <v>84.0</v>
      </c>
      <c r="P3534" s="2">
        <v>25.0</v>
      </c>
      <c r="Q3534" s="2">
        <v>2.0</v>
      </c>
      <c r="R3534" s="2">
        <v>0.0</v>
      </c>
      <c r="S3534" s="3" t="s">
        <v>14383</v>
      </c>
      <c r="T3534" s="2" t="s">
        <v>14384</v>
      </c>
      <c r="Y3534" s="4" t="str">
        <f>IFERROR(__xludf.DUMMYFUNCTION("""COMPUTED_VALUE"""),"6.8272648")</f>
        <v>6.8272648</v>
      </c>
      <c r="Z3534" s="4" t="str">
        <f>IFERROR(__xludf.DUMMYFUNCTION("""COMPUTED_VALUE"""),"3.9162858")</f>
        <v>3.9162858</v>
      </c>
      <c r="AA3534" s="4" t="str">
        <f t="shared" si="1"/>
        <v>Not Neighbor</v>
      </c>
      <c r="AC3534" s="4">
        <f>IFERROR(__xludf.DUMMYFUNCTION("IFERROR(ABS(O3534-AVERAGE(FILTER(O3534:O7602,AA3534:AA7602=""Neighbor""))) / STDEV(FILTER(O3534:O7602, AA3534:AA7602 =""Neighbor"")), """")"),1.2459882520774466)</f>
        <v>1.245988252</v>
      </c>
      <c r="AF3534" s="2">
        <f>IFERROR(__xludf.DUMMYFUNCTION("IFERROR(ABS(R3534-AVERAGE(FILTER(R3534:R7602,AA3534:AA7602=""Neighbor""))) / STDEV(FILTER(R3534:R7602, AA3534:AA7602 =""Neighbor"")), """")"),0.3428513282388271)</f>
        <v>0.3428513282</v>
      </c>
    </row>
    <row r="3535">
      <c r="A3535" s="2" t="s">
        <v>28</v>
      </c>
      <c r="B3535" s="2" t="s">
        <v>6431</v>
      </c>
      <c r="C3535" s="2" t="s">
        <v>6620</v>
      </c>
      <c r="D3535" s="2" t="s">
        <v>14385</v>
      </c>
      <c r="E3535" s="2" t="s">
        <v>14386</v>
      </c>
      <c r="F3535" s="2">
        <v>76.0</v>
      </c>
      <c r="G3535" s="2">
        <v>117.0</v>
      </c>
      <c r="H3535" s="2" t="b">
        <v>1</v>
      </c>
      <c r="I3535" s="2">
        <v>-1.0</v>
      </c>
      <c r="J3535" s="2" t="b">
        <v>0</v>
      </c>
      <c r="K3535" s="2" t="b">
        <v>0</v>
      </c>
      <c r="L3535" s="2" t="b">
        <v>0</v>
      </c>
      <c r="M3535" s="2" t="b">
        <v>0</v>
      </c>
      <c r="N3535" s="2" t="s">
        <v>33</v>
      </c>
      <c r="O3535" s="2">
        <v>40.0</v>
      </c>
      <c r="P3535" s="2">
        <v>14.0</v>
      </c>
      <c r="Q3535" s="2">
        <v>12.0</v>
      </c>
      <c r="R3535" s="2">
        <v>0.0</v>
      </c>
      <c r="S3535" s="3" t="s">
        <v>14387</v>
      </c>
      <c r="T3535" s="2" t="s">
        <v>14388</v>
      </c>
      <c r="Y3535" s="4" t="str">
        <f>IFERROR(__xludf.DUMMYFUNCTION("""COMPUTED_VALUE"""),"6.8522978")</f>
        <v>6.8522978</v>
      </c>
      <c r="Z3535" s="4" t="str">
        <f>IFERROR(__xludf.DUMMYFUNCTION("""COMPUTED_VALUE"""),"3.9183595")</f>
        <v>3.9183595</v>
      </c>
      <c r="AA3535" s="4" t="str">
        <f t="shared" si="1"/>
        <v>Not Neighbor</v>
      </c>
      <c r="AC3535" s="4">
        <f>IFERROR(__xludf.DUMMYFUNCTION("IFERROR(ABS(O3535-AVERAGE(FILTER(O3535:O7603,AA3535:AA7603=""Neighbor""))) / STDEV(FILTER(O3535:O7603, AA3535:AA7603 =""Neighbor"")), """")"),0.1329198222077414)</f>
        <v>0.1329198222</v>
      </c>
      <c r="AF3535" s="2">
        <f>IFERROR(__xludf.DUMMYFUNCTION("IFERROR(ABS(R3535-AVERAGE(FILTER(R3535:R7603,AA3535:AA7603=""Neighbor""))) / STDEV(FILTER(R3535:R7603, AA3535:AA7603 =""Neighbor"")), """")"),0.3428513282388271)</f>
        <v>0.3428513282</v>
      </c>
    </row>
    <row r="3536">
      <c r="A3536" s="2" t="s">
        <v>28</v>
      </c>
      <c r="B3536" s="2" t="s">
        <v>6431</v>
      </c>
      <c r="C3536" s="2" t="s">
        <v>6620</v>
      </c>
      <c r="D3536" s="2" t="s">
        <v>14389</v>
      </c>
      <c r="E3536" s="2" t="s">
        <v>14390</v>
      </c>
      <c r="F3536" s="2">
        <v>166.0</v>
      </c>
      <c r="G3536" s="2">
        <v>750.0</v>
      </c>
      <c r="H3536" s="2" t="b">
        <v>1</v>
      </c>
      <c r="I3536" s="2">
        <v>-1.0</v>
      </c>
      <c r="J3536" s="2" t="b">
        <v>1</v>
      </c>
      <c r="K3536" s="2" t="b">
        <v>1</v>
      </c>
      <c r="L3536" s="2" t="b">
        <v>0</v>
      </c>
      <c r="M3536" s="2" t="b">
        <v>0</v>
      </c>
      <c r="N3536" s="2" t="s">
        <v>33</v>
      </c>
      <c r="O3536" s="2">
        <v>123.0</v>
      </c>
      <c r="P3536" s="2">
        <v>28.0</v>
      </c>
      <c r="Q3536" s="2">
        <v>20.0</v>
      </c>
      <c r="R3536" s="2">
        <v>0.0</v>
      </c>
      <c r="S3536" s="3" t="s">
        <v>14391</v>
      </c>
      <c r="T3536" s="2" t="s">
        <v>14392</v>
      </c>
      <c r="Y3536" s="4" t="str">
        <f>IFERROR(__xludf.DUMMYFUNCTION("""COMPUTED_VALUE"""),"6.8401973")</f>
        <v>6.8401973</v>
      </c>
      <c r="Z3536" s="4" t="str">
        <f>IFERROR(__xludf.DUMMYFUNCTION("""COMPUTED_VALUE"""),"3.9128873")</f>
        <v>3.9128873</v>
      </c>
      <c r="AA3536" s="4" t="str">
        <f t="shared" si="1"/>
        <v>Not Neighbor</v>
      </c>
      <c r="AC3536" s="4">
        <f>IFERROR(__xludf.DUMMYFUNCTION("IFERROR(ABS(O3536-AVERAGE(FILTER(O3536:O7604,AA3536:AA7604=""Neighbor""))) / STDEV(FILTER(O3536:O7604, AA3536:AA7604 =""Neighbor"")), """")"),2.468202227012045)</f>
        <v>2.468202227</v>
      </c>
      <c r="AF3536" s="2">
        <f>IFERROR(__xludf.DUMMYFUNCTION("IFERROR(ABS(R3536-AVERAGE(FILTER(R3536:R7604,AA3536:AA7604=""Neighbor""))) / STDEV(FILTER(R3536:R7604, AA3536:AA7604 =""Neighbor"")), """")"),0.3428513282388271)</f>
        <v>0.3428513282</v>
      </c>
    </row>
    <row r="3537">
      <c r="A3537" s="2" t="s">
        <v>28</v>
      </c>
      <c r="B3537" s="2" t="s">
        <v>6431</v>
      </c>
      <c r="C3537" s="2" t="s">
        <v>6620</v>
      </c>
      <c r="D3537" s="2" t="s">
        <v>14393</v>
      </c>
      <c r="E3537" s="2" t="s">
        <v>14394</v>
      </c>
      <c r="F3537" s="2">
        <v>88.0</v>
      </c>
      <c r="G3537" s="2">
        <v>507.0</v>
      </c>
      <c r="H3537" s="2" t="b">
        <v>1</v>
      </c>
      <c r="I3537" s="2">
        <v>-1.0</v>
      </c>
      <c r="J3537" s="2" t="b">
        <v>0</v>
      </c>
      <c r="K3537" s="2" t="b">
        <v>0</v>
      </c>
      <c r="L3537" s="2" t="b">
        <v>0</v>
      </c>
      <c r="M3537" s="2" t="b">
        <v>0</v>
      </c>
      <c r="N3537" s="2" t="s">
        <v>33</v>
      </c>
      <c r="O3537" s="2">
        <v>67.0</v>
      </c>
      <c r="P3537" s="2">
        <v>8.0</v>
      </c>
      <c r="Q3537" s="2">
        <v>10.0</v>
      </c>
      <c r="R3537" s="2">
        <v>0.0</v>
      </c>
      <c r="S3537" s="3" t="s">
        <v>14395</v>
      </c>
      <c r="T3537" s="2" t="s">
        <v>14396</v>
      </c>
      <c r="Y3537" s="4" t="str">
        <f>IFERROR(__xludf.DUMMYFUNCTION("""COMPUTED_VALUE"""),"6.828325")</f>
        <v>6.828325</v>
      </c>
      <c r="Z3537" s="4" t="str">
        <f>IFERROR(__xludf.DUMMYFUNCTION("""COMPUTED_VALUE"""),"3.9180331")</f>
        <v>3.9180331</v>
      </c>
      <c r="AA3537" s="4" t="str">
        <f t="shared" si="1"/>
        <v>Not Neighbor</v>
      </c>
      <c r="AC3537" s="4">
        <f>IFERROR(__xludf.DUMMYFUNCTION("IFERROR(ABS(O3537-AVERAGE(FILTER(O3537:O7605,AA3537:AA7605=""Neighbor""))) / STDEV(FILTER(O3537:O7605, AA3537:AA7605 =""Neighbor"")), """")"),0.7132283142854421)</f>
        <v>0.7132283143</v>
      </c>
      <c r="AF3537" s="2">
        <f>IFERROR(__xludf.DUMMYFUNCTION("IFERROR(ABS(R3537-AVERAGE(FILTER(R3537:R7605,AA3537:AA7605=""Neighbor""))) / STDEV(FILTER(R3537:R7605, AA3537:AA7605 =""Neighbor"")), """")"),0.3428513282388271)</f>
        <v>0.3428513282</v>
      </c>
    </row>
    <row r="3538">
      <c r="A3538" s="2" t="s">
        <v>28</v>
      </c>
      <c r="B3538" s="2" t="s">
        <v>6431</v>
      </c>
      <c r="C3538" s="2" t="s">
        <v>6620</v>
      </c>
      <c r="D3538" s="2" t="s">
        <v>14397</v>
      </c>
      <c r="E3538" s="2" t="s">
        <v>14398</v>
      </c>
      <c r="F3538" s="2">
        <v>54.0</v>
      </c>
      <c r="G3538" s="2">
        <v>105.0</v>
      </c>
      <c r="H3538" s="2" t="b">
        <v>1</v>
      </c>
      <c r="I3538" s="2">
        <v>-1.0</v>
      </c>
      <c r="J3538" s="2" t="b">
        <v>0</v>
      </c>
      <c r="K3538" s="2" t="b">
        <v>0</v>
      </c>
      <c r="L3538" s="2" t="b">
        <v>0</v>
      </c>
      <c r="M3538" s="2" t="b">
        <v>0</v>
      </c>
      <c r="N3538" s="2" t="s">
        <v>33</v>
      </c>
      <c r="O3538" s="2">
        <v>38.0</v>
      </c>
      <c r="P3538" s="2">
        <v>2.0</v>
      </c>
      <c r="Q3538" s="2">
        <v>8.0</v>
      </c>
      <c r="R3538" s="2">
        <v>0.0</v>
      </c>
      <c r="S3538" s="3" t="s">
        <v>14399</v>
      </c>
      <c r="T3538" s="2" t="s">
        <v>14400</v>
      </c>
      <c r="Y3538" s="4" t="str">
        <f>IFERROR(__xludf.DUMMYFUNCTION("""COMPUTED_VALUE"""),"6.8401973")</f>
        <v>6.8401973</v>
      </c>
      <c r="Z3538" s="4" t="str">
        <f>IFERROR(__xludf.DUMMYFUNCTION("""COMPUTED_VALUE"""),"3.9128873")</f>
        <v>3.9128873</v>
      </c>
      <c r="AA3538" s="4" t="str">
        <f t="shared" si="1"/>
        <v>Neighbor</v>
      </c>
      <c r="AC3538" s="4">
        <f>IFERROR(__xludf.DUMMYFUNCTION("IFERROR(ABS(O3538-AVERAGE(FILTER(O3538:O7606,AA3538:AA7606=""Neighbor""))) / STDEV(FILTER(O3538:O7606, AA3538:AA7606 =""Neighbor"")), """")"),0.19559746194797722)</f>
        <v>0.1955974619</v>
      </c>
      <c r="AF3538" s="2">
        <f>IFERROR(__xludf.DUMMYFUNCTION("IFERROR(ABS(R3538-AVERAGE(FILTER(R3538:R7606,AA3538:AA7606=""Neighbor""))) / STDEV(FILTER(R3538:R7606, AA3538:AA7606 =""Neighbor"")), """")"),0.3428513282388271)</f>
        <v>0.3428513282</v>
      </c>
    </row>
    <row r="3539">
      <c r="A3539" s="2" t="s">
        <v>28</v>
      </c>
      <c r="B3539" s="2" t="s">
        <v>6431</v>
      </c>
      <c r="C3539" s="2" t="s">
        <v>6620</v>
      </c>
      <c r="D3539" s="2" t="s">
        <v>14401</v>
      </c>
      <c r="E3539" s="2" t="s">
        <v>14402</v>
      </c>
      <c r="F3539" s="2">
        <v>152.0</v>
      </c>
      <c r="G3539" s="2">
        <v>750.0</v>
      </c>
      <c r="H3539" s="2" t="b">
        <v>1</v>
      </c>
      <c r="I3539" s="2">
        <v>-1.0</v>
      </c>
      <c r="J3539" s="2" t="b">
        <v>0</v>
      </c>
      <c r="K3539" s="2" t="b">
        <v>0</v>
      </c>
      <c r="L3539" s="2" t="b">
        <v>0</v>
      </c>
      <c r="M3539" s="2" t="b">
        <v>0</v>
      </c>
      <c r="N3539" s="2" t="s">
        <v>33</v>
      </c>
      <c r="O3539" s="2">
        <v>96.0</v>
      </c>
      <c r="P3539" s="2">
        <v>13.0</v>
      </c>
      <c r="Q3539" s="2">
        <v>28.0</v>
      </c>
      <c r="R3539" s="2">
        <v>0.0</v>
      </c>
      <c r="S3539" s="3" t="s">
        <v>14403</v>
      </c>
      <c r="T3539" s="2" t="s">
        <v>14404</v>
      </c>
      <c r="Y3539" s="4" t="str">
        <f>IFERROR(__xludf.DUMMYFUNCTION("""COMPUTED_VALUE"""),"6.8401973")</f>
        <v>6.8401973</v>
      </c>
      <c r="Z3539" s="4" t="str">
        <f>IFERROR(__xludf.DUMMYFUNCTION("""COMPUTED_VALUE"""),"3.9128873")</f>
        <v>3.9128873</v>
      </c>
      <c r="AA3539" s="4" t="str">
        <f t="shared" si="1"/>
        <v>Neighbor</v>
      </c>
      <c r="AC3539" s="4">
        <f>IFERROR(__xludf.DUMMYFUNCTION("IFERROR(ABS(O3539-AVERAGE(FILTER(O3539:O7607,AA3539:AA7607=""Neighbor""))) / STDEV(FILTER(O3539:O7607, AA3539:AA7607 =""Neighbor"")), """")"),1.6172221339583919)</f>
        <v>1.617222134</v>
      </c>
      <c r="AF3539" s="2">
        <f>IFERROR(__xludf.DUMMYFUNCTION("IFERROR(ABS(R3539-AVERAGE(FILTER(R3539:R7607,AA3539:AA7607=""Neighbor""))) / STDEV(FILTER(R3539:R7607, AA3539:AA7607 =""Neighbor"")), """")"),0.3437952507018147)</f>
        <v>0.3437952507</v>
      </c>
    </row>
    <row r="3540">
      <c r="A3540" s="2" t="s">
        <v>28</v>
      </c>
      <c r="B3540" s="2" t="s">
        <v>6431</v>
      </c>
      <c r="C3540" s="2" t="s">
        <v>6620</v>
      </c>
      <c r="D3540" s="2" t="s">
        <v>14405</v>
      </c>
      <c r="E3540" s="2" t="s">
        <v>14406</v>
      </c>
      <c r="F3540" s="2">
        <v>173.0</v>
      </c>
      <c r="G3540" s="2">
        <v>750.0</v>
      </c>
      <c r="H3540" s="2" t="b">
        <v>1</v>
      </c>
      <c r="I3540" s="2">
        <v>-1.0</v>
      </c>
      <c r="J3540" s="2" t="b">
        <v>0</v>
      </c>
      <c r="K3540" s="2" t="b">
        <v>0</v>
      </c>
      <c r="L3540" s="2" t="b">
        <v>0</v>
      </c>
      <c r="M3540" s="2" t="b">
        <v>0</v>
      </c>
      <c r="N3540" s="2" t="s">
        <v>33</v>
      </c>
      <c r="O3540" s="2">
        <v>115.0</v>
      </c>
      <c r="P3540" s="2">
        <v>25.0</v>
      </c>
      <c r="Q3540" s="2">
        <v>27.0</v>
      </c>
      <c r="R3540" s="2">
        <v>0.0</v>
      </c>
      <c r="S3540" s="3" t="s">
        <v>14407</v>
      </c>
      <c r="T3540" s="2" t="s">
        <v>14408</v>
      </c>
      <c r="Y3540" s="4" t="str">
        <f>IFERROR(__xludf.DUMMYFUNCTION("""COMPUTED_VALUE"""),"6.8401973")</f>
        <v>6.8401973</v>
      </c>
      <c r="Z3540" s="4" t="str">
        <f>IFERROR(__xludf.DUMMYFUNCTION("""COMPUTED_VALUE"""),"3.9128873")</f>
        <v>3.9128873</v>
      </c>
      <c r="AA3540" s="4" t="str">
        <f t="shared" si="1"/>
        <v>Neighbor</v>
      </c>
      <c r="AC3540" s="4">
        <f>IFERROR(__xludf.DUMMYFUNCTION("IFERROR(ABS(O3540-AVERAGE(FILTER(O3540:O7608,AA3540:AA7608=""Neighbor""))) / STDEV(FILTER(O3540:O7608, AA3540:AA7608 =""Neighbor"")), """")"),2.228376814457576)</f>
        <v>2.228376814</v>
      </c>
      <c r="AF3540" s="2">
        <f>IFERROR(__xludf.DUMMYFUNCTION("IFERROR(ABS(R3540-AVERAGE(FILTER(R3540:R7608,AA3540:AA7608=""Neighbor""))) / STDEV(FILTER(R3540:R7608, AA3540:AA7608 =""Neighbor"")), """")"),0.3447470174431071)</f>
        <v>0.3447470174</v>
      </c>
    </row>
    <row r="3541">
      <c r="A3541" s="2" t="s">
        <v>28</v>
      </c>
      <c r="B3541" s="2" t="s">
        <v>6431</v>
      </c>
      <c r="C3541" s="2" t="s">
        <v>6620</v>
      </c>
      <c r="D3541" s="2" t="s">
        <v>14409</v>
      </c>
      <c r="E3541" s="2" t="s">
        <v>14410</v>
      </c>
      <c r="F3541" s="2">
        <v>54.0</v>
      </c>
      <c r="G3541" s="2">
        <v>123.0</v>
      </c>
      <c r="H3541" s="2" t="b">
        <v>1</v>
      </c>
      <c r="I3541" s="2">
        <v>-1.0</v>
      </c>
      <c r="J3541" s="2" t="b">
        <v>0</v>
      </c>
      <c r="K3541" s="2" t="b">
        <v>0</v>
      </c>
      <c r="L3541" s="2" t="b">
        <v>0</v>
      </c>
      <c r="M3541" s="2" t="b">
        <v>0</v>
      </c>
      <c r="N3541" s="2" t="s">
        <v>33</v>
      </c>
      <c r="O3541" s="2">
        <v>37.0</v>
      </c>
      <c r="P3541" s="2">
        <v>15.0</v>
      </c>
      <c r="Q3541" s="2">
        <v>1.0</v>
      </c>
      <c r="R3541" s="2">
        <v>0.0</v>
      </c>
      <c r="S3541" s="3" t="s">
        <v>14411</v>
      </c>
      <c r="T3541" s="2" t="s">
        <v>14412</v>
      </c>
      <c r="Y3541" s="4" t="str">
        <f>IFERROR(__xludf.DUMMYFUNCTION("""COMPUTED_VALUE"""),"6.8401973")</f>
        <v>6.8401973</v>
      </c>
      <c r="Z3541" s="4" t="str">
        <f>IFERROR(__xludf.DUMMYFUNCTION("""COMPUTED_VALUE"""),"3.9128873")</f>
        <v>3.9128873</v>
      </c>
      <c r="AA3541" s="4" t="str">
        <f t="shared" si="1"/>
        <v>Not Neighbor</v>
      </c>
      <c r="AC3541" s="4">
        <f>IFERROR(__xludf.DUMMYFUNCTION("IFERROR(ABS(O3541-AVERAGE(FILTER(O3541:O7609,AA3541:AA7609=""Neighbor""))) / STDEV(FILTER(O3541:O7609, AA3541:AA7609 =""Neighbor"")), """")"),0.2112002662896429)</f>
        <v>0.2112002663</v>
      </c>
      <c r="AF3541" s="2">
        <f>IFERROR(__xludf.DUMMYFUNCTION("IFERROR(ABS(R3541-AVERAGE(FILTER(R3541:R7609,AA3541:AA7609=""Neighbor""))) / STDEV(FILTER(R3541:R7609, AA3541:AA7609 =""Neighbor"")), """")"),0.34570673777495187)</f>
        <v>0.3457067378</v>
      </c>
    </row>
    <row r="3542">
      <c r="A3542" s="2" t="s">
        <v>28</v>
      </c>
      <c r="B3542" s="2" t="s">
        <v>6431</v>
      </c>
      <c r="C3542" s="2" t="s">
        <v>6620</v>
      </c>
      <c r="D3542" s="2" t="s">
        <v>14413</v>
      </c>
      <c r="E3542" s="2" t="s">
        <v>14414</v>
      </c>
      <c r="F3542" s="2">
        <v>170.0</v>
      </c>
      <c r="G3542" s="2">
        <v>750.0</v>
      </c>
      <c r="H3542" s="2" t="b">
        <v>1</v>
      </c>
      <c r="I3542" s="2">
        <v>-1.0</v>
      </c>
      <c r="J3542" s="2" t="b">
        <v>0</v>
      </c>
      <c r="K3542" s="2" t="b">
        <v>0</v>
      </c>
      <c r="L3542" s="2" t="b">
        <v>0</v>
      </c>
      <c r="M3542" s="2" t="b">
        <v>0</v>
      </c>
      <c r="N3542" s="2" t="s">
        <v>33</v>
      </c>
      <c r="O3542" s="2">
        <v>132.0</v>
      </c>
      <c r="P3542" s="2">
        <v>11.0</v>
      </c>
      <c r="Q3542" s="2">
        <v>22.0</v>
      </c>
      <c r="R3542" s="2">
        <v>0.0</v>
      </c>
      <c r="S3542" s="3" t="s">
        <v>14415</v>
      </c>
      <c r="T3542" s="2" t="s">
        <v>14416</v>
      </c>
      <c r="Y3542" s="4" t="str">
        <f>IFERROR(__xludf.DUMMYFUNCTION("""COMPUTED_VALUE"""),"6.8253834")</f>
        <v>6.8253834</v>
      </c>
      <c r="Z3542" s="4" t="str">
        <f>IFERROR(__xludf.DUMMYFUNCTION("""COMPUTED_VALUE"""),"3.9223752")</f>
        <v>3.9223752</v>
      </c>
      <c r="AA3542" s="4" t="str">
        <f t="shared" si="1"/>
        <v>Not Neighbor</v>
      </c>
      <c r="AC3542" s="4">
        <f>IFERROR(__xludf.DUMMYFUNCTION("IFERROR(ABS(O3542-AVERAGE(FILTER(O3542:O7610,AA3542:AA7610=""Neighbor""))) / STDEV(FILTER(O3542:O7610, AA3542:AA7610 =""Neighbor"")), """")"),2.801416144748808)</f>
        <v>2.801416145</v>
      </c>
      <c r="AF3542" s="2">
        <f>IFERROR(__xludf.DUMMYFUNCTION("IFERROR(ABS(R3542-AVERAGE(FILTER(R3542:R7610,AA3542:AA7610=""Neighbor""))) / STDEV(FILTER(R3542:R7610, AA3542:AA7610 =""Neighbor"")), """")"),0.34570673777495187)</f>
        <v>0.3457067378</v>
      </c>
    </row>
    <row r="3543">
      <c r="A3543" s="2" t="s">
        <v>28</v>
      </c>
      <c r="B3543" s="2" t="s">
        <v>6431</v>
      </c>
      <c r="C3543" s="2" t="s">
        <v>6620</v>
      </c>
      <c r="D3543" s="2" t="s">
        <v>14417</v>
      </c>
      <c r="E3543" s="2" t="s">
        <v>14418</v>
      </c>
      <c r="F3543" s="2">
        <v>98.0</v>
      </c>
      <c r="G3543" s="2">
        <v>180.0</v>
      </c>
      <c r="H3543" s="2" t="b">
        <v>1</v>
      </c>
      <c r="I3543" s="2">
        <v>-1.0</v>
      </c>
      <c r="J3543" s="2" t="b">
        <v>0</v>
      </c>
      <c r="K3543" s="2" t="b">
        <v>0</v>
      </c>
      <c r="L3543" s="2" t="b">
        <v>0</v>
      </c>
      <c r="M3543" s="2" t="b">
        <v>0</v>
      </c>
      <c r="N3543" s="2" t="s">
        <v>33</v>
      </c>
      <c r="O3543" s="2">
        <v>62.0</v>
      </c>
      <c r="P3543" s="2">
        <v>12.0</v>
      </c>
      <c r="Q3543" s="2">
        <v>24.0</v>
      </c>
      <c r="R3543" s="2">
        <v>0.0</v>
      </c>
      <c r="S3543" s="3" t="s">
        <v>14419</v>
      </c>
      <c r="T3543" s="2" t="s">
        <v>14420</v>
      </c>
      <c r="Y3543" s="4" t="str">
        <f>IFERROR(__xludf.DUMMYFUNCTION("""COMPUTED_VALUE"""),"6.8401973")</f>
        <v>6.8401973</v>
      </c>
      <c r="Z3543" s="4" t="str">
        <f>IFERROR(__xludf.DUMMYFUNCTION("""COMPUTED_VALUE"""),"3.9128873")</f>
        <v>3.9128873</v>
      </c>
      <c r="AA3543" s="4" t="str">
        <f t="shared" si="1"/>
        <v>Neighbor</v>
      </c>
      <c r="AC3543" s="4">
        <f>IFERROR(__xludf.DUMMYFUNCTION("IFERROR(ABS(O3543-AVERAGE(FILTER(O3543:O7611,AA3543:AA7611=""Neighbor""))) / STDEV(FILTER(O3543:O7611, AA3543:AA7611 =""Neighbor"")), """")"),0.5815935260888969)</f>
        <v>0.5815935261</v>
      </c>
      <c r="AF3543" s="2">
        <f>IFERROR(__xludf.DUMMYFUNCTION("IFERROR(ABS(R3543-AVERAGE(FILTER(R3543:R7611,AA3543:AA7611=""Neighbor""))) / STDEV(FILTER(R3543:R7611, AA3543:AA7611 =""Neighbor"")), """")"),0.34570673777495187)</f>
        <v>0.3457067378</v>
      </c>
    </row>
    <row r="3544">
      <c r="A3544" s="2" t="s">
        <v>28</v>
      </c>
      <c r="B3544" s="2" t="s">
        <v>6431</v>
      </c>
      <c r="C3544" s="2" t="s">
        <v>6620</v>
      </c>
      <c r="D3544" s="2" t="s">
        <v>14421</v>
      </c>
      <c r="E3544" s="2" t="s">
        <v>14422</v>
      </c>
      <c r="F3544" s="2">
        <v>46.0</v>
      </c>
      <c r="G3544" s="2">
        <v>110.0</v>
      </c>
      <c r="H3544" s="2" t="b">
        <v>1</v>
      </c>
      <c r="I3544" s="2">
        <v>-1.0</v>
      </c>
      <c r="J3544" s="2" t="b">
        <v>0</v>
      </c>
      <c r="K3544" s="2" t="b">
        <v>0</v>
      </c>
      <c r="L3544" s="2" t="b">
        <v>0</v>
      </c>
      <c r="M3544" s="2" t="b">
        <v>0</v>
      </c>
      <c r="N3544" s="2" t="s">
        <v>33</v>
      </c>
      <c r="O3544" s="2">
        <v>31.0</v>
      </c>
      <c r="P3544" s="2">
        <v>8.0</v>
      </c>
      <c r="Q3544" s="2">
        <v>0.0</v>
      </c>
      <c r="R3544" s="2">
        <v>0.0</v>
      </c>
      <c r="S3544" s="3" t="s">
        <v>14423</v>
      </c>
      <c r="T3544" s="2" t="s">
        <v>14424</v>
      </c>
      <c r="Y3544" s="4" t="str">
        <f>IFERROR(__xludf.DUMMYFUNCTION("""COMPUTED_VALUE"""),"6.8401973")</f>
        <v>6.8401973</v>
      </c>
      <c r="Z3544" s="4" t="str">
        <f>IFERROR(__xludf.DUMMYFUNCTION("""COMPUTED_VALUE"""),"3.9128873")</f>
        <v>3.9128873</v>
      </c>
      <c r="AA3544" s="4" t="str">
        <f t="shared" si="1"/>
        <v>Not Neighbor</v>
      </c>
      <c r="AC3544" s="4">
        <f>IFERROR(__xludf.DUMMYFUNCTION("IFERROR(ABS(O3544-AVERAGE(FILTER(O3544:O7612,AA3544:AA7612=""Neighbor""))) / STDEV(FILTER(O3544:O7612, AA3544:AA7612 =""Neighbor"")), """")"),0.3978855556656937)</f>
        <v>0.3978855557</v>
      </c>
      <c r="AF3544" s="2">
        <f>IFERROR(__xludf.DUMMYFUNCTION("IFERROR(ABS(R3544-AVERAGE(FILTER(R3544:R7612,AA3544:AA7612=""Neighbor""))) / STDEV(FILTER(R3544:R7612, AA3544:AA7612 =""Neighbor"")), """")"),0.34667452315520947)</f>
        <v>0.3466745232</v>
      </c>
    </row>
    <row r="3545">
      <c r="A3545" s="2" t="s">
        <v>28</v>
      </c>
      <c r="B3545" s="2" t="s">
        <v>6431</v>
      </c>
      <c r="C3545" s="2" t="s">
        <v>6620</v>
      </c>
      <c r="D3545" s="2" t="s">
        <v>14425</v>
      </c>
      <c r="E3545" s="2" t="s">
        <v>14426</v>
      </c>
      <c r="F3545" s="2">
        <v>134.0</v>
      </c>
      <c r="G3545" s="2">
        <v>699.0</v>
      </c>
      <c r="H3545" s="2" t="b">
        <v>1</v>
      </c>
      <c r="I3545" s="2">
        <v>-1.0</v>
      </c>
      <c r="J3545" s="2" t="b">
        <v>0</v>
      </c>
      <c r="K3545" s="2" t="b">
        <v>0</v>
      </c>
      <c r="L3545" s="2" t="b">
        <v>0</v>
      </c>
      <c r="M3545" s="2" t="b">
        <v>0</v>
      </c>
      <c r="N3545" s="2" t="s">
        <v>33</v>
      </c>
      <c r="O3545" s="2">
        <v>95.0</v>
      </c>
      <c r="P3545" s="2">
        <v>20.0</v>
      </c>
      <c r="Q3545" s="2">
        <v>12.0</v>
      </c>
      <c r="R3545" s="2">
        <v>1.0</v>
      </c>
      <c r="S3545" s="3" t="s">
        <v>14427</v>
      </c>
      <c r="T3545" s="2" t="s">
        <v>14428</v>
      </c>
      <c r="Y3545" s="4" t="str">
        <f>IFERROR(__xludf.DUMMYFUNCTION("""COMPUTED_VALUE"""),"6.828346")</f>
        <v>6.828346</v>
      </c>
      <c r="Z3545" s="4" t="str">
        <f>IFERROR(__xludf.DUMMYFUNCTION("""COMPUTED_VALUE"""),"3.9186776")</f>
        <v>3.9186776</v>
      </c>
      <c r="AA3545" s="4" t="str">
        <f t="shared" si="1"/>
        <v>Not Neighbor</v>
      </c>
      <c r="AC3545" s="4">
        <f>IFERROR(__xludf.DUMMYFUNCTION("IFERROR(ABS(O3545-AVERAGE(FILTER(O3545:O7613,AA3545:AA7613=""Neighbor""))) / STDEV(FILTER(O3545:O7613, AA3545:AA7613 =""Neighbor"")), """")"),1.6282921480361354)</f>
        <v>1.628292148</v>
      </c>
      <c r="AF3545" s="2">
        <f>IFERROR(__xludf.DUMMYFUNCTION("IFERROR(ABS(R3545-AVERAGE(FILTER(R3545:R7613,AA3545:AA7613=""Neighbor""))) / STDEV(FILTER(R3545:R7613, AA3545:AA7613 =""Neighbor"")), """")"),0.7146828631199703)</f>
        <v>0.7146828631</v>
      </c>
    </row>
    <row r="3546">
      <c r="A3546" s="2" t="s">
        <v>28</v>
      </c>
      <c r="B3546" s="2" t="s">
        <v>6431</v>
      </c>
      <c r="C3546" s="2" t="s">
        <v>6620</v>
      </c>
      <c r="D3546" s="2" t="s">
        <v>14429</v>
      </c>
      <c r="E3546" s="2" t="s">
        <v>14430</v>
      </c>
      <c r="F3546" s="2">
        <v>40.0</v>
      </c>
      <c r="G3546" s="2">
        <v>89.0</v>
      </c>
      <c r="H3546" s="2" t="b">
        <v>1</v>
      </c>
      <c r="I3546" s="2">
        <v>-1.0</v>
      </c>
      <c r="J3546" s="2" t="b">
        <v>0</v>
      </c>
      <c r="K3546" s="2" t="b">
        <v>0</v>
      </c>
      <c r="L3546" s="2" t="b">
        <v>0</v>
      </c>
      <c r="M3546" s="2" t="b">
        <v>0</v>
      </c>
      <c r="N3546" s="2" t="s">
        <v>33</v>
      </c>
      <c r="O3546" s="2">
        <v>29.0</v>
      </c>
      <c r="P3546" s="2">
        <v>6.0</v>
      </c>
      <c r="Q3546" s="2">
        <v>4.0</v>
      </c>
      <c r="R3546" s="2">
        <v>0.0</v>
      </c>
      <c r="S3546" s="3" t="s">
        <v>14431</v>
      </c>
      <c r="T3546" s="2" t="s">
        <v>14432</v>
      </c>
      <c r="Y3546" s="4" t="str">
        <f>IFERROR(__xludf.DUMMYFUNCTION("""COMPUTED_VALUE"""),"6.8412103")</f>
        <v>6.8412103</v>
      </c>
      <c r="Z3546" s="4" t="str">
        <f>IFERROR(__xludf.DUMMYFUNCTION("""COMPUTED_VALUE"""),"3.9046222")</f>
        <v>3.9046222</v>
      </c>
      <c r="AA3546" s="4" t="str">
        <f t="shared" si="1"/>
        <v>Not Neighbor</v>
      </c>
      <c r="AC3546" s="4">
        <f>IFERROR(__xludf.DUMMYFUNCTION("IFERROR(ABS(O3546-AVERAGE(FILTER(O3546:O7614,AA3546:AA7614=""Neighbor""))) / STDEV(FILTER(O3546:O7614, AA3546:AA7614 =""Neighbor"")), """")"),0.4612036089063759)</f>
        <v>0.4612036089</v>
      </c>
      <c r="AF3546" s="2">
        <f>IFERROR(__xludf.DUMMYFUNCTION("IFERROR(ABS(R3546-AVERAGE(FILTER(R3546:R7614,AA3546:AA7614=""Neighbor""))) / STDEV(FILTER(R3546:R7614, AA3546:AA7614 =""Neighbor"")), """")"),0.34667452315520947)</f>
        <v>0.3466745232</v>
      </c>
    </row>
    <row r="3547">
      <c r="A3547" s="2" t="s">
        <v>28</v>
      </c>
      <c r="B3547" s="2" t="s">
        <v>6431</v>
      </c>
      <c r="C3547" s="2" t="s">
        <v>6432</v>
      </c>
      <c r="D3547" s="2" t="s">
        <v>14433</v>
      </c>
      <c r="E3547" s="2" t="s">
        <v>14434</v>
      </c>
      <c r="F3547" s="2">
        <v>66.0</v>
      </c>
      <c r="G3547" s="2">
        <v>152.0</v>
      </c>
      <c r="H3547" s="2" t="b">
        <v>1</v>
      </c>
      <c r="I3547" s="2">
        <v>-1.0</v>
      </c>
      <c r="J3547" s="2" t="b">
        <v>0</v>
      </c>
      <c r="K3547" s="2" t="b">
        <v>0</v>
      </c>
      <c r="L3547" s="2" t="b">
        <v>0</v>
      </c>
      <c r="M3547" s="2" t="b">
        <v>0</v>
      </c>
      <c r="N3547" s="2" t="s">
        <v>33</v>
      </c>
      <c r="O3547" s="2">
        <v>0.0</v>
      </c>
      <c r="P3547" s="2">
        <v>8.0</v>
      </c>
      <c r="Q3547" s="2">
        <v>15.0</v>
      </c>
      <c r="R3547" s="2">
        <v>0.0</v>
      </c>
      <c r="S3547" s="3" t="s">
        <v>14435</v>
      </c>
      <c r="T3547" s="2" t="s">
        <v>14436</v>
      </c>
      <c r="Y3547" s="4" t="str">
        <f>IFERROR(__xludf.DUMMYFUNCTION("""COMPUTED_VALUE"""),"6.8043899")</f>
        <v>6.8043899</v>
      </c>
      <c r="Z3547" s="4" t="str">
        <f>IFERROR(__xludf.DUMMYFUNCTION("""COMPUTED_VALUE"""),"3.9222848")</f>
        <v>3.9222848</v>
      </c>
      <c r="AA3547" s="4" t="str">
        <f t="shared" si="1"/>
        <v>Neighbor</v>
      </c>
      <c r="AC3547" s="4">
        <f>IFERROR(__xludf.DUMMYFUNCTION("IFERROR(ABS(O3547-AVERAGE(FILTER(O3547:O7615,AA3547:AA7615=""Neighbor""))) / STDEV(FILTER(O3547:O7615, AA3547:AA7615 =""Neighbor"")), """")"),1.3793153808962673)</f>
        <v>1.379315381</v>
      </c>
      <c r="AF3547" s="2">
        <f>IFERROR(__xludf.DUMMYFUNCTION("IFERROR(ABS(R3547-AVERAGE(FILTER(R3547:R7615,AA3547:AA7615=""Neighbor""))) / STDEV(FILTER(R3547:R7615, AA3547:AA7615 =""Neighbor"")), """")"),0.34667452315520947)</f>
        <v>0.3466745232</v>
      </c>
    </row>
    <row r="3548">
      <c r="A3548" s="2" t="s">
        <v>28</v>
      </c>
      <c r="B3548" s="2" t="s">
        <v>6431</v>
      </c>
      <c r="C3548" s="2" t="s">
        <v>6432</v>
      </c>
      <c r="D3548" s="2" t="s">
        <v>14437</v>
      </c>
      <c r="E3548" s="2" t="s">
        <v>14438</v>
      </c>
      <c r="F3548" s="2">
        <v>308.0</v>
      </c>
      <c r="G3548" s="2">
        <v>750.0</v>
      </c>
      <c r="H3548" s="2" t="b">
        <v>1</v>
      </c>
      <c r="I3548" s="2">
        <v>-1.0</v>
      </c>
      <c r="J3548" s="2" t="b">
        <v>0</v>
      </c>
      <c r="K3548" s="2" t="b">
        <v>0</v>
      </c>
      <c r="L3548" s="2" t="b">
        <v>0</v>
      </c>
      <c r="M3548" s="2" t="b">
        <v>0</v>
      </c>
      <c r="N3548" s="2" t="s">
        <v>33</v>
      </c>
      <c r="O3548" s="2">
        <v>194.0</v>
      </c>
      <c r="P3548" s="2">
        <v>70.0</v>
      </c>
      <c r="Q3548" s="2">
        <v>22.0</v>
      </c>
      <c r="R3548" s="2">
        <v>0.0</v>
      </c>
      <c r="S3548" s="3" t="s">
        <v>14439</v>
      </c>
      <c r="T3548" s="2" t="s">
        <v>14440</v>
      </c>
      <c r="Y3548" s="4" t="str">
        <f>IFERROR(__xludf.DUMMYFUNCTION("""COMPUTED_VALUE"""),"6.8072357")</f>
        <v>6.8072357</v>
      </c>
      <c r="Z3548" s="4" t="str">
        <f>IFERROR(__xludf.DUMMYFUNCTION("""COMPUTED_VALUE"""),"3.9269487")</f>
        <v>3.9269487</v>
      </c>
      <c r="AA3548" s="4" t="str">
        <f t="shared" si="1"/>
        <v>Not Neighbor</v>
      </c>
      <c r="AC3548" s="4">
        <f>IFERROR(__xludf.DUMMYFUNCTION("IFERROR(ABS(O3548-AVERAGE(FILTER(O3548:O7616,AA3548:AA7616=""Neighbor""))) / STDEV(FILTER(O3548:O7616, AA3548:AA7616 =""Neighbor"")), """")"),4.76661718120619)</f>
        <v>4.766617181</v>
      </c>
      <c r="AF3548" s="2">
        <f>IFERROR(__xludf.DUMMYFUNCTION("IFERROR(ABS(R3548-AVERAGE(FILTER(R3548:R7616,AA3548:AA7616=""Neighbor""))) / STDEV(FILTER(R3548:R7616, AA3548:AA7616 =""Neighbor"")), """")"),0.3476504872418284)</f>
        <v>0.3476504872</v>
      </c>
    </row>
    <row r="3549">
      <c r="A3549" s="2" t="s">
        <v>28</v>
      </c>
      <c r="B3549" s="2" t="s">
        <v>6431</v>
      </c>
      <c r="C3549" s="2" t="s">
        <v>6471</v>
      </c>
      <c r="D3549" s="2" t="s">
        <v>14441</v>
      </c>
      <c r="E3549" s="2" t="s">
        <v>14442</v>
      </c>
      <c r="F3549" s="2">
        <v>142.0</v>
      </c>
      <c r="G3549" s="2">
        <v>280.0</v>
      </c>
      <c r="H3549" s="2" t="b">
        <v>1</v>
      </c>
      <c r="I3549" s="2">
        <v>-1.0</v>
      </c>
      <c r="J3549" s="2" t="b">
        <v>0</v>
      </c>
      <c r="K3549" s="2" t="b">
        <v>0</v>
      </c>
      <c r="L3549" s="2" t="b">
        <v>0</v>
      </c>
      <c r="M3549" s="2" t="b">
        <v>0</v>
      </c>
      <c r="N3549" s="2" t="s">
        <v>33</v>
      </c>
      <c r="O3549" s="2">
        <v>79.0</v>
      </c>
      <c r="P3549" s="2">
        <v>5.0</v>
      </c>
      <c r="Q3549" s="2">
        <v>45.0</v>
      </c>
      <c r="R3549" s="2">
        <v>0.0</v>
      </c>
      <c r="S3549" s="3" t="s">
        <v>14443</v>
      </c>
      <c r="T3549" s="2" t="s">
        <v>14444</v>
      </c>
      <c r="Y3549" s="4" t="str">
        <f>IFERROR(__xludf.DUMMYFUNCTION("""COMPUTED_VALUE"""),"6.8212606")</f>
        <v>6.8212606</v>
      </c>
      <c r="Z3549" s="4" t="str">
        <f>IFERROR(__xludf.DUMMYFUNCTION("""COMPUTED_VALUE"""),"3.920191")</f>
        <v>3.920191</v>
      </c>
      <c r="AA3549" s="4" t="str">
        <f t="shared" si="1"/>
        <v>Neighbor</v>
      </c>
      <c r="AC3549" s="4">
        <f>IFERROR(__xludf.DUMMYFUNCTION("IFERROR(ABS(O3549-AVERAGE(FILTER(O3549:O7617,AA3549:AA7617=""Neighbor""))) / STDEV(FILTER(O3549:O7617, AA3549:AA7617 =""Neighbor"")), """")"),1.1173712254511987)</f>
        <v>1.117371225</v>
      </c>
      <c r="AF3549" s="2">
        <f>IFERROR(__xludf.DUMMYFUNCTION("IFERROR(ABS(R3549-AVERAGE(FILTER(R3549:R7617,AA3549:AA7617=""Neighbor""))) / STDEV(FILTER(R3549:R7617, AA3549:AA7617 =""Neighbor"")), """")"),0.3476504872418284)</f>
        <v>0.3476504872</v>
      </c>
    </row>
    <row r="3550">
      <c r="A3550" s="2" t="s">
        <v>28</v>
      </c>
      <c r="B3550" s="2" t="s">
        <v>6431</v>
      </c>
      <c r="C3550" s="2" t="s">
        <v>6665</v>
      </c>
      <c r="D3550" s="2" t="s">
        <v>14445</v>
      </c>
      <c r="E3550" s="2" t="s">
        <v>14446</v>
      </c>
      <c r="F3550" s="2">
        <v>137.0</v>
      </c>
      <c r="G3550" s="2">
        <v>481.0</v>
      </c>
      <c r="H3550" s="2" t="b">
        <v>1</v>
      </c>
      <c r="I3550" s="2">
        <v>-1.0</v>
      </c>
      <c r="J3550" s="2" t="b">
        <v>0</v>
      </c>
      <c r="K3550" s="2" t="b">
        <v>0</v>
      </c>
      <c r="L3550" s="2" t="b">
        <v>0</v>
      </c>
      <c r="M3550" s="2" t="b">
        <v>0</v>
      </c>
      <c r="N3550" s="2" t="s">
        <v>33</v>
      </c>
      <c r="O3550" s="2">
        <v>82.0</v>
      </c>
      <c r="P3550" s="2">
        <v>30.0</v>
      </c>
      <c r="Q3550" s="2">
        <v>3.0</v>
      </c>
      <c r="R3550" s="2">
        <v>1.0</v>
      </c>
      <c r="S3550" s="3" t="s">
        <v>14447</v>
      </c>
      <c r="T3550" s="2" t="s">
        <v>14448</v>
      </c>
      <c r="Y3550" s="4" t="str">
        <f>IFERROR(__xludf.DUMMYFUNCTION("""COMPUTED_VALUE"""),"6.8305637")</f>
        <v>6.8305637</v>
      </c>
      <c r="Z3550" s="4" t="str">
        <f>IFERROR(__xludf.DUMMYFUNCTION("""COMPUTED_VALUE"""),"3.9241624")</f>
        <v>3.9241624</v>
      </c>
      <c r="AA3550" s="4" t="str">
        <f t="shared" si="1"/>
        <v>Neighbor</v>
      </c>
      <c r="AC3550" s="4">
        <f>IFERROR(__xludf.DUMMYFUNCTION("IFERROR(ABS(O3550-AVERAGE(FILTER(O3550:O7618,AA3550:AA7618=""Neighbor""))) / STDEV(FILTER(O3550:O7618, AA3550:AA7618 =""Neighbor"")), """")"),1.2190336853859567)</f>
        <v>1.219033685</v>
      </c>
      <c r="AF3550" s="2">
        <f>IFERROR(__xludf.DUMMYFUNCTION("IFERROR(ABS(R3550-AVERAGE(FILTER(R3550:R7618,AA3550:AA7618=""Neighbor""))) / STDEV(FILTER(R3550:R7618, AA3550:AA7618 =""Neighbor"")), """")"),0.7079967148503232)</f>
        <v>0.7079967149</v>
      </c>
    </row>
    <row r="3551">
      <c r="A3551" s="2" t="s">
        <v>28</v>
      </c>
      <c r="B3551" s="2" t="s">
        <v>6431</v>
      </c>
      <c r="C3551" s="2" t="s">
        <v>6665</v>
      </c>
      <c r="D3551" s="2" t="s">
        <v>14449</v>
      </c>
      <c r="E3551" s="2" t="s">
        <v>14450</v>
      </c>
      <c r="F3551" s="2">
        <v>57.0</v>
      </c>
      <c r="G3551" s="2">
        <v>116.0</v>
      </c>
      <c r="H3551" s="2" t="b">
        <v>1</v>
      </c>
      <c r="I3551" s="2">
        <v>-1.0</v>
      </c>
      <c r="J3551" s="2" t="b">
        <v>0</v>
      </c>
      <c r="K3551" s="2" t="b">
        <v>0</v>
      </c>
      <c r="L3551" s="2" t="b">
        <v>0</v>
      </c>
      <c r="M3551" s="2" t="b">
        <v>0</v>
      </c>
      <c r="N3551" s="2" t="s">
        <v>33</v>
      </c>
      <c r="O3551" s="2">
        <v>41.0</v>
      </c>
      <c r="P3551" s="2">
        <v>9.0</v>
      </c>
      <c r="Q3551" s="2">
        <v>4.0</v>
      </c>
      <c r="R3551" s="2">
        <v>0.0</v>
      </c>
      <c r="S3551" s="3" t="s">
        <v>14451</v>
      </c>
      <c r="T3551" s="2" t="s">
        <v>14452</v>
      </c>
      <c r="Y3551" s="4" t="str">
        <f>IFERROR(__xludf.DUMMYFUNCTION("""COMPUTED_VALUE"""),"6.8285963")</f>
        <v>6.8285963</v>
      </c>
      <c r="Z3551" s="4" t="str">
        <f>IFERROR(__xludf.DUMMYFUNCTION("""COMPUTED_VALUE"""),"3.9332481")</f>
        <v>3.9332481</v>
      </c>
      <c r="AA3551" s="4" t="str">
        <f t="shared" si="1"/>
        <v>Neighbor</v>
      </c>
      <c r="AC3551" s="4">
        <f>IFERROR(__xludf.DUMMYFUNCTION("IFERROR(ABS(O3551-AVERAGE(FILTER(O3551:O7619,AA3551:AA7619=""Neighbor""))) / STDEV(FILTER(O3551:O7619, AA3551:AA7619 =""Neighbor"")), """")"),0.07672612895158036)</f>
        <v>0.07672612895</v>
      </c>
      <c r="AF3551" s="2">
        <f>IFERROR(__xludf.DUMMYFUNCTION("IFERROR(ABS(R3551-AVERAGE(FILTER(R3551:R7619,AA3551:AA7619=""Neighbor""))) / STDEV(FILTER(R3551:R7619, AA3551:AA7619 =""Neighbor"")), """")"),0.34458439380315825)</f>
        <v>0.3445843938</v>
      </c>
    </row>
    <row r="3552">
      <c r="A3552" s="2" t="s">
        <v>28</v>
      </c>
      <c r="B3552" s="2" t="s">
        <v>6431</v>
      </c>
      <c r="C3552" s="2" t="s">
        <v>6665</v>
      </c>
      <c r="D3552" s="2" t="s">
        <v>14453</v>
      </c>
      <c r="E3552" s="2" t="s">
        <v>14454</v>
      </c>
      <c r="F3552" s="2">
        <v>169.0</v>
      </c>
      <c r="G3552" s="2">
        <v>585.0</v>
      </c>
      <c r="H3552" s="2" t="b">
        <v>1</v>
      </c>
      <c r="I3552" s="2">
        <v>-1.0</v>
      </c>
      <c r="J3552" s="2" t="b">
        <v>0</v>
      </c>
      <c r="K3552" s="2" t="b">
        <v>1</v>
      </c>
      <c r="L3552" s="2" t="b">
        <v>0</v>
      </c>
      <c r="M3552" s="2" t="b">
        <v>0</v>
      </c>
      <c r="N3552" s="2" t="s">
        <v>33</v>
      </c>
      <c r="O3552" s="2">
        <v>101.0</v>
      </c>
      <c r="P3552" s="2">
        <v>48.0</v>
      </c>
      <c r="Q3552" s="2">
        <v>16.0</v>
      </c>
      <c r="R3552" s="2">
        <v>0.0</v>
      </c>
      <c r="S3552" s="3" t="s">
        <v>14455</v>
      </c>
      <c r="T3552" s="2" t="s">
        <v>14456</v>
      </c>
      <c r="Y3552" s="4" t="str">
        <f>IFERROR(__xludf.DUMMYFUNCTION("""COMPUTED_VALUE"""),"6.8285963")</f>
        <v>6.8285963</v>
      </c>
      <c r="Z3552" s="4" t="str">
        <f>IFERROR(__xludf.DUMMYFUNCTION("""COMPUTED_VALUE"""),"3.9332481")</f>
        <v>3.9332481</v>
      </c>
      <c r="AA3552" s="4" t="str">
        <f t="shared" si="1"/>
        <v>Neighbor</v>
      </c>
      <c r="AC3552" s="4">
        <f>IFERROR(__xludf.DUMMYFUNCTION("IFERROR(ABS(O3552-AVERAGE(FILTER(O3552:O7620,AA3552:AA7620=""Neighbor""))) / STDEV(FILTER(O3552:O7620, AA3552:AA7620 =""Neighbor"")), """")"),1.8258179726441153)</f>
        <v>1.825817973</v>
      </c>
      <c r="AF3552" s="2">
        <f>IFERROR(__xludf.DUMMYFUNCTION("IFERROR(ABS(R3552-AVERAGE(FILTER(R3552:R7620,AA3552:AA7620=""Neighbor""))) / STDEV(FILTER(R3552:R7620, AA3552:AA7620 =""Neighbor"")), """")"),0.34556803750344567)</f>
        <v>0.3455680375</v>
      </c>
    </row>
    <row r="3553">
      <c r="A3553" s="2" t="s">
        <v>28</v>
      </c>
      <c r="B3553" s="2" t="s">
        <v>6431</v>
      </c>
      <c r="C3553" s="2" t="s">
        <v>6665</v>
      </c>
      <c r="D3553" s="2" t="s">
        <v>14457</v>
      </c>
      <c r="E3553" s="2" t="s">
        <v>14458</v>
      </c>
      <c r="F3553" s="2">
        <v>77.0</v>
      </c>
      <c r="G3553" s="2">
        <v>156.0</v>
      </c>
      <c r="H3553" s="2" t="b">
        <v>1</v>
      </c>
      <c r="I3553" s="2">
        <v>-1.0</v>
      </c>
      <c r="J3553" s="2" t="b">
        <v>0</v>
      </c>
      <c r="K3553" s="2" t="b">
        <v>0</v>
      </c>
      <c r="L3553" s="2" t="b">
        <v>0</v>
      </c>
      <c r="M3553" s="2" t="b">
        <v>0</v>
      </c>
      <c r="N3553" s="2" t="s">
        <v>33</v>
      </c>
      <c r="O3553" s="2">
        <v>43.0</v>
      </c>
      <c r="P3553" s="2">
        <v>20.0</v>
      </c>
      <c r="Q3553" s="2">
        <v>5.0</v>
      </c>
      <c r="R3553" s="2">
        <v>0.0</v>
      </c>
      <c r="S3553" s="3" t="s">
        <v>14459</v>
      </c>
      <c r="T3553" s="2" t="s">
        <v>14460</v>
      </c>
      <c r="Y3553" s="4" t="str">
        <f>IFERROR(__xludf.DUMMYFUNCTION("""COMPUTED_VALUE"""),"6.8294713")</f>
        <v>6.8294713</v>
      </c>
      <c r="Z3553" s="4" t="str">
        <f>IFERROR(__xludf.DUMMYFUNCTION("""COMPUTED_VALUE"""),"3.9339392")</f>
        <v>3.9339392</v>
      </c>
      <c r="AA3553" s="4" t="str">
        <f t="shared" si="1"/>
        <v>Not Neighbor</v>
      </c>
      <c r="AC3553" s="4">
        <f>IFERROR(__xludf.DUMMYFUNCTION("IFERROR(ABS(O3553-AVERAGE(FILTER(O3553:O7621,AA3553:AA7621=""Neighbor""))) / STDEV(FILTER(O3553:O7621, AA3553:AA7621 =""Neighbor"")), """")"),0.004111760406442768)</f>
        <v>0.004111760406</v>
      </c>
      <c r="AF3553" s="2">
        <f>IFERROR(__xludf.DUMMYFUNCTION("IFERROR(ABS(R3553-AVERAGE(FILTER(R3553:R7621,AA3553:AA7621=""Neighbor""))) / STDEV(FILTER(R3553:R7621, AA3553:AA7621 =""Neighbor"")), """")"),0.34656015868041595)</f>
        <v>0.3465601587</v>
      </c>
    </row>
    <row r="3554">
      <c r="A3554" s="2" t="s">
        <v>28</v>
      </c>
      <c r="B3554" s="2" t="s">
        <v>6431</v>
      </c>
      <c r="C3554" s="2" t="s">
        <v>6665</v>
      </c>
      <c r="D3554" s="2" t="s">
        <v>14461</v>
      </c>
      <c r="E3554" s="2" t="s">
        <v>14462</v>
      </c>
      <c r="F3554" s="2">
        <v>48.0</v>
      </c>
      <c r="G3554" s="2">
        <v>84.0</v>
      </c>
      <c r="H3554" s="2" t="b">
        <v>1</v>
      </c>
      <c r="I3554" s="2">
        <v>-1.0</v>
      </c>
      <c r="J3554" s="2" t="b">
        <v>0</v>
      </c>
      <c r="K3554" s="2" t="b">
        <v>0</v>
      </c>
      <c r="L3554" s="2" t="b">
        <v>0</v>
      </c>
      <c r="M3554" s="2" t="b">
        <v>0</v>
      </c>
      <c r="N3554" s="2" t="s">
        <v>33</v>
      </c>
      <c r="O3554" s="2">
        <v>23.0</v>
      </c>
      <c r="P3554" s="2">
        <v>18.0</v>
      </c>
      <c r="Q3554" s="2">
        <v>2.0</v>
      </c>
      <c r="R3554" s="2">
        <v>0.0</v>
      </c>
      <c r="S3554" s="3" t="s">
        <v>14463</v>
      </c>
      <c r="T3554" s="2" t="s">
        <v>14464</v>
      </c>
      <c r="Y3554" s="4" t="str">
        <f>IFERROR(__xludf.DUMMYFUNCTION("""COMPUTED_VALUE"""),"6.8389194")</f>
        <v>6.8389194</v>
      </c>
      <c r="Z3554" s="4" t="str">
        <f>IFERROR(__xludf.DUMMYFUNCTION("""COMPUTED_VALUE"""),"3.9687122")</f>
        <v>3.9687122</v>
      </c>
      <c r="AA3554" s="4" t="str">
        <f t="shared" si="1"/>
        <v>Not Neighbor</v>
      </c>
      <c r="AC3554" s="4">
        <f>IFERROR(__xludf.DUMMYFUNCTION("IFERROR(ABS(O3554-AVERAGE(FILTER(O3554:O7622,AA3554:AA7622=""Neighbor""))) / STDEV(FILTER(O3554:O7622, AA3554:AA7622 =""Neighbor"")), """")"),0.6422569754863539)</f>
        <v>0.6422569755</v>
      </c>
      <c r="AF3554" s="2">
        <f>IFERROR(__xludf.DUMMYFUNCTION("IFERROR(ABS(R3554-AVERAGE(FILTER(R3554:R7622,AA3554:AA7622=""Neighbor""))) / STDEV(FILTER(R3554:R7622, AA3554:AA7622 =""Neighbor"")), """")"),0.34656015868041595)</f>
        <v>0.3465601587</v>
      </c>
    </row>
    <row r="3555">
      <c r="A3555" s="2" t="s">
        <v>28</v>
      </c>
      <c r="B3555" s="2" t="s">
        <v>6431</v>
      </c>
      <c r="C3555" s="2" t="s">
        <v>6665</v>
      </c>
      <c r="D3555" s="2" t="s">
        <v>14465</v>
      </c>
      <c r="E3555" s="2" t="s">
        <v>14466</v>
      </c>
      <c r="F3555" s="2">
        <v>57.0</v>
      </c>
      <c r="G3555" s="2">
        <v>193.0</v>
      </c>
      <c r="H3555" s="2" t="b">
        <v>1</v>
      </c>
      <c r="I3555" s="2">
        <v>-1.0</v>
      </c>
      <c r="J3555" s="2" t="b">
        <v>0</v>
      </c>
      <c r="K3555" s="2" t="b">
        <v>0</v>
      </c>
      <c r="L3555" s="2" t="b">
        <v>0</v>
      </c>
      <c r="M3555" s="2" t="b">
        <v>0</v>
      </c>
      <c r="N3555" s="2" t="s">
        <v>33</v>
      </c>
      <c r="O3555" s="2">
        <v>23.0</v>
      </c>
      <c r="P3555" s="2">
        <v>13.0</v>
      </c>
      <c r="Q3555" s="2">
        <v>13.0</v>
      </c>
      <c r="R3555" s="2">
        <v>0.0</v>
      </c>
      <c r="S3555" s="3" t="s">
        <v>14467</v>
      </c>
      <c r="T3555" s="2" t="s">
        <v>14468</v>
      </c>
      <c r="Y3555" s="4" t="str">
        <f>IFERROR(__xludf.DUMMYFUNCTION("""COMPUTED_VALUE"""),"6.8198731")</f>
        <v>6.8198731</v>
      </c>
      <c r="Z3555" s="4" t="str">
        <f>IFERROR(__xludf.DUMMYFUNCTION("""COMPUTED_VALUE"""),"3.9285098")</f>
        <v>3.9285098</v>
      </c>
      <c r="AA3555" s="4" t="str">
        <f t="shared" si="1"/>
        <v>Not Neighbor</v>
      </c>
      <c r="AC3555" s="4">
        <f>IFERROR(__xludf.DUMMYFUNCTION("IFERROR(ABS(O3555-AVERAGE(FILTER(O3555:O7623,AA3555:AA7623=""Neighbor""))) / STDEV(FILTER(O3555:O7623, AA3555:AA7623 =""Neighbor"")), """")"),0.6422569754863539)</f>
        <v>0.6422569755</v>
      </c>
      <c r="AF3555" s="2">
        <f>IFERROR(__xludf.DUMMYFUNCTION("IFERROR(ABS(R3555-AVERAGE(FILTER(R3555:R7623,AA3555:AA7623=""Neighbor""))) / STDEV(FILTER(R3555:R7623, AA3555:AA7623 =""Neighbor"")), """")"),0.34656015868041595)</f>
        <v>0.3465601587</v>
      </c>
    </row>
    <row r="3556">
      <c r="A3556" s="2" t="s">
        <v>28</v>
      </c>
      <c r="B3556" s="2" t="s">
        <v>6431</v>
      </c>
      <c r="C3556" s="2" t="s">
        <v>6558</v>
      </c>
      <c r="D3556" s="2" t="s">
        <v>14469</v>
      </c>
      <c r="E3556" s="2" t="s">
        <v>14470</v>
      </c>
      <c r="F3556" s="2">
        <v>78.0</v>
      </c>
      <c r="G3556" s="2">
        <v>149.0</v>
      </c>
      <c r="H3556" s="2" t="b">
        <v>1</v>
      </c>
      <c r="I3556" s="2">
        <v>-1.0</v>
      </c>
      <c r="J3556" s="2" t="b">
        <v>0</v>
      </c>
      <c r="K3556" s="2" t="b">
        <v>0</v>
      </c>
      <c r="L3556" s="2" t="b">
        <v>0</v>
      </c>
      <c r="M3556" s="2" t="b">
        <v>0</v>
      </c>
      <c r="N3556" s="2" t="s">
        <v>33</v>
      </c>
      <c r="O3556" s="2">
        <v>41.0</v>
      </c>
      <c r="P3556" s="2">
        <v>21.0</v>
      </c>
      <c r="Q3556" s="2">
        <v>8.0</v>
      </c>
      <c r="R3556" s="2">
        <v>0.0</v>
      </c>
      <c r="S3556" s="3" t="s">
        <v>14471</v>
      </c>
      <c r="T3556" s="2" t="s">
        <v>14472</v>
      </c>
      <c r="Y3556" s="4" t="str">
        <f>IFERROR(__xludf.DUMMYFUNCTION("""COMPUTED_VALUE"""),"6.8231638")</f>
        <v>6.8231638</v>
      </c>
      <c r="Z3556" s="4" t="str">
        <f>IFERROR(__xludf.DUMMYFUNCTION("""COMPUTED_VALUE"""),"3.9080123")</f>
        <v>3.9080123</v>
      </c>
      <c r="AA3556" s="4" t="str">
        <f t="shared" si="1"/>
        <v>Neighbor</v>
      </c>
      <c r="AC3556" s="4">
        <f>IFERROR(__xludf.DUMMYFUNCTION("IFERROR(ABS(O3556-AVERAGE(FILTER(O3556:O7624,AA3556:AA7624=""Neighbor""))) / STDEV(FILTER(O3556:O7624, AA3556:AA7624 =""Neighbor"")), """")"),0.06792628191443388)</f>
        <v>0.06792628191</v>
      </c>
      <c r="AF3556" s="2">
        <f>IFERROR(__xludf.DUMMYFUNCTION("IFERROR(ABS(R3556-AVERAGE(FILTER(R3556:R7624,AA3556:AA7624=""Neighbor""))) / STDEV(FILTER(R3556:R7624, AA3556:AA7624 =""Neighbor"")), """")"),0.34656015868041595)</f>
        <v>0.3465601587</v>
      </c>
    </row>
    <row r="3557">
      <c r="A3557" s="2" t="s">
        <v>28</v>
      </c>
      <c r="B3557" s="2" t="s">
        <v>6431</v>
      </c>
      <c r="C3557" s="2" t="s">
        <v>6558</v>
      </c>
      <c r="D3557" s="2" t="s">
        <v>14473</v>
      </c>
      <c r="E3557" s="2" t="s">
        <v>14474</v>
      </c>
      <c r="F3557" s="2">
        <v>50.0</v>
      </c>
      <c r="G3557" s="2">
        <v>108.0</v>
      </c>
      <c r="H3557" s="2" t="b">
        <v>1</v>
      </c>
      <c r="I3557" s="2">
        <v>-1.0</v>
      </c>
      <c r="J3557" s="2" t="b">
        <v>0</v>
      </c>
      <c r="K3557" s="2" t="b">
        <v>0</v>
      </c>
      <c r="L3557" s="2" t="b">
        <v>0</v>
      </c>
      <c r="M3557" s="2" t="b">
        <v>0</v>
      </c>
      <c r="N3557" s="2" t="s">
        <v>33</v>
      </c>
      <c r="O3557" s="2">
        <v>37.0</v>
      </c>
      <c r="P3557" s="2">
        <v>3.0</v>
      </c>
      <c r="Q3557" s="2">
        <v>7.0</v>
      </c>
      <c r="R3557" s="2">
        <v>1.0</v>
      </c>
      <c r="S3557" s="3" t="s">
        <v>14475</v>
      </c>
      <c r="T3557" s="2" t="s">
        <v>14476</v>
      </c>
      <c r="Y3557" s="4" t="str">
        <f>IFERROR(__xludf.DUMMYFUNCTION("""COMPUTED_VALUE"""),"6.8167172")</f>
        <v>6.8167172</v>
      </c>
      <c r="Z3557" s="4" t="str">
        <f>IFERROR(__xludf.DUMMYFUNCTION("""COMPUTED_VALUE"""),"3.9037217")</f>
        <v>3.9037217</v>
      </c>
      <c r="AA3557" s="4" t="str">
        <f t="shared" si="1"/>
        <v>Neighbor</v>
      </c>
      <c r="AC3557" s="4">
        <f>IFERROR(__xludf.DUMMYFUNCTION("IFERROR(ABS(O3557-AVERAGE(FILTER(O3557:O7625,AA3557:AA7625=""Neighbor""))) / STDEV(FILTER(O3557:O7625, AA3557:AA7625 =""Neighbor"")), """")"),0.19540143145600483)</f>
        <v>0.1954014315</v>
      </c>
      <c r="AF3557" s="2">
        <f>IFERROR(__xludf.DUMMYFUNCTION("IFERROR(ABS(R3557-AVERAGE(FILTER(R3557:R7625,AA3557:AA7625=""Neighbor""))) / STDEV(FILTER(R3557:R7625, AA3557:AA7625 =""Neighbor"")), """")"),0.7005523985056884)</f>
        <v>0.7005523985</v>
      </c>
    </row>
    <row r="3558">
      <c r="A3558" s="2" t="s">
        <v>28</v>
      </c>
      <c r="B3558" s="2" t="s">
        <v>6431</v>
      </c>
      <c r="C3558" s="2" t="s">
        <v>6558</v>
      </c>
      <c r="D3558" s="2" t="s">
        <v>14477</v>
      </c>
      <c r="E3558" s="2" t="s">
        <v>14478</v>
      </c>
      <c r="F3558" s="2">
        <v>51.0</v>
      </c>
      <c r="G3558" s="2">
        <v>97.0</v>
      </c>
      <c r="H3558" s="2" t="b">
        <v>1</v>
      </c>
      <c r="I3558" s="2">
        <v>-1.0</v>
      </c>
      <c r="J3558" s="2" t="b">
        <v>0</v>
      </c>
      <c r="K3558" s="2" t="b">
        <v>0</v>
      </c>
      <c r="L3558" s="2" t="b">
        <v>0</v>
      </c>
      <c r="M3558" s="2" t="b">
        <v>0</v>
      </c>
      <c r="N3558" s="2" t="s">
        <v>33</v>
      </c>
      <c r="O3558" s="2">
        <v>22.0</v>
      </c>
      <c r="P3558" s="2">
        <v>11.0</v>
      </c>
      <c r="Q3558" s="2">
        <v>16.0</v>
      </c>
      <c r="R3558" s="2">
        <v>1.0</v>
      </c>
      <c r="S3558" s="3" t="s">
        <v>14479</v>
      </c>
      <c r="T3558" s="2" t="s">
        <v>14480</v>
      </c>
      <c r="Y3558" s="4" t="str">
        <f>IFERROR(__xludf.DUMMYFUNCTION("""COMPUTED_VALUE"""),"6.8167172")</f>
        <v>6.8167172</v>
      </c>
      <c r="Z3558" s="4" t="str">
        <f>IFERROR(__xludf.DUMMYFUNCTION("""COMPUTED_VALUE"""),"3.9037217")</f>
        <v>3.9037217</v>
      </c>
      <c r="AA3558" s="4" t="str">
        <f t="shared" si="1"/>
        <v>Not Neighbor</v>
      </c>
      <c r="AC3558" s="4">
        <f>IFERROR(__xludf.DUMMYFUNCTION("IFERROR(ABS(O3558-AVERAGE(FILTER(O3558:O7626,AA3558:AA7626=""Neighbor""))) / STDEV(FILTER(O3558:O7626, AA3558:AA7626 =""Neighbor"")), """")"),0.6721024861716209)</f>
        <v>0.6721024862</v>
      </c>
      <c r="AF3558" s="2">
        <f>IFERROR(__xludf.DUMMYFUNCTION("IFERROR(ABS(R3558-AVERAGE(FILTER(R3558:R7626,AA3558:AA7626=""Neighbor""))) / STDEV(FILTER(R3558:R7626, AA3558:AA7626 =""Neighbor"")), """")"),0.7032689376189596)</f>
        <v>0.7032689376</v>
      </c>
    </row>
    <row r="3559">
      <c r="A3559" s="2" t="s">
        <v>28</v>
      </c>
      <c r="B3559" s="2" t="s">
        <v>6431</v>
      </c>
      <c r="C3559" s="2" t="s">
        <v>6558</v>
      </c>
      <c r="D3559" s="2" t="s">
        <v>14481</v>
      </c>
      <c r="E3559" s="2" t="s">
        <v>14482</v>
      </c>
      <c r="F3559" s="2">
        <v>223.0</v>
      </c>
      <c r="G3559" s="2">
        <v>750.0</v>
      </c>
      <c r="H3559" s="2" t="b">
        <v>1</v>
      </c>
      <c r="I3559" s="2">
        <v>-1.0</v>
      </c>
      <c r="J3559" s="2" t="b">
        <v>0</v>
      </c>
      <c r="K3559" s="2" t="b">
        <v>0</v>
      </c>
      <c r="L3559" s="2" t="b">
        <v>0</v>
      </c>
      <c r="M3559" s="2" t="b">
        <v>0</v>
      </c>
      <c r="N3559" s="2" t="s">
        <v>33</v>
      </c>
      <c r="O3559" s="2">
        <v>127.0</v>
      </c>
      <c r="P3559" s="2">
        <v>21.0</v>
      </c>
      <c r="Q3559" s="2">
        <v>0.0</v>
      </c>
      <c r="R3559" s="2">
        <v>1.0</v>
      </c>
      <c r="S3559" s="3" t="s">
        <v>14483</v>
      </c>
      <c r="T3559" s="2" t="s">
        <v>14484</v>
      </c>
      <c r="Y3559" s="4" t="str">
        <f>IFERROR(__xludf.DUMMYFUNCTION("""COMPUTED_VALUE"""),"6.8063189")</f>
        <v>6.8063189</v>
      </c>
      <c r="Z3559" s="4" t="str">
        <f>IFERROR(__xludf.DUMMYFUNCTION("""COMPUTED_VALUE"""),"3.9084976")</f>
        <v>3.9084976</v>
      </c>
      <c r="AA3559" s="4" t="str">
        <f t="shared" si="1"/>
        <v>Not Neighbor</v>
      </c>
      <c r="AC3559" s="4">
        <f>IFERROR(__xludf.DUMMYFUNCTION("IFERROR(ABS(O3559-AVERAGE(FILTER(O3559:O7627,AA3559:AA7627=""Neighbor""))) / STDEV(FILTER(O3559:O7627, AA3559:AA7627 =""Neighbor"")), """")"),2.6611290319636502)</f>
        <v>2.661129032</v>
      </c>
      <c r="AF3559" s="2">
        <f>IFERROR(__xludf.DUMMYFUNCTION("IFERROR(ABS(R3559-AVERAGE(FILTER(R3559:R7627,AA3559:AA7627=""Neighbor""))) / STDEV(FILTER(R3559:R7627, AA3559:AA7627 =""Neighbor"")), """")"),0.7032689376189596)</f>
        <v>0.7032689376</v>
      </c>
    </row>
    <row r="3560">
      <c r="A3560" s="2" t="s">
        <v>28</v>
      </c>
      <c r="B3560" s="2" t="s">
        <v>6431</v>
      </c>
      <c r="C3560" s="2" t="s">
        <v>6558</v>
      </c>
      <c r="D3560" s="2" t="s">
        <v>14485</v>
      </c>
      <c r="E3560" s="2" t="s">
        <v>14486</v>
      </c>
      <c r="F3560" s="2">
        <v>134.0</v>
      </c>
      <c r="G3560" s="2">
        <v>214.0</v>
      </c>
      <c r="H3560" s="2" t="b">
        <v>1</v>
      </c>
      <c r="I3560" s="2">
        <v>-1.0</v>
      </c>
      <c r="J3560" s="2" t="b">
        <v>0</v>
      </c>
      <c r="K3560" s="2" t="b">
        <v>0</v>
      </c>
      <c r="L3560" s="2" t="b">
        <v>0</v>
      </c>
      <c r="M3560" s="2" t="b">
        <v>0</v>
      </c>
      <c r="N3560" s="2" t="s">
        <v>33</v>
      </c>
      <c r="O3560" s="2">
        <v>72.0</v>
      </c>
      <c r="P3560" s="2">
        <v>8.0</v>
      </c>
      <c r="Q3560" s="2">
        <v>27.0</v>
      </c>
      <c r="R3560" s="2">
        <v>10.0</v>
      </c>
      <c r="S3560" s="3" t="s">
        <v>14487</v>
      </c>
      <c r="T3560" s="2" t="s">
        <v>14488</v>
      </c>
      <c r="Y3560" s="4" t="str">
        <f>IFERROR(__xludf.DUMMYFUNCTION("""COMPUTED_VALUE"""),"6.8167172")</f>
        <v>6.8167172</v>
      </c>
      <c r="Z3560" s="4" t="str">
        <f>IFERROR(__xludf.DUMMYFUNCTION("""COMPUTED_VALUE"""),"3.9037217")</f>
        <v>3.9037217</v>
      </c>
      <c r="AA3560" s="4" t="str">
        <f t="shared" si="1"/>
        <v>Neighbor</v>
      </c>
      <c r="AC3560" s="4">
        <f>IFERROR(__xludf.DUMMYFUNCTION("IFERROR(ABS(O3560-AVERAGE(FILTER(O3560:O7628,AA3560:AA7628=""Neighbor""))) / STDEV(FILTER(O3560:O7628, AA3560:AA7628 =""Neighbor"")), """")"),0.9151506177023178)</f>
        <v>0.9151506177</v>
      </c>
      <c r="AF3560" s="2">
        <f>IFERROR(__xludf.DUMMYFUNCTION("IFERROR(ABS(R3560-AVERAGE(FILTER(R3560:R7628,AA3560:AA7628=""Neighbor""))) / STDEV(FILTER(R3560:R7628, AA3560:AA7628 =""Neighbor"")), """")"),10.123801683398511)</f>
        <v>10.12380168</v>
      </c>
    </row>
    <row r="3561">
      <c r="A3561" s="2" t="s">
        <v>28</v>
      </c>
      <c r="B3561" s="2" t="s">
        <v>6431</v>
      </c>
      <c r="C3561" s="2" t="s">
        <v>6558</v>
      </c>
      <c r="D3561" s="2" t="s">
        <v>14489</v>
      </c>
      <c r="E3561" s="2" t="s">
        <v>14490</v>
      </c>
      <c r="F3561" s="2">
        <v>64.0</v>
      </c>
      <c r="G3561" s="2">
        <v>131.0</v>
      </c>
      <c r="H3561" s="2" t="b">
        <v>1</v>
      </c>
      <c r="I3561" s="2">
        <v>-1.0</v>
      </c>
      <c r="J3561" s="2" t="b">
        <v>0</v>
      </c>
      <c r="K3561" s="2" t="b">
        <v>0</v>
      </c>
      <c r="L3561" s="2" t="b">
        <v>0</v>
      </c>
      <c r="M3561" s="2" t="b">
        <v>0</v>
      </c>
      <c r="N3561" s="2" t="s">
        <v>33</v>
      </c>
      <c r="O3561" s="2">
        <v>31.0</v>
      </c>
      <c r="P3561" s="2">
        <v>13.0</v>
      </c>
      <c r="Q3561" s="2">
        <v>15.0</v>
      </c>
      <c r="R3561" s="2">
        <v>1.0</v>
      </c>
      <c r="S3561" s="3" t="s">
        <v>14491</v>
      </c>
      <c r="T3561" s="2" t="s">
        <v>14492</v>
      </c>
      <c r="Y3561" s="4" t="str">
        <f>IFERROR(__xludf.DUMMYFUNCTION("""COMPUTED_VALUE"""),"6.8167172")</f>
        <v>6.8167172</v>
      </c>
      <c r="Z3561" s="4" t="str">
        <f>IFERROR(__xludf.DUMMYFUNCTION("""COMPUTED_VALUE"""),"3.9037217")</f>
        <v>3.9037217</v>
      </c>
      <c r="AA3561" s="4" t="str">
        <f t="shared" si="1"/>
        <v>Not Neighbor</v>
      </c>
      <c r="AC3561" s="4">
        <f>IFERROR(__xludf.DUMMYFUNCTION("IFERROR(ABS(O3561-AVERAGE(FILTER(O3561:O7629,AA3561:AA7629=""Neighbor""))) / STDEV(FILTER(O3561:O7629, AA3561:AA7629 =""Neighbor"")), """")"),0.3814468794301947)</f>
        <v>0.3814468794</v>
      </c>
      <c r="AF3561" s="2">
        <f>IFERROR(__xludf.DUMMYFUNCTION("IFERROR(ABS(R3561-AVERAGE(FILTER(R3561:R7629,AA3561:AA7629=""Neighbor""))) / STDEV(FILTER(R3561:R7629, AA3561:AA7629 =""Neighbor"")), """")"),1.1114326567323132)</f>
        <v>1.111432657</v>
      </c>
    </row>
    <row r="3562">
      <c r="A3562" s="2" t="s">
        <v>28</v>
      </c>
      <c r="B3562" s="2" t="s">
        <v>6431</v>
      </c>
      <c r="C3562" s="2" t="s">
        <v>6595</v>
      </c>
      <c r="D3562" s="2" t="s">
        <v>14493</v>
      </c>
      <c r="E3562" s="2" t="s">
        <v>14494</v>
      </c>
      <c r="F3562" s="2">
        <v>82.0</v>
      </c>
      <c r="G3562" s="2">
        <v>130.0</v>
      </c>
      <c r="H3562" s="2" t="b">
        <v>1</v>
      </c>
      <c r="I3562" s="2">
        <v>-1.0</v>
      </c>
      <c r="J3562" s="2" t="b">
        <v>0</v>
      </c>
      <c r="K3562" s="2" t="b">
        <v>0</v>
      </c>
      <c r="L3562" s="2" t="b">
        <v>0</v>
      </c>
      <c r="M3562" s="2" t="b">
        <v>0</v>
      </c>
      <c r="N3562" s="2" t="s">
        <v>33</v>
      </c>
      <c r="O3562" s="2">
        <v>49.0</v>
      </c>
      <c r="P3562" s="2">
        <v>4.0</v>
      </c>
      <c r="Q3562" s="2">
        <v>18.0</v>
      </c>
      <c r="R3562" s="2">
        <v>0.0</v>
      </c>
      <c r="S3562" s="3" t="s">
        <v>14495</v>
      </c>
      <c r="T3562" s="2" t="s">
        <v>14496</v>
      </c>
      <c r="Y3562" s="4" t="str">
        <f>IFERROR(__xludf.DUMMYFUNCTION("""COMPUTED_VALUE"""),"6.8212155")</f>
        <v>6.8212155</v>
      </c>
      <c r="Z3562" s="4" t="str">
        <f>IFERROR(__xludf.DUMMYFUNCTION("""COMPUTED_VALUE"""),"3.9153134")</f>
        <v>3.9153134</v>
      </c>
      <c r="AA3562" s="4" t="str">
        <f t="shared" si="1"/>
        <v>Not Neighbor</v>
      </c>
      <c r="AC3562" s="4">
        <f>IFERROR(__xludf.DUMMYFUNCTION("IFERROR(ABS(O3562-AVERAGE(FILTER(O3562:O7630,AA3562:AA7630=""Neighbor""))) / STDEV(FILTER(O3562:O7630, AA3562:AA7630 =""Neighbor"")), """")"),0.18972662731240533)</f>
        <v>0.1897266273</v>
      </c>
      <c r="AF3562" s="2">
        <f>IFERROR(__xludf.DUMMYFUNCTION("IFERROR(ABS(R3562-AVERAGE(FILTER(R3562:R7630,AA3562:AA7630=""Neighbor""))) / STDEV(FILTER(R3562:R7630, AA3562:AA7630 =""Neighbor"")), """")"),0.42685457106385943)</f>
        <v>0.4268545711</v>
      </c>
    </row>
    <row r="3563">
      <c r="A3563" s="2" t="s">
        <v>28</v>
      </c>
      <c r="B3563" s="2" t="s">
        <v>6431</v>
      </c>
      <c r="C3563" s="2" t="s">
        <v>6595</v>
      </c>
      <c r="D3563" s="2" t="s">
        <v>14497</v>
      </c>
      <c r="E3563" s="2" t="s">
        <v>14498</v>
      </c>
      <c r="F3563" s="2">
        <v>75.0</v>
      </c>
      <c r="G3563" s="2">
        <v>139.0</v>
      </c>
      <c r="H3563" s="2" t="b">
        <v>1</v>
      </c>
      <c r="I3563" s="2">
        <v>-1.0</v>
      </c>
      <c r="J3563" s="2" t="b">
        <v>0</v>
      </c>
      <c r="K3563" s="2" t="b">
        <v>0</v>
      </c>
      <c r="L3563" s="2" t="b">
        <v>0</v>
      </c>
      <c r="M3563" s="2" t="b">
        <v>0</v>
      </c>
      <c r="N3563" s="2" t="s">
        <v>33</v>
      </c>
      <c r="O3563" s="2">
        <v>53.0</v>
      </c>
      <c r="P3563" s="2">
        <v>11.0</v>
      </c>
      <c r="Q3563" s="2">
        <v>8.0</v>
      </c>
      <c r="R3563" s="2">
        <v>0.0</v>
      </c>
      <c r="S3563" s="3" t="s">
        <v>14499</v>
      </c>
      <c r="T3563" s="2" t="s">
        <v>14500</v>
      </c>
      <c r="Y3563" s="4" t="str">
        <f>IFERROR(__xludf.DUMMYFUNCTION("""COMPUTED_VALUE"""),"6.4640773")</f>
        <v>6.4640773</v>
      </c>
      <c r="Z3563" s="4" t="str">
        <f>IFERROR(__xludf.DUMMYFUNCTION("""COMPUTED_VALUE"""),"3.7983994")</f>
        <v>3.7983994</v>
      </c>
      <c r="AA3563" s="4" t="str">
        <f t="shared" si="1"/>
        <v>Not Neighbor</v>
      </c>
      <c r="AC3563" s="4">
        <f>IFERROR(__xludf.DUMMYFUNCTION("IFERROR(ABS(O3563-AVERAGE(FILTER(O3563:O7631,AA3563:AA7631=""Neighbor""))) / STDEV(FILTER(O3563:O7631, AA3563:AA7631 =""Neighbor"")), """")"),0.31665407325520534)</f>
        <v>0.3166540733</v>
      </c>
      <c r="AF3563" s="2">
        <f>IFERROR(__xludf.DUMMYFUNCTION("IFERROR(ABS(R3563-AVERAGE(FILTER(R3563:R7631,AA3563:AA7631=""Neighbor""))) / STDEV(FILTER(R3563:R7631, AA3563:AA7631 =""Neighbor"")), """")"),0.42685457106385943)</f>
        <v>0.4268545711</v>
      </c>
    </row>
    <row r="3564">
      <c r="A3564" s="2" t="s">
        <v>28</v>
      </c>
      <c r="B3564" s="2" t="s">
        <v>6431</v>
      </c>
      <c r="C3564" s="2" t="s">
        <v>6595</v>
      </c>
      <c r="D3564" s="2" t="s">
        <v>14501</v>
      </c>
      <c r="E3564" s="2" t="s">
        <v>14502</v>
      </c>
      <c r="F3564" s="2">
        <v>53.0</v>
      </c>
      <c r="G3564" s="2">
        <v>101.0</v>
      </c>
      <c r="H3564" s="2" t="b">
        <v>1</v>
      </c>
      <c r="I3564" s="2">
        <v>-1.0</v>
      </c>
      <c r="J3564" s="2" t="b">
        <v>0</v>
      </c>
      <c r="K3564" s="2" t="b">
        <v>0</v>
      </c>
      <c r="L3564" s="2" t="b">
        <v>0</v>
      </c>
      <c r="M3564" s="2" t="b">
        <v>0</v>
      </c>
      <c r="N3564" s="2" t="s">
        <v>33</v>
      </c>
      <c r="O3564" s="2">
        <v>0.0</v>
      </c>
      <c r="P3564" s="2">
        <v>0.0</v>
      </c>
      <c r="Q3564" s="2">
        <v>0.0</v>
      </c>
      <c r="R3564" s="2">
        <v>0.0</v>
      </c>
      <c r="S3564" s="3" t="s">
        <v>14503</v>
      </c>
      <c r="T3564" s="2" t="s">
        <v>14504</v>
      </c>
      <c r="Y3564" s="4" t="str">
        <f>IFERROR(__xludf.DUMMYFUNCTION("""COMPUTED_VALUE"""),"6.8287875")</f>
        <v>6.8287875</v>
      </c>
      <c r="Z3564" s="4" t="str">
        <f>IFERROR(__xludf.DUMMYFUNCTION("""COMPUTED_VALUE"""),"3.9111776")</f>
        <v>3.9111776</v>
      </c>
      <c r="AA3564" s="4" t="str">
        <f t="shared" si="1"/>
        <v>Neighbor</v>
      </c>
      <c r="AC3564" s="4">
        <f>IFERROR(__xludf.DUMMYFUNCTION("IFERROR(ABS(O3564-AVERAGE(FILTER(O3564:O7632,AA3564:AA7632=""Neighbor""))) / STDEV(FILTER(O3564:O7632, AA3564:AA7632 =""Neighbor"")), """")"),1.3651345854868946)</f>
        <v>1.365134585</v>
      </c>
      <c r="AF3564" s="2">
        <f>IFERROR(__xludf.DUMMYFUNCTION("IFERROR(ABS(R3564-AVERAGE(FILTER(R3564:R7632,AA3564:AA7632=""Neighbor""))) / STDEV(FILTER(R3564:R7632, AA3564:AA7632 =""Neighbor"")), """")"),0.42685457106385943)</f>
        <v>0.4268545711</v>
      </c>
    </row>
    <row r="3565">
      <c r="A3565" s="2" t="s">
        <v>28</v>
      </c>
      <c r="B3565" s="2" t="s">
        <v>6431</v>
      </c>
      <c r="C3565" s="2" t="s">
        <v>6595</v>
      </c>
      <c r="D3565" s="2" t="s">
        <v>14505</v>
      </c>
      <c r="E3565" s="2" t="s">
        <v>14506</v>
      </c>
      <c r="F3565" s="2">
        <v>265.0</v>
      </c>
      <c r="G3565" s="2">
        <v>750.0</v>
      </c>
      <c r="H3565" s="2" t="b">
        <v>1</v>
      </c>
      <c r="I3565" s="2">
        <v>-1.0</v>
      </c>
      <c r="J3565" s="2" t="b">
        <v>0</v>
      </c>
      <c r="K3565" s="2" t="b">
        <v>0</v>
      </c>
      <c r="L3565" s="2" t="b">
        <v>0</v>
      </c>
      <c r="M3565" s="2" t="b">
        <v>0</v>
      </c>
      <c r="N3565" s="2" t="s">
        <v>33</v>
      </c>
      <c r="O3565" s="2">
        <v>163.0</v>
      </c>
      <c r="P3565" s="2">
        <v>54.0</v>
      </c>
      <c r="Q3565" s="2">
        <v>36.0</v>
      </c>
      <c r="R3565" s="2">
        <v>0.0</v>
      </c>
      <c r="S3565" s="3" t="s">
        <v>14507</v>
      </c>
      <c r="T3565" s="2" t="s">
        <v>14508</v>
      </c>
      <c r="Y3565" s="4" t="str">
        <f>IFERROR(__xludf.DUMMYFUNCTION("""COMPUTED_VALUE"""),"6.8319719")</f>
        <v>6.8319719</v>
      </c>
      <c r="Z3565" s="4" t="str">
        <f>IFERROR(__xludf.DUMMYFUNCTION("""COMPUTED_VALUE"""),"3.9063401")</f>
        <v>3.9063401</v>
      </c>
      <c r="AA3565" s="4" t="str">
        <f t="shared" si="1"/>
        <v>Neighbor</v>
      </c>
      <c r="AC3565" s="4">
        <f>IFERROR(__xludf.DUMMYFUNCTION("IFERROR(ABS(O3565-AVERAGE(FILTER(O3565:O7633,AA3565:AA7633=""Neighbor""))) / STDEV(FILTER(O3565:O7633, AA3565:AA7633 =""Neighbor"")), """")"),3.808784626018295)</f>
        <v>3.808784626</v>
      </c>
      <c r="AF3565" s="2">
        <f>IFERROR(__xludf.DUMMYFUNCTION("IFERROR(ABS(R3565-AVERAGE(FILTER(R3565:R7633,AA3565:AA7633=""Neighbor""))) / STDEV(FILTER(R3565:R7633, AA3565:AA7633 =""Neighbor"")), """")"),0.42817690603488)</f>
        <v>0.428176906</v>
      </c>
    </row>
    <row r="3566">
      <c r="A3566" s="2" t="s">
        <v>28</v>
      </c>
      <c r="B3566" s="2" t="s">
        <v>6431</v>
      </c>
      <c r="C3566" s="2" t="s">
        <v>6595</v>
      </c>
      <c r="D3566" s="2" t="s">
        <v>14509</v>
      </c>
      <c r="E3566" s="2" t="s">
        <v>14510</v>
      </c>
      <c r="F3566" s="2">
        <v>84.0</v>
      </c>
      <c r="G3566" s="2">
        <v>151.0</v>
      </c>
      <c r="H3566" s="2" t="b">
        <v>1</v>
      </c>
      <c r="I3566" s="2">
        <v>-1.0</v>
      </c>
      <c r="J3566" s="2" t="b">
        <v>0</v>
      </c>
      <c r="K3566" s="2" t="b">
        <v>1</v>
      </c>
      <c r="L3566" s="2" t="b">
        <v>0</v>
      </c>
      <c r="M3566" s="2" t="b">
        <v>0</v>
      </c>
      <c r="N3566" s="2" t="s">
        <v>33</v>
      </c>
      <c r="O3566" s="2">
        <v>52.0</v>
      </c>
      <c r="P3566" s="2">
        <v>15.0</v>
      </c>
      <c r="Q3566" s="2">
        <v>4.0</v>
      </c>
      <c r="R3566" s="2">
        <v>1.0</v>
      </c>
      <c r="S3566" s="3" t="s">
        <v>14511</v>
      </c>
      <c r="T3566" s="2" t="s">
        <v>14512</v>
      </c>
      <c r="Y3566" s="4" t="str">
        <f>IFERROR(__xludf.DUMMYFUNCTION("""COMPUTED_VALUE"""),"6.8287195")</f>
        <v>6.8287195</v>
      </c>
      <c r="Z3566" s="4" t="str">
        <f>IFERROR(__xludf.DUMMYFUNCTION("""COMPUTED_VALUE"""),"3.9075424")</f>
        <v>3.9075424</v>
      </c>
      <c r="AA3566" s="4" t="str">
        <f t="shared" si="1"/>
        <v>Neighbor</v>
      </c>
      <c r="AC3566" s="4">
        <f>IFERROR(__xludf.DUMMYFUNCTION("IFERROR(ABS(O3566-AVERAGE(FILTER(O3566:O7634,AA3566:AA7634=""Neighbor""))) / STDEV(FILTER(O3566:O7634, AA3566:AA7634 =""Neighbor"")), """")"),0.30994056582013263)</f>
        <v>0.3099405658</v>
      </c>
      <c r="AF3566" s="2">
        <f>IFERROR(__xludf.DUMMYFUNCTION("IFERROR(ABS(R3566-AVERAGE(FILTER(R3566:R7634,AA3566:AA7634=""Neighbor""))) / STDEV(FILTER(R3566:R7634, AA3566:AA7634 =""Neighbor"")), """")"),1.102143020287026)</f>
        <v>1.10214302</v>
      </c>
    </row>
    <row r="3567">
      <c r="A3567" s="2" t="s">
        <v>28</v>
      </c>
      <c r="B3567" s="2" t="s">
        <v>6431</v>
      </c>
      <c r="C3567" s="2" t="s">
        <v>6595</v>
      </c>
      <c r="D3567" s="2" t="s">
        <v>14513</v>
      </c>
      <c r="E3567" s="2" t="s">
        <v>14514</v>
      </c>
      <c r="F3567" s="2">
        <v>58.0</v>
      </c>
      <c r="G3567" s="2">
        <v>127.0</v>
      </c>
      <c r="H3567" s="2" t="b">
        <v>1</v>
      </c>
      <c r="I3567" s="2">
        <v>-1.0</v>
      </c>
      <c r="J3567" s="2" t="b">
        <v>0</v>
      </c>
      <c r="K3567" s="2" t="b">
        <v>0</v>
      </c>
      <c r="L3567" s="2" t="b">
        <v>0</v>
      </c>
      <c r="M3567" s="2" t="b">
        <v>0</v>
      </c>
      <c r="N3567" s="2" t="s">
        <v>33</v>
      </c>
      <c r="O3567" s="2">
        <v>0.0</v>
      </c>
      <c r="P3567" s="2">
        <v>0.0</v>
      </c>
      <c r="Q3567" s="2">
        <v>0.0</v>
      </c>
      <c r="R3567" s="2">
        <v>0.0</v>
      </c>
      <c r="S3567" s="3" t="s">
        <v>14515</v>
      </c>
      <c r="T3567" s="2" t="s">
        <v>14516</v>
      </c>
      <c r="Y3567" s="4" t="str">
        <f>IFERROR(__xludf.DUMMYFUNCTION("""COMPUTED_VALUE"""),"6.8228815")</f>
        <v>6.8228815</v>
      </c>
      <c r="Z3567" s="4" t="str">
        <f>IFERROR(__xludf.DUMMYFUNCTION("""COMPUTED_VALUE"""),"3.9121818")</f>
        <v>3.9121818</v>
      </c>
      <c r="AA3567" s="4" t="str">
        <f t="shared" si="1"/>
        <v>Neighbor</v>
      </c>
      <c r="AC3567" s="4">
        <f>IFERROR(__xludf.DUMMYFUNCTION("IFERROR(ABS(O3567-AVERAGE(FILTER(O3567:O7635,AA3567:AA7635=""Neighbor""))) / STDEV(FILTER(O3567:O7635, AA3567:AA7635 =""Neighbor"")), """")"),1.4021057234943692)</f>
        <v>1.402105723</v>
      </c>
      <c r="AF3567" s="2">
        <f>IFERROR(__xludf.DUMMYFUNCTION("IFERROR(ABS(R3567-AVERAGE(FILTER(R3567:R7635,AA3567:AA7635=""Neighbor""))) / STDEV(FILTER(R3567:R7635, AA3567:AA7635 =""Neighbor"")), """")"),0.4238999204086829)</f>
        <v>0.4238999204</v>
      </c>
    </row>
    <row r="3568">
      <c r="A3568" s="2" t="s">
        <v>28</v>
      </c>
      <c r="B3568" s="2" t="s">
        <v>6431</v>
      </c>
      <c r="C3568" s="2" t="s">
        <v>6595</v>
      </c>
      <c r="D3568" s="2" t="s">
        <v>14517</v>
      </c>
      <c r="E3568" s="2" t="s">
        <v>14518</v>
      </c>
      <c r="F3568" s="2">
        <v>64.0</v>
      </c>
      <c r="G3568" s="2">
        <v>128.0</v>
      </c>
      <c r="H3568" s="2" t="b">
        <v>1</v>
      </c>
      <c r="I3568" s="2">
        <v>-1.0</v>
      </c>
      <c r="J3568" s="2" t="b">
        <v>0</v>
      </c>
      <c r="K3568" s="2" t="b">
        <v>0</v>
      </c>
      <c r="L3568" s="2" t="b">
        <v>0</v>
      </c>
      <c r="M3568" s="2" t="b">
        <v>0</v>
      </c>
      <c r="N3568" s="2" t="s">
        <v>33</v>
      </c>
      <c r="O3568" s="2">
        <v>35.0</v>
      </c>
      <c r="P3568" s="2">
        <v>7.0</v>
      </c>
      <c r="Q3568" s="2">
        <v>12.0</v>
      </c>
      <c r="R3568" s="2">
        <v>0.0</v>
      </c>
      <c r="S3568" s="3" t="s">
        <v>14519</v>
      </c>
      <c r="T3568" s="2" t="s">
        <v>14520</v>
      </c>
      <c r="Y3568" s="4" t="str">
        <f>IFERROR(__xludf.DUMMYFUNCTION("""COMPUTED_VALUE"""),"6.8287195")</f>
        <v>6.8287195</v>
      </c>
      <c r="Z3568" s="4" t="str">
        <f>IFERROR(__xludf.DUMMYFUNCTION("""COMPUTED_VALUE"""),"3.9075424")</f>
        <v>3.9075424</v>
      </c>
      <c r="AA3568" s="4" t="str">
        <f t="shared" si="1"/>
        <v>Not Neighbor</v>
      </c>
      <c r="AC3568" s="4">
        <f>IFERROR(__xludf.DUMMYFUNCTION("IFERROR(ABS(O3568-AVERAGE(FILTER(O3568:O7636,AA3568:AA7636=""Neighbor""))) / STDEV(FILTER(O3568:O7636, AA3568:AA7636 =""Neighbor"")), """")"),0.25733622982577486)</f>
        <v>0.2573362298</v>
      </c>
      <c r="AF3568" s="2">
        <f>IFERROR(__xludf.DUMMYFUNCTION("IFERROR(ABS(R3568-AVERAGE(FILTER(R3568:R7636,AA3568:AA7636=""Neighbor""))) / STDEV(FILTER(R3568:R7636, AA3568:AA7636 =""Neighbor"")), """")"),0.4252312018502622)</f>
        <v>0.4252312019</v>
      </c>
    </row>
    <row r="3569">
      <c r="A3569" s="2" t="s">
        <v>28</v>
      </c>
      <c r="B3569" s="2" t="s">
        <v>6772</v>
      </c>
      <c r="C3569" s="2" t="s">
        <v>6773</v>
      </c>
      <c r="D3569" s="2" t="s">
        <v>14521</v>
      </c>
      <c r="E3569" s="2" t="s">
        <v>14522</v>
      </c>
      <c r="F3569" s="2">
        <v>121.0</v>
      </c>
      <c r="G3569" s="2">
        <v>453.0</v>
      </c>
      <c r="H3569" s="2" t="b">
        <v>1</v>
      </c>
      <c r="I3569" s="2">
        <v>-1.0</v>
      </c>
      <c r="J3569" s="2" t="b">
        <v>0</v>
      </c>
      <c r="K3569" s="2" t="b">
        <v>1</v>
      </c>
      <c r="L3569" s="2" t="b">
        <v>0</v>
      </c>
      <c r="M3569" s="2" t="b">
        <v>0</v>
      </c>
      <c r="N3569" s="2" t="s">
        <v>33</v>
      </c>
      <c r="O3569" s="2">
        <v>59.0</v>
      </c>
      <c r="P3569" s="2">
        <v>40.0</v>
      </c>
      <c r="Q3569" s="2">
        <v>16.0</v>
      </c>
      <c r="R3569" s="2">
        <v>0.0</v>
      </c>
      <c r="S3569" s="3" t="s">
        <v>14523</v>
      </c>
      <c r="T3569" s="2" t="s">
        <v>14524</v>
      </c>
      <c r="Y3569" s="4" t="str">
        <f>IFERROR(__xludf.DUMMYFUNCTION("""COMPUTED_VALUE"""),"6.8650212")</f>
        <v>6.8650212</v>
      </c>
      <c r="Z3569" s="4" t="str">
        <f>IFERROR(__xludf.DUMMYFUNCTION("""COMPUTED_VALUE"""),"3.7143181")</f>
        <v>3.7143181</v>
      </c>
      <c r="AA3569" s="4" t="str">
        <f t="shared" si="1"/>
        <v>Not Neighbor</v>
      </c>
      <c r="AC3569" s="4">
        <f>IFERROR(__xludf.DUMMYFUNCTION("IFERROR(ABS(O3569-AVERAGE(FILTER(O3569:O7637,AA3569:AA7637=""Neighbor""))) / STDEV(FILTER(O3569:O7637, AA3569:AA7637 =""Neighbor"")), """")"),0.5353370711063308)</f>
        <v>0.5353370711</v>
      </c>
      <c r="AF3569" s="2">
        <f>IFERROR(__xludf.DUMMYFUNCTION("IFERROR(ABS(R3569-AVERAGE(FILTER(R3569:R7637,AA3569:AA7637=""Neighbor""))) / STDEV(FILTER(R3569:R7637, AA3569:AA7637 =""Neighbor"")), """")"),0.4252312018502622)</f>
        <v>0.4252312019</v>
      </c>
    </row>
    <row r="3570">
      <c r="A3570" s="2" t="s">
        <v>28</v>
      </c>
      <c r="B3570" s="2" t="s">
        <v>6772</v>
      </c>
      <c r="C3570" s="2" t="s">
        <v>6773</v>
      </c>
      <c r="D3570" s="2" t="s">
        <v>14525</v>
      </c>
      <c r="E3570" s="2" t="s">
        <v>14526</v>
      </c>
      <c r="F3570" s="2">
        <v>112.0</v>
      </c>
      <c r="G3570" s="2">
        <v>447.0</v>
      </c>
      <c r="H3570" s="2" t="b">
        <v>1</v>
      </c>
      <c r="I3570" s="2">
        <v>-1.0</v>
      </c>
      <c r="J3570" s="2" t="b">
        <v>0</v>
      </c>
      <c r="K3570" s="2" t="b">
        <v>0</v>
      </c>
      <c r="L3570" s="2" t="b">
        <v>0</v>
      </c>
      <c r="M3570" s="2" t="b">
        <v>0</v>
      </c>
      <c r="N3570" s="2" t="s">
        <v>33</v>
      </c>
      <c r="O3570" s="2">
        <v>41.0</v>
      </c>
      <c r="P3570" s="2">
        <v>25.0</v>
      </c>
      <c r="Q3570" s="2">
        <v>39.0</v>
      </c>
      <c r="R3570" s="2">
        <v>0.0</v>
      </c>
      <c r="S3570" s="3" t="s">
        <v>14527</v>
      </c>
      <c r="T3570" s="2" t="s">
        <v>14528</v>
      </c>
      <c r="Y3570" s="4" t="str">
        <f>IFERROR(__xludf.DUMMYFUNCTION("""COMPUTED_VALUE"""),"6.8324014")</f>
        <v>6.8324014</v>
      </c>
      <c r="Z3570" s="4" t="str">
        <f>IFERROR(__xludf.DUMMYFUNCTION("""COMPUTED_VALUE"""),"3.6355326")</f>
        <v>3.6355326</v>
      </c>
      <c r="AA3570" s="4" t="str">
        <f t="shared" si="1"/>
        <v>Not Neighbor</v>
      </c>
      <c r="AC3570" s="4">
        <f>IFERROR(__xludf.DUMMYFUNCTION("IFERROR(ABS(O3570-AVERAGE(FILTER(O3570:O7638,AA3570:AA7638=""Neighbor""))) / STDEV(FILTER(O3570:O7638, AA3570:AA7638 =""Neighbor"")), """")"),0.05916790459274846)</f>
        <v>0.05916790459</v>
      </c>
      <c r="AF3570" s="2">
        <f>IFERROR(__xludf.DUMMYFUNCTION("IFERROR(ABS(R3570-AVERAGE(FILTER(R3570:R7638,AA3570:AA7638=""Neighbor""))) / STDEV(FILTER(R3570:R7638, AA3570:AA7638 =""Neighbor"")), """")"),0.4252312018502622)</f>
        <v>0.4252312019</v>
      </c>
    </row>
    <row r="3571">
      <c r="A3571" s="2" t="s">
        <v>28</v>
      </c>
      <c r="B3571" s="2" t="s">
        <v>6772</v>
      </c>
      <c r="C3571" s="2" t="s">
        <v>6773</v>
      </c>
      <c r="D3571" s="2" t="s">
        <v>14529</v>
      </c>
      <c r="E3571" s="2" t="s">
        <v>14530</v>
      </c>
      <c r="F3571" s="2">
        <v>41.0</v>
      </c>
      <c r="G3571" s="2">
        <v>84.0</v>
      </c>
      <c r="H3571" s="2" t="b">
        <v>1</v>
      </c>
      <c r="I3571" s="2">
        <v>-1.0</v>
      </c>
      <c r="J3571" s="2" t="b">
        <v>0</v>
      </c>
      <c r="K3571" s="2" t="b">
        <v>0</v>
      </c>
      <c r="L3571" s="2" t="b">
        <v>0</v>
      </c>
      <c r="M3571" s="2" t="b">
        <v>0</v>
      </c>
      <c r="N3571" s="2" t="s">
        <v>33</v>
      </c>
      <c r="O3571" s="2">
        <v>19.0</v>
      </c>
      <c r="P3571" s="2">
        <v>0.0</v>
      </c>
      <c r="Q3571" s="2">
        <v>17.0</v>
      </c>
      <c r="R3571" s="2">
        <v>0.0</v>
      </c>
      <c r="S3571" s="3" t="s">
        <v>14531</v>
      </c>
      <c r="T3571" s="2" t="s">
        <v>14532</v>
      </c>
      <c r="Y3571" s="4" t="str">
        <f>IFERROR(__xludf.DUMMYFUNCTION("""COMPUTED_VALUE"""),"6.8650212")</f>
        <v>6.8650212</v>
      </c>
      <c r="Z3571" s="4" t="str">
        <f>IFERROR(__xludf.DUMMYFUNCTION("""COMPUTED_VALUE"""),"3.7143181")</f>
        <v>3.7143181</v>
      </c>
      <c r="AA3571" s="4" t="str">
        <f t="shared" si="1"/>
        <v>Neighbor</v>
      </c>
      <c r="AC3571" s="4">
        <f>IFERROR(__xludf.DUMMYFUNCTION("IFERROR(ABS(O3571-AVERAGE(FILTER(O3571:O7639,AA3571:AA7639=""Neighbor""))) / STDEV(FILTER(O3571:O7639, AA3571:AA7639 =""Neighbor"")), """")"),0.7857850971138454)</f>
        <v>0.7857850971</v>
      </c>
      <c r="AF3571" s="2">
        <f>IFERROR(__xludf.DUMMYFUNCTION("IFERROR(ABS(R3571-AVERAGE(FILTER(R3571:R7639,AA3571:AA7639=""Neighbor""))) / STDEV(FILTER(R3571:R7639, AA3571:AA7639 =""Neighbor"")), """")"),0.4252312018502622)</f>
        <v>0.4252312019</v>
      </c>
    </row>
    <row r="3572">
      <c r="A3572" s="2" t="s">
        <v>28</v>
      </c>
      <c r="B3572" s="2" t="s">
        <v>6772</v>
      </c>
      <c r="C3572" s="2" t="s">
        <v>6773</v>
      </c>
      <c r="D3572" s="2" t="s">
        <v>14533</v>
      </c>
      <c r="E3572" s="2" t="s">
        <v>14534</v>
      </c>
      <c r="F3572" s="2">
        <v>132.0</v>
      </c>
      <c r="G3572" s="2">
        <v>327.0</v>
      </c>
      <c r="H3572" s="2" t="b">
        <v>1</v>
      </c>
      <c r="I3572" s="2">
        <v>-1.0</v>
      </c>
      <c r="J3572" s="2" t="b">
        <v>0</v>
      </c>
      <c r="K3572" s="2" t="b">
        <v>0</v>
      </c>
      <c r="L3572" s="2" t="b">
        <v>0</v>
      </c>
      <c r="M3572" s="2" t="b">
        <v>0</v>
      </c>
      <c r="N3572" s="2" t="s">
        <v>33</v>
      </c>
      <c r="O3572" s="2">
        <v>54.0</v>
      </c>
      <c r="P3572" s="2">
        <v>28.0</v>
      </c>
      <c r="Q3572" s="2">
        <v>37.0</v>
      </c>
      <c r="R3572" s="2">
        <v>1.0</v>
      </c>
      <c r="S3572" s="3" t="s">
        <v>14535</v>
      </c>
      <c r="T3572" s="2" t="s">
        <v>14536</v>
      </c>
      <c r="Y3572" s="4" t="str">
        <f>IFERROR(__xludf.DUMMYFUNCTION("""COMPUTED_VALUE"""),"6.8650212")</f>
        <v>6.8650212</v>
      </c>
      <c r="Z3572" s="4" t="str">
        <f>IFERROR(__xludf.DUMMYFUNCTION("""COMPUTED_VALUE"""),"3.7143181")</f>
        <v>3.7143181</v>
      </c>
      <c r="AA3572" s="4" t="str">
        <f t="shared" si="1"/>
        <v>Neighbor</v>
      </c>
      <c r="AC3572" s="4">
        <f>IFERROR(__xludf.DUMMYFUNCTION("IFERROR(ABS(O3572-AVERAGE(FILTER(O3572:O7640,AA3572:AA7640=""Neighbor""))) / STDEV(FILTER(O3572:O7640, AA3572:AA7640 =""Neighbor"")), """")"),0.3655976308305445)</f>
        <v>0.3655976308</v>
      </c>
      <c r="AF3572" s="2">
        <f>IFERROR(__xludf.DUMMYFUNCTION("IFERROR(ABS(R3572-AVERAGE(FILTER(R3572:R7640,AA3572:AA7640=""Neighbor""))) / STDEV(FILTER(R3572:R7640, AA3572:AA7640 =""Neighbor"")), """")"),1.099251263372702)</f>
        <v>1.099251263</v>
      </c>
    </row>
    <row r="3573">
      <c r="A3573" s="2" t="s">
        <v>28</v>
      </c>
      <c r="B3573" s="2" t="s">
        <v>6772</v>
      </c>
      <c r="C3573" s="2" t="s">
        <v>6773</v>
      </c>
      <c r="D3573" s="2" t="s">
        <v>14537</v>
      </c>
      <c r="E3573" s="2" t="s">
        <v>14538</v>
      </c>
      <c r="F3573" s="2">
        <v>60.0</v>
      </c>
      <c r="G3573" s="2">
        <v>124.0</v>
      </c>
      <c r="H3573" s="2" t="b">
        <v>1</v>
      </c>
      <c r="I3573" s="2">
        <v>-1.0</v>
      </c>
      <c r="J3573" s="2" t="b">
        <v>0</v>
      </c>
      <c r="K3573" s="2" t="b">
        <v>0</v>
      </c>
      <c r="L3573" s="2" t="b">
        <v>0</v>
      </c>
      <c r="M3573" s="2" t="b">
        <v>0</v>
      </c>
      <c r="N3573" s="2" t="s">
        <v>33</v>
      </c>
      <c r="O3573" s="2">
        <v>30.0</v>
      </c>
      <c r="P3573" s="2">
        <v>9.0</v>
      </c>
      <c r="Q3573" s="2">
        <v>8.0</v>
      </c>
      <c r="R3573" s="2">
        <v>0.0</v>
      </c>
      <c r="S3573" s="3" t="s">
        <v>14539</v>
      </c>
      <c r="T3573" s="2" t="s">
        <v>14540</v>
      </c>
      <c r="Y3573" s="4" t="str">
        <f>IFERROR(__xludf.DUMMYFUNCTION("""COMPUTED_VALUE"""),"6.8650212")</f>
        <v>6.8650212</v>
      </c>
      <c r="Z3573" s="4" t="str">
        <f>IFERROR(__xludf.DUMMYFUNCTION("""COMPUTED_VALUE"""),"3.7143181")</f>
        <v>3.7143181</v>
      </c>
      <c r="AA3573" s="4" t="str">
        <f t="shared" si="1"/>
        <v>Not Neighbor</v>
      </c>
      <c r="AC3573" s="4">
        <f>IFERROR(__xludf.DUMMYFUNCTION("IFERROR(ABS(O3573-AVERAGE(FILTER(O3573:O7641,AA3573:AA7641=""Neighbor""))) / STDEV(FILTER(O3573:O7641, AA3573:AA7641 =""Neighbor"")), """")"),0.4232937726393824)</f>
        <v>0.4232937726</v>
      </c>
      <c r="AF3573" s="2">
        <f>IFERROR(__xludf.DUMMYFUNCTION("IFERROR(ABS(R3573-AVERAGE(FILTER(R3573:R7641,AA3573:AA7641=""Neighbor""))) / STDEV(FILTER(R3573:R7641, AA3573:AA7641 =""Neighbor"")), """")"),0.42087905266814873)</f>
        <v>0.4208790527</v>
      </c>
    </row>
    <row r="3574">
      <c r="A3574" s="2" t="s">
        <v>28</v>
      </c>
      <c r="B3574" s="2" t="s">
        <v>6772</v>
      </c>
      <c r="C3574" s="2" t="s">
        <v>6818</v>
      </c>
      <c r="D3574" s="2" t="s">
        <v>14541</v>
      </c>
      <c r="E3574" s="2" t="s">
        <v>14542</v>
      </c>
      <c r="F3574" s="2">
        <v>100.0</v>
      </c>
      <c r="G3574" s="2">
        <v>185.0</v>
      </c>
      <c r="H3574" s="2" t="b">
        <v>1</v>
      </c>
      <c r="I3574" s="2">
        <v>-1.0</v>
      </c>
      <c r="J3574" s="2" t="b">
        <v>0</v>
      </c>
      <c r="K3574" s="2" t="b">
        <v>0</v>
      </c>
      <c r="L3574" s="2" t="b">
        <v>0</v>
      </c>
      <c r="M3574" s="2" t="b">
        <v>0</v>
      </c>
      <c r="N3574" s="2" t="s">
        <v>33</v>
      </c>
      <c r="O3574" s="2">
        <v>48.0</v>
      </c>
      <c r="P3574" s="2">
        <v>28.0</v>
      </c>
      <c r="Q3574" s="2">
        <v>23.0</v>
      </c>
      <c r="R3574" s="2">
        <v>0.0</v>
      </c>
      <c r="S3574" s="3" t="s">
        <v>14543</v>
      </c>
      <c r="T3574" s="2" t="s">
        <v>14544</v>
      </c>
      <c r="Y3574" s="4" t="str">
        <f>IFERROR(__xludf.DUMMYFUNCTION("""COMPUTED_VALUE"""),"6.8781722")</f>
        <v>6.8781722</v>
      </c>
      <c r="Z3574" s="4" t="str">
        <f>IFERROR(__xludf.DUMMYFUNCTION("""COMPUTED_VALUE"""),"3.7036939")</f>
        <v>3.7036939</v>
      </c>
      <c r="AA3574" s="4" t="str">
        <f t="shared" si="1"/>
        <v>Not Neighbor</v>
      </c>
      <c r="AC3574" s="4">
        <f>IFERROR(__xludf.DUMMYFUNCTION("IFERROR(ABS(O3574-AVERAGE(FILTER(O3574:O7642,AA3574:AA7642=""Neighbor""))) / STDEV(FILTER(O3574:O7642, AA3574:AA7642 =""Neighbor"")), """")"),0.16921075148383893)</f>
        <v>0.1692107515</v>
      </c>
      <c r="AF3574" s="2">
        <f>IFERROR(__xludf.DUMMYFUNCTION("IFERROR(ABS(R3574-AVERAGE(FILTER(R3574:R7642,AA3574:AA7642=""Neighbor""))) / STDEV(FILTER(R3574:R7642, AA3574:AA7642 =""Neighbor"")), """")"),0.42087905266814873)</f>
        <v>0.4208790527</v>
      </c>
    </row>
    <row r="3575">
      <c r="A3575" s="2" t="s">
        <v>28</v>
      </c>
      <c r="B3575" s="2" t="s">
        <v>6772</v>
      </c>
      <c r="C3575" s="2" t="s">
        <v>6818</v>
      </c>
      <c r="D3575" s="2" t="s">
        <v>14545</v>
      </c>
      <c r="E3575" s="2" t="s">
        <v>14546</v>
      </c>
      <c r="F3575" s="2">
        <v>86.0</v>
      </c>
      <c r="G3575" s="2">
        <v>160.0</v>
      </c>
      <c r="H3575" s="2" t="b">
        <v>1</v>
      </c>
      <c r="I3575" s="2">
        <v>-1.0</v>
      </c>
      <c r="J3575" s="2" t="b">
        <v>0</v>
      </c>
      <c r="K3575" s="2" t="b">
        <v>0</v>
      </c>
      <c r="L3575" s="2" t="b">
        <v>0</v>
      </c>
      <c r="M3575" s="2" t="b">
        <v>0</v>
      </c>
      <c r="N3575" s="2" t="s">
        <v>33</v>
      </c>
      <c r="O3575" s="2">
        <v>43.0</v>
      </c>
      <c r="P3575" s="2">
        <v>16.0</v>
      </c>
      <c r="Q3575" s="2">
        <v>10.0</v>
      </c>
      <c r="R3575" s="2">
        <v>0.0</v>
      </c>
      <c r="S3575" s="3" t="s">
        <v>14547</v>
      </c>
      <c r="T3575" s="2" t="s">
        <v>14548</v>
      </c>
      <c r="Y3575" s="4" t="str">
        <f>IFERROR(__xludf.DUMMYFUNCTION("""COMPUTED_VALUE"""),"6.850339")</f>
        <v>6.850339</v>
      </c>
      <c r="Z3575" s="4" t="str">
        <f>IFERROR(__xludf.DUMMYFUNCTION("""COMPUTED_VALUE"""),"3.7579711")</f>
        <v>3.7579711</v>
      </c>
      <c r="AA3575" s="4" t="str">
        <f t="shared" si="1"/>
        <v>Not Neighbor</v>
      </c>
      <c r="AC3575" s="4">
        <f>IFERROR(__xludf.DUMMYFUNCTION("IFERROR(ABS(O3575-AVERAGE(FILTER(O3575:O7643,AA3575:AA7643=""Neighbor""))) / STDEV(FILTER(O3575:O7643, AA3575:AA7643 =""Neighbor"")), """")"),0.004626161449610778)</f>
        <v>0.00462616145</v>
      </c>
      <c r="AF3575" s="2">
        <f>IFERROR(__xludf.DUMMYFUNCTION("IFERROR(ABS(R3575-AVERAGE(FILTER(R3575:R7643,AA3575:AA7643=""Neighbor""))) / STDEV(FILTER(R3575:R7643, AA3575:AA7643 =""Neighbor"")), """")"),0.42087905266814873)</f>
        <v>0.4208790527</v>
      </c>
    </row>
    <row r="3576">
      <c r="A3576" s="2" t="s">
        <v>28</v>
      </c>
      <c r="B3576" s="2" t="s">
        <v>6772</v>
      </c>
      <c r="C3576" s="2" t="s">
        <v>6818</v>
      </c>
      <c r="D3576" s="2" t="s">
        <v>14549</v>
      </c>
      <c r="E3576" s="2" t="s">
        <v>14550</v>
      </c>
      <c r="F3576" s="2">
        <v>60.0</v>
      </c>
      <c r="G3576" s="2">
        <v>118.0</v>
      </c>
      <c r="H3576" s="2" t="b">
        <v>1</v>
      </c>
      <c r="I3576" s="2">
        <v>-1.0</v>
      </c>
      <c r="J3576" s="2" t="b">
        <v>0</v>
      </c>
      <c r="K3576" s="2" t="b">
        <v>0</v>
      </c>
      <c r="L3576" s="2" t="b">
        <v>0</v>
      </c>
      <c r="M3576" s="2" t="b">
        <v>0</v>
      </c>
      <c r="N3576" s="2" t="s">
        <v>33</v>
      </c>
      <c r="O3576" s="2">
        <v>31.0</v>
      </c>
      <c r="P3576" s="2">
        <v>15.0</v>
      </c>
      <c r="Q3576" s="2">
        <v>11.0</v>
      </c>
      <c r="R3576" s="2">
        <v>0.0</v>
      </c>
      <c r="S3576" s="3" t="s">
        <v>14551</v>
      </c>
      <c r="T3576" s="2" t="s">
        <v>14552</v>
      </c>
      <c r="Y3576" s="4" t="str">
        <f>IFERROR(__xludf.DUMMYFUNCTION("""COMPUTED_VALUE"""),"6.8657435")</f>
        <v>6.8657435</v>
      </c>
      <c r="Z3576" s="4" t="str">
        <f>IFERROR(__xludf.DUMMYFUNCTION("""COMPUTED_VALUE"""),"3.7058056")</f>
        <v>3.7058056</v>
      </c>
      <c r="AA3576" s="4" t="str">
        <f t="shared" si="1"/>
        <v>Neighbor</v>
      </c>
      <c r="AC3576" s="4">
        <f>IFERROR(__xludf.DUMMYFUNCTION("IFERROR(ABS(O3576-AVERAGE(FILTER(O3576:O7644,AA3576:AA7644=""Neighbor""))) / STDEV(FILTER(O3576:O7644, AA3576:AA7644 =""Neighbor"")), """")"),0.3903768546325368)</f>
        <v>0.3903768546</v>
      </c>
      <c r="AF3576" s="2">
        <f>IFERROR(__xludf.DUMMYFUNCTION("IFERROR(ABS(R3576-AVERAGE(FILTER(R3576:R7644,AA3576:AA7644=""Neighbor""))) / STDEV(FILTER(R3576:R7644, AA3576:AA7644 =""Neighbor"")), """")"),0.42087905266814873)</f>
        <v>0.4208790527</v>
      </c>
    </row>
    <row r="3577">
      <c r="A3577" s="2" t="s">
        <v>28</v>
      </c>
      <c r="B3577" s="2" t="s">
        <v>6772</v>
      </c>
      <c r="C3577" s="2" t="s">
        <v>6818</v>
      </c>
      <c r="D3577" s="2" t="s">
        <v>14553</v>
      </c>
      <c r="E3577" s="2" t="s">
        <v>14554</v>
      </c>
      <c r="F3577" s="2">
        <v>60.0</v>
      </c>
      <c r="G3577" s="2">
        <v>106.0</v>
      </c>
      <c r="H3577" s="2" t="b">
        <v>1</v>
      </c>
      <c r="I3577" s="2">
        <v>-1.0</v>
      </c>
      <c r="J3577" s="2" t="b">
        <v>0</v>
      </c>
      <c r="K3577" s="2" t="b">
        <v>0</v>
      </c>
      <c r="L3577" s="2" t="b">
        <v>0</v>
      </c>
      <c r="M3577" s="2" t="b">
        <v>0</v>
      </c>
      <c r="N3577" s="2" t="s">
        <v>33</v>
      </c>
      <c r="O3577" s="2">
        <v>31.0</v>
      </c>
      <c r="P3577" s="2">
        <v>7.0</v>
      </c>
      <c r="Q3577" s="2">
        <v>18.0</v>
      </c>
      <c r="R3577" s="2">
        <v>0.0</v>
      </c>
      <c r="S3577" s="3" t="s">
        <v>14555</v>
      </c>
      <c r="T3577" s="2" t="s">
        <v>14556</v>
      </c>
      <c r="Y3577" s="4" t="str">
        <f>IFERROR(__xludf.DUMMYFUNCTION("""COMPUTED_VALUE"""),"6.8650212")</f>
        <v>6.8650212</v>
      </c>
      <c r="Z3577" s="4" t="str">
        <f>IFERROR(__xludf.DUMMYFUNCTION("""COMPUTED_VALUE"""),"3.7143181")</f>
        <v>3.7143181</v>
      </c>
      <c r="AA3577" s="4" t="str">
        <f t="shared" si="1"/>
        <v>Not Neighbor</v>
      </c>
      <c r="AC3577" s="4">
        <f>IFERROR(__xludf.DUMMYFUNCTION("IFERROR(ABS(O3577-AVERAGE(FILTER(O3577:O7645,AA3577:AA7645=""Neighbor""))) / STDEV(FILTER(O3577:O7645, AA3577:AA7645 =""Neighbor"")), """")"),0.3915935227428631)</f>
        <v>0.3915935227</v>
      </c>
      <c r="AF3577" s="2">
        <f>IFERROR(__xludf.DUMMYFUNCTION("IFERROR(ABS(R3577-AVERAGE(FILTER(R3577:R7645,AA3577:AA7645=""Neighbor""))) / STDEV(FILTER(R3577:R7645, AA3577:AA7645 =""Neighbor"")), """")"),0.42221935542703565)</f>
        <v>0.4222193554</v>
      </c>
    </row>
    <row r="3578">
      <c r="A3578" s="2" t="s">
        <v>28</v>
      </c>
      <c r="B3578" s="2" t="s">
        <v>6772</v>
      </c>
      <c r="C3578" s="2" t="s">
        <v>6818</v>
      </c>
      <c r="D3578" s="2" t="s">
        <v>14557</v>
      </c>
      <c r="E3578" s="2" t="s">
        <v>14558</v>
      </c>
      <c r="F3578" s="2">
        <v>142.0</v>
      </c>
      <c r="G3578" s="2">
        <v>237.0</v>
      </c>
      <c r="H3578" s="2" t="b">
        <v>1</v>
      </c>
      <c r="I3578" s="2">
        <v>-1.0</v>
      </c>
      <c r="J3578" s="2" t="b">
        <v>1</v>
      </c>
      <c r="K3578" s="2" t="b">
        <v>0</v>
      </c>
      <c r="L3578" s="2" t="b">
        <v>0</v>
      </c>
      <c r="M3578" s="2" t="b">
        <v>0</v>
      </c>
      <c r="N3578" s="2" t="s">
        <v>33</v>
      </c>
      <c r="O3578" s="2">
        <v>52.0</v>
      </c>
      <c r="P3578" s="2">
        <v>46.0</v>
      </c>
      <c r="Q3578" s="2">
        <v>35.0</v>
      </c>
      <c r="R3578" s="2">
        <v>1.0</v>
      </c>
      <c r="S3578" s="3" t="s">
        <v>14559</v>
      </c>
      <c r="T3578" s="2" t="s">
        <v>14560</v>
      </c>
      <c r="Y3578" s="4" t="str">
        <f>IFERROR(__xludf.DUMMYFUNCTION("""COMPUTED_VALUE"""),"6.8793238")</f>
        <v>6.8793238</v>
      </c>
      <c r="Z3578" s="4" t="str">
        <f>IFERROR(__xludf.DUMMYFUNCTION("""COMPUTED_VALUE"""),"3.7122857")</f>
        <v>3.7122857</v>
      </c>
      <c r="AA3578" s="4" t="str">
        <f t="shared" si="1"/>
        <v>Not Neighbor</v>
      </c>
      <c r="AC3578" s="4">
        <f>IFERROR(__xludf.DUMMYFUNCTION("IFERROR(ABS(O3578-AVERAGE(FILTER(O3578:O7646,AA3578:AA7646=""Neighbor""))) / STDEV(FILTER(O3578:O7646, AA3578:AA7646 =""Neighbor"")), """")"),0.29806799588905275)</f>
        <v>0.2980679959</v>
      </c>
      <c r="AF3578" s="2">
        <f>IFERROR(__xludf.DUMMYFUNCTION("IFERROR(ABS(R3578-AVERAGE(FILTER(R3578:R7646,AA3578:AA7646=""Neighbor""))) / STDEV(FILTER(R3578:R7646, AA3578:AA7646 =""Neighbor"")), """")"),1.101081848466583)</f>
        <v>1.101081848</v>
      </c>
    </row>
    <row r="3579">
      <c r="A3579" s="2" t="s">
        <v>28</v>
      </c>
      <c r="B3579" s="2" t="s">
        <v>6772</v>
      </c>
      <c r="C3579" s="2" t="s">
        <v>6984</v>
      </c>
      <c r="D3579" s="2" t="s">
        <v>14561</v>
      </c>
      <c r="E3579" s="2" t="s">
        <v>14562</v>
      </c>
      <c r="F3579" s="2">
        <v>94.0</v>
      </c>
      <c r="G3579" s="2">
        <v>120.0</v>
      </c>
      <c r="H3579" s="2" t="b">
        <v>1</v>
      </c>
      <c r="I3579" s="2">
        <v>-1.0</v>
      </c>
      <c r="J3579" s="2" t="b">
        <v>0</v>
      </c>
      <c r="K3579" s="2" t="b">
        <v>0</v>
      </c>
      <c r="L3579" s="2" t="b">
        <v>0</v>
      </c>
      <c r="M3579" s="2" t="b">
        <v>0</v>
      </c>
      <c r="N3579" s="2" t="s">
        <v>33</v>
      </c>
      <c r="O3579" s="2">
        <v>27.0</v>
      </c>
      <c r="P3579" s="2">
        <v>51.0</v>
      </c>
      <c r="Q3579" s="2">
        <v>32.0</v>
      </c>
      <c r="R3579" s="2">
        <v>1.0</v>
      </c>
      <c r="S3579" s="3" t="s">
        <v>14563</v>
      </c>
      <c r="T3579" s="2" t="s">
        <v>14564</v>
      </c>
      <c r="Y3579" s="4" t="str">
        <f>IFERROR(__xludf.DUMMYFUNCTION("""COMPUTED_VALUE"""),"6.863597")</f>
        <v>6.863597</v>
      </c>
      <c r="Z3579" s="4" t="str">
        <f>IFERROR(__xludf.DUMMYFUNCTION("""COMPUTED_VALUE"""),"3.8948078")</f>
        <v>3.8948078</v>
      </c>
      <c r="AA3579" s="4" t="str">
        <f t="shared" si="1"/>
        <v>Not Neighbor</v>
      </c>
      <c r="AC3579" s="4">
        <f>IFERROR(__xludf.DUMMYFUNCTION("IFERROR(ABS(O3579-AVERAGE(FILTER(O3579:O7647,AA3579:AA7647=""Neighbor""))) / STDEV(FILTER(O3579:O7647, AA3579:AA7647 =""Neighbor"")), """")"),0.5229576215298947)</f>
        <v>0.5229576215</v>
      </c>
      <c r="AF3579" s="2">
        <f>IFERROR(__xludf.DUMMYFUNCTION("IFERROR(ABS(R3579-AVERAGE(FILTER(R3579:R7647,AA3579:AA7647=""Neighbor""))) / STDEV(FILTER(R3579:R7647, AA3579:AA7647 =""Neighbor"")), """")"),1.101081848466583)</f>
        <v>1.101081848</v>
      </c>
    </row>
    <row r="3580">
      <c r="A3580" s="2" t="s">
        <v>28</v>
      </c>
      <c r="B3580" s="2" t="s">
        <v>6772</v>
      </c>
      <c r="C3580" s="2" t="s">
        <v>6984</v>
      </c>
      <c r="D3580" s="2" t="s">
        <v>14565</v>
      </c>
      <c r="E3580" s="2" t="s">
        <v>14566</v>
      </c>
      <c r="F3580" s="2">
        <v>200.0</v>
      </c>
      <c r="G3580" s="2">
        <v>477.0</v>
      </c>
      <c r="H3580" s="2" t="b">
        <v>1</v>
      </c>
      <c r="I3580" s="2">
        <v>-1.0</v>
      </c>
      <c r="J3580" s="2" t="b">
        <v>0</v>
      </c>
      <c r="K3580" s="2" t="b">
        <v>1</v>
      </c>
      <c r="L3580" s="2" t="b">
        <v>0</v>
      </c>
      <c r="M3580" s="2" t="b">
        <v>0</v>
      </c>
      <c r="N3580" s="2" t="s">
        <v>33</v>
      </c>
      <c r="O3580" s="2">
        <v>114.0</v>
      </c>
      <c r="P3580" s="2">
        <v>27.0</v>
      </c>
      <c r="Q3580" s="2">
        <v>52.0</v>
      </c>
      <c r="R3580" s="2">
        <v>0.0</v>
      </c>
      <c r="S3580" s="3" t="s">
        <v>14567</v>
      </c>
      <c r="T3580" s="2" t="s">
        <v>14568</v>
      </c>
      <c r="Y3580" s="4" t="str">
        <f>IFERROR(__xludf.DUMMYFUNCTION("""COMPUTED_VALUE"""),"6.8650212")</f>
        <v>6.8650212</v>
      </c>
      <c r="Z3580" s="4" t="str">
        <f>IFERROR(__xludf.DUMMYFUNCTION("""COMPUTED_VALUE"""),"3.7143181")</f>
        <v>3.7143181</v>
      </c>
      <c r="AA3580" s="4" t="str">
        <f t="shared" si="1"/>
        <v>Not Neighbor</v>
      </c>
      <c r="AC3580" s="4">
        <f>IFERROR(__xludf.DUMMYFUNCTION("IFERROR(ABS(O3580-AVERAGE(FILTER(O3580:O7648,AA3580:AA7648=""Neighbor""))) / STDEV(FILTER(O3580:O7648, AA3580:AA7648 =""Neighbor"")), """")"),2.3342115270880424)</f>
        <v>2.334211527</v>
      </c>
      <c r="AF3580" s="2">
        <f>IFERROR(__xludf.DUMMYFUNCTION("IFERROR(ABS(R3580-AVERAGE(FILTER(R3580:R7648,AA3580:AA7648=""Neighbor""))) / STDEV(FILTER(R3580:R7648, AA3580:AA7648 =""Neighbor"")), """")"),0.42221935542703565)</f>
        <v>0.4222193554</v>
      </c>
    </row>
    <row r="3581">
      <c r="A3581" s="2" t="s">
        <v>28</v>
      </c>
      <c r="B3581" s="2" t="s">
        <v>6772</v>
      </c>
      <c r="C3581" s="2" t="s">
        <v>6984</v>
      </c>
      <c r="D3581" s="2" t="s">
        <v>14569</v>
      </c>
      <c r="E3581" s="2" t="s">
        <v>14570</v>
      </c>
      <c r="F3581" s="2">
        <v>250.0</v>
      </c>
      <c r="G3581" s="2">
        <v>750.0</v>
      </c>
      <c r="H3581" s="2" t="b">
        <v>1</v>
      </c>
      <c r="I3581" s="2">
        <v>-1.0</v>
      </c>
      <c r="J3581" s="2" t="b">
        <v>0</v>
      </c>
      <c r="K3581" s="2" t="b">
        <v>0</v>
      </c>
      <c r="L3581" s="2" t="b">
        <v>0</v>
      </c>
      <c r="M3581" s="2" t="b">
        <v>0</v>
      </c>
      <c r="N3581" s="2" t="s">
        <v>33</v>
      </c>
      <c r="O3581" s="2">
        <v>103.0</v>
      </c>
      <c r="P3581" s="2">
        <v>102.0</v>
      </c>
      <c r="Q3581" s="2">
        <v>32.0</v>
      </c>
      <c r="R3581" s="2">
        <v>0.0</v>
      </c>
      <c r="S3581" s="3" t="s">
        <v>14571</v>
      </c>
      <c r="T3581" s="2" t="s">
        <v>14572</v>
      </c>
      <c r="Y3581" s="4" t="str">
        <f>IFERROR(__xludf.DUMMYFUNCTION("""COMPUTED_VALUE"""),"6.8942184")</f>
        <v>6.8942184</v>
      </c>
      <c r="Z3581" s="4" t="str">
        <f>IFERROR(__xludf.DUMMYFUNCTION("""COMPUTED_VALUE"""),"3.709539")</f>
        <v>3.709539</v>
      </c>
      <c r="AA3581" s="4" t="str">
        <f t="shared" si="1"/>
        <v>Neighbor</v>
      </c>
      <c r="AC3581" s="4">
        <f>IFERROR(__xludf.DUMMYFUNCTION("IFERROR(ABS(O3581-AVERAGE(FILTER(O3581:O7649,AA3581:AA7649=""Neighbor""))) / STDEV(FILTER(O3581:O7649, AA3581:AA7649 =""Neighbor"")), """")"),1.9729602554237053)</f>
        <v>1.972960255</v>
      </c>
      <c r="AF3581" s="2">
        <f>IFERROR(__xludf.DUMMYFUNCTION("IFERROR(ABS(R3581-AVERAGE(FILTER(R3581:R7649,AA3581:AA7649=""Neighbor""))) / STDEV(FILTER(R3581:R7649, AA3581:AA7649 =""Neighbor"")), """")"),0.42221935542703565)</f>
        <v>0.4222193554</v>
      </c>
    </row>
    <row r="3582">
      <c r="A3582" s="2" t="s">
        <v>28</v>
      </c>
      <c r="B3582" s="2" t="s">
        <v>6772</v>
      </c>
      <c r="C3582" s="2" t="s">
        <v>6984</v>
      </c>
      <c r="D3582" s="2" t="s">
        <v>14573</v>
      </c>
      <c r="E3582" s="2" t="s">
        <v>14574</v>
      </c>
      <c r="F3582" s="2">
        <v>248.0</v>
      </c>
      <c r="G3582" s="2">
        <v>750.0</v>
      </c>
      <c r="H3582" s="2" t="b">
        <v>1</v>
      </c>
      <c r="I3582" s="2">
        <v>-1.0</v>
      </c>
      <c r="J3582" s="2" t="b">
        <v>0</v>
      </c>
      <c r="K3582" s="2" t="b">
        <v>0</v>
      </c>
      <c r="L3582" s="2" t="b">
        <v>0</v>
      </c>
      <c r="M3582" s="2" t="b">
        <v>0</v>
      </c>
      <c r="N3582" s="2" t="s">
        <v>33</v>
      </c>
      <c r="O3582" s="2">
        <v>106.0</v>
      </c>
      <c r="P3582" s="2">
        <v>59.0</v>
      </c>
      <c r="Q3582" s="2">
        <v>39.0</v>
      </c>
      <c r="R3582" s="2">
        <v>1.0</v>
      </c>
      <c r="S3582" s="3" t="s">
        <v>14575</v>
      </c>
      <c r="T3582" s="2" t="s">
        <v>14576</v>
      </c>
      <c r="Y3582" s="4" t="str">
        <f>IFERROR(__xludf.DUMMYFUNCTION("""COMPUTED_VALUE"""),"6.8943329")</f>
        <v>6.8943329</v>
      </c>
      <c r="Z3582" s="4" t="str">
        <f>IFERROR(__xludf.DUMMYFUNCTION("""COMPUTED_VALUE"""),"3.7094909")</f>
        <v>3.7094909</v>
      </c>
      <c r="AA3582" s="4" t="str">
        <f t="shared" si="1"/>
        <v>Neighbor</v>
      </c>
      <c r="AC3582" s="4">
        <f>IFERROR(__xludf.DUMMYFUNCTION("IFERROR(ABS(O3582-AVERAGE(FILTER(O3582:O7650,AA3582:AA7650=""Neighbor""))) / STDEV(FILTER(O3582:O7650, AA3582:AA7650 =""Neighbor"")), """")"),2.0991360514036863)</f>
        <v>2.099136051</v>
      </c>
      <c r="AF3582" s="2">
        <f>IFERROR(__xludf.DUMMYFUNCTION("IFERROR(ABS(R3582-AVERAGE(FILTER(R3582:R7650,AA3582:AA7650=""Neighbor""))) / STDEV(FILTER(R3582:R7650, AA3582:AA7650 =""Neighbor"")), """")"),1.0963054415242504)</f>
        <v>1.096305442</v>
      </c>
    </row>
    <row r="3583">
      <c r="A3583" s="2" t="s">
        <v>28</v>
      </c>
      <c r="B3583" s="2" t="s">
        <v>6772</v>
      </c>
      <c r="C3583" s="2" t="s">
        <v>6984</v>
      </c>
      <c r="D3583" s="2" t="s">
        <v>14577</v>
      </c>
      <c r="E3583" s="2" t="s">
        <v>14578</v>
      </c>
      <c r="F3583" s="2">
        <v>55.0</v>
      </c>
      <c r="G3583" s="2">
        <v>93.0</v>
      </c>
      <c r="H3583" s="2" t="b">
        <v>1</v>
      </c>
      <c r="I3583" s="2">
        <v>-1.0</v>
      </c>
      <c r="J3583" s="2" t="b">
        <v>0</v>
      </c>
      <c r="K3583" s="2" t="b">
        <v>0</v>
      </c>
      <c r="L3583" s="2" t="b">
        <v>0</v>
      </c>
      <c r="M3583" s="2" t="b">
        <v>0</v>
      </c>
      <c r="N3583" s="2" t="s">
        <v>33</v>
      </c>
      <c r="O3583" s="2">
        <v>106.0</v>
      </c>
      <c r="P3583" s="2">
        <v>59.0</v>
      </c>
      <c r="Q3583" s="2">
        <v>39.0</v>
      </c>
      <c r="R3583" s="2">
        <v>1.0</v>
      </c>
      <c r="S3583" s="3" t="s">
        <v>14579</v>
      </c>
      <c r="T3583" s="2" t="s">
        <v>14580</v>
      </c>
      <c r="Y3583" s="4" t="str">
        <f>IFERROR(__xludf.DUMMYFUNCTION("""COMPUTED_VALUE"""),"6.8942184")</f>
        <v>6.8942184</v>
      </c>
      <c r="Z3583" s="4" t="str">
        <f>IFERROR(__xludf.DUMMYFUNCTION("""COMPUTED_VALUE"""),"3.709539")</f>
        <v>3.709539</v>
      </c>
      <c r="AA3583" s="4" t="str">
        <f t="shared" si="1"/>
        <v>Neighbor</v>
      </c>
      <c r="AC3583" s="4">
        <f>IFERROR(__xludf.DUMMYFUNCTION("IFERROR(ABS(O3583-AVERAGE(FILTER(O3583:O7651,AA3583:AA7651=""Neighbor""))) / STDEV(FILTER(O3583:O7651, AA3583:AA7651 =""Neighbor"")), """")"),2.1309609544408703)</f>
        <v>2.130960954</v>
      </c>
      <c r="AF3583" s="2">
        <f>IFERROR(__xludf.DUMMYFUNCTION("IFERROR(ABS(R3583-AVERAGE(FILTER(R3583:R7651,AA3583:AA7651=""Neighbor""))) / STDEV(FILTER(R3583:R7651, AA3583:AA7651 =""Neighbor"")), """")"),1.1029645194990547)</f>
        <v>1.102964519</v>
      </c>
    </row>
    <row r="3584">
      <c r="A3584" s="2" t="s">
        <v>28</v>
      </c>
      <c r="B3584" s="2" t="s">
        <v>6772</v>
      </c>
      <c r="C3584" s="2" t="s">
        <v>6984</v>
      </c>
      <c r="D3584" s="2" t="s">
        <v>14581</v>
      </c>
      <c r="E3584" s="2" t="s">
        <v>14582</v>
      </c>
      <c r="F3584" s="2">
        <v>48.0</v>
      </c>
      <c r="G3584" s="2">
        <v>99.0</v>
      </c>
      <c r="H3584" s="2" t="b">
        <v>1</v>
      </c>
      <c r="I3584" s="2">
        <v>-1.0</v>
      </c>
      <c r="J3584" s="2" t="b">
        <v>0</v>
      </c>
      <c r="K3584" s="2" t="b">
        <v>0</v>
      </c>
      <c r="L3584" s="2" t="b">
        <v>0</v>
      </c>
      <c r="M3584" s="2" t="b">
        <v>0</v>
      </c>
      <c r="N3584" s="2" t="s">
        <v>33</v>
      </c>
      <c r="O3584" s="2">
        <v>17.0</v>
      </c>
      <c r="P3584" s="2">
        <v>13.0</v>
      </c>
      <c r="Q3584" s="2">
        <v>5.0</v>
      </c>
      <c r="R3584" s="2">
        <v>0.0</v>
      </c>
      <c r="S3584" s="3" t="s">
        <v>14583</v>
      </c>
      <c r="T3584" s="2" t="s">
        <v>14584</v>
      </c>
      <c r="Y3584" s="4" t="str">
        <f>IFERROR(__xludf.DUMMYFUNCTION("""COMPUTED_VALUE"""),"6.8942184")</f>
        <v>6.8942184</v>
      </c>
      <c r="Z3584" s="4" t="str">
        <f>IFERROR(__xludf.DUMMYFUNCTION("""COMPUTED_VALUE"""),"3.709539")</f>
        <v>3.709539</v>
      </c>
      <c r="AA3584" s="4" t="str">
        <f t="shared" si="1"/>
        <v>Not Neighbor</v>
      </c>
      <c r="AC3584" s="4">
        <f>IFERROR(__xludf.DUMMYFUNCTION("IFERROR(ABS(O3584-AVERAGE(FILTER(O3584:O7652,AA3584:AA7652=""Neighbor""))) / STDEV(FILTER(O3584:O7652, AA3584:AA7652 =""Neighbor"")), """")"),0.8404936080628368)</f>
        <v>0.8404936081</v>
      </c>
      <c r="AF3584" s="2">
        <f>IFERROR(__xludf.DUMMYFUNCTION("IFERROR(ABS(R3584-AVERAGE(FILTER(R3584:R7652,AA3584:AA7652=""Neighbor""))) / STDEV(FILTER(R3584:R7652, AA3584:AA7652 =""Neighbor"")), """")"),0.411951412615693)</f>
        <v>0.4119514126</v>
      </c>
    </row>
    <row r="3585">
      <c r="A3585" s="2" t="s">
        <v>28</v>
      </c>
      <c r="B3585" s="2" t="s">
        <v>6772</v>
      </c>
      <c r="C3585" s="2" t="s">
        <v>6993</v>
      </c>
      <c r="D3585" s="2" t="s">
        <v>14585</v>
      </c>
      <c r="E3585" s="2" t="s">
        <v>14586</v>
      </c>
      <c r="F3585" s="2">
        <v>88.0</v>
      </c>
      <c r="G3585" s="2">
        <v>126.0</v>
      </c>
      <c r="H3585" s="2" t="b">
        <v>1</v>
      </c>
      <c r="I3585" s="2">
        <v>-1.0</v>
      </c>
      <c r="J3585" s="2" t="b">
        <v>0</v>
      </c>
      <c r="K3585" s="2" t="b">
        <v>0</v>
      </c>
      <c r="L3585" s="2" t="b">
        <v>0</v>
      </c>
      <c r="M3585" s="2" t="b">
        <v>0</v>
      </c>
      <c r="N3585" s="2" t="s">
        <v>33</v>
      </c>
      <c r="O3585" s="2">
        <v>42.0</v>
      </c>
      <c r="P3585" s="2">
        <v>5.0</v>
      </c>
      <c r="Q3585" s="2">
        <v>29.0</v>
      </c>
      <c r="R3585" s="2">
        <v>0.0</v>
      </c>
      <c r="S3585" s="3" t="s">
        <v>14587</v>
      </c>
      <c r="T3585" s="2" t="s">
        <v>14588</v>
      </c>
      <c r="Y3585" s="4" t="str">
        <f>IFERROR(__xludf.DUMMYFUNCTION("""COMPUTED_VALUE"""),"6.8903425")</f>
        <v>6.8903425</v>
      </c>
      <c r="Z3585" s="4" t="str">
        <f>IFERROR(__xludf.DUMMYFUNCTION("""COMPUTED_VALUE"""),"3.7282769")</f>
        <v>3.7282769</v>
      </c>
      <c r="AA3585" s="4" t="str">
        <f t="shared" si="1"/>
        <v>Neighbor</v>
      </c>
      <c r="AC3585" s="4">
        <f>IFERROR(__xludf.DUMMYFUNCTION("IFERROR(ABS(O3585-AVERAGE(FILTER(O3585:O7653,AA3585:AA7653=""Neighbor""))) / STDEV(FILTER(O3585:O7653, AA3585:AA7653 =""Neighbor"")), """")"),0.003544025422368814)</f>
        <v>0.003544025422</v>
      </c>
      <c r="AF3585" s="2">
        <f>IFERROR(__xludf.DUMMYFUNCTION("IFERROR(ABS(R3585-AVERAGE(FILTER(R3585:R7653,AA3585:AA7653=""Neighbor""))) / STDEV(FILTER(R3585:R7653, AA3585:AA7653 =""Neighbor"")), """")"),0.411951412615693)</f>
        <v>0.4119514126</v>
      </c>
    </row>
    <row r="3586">
      <c r="A3586" s="2" t="s">
        <v>28</v>
      </c>
      <c r="B3586" s="2" t="s">
        <v>6772</v>
      </c>
      <c r="C3586" s="2" t="s">
        <v>6993</v>
      </c>
      <c r="D3586" s="2" t="s">
        <v>14589</v>
      </c>
      <c r="E3586" s="2" t="s">
        <v>14590</v>
      </c>
      <c r="F3586" s="2">
        <v>49.0</v>
      </c>
      <c r="G3586" s="2">
        <v>99.0</v>
      </c>
      <c r="H3586" s="2" t="b">
        <v>1</v>
      </c>
      <c r="I3586" s="2">
        <v>-1.0</v>
      </c>
      <c r="J3586" s="2" t="b">
        <v>0</v>
      </c>
      <c r="K3586" s="2" t="b">
        <v>0</v>
      </c>
      <c r="L3586" s="2" t="b">
        <v>0</v>
      </c>
      <c r="M3586" s="2" t="b">
        <v>0</v>
      </c>
      <c r="N3586" s="2" t="s">
        <v>33</v>
      </c>
      <c r="O3586" s="2">
        <v>89.0</v>
      </c>
      <c r="P3586" s="2">
        <v>10.0</v>
      </c>
      <c r="Q3586" s="2">
        <v>44.0</v>
      </c>
      <c r="R3586" s="2">
        <v>0.0</v>
      </c>
      <c r="S3586" s="3" t="s">
        <v>14591</v>
      </c>
      <c r="T3586" s="2" t="s">
        <v>14592</v>
      </c>
      <c r="Y3586" s="4" t="str">
        <f>IFERROR(__xludf.DUMMYFUNCTION("""COMPUTED_VALUE"""),"6.8903425")</f>
        <v>6.8903425</v>
      </c>
      <c r="Z3586" s="4" t="str">
        <f>IFERROR(__xludf.DUMMYFUNCTION("""COMPUTED_VALUE"""),"3.7282769")</f>
        <v>3.7282769</v>
      </c>
      <c r="AA3586" s="4" t="str">
        <f t="shared" si="1"/>
        <v>Not Neighbor</v>
      </c>
      <c r="AC3586" s="4">
        <f>IFERROR(__xludf.DUMMYFUNCTION("IFERROR(ABS(O3586-AVERAGE(FILTER(O3586:O7654,AA3586:AA7654=""Neighbor""))) / STDEV(FILTER(O3586:O7654, AA3586:AA7654 =""Neighbor"")), """")"),1.5859307170215484)</f>
        <v>1.585930717</v>
      </c>
      <c r="AF3586" s="2">
        <f>IFERROR(__xludf.DUMMYFUNCTION("IFERROR(ABS(R3586-AVERAGE(FILTER(R3586:R7654,AA3586:AA7654=""Neighbor""))) / STDEV(FILTER(R3586:R7654, AA3586:AA7654 =""Neighbor"")), """")"),0.4132837129179749)</f>
        <v>0.4132837129</v>
      </c>
    </row>
    <row r="3587">
      <c r="A3587" s="2" t="s">
        <v>28</v>
      </c>
      <c r="B3587" s="2" t="s">
        <v>6772</v>
      </c>
      <c r="C3587" s="2" t="s">
        <v>7026</v>
      </c>
      <c r="D3587" s="2" t="s">
        <v>14593</v>
      </c>
      <c r="E3587" s="2" t="s">
        <v>14594</v>
      </c>
      <c r="F3587" s="2">
        <v>150.0</v>
      </c>
      <c r="G3587" s="2">
        <v>244.0</v>
      </c>
      <c r="H3587" s="2" t="b">
        <v>1</v>
      </c>
      <c r="I3587" s="2">
        <v>-1.0</v>
      </c>
      <c r="J3587" s="2" t="b">
        <v>0</v>
      </c>
      <c r="K3587" s="2" t="b">
        <v>0</v>
      </c>
      <c r="L3587" s="2" t="b">
        <v>0</v>
      </c>
      <c r="M3587" s="2" t="b">
        <v>0</v>
      </c>
      <c r="N3587" s="2" t="s">
        <v>33</v>
      </c>
      <c r="O3587" s="2">
        <v>76.0</v>
      </c>
      <c r="P3587" s="2">
        <v>14.0</v>
      </c>
      <c r="Q3587" s="2">
        <v>58.0</v>
      </c>
      <c r="R3587" s="2">
        <v>0.0</v>
      </c>
      <c r="S3587" s="3" t="s">
        <v>14595</v>
      </c>
      <c r="T3587" s="2" t="s">
        <v>14596</v>
      </c>
      <c r="Y3587" s="4" t="str">
        <f>IFERROR(__xludf.DUMMYFUNCTION("""COMPUTED_VALUE"""),"6.6381668")</f>
        <v>6.6381668</v>
      </c>
      <c r="Z3587" s="4" t="str">
        <f>IFERROR(__xludf.DUMMYFUNCTION("""COMPUTED_VALUE"""),"3.2870787")</f>
        <v>3.2870787</v>
      </c>
      <c r="AA3587" s="4" t="str">
        <f t="shared" si="1"/>
        <v>Not Neighbor</v>
      </c>
      <c r="AC3587" s="4">
        <f>IFERROR(__xludf.DUMMYFUNCTION("IFERROR(ABS(O3587-AVERAGE(FILTER(O3587:O7655,AA3587:AA7655=""Neighbor""))) / STDEV(FILTER(O3587:O7655, AA3587:AA7655 =""Neighbor"")), """")"),1.1482519957300725)</f>
        <v>1.148251996</v>
      </c>
      <c r="AF3587" s="2">
        <f>IFERROR(__xludf.DUMMYFUNCTION("IFERROR(ABS(R3587-AVERAGE(FILTER(R3587:R7655,AA3587:AA7655=""Neighbor""))) / STDEV(FILTER(R3587:R7655, AA3587:AA7655 =""Neighbor"")), """")"),0.4132837129179749)</f>
        <v>0.4132837129</v>
      </c>
    </row>
    <row r="3588">
      <c r="A3588" s="2" t="s">
        <v>28</v>
      </c>
      <c r="B3588" s="2" t="s">
        <v>6772</v>
      </c>
      <c r="C3588" s="2" t="s">
        <v>6863</v>
      </c>
      <c r="D3588" s="2" t="s">
        <v>14597</v>
      </c>
      <c r="E3588" s="2" t="s">
        <v>14598</v>
      </c>
      <c r="F3588" s="2">
        <v>129.0</v>
      </c>
      <c r="G3588" s="2">
        <v>193.0</v>
      </c>
      <c r="H3588" s="2" t="b">
        <v>1</v>
      </c>
      <c r="I3588" s="2">
        <v>-1.0</v>
      </c>
      <c r="J3588" s="2" t="b">
        <v>1</v>
      </c>
      <c r="K3588" s="2" t="b">
        <v>1</v>
      </c>
      <c r="L3588" s="2" t="b">
        <v>0</v>
      </c>
      <c r="M3588" s="2" t="b">
        <v>0</v>
      </c>
      <c r="N3588" s="2" t="s">
        <v>33</v>
      </c>
      <c r="O3588" s="2">
        <v>13.0</v>
      </c>
      <c r="P3588" s="2">
        <v>3.0</v>
      </c>
      <c r="Q3588" s="2">
        <v>68.0</v>
      </c>
      <c r="R3588" s="2">
        <v>0.0</v>
      </c>
      <c r="S3588" s="3" t="s">
        <v>14599</v>
      </c>
      <c r="T3588" s="2" t="s">
        <v>14600</v>
      </c>
      <c r="Y3588" s="4" t="str">
        <f>IFERROR(__xludf.DUMMYFUNCTION("""COMPUTED_VALUE"""),"6.9094586")</f>
        <v>6.9094586</v>
      </c>
      <c r="Z3588" s="4" t="str">
        <f>IFERROR(__xludf.DUMMYFUNCTION("""COMPUTED_VALUE"""),"3.680072")</f>
        <v>3.680072</v>
      </c>
      <c r="AA3588" s="4" t="str">
        <f t="shared" si="1"/>
        <v>Neighbor</v>
      </c>
      <c r="AC3588" s="4">
        <f>IFERROR(__xludf.DUMMYFUNCTION("IFERROR(ABS(O3588-AVERAGE(FILTER(O3588:O7656,AA3588:AA7656=""Neighbor""))) / STDEV(FILTER(O3588:O7656, AA3588:AA7656 =""Neighbor"")), """")"),0.9728064228363101)</f>
        <v>0.9728064228</v>
      </c>
      <c r="AF3588" s="2">
        <f>IFERROR(__xludf.DUMMYFUNCTION("IFERROR(ABS(R3588-AVERAGE(FILTER(R3588:R7656,AA3588:AA7656=""Neighbor""))) / STDEV(FILTER(R3588:R7656, AA3588:AA7656 =""Neighbor"")), """")"),0.4132837129179749)</f>
        <v>0.4132837129</v>
      </c>
    </row>
    <row r="3589">
      <c r="A3589" s="2" t="s">
        <v>28</v>
      </c>
      <c r="B3589" s="2" t="s">
        <v>6772</v>
      </c>
      <c r="C3589" s="2" t="s">
        <v>6863</v>
      </c>
      <c r="D3589" s="2" t="s">
        <v>14601</v>
      </c>
      <c r="E3589" s="2" t="s">
        <v>14602</v>
      </c>
      <c r="F3589" s="2">
        <v>98.0</v>
      </c>
      <c r="G3589" s="2">
        <v>157.0</v>
      </c>
      <c r="H3589" s="2" t="b">
        <v>1</v>
      </c>
      <c r="I3589" s="2">
        <v>-1.0</v>
      </c>
      <c r="J3589" s="2" t="b">
        <v>0</v>
      </c>
      <c r="K3589" s="2" t="b">
        <v>0</v>
      </c>
      <c r="L3589" s="2" t="b">
        <v>0</v>
      </c>
      <c r="M3589" s="2" t="b">
        <v>0</v>
      </c>
      <c r="N3589" s="2" t="s">
        <v>33</v>
      </c>
      <c r="O3589" s="2">
        <v>38.0</v>
      </c>
      <c r="P3589" s="2">
        <v>0.0</v>
      </c>
      <c r="Q3589" s="2">
        <v>35.0</v>
      </c>
      <c r="R3589" s="2">
        <v>0.0</v>
      </c>
      <c r="S3589" s="3" t="s">
        <v>14603</v>
      </c>
      <c r="T3589" s="2" t="s">
        <v>14604</v>
      </c>
      <c r="Y3589" s="4" t="str">
        <f>IFERROR(__xludf.DUMMYFUNCTION("""COMPUTED_VALUE"""),"6.9094586")</f>
        <v>6.9094586</v>
      </c>
      <c r="Z3589" s="4" t="str">
        <f>IFERROR(__xludf.DUMMYFUNCTION("""COMPUTED_VALUE"""),"3.680072")</f>
        <v>3.680072</v>
      </c>
      <c r="AA3589" s="4" t="str">
        <f t="shared" si="1"/>
        <v>Not Neighbor</v>
      </c>
      <c r="AC3589" s="4">
        <f>IFERROR(__xludf.DUMMYFUNCTION("IFERROR(ABS(O3589-AVERAGE(FILTER(O3589:O7657,AA3589:AA7657=""Neighbor""))) / STDEV(FILTER(O3589:O7657, AA3589:AA7657 =""Neighbor"")), """")"),0.13653270094265232)</f>
        <v>0.1365327009</v>
      </c>
      <c r="AF3589" s="2">
        <f>IFERROR(__xludf.DUMMYFUNCTION("IFERROR(ABS(R3589-AVERAGE(FILTER(R3589:R7657,AA3589:AA7657=""Neighbor""))) / STDEV(FILTER(R3589:R7657, AA3589:AA7657 =""Neighbor"")), """")"),0.41462903581401694)</f>
        <v>0.4146290358</v>
      </c>
    </row>
    <row r="3590">
      <c r="A3590" s="2" t="s">
        <v>28</v>
      </c>
      <c r="B3590" s="2" t="s">
        <v>6772</v>
      </c>
      <c r="C3590" s="2" t="s">
        <v>6863</v>
      </c>
      <c r="D3590" s="2" t="s">
        <v>14605</v>
      </c>
      <c r="E3590" s="2" t="s">
        <v>14606</v>
      </c>
      <c r="F3590" s="2">
        <v>195.0</v>
      </c>
      <c r="G3590" s="2">
        <v>294.0</v>
      </c>
      <c r="H3590" s="2" t="b">
        <v>1</v>
      </c>
      <c r="I3590" s="2">
        <v>-1.0</v>
      </c>
      <c r="J3590" s="2" t="b">
        <v>0</v>
      </c>
      <c r="K3590" s="2" t="b">
        <v>0</v>
      </c>
      <c r="L3590" s="2" t="b">
        <v>0</v>
      </c>
      <c r="M3590" s="2" t="b">
        <v>0</v>
      </c>
      <c r="N3590" s="2" t="s">
        <v>33</v>
      </c>
      <c r="O3590" s="2">
        <v>84.0</v>
      </c>
      <c r="P3590" s="2">
        <v>16.0</v>
      </c>
      <c r="Q3590" s="2">
        <v>76.0</v>
      </c>
      <c r="R3590" s="2">
        <v>0.0</v>
      </c>
      <c r="S3590" s="3" t="s">
        <v>14607</v>
      </c>
      <c r="T3590" s="2" t="s">
        <v>14608</v>
      </c>
      <c r="Y3590" s="4" t="str">
        <f>IFERROR(__xludf.DUMMYFUNCTION("""COMPUTED_VALUE"""),"6.5320558")</f>
        <v>6.5320558</v>
      </c>
      <c r="Z3590" s="4" t="str">
        <f>IFERROR(__xludf.DUMMYFUNCTION("""COMPUTED_VALUE"""),"3.3776121")</f>
        <v>3.3776121</v>
      </c>
      <c r="AA3590" s="4" t="str">
        <f t="shared" si="1"/>
        <v>Not Neighbor</v>
      </c>
      <c r="AC3590" s="4">
        <f>IFERROR(__xludf.DUMMYFUNCTION("IFERROR(ABS(O3590-AVERAGE(FILTER(O3590:O7658,AA3590:AA7658=""Neighbor""))) / STDEV(FILTER(O3590:O7658, AA3590:AA7658 =""Neighbor"")), """")"),1.41196627917002)</f>
        <v>1.411966279</v>
      </c>
      <c r="AF3590" s="2">
        <f>IFERROR(__xludf.DUMMYFUNCTION("IFERROR(ABS(R3590-AVERAGE(FILTER(R3590:R7658,AA3590:AA7658=""Neighbor""))) / STDEV(FILTER(R3590:R7658, AA3590:AA7658 =""Neighbor"")), """")"),0.41462903581401694)</f>
        <v>0.4146290358</v>
      </c>
    </row>
    <row r="3591">
      <c r="A3591" s="2" t="s">
        <v>28</v>
      </c>
      <c r="B3591" s="2" t="s">
        <v>6772</v>
      </c>
      <c r="C3591" s="2" t="s">
        <v>6876</v>
      </c>
      <c r="D3591" s="2" t="s">
        <v>14609</v>
      </c>
      <c r="E3591" s="2" t="s">
        <v>14610</v>
      </c>
      <c r="F3591" s="2">
        <v>224.0</v>
      </c>
      <c r="G3591" s="2">
        <v>750.0</v>
      </c>
      <c r="H3591" s="2" t="b">
        <v>1</v>
      </c>
      <c r="I3591" s="2">
        <v>-1.0</v>
      </c>
      <c r="J3591" s="2" t="b">
        <v>0</v>
      </c>
      <c r="K3591" s="2" t="b">
        <v>0</v>
      </c>
      <c r="L3591" s="2" t="b">
        <v>0</v>
      </c>
      <c r="M3591" s="2" t="b">
        <v>0</v>
      </c>
      <c r="N3591" s="2" t="s">
        <v>33</v>
      </c>
      <c r="O3591" s="2">
        <v>105.0</v>
      </c>
      <c r="P3591" s="2">
        <v>39.0</v>
      </c>
      <c r="Q3591" s="2">
        <v>60.0</v>
      </c>
      <c r="R3591" s="2">
        <v>1.0</v>
      </c>
      <c r="S3591" s="3" t="s">
        <v>14611</v>
      </c>
      <c r="T3591" s="2" t="s">
        <v>14612</v>
      </c>
      <c r="Y3591" s="4" t="str">
        <f>IFERROR(__xludf.DUMMYFUNCTION("""COMPUTED_VALUE"""),"6.8988245")</f>
        <v>6.8988245</v>
      </c>
      <c r="Z3591" s="4" t="str">
        <f>IFERROR(__xludf.DUMMYFUNCTION("""COMPUTED_VALUE"""),"3.6699295")</f>
        <v>3.6699295</v>
      </c>
      <c r="AA3591" s="4" t="str">
        <f t="shared" si="1"/>
        <v>Not Neighbor</v>
      </c>
      <c r="AC3591" s="4">
        <f>IFERROR(__xludf.DUMMYFUNCTION("IFERROR(ABS(O3591-AVERAGE(FILTER(O3591:O7659,AA3591:AA7659=""Neighbor""))) / STDEV(FILTER(O3591:O7659, AA3591:AA7659 =""Neighbor"")), """")"),2.1188897266127618)</f>
        <v>2.118889727</v>
      </c>
      <c r="AF3591" s="2">
        <f>IFERROR(__xludf.DUMMYFUNCTION("IFERROR(ABS(R3591-AVERAGE(FILTER(R3591:R7659,AA3591:AA7659=""Neighbor""))) / STDEV(FILTER(R3591:R7659, AA3591:AA7659 =""Neighbor"")), """")"),1.1000362174657594)</f>
        <v>1.100036217</v>
      </c>
    </row>
    <row r="3592">
      <c r="A3592" s="2" t="s">
        <v>28</v>
      </c>
      <c r="B3592" s="2" t="s">
        <v>6772</v>
      </c>
      <c r="C3592" s="2" t="s">
        <v>6876</v>
      </c>
      <c r="D3592" s="2" t="s">
        <v>14613</v>
      </c>
      <c r="E3592" s="2" t="s">
        <v>14614</v>
      </c>
      <c r="F3592" s="2">
        <v>188.0</v>
      </c>
      <c r="G3592" s="2">
        <v>448.0</v>
      </c>
      <c r="H3592" s="2" t="b">
        <v>1</v>
      </c>
      <c r="I3592" s="2">
        <v>-1.0</v>
      </c>
      <c r="J3592" s="2" t="b">
        <v>0</v>
      </c>
      <c r="K3592" s="2" t="b">
        <v>0</v>
      </c>
      <c r="L3592" s="2" t="b">
        <v>0</v>
      </c>
      <c r="M3592" s="2" t="b">
        <v>0</v>
      </c>
      <c r="N3592" s="2" t="s">
        <v>33</v>
      </c>
      <c r="O3592" s="2">
        <v>87.0</v>
      </c>
      <c r="P3592" s="2">
        <v>6.0</v>
      </c>
      <c r="Q3592" s="2">
        <v>76.0</v>
      </c>
      <c r="R3592" s="2">
        <v>0.0</v>
      </c>
      <c r="S3592" s="3" t="s">
        <v>14615</v>
      </c>
      <c r="T3592" s="2" t="s">
        <v>14616</v>
      </c>
      <c r="Y3592" s="4" t="str">
        <f>IFERROR(__xludf.DUMMYFUNCTION("""COMPUTED_VALUE"""),"6.9136743")</f>
        <v>6.9136743</v>
      </c>
      <c r="Z3592" s="4" t="str">
        <f>IFERROR(__xludf.DUMMYFUNCTION("""COMPUTED_VALUE"""),"3.6645154")</f>
        <v>3.6645154</v>
      </c>
      <c r="AA3592" s="4" t="str">
        <f t="shared" si="1"/>
        <v>Not Neighbor</v>
      </c>
      <c r="AC3592" s="4">
        <f>IFERROR(__xludf.DUMMYFUNCTION("IFERROR(ABS(O3592-AVERAGE(FILTER(O3592:O7660,AA3592:AA7660=""Neighbor""))) / STDEV(FILTER(O3592:O7660, AA3592:AA7660 =""Neighbor"")), """")"),1.5129553430904117)</f>
        <v>1.512955343</v>
      </c>
      <c r="AF3592" s="2">
        <f>IFERROR(__xludf.DUMMYFUNCTION("IFERROR(ABS(R3592-AVERAGE(FILTER(R3592:R7660,AA3592:AA7660=""Neighbor""))) / STDEV(FILTER(R3592:R7660, AA3592:AA7660 =""Neighbor"")), """")"),0.41462903581401694)</f>
        <v>0.4146290358</v>
      </c>
    </row>
    <row r="3593">
      <c r="A3593" s="2" t="s">
        <v>28</v>
      </c>
      <c r="B3593" s="2" t="s">
        <v>6772</v>
      </c>
      <c r="C3593" s="2" t="s">
        <v>6876</v>
      </c>
      <c r="D3593" s="2" t="s">
        <v>14617</v>
      </c>
      <c r="E3593" s="2" t="s">
        <v>14618</v>
      </c>
      <c r="F3593" s="2">
        <v>222.0</v>
      </c>
      <c r="G3593" s="2">
        <v>482.0</v>
      </c>
      <c r="H3593" s="2" t="b">
        <v>1</v>
      </c>
      <c r="I3593" s="2">
        <v>-1.0</v>
      </c>
      <c r="J3593" s="2" t="b">
        <v>0</v>
      </c>
      <c r="K3593" s="2" t="b">
        <v>0</v>
      </c>
      <c r="L3593" s="2" t="b">
        <v>0</v>
      </c>
      <c r="M3593" s="2" t="b">
        <v>0</v>
      </c>
      <c r="N3593" s="2" t="s">
        <v>33</v>
      </c>
      <c r="O3593" s="2">
        <v>95.0</v>
      </c>
      <c r="P3593" s="2">
        <v>8.0</v>
      </c>
      <c r="Q3593" s="2">
        <v>93.0</v>
      </c>
      <c r="R3593" s="2">
        <v>0.0</v>
      </c>
      <c r="S3593" s="3" t="s">
        <v>14619</v>
      </c>
      <c r="T3593" s="2" t="s">
        <v>14620</v>
      </c>
      <c r="Y3593" s="4" t="str">
        <f>IFERROR(__xludf.DUMMYFUNCTION("""COMPUTED_VALUE"""),"6.8988245")</f>
        <v>6.8988245</v>
      </c>
      <c r="Z3593" s="4" t="str">
        <f>IFERROR(__xludf.DUMMYFUNCTION("""COMPUTED_VALUE"""),"3.6699295")</f>
        <v>3.6699295</v>
      </c>
      <c r="AA3593" s="4" t="str">
        <f t="shared" si="1"/>
        <v>Neighbor</v>
      </c>
      <c r="AC3593" s="4">
        <f>IFERROR(__xludf.DUMMYFUNCTION("IFERROR(ABS(O3593-AVERAGE(FILTER(O3593:O7661,AA3593:AA7661=""Neighbor""))) / STDEV(FILTER(O3593:O7661, AA3593:AA7661 =""Neighbor"")), """")"),1.7822595135447896)</f>
        <v>1.782259514</v>
      </c>
      <c r="AF3593" s="2">
        <f>IFERROR(__xludf.DUMMYFUNCTION("IFERROR(ABS(R3593-AVERAGE(FILTER(R3593:R7661,AA3593:AA7661=""Neighbor""))) / STDEV(FILTER(R3593:R7661, AA3593:AA7661 =""Neighbor"")), """")"),0.41462903581401694)</f>
        <v>0.4146290358</v>
      </c>
    </row>
    <row r="3594">
      <c r="A3594" s="2" t="s">
        <v>28</v>
      </c>
      <c r="B3594" s="2" t="s">
        <v>6772</v>
      </c>
      <c r="C3594" s="2" t="s">
        <v>6876</v>
      </c>
      <c r="D3594" s="2" t="s">
        <v>14621</v>
      </c>
      <c r="E3594" s="2" t="s">
        <v>14622</v>
      </c>
      <c r="F3594" s="2">
        <v>68.0</v>
      </c>
      <c r="G3594" s="2">
        <v>105.0</v>
      </c>
      <c r="H3594" s="2" t="b">
        <v>1</v>
      </c>
      <c r="I3594" s="2">
        <v>-1.0</v>
      </c>
      <c r="J3594" s="2" t="b">
        <v>0</v>
      </c>
      <c r="K3594" s="2" t="b">
        <v>0</v>
      </c>
      <c r="L3594" s="2" t="b">
        <v>0</v>
      </c>
      <c r="M3594" s="2" t="b">
        <v>0</v>
      </c>
      <c r="N3594" s="2" t="s">
        <v>33</v>
      </c>
      <c r="O3594" s="2">
        <v>26.0</v>
      </c>
      <c r="P3594" s="2">
        <v>1.0</v>
      </c>
      <c r="Q3594" s="2">
        <v>23.0</v>
      </c>
      <c r="R3594" s="2">
        <v>0.0</v>
      </c>
      <c r="S3594" s="3" t="s">
        <v>14623</v>
      </c>
      <c r="T3594" s="2" t="s">
        <v>14624</v>
      </c>
      <c r="Y3594" s="4" t="str">
        <f>IFERROR(__xludf.DUMMYFUNCTION("""COMPUTED_VALUE"""),"6.8988245")</f>
        <v>6.8988245</v>
      </c>
      <c r="Z3594" s="4" t="str">
        <f>IFERROR(__xludf.DUMMYFUNCTION("""COMPUTED_VALUE"""),"3.6699295")</f>
        <v>3.6699295</v>
      </c>
      <c r="AA3594" s="4" t="str">
        <f t="shared" si="1"/>
        <v>Not Neighbor</v>
      </c>
      <c r="AC3594" s="4">
        <f>IFERROR(__xludf.DUMMYFUNCTION("IFERROR(ABS(O3594-AVERAGE(FILTER(O3594:O7662,AA3594:AA7662=""Neighbor""))) / STDEV(FILTER(O3594:O7662, AA3594:AA7662 =""Neighbor"")), """")"),0.5337953500735779)</f>
        <v>0.5337953501</v>
      </c>
      <c r="AF3594" s="2">
        <f>IFERROR(__xludf.DUMMYFUNCTION("IFERROR(ABS(R3594-AVERAGE(FILTER(R3594:R7662,AA3594:AA7662=""Neighbor""))) / STDEV(FILTER(R3594:R7662, AA3594:AA7662 =""Neighbor"")), """")"),0.4159875950101962)</f>
        <v>0.415987595</v>
      </c>
    </row>
    <row r="3595">
      <c r="A3595" s="2" t="s">
        <v>28</v>
      </c>
      <c r="B3595" s="2" t="s">
        <v>6772</v>
      </c>
      <c r="C3595" s="2" t="s">
        <v>6905</v>
      </c>
      <c r="D3595" s="2" t="s">
        <v>14625</v>
      </c>
      <c r="E3595" s="2" t="s">
        <v>14626</v>
      </c>
      <c r="F3595" s="2">
        <v>249.0</v>
      </c>
      <c r="G3595" s="2">
        <v>719.0</v>
      </c>
      <c r="H3595" s="2" t="b">
        <v>1</v>
      </c>
      <c r="I3595" s="2">
        <v>-1.0</v>
      </c>
      <c r="J3595" s="2" t="b">
        <v>0</v>
      </c>
      <c r="K3595" s="2" t="b">
        <v>0</v>
      </c>
      <c r="L3595" s="2" t="b">
        <v>0</v>
      </c>
      <c r="M3595" s="2" t="b">
        <v>0</v>
      </c>
      <c r="N3595" s="2" t="s">
        <v>33</v>
      </c>
      <c r="O3595" s="2">
        <v>105.0</v>
      </c>
      <c r="P3595" s="2">
        <v>53.0</v>
      </c>
      <c r="Q3595" s="2">
        <v>79.0</v>
      </c>
      <c r="R3595" s="2">
        <v>0.0</v>
      </c>
      <c r="S3595" s="3" t="s">
        <v>14627</v>
      </c>
      <c r="T3595" s="2" t="s">
        <v>14628</v>
      </c>
      <c r="Y3595" s="4" t="str">
        <f>IFERROR(__xludf.DUMMYFUNCTION("""COMPUTED_VALUE"""),"6.9149319")</f>
        <v>6.9149319</v>
      </c>
      <c r="Z3595" s="4" t="str">
        <f>IFERROR(__xludf.DUMMYFUNCTION("""COMPUTED_VALUE"""),"3.664859")</f>
        <v>3.664859</v>
      </c>
      <c r="AA3595" s="4" t="str">
        <f t="shared" si="1"/>
        <v>Neighbor</v>
      </c>
      <c r="AC3595" s="4">
        <f>IFERROR(__xludf.DUMMYFUNCTION("IFERROR(ABS(O3595-AVERAGE(FILTER(O3595:O7663,AA3595:AA7663=""Neighbor""))) / STDEV(FILTER(O3595:O7663, AA3595:AA7663 =""Neighbor"")), """")"),2.142222551079596)</f>
        <v>2.142222551</v>
      </c>
      <c r="AF3595" s="2">
        <f>IFERROR(__xludf.DUMMYFUNCTION("IFERROR(ABS(R3595-AVERAGE(FILTER(R3595:R7663,AA3595:AA7663=""Neighbor""))) / STDEV(FILTER(R3595:R7663, AA3595:AA7663 =""Neighbor"")), """")"),0.4159875950101962)</f>
        <v>0.415987595</v>
      </c>
    </row>
    <row r="3596">
      <c r="A3596" s="2" t="s">
        <v>28</v>
      </c>
      <c r="B3596" s="2" t="s">
        <v>6772</v>
      </c>
      <c r="C3596" s="2" t="s">
        <v>6905</v>
      </c>
      <c r="D3596" s="2" t="s">
        <v>14629</v>
      </c>
      <c r="E3596" s="2" t="s">
        <v>14630</v>
      </c>
      <c r="F3596" s="2">
        <v>136.0</v>
      </c>
      <c r="G3596" s="2">
        <v>211.0</v>
      </c>
      <c r="H3596" s="2" t="b">
        <v>1</v>
      </c>
      <c r="I3596" s="2">
        <v>-1.0</v>
      </c>
      <c r="J3596" s="2" t="b">
        <v>0</v>
      </c>
      <c r="K3596" s="2" t="b">
        <v>0</v>
      </c>
      <c r="L3596" s="2" t="b">
        <v>0</v>
      </c>
      <c r="M3596" s="2" t="b">
        <v>0</v>
      </c>
      <c r="N3596" s="2" t="s">
        <v>33</v>
      </c>
      <c r="O3596" s="2">
        <v>55.0</v>
      </c>
      <c r="P3596" s="2">
        <v>7.0</v>
      </c>
      <c r="Q3596" s="2">
        <v>70.0</v>
      </c>
      <c r="R3596" s="2">
        <v>0.0</v>
      </c>
      <c r="S3596" s="3" t="s">
        <v>14631</v>
      </c>
      <c r="T3596" s="2" t="s">
        <v>14632</v>
      </c>
      <c r="Y3596" s="4" t="str">
        <f>IFERROR(__xludf.DUMMYFUNCTION("""COMPUTED_VALUE"""),"6.9144446")</f>
        <v>6.9144446</v>
      </c>
      <c r="Z3596" s="4" t="str">
        <f>IFERROR(__xludf.DUMMYFUNCTION("""COMPUTED_VALUE"""),"3.6635284")</f>
        <v>3.6635284</v>
      </c>
      <c r="AA3596" s="4" t="str">
        <f t="shared" si="1"/>
        <v>Neighbor</v>
      </c>
      <c r="AC3596" s="4">
        <f>IFERROR(__xludf.DUMMYFUNCTION("IFERROR(ABS(O3596-AVERAGE(FILTER(O3596:O7664,AA3596:AA7664=""Neighbor""))) / STDEV(FILTER(O3596:O7664, AA3596:AA7664 =""Neighbor"")), """")"),0.4654482486465756)</f>
        <v>0.4654482486</v>
      </c>
      <c r="AF3596" s="2">
        <f>IFERROR(__xludf.DUMMYFUNCTION("IFERROR(ABS(R3596-AVERAGE(FILTER(R3596:R7664,AA3596:AA7664=""Neighbor""))) / STDEV(FILTER(R3596:R7664, AA3596:AA7664 =""Neighbor"")), """")"),0.4173596091583624)</f>
        <v>0.4173596092</v>
      </c>
    </row>
    <row r="3597">
      <c r="A3597" s="2" t="s">
        <v>28</v>
      </c>
      <c r="B3597" s="2" t="s">
        <v>6772</v>
      </c>
      <c r="C3597" s="2" t="s">
        <v>6905</v>
      </c>
      <c r="D3597" s="2" t="s">
        <v>14633</v>
      </c>
      <c r="E3597" s="2" t="s">
        <v>14634</v>
      </c>
      <c r="F3597" s="2">
        <v>170.0</v>
      </c>
      <c r="G3597" s="2">
        <v>244.0</v>
      </c>
      <c r="H3597" s="2" t="b">
        <v>1</v>
      </c>
      <c r="I3597" s="2">
        <v>-1.0</v>
      </c>
      <c r="J3597" s="2" t="b">
        <v>0</v>
      </c>
      <c r="K3597" s="2" t="b">
        <v>0</v>
      </c>
      <c r="L3597" s="2" t="b">
        <v>0</v>
      </c>
      <c r="M3597" s="2" t="b">
        <v>0</v>
      </c>
      <c r="N3597" s="2" t="s">
        <v>33</v>
      </c>
      <c r="O3597" s="2">
        <v>49.0</v>
      </c>
      <c r="P3597" s="2">
        <v>1.0</v>
      </c>
      <c r="Q3597" s="2">
        <v>112.0</v>
      </c>
      <c r="R3597" s="2">
        <v>0.0</v>
      </c>
      <c r="S3597" s="3" t="s">
        <v>14635</v>
      </c>
      <c r="T3597" s="2" t="s">
        <v>14636</v>
      </c>
      <c r="Y3597" s="4" t="str">
        <f>IFERROR(__xludf.DUMMYFUNCTION("""COMPUTED_VALUE"""),"6.9149319")</f>
        <v>6.9149319</v>
      </c>
      <c r="Z3597" s="4" t="str">
        <f>IFERROR(__xludf.DUMMYFUNCTION("""COMPUTED_VALUE"""),"3.664859")</f>
        <v>3.664859</v>
      </c>
      <c r="AA3597" s="4" t="str">
        <f t="shared" si="1"/>
        <v>Neighbor</v>
      </c>
      <c r="AC3597" s="4">
        <f>IFERROR(__xludf.DUMMYFUNCTION("IFERROR(ABS(O3597-AVERAGE(FILTER(O3597:O7665,AA3597:AA7665=""Neighbor""))) / STDEV(FILTER(O3597:O7665, AA3597:AA7665 =""Neighbor"")), """")"),0.2621458123899705)</f>
        <v>0.2621458124</v>
      </c>
      <c r="AF3597" s="2">
        <f>IFERROR(__xludf.DUMMYFUNCTION("IFERROR(ABS(R3597-AVERAGE(FILTER(R3597:R7665,AA3597:AA7665=""Neighbor""))) / STDEV(FILTER(R3597:R7665, AA3597:AA7665 =""Neighbor"")), """")"),0.41874530200404125)</f>
        <v>0.418745302</v>
      </c>
    </row>
    <row r="3598">
      <c r="A3598" s="2" t="s">
        <v>28</v>
      </c>
      <c r="B3598" s="2" t="s">
        <v>6772</v>
      </c>
      <c r="C3598" s="2" t="s">
        <v>6905</v>
      </c>
      <c r="D3598" s="2" t="s">
        <v>14637</v>
      </c>
      <c r="E3598" s="2" t="s">
        <v>14638</v>
      </c>
      <c r="F3598" s="2">
        <v>146.0</v>
      </c>
      <c r="G3598" s="2">
        <v>327.0</v>
      </c>
      <c r="H3598" s="2" t="b">
        <v>1</v>
      </c>
      <c r="I3598" s="2">
        <v>-1.0</v>
      </c>
      <c r="J3598" s="2" t="b">
        <v>0</v>
      </c>
      <c r="K3598" s="2" t="b">
        <v>0</v>
      </c>
      <c r="L3598" s="2" t="b">
        <v>0</v>
      </c>
      <c r="M3598" s="2" t="b">
        <v>0</v>
      </c>
      <c r="N3598" s="2" t="s">
        <v>33</v>
      </c>
      <c r="O3598" s="2">
        <v>51.0</v>
      </c>
      <c r="P3598" s="2">
        <v>12.0</v>
      </c>
      <c r="Q3598" s="2">
        <v>71.0</v>
      </c>
      <c r="R3598" s="2">
        <v>0.0</v>
      </c>
      <c r="S3598" s="3" t="s">
        <v>14639</v>
      </c>
      <c r="T3598" s="2" t="s">
        <v>14640</v>
      </c>
      <c r="Y3598" s="4" t="str">
        <f>IFERROR(__xludf.DUMMYFUNCTION("""COMPUTED_VALUE"""),"6.9149319")</f>
        <v>6.9149319</v>
      </c>
      <c r="Z3598" s="4" t="str">
        <f>IFERROR(__xludf.DUMMYFUNCTION("""COMPUTED_VALUE"""),"3.664859")</f>
        <v>3.664859</v>
      </c>
      <c r="AA3598" s="4" t="str">
        <f t="shared" si="1"/>
        <v>Not Neighbor</v>
      </c>
      <c r="AC3598" s="4">
        <f>IFERROR(__xludf.DUMMYFUNCTION("IFERROR(ABS(O3598-AVERAGE(FILTER(O3598:O7666,AA3598:AA7666=""Neighbor""))) / STDEV(FILTER(O3598:O7666, AA3598:AA7666 =""Neighbor"")), """")"),0.3310608939301154)</f>
        <v>0.3310608939</v>
      </c>
      <c r="AF3598" s="2">
        <f>IFERROR(__xludf.DUMMYFUNCTION("IFERROR(ABS(R3598-AVERAGE(FILTER(R3598:R7666,AA3598:AA7666=""Neighbor""))) / STDEV(FILTER(R3598:R7666, AA3598:AA7666 =""Neighbor"")), """")"),0.42014490254010556)</f>
        <v>0.4201449025</v>
      </c>
    </row>
    <row r="3599">
      <c r="A3599" s="2" t="s">
        <v>28</v>
      </c>
      <c r="B3599" s="2" t="s">
        <v>6772</v>
      </c>
      <c r="C3599" s="2" t="s">
        <v>6905</v>
      </c>
      <c r="D3599" s="2" t="s">
        <v>14641</v>
      </c>
      <c r="E3599" s="2" t="s">
        <v>14642</v>
      </c>
      <c r="F3599" s="2">
        <v>22.0</v>
      </c>
      <c r="G3599" s="2">
        <v>81.0</v>
      </c>
      <c r="H3599" s="2" t="b">
        <v>1</v>
      </c>
      <c r="I3599" s="2">
        <v>-1.0</v>
      </c>
      <c r="J3599" s="2" t="b">
        <v>0</v>
      </c>
      <c r="K3599" s="2" t="b">
        <v>0</v>
      </c>
      <c r="L3599" s="2" t="b">
        <v>0</v>
      </c>
      <c r="M3599" s="2" t="b">
        <v>0</v>
      </c>
      <c r="N3599" s="2" t="s">
        <v>33</v>
      </c>
      <c r="O3599" s="2">
        <v>11.0</v>
      </c>
      <c r="P3599" s="2">
        <v>2.0</v>
      </c>
      <c r="Q3599" s="2">
        <v>2.0</v>
      </c>
      <c r="R3599" s="2">
        <v>5.0</v>
      </c>
      <c r="S3599" s="3" t="s">
        <v>14643</v>
      </c>
      <c r="T3599" s="2" t="s">
        <v>14644</v>
      </c>
      <c r="Y3599" s="4" t="str">
        <f>IFERROR(__xludf.DUMMYFUNCTION("""COMPUTED_VALUE"""),"6.9235877")</f>
        <v>6.9235877</v>
      </c>
      <c r="Z3599" s="4" t="str">
        <f>IFERROR(__xludf.DUMMYFUNCTION("""COMPUTED_VALUE"""),"3.6364221")</f>
        <v>3.6364221</v>
      </c>
      <c r="AA3599" s="4" t="str">
        <f t="shared" si="1"/>
        <v>Not Neighbor</v>
      </c>
      <c r="AC3599" s="4">
        <f>IFERROR(__xludf.DUMMYFUNCTION("IFERROR(ABS(O3599-AVERAGE(FILTER(O3599:O7667,AA3599:AA7667=""Neighbor""))) / STDEV(FILTER(O3599:O7667, AA3599:AA7667 =""Neighbor"")), """")"),1.0313296160703596)</f>
        <v>1.031329616</v>
      </c>
      <c r="AF3599" s="2">
        <f>IFERROR(__xludf.DUMMYFUNCTION("IFERROR(ABS(R3599-AVERAGE(FILTER(R3599:R7667,AA3599:AA7667=""Neighbor""))) / STDEV(FILTER(R3599:R7667, AA3599:AA7667 =""Neighbor"")), """")"),7.082442642818921)</f>
        <v>7.082442643</v>
      </c>
    </row>
    <row r="3600">
      <c r="A3600" s="2" t="s">
        <v>28</v>
      </c>
      <c r="B3600" s="2" t="s">
        <v>6772</v>
      </c>
      <c r="C3600" s="2" t="s">
        <v>6905</v>
      </c>
      <c r="D3600" s="2" t="s">
        <v>14645</v>
      </c>
      <c r="E3600" s="2" t="s">
        <v>14646</v>
      </c>
      <c r="F3600" s="2">
        <v>87.0</v>
      </c>
      <c r="G3600" s="2">
        <v>355.0</v>
      </c>
      <c r="H3600" s="2" t="b">
        <v>1</v>
      </c>
      <c r="I3600" s="2">
        <v>-1.0</v>
      </c>
      <c r="J3600" s="2" t="b">
        <v>0</v>
      </c>
      <c r="K3600" s="2" t="b">
        <v>0</v>
      </c>
      <c r="L3600" s="2" t="b">
        <v>0</v>
      </c>
      <c r="M3600" s="2" t="b">
        <v>0</v>
      </c>
      <c r="N3600" s="2" t="s">
        <v>33</v>
      </c>
      <c r="O3600" s="2">
        <v>13.0</v>
      </c>
      <c r="P3600" s="2">
        <v>3.0</v>
      </c>
      <c r="Q3600" s="2">
        <v>68.0</v>
      </c>
      <c r="R3600" s="2">
        <v>0.0</v>
      </c>
      <c r="S3600" s="3" t="s">
        <v>14647</v>
      </c>
      <c r="T3600" s="2" t="s">
        <v>14648</v>
      </c>
      <c r="Y3600" s="4" t="str">
        <f>IFERROR(__xludf.DUMMYFUNCTION("""COMPUTED_VALUE"""),"6.9149319")</f>
        <v>6.9149319</v>
      </c>
      <c r="Z3600" s="4" t="str">
        <f>IFERROR(__xludf.DUMMYFUNCTION("""COMPUTED_VALUE"""),"3.664859")</f>
        <v>3.664859</v>
      </c>
      <c r="AA3600" s="4" t="str">
        <f t="shared" si="1"/>
        <v>Neighbor</v>
      </c>
      <c r="AC3600" s="4">
        <f>IFERROR(__xludf.DUMMYFUNCTION("IFERROR(ABS(O3600-AVERAGE(FILTER(O3600:O7668,AA3600:AA7668=""Neighbor""))) / STDEV(FILTER(O3600:O7668, AA3600:AA7668 =""Neighbor"")), """")"),0.9632100905703359)</f>
        <v>0.9632100906</v>
      </c>
      <c r="AF3600" s="2">
        <f>IFERROR(__xludf.DUMMYFUNCTION("IFERROR(ABS(R3600-AVERAGE(FILTER(R3600:R7668,AA3600:AA7668=""Neighbor""))) / STDEV(FILTER(R3600:R7668, AA3600:AA7668 =""Neighbor"")), """")"),0.42014490254010556)</f>
        <v>0.4201449025</v>
      </c>
    </row>
    <row r="3601">
      <c r="A3601" s="2" t="s">
        <v>28</v>
      </c>
      <c r="B3601" s="2" t="s">
        <v>6772</v>
      </c>
      <c r="C3601" s="2" t="s">
        <v>6905</v>
      </c>
      <c r="D3601" s="2" t="s">
        <v>14649</v>
      </c>
      <c r="E3601" s="2" t="s">
        <v>14650</v>
      </c>
      <c r="F3601" s="2">
        <v>92.0</v>
      </c>
      <c r="G3601" s="2">
        <v>170.0</v>
      </c>
      <c r="H3601" s="2" t="b">
        <v>1</v>
      </c>
      <c r="I3601" s="2">
        <v>-1.0</v>
      </c>
      <c r="J3601" s="2" t="b">
        <v>0</v>
      </c>
      <c r="K3601" s="2" t="b">
        <v>0</v>
      </c>
      <c r="L3601" s="2" t="b">
        <v>0</v>
      </c>
      <c r="M3601" s="2" t="b">
        <v>0</v>
      </c>
      <c r="N3601" s="2" t="s">
        <v>33</v>
      </c>
      <c r="O3601" s="2">
        <v>32.0</v>
      </c>
      <c r="P3601" s="2">
        <v>19.0</v>
      </c>
      <c r="Q3601" s="2">
        <v>37.0</v>
      </c>
      <c r="R3601" s="2">
        <v>0.0</v>
      </c>
      <c r="S3601" s="3" t="s">
        <v>14651</v>
      </c>
      <c r="T3601" s="2" t="s">
        <v>14652</v>
      </c>
      <c r="Y3601" s="4" t="str">
        <f>IFERROR(__xludf.DUMMYFUNCTION("""COMPUTED_VALUE"""),"6.9152056")</f>
        <v>6.9152056</v>
      </c>
      <c r="Z3601" s="4" t="str">
        <f>IFERROR(__xludf.DUMMYFUNCTION("""COMPUTED_VALUE"""),"3.6643313")</f>
        <v>3.6643313</v>
      </c>
      <c r="AA3601" s="4" t="str">
        <f t="shared" si="1"/>
        <v>Neighbor</v>
      </c>
      <c r="AC3601" s="4">
        <f>IFERROR(__xludf.DUMMYFUNCTION("IFERROR(ABS(O3601-AVERAGE(FILTER(O3601:O7669,AA3601:AA7669=""Neighbor""))) / STDEV(FILTER(O3601:O7669, AA3601:AA7669 =""Neighbor"")), """")"),0.3215481276449119)</f>
        <v>0.3215481276</v>
      </c>
      <c r="AF3601" s="2">
        <f>IFERROR(__xludf.DUMMYFUNCTION("IFERROR(ABS(R3601-AVERAGE(FILTER(R3601:R7669,AA3601:AA7669=""Neighbor""))) / STDEV(FILTER(R3601:R7669, AA3601:AA7669 =""Neighbor"")), """")"),0.4215586451661524)</f>
        <v>0.4215586452</v>
      </c>
    </row>
    <row r="3602">
      <c r="A3602" s="2" t="s">
        <v>28</v>
      </c>
      <c r="B3602" s="2" t="s">
        <v>6772</v>
      </c>
      <c r="C3602" s="2" t="s">
        <v>6905</v>
      </c>
      <c r="D3602" s="2" t="s">
        <v>14653</v>
      </c>
      <c r="E3602" s="2" t="s">
        <v>14654</v>
      </c>
      <c r="F3602" s="2">
        <v>86.0</v>
      </c>
      <c r="G3602" s="2">
        <v>146.0</v>
      </c>
      <c r="H3602" s="2" t="b">
        <v>1</v>
      </c>
      <c r="I3602" s="2">
        <v>-1.0</v>
      </c>
      <c r="J3602" s="2" t="b">
        <v>0</v>
      </c>
      <c r="K3602" s="2" t="b">
        <v>0</v>
      </c>
      <c r="L3602" s="2" t="b">
        <v>0</v>
      </c>
      <c r="M3602" s="2" t="b">
        <v>0</v>
      </c>
      <c r="N3602" s="2" t="s">
        <v>33</v>
      </c>
      <c r="O3602" s="2">
        <v>41.0</v>
      </c>
      <c r="P3602" s="2">
        <v>13.0</v>
      </c>
      <c r="Q3602" s="2">
        <v>25.0</v>
      </c>
      <c r="R3602" s="2">
        <v>0.0</v>
      </c>
      <c r="S3602" s="3" t="s">
        <v>14655</v>
      </c>
      <c r="T3602" s="2" t="s">
        <v>14656</v>
      </c>
      <c r="Y3602" s="4" t="str">
        <f>IFERROR(__xludf.DUMMYFUNCTION("""COMPUTED_VALUE"""),"6.9149319")</f>
        <v>6.9149319</v>
      </c>
      <c r="Z3602" s="4" t="str">
        <f>IFERROR(__xludf.DUMMYFUNCTION("""COMPUTED_VALUE"""),"3.664859")</f>
        <v>3.664859</v>
      </c>
      <c r="AA3602" s="4" t="str">
        <f t="shared" si="1"/>
        <v>Not Neighbor</v>
      </c>
      <c r="AC3602" s="4">
        <f>IFERROR(__xludf.DUMMYFUNCTION("IFERROR(ABS(O3602-AVERAGE(FILTER(O3602:O7670,AA3602:AA7670=""Neighbor""))) / STDEV(FILTER(O3602:O7670, AA3602:AA7670 =""Neighbor"")), """")"),0.01688424934100058)</f>
        <v>0.01688424934</v>
      </c>
      <c r="AF3602" s="2">
        <f>IFERROR(__xludf.DUMMYFUNCTION("IFERROR(ABS(R3602-AVERAGE(FILTER(R3602:R7670,AA3602:AA7670=""Neighbor""))) / STDEV(FILTER(R3602:R7670, AA3602:AA7670 =""Neighbor"")), """")"),0.42298676985384104)</f>
        <v>0.4229867699</v>
      </c>
    </row>
    <row r="3603">
      <c r="A3603" s="2" t="s">
        <v>28</v>
      </c>
      <c r="B3603" s="2" t="s">
        <v>6772</v>
      </c>
      <c r="C3603" s="2" t="s">
        <v>6934</v>
      </c>
      <c r="D3603" s="2" t="s">
        <v>14657</v>
      </c>
      <c r="E3603" s="2" t="s">
        <v>14658</v>
      </c>
      <c r="F3603" s="2">
        <v>62.0</v>
      </c>
      <c r="G3603" s="2">
        <v>104.0</v>
      </c>
      <c r="H3603" s="2" t="b">
        <v>1</v>
      </c>
      <c r="I3603" s="2">
        <v>-1.0</v>
      </c>
      <c r="J3603" s="2" t="b">
        <v>0</v>
      </c>
      <c r="K3603" s="2" t="b">
        <v>0</v>
      </c>
      <c r="L3603" s="2" t="b">
        <v>0</v>
      </c>
      <c r="M3603" s="2" t="b">
        <v>0</v>
      </c>
      <c r="N3603" s="2" t="s">
        <v>33</v>
      </c>
      <c r="O3603" s="2">
        <v>25.0</v>
      </c>
      <c r="P3603" s="2">
        <v>9.0</v>
      </c>
      <c r="Q3603" s="2">
        <v>26.0</v>
      </c>
      <c r="R3603" s="2">
        <v>0.0</v>
      </c>
      <c r="S3603" s="3" t="s">
        <v>14659</v>
      </c>
      <c r="T3603" s="2" t="s">
        <v>14660</v>
      </c>
      <c r="Y3603" s="4" t="str">
        <f>IFERROR(__xludf.DUMMYFUNCTION("""COMPUTED_VALUE"""),"6.9365954")</f>
        <v>6.9365954</v>
      </c>
      <c r="Z3603" s="4" t="str">
        <f>IFERROR(__xludf.DUMMYFUNCTION("""COMPUTED_VALUE"""),"3.6344466")</f>
        <v>3.6344466</v>
      </c>
      <c r="AA3603" s="4" t="str">
        <f t="shared" si="1"/>
        <v>Neighbor</v>
      </c>
      <c r="AC3603" s="4">
        <f>IFERROR(__xludf.DUMMYFUNCTION("IFERROR(ABS(O3603-AVERAGE(FILTER(O3603:O7671,AA3603:AA7671=""Neighbor""))) / STDEV(FILTER(O3603:O7671, AA3603:AA7671 =""Neighbor"")), """")"),0.5603214839443704)</f>
        <v>0.5603214839</v>
      </c>
      <c r="AF3603" s="2">
        <f>IFERROR(__xludf.DUMMYFUNCTION("IFERROR(ABS(R3603-AVERAGE(FILTER(R3603:R7671,AA3603:AA7671=""Neighbor""))) / STDEV(FILTER(R3603:R7671, AA3603:AA7671 =""Neighbor"")), """")"),0.42298676985384104)</f>
        <v>0.4229867699</v>
      </c>
    </row>
    <row r="3604">
      <c r="A3604" s="2" t="s">
        <v>28</v>
      </c>
      <c r="B3604" s="2" t="s">
        <v>6772</v>
      </c>
      <c r="C3604" s="2" t="s">
        <v>6934</v>
      </c>
      <c r="D3604" s="2" t="s">
        <v>14661</v>
      </c>
      <c r="E3604" s="2" t="s">
        <v>14662</v>
      </c>
      <c r="F3604" s="2">
        <v>94.0</v>
      </c>
      <c r="G3604" s="2">
        <v>144.0</v>
      </c>
      <c r="H3604" s="2" t="b">
        <v>1</v>
      </c>
      <c r="I3604" s="2">
        <v>-1.0</v>
      </c>
      <c r="J3604" s="2" t="b">
        <v>0</v>
      </c>
      <c r="K3604" s="2" t="b">
        <v>1</v>
      </c>
      <c r="L3604" s="2" t="b">
        <v>0</v>
      </c>
      <c r="M3604" s="2" t="b">
        <v>0</v>
      </c>
      <c r="N3604" s="2" t="s">
        <v>33</v>
      </c>
      <c r="O3604" s="2">
        <v>23.0</v>
      </c>
      <c r="P3604" s="2">
        <v>2.0</v>
      </c>
      <c r="Q3604" s="2">
        <v>54.0</v>
      </c>
      <c r="R3604" s="2">
        <v>0.0</v>
      </c>
      <c r="S3604" s="3" t="s">
        <v>14663</v>
      </c>
      <c r="T3604" s="2" t="s">
        <v>14664</v>
      </c>
      <c r="Y3604" s="4" t="str">
        <f>IFERROR(__xludf.DUMMYFUNCTION("""COMPUTED_VALUE"""),"6.9365954")</f>
        <v>6.9365954</v>
      </c>
      <c r="Z3604" s="4" t="str">
        <f>IFERROR(__xludf.DUMMYFUNCTION("""COMPUTED_VALUE"""),"3.6344466")</f>
        <v>3.6344466</v>
      </c>
      <c r="AA3604" s="4" t="str">
        <f t="shared" si="1"/>
        <v>Neighbor</v>
      </c>
      <c r="AC3604" s="4">
        <f>IFERROR(__xludf.DUMMYFUNCTION("IFERROR(ABS(O3604-AVERAGE(FILTER(O3604:O7672,AA3604:AA7672=""Neighbor""))) / STDEV(FILTER(O3604:O7672, AA3604:AA7672 =""Neighbor"")), """")"),0.630249186455096)</f>
        <v>0.6302491865</v>
      </c>
      <c r="AF3604" s="2">
        <f>IFERROR(__xludf.DUMMYFUNCTION("IFERROR(ABS(R3604-AVERAGE(FILTER(R3604:R7672,AA3604:AA7672=""Neighbor""))) / STDEV(FILTER(R3604:R7672, AA3604:AA7672 =""Neighbor"")), """")"),0.42442952231845504)</f>
        <v>0.4244295223</v>
      </c>
    </row>
    <row r="3605">
      <c r="A3605" s="2" t="s">
        <v>28</v>
      </c>
      <c r="B3605" s="2" t="s">
        <v>6772</v>
      </c>
      <c r="C3605" s="2" t="s">
        <v>6955</v>
      </c>
      <c r="D3605" s="2" t="s">
        <v>14665</v>
      </c>
      <c r="E3605" s="2" t="s">
        <v>14666</v>
      </c>
      <c r="F3605" s="2">
        <v>70.0</v>
      </c>
      <c r="G3605" s="2">
        <v>168.0</v>
      </c>
      <c r="H3605" s="2" t="b">
        <v>1</v>
      </c>
      <c r="I3605" s="2">
        <v>-1.0</v>
      </c>
      <c r="J3605" s="2" t="b">
        <v>0</v>
      </c>
      <c r="K3605" s="2" t="b">
        <v>0</v>
      </c>
      <c r="L3605" s="2" t="b">
        <v>0</v>
      </c>
      <c r="M3605" s="2" t="b">
        <v>0</v>
      </c>
      <c r="N3605" s="2" t="s">
        <v>33</v>
      </c>
      <c r="O3605" s="2">
        <v>28.0</v>
      </c>
      <c r="P3605" s="2">
        <v>3.0</v>
      </c>
      <c r="Q3605" s="2">
        <v>34.0</v>
      </c>
      <c r="R3605" s="2">
        <v>2.0</v>
      </c>
      <c r="S3605" s="3" t="s">
        <v>14667</v>
      </c>
      <c r="T3605" s="2" t="s">
        <v>14668</v>
      </c>
      <c r="Y3605" s="4" t="str">
        <f>IFERROR(__xludf.DUMMYFUNCTION("""COMPUTED_VALUE"""),"6.9365954")</f>
        <v>6.9365954</v>
      </c>
      <c r="Z3605" s="4" t="str">
        <f>IFERROR(__xludf.DUMMYFUNCTION("""COMPUTED_VALUE"""),"3.6344466")</f>
        <v>3.6344466</v>
      </c>
      <c r="AA3605" s="4" t="str">
        <f t="shared" si="1"/>
        <v>Neighbor</v>
      </c>
      <c r="AC3605" s="4">
        <f>IFERROR(__xludf.DUMMYFUNCTION("IFERROR(ABS(O3605-AVERAGE(FILTER(O3605:O7673,AA3605:AA7673=""Neighbor""))) / STDEV(FILTER(O3605:O7673, AA3605:AA7673 =""Neighbor"")), """")"),0.46363137426610557)</f>
        <v>0.4636313743</v>
      </c>
      <c r="AF3605" s="2">
        <f>IFERROR(__xludf.DUMMYFUNCTION("IFERROR(ABS(R3605-AVERAGE(FILTER(R3605:R7673,AA3605:AA7673=""Neighbor""))) / STDEV(FILTER(R3605:R7673, AA3605:AA7673 =""Neighbor"")), """")"),2.5466313506063543)</f>
        <v>2.546631351</v>
      </c>
    </row>
    <row r="3606">
      <c r="A3606" s="2" t="s">
        <v>28</v>
      </c>
      <c r="B3606" s="2" t="s">
        <v>6772</v>
      </c>
      <c r="C3606" s="2" t="s">
        <v>6955</v>
      </c>
      <c r="D3606" s="2" t="s">
        <v>14669</v>
      </c>
      <c r="E3606" s="2" t="s">
        <v>14670</v>
      </c>
      <c r="F3606" s="2">
        <v>86.0</v>
      </c>
      <c r="G3606" s="2">
        <v>143.0</v>
      </c>
      <c r="H3606" s="2" t="b">
        <v>1</v>
      </c>
      <c r="I3606" s="2">
        <v>-1.0</v>
      </c>
      <c r="J3606" s="2" t="b">
        <v>0</v>
      </c>
      <c r="K3606" s="2" t="b">
        <v>0</v>
      </c>
      <c r="L3606" s="2" t="b">
        <v>0</v>
      </c>
      <c r="M3606" s="2" t="b">
        <v>0</v>
      </c>
      <c r="N3606" s="2" t="s">
        <v>33</v>
      </c>
      <c r="O3606" s="2">
        <v>36.0</v>
      </c>
      <c r="P3606" s="2">
        <v>19.0</v>
      </c>
      <c r="Q3606" s="2">
        <v>26.0</v>
      </c>
      <c r="R3606" s="2">
        <v>0.0</v>
      </c>
      <c r="S3606" s="3" t="s">
        <v>14671</v>
      </c>
      <c r="T3606" s="2" t="s">
        <v>14672</v>
      </c>
      <c r="Y3606" s="4" t="str">
        <f>IFERROR(__xludf.DUMMYFUNCTION("""COMPUTED_VALUE"""),"6.9365954")</f>
        <v>6.9365954</v>
      </c>
      <c r="Z3606" s="4" t="str">
        <f>IFERROR(__xludf.DUMMYFUNCTION("""COMPUTED_VALUE"""),"3.6344466")</f>
        <v>3.6344466</v>
      </c>
      <c r="AA3606" s="4" t="str">
        <f t="shared" si="1"/>
        <v>Neighbor</v>
      </c>
      <c r="AC3606" s="4">
        <f>IFERROR(__xludf.DUMMYFUNCTION("IFERROR(ABS(O3606-AVERAGE(FILTER(O3606:O7674,AA3606:AA7674=""Neighbor""))) / STDEV(FILTER(O3606:O7674, AA3606:AA7674 =""Neighbor"")), """")"),0.1952074942628702)</f>
        <v>0.1952074943</v>
      </c>
      <c r="AF3606" s="2">
        <f>IFERROR(__xludf.DUMMYFUNCTION("IFERROR(ABS(R3606-AVERAGE(FILTER(R3606:R7674,AA3606:AA7674=""Neighbor""))) / STDEV(FILTER(R3606:R7674, AA3606:AA7674 =""Neighbor"")), """")"),0.41779108479903215)</f>
        <v>0.4177910848</v>
      </c>
    </row>
    <row r="3607">
      <c r="A3607" s="2" t="s">
        <v>28</v>
      </c>
      <c r="B3607" s="2" t="s">
        <v>6772</v>
      </c>
      <c r="C3607" s="2" t="s">
        <v>6955</v>
      </c>
      <c r="D3607" s="2" t="s">
        <v>14673</v>
      </c>
      <c r="E3607" s="2" t="s">
        <v>14674</v>
      </c>
      <c r="F3607" s="2">
        <v>51.0</v>
      </c>
      <c r="G3607" s="2">
        <v>88.0</v>
      </c>
      <c r="H3607" s="2" t="b">
        <v>1</v>
      </c>
      <c r="I3607" s="2">
        <v>-1.0</v>
      </c>
      <c r="J3607" s="2" t="b">
        <v>0</v>
      </c>
      <c r="K3607" s="2" t="b">
        <v>0</v>
      </c>
      <c r="L3607" s="2" t="b">
        <v>0</v>
      </c>
      <c r="M3607" s="2" t="b">
        <v>0</v>
      </c>
      <c r="N3607" s="2" t="s">
        <v>33</v>
      </c>
      <c r="O3607" s="2">
        <v>13.0</v>
      </c>
      <c r="P3607" s="2">
        <v>11.0</v>
      </c>
      <c r="Q3607" s="2">
        <v>17.0</v>
      </c>
      <c r="R3607" s="2">
        <v>0.0</v>
      </c>
      <c r="S3607" s="3" t="s">
        <v>14675</v>
      </c>
      <c r="T3607" s="2" t="s">
        <v>14676</v>
      </c>
      <c r="Y3607" s="4" t="str">
        <f>IFERROR(__xludf.DUMMYFUNCTION("""COMPUTED_VALUE"""),"6.9365954")</f>
        <v>6.9365954</v>
      </c>
      <c r="Z3607" s="4" t="str">
        <f>IFERROR(__xludf.DUMMYFUNCTION("""COMPUTED_VALUE"""),"3.6344466")</f>
        <v>3.6344466</v>
      </c>
      <c r="AA3607" s="4" t="str">
        <f t="shared" si="1"/>
        <v>Neighbor</v>
      </c>
      <c r="AC3607" s="4">
        <f>IFERROR(__xludf.DUMMYFUNCTION("IFERROR(ABS(O3607-AVERAGE(FILTER(O3607:O7675,AA3607:AA7675=""Neighbor""))) / STDEV(FILTER(O3607:O7675, AA3607:AA7675 =""Neighbor"")), """")"),0.9700512797130193)</f>
        <v>0.9700512797</v>
      </c>
      <c r="AF3607" s="2">
        <f>IFERROR(__xludf.DUMMYFUNCTION("IFERROR(ABS(R3607-AVERAGE(FILTER(R3607:R7675,AA3607:AA7675=""Neighbor""))) / STDEV(FILTER(R3607:R7675, AA3607:AA7675 =""Neighbor"")), """")"),0.4192358330281427)</f>
        <v>0.419235833</v>
      </c>
    </row>
    <row r="3608">
      <c r="A3608" s="2" t="s">
        <v>28</v>
      </c>
      <c r="B3608" s="2" t="s">
        <v>6772</v>
      </c>
      <c r="C3608" s="2" t="s">
        <v>6955</v>
      </c>
      <c r="D3608" s="2" t="s">
        <v>14677</v>
      </c>
      <c r="E3608" s="2" t="s">
        <v>14678</v>
      </c>
      <c r="F3608" s="2">
        <v>54.0</v>
      </c>
      <c r="G3608" s="2">
        <v>165.0</v>
      </c>
      <c r="H3608" s="2" t="b">
        <v>1</v>
      </c>
      <c r="I3608" s="2">
        <v>-1.0</v>
      </c>
      <c r="J3608" s="2" t="b">
        <v>0</v>
      </c>
      <c r="K3608" s="2" t="b">
        <v>0</v>
      </c>
      <c r="L3608" s="2" t="b">
        <v>0</v>
      </c>
      <c r="M3608" s="2" t="b">
        <v>0</v>
      </c>
      <c r="N3608" s="2" t="s">
        <v>33</v>
      </c>
      <c r="O3608" s="2">
        <v>25.0</v>
      </c>
      <c r="P3608" s="2">
        <v>7.0</v>
      </c>
      <c r="Q3608" s="2">
        <v>17.0</v>
      </c>
      <c r="R3608" s="2">
        <v>4.0</v>
      </c>
      <c r="S3608" s="3" t="s">
        <v>14679</v>
      </c>
      <c r="T3608" s="2" t="s">
        <v>14680</v>
      </c>
      <c r="Y3608" s="4" t="str">
        <f>IFERROR(__xludf.DUMMYFUNCTION("""COMPUTED_VALUE"""),"6.9365954")</f>
        <v>6.9365954</v>
      </c>
      <c r="Z3608" s="4" t="str">
        <f>IFERROR(__xludf.DUMMYFUNCTION("""COMPUTED_VALUE"""),"3.6344466")</f>
        <v>3.6344466</v>
      </c>
      <c r="AA3608" s="4" t="str">
        <f t="shared" si="1"/>
        <v>Not Neighbor</v>
      </c>
      <c r="AC3608" s="4">
        <f>IFERROR(__xludf.DUMMYFUNCTION("IFERROR(ABS(O3608-AVERAGE(FILTER(O3608:O7676,AA3608:AA7676=""Neighbor""))) / STDEV(FILTER(O3608:O7676, AA3608:AA7676 =""Neighbor"")), """")"),0.5717783410296023)</f>
        <v>0.571778341</v>
      </c>
      <c r="AF3608" s="2">
        <f>IFERROR(__xludf.DUMMYFUNCTION("IFERROR(ABS(R3608-AVERAGE(FILTER(R3608:R7676,AA3608:AA7676=""Neighbor""))) / STDEV(FILTER(R3608:R7676, AA3608:AA7676 =""Neighbor"")), """")"),5.594357564478592)</f>
        <v>5.594357564</v>
      </c>
    </row>
    <row r="3609">
      <c r="A3609" s="2" t="s">
        <v>28</v>
      </c>
      <c r="B3609" s="2" t="s">
        <v>7043</v>
      </c>
      <c r="C3609" s="2" t="s">
        <v>7225</v>
      </c>
      <c r="D3609" s="2" t="s">
        <v>14681</v>
      </c>
      <c r="E3609" s="2" t="s">
        <v>14682</v>
      </c>
      <c r="F3609" s="2">
        <v>179.0</v>
      </c>
      <c r="G3609" s="2">
        <v>416.0</v>
      </c>
      <c r="H3609" s="2" t="b">
        <v>1</v>
      </c>
      <c r="I3609" s="2">
        <v>-1.0</v>
      </c>
      <c r="J3609" s="2" t="b">
        <v>0</v>
      </c>
      <c r="K3609" s="2" t="b">
        <v>0</v>
      </c>
      <c r="L3609" s="2" t="b">
        <v>0</v>
      </c>
      <c r="M3609" s="2" t="b">
        <v>0</v>
      </c>
      <c r="N3609" s="2" t="s">
        <v>33</v>
      </c>
      <c r="O3609" s="2">
        <v>124.0</v>
      </c>
      <c r="P3609" s="2">
        <v>0.0</v>
      </c>
      <c r="Q3609" s="2">
        <v>29.0</v>
      </c>
      <c r="R3609" s="2">
        <v>0.0</v>
      </c>
      <c r="S3609" s="3" t="s">
        <v>14683</v>
      </c>
      <c r="T3609" s="2" t="s">
        <v>14684</v>
      </c>
      <c r="Y3609" s="4" t="str">
        <f>IFERROR(__xludf.DUMMYFUNCTION("""COMPUTED_VALUE"""),"7.4305251")</f>
        <v>7.4305251</v>
      </c>
      <c r="Z3609" s="4" t="str">
        <f>IFERROR(__xludf.DUMMYFUNCTION("""COMPUTED_VALUE"""),"2.9332029")</f>
        <v>2.9332029</v>
      </c>
      <c r="AA3609" s="4" t="str">
        <f t="shared" si="1"/>
        <v>Not Neighbor</v>
      </c>
      <c r="AC3609" s="4">
        <f>IFERROR(__xludf.DUMMYFUNCTION("IFERROR(ABS(O3609-AVERAGE(FILTER(O3609:O7677,AA3609:AA7677=""Neighbor""))) / STDEV(FILTER(O3609:O7677, AA3609:AA7677 =""Neighbor"")), """")"),2.7603230493012822)</f>
        <v>2.760323049</v>
      </c>
      <c r="AF3609" s="2">
        <f>IFERROR(__xludf.DUMMYFUNCTION("IFERROR(ABS(R3609-AVERAGE(FILTER(R3609:R7677,AA3609:AA7677=""Neighbor""))) / STDEV(FILTER(R3609:R7677, AA3609:AA7677 =""Neighbor"")), """")"),0.42069568884879016)</f>
        <v>0.4206956888</v>
      </c>
    </row>
    <row r="3610">
      <c r="A3610" s="2" t="s">
        <v>28</v>
      </c>
      <c r="B3610" s="2" t="s">
        <v>7043</v>
      </c>
      <c r="C3610" s="2" t="s">
        <v>7250</v>
      </c>
      <c r="D3610" s="2" t="s">
        <v>14685</v>
      </c>
      <c r="E3610" s="2" t="s">
        <v>14686</v>
      </c>
      <c r="F3610" s="2">
        <v>65.0</v>
      </c>
      <c r="G3610" s="2">
        <v>108.0</v>
      </c>
      <c r="H3610" s="2" t="b">
        <v>1</v>
      </c>
      <c r="I3610" s="2">
        <v>-1.0</v>
      </c>
      <c r="J3610" s="2" t="b">
        <v>1</v>
      </c>
      <c r="K3610" s="2" t="b">
        <v>1</v>
      </c>
      <c r="L3610" s="2" t="b">
        <v>0</v>
      </c>
      <c r="M3610" s="2" t="b">
        <v>0</v>
      </c>
      <c r="N3610" s="2" t="s">
        <v>33</v>
      </c>
      <c r="O3610" s="2">
        <v>32.0</v>
      </c>
      <c r="P3610" s="2">
        <v>0.0</v>
      </c>
      <c r="Q3610" s="2">
        <v>30.0</v>
      </c>
      <c r="R3610" s="2">
        <v>0.0</v>
      </c>
      <c r="S3610" s="3" t="s">
        <v>14687</v>
      </c>
      <c r="T3610" s="2" t="s">
        <v>14688</v>
      </c>
      <c r="Y3610" s="4" t="str">
        <f>IFERROR(__xludf.DUMMYFUNCTION("""COMPUTED_VALUE"""),"7.5472059")</f>
        <v>7.5472059</v>
      </c>
      <c r="Z3610" s="4" t="str">
        <f>IFERROR(__xludf.DUMMYFUNCTION("""COMPUTED_VALUE"""),"2.9675572")</f>
        <v>2.9675572</v>
      </c>
      <c r="AA3610" s="4" t="str">
        <f t="shared" si="1"/>
        <v>Not Neighbor</v>
      </c>
      <c r="AC3610" s="4">
        <f>IFERROR(__xludf.DUMMYFUNCTION("IFERROR(ABS(O3610-AVERAGE(FILTER(O3610:O7678,AA3610:AA7678=""Neighbor""))) / STDEV(FILTER(O3610:O7678, AA3610:AA7678 =""Neighbor"")), """")"),0.33617521242034787)</f>
        <v>0.3361752124</v>
      </c>
      <c r="AF3610" s="2">
        <f>IFERROR(__xludf.DUMMYFUNCTION("IFERROR(ABS(R3610-AVERAGE(FILTER(R3610:R7678,AA3610:AA7678=""Neighbor""))) / STDEV(FILTER(R3610:R7678, AA3610:AA7678 =""Neighbor"")), """")"),0.42069568884879016)</f>
        <v>0.4206956888</v>
      </c>
    </row>
    <row r="3611">
      <c r="A3611" s="2" t="s">
        <v>28</v>
      </c>
      <c r="B3611" s="2" t="s">
        <v>7043</v>
      </c>
      <c r="C3611" s="2" t="s">
        <v>7150</v>
      </c>
      <c r="D3611" s="2" t="s">
        <v>14689</v>
      </c>
      <c r="E3611" s="2" t="s">
        <v>14690</v>
      </c>
      <c r="F3611" s="2">
        <v>67.0</v>
      </c>
      <c r="G3611" s="2">
        <v>107.0</v>
      </c>
      <c r="H3611" s="2" t="b">
        <v>1</v>
      </c>
      <c r="I3611" s="2">
        <v>-1.0</v>
      </c>
      <c r="J3611" s="2" t="b">
        <v>0</v>
      </c>
      <c r="K3611" s="2" t="b">
        <v>0</v>
      </c>
      <c r="L3611" s="2" t="b">
        <v>0</v>
      </c>
      <c r="M3611" s="2" t="b">
        <v>0</v>
      </c>
      <c r="N3611" s="2" t="s">
        <v>33</v>
      </c>
      <c r="O3611" s="2">
        <v>28.0</v>
      </c>
      <c r="P3611" s="2">
        <v>0.0</v>
      </c>
      <c r="Q3611" s="2">
        <v>39.0</v>
      </c>
      <c r="R3611" s="2">
        <v>0.0</v>
      </c>
      <c r="S3611" s="3" t="s">
        <v>14691</v>
      </c>
      <c r="T3611" s="2" t="s">
        <v>14692</v>
      </c>
      <c r="Y3611" s="4" t="str">
        <f>IFERROR(__xludf.DUMMYFUNCTION("""COMPUTED_VALUE"""),"7.4332317")</f>
        <v>7.4332317</v>
      </c>
      <c r="Z3611" s="4" t="str">
        <f>IFERROR(__xludf.DUMMYFUNCTION("""COMPUTED_VALUE"""),"2.8034001")</f>
        <v>2.8034001</v>
      </c>
      <c r="AA3611" s="4" t="str">
        <f t="shared" si="1"/>
        <v>Not Neighbor</v>
      </c>
      <c r="AC3611" s="4">
        <f>IFERROR(__xludf.DUMMYFUNCTION("IFERROR(ABS(O3611-AVERAGE(FILTER(O3611:O7679,AA3611:AA7679=""Neighbor""))) / STDEV(FILTER(O3611:O7679, AA3611:AA7679 =""Neighbor"")), """")"),0.47080557162563613)</f>
        <v>0.4708055716</v>
      </c>
      <c r="AF3611" s="2">
        <f>IFERROR(__xludf.DUMMYFUNCTION("IFERROR(ABS(R3611-AVERAGE(FILTER(R3611:R7679,AA3611:AA7679=""Neighbor""))) / STDEV(FILTER(R3611:R7679, AA3611:AA7679 =""Neighbor"")), """")"),0.42069568884879016)</f>
        <v>0.4206956888</v>
      </c>
    </row>
    <row r="3612">
      <c r="A3612" s="2" t="s">
        <v>28</v>
      </c>
      <c r="B3612" s="2" t="s">
        <v>7043</v>
      </c>
      <c r="C3612" s="2" t="s">
        <v>7192</v>
      </c>
      <c r="D3612" s="2" t="s">
        <v>14693</v>
      </c>
      <c r="E3612" s="2" t="s">
        <v>14694</v>
      </c>
      <c r="F3612" s="2">
        <v>198.0</v>
      </c>
      <c r="G3612" s="2">
        <v>379.0</v>
      </c>
      <c r="H3612" s="2" t="b">
        <v>1</v>
      </c>
      <c r="I3612" s="2">
        <v>-1.0</v>
      </c>
      <c r="J3612" s="2" t="b">
        <v>1</v>
      </c>
      <c r="K3612" s="2" t="b">
        <v>0</v>
      </c>
      <c r="L3612" s="2" t="b">
        <v>0</v>
      </c>
      <c r="M3612" s="2" t="b">
        <v>0</v>
      </c>
      <c r="N3612" s="2" t="s">
        <v>33</v>
      </c>
      <c r="O3612" s="2">
        <v>136.0</v>
      </c>
      <c r="P3612" s="2">
        <v>16.0</v>
      </c>
      <c r="Q3612" s="2">
        <v>27.0</v>
      </c>
      <c r="R3612" s="2">
        <v>0.0</v>
      </c>
      <c r="S3612" s="3" t="s">
        <v>14695</v>
      </c>
      <c r="T3612" s="2" t="s">
        <v>14696</v>
      </c>
      <c r="Y3612" s="4" t="str">
        <f>IFERROR(__xludf.DUMMYFUNCTION("""COMPUTED_VALUE"""),"7.416667")</f>
        <v>7.416667</v>
      </c>
      <c r="Z3612" s="4" t="str">
        <f>IFERROR(__xludf.DUMMYFUNCTION("""COMPUTED_VALUE"""),"2.75")</f>
        <v>2.75</v>
      </c>
      <c r="AA3612" s="4" t="str">
        <f t="shared" si="1"/>
        <v>Not Neighbor</v>
      </c>
      <c r="AC3612" s="4">
        <f>IFERROR(__xludf.DUMMYFUNCTION("IFERROR(ABS(O3612-AVERAGE(FILTER(O3612:O7680,AA3612:AA7680=""Neighbor""))) / STDEV(FILTER(O3612:O7680, AA3612:AA7680 =""Neighbor"")), """")"),3.1642141269171473)</f>
        <v>3.164214127</v>
      </c>
      <c r="AF3612" s="2">
        <f>IFERROR(__xludf.DUMMYFUNCTION("IFERROR(ABS(R3612-AVERAGE(FILTER(R3612:R7680,AA3612:AA7680=""Neighbor""))) / STDEV(FILTER(R3612:R7680, AA3612:AA7680 =""Neighbor"")), """")"),0.42069568884879016)</f>
        <v>0.4206956888</v>
      </c>
    </row>
    <row r="3613">
      <c r="A3613" s="2" t="s">
        <v>28</v>
      </c>
      <c r="B3613" s="2" t="s">
        <v>7043</v>
      </c>
      <c r="C3613" s="2" t="s">
        <v>7192</v>
      </c>
      <c r="D3613" s="2" t="s">
        <v>14697</v>
      </c>
      <c r="E3613" s="2" t="s">
        <v>14698</v>
      </c>
      <c r="F3613" s="2">
        <v>145.0</v>
      </c>
      <c r="G3613" s="2">
        <v>247.0</v>
      </c>
      <c r="H3613" s="2" t="b">
        <v>1</v>
      </c>
      <c r="I3613" s="2">
        <v>-1.0</v>
      </c>
      <c r="J3613" s="2" t="b">
        <v>1</v>
      </c>
      <c r="K3613" s="2" t="b">
        <v>0</v>
      </c>
      <c r="L3613" s="2" t="b">
        <v>0</v>
      </c>
      <c r="M3613" s="2" t="b">
        <v>0</v>
      </c>
      <c r="N3613" s="2" t="s">
        <v>33</v>
      </c>
      <c r="O3613" s="2">
        <v>69.0</v>
      </c>
      <c r="P3613" s="2">
        <v>17.0</v>
      </c>
      <c r="Q3613" s="2">
        <v>23.0</v>
      </c>
      <c r="R3613" s="2">
        <v>1.0</v>
      </c>
      <c r="S3613" s="3" t="s">
        <v>14699</v>
      </c>
      <c r="T3613" s="2" t="s">
        <v>14700</v>
      </c>
      <c r="Y3613" s="4" t="str">
        <f>IFERROR(__xludf.DUMMYFUNCTION("""COMPUTED_VALUE"""),"7.3918402")</f>
        <v>7.3918402</v>
      </c>
      <c r="Z3613" s="4" t="str">
        <f>IFERROR(__xludf.DUMMYFUNCTION("""COMPUTED_VALUE"""),"2.7530936")</f>
        <v>2.7530936</v>
      </c>
      <c r="AA3613" s="4" t="str">
        <f t="shared" si="1"/>
        <v>Not Neighbor</v>
      </c>
      <c r="AC3613" s="4">
        <f>IFERROR(__xludf.DUMMYFUNCTION("IFERROR(ABS(O3613-AVERAGE(FILTER(O3613:O7681,AA3613:AA7681=""Neighbor""))) / STDEV(FILTER(O3613:O7681, AA3613:AA7681 =""Neighbor"")), """")"),0.9091556102285686)</f>
        <v>0.9091556102</v>
      </c>
      <c r="AF3613" s="2">
        <f>IFERROR(__xludf.DUMMYFUNCTION("IFERROR(ABS(R3613-AVERAGE(FILTER(R3613:R7681,AA3613:AA7681=""Neighbor""))) / STDEV(FILTER(R3613:R7681, AA3613:AA7681 =""Neighbor"")), """")"),1.0830676244830555)</f>
        <v>1.083067624</v>
      </c>
    </row>
    <row r="3614">
      <c r="A3614" s="2" t="s">
        <v>28</v>
      </c>
      <c r="B3614" s="2" t="s">
        <v>7043</v>
      </c>
      <c r="C3614" s="2" t="s">
        <v>7192</v>
      </c>
      <c r="D3614" s="2" t="s">
        <v>14701</v>
      </c>
      <c r="E3614" s="2" t="s">
        <v>14702</v>
      </c>
      <c r="F3614" s="2">
        <v>74.0</v>
      </c>
      <c r="G3614" s="2">
        <v>160.0</v>
      </c>
      <c r="H3614" s="2" t="b">
        <v>1</v>
      </c>
      <c r="I3614" s="2">
        <v>-1.0</v>
      </c>
      <c r="J3614" s="2" t="b">
        <v>1</v>
      </c>
      <c r="K3614" s="2" t="b">
        <v>0</v>
      </c>
      <c r="L3614" s="2" t="b">
        <v>0</v>
      </c>
      <c r="M3614" s="2" t="b">
        <v>0</v>
      </c>
      <c r="N3614" s="2" t="s">
        <v>33</v>
      </c>
      <c r="O3614" s="2">
        <v>42.0</v>
      </c>
      <c r="P3614" s="2">
        <v>3.0</v>
      </c>
      <c r="Q3614" s="2">
        <v>18.0</v>
      </c>
      <c r="R3614" s="2">
        <v>1.0</v>
      </c>
      <c r="S3614" s="3" t="s">
        <v>14703</v>
      </c>
      <c r="T3614" s="2" t="s">
        <v>14704</v>
      </c>
      <c r="Y3614" s="4" t="str">
        <f>IFERROR(__xludf.DUMMYFUNCTION("""COMPUTED_VALUE"""),"7.416667")</f>
        <v>7.416667</v>
      </c>
      <c r="Z3614" s="4" t="str">
        <f>IFERROR(__xludf.DUMMYFUNCTION("""COMPUTED_VALUE"""),"2.75")</f>
        <v>2.75</v>
      </c>
      <c r="AA3614" s="4" t="str">
        <f t="shared" si="1"/>
        <v>Not Neighbor</v>
      </c>
      <c r="AC3614" s="4">
        <f>IFERROR(__xludf.DUMMYFUNCTION("IFERROR(ABS(O3614-AVERAGE(FILTER(O3614:O7682,AA3614:AA7682=""Neighbor""))) / STDEV(FILTER(O3614:O7682, AA3614:AA7682 =""Neighbor"")), """")"),4.0068559287279065E-4)</f>
        <v>0.0004006855929</v>
      </c>
      <c r="AF3614" s="2">
        <f>IFERROR(__xludf.DUMMYFUNCTION("IFERROR(ABS(R3614-AVERAGE(FILTER(R3614:R7682,AA3614:AA7682=""Neighbor""))) / STDEV(FILTER(R3614:R7682, AA3614:AA7682 =""Neighbor"")), """")"),1.0830676244830555)</f>
        <v>1.083067624</v>
      </c>
    </row>
    <row r="3615">
      <c r="A3615" s="2" t="s">
        <v>28</v>
      </c>
      <c r="B3615" s="2" t="s">
        <v>7043</v>
      </c>
      <c r="C3615" s="2" t="s">
        <v>7192</v>
      </c>
      <c r="D3615" s="2" t="s">
        <v>14705</v>
      </c>
      <c r="E3615" s="2" t="s">
        <v>14706</v>
      </c>
      <c r="F3615" s="2">
        <v>171.0</v>
      </c>
      <c r="G3615" s="2">
        <v>366.0</v>
      </c>
      <c r="H3615" s="2" t="b">
        <v>1</v>
      </c>
      <c r="I3615" s="2">
        <v>-1.0</v>
      </c>
      <c r="J3615" s="2" t="b">
        <v>1</v>
      </c>
      <c r="K3615" s="2" t="b">
        <v>0</v>
      </c>
      <c r="L3615" s="2" t="b">
        <v>0</v>
      </c>
      <c r="M3615" s="2" t="b">
        <v>0</v>
      </c>
      <c r="N3615" s="2" t="s">
        <v>33</v>
      </c>
      <c r="O3615" s="2">
        <v>95.0</v>
      </c>
      <c r="P3615" s="2">
        <v>14.0</v>
      </c>
      <c r="Q3615" s="2">
        <v>46.0</v>
      </c>
      <c r="R3615" s="2">
        <v>0.0</v>
      </c>
      <c r="S3615" s="3" t="s">
        <v>14707</v>
      </c>
      <c r="T3615" s="2" t="s">
        <v>14708</v>
      </c>
      <c r="Y3615" s="4" t="str">
        <f>IFERROR(__xludf.DUMMYFUNCTION("""COMPUTED_VALUE"""),"7.4066164")</f>
        <v>7.4066164</v>
      </c>
      <c r="Z3615" s="4" t="str">
        <f>IFERROR(__xludf.DUMMYFUNCTION("""COMPUTED_VALUE"""),"2.7530358")</f>
        <v>2.7530358</v>
      </c>
      <c r="AA3615" s="4" t="str">
        <f t="shared" si="1"/>
        <v>Not Neighbor</v>
      </c>
      <c r="AC3615" s="4">
        <f>IFERROR(__xludf.DUMMYFUNCTION("IFERROR(ABS(O3615-AVERAGE(FILTER(O3615:O7683,AA3615:AA7683=""Neighbor""))) / STDEV(FILTER(O3615:O7683, AA3615:AA7683 =""Neighbor"")), """")"),1.7842529450629423)</f>
        <v>1.784252945</v>
      </c>
      <c r="AF3615" s="2">
        <f>IFERROR(__xludf.DUMMYFUNCTION("IFERROR(ABS(R3615-AVERAGE(FILTER(R3615:R7683,AA3615:AA7683=""Neighbor""))) / STDEV(FILTER(R3615:R7683, AA3615:AA7683 =""Neighbor"")), """")"),0.42069568884879016)</f>
        <v>0.4206956888</v>
      </c>
    </row>
    <row r="3616">
      <c r="A3616" s="2" t="s">
        <v>28</v>
      </c>
      <c r="B3616" s="2" t="s">
        <v>7043</v>
      </c>
      <c r="C3616" s="2" t="s">
        <v>7192</v>
      </c>
      <c r="D3616" s="2" t="s">
        <v>14709</v>
      </c>
      <c r="E3616" s="2" t="s">
        <v>14710</v>
      </c>
      <c r="F3616" s="2">
        <v>126.0</v>
      </c>
      <c r="G3616" s="2">
        <v>276.0</v>
      </c>
      <c r="H3616" s="2" t="b">
        <v>1</v>
      </c>
      <c r="I3616" s="2">
        <v>-1.0</v>
      </c>
      <c r="J3616" s="2" t="b">
        <v>1</v>
      </c>
      <c r="K3616" s="2" t="b">
        <v>0</v>
      </c>
      <c r="L3616" s="2" t="b">
        <v>0</v>
      </c>
      <c r="M3616" s="2" t="b">
        <v>0</v>
      </c>
      <c r="N3616" s="2" t="s">
        <v>33</v>
      </c>
      <c r="O3616" s="2">
        <v>73.0</v>
      </c>
      <c r="P3616" s="2">
        <v>4.0</v>
      </c>
      <c r="Q3616" s="2">
        <v>42.0</v>
      </c>
      <c r="R3616" s="2">
        <v>1.0</v>
      </c>
      <c r="S3616" s="3" t="s">
        <v>14711</v>
      </c>
      <c r="T3616" s="2" t="s">
        <v>14712</v>
      </c>
      <c r="Y3616" s="4" t="str">
        <f>IFERROR(__xludf.DUMMYFUNCTION("""COMPUTED_VALUE"""),"7.3918402")</f>
        <v>7.3918402</v>
      </c>
      <c r="Z3616" s="4" t="str">
        <f>IFERROR(__xludf.DUMMYFUNCTION("""COMPUTED_VALUE"""),"2.7530936")</f>
        <v>2.7530936</v>
      </c>
      <c r="AA3616" s="4" t="str">
        <f t="shared" si="1"/>
        <v>Not Neighbor</v>
      </c>
      <c r="AC3616" s="4">
        <f>IFERROR(__xludf.DUMMYFUNCTION("IFERROR(ABS(O3616-AVERAGE(FILTER(O3616:O7684,AA3616:AA7684=""Neighbor""))) / STDEV(FILTER(O3616:O7684, AA3616:AA7684 =""Neighbor"")), """")"),1.043785969433857)</f>
        <v>1.043785969</v>
      </c>
      <c r="AF3616" s="2">
        <f>IFERROR(__xludf.DUMMYFUNCTION("IFERROR(ABS(R3616-AVERAGE(FILTER(R3616:R7684,AA3616:AA7684=""Neighbor""))) / STDEV(FILTER(R3616:R7684, AA3616:AA7684 =""Neighbor"")), """")"),1.0830676244830555)</f>
        <v>1.083067624</v>
      </c>
    </row>
    <row r="3617">
      <c r="A3617" s="2" t="s">
        <v>28</v>
      </c>
      <c r="B3617" s="2" t="s">
        <v>7043</v>
      </c>
      <c r="C3617" s="2" t="s">
        <v>7044</v>
      </c>
      <c r="D3617" s="2" t="s">
        <v>14713</v>
      </c>
      <c r="E3617" s="2" t="s">
        <v>14714</v>
      </c>
      <c r="F3617" s="2">
        <v>148.0</v>
      </c>
      <c r="G3617" s="2">
        <v>414.0</v>
      </c>
      <c r="H3617" s="2" t="b">
        <v>1</v>
      </c>
      <c r="I3617" s="2">
        <v>-1.0</v>
      </c>
      <c r="J3617" s="2" t="b">
        <v>0</v>
      </c>
      <c r="K3617" s="2" t="b">
        <v>0</v>
      </c>
      <c r="L3617" s="2" t="b">
        <v>0</v>
      </c>
      <c r="M3617" s="2" t="b">
        <v>0</v>
      </c>
      <c r="N3617" s="2" t="s">
        <v>33</v>
      </c>
      <c r="O3617" s="2">
        <v>136.0</v>
      </c>
      <c r="P3617" s="2">
        <v>1.0</v>
      </c>
      <c r="Q3617" s="2">
        <v>8.0</v>
      </c>
      <c r="R3617" s="2">
        <v>0.0</v>
      </c>
      <c r="S3617" s="3" t="s">
        <v>14715</v>
      </c>
      <c r="T3617" s="2" t="s">
        <v>14716</v>
      </c>
      <c r="Y3617" s="4" t="str">
        <f>IFERROR(__xludf.DUMMYFUNCTION("""COMPUTED_VALUE"""),"7.447738")</f>
        <v>7.447738</v>
      </c>
      <c r="Z3617" s="4" t="str">
        <f>IFERROR(__xludf.DUMMYFUNCTION("""COMPUTED_VALUE"""),"2.8379597")</f>
        <v>2.8379597</v>
      </c>
      <c r="AA3617" s="4" t="str">
        <f t="shared" si="1"/>
        <v>Neighbor</v>
      </c>
      <c r="AC3617" s="4">
        <f>IFERROR(__xludf.DUMMYFUNCTION("IFERROR(ABS(O3617-AVERAGE(FILTER(O3617:O7685,AA3617:AA7685=""Neighbor""))) / STDEV(FILTER(O3617:O7685, AA3617:AA7685 =""Neighbor"")), """")"),3.1642141269171473)</f>
        <v>3.164214127</v>
      </c>
      <c r="AF3617" s="2">
        <f>IFERROR(__xludf.DUMMYFUNCTION("IFERROR(ABS(R3617-AVERAGE(FILTER(R3617:R7685,AA3617:AA7685=""Neighbor""))) / STDEV(FILTER(R3617:R7685, AA3617:AA7685 =""Neighbor"")), """")"),0.42069568884879016)</f>
        <v>0.4206956888</v>
      </c>
    </row>
    <row r="3618">
      <c r="A3618" s="2" t="s">
        <v>28</v>
      </c>
      <c r="B3618" s="2" t="s">
        <v>7043</v>
      </c>
      <c r="C3618" s="2" t="s">
        <v>7044</v>
      </c>
      <c r="D3618" s="2" t="s">
        <v>14717</v>
      </c>
      <c r="E3618" s="2" t="s">
        <v>14718</v>
      </c>
      <c r="F3618" s="2">
        <v>119.0</v>
      </c>
      <c r="G3618" s="2">
        <v>211.0</v>
      </c>
      <c r="H3618" s="2" t="b">
        <v>1</v>
      </c>
      <c r="I3618" s="2">
        <v>-1.0</v>
      </c>
      <c r="J3618" s="2" t="b">
        <v>0</v>
      </c>
      <c r="K3618" s="2" t="b">
        <v>0</v>
      </c>
      <c r="L3618" s="2" t="b">
        <v>0</v>
      </c>
      <c r="M3618" s="2" t="b">
        <v>0</v>
      </c>
      <c r="N3618" s="2" t="s">
        <v>33</v>
      </c>
      <c r="O3618" s="2">
        <v>72.0</v>
      </c>
      <c r="P3618" s="2">
        <v>5.0</v>
      </c>
      <c r="Q3618" s="2">
        <v>35.0</v>
      </c>
      <c r="R3618" s="2">
        <v>0.0</v>
      </c>
      <c r="S3618" s="3" t="s">
        <v>14719</v>
      </c>
      <c r="T3618" s="2" t="s">
        <v>14720</v>
      </c>
      <c r="Y3618" s="4" t="str">
        <f>IFERROR(__xludf.DUMMYFUNCTION("""COMPUTED_VALUE"""),"7.447738")</f>
        <v>7.447738</v>
      </c>
      <c r="Z3618" s="4" t="str">
        <f>IFERROR(__xludf.DUMMYFUNCTION("""COMPUTED_VALUE"""),"2.8379597")</f>
        <v>2.8379597</v>
      </c>
      <c r="AA3618" s="4" t="str">
        <f t="shared" si="1"/>
        <v>Neighbor</v>
      </c>
      <c r="AC3618" s="4">
        <f>IFERROR(__xludf.DUMMYFUNCTION("IFERROR(ABS(O3618-AVERAGE(FILTER(O3618:O7686,AA3618:AA7686=""Neighbor""))) / STDEV(FILTER(O3618:O7686, AA3618:AA7686 =""Neighbor"")), """")"),1.0584039690337101)</f>
        <v>1.058403969</v>
      </c>
      <c r="AF3618" s="2">
        <f>IFERROR(__xludf.DUMMYFUNCTION("IFERROR(ABS(R3618-AVERAGE(FILTER(R3618:R7686,AA3618:AA7686=""Neighbor""))) / STDEV(FILTER(R3618:R7686, AA3618:AA7686 =""Neighbor"")), """")"),0.4221709176297624)</f>
        <v>0.4221709176</v>
      </c>
    </row>
    <row r="3619">
      <c r="A3619" s="2" t="s">
        <v>28</v>
      </c>
      <c r="B3619" s="2" t="s">
        <v>7043</v>
      </c>
      <c r="C3619" s="2" t="s">
        <v>7044</v>
      </c>
      <c r="D3619" s="2" t="s">
        <v>14721</v>
      </c>
      <c r="E3619" s="2" t="s">
        <v>14722</v>
      </c>
      <c r="F3619" s="2">
        <v>100.0</v>
      </c>
      <c r="G3619" s="2">
        <v>156.0</v>
      </c>
      <c r="H3619" s="2" t="b">
        <v>1</v>
      </c>
      <c r="I3619" s="2">
        <v>-1.0</v>
      </c>
      <c r="J3619" s="2" t="b">
        <v>0</v>
      </c>
      <c r="K3619" s="2" t="b">
        <v>0</v>
      </c>
      <c r="L3619" s="2" t="b">
        <v>0</v>
      </c>
      <c r="M3619" s="2" t="b">
        <v>0</v>
      </c>
      <c r="N3619" s="2" t="s">
        <v>33</v>
      </c>
      <c r="O3619" s="2">
        <v>89.0</v>
      </c>
      <c r="P3619" s="2">
        <v>0.0</v>
      </c>
      <c r="Q3619" s="2">
        <v>9.0</v>
      </c>
      <c r="R3619" s="2">
        <v>0.0</v>
      </c>
      <c r="S3619" s="3" t="s">
        <v>14723</v>
      </c>
      <c r="T3619" s="2" t="s">
        <v>14724</v>
      </c>
      <c r="Y3619" s="4" t="str">
        <f>IFERROR(__xludf.DUMMYFUNCTION("""COMPUTED_VALUE"""),"7.447738")</f>
        <v>7.447738</v>
      </c>
      <c r="Z3619" s="4" t="str">
        <f>IFERROR(__xludf.DUMMYFUNCTION("""COMPUTED_VALUE"""),"2.8379597")</f>
        <v>2.8379597</v>
      </c>
      <c r="AA3619" s="4" t="str">
        <f t="shared" si="1"/>
        <v>Neighbor</v>
      </c>
      <c r="AC3619" s="4">
        <f>IFERROR(__xludf.DUMMYFUNCTION("IFERROR(ABS(O3619-AVERAGE(FILTER(O3619:O7687,AA3619:AA7687=""Neighbor""))) / STDEV(FILTER(O3619:O7687, AA3619:AA7687 =""Neighbor"")), """")"),1.6539022298513613)</f>
        <v>1.65390223</v>
      </c>
      <c r="AF3619" s="2">
        <f>IFERROR(__xludf.DUMMYFUNCTION("IFERROR(ABS(R3619-AVERAGE(FILTER(R3619:R7687,AA3619:AA7687=""Neighbor""))) / STDEV(FILTER(R3619:R7687, AA3619:AA7687 =""Neighbor"")), """")"),0.4236617913164093)</f>
        <v>0.4236617913</v>
      </c>
    </row>
    <row r="3620">
      <c r="A3620" s="2" t="s">
        <v>28</v>
      </c>
      <c r="B3620" s="2" t="s">
        <v>7043</v>
      </c>
      <c r="C3620" s="2" t="s">
        <v>7044</v>
      </c>
      <c r="D3620" s="2" t="s">
        <v>14725</v>
      </c>
      <c r="E3620" s="2" t="s">
        <v>14726</v>
      </c>
      <c r="F3620" s="2">
        <v>107.0</v>
      </c>
      <c r="G3620" s="2">
        <v>160.0</v>
      </c>
      <c r="H3620" s="2" t="b">
        <v>1</v>
      </c>
      <c r="I3620" s="2">
        <v>-1.0</v>
      </c>
      <c r="J3620" s="2" t="b">
        <v>0</v>
      </c>
      <c r="K3620" s="2" t="b">
        <v>0</v>
      </c>
      <c r="L3620" s="2" t="b">
        <v>0</v>
      </c>
      <c r="M3620" s="2" t="b">
        <v>0</v>
      </c>
      <c r="N3620" s="2" t="s">
        <v>33</v>
      </c>
      <c r="O3620" s="2">
        <v>86.0</v>
      </c>
      <c r="P3620" s="2">
        <v>1.0</v>
      </c>
      <c r="Q3620" s="2">
        <v>17.0</v>
      </c>
      <c r="R3620" s="2">
        <v>1.0</v>
      </c>
      <c r="S3620" s="3" t="s">
        <v>14727</v>
      </c>
      <c r="T3620" s="2" t="s">
        <v>14728</v>
      </c>
      <c r="Y3620" s="4" t="str">
        <f>IFERROR(__xludf.DUMMYFUNCTION("""COMPUTED_VALUE"""),"7.447738")</f>
        <v>7.447738</v>
      </c>
      <c r="Z3620" s="4" t="str">
        <f>IFERROR(__xludf.DUMMYFUNCTION("""COMPUTED_VALUE"""),"2.8379597")</f>
        <v>2.8379597</v>
      </c>
      <c r="AA3620" s="4" t="str">
        <f t="shared" si="1"/>
        <v>Neighbor</v>
      </c>
      <c r="AC3620" s="4">
        <f>IFERROR(__xludf.DUMMYFUNCTION("IFERROR(ABS(O3620-AVERAGE(FILTER(O3620:O7688,AA3620:AA7688=""Neighbor""))) / STDEV(FILTER(O3620:O7688, AA3620:AA7688 =""Neighbor"")), """")"),1.5684355474312537)</f>
        <v>1.568435547</v>
      </c>
      <c r="AF3620" s="2">
        <f>IFERROR(__xludf.DUMMYFUNCTION("IFERROR(ABS(R3620-AVERAGE(FILTER(R3620:R7688,AA3620:AA7688=""Neighbor""))) / STDEV(FILTER(R3620:R7688, AA3620:AA7688 =""Neighbor"")), """")"),1.0674445416964635)</f>
        <v>1.067444542</v>
      </c>
    </row>
    <row r="3621">
      <c r="A3621" s="2" t="s">
        <v>28</v>
      </c>
      <c r="B3621" s="2" t="s">
        <v>7043</v>
      </c>
      <c r="C3621" s="2" t="s">
        <v>7044</v>
      </c>
      <c r="D3621" s="2" t="s">
        <v>14729</v>
      </c>
      <c r="E3621" s="2" t="s">
        <v>14730</v>
      </c>
      <c r="F3621" s="2">
        <v>51.0</v>
      </c>
      <c r="G3621" s="2">
        <v>118.0</v>
      </c>
      <c r="H3621" s="2" t="b">
        <v>1</v>
      </c>
      <c r="I3621" s="2">
        <v>-1.0</v>
      </c>
      <c r="J3621" s="2" t="b">
        <v>1</v>
      </c>
      <c r="K3621" s="2" t="b">
        <v>0</v>
      </c>
      <c r="L3621" s="2" t="b">
        <v>0</v>
      </c>
      <c r="M3621" s="2" t="b">
        <v>0</v>
      </c>
      <c r="N3621" s="2" t="s">
        <v>33</v>
      </c>
      <c r="O3621" s="2">
        <v>34.0</v>
      </c>
      <c r="P3621" s="2">
        <v>0.0</v>
      </c>
      <c r="Q3621" s="2">
        <v>16.0</v>
      </c>
      <c r="R3621" s="2">
        <v>0.0</v>
      </c>
      <c r="S3621" s="3" t="s">
        <v>14731</v>
      </c>
      <c r="T3621" s="2" t="s">
        <v>14732</v>
      </c>
      <c r="Y3621" s="4" t="str">
        <f>IFERROR(__xludf.DUMMYFUNCTION("""COMPUTED_VALUE"""),"7.447738")</f>
        <v>7.447738</v>
      </c>
      <c r="Z3621" s="4" t="str">
        <f>IFERROR(__xludf.DUMMYFUNCTION("""COMPUTED_VALUE"""),"2.8379597")</f>
        <v>2.8379597</v>
      </c>
      <c r="AA3621" s="4" t="str">
        <f t="shared" si="1"/>
        <v>Neighbor</v>
      </c>
      <c r="AC3621" s="4">
        <f>IFERROR(__xludf.DUMMYFUNCTION("IFERROR(ABS(O3621-AVERAGE(FILTER(O3621:O7689,AA3621:AA7689=""Neighbor""))) / STDEV(FILTER(O3621:O7689, AA3621:AA7689 =""Neighbor"")), """")"),0.23352354409816226)</f>
        <v>0.2335235441</v>
      </c>
      <c r="AF3621" s="2">
        <f>IFERROR(__xludf.DUMMYFUNCTION("IFERROR(ABS(R3621-AVERAGE(FILTER(R3621:R7689,AA3621:AA7689=""Neighbor""))) / STDEV(FILTER(R3621:R7689, AA3621:AA7689 =""Neighbor"")), """")"),0.41884790037070224)</f>
        <v>0.4188479004</v>
      </c>
    </row>
    <row r="3622">
      <c r="A3622" s="2" t="s">
        <v>28</v>
      </c>
      <c r="B3622" s="2" t="s">
        <v>7043</v>
      </c>
      <c r="C3622" s="2" t="s">
        <v>7044</v>
      </c>
      <c r="D3622" s="2" t="s">
        <v>14733</v>
      </c>
      <c r="E3622" s="2" t="s">
        <v>14734</v>
      </c>
      <c r="F3622" s="2">
        <v>89.0</v>
      </c>
      <c r="G3622" s="2">
        <v>129.0</v>
      </c>
      <c r="H3622" s="2" t="b">
        <v>1</v>
      </c>
      <c r="I3622" s="2">
        <v>-1.0</v>
      </c>
      <c r="J3622" s="2" t="b">
        <v>1</v>
      </c>
      <c r="K3622" s="2" t="b">
        <v>0</v>
      </c>
      <c r="L3622" s="2" t="b">
        <v>0</v>
      </c>
      <c r="M3622" s="2" t="b">
        <v>0</v>
      </c>
      <c r="N3622" s="2" t="s">
        <v>33</v>
      </c>
      <c r="O3622" s="2">
        <v>62.0</v>
      </c>
      <c r="P3622" s="2">
        <v>0.0</v>
      </c>
      <c r="Q3622" s="2">
        <v>21.0</v>
      </c>
      <c r="R3622" s="2">
        <v>0.0</v>
      </c>
      <c r="S3622" s="3" t="s">
        <v>14735</v>
      </c>
      <c r="T3622" s="2" t="s">
        <v>14736</v>
      </c>
      <c r="Y3622" s="4" t="str">
        <f>IFERROR(__xludf.DUMMYFUNCTION("""COMPUTED_VALUE"""),"7.447738")</f>
        <v>7.447738</v>
      </c>
      <c r="Z3622" s="4" t="str">
        <f>IFERROR(__xludf.DUMMYFUNCTION("""COMPUTED_VALUE"""),"2.8379597")</f>
        <v>2.8379597</v>
      </c>
      <c r="AA3622" s="4" t="str">
        <f t="shared" si="1"/>
        <v>Neighbor</v>
      </c>
      <c r="AC3622" s="4">
        <f>IFERROR(__xludf.DUMMYFUNCTION("IFERROR(ABS(O3622-AVERAGE(FILTER(O3622:O7690,AA3622:AA7690=""Neighbor""))) / STDEV(FILTER(O3622:O7690, AA3622:AA7690 =""Neighbor"")), """")"),0.7421879676173392)</f>
        <v>0.7421879676</v>
      </c>
      <c r="AF3622" s="2">
        <f>IFERROR(__xludf.DUMMYFUNCTION("IFERROR(ABS(R3622-AVERAGE(FILTER(R3622:R7690,AA3622:AA7690=""Neighbor""))) / STDEV(FILTER(R3622:R7690, AA3622:AA7690 =""Neighbor"")), """")"),0.42035049559308435)</f>
        <v>0.4203504956</v>
      </c>
    </row>
    <row r="3623">
      <c r="A3623" s="2" t="s">
        <v>28</v>
      </c>
      <c r="B3623" s="2" t="s">
        <v>7043</v>
      </c>
      <c r="C3623" s="2" t="s">
        <v>7044</v>
      </c>
      <c r="D3623" s="2" t="s">
        <v>14737</v>
      </c>
      <c r="E3623" s="2" t="s">
        <v>14738</v>
      </c>
      <c r="F3623" s="2">
        <v>56.0</v>
      </c>
      <c r="G3623" s="2">
        <v>87.0</v>
      </c>
      <c r="H3623" s="2" t="b">
        <v>1</v>
      </c>
      <c r="I3623" s="2">
        <v>-1.0</v>
      </c>
      <c r="J3623" s="2" t="b">
        <v>1</v>
      </c>
      <c r="K3623" s="2" t="b">
        <v>0</v>
      </c>
      <c r="L3623" s="2" t="b">
        <v>0</v>
      </c>
      <c r="M3623" s="2" t="b">
        <v>0</v>
      </c>
      <c r="N3623" s="2" t="s">
        <v>33</v>
      </c>
      <c r="O3623" s="2">
        <v>46.0</v>
      </c>
      <c r="P3623" s="2">
        <v>3.0</v>
      </c>
      <c r="Q3623" s="2">
        <v>4.0</v>
      </c>
      <c r="R3623" s="2">
        <v>0.0</v>
      </c>
      <c r="S3623" s="3" t="s">
        <v>14739</v>
      </c>
      <c r="T3623" s="2" t="s">
        <v>14740</v>
      </c>
      <c r="Y3623" s="4" t="str">
        <f>IFERROR(__xludf.DUMMYFUNCTION("""COMPUTED_VALUE"""),"7.447738")</f>
        <v>7.447738</v>
      </c>
      <c r="Z3623" s="4" t="str">
        <f>IFERROR(__xludf.DUMMYFUNCTION("""COMPUTED_VALUE"""),"2.8379597")</f>
        <v>2.8379597</v>
      </c>
      <c r="AA3623" s="4" t="str">
        <f t="shared" si="1"/>
        <v>Neighbor</v>
      </c>
      <c r="AC3623" s="4">
        <f>IFERROR(__xludf.DUMMYFUNCTION("IFERROR(ABS(O3623-AVERAGE(FILTER(O3623:O7691,AA3623:AA7691=""Neighbor""))) / STDEV(FILTER(O3623:O7691, AA3623:AA7691 =""Neighbor"")), """")"),0.18853041050290856)</f>
        <v>0.1885304105</v>
      </c>
      <c r="AF3623" s="2">
        <f>IFERROR(__xludf.DUMMYFUNCTION("IFERROR(ABS(R3623-AVERAGE(FILTER(R3623:R7691,AA3623:AA7691=""Neighbor""))) / STDEV(FILTER(R3623:R7691, AA3623:AA7691 =""Neighbor"")), """")"),0.4218693961091174)</f>
        <v>0.4218693961</v>
      </c>
    </row>
    <row r="3624">
      <c r="A3624" s="2" t="s">
        <v>28</v>
      </c>
      <c r="B3624" s="2" t="s">
        <v>7043</v>
      </c>
      <c r="C3624" s="2" t="s">
        <v>7044</v>
      </c>
      <c r="D3624" s="2" t="s">
        <v>14741</v>
      </c>
      <c r="E3624" s="2" t="s">
        <v>14742</v>
      </c>
      <c r="F3624" s="2">
        <v>32.0</v>
      </c>
      <c r="G3624" s="2">
        <v>54.0</v>
      </c>
      <c r="H3624" s="2" t="b">
        <v>1</v>
      </c>
      <c r="I3624" s="2">
        <v>-1.0</v>
      </c>
      <c r="J3624" s="2" t="b">
        <v>0</v>
      </c>
      <c r="K3624" s="2" t="b">
        <v>0</v>
      </c>
      <c r="L3624" s="2" t="b">
        <v>0</v>
      </c>
      <c r="M3624" s="2" t="b">
        <v>0</v>
      </c>
      <c r="N3624" s="2" t="s">
        <v>33</v>
      </c>
      <c r="O3624" s="2">
        <v>19.0</v>
      </c>
      <c r="P3624" s="2">
        <v>1.0</v>
      </c>
      <c r="Q3624" s="2">
        <v>12.0</v>
      </c>
      <c r="R3624" s="2">
        <v>0.0</v>
      </c>
      <c r="S3624" s="3" t="s">
        <v>14743</v>
      </c>
      <c r="T3624" s="2" t="s">
        <v>14744</v>
      </c>
      <c r="Y3624" s="4" t="str">
        <f>IFERROR(__xludf.DUMMYFUNCTION("""COMPUTED_VALUE"""),"7.447738")</f>
        <v>7.447738</v>
      </c>
      <c r="Z3624" s="4" t="str">
        <f>IFERROR(__xludf.DUMMYFUNCTION("""COMPUTED_VALUE"""),"2.8379597")</f>
        <v>2.8379597</v>
      </c>
      <c r="AA3624" s="4" t="str">
        <f t="shared" si="1"/>
        <v>Neighbor</v>
      </c>
      <c r="AC3624" s="4">
        <f>IFERROR(__xludf.DUMMYFUNCTION("IFERROR(ABS(O3624-AVERAGE(FILTER(O3624:O7692,AA3624:AA7692=""Neighbor""))) / STDEV(FILTER(O3624:O7692, AA3624:AA7692 =""Neighbor"")), """")"),0.7483344329363951)</f>
        <v>0.7483344329</v>
      </c>
      <c r="AF3624" s="2">
        <f>IFERROR(__xludf.DUMMYFUNCTION("IFERROR(ABS(R3624-AVERAGE(FILTER(R3624:R7692,AA3624:AA7692=""Neighbor""))) / STDEV(FILTER(R3624:R7692, AA3624:AA7692 =""Neighbor"")), """")"),0.4234048992199704)</f>
        <v>0.4234048992</v>
      </c>
    </row>
    <row r="3625">
      <c r="A3625" s="2" t="s">
        <v>28</v>
      </c>
      <c r="B3625" s="2" t="s">
        <v>7043</v>
      </c>
      <c r="C3625" s="2" t="s">
        <v>7044</v>
      </c>
      <c r="D3625" s="2" t="s">
        <v>14745</v>
      </c>
      <c r="E3625" s="2" t="s">
        <v>14746</v>
      </c>
      <c r="F3625" s="2">
        <v>181.0</v>
      </c>
      <c r="G3625" s="2">
        <v>461.0</v>
      </c>
      <c r="H3625" s="2" t="b">
        <v>1</v>
      </c>
      <c r="I3625" s="2">
        <v>-1.0</v>
      </c>
      <c r="J3625" s="2" t="b">
        <v>1</v>
      </c>
      <c r="K3625" s="2" t="b">
        <v>1</v>
      </c>
      <c r="L3625" s="2" t="b">
        <v>0</v>
      </c>
      <c r="M3625" s="2" t="b">
        <v>0</v>
      </c>
      <c r="N3625" s="2" t="s">
        <v>33</v>
      </c>
      <c r="O3625" s="2">
        <v>127.0</v>
      </c>
      <c r="P3625" s="2">
        <v>7.0</v>
      </c>
      <c r="Q3625" s="2">
        <v>29.0</v>
      </c>
      <c r="R3625" s="2">
        <v>0.0</v>
      </c>
      <c r="S3625" s="3" t="s">
        <v>14747</v>
      </c>
      <c r="T3625" s="2" t="s">
        <v>14748</v>
      </c>
      <c r="Y3625" s="4" t="str">
        <f>IFERROR(__xludf.DUMMYFUNCTION("""COMPUTED_VALUE"""),"7.447738")</f>
        <v>7.447738</v>
      </c>
      <c r="Z3625" s="4" t="str">
        <f>IFERROR(__xludf.DUMMYFUNCTION("""COMPUTED_VALUE"""),"2.8379597")</f>
        <v>2.8379597</v>
      </c>
      <c r="AA3625" s="4" t="str">
        <f t="shared" si="1"/>
        <v>Neighbor</v>
      </c>
      <c r="AC3625" s="4">
        <f>IFERROR(__xludf.DUMMYFUNCTION("IFERROR(ABS(O3625-AVERAGE(FILTER(O3625:O7693,AA3625:AA7693=""Neighbor""))) / STDEV(FILTER(O3625:O7693, AA3625:AA7693 =""Neighbor"")), """")"),2.9927505421205143)</f>
        <v>2.992750542</v>
      </c>
      <c r="AF3625" s="2">
        <f>IFERROR(__xludf.DUMMYFUNCTION("IFERROR(ABS(R3625-AVERAGE(FILTER(R3625:R7693,AA3625:AA7693=""Neighbor""))) / STDEV(FILTER(R3625:R7693, AA3625:AA7693 =""Neighbor"")), """")"),0.4249573098772841)</f>
        <v>0.4249573099</v>
      </c>
    </row>
    <row r="3626">
      <c r="A3626" s="2" t="s">
        <v>28</v>
      </c>
      <c r="B3626" s="2" t="s">
        <v>7043</v>
      </c>
      <c r="C3626" s="2" t="s">
        <v>7044</v>
      </c>
      <c r="D3626" s="2" t="s">
        <v>14749</v>
      </c>
      <c r="E3626" s="2" t="s">
        <v>14750</v>
      </c>
      <c r="F3626" s="2">
        <v>124.0</v>
      </c>
      <c r="G3626" s="2">
        <v>200.0</v>
      </c>
      <c r="H3626" s="2" t="b">
        <v>1</v>
      </c>
      <c r="I3626" s="2">
        <v>-1.0</v>
      </c>
      <c r="J3626" s="2" t="b">
        <v>0</v>
      </c>
      <c r="K3626" s="2" t="b">
        <v>1</v>
      </c>
      <c r="L3626" s="2" t="b">
        <v>0</v>
      </c>
      <c r="M3626" s="2" t="b">
        <v>0</v>
      </c>
      <c r="N3626" s="2" t="s">
        <v>33</v>
      </c>
      <c r="O3626" s="2">
        <v>96.0</v>
      </c>
      <c r="P3626" s="2">
        <v>2.0</v>
      </c>
      <c r="Q3626" s="2">
        <v>13.0</v>
      </c>
      <c r="R3626" s="2">
        <v>0.0</v>
      </c>
      <c r="S3626" s="3" t="s">
        <v>14751</v>
      </c>
      <c r="T3626" s="2" t="s">
        <v>14752</v>
      </c>
      <c r="Y3626" s="4" t="str">
        <f>IFERROR(__xludf.DUMMYFUNCTION("""COMPUTED_VALUE"""),"7.447738")</f>
        <v>7.447738</v>
      </c>
      <c r="Z3626" s="4" t="str">
        <f>IFERROR(__xludf.DUMMYFUNCTION("""COMPUTED_VALUE"""),"2.8379597")</f>
        <v>2.8379597</v>
      </c>
      <c r="AA3626" s="4" t="str">
        <f t="shared" si="1"/>
        <v>Neighbor</v>
      </c>
      <c r="AC3626" s="4">
        <f>IFERROR(__xludf.DUMMYFUNCTION("IFERROR(ABS(O3626-AVERAGE(FILTER(O3626:O7694,AA3626:AA7694=""Neighbor""))) / STDEV(FILTER(O3626:O7694, AA3626:AA7694 =""Neighbor"")), """")"),1.987756295539993)</f>
        <v>1.987756296</v>
      </c>
      <c r="AF3626" s="2">
        <f>IFERROR(__xludf.DUMMYFUNCTION("IFERROR(ABS(R3626-AVERAGE(FILTER(R3626:R7694,AA3626:AA7694=""Neighbor""))) / STDEV(FILTER(R3626:R7694, AA3626:AA7694 =""Neighbor"")), """")"),0.4265269409383178)</f>
        <v>0.4265269409</v>
      </c>
    </row>
    <row r="3627">
      <c r="A3627" s="2" t="s">
        <v>28</v>
      </c>
      <c r="B3627" s="2" t="s">
        <v>7043</v>
      </c>
      <c r="C3627" s="2" t="s">
        <v>7044</v>
      </c>
      <c r="D3627" s="2" t="s">
        <v>14753</v>
      </c>
      <c r="E3627" s="2" t="s">
        <v>14754</v>
      </c>
      <c r="F3627" s="2">
        <v>136.0</v>
      </c>
      <c r="G3627" s="2">
        <v>227.0</v>
      </c>
      <c r="H3627" s="2" t="b">
        <v>1</v>
      </c>
      <c r="I3627" s="2">
        <v>-1.0</v>
      </c>
      <c r="J3627" s="2" t="b">
        <v>0</v>
      </c>
      <c r="K3627" s="2" t="b">
        <v>0</v>
      </c>
      <c r="L3627" s="2" t="b">
        <v>0</v>
      </c>
      <c r="M3627" s="2" t="b">
        <v>0</v>
      </c>
      <c r="N3627" s="2" t="s">
        <v>33</v>
      </c>
      <c r="O3627" s="2">
        <v>114.0</v>
      </c>
      <c r="P3627" s="2">
        <v>4.0</v>
      </c>
      <c r="Q3627" s="2">
        <v>18.0</v>
      </c>
      <c r="R3627" s="2">
        <v>0.0</v>
      </c>
      <c r="S3627" s="3" t="s">
        <v>14755</v>
      </c>
      <c r="T3627" s="2" t="s">
        <v>14756</v>
      </c>
      <c r="Y3627" s="4" t="str">
        <f>IFERROR(__xludf.DUMMYFUNCTION("""COMPUTED_VALUE"""),"7.447738")</f>
        <v>7.447738</v>
      </c>
      <c r="Z3627" s="4" t="str">
        <f>IFERROR(__xludf.DUMMYFUNCTION("""COMPUTED_VALUE"""),"2.8379597")</f>
        <v>2.8379597</v>
      </c>
      <c r="AA3627" s="4" t="str">
        <f t="shared" si="1"/>
        <v>Not Neighbor</v>
      </c>
      <c r="AC3627" s="4">
        <f>IFERROR(__xludf.DUMMYFUNCTION("IFERROR(ABS(O3627-AVERAGE(FILTER(O3627:O7695,AA3627:AA7695=""Neighbor""))) / STDEV(FILTER(O3627:O7695, AA3627:AA7695 =""Neighbor"")), """")"),2.6663063128620847)</f>
        <v>2.666306313</v>
      </c>
      <c r="AF3627" s="2">
        <f>IFERROR(__xludf.DUMMYFUNCTION("IFERROR(ABS(R3627-AVERAGE(FILTER(R3627:R7695,AA3627:AA7695=""Neighbor""))) / STDEV(FILTER(R3627:R7695, AA3627:AA7695 =""Neighbor"")), """")"),0.428114113431581)</f>
        <v>0.4281141134</v>
      </c>
    </row>
    <row r="3628">
      <c r="A3628" s="2" t="s">
        <v>28</v>
      </c>
      <c r="B3628" s="2" t="s">
        <v>7043</v>
      </c>
      <c r="C3628" s="2" t="s">
        <v>7044</v>
      </c>
      <c r="D3628" s="2" t="s">
        <v>14757</v>
      </c>
      <c r="E3628" s="2" t="s">
        <v>14758</v>
      </c>
      <c r="F3628" s="2">
        <v>101.0</v>
      </c>
      <c r="G3628" s="2">
        <v>319.0</v>
      </c>
      <c r="H3628" s="2" t="b">
        <v>1</v>
      </c>
      <c r="I3628" s="2">
        <v>-1.0</v>
      </c>
      <c r="J3628" s="2" t="b">
        <v>0</v>
      </c>
      <c r="K3628" s="2" t="b">
        <v>0</v>
      </c>
      <c r="L3628" s="2" t="b">
        <v>0</v>
      </c>
      <c r="M3628" s="2" t="b">
        <v>0</v>
      </c>
      <c r="N3628" s="2" t="s">
        <v>33</v>
      </c>
      <c r="O3628" s="2">
        <v>81.0</v>
      </c>
      <c r="P3628" s="2">
        <v>1.0</v>
      </c>
      <c r="Q3628" s="2">
        <v>14.0</v>
      </c>
      <c r="R3628" s="2">
        <v>0.0</v>
      </c>
      <c r="S3628" s="3" t="s">
        <v>14759</v>
      </c>
      <c r="T3628" s="2" t="s">
        <v>14760</v>
      </c>
      <c r="Y3628" s="4" t="str">
        <f>IFERROR(__xludf.DUMMYFUNCTION("""COMPUTED_VALUE"""),"7.4904657")</f>
        <v>7.4904657</v>
      </c>
      <c r="Z3628" s="4" t="str">
        <f>IFERROR(__xludf.DUMMYFUNCTION("""COMPUTED_VALUE"""),"2.804439")</f>
        <v>2.804439</v>
      </c>
      <c r="AA3628" s="4" t="str">
        <f t="shared" si="1"/>
        <v>Not Neighbor</v>
      </c>
      <c r="AC3628" s="4">
        <f>IFERROR(__xludf.DUMMYFUNCTION("IFERROR(ABS(O3628-AVERAGE(FILTER(O3628:O7696,AA3628:AA7696=""Neighbor""))) / STDEV(FILTER(O3628:O7696, AA3628:AA7696 =""Neighbor"")), """")"),1.4806243414110904)</f>
        <v>1.480624341</v>
      </c>
      <c r="AF3628" s="2">
        <f>IFERROR(__xludf.DUMMYFUNCTION("IFERROR(ABS(R3628-AVERAGE(FILTER(R3628:R7696,AA3628:AA7696=""Neighbor""))) / STDEV(FILTER(R3628:R7696, AA3628:AA7696 =""Neighbor"")), """")"),0.428114113431581)</f>
        <v>0.4281141134</v>
      </c>
    </row>
    <row r="3629">
      <c r="A3629" s="2" t="s">
        <v>28</v>
      </c>
      <c r="B3629" s="2" t="s">
        <v>7043</v>
      </c>
      <c r="C3629" s="2" t="s">
        <v>7175</v>
      </c>
      <c r="D3629" s="2" t="s">
        <v>14761</v>
      </c>
      <c r="E3629" s="2" t="s">
        <v>14762</v>
      </c>
      <c r="F3629" s="2">
        <v>80.0</v>
      </c>
      <c r="G3629" s="2">
        <v>120.0</v>
      </c>
      <c r="H3629" s="2" t="b">
        <v>1</v>
      </c>
      <c r="I3629" s="2">
        <v>-1.0</v>
      </c>
      <c r="J3629" s="2" t="b">
        <v>0</v>
      </c>
      <c r="K3629" s="2" t="b">
        <v>1</v>
      </c>
      <c r="L3629" s="2" t="b">
        <v>0</v>
      </c>
      <c r="M3629" s="2" t="b">
        <v>0</v>
      </c>
      <c r="N3629" s="2" t="s">
        <v>33</v>
      </c>
      <c r="O3629" s="2">
        <v>50.0</v>
      </c>
      <c r="P3629" s="2">
        <v>1.0</v>
      </c>
      <c r="Q3629" s="2">
        <v>25.0</v>
      </c>
      <c r="R3629" s="2">
        <v>0.0</v>
      </c>
      <c r="S3629" s="3" t="s">
        <v>14763</v>
      </c>
      <c r="T3629" s="2" t="s">
        <v>14764</v>
      </c>
      <c r="Y3629" s="4" t="str">
        <f>IFERROR(__xludf.DUMMYFUNCTION("""COMPUTED_VALUE"""),"7.6352741")</f>
        <v>7.6352741</v>
      </c>
      <c r="Z3629" s="4" t="str">
        <f>IFERROR(__xludf.DUMMYFUNCTION("""COMPUTED_VALUE"""),"2.7481176")</f>
        <v>2.7481176</v>
      </c>
      <c r="AA3629" s="4" t="str">
        <f t="shared" si="1"/>
        <v>Not Neighbor</v>
      </c>
      <c r="AC3629" s="4">
        <f>IFERROR(__xludf.DUMMYFUNCTION("IFERROR(ABS(O3629-AVERAGE(FILTER(O3629:O7697,AA3629:AA7697=""Neighbor""))) / STDEV(FILTER(O3629:O7697, AA3629:AA7697 =""Neighbor"")), """")"),0.3668018833813682)</f>
        <v>0.3668018834</v>
      </c>
      <c r="AF3629" s="2">
        <f>IFERROR(__xludf.DUMMYFUNCTION("IFERROR(ABS(R3629-AVERAGE(FILTER(R3629:R7697,AA3629:AA7697=""Neighbor""))) / STDEV(FILTER(R3629:R7697, AA3629:AA7697 =""Neighbor"")), """")"),0.428114113431581)</f>
        <v>0.4281141134</v>
      </c>
    </row>
    <row r="3630">
      <c r="A3630" s="2" t="s">
        <v>28</v>
      </c>
      <c r="B3630" s="2" t="s">
        <v>7043</v>
      </c>
      <c r="C3630" s="2" t="s">
        <v>7175</v>
      </c>
      <c r="D3630" s="2" t="s">
        <v>14765</v>
      </c>
      <c r="E3630" s="2" t="s">
        <v>14766</v>
      </c>
      <c r="F3630" s="2">
        <v>48.0</v>
      </c>
      <c r="G3630" s="2">
        <v>72.0</v>
      </c>
      <c r="H3630" s="2" t="b">
        <v>1</v>
      </c>
      <c r="I3630" s="2">
        <v>-1.0</v>
      </c>
      <c r="J3630" s="2" t="b">
        <v>0</v>
      </c>
      <c r="K3630" s="2" t="b">
        <v>0</v>
      </c>
      <c r="L3630" s="2" t="b">
        <v>0</v>
      </c>
      <c r="M3630" s="2" t="b">
        <v>0</v>
      </c>
      <c r="N3630" s="2" t="s">
        <v>33</v>
      </c>
      <c r="O3630" s="2">
        <v>30.0</v>
      </c>
      <c r="P3630" s="2">
        <v>0.0</v>
      </c>
      <c r="Q3630" s="2">
        <v>6.0</v>
      </c>
      <c r="R3630" s="2">
        <v>0.0</v>
      </c>
      <c r="S3630" s="3" t="s">
        <v>14767</v>
      </c>
      <c r="T3630" s="2" t="s">
        <v>14768</v>
      </c>
      <c r="Y3630" s="4" t="str">
        <f>IFERROR(__xludf.DUMMYFUNCTION("""COMPUTED_VALUE"""),"7.5621474")</f>
        <v>7.5621474</v>
      </c>
      <c r="Z3630" s="4" t="str">
        <f>IFERROR(__xludf.DUMMYFUNCTION("""COMPUTED_VALUE"""),"2.7506055")</f>
        <v>2.7506055</v>
      </c>
      <c r="AA3630" s="4" t="str">
        <f t="shared" si="1"/>
        <v>Not Neighbor</v>
      </c>
      <c r="AC3630" s="4">
        <f>IFERROR(__xludf.DUMMYFUNCTION("IFERROR(ABS(O3630-AVERAGE(FILTER(O3630:O7698,AA3630:AA7698=""Neighbor""))) / STDEV(FILTER(O3630:O7698, AA3630:AA7698 =""Neighbor"")), """")"),0.3517932508313558)</f>
        <v>0.3517932508</v>
      </c>
      <c r="AF3630" s="2">
        <f>IFERROR(__xludf.DUMMYFUNCTION("IFERROR(ABS(R3630-AVERAGE(FILTER(R3630:R7698,AA3630:AA7698=""Neighbor""))) / STDEV(FILTER(R3630:R7698, AA3630:AA7698 =""Neighbor"")), """")"),0.428114113431581)</f>
        <v>0.4281141134</v>
      </c>
    </row>
    <row r="3631">
      <c r="A3631" s="2" t="s">
        <v>28</v>
      </c>
      <c r="B3631" s="2" t="s">
        <v>7043</v>
      </c>
      <c r="C3631" s="2" t="s">
        <v>7175</v>
      </c>
      <c r="D3631" s="2" t="s">
        <v>14769</v>
      </c>
      <c r="E3631" s="2" t="s">
        <v>14770</v>
      </c>
      <c r="F3631" s="2">
        <v>29.0</v>
      </c>
      <c r="G3631" s="2">
        <v>66.0</v>
      </c>
      <c r="H3631" s="2" t="b">
        <v>1</v>
      </c>
      <c r="I3631" s="2">
        <v>-1.0</v>
      </c>
      <c r="J3631" s="2" t="b">
        <v>0</v>
      </c>
      <c r="K3631" s="2" t="b">
        <v>0</v>
      </c>
      <c r="L3631" s="2" t="b">
        <v>0</v>
      </c>
      <c r="M3631" s="2" t="b">
        <v>0</v>
      </c>
      <c r="N3631" s="2" t="s">
        <v>33</v>
      </c>
      <c r="O3631" s="2">
        <v>28.0</v>
      </c>
      <c r="P3631" s="2">
        <v>0.0</v>
      </c>
      <c r="Q3631" s="2">
        <v>0.0</v>
      </c>
      <c r="R3631" s="2">
        <v>0.0</v>
      </c>
      <c r="S3631" s="3" t="s">
        <v>14771</v>
      </c>
      <c r="T3631" s="2" t="s">
        <v>14772</v>
      </c>
      <c r="Y3631" s="4" t="str">
        <f>IFERROR(__xludf.DUMMYFUNCTION("""COMPUTED_VALUE"""),"7.5330314")</f>
        <v>7.5330314</v>
      </c>
      <c r="Z3631" s="4" t="str">
        <f>IFERROR(__xludf.DUMMYFUNCTION("""COMPUTED_VALUE"""),"2.7649764")</f>
        <v>2.7649764</v>
      </c>
      <c r="AA3631" s="4" t="str">
        <f t="shared" si="1"/>
        <v>Not Neighbor</v>
      </c>
      <c r="AC3631" s="4">
        <f>IFERROR(__xludf.DUMMYFUNCTION("IFERROR(ABS(O3631-AVERAGE(FILTER(O3631:O7699,AA3631:AA7699=""Neighbor""))) / STDEV(FILTER(O3631:O7699, AA3631:AA7699 =""Neighbor"")), """")"),0.4236527642526282)</f>
        <v>0.4236527643</v>
      </c>
      <c r="AF3631" s="2">
        <f>IFERROR(__xludf.DUMMYFUNCTION("IFERROR(ABS(R3631-AVERAGE(FILTER(R3631:R7699,AA3631:AA7699=""Neighbor""))) / STDEV(FILTER(R3631:R7699, AA3631:AA7699 =""Neighbor"")), """")"),0.428114113431581)</f>
        <v>0.4281141134</v>
      </c>
    </row>
    <row r="3632">
      <c r="A3632" s="2" t="s">
        <v>28</v>
      </c>
      <c r="B3632" s="2" t="s">
        <v>7043</v>
      </c>
      <c r="C3632" s="2" t="s">
        <v>7175</v>
      </c>
      <c r="D3632" s="2" t="s">
        <v>14773</v>
      </c>
      <c r="E3632" s="2" t="s">
        <v>14774</v>
      </c>
      <c r="F3632" s="2">
        <v>55.0</v>
      </c>
      <c r="G3632" s="2">
        <v>81.0</v>
      </c>
      <c r="H3632" s="2" t="b">
        <v>1</v>
      </c>
      <c r="I3632" s="2">
        <v>-1.0</v>
      </c>
      <c r="J3632" s="2" t="b">
        <v>1</v>
      </c>
      <c r="K3632" s="2" t="b">
        <v>0</v>
      </c>
      <c r="L3632" s="2" t="b">
        <v>0</v>
      </c>
      <c r="M3632" s="2" t="b">
        <v>0</v>
      </c>
      <c r="N3632" s="2" t="s">
        <v>33</v>
      </c>
      <c r="O3632" s="2">
        <v>0.0</v>
      </c>
      <c r="P3632" s="2">
        <v>0.0</v>
      </c>
      <c r="Q3632" s="2">
        <v>0.0</v>
      </c>
      <c r="R3632" s="2">
        <v>0.0</v>
      </c>
      <c r="S3632" s="3" t="s">
        <v>14775</v>
      </c>
      <c r="T3632" s="2" t="s">
        <v>14776</v>
      </c>
      <c r="Y3632" s="4" t="str">
        <f>IFERROR(__xludf.DUMMYFUNCTION("""COMPUTED_VALUE"""),"7.6352741")</f>
        <v>7.6352741</v>
      </c>
      <c r="Z3632" s="4" t="str">
        <f>IFERROR(__xludf.DUMMYFUNCTION("""COMPUTED_VALUE"""),"2.7481176")</f>
        <v>2.7481176</v>
      </c>
      <c r="AA3632" s="4" t="str">
        <f t="shared" si="1"/>
        <v>Neighbor</v>
      </c>
      <c r="AC3632" s="4">
        <f>IFERROR(__xludf.DUMMYFUNCTION("IFERROR(ABS(O3632-AVERAGE(FILTER(O3632:O7700,AA3632:AA7700=""Neighbor""))) / STDEV(FILTER(O3632:O7700, AA3632:AA7700 =""Neighbor"")), """")"),1.429685952150442)</f>
        <v>1.429685952</v>
      </c>
      <c r="AF3632" s="2">
        <f>IFERROR(__xludf.DUMMYFUNCTION("IFERROR(ABS(R3632-AVERAGE(FILTER(R3632:R7700,AA3632:AA7700=""Neighbor""))) / STDEV(FILTER(R3632:R7700, AA3632:AA7700 =""Neighbor"")), """")"),0.428114113431581)</f>
        <v>0.4281141134</v>
      </c>
    </row>
    <row r="3633">
      <c r="A3633" s="2" t="s">
        <v>28</v>
      </c>
      <c r="B3633" s="2" t="s">
        <v>7043</v>
      </c>
      <c r="C3633" s="2" t="s">
        <v>7175</v>
      </c>
      <c r="D3633" s="2" t="s">
        <v>14777</v>
      </c>
      <c r="E3633" s="2" t="s">
        <v>14778</v>
      </c>
      <c r="F3633" s="2">
        <v>62.0</v>
      </c>
      <c r="G3633" s="2">
        <v>205.0</v>
      </c>
      <c r="H3633" s="2" t="b">
        <v>1</v>
      </c>
      <c r="I3633" s="2">
        <v>-1.0</v>
      </c>
      <c r="J3633" s="2" t="b">
        <v>0</v>
      </c>
      <c r="K3633" s="2" t="b">
        <v>0</v>
      </c>
      <c r="L3633" s="2" t="b">
        <v>0</v>
      </c>
      <c r="M3633" s="2" t="b">
        <v>0</v>
      </c>
      <c r="N3633" s="2" t="s">
        <v>33</v>
      </c>
      <c r="O3633" s="2">
        <v>42.0</v>
      </c>
      <c r="P3633" s="2">
        <v>2.0</v>
      </c>
      <c r="Q3633" s="2">
        <v>12.0</v>
      </c>
      <c r="R3633" s="2">
        <v>4.0</v>
      </c>
      <c r="S3633" s="3" t="s">
        <v>14779</v>
      </c>
      <c r="T3633" s="2" t="s">
        <v>14780</v>
      </c>
      <c r="Y3633" s="4" t="str">
        <f>IFERROR(__xludf.DUMMYFUNCTION("""COMPUTED_VALUE"""),"7.6352741")</f>
        <v>7.6352741</v>
      </c>
      <c r="Z3633" s="4" t="str">
        <f>IFERROR(__xludf.DUMMYFUNCTION("""COMPUTED_VALUE"""),"2.7481176")</f>
        <v>2.7481176</v>
      </c>
      <c r="AA3633" s="4" t="str">
        <f t="shared" si="1"/>
        <v>Neighbor</v>
      </c>
      <c r="AC3633" s="4">
        <f>IFERROR(__xludf.DUMMYFUNCTION("IFERROR(ABS(O3633-AVERAGE(FILTER(O3633:O7701,AA3633:AA7701=""Neighbor""))) / STDEV(FILTER(O3633:O7701, AA3633:AA7701 =""Neighbor"")), """")"),0.07049679092517336)</f>
        <v>0.07049679093</v>
      </c>
      <c r="AF3633" s="2">
        <f>IFERROR(__xludf.DUMMYFUNCTION("IFERROR(ABS(R3633-AVERAGE(FILTER(R3633:R7701,AA3633:AA7701=""Neighbor""))) / STDEV(FILTER(R3633:R7701, AA3633:AA7701 =""Neighbor"")), """")"),5.436881506023347)</f>
        <v>5.436881506</v>
      </c>
    </row>
    <row r="3634">
      <c r="A3634" s="2" t="s">
        <v>28</v>
      </c>
      <c r="B3634" s="2" t="s">
        <v>7043</v>
      </c>
      <c r="C3634" s="2" t="s">
        <v>7175</v>
      </c>
      <c r="D3634" s="2" t="s">
        <v>14781</v>
      </c>
      <c r="E3634" s="2" t="s">
        <v>14782</v>
      </c>
      <c r="F3634" s="2">
        <v>15.0</v>
      </c>
      <c r="G3634" s="2">
        <v>64.0</v>
      </c>
      <c r="H3634" s="2" t="b">
        <v>1</v>
      </c>
      <c r="I3634" s="2">
        <v>-1.0</v>
      </c>
      <c r="J3634" s="2" t="b">
        <v>1</v>
      </c>
      <c r="K3634" s="2" t="b">
        <v>0</v>
      </c>
      <c r="L3634" s="2" t="b">
        <v>0</v>
      </c>
      <c r="M3634" s="2" t="b">
        <v>0</v>
      </c>
      <c r="N3634" s="2" t="s">
        <v>33</v>
      </c>
      <c r="O3634" s="2">
        <v>15.0</v>
      </c>
      <c r="P3634" s="2">
        <v>0.0</v>
      </c>
      <c r="Q3634" s="2">
        <v>0.0</v>
      </c>
      <c r="R3634" s="2">
        <v>0.0</v>
      </c>
      <c r="S3634" s="3" t="s">
        <v>14783</v>
      </c>
      <c r="T3634" s="2" t="s">
        <v>14784</v>
      </c>
      <c r="Y3634" s="4" t="str">
        <f>IFERROR(__xludf.DUMMYFUNCTION("""COMPUTED_VALUE"""),"7.6352741")</f>
        <v>7.6352741</v>
      </c>
      <c r="Z3634" s="4" t="str">
        <f>IFERROR(__xludf.DUMMYFUNCTION("""COMPUTED_VALUE"""),"2.7481176")</f>
        <v>2.7481176</v>
      </c>
      <c r="AA3634" s="4" t="str">
        <f t="shared" si="1"/>
        <v>Not Neighbor</v>
      </c>
      <c r="AC3634" s="4">
        <f>IFERROR(__xludf.DUMMYFUNCTION("IFERROR(ABS(O3634-AVERAGE(FILTER(O3634:O7702,AA3634:AA7702=""Neighbor""))) / STDEV(FILTER(O3634:O7702, AA3634:AA7702 =""Neighbor"")), """")"),0.899575413124219)</f>
        <v>0.8995754131</v>
      </c>
      <c r="AF3634" s="2">
        <f>IFERROR(__xludf.DUMMYFUNCTION("IFERROR(ABS(R3634-AVERAGE(FILTER(R3634:R7702,AA3634:AA7702=""Neighbor""))) / STDEV(FILTER(R3634:R7702, AA3634:AA7702 =""Neighbor"")), """")"),0.4375220530786237)</f>
        <v>0.4375220531</v>
      </c>
    </row>
    <row r="3635">
      <c r="A3635" s="2" t="s">
        <v>28</v>
      </c>
      <c r="B3635" s="2" t="s">
        <v>7043</v>
      </c>
      <c r="C3635" s="2" t="s">
        <v>7267</v>
      </c>
      <c r="D3635" s="2" t="s">
        <v>14785</v>
      </c>
      <c r="E3635" s="2" t="s">
        <v>14786</v>
      </c>
      <c r="F3635" s="2">
        <v>120.0</v>
      </c>
      <c r="G3635" s="2">
        <v>205.0</v>
      </c>
      <c r="H3635" s="2" t="b">
        <v>1</v>
      </c>
      <c r="I3635" s="2">
        <v>-1.0</v>
      </c>
      <c r="J3635" s="2" t="b">
        <v>0</v>
      </c>
      <c r="K3635" s="2" t="b">
        <v>0</v>
      </c>
      <c r="L3635" s="2" t="b">
        <v>0</v>
      </c>
      <c r="M3635" s="2" t="b">
        <v>0</v>
      </c>
      <c r="N3635" s="2" t="s">
        <v>33</v>
      </c>
      <c r="O3635" s="2">
        <v>106.0</v>
      </c>
      <c r="P3635" s="2">
        <v>0.0</v>
      </c>
      <c r="Q3635" s="2">
        <v>13.0</v>
      </c>
      <c r="R3635" s="2">
        <v>0.0</v>
      </c>
      <c r="S3635" s="3" t="s">
        <v>14787</v>
      </c>
      <c r="T3635" s="2" t="s">
        <v>14788</v>
      </c>
      <c r="Y3635" s="4" t="str">
        <f>IFERROR(__xludf.DUMMYFUNCTION("""COMPUTED_VALUE"""),"7.3256577")</f>
        <v>7.3256577</v>
      </c>
      <c r="Z3635" s="4" t="str">
        <f>IFERROR(__xludf.DUMMYFUNCTION("""COMPUTED_VALUE"""),"2.8996533")</f>
        <v>2.8996533</v>
      </c>
      <c r="AA3635" s="4" t="str">
        <f t="shared" si="1"/>
        <v>Not Neighbor</v>
      </c>
      <c r="AC3635" s="4">
        <f>IFERROR(__xludf.DUMMYFUNCTION("IFERROR(ABS(O3635-AVERAGE(FILTER(O3635:O7703,AA3635:AA7703=""Neighbor""))) / STDEV(FILTER(O3635:O7703, AA3635:AA7703 =""Neighbor"")), """")"),2.370686447237218)</f>
        <v>2.370686447</v>
      </c>
      <c r="AF3635" s="2">
        <f>IFERROR(__xludf.DUMMYFUNCTION("IFERROR(ABS(R3635-AVERAGE(FILTER(R3635:R7703,AA3635:AA7703=""Neighbor""))) / STDEV(FILTER(R3635:R7703, AA3635:AA7703 =""Neighbor"")), """")"),0.4375220530786237)</f>
        <v>0.4375220531</v>
      </c>
    </row>
    <row r="3636">
      <c r="A3636" s="2" t="s">
        <v>28</v>
      </c>
      <c r="B3636" s="2" t="s">
        <v>7043</v>
      </c>
      <c r="C3636" s="2" t="s">
        <v>7117</v>
      </c>
      <c r="D3636" s="2" t="s">
        <v>14789</v>
      </c>
      <c r="E3636" s="2" t="s">
        <v>14790</v>
      </c>
      <c r="F3636" s="2">
        <v>123.0</v>
      </c>
      <c r="G3636" s="2">
        <v>214.0</v>
      </c>
      <c r="H3636" s="2" t="b">
        <v>1</v>
      </c>
      <c r="I3636" s="2">
        <v>-1.0</v>
      </c>
      <c r="J3636" s="2" t="b">
        <v>0</v>
      </c>
      <c r="K3636" s="2" t="b">
        <v>0</v>
      </c>
      <c r="L3636" s="2" t="b">
        <v>0</v>
      </c>
      <c r="M3636" s="2" t="b">
        <v>0</v>
      </c>
      <c r="N3636" s="2" t="s">
        <v>33</v>
      </c>
      <c r="O3636" s="2">
        <v>103.0</v>
      </c>
      <c r="P3636" s="2">
        <v>0.0</v>
      </c>
      <c r="Q3636" s="2">
        <v>14.0</v>
      </c>
      <c r="R3636" s="2">
        <v>0.0</v>
      </c>
      <c r="S3636" s="3" t="s">
        <v>14791</v>
      </c>
      <c r="T3636" s="2" t="s">
        <v>14792</v>
      </c>
      <c r="Y3636" s="4" t="str">
        <f>IFERROR(__xludf.DUMMYFUNCTION("""COMPUTED_VALUE"""),"7.732423")</f>
        <v>7.732423</v>
      </c>
      <c r="Z3636" s="4" t="str">
        <f>IFERROR(__xludf.DUMMYFUNCTION("""COMPUTED_VALUE"""),"2.8178291")</f>
        <v>2.8178291</v>
      </c>
      <c r="AA3636" s="4" t="str">
        <f t="shared" si="1"/>
        <v>Neighbor</v>
      </c>
      <c r="AC3636" s="4">
        <f>IFERROR(__xludf.DUMMYFUNCTION("IFERROR(ABS(O3636-AVERAGE(FILTER(O3636:O7704,AA3636:AA7704=""Neighbor""))) / STDEV(FILTER(O3636:O7704, AA3636:AA7704 =""Neighbor"")), """")"),2.262875616675852)</f>
        <v>2.262875617</v>
      </c>
      <c r="AF3636" s="2">
        <f>IFERROR(__xludf.DUMMYFUNCTION("IFERROR(ABS(R3636-AVERAGE(FILTER(R3636:R7704,AA3636:AA7704=""Neighbor""))) / STDEV(FILTER(R3636:R7704, AA3636:AA7704 =""Neighbor"")), """")"),0.4375220530786237)</f>
        <v>0.4375220531</v>
      </c>
    </row>
    <row r="3637">
      <c r="A3637" s="2" t="s">
        <v>28</v>
      </c>
      <c r="B3637" s="2" t="s">
        <v>7043</v>
      </c>
      <c r="C3637" s="2" t="s">
        <v>7117</v>
      </c>
      <c r="D3637" s="2" t="s">
        <v>14793</v>
      </c>
      <c r="E3637" s="2" t="s">
        <v>14794</v>
      </c>
      <c r="F3637" s="2">
        <v>123.0</v>
      </c>
      <c r="G3637" s="2">
        <v>177.0</v>
      </c>
      <c r="H3637" s="2" t="b">
        <v>1</v>
      </c>
      <c r="I3637" s="2">
        <v>-1.0</v>
      </c>
      <c r="J3637" s="2" t="b">
        <v>0</v>
      </c>
      <c r="K3637" s="2" t="b">
        <v>0</v>
      </c>
      <c r="L3637" s="2" t="b">
        <v>0</v>
      </c>
      <c r="M3637" s="2" t="b">
        <v>0</v>
      </c>
      <c r="N3637" s="2" t="s">
        <v>33</v>
      </c>
      <c r="O3637" s="2">
        <v>100.0</v>
      </c>
      <c r="P3637" s="2">
        <v>0.0</v>
      </c>
      <c r="Q3637" s="2">
        <v>18.0</v>
      </c>
      <c r="R3637" s="2">
        <v>0.0</v>
      </c>
      <c r="S3637" s="3" t="s">
        <v>14795</v>
      </c>
      <c r="T3637" s="2" t="s">
        <v>14796</v>
      </c>
      <c r="Y3637" s="4" t="str">
        <f>IFERROR(__xludf.DUMMYFUNCTION("""COMPUTED_VALUE"""),"7.732423")</f>
        <v>7.732423</v>
      </c>
      <c r="Z3637" s="4" t="str">
        <f>IFERROR(__xludf.DUMMYFUNCTION("""COMPUTED_VALUE"""),"2.8178291")</f>
        <v>2.8178291</v>
      </c>
      <c r="AA3637" s="4" t="str">
        <f t="shared" si="1"/>
        <v>Not Neighbor</v>
      </c>
      <c r="AC3637" s="4">
        <f>IFERROR(__xludf.DUMMYFUNCTION("IFERROR(ABS(O3637-AVERAGE(FILTER(O3637:O7705,AA3637:AA7705=""Neighbor""))) / STDEV(FILTER(O3637:O7705, AA3637:AA7705 =""Neighbor"")), """")"),2.1995292642838282)</f>
        <v>2.199529264</v>
      </c>
      <c r="AF3637" s="2">
        <f>IFERROR(__xludf.DUMMYFUNCTION("IFERROR(ABS(R3637-AVERAGE(FILTER(R3637:R7705,AA3637:AA7705=""Neighbor""))) / STDEV(FILTER(R3637:R7705, AA3637:AA7705 =""Neighbor"")), """")"),0.43919504877597093)</f>
        <v>0.4391950488</v>
      </c>
    </row>
    <row r="3638">
      <c r="A3638" s="2" t="s">
        <v>28</v>
      </c>
      <c r="B3638" s="2" t="s">
        <v>7043</v>
      </c>
      <c r="C3638" s="2" t="s">
        <v>7117</v>
      </c>
      <c r="D3638" s="2" t="s">
        <v>14797</v>
      </c>
      <c r="E3638" s="2" t="s">
        <v>14798</v>
      </c>
      <c r="F3638" s="2">
        <v>96.0</v>
      </c>
      <c r="G3638" s="2">
        <v>172.0</v>
      </c>
      <c r="H3638" s="2" t="b">
        <v>1</v>
      </c>
      <c r="I3638" s="2">
        <v>-1.0</v>
      </c>
      <c r="J3638" s="2" t="b">
        <v>0</v>
      </c>
      <c r="K3638" s="2" t="b">
        <v>1</v>
      </c>
      <c r="L3638" s="2" t="b">
        <v>0</v>
      </c>
      <c r="M3638" s="2" t="b">
        <v>0</v>
      </c>
      <c r="N3638" s="2" t="s">
        <v>33</v>
      </c>
      <c r="O3638" s="2">
        <v>0.0</v>
      </c>
      <c r="P3638" s="2">
        <v>13.0</v>
      </c>
      <c r="Q3638" s="2">
        <v>0.0</v>
      </c>
      <c r="R3638" s="2">
        <v>0.0</v>
      </c>
      <c r="S3638" s="3" t="s">
        <v>14799</v>
      </c>
      <c r="T3638" s="2" t="s">
        <v>14800</v>
      </c>
      <c r="Y3638" s="4" t="str">
        <f>IFERROR(__xludf.DUMMYFUNCTION("""COMPUTED_VALUE"""),"7.4782492")</f>
        <v>7.4782492</v>
      </c>
      <c r="Z3638" s="4" t="str">
        <f>IFERROR(__xludf.DUMMYFUNCTION("""COMPUTED_VALUE"""),"2.9933391")</f>
        <v>2.9933391</v>
      </c>
      <c r="AA3638" s="4" t="str">
        <f t="shared" si="1"/>
        <v>Not Neighbor</v>
      </c>
      <c r="AC3638" s="4">
        <f>IFERROR(__xludf.DUMMYFUNCTION("IFERROR(ABS(O3638-AVERAGE(FILTER(O3638:O7706,AA3638:AA7706=""Neighbor""))) / STDEV(FILTER(O3638:O7706, AA3638:AA7706 =""Neighbor"")), """")"),1.4436320518520274)</f>
        <v>1.443632052</v>
      </c>
      <c r="AF3638" s="2">
        <f>IFERROR(__xludf.DUMMYFUNCTION("IFERROR(ABS(R3638-AVERAGE(FILTER(R3638:R7706,AA3638:AA7706=""Neighbor""))) / STDEV(FILTER(R3638:R7706, AA3638:AA7706 =""Neighbor"")), """")"),0.43919504877597093)</f>
        <v>0.4391950488</v>
      </c>
    </row>
    <row r="3639">
      <c r="A3639" s="2" t="s">
        <v>28</v>
      </c>
      <c r="B3639" s="2" t="s">
        <v>7043</v>
      </c>
      <c r="C3639" s="2" t="s">
        <v>7117</v>
      </c>
      <c r="D3639" s="2" t="s">
        <v>14801</v>
      </c>
      <c r="E3639" s="2" t="s">
        <v>14802</v>
      </c>
      <c r="F3639" s="2">
        <v>176.0</v>
      </c>
      <c r="G3639" s="2">
        <v>344.0</v>
      </c>
      <c r="H3639" s="2" t="b">
        <v>1</v>
      </c>
      <c r="I3639" s="2">
        <v>-1.0</v>
      </c>
      <c r="J3639" s="2" t="b">
        <v>1</v>
      </c>
      <c r="K3639" s="2" t="b">
        <v>0</v>
      </c>
      <c r="L3639" s="2" t="b">
        <v>0</v>
      </c>
      <c r="M3639" s="2" t="b">
        <v>0</v>
      </c>
      <c r="N3639" s="2" t="s">
        <v>33</v>
      </c>
      <c r="O3639" s="2">
        <v>105.0</v>
      </c>
      <c r="P3639" s="2">
        <v>3.0</v>
      </c>
      <c r="Q3639" s="2">
        <v>60.0</v>
      </c>
      <c r="R3639" s="2">
        <v>0.0</v>
      </c>
      <c r="S3639" s="3" t="s">
        <v>14803</v>
      </c>
      <c r="T3639" s="2" t="s">
        <v>14804</v>
      </c>
      <c r="Y3639" s="4" t="str">
        <f>IFERROR(__xludf.DUMMYFUNCTION("""COMPUTED_VALUE"""),"7.732423")</f>
        <v>7.732423</v>
      </c>
      <c r="Z3639" s="4" t="str">
        <f>IFERROR(__xludf.DUMMYFUNCTION("""COMPUTED_VALUE"""),"2.8178291")</f>
        <v>2.8178291</v>
      </c>
      <c r="AA3639" s="4" t="str">
        <f t="shared" si="1"/>
        <v>Not Neighbor</v>
      </c>
      <c r="AC3639" s="4">
        <f>IFERROR(__xludf.DUMMYFUNCTION("IFERROR(ABS(O3639-AVERAGE(FILTER(O3639:O7707,AA3639:AA7707=""Neighbor""))) / STDEV(FILTER(O3639:O7707, AA3639:AA7707 =""Neighbor"")), """")"),2.381687330090621)</f>
        <v>2.38168733</v>
      </c>
      <c r="AF3639" s="2">
        <f>IFERROR(__xludf.DUMMYFUNCTION("IFERROR(ABS(R3639-AVERAGE(FILTER(R3639:R7707,AA3639:AA7707=""Neighbor""))) / STDEV(FILTER(R3639:R7707, AA3639:AA7707 =""Neighbor"")), """")"),0.43919504877597093)</f>
        <v>0.4391950488</v>
      </c>
    </row>
    <row r="3640">
      <c r="A3640" s="2" t="s">
        <v>28</v>
      </c>
      <c r="B3640" s="2" t="s">
        <v>7043</v>
      </c>
      <c r="C3640" s="2" t="s">
        <v>7333</v>
      </c>
      <c r="D3640" s="2" t="s">
        <v>14805</v>
      </c>
      <c r="E3640" s="2" t="s">
        <v>14806</v>
      </c>
      <c r="F3640" s="2">
        <v>242.0</v>
      </c>
      <c r="G3640" s="2">
        <v>478.0</v>
      </c>
      <c r="H3640" s="2" t="b">
        <v>1</v>
      </c>
      <c r="I3640" s="2">
        <v>-1.0</v>
      </c>
      <c r="J3640" s="2" t="b">
        <v>1</v>
      </c>
      <c r="K3640" s="2" t="b">
        <v>0</v>
      </c>
      <c r="L3640" s="2" t="b">
        <v>0</v>
      </c>
      <c r="M3640" s="2" t="b">
        <v>0</v>
      </c>
      <c r="N3640" s="2" t="s">
        <v>33</v>
      </c>
      <c r="O3640" s="2">
        <v>148.0</v>
      </c>
      <c r="P3640" s="2">
        <v>14.0</v>
      </c>
      <c r="Q3640" s="2">
        <v>46.0</v>
      </c>
      <c r="R3640" s="2">
        <v>0.0</v>
      </c>
      <c r="S3640" s="3" t="s">
        <v>14807</v>
      </c>
      <c r="T3640" s="2" t="s">
        <v>14808</v>
      </c>
      <c r="Y3640" s="4" t="str">
        <f>IFERROR(__xludf.DUMMYFUNCTION("""COMPUTED_VALUE"""),"7.4169322")</f>
        <v>7.4169322</v>
      </c>
      <c r="Z3640" s="4" t="str">
        <f>IFERROR(__xludf.DUMMYFUNCTION("""COMPUTED_VALUE"""),"3.0476046")</f>
        <v>3.0476046</v>
      </c>
      <c r="AA3640" s="4" t="str">
        <f t="shared" si="1"/>
        <v>Neighbor</v>
      </c>
      <c r="AC3640" s="4">
        <f>IFERROR(__xludf.DUMMYFUNCTION("IFERROR(ABS(O3640-AVERAGE(FILTER(O3640:O7708,AA3640:AA7708=""Neighbor""))) / STDEV(FILTER(O3640:O7708, AA3640:AA7708 =""Neighbor"")), """")"),3.948246696029039)</f>
        <v>3.948246696</v>
      </c>
      <c r="AF3640" s="2">
        <f>IFERROR(__xludf.DUMMYFUNCTION("IFERROR(ABS(R3640-AVERAGE(FILTER(R3640:R7708,AA3640:AA7708=""Neighbor""))) / STDEV(FILTER(R3640:R7708, AA3640:AA7708 =""Neighbor"")), """")"),0.43919504877597093)</f>
        <v>0.4391950488</v>
      </c>
    </row>
    <row r="3641">
      <c r="A3641" s="2" t="s">
        <v>28</v>
      </c>
      <c r="B3641" s="2" t="s">
        <v>7043</v>
      </c>
      <c r="C3641" s="2" t="s">
        <v>7333</v>
      </c>
      <c r="D3641" s="2" t="s">
        <v>14809</v>
      </c>
      <c r="E3641" s="2" t="s">
        <v>14810</v>
      </c>
      <c r="F3641" s="2">
        <v>63.0</v>
      </c>
      <c r="G3641" s="2">
        <v>104.0</v>
      </c>
      <c r="H3641" s="2" t="b">
        <v>1</v>
      </c>
      <c r="I3641" s="2">
        <v>-1.0</v>
      </c>
      <c r="J3641" s="2" t="b">
        <v>0</v>
      </c>
      <c r="K3641" s="2" t="b">
        <v>0</v>
      </c>
      <c r="L3641" s="2" t="b">
        <v>0</v>
      </c>
      <c r="M3641" s="2" t="b">
        <v>0</v>
      </c>
      <c r="N3641" s="2" t="s">
        <v>33</v>
      </c>
      <c r="O3641" s="2">
        <v>46.0</v>
      </c>
      <c r="P3641" s="2">
        <v>4.0</v>
      </c>
      <c r="Q3641" s="2">
        <v>6.0</v>
      </c>
      <c r="R3641" s="2">
        <v>0.0</v>
      </c>
      <c r="S3641" s="3" t="s">
        <v>14811</v>
      </c>
      <c r="T3641" s="2" t="s">
        <v>14812</v>
      </c>
      <c r="Y3641" s="4" t="str">
        <f>IFERROR(__xludf.DUMMYFUNCTION("""COMPUTED_VALUE"""),"7.4169322")</f>
        <v>7.4169322</v>
      </c>
      <c r="Z3641" s="4" t="str">
        <f>IFERROR(__xludf.DUMMYFUNCTION("""COMPUTED_VALUE"""),"3.0476046")</f>
        <v>3.0476046</v>
      </c>
      <c r="AA3641" s="4" t="str">
        <f t="shared" si="1"/>
        <v>Not Neighbor</v>
      </c>
      <c r="AC3641" s="4">
        <f>IFERROR(__xludf.DUMMYFUNCTION("IFERROR(ABS(O3641-AVERAGE(FILTER(O3641:O7709,AA3641:AA7709=""Neighbor""))) / STDEV(FILTER(O3641:O7709, AA3641:AA7709 =""Neighbor"")), """")"),0.27120825886548644)</f>
        <v>0.2712082589</v>
      </c>
      <c r="AF3641" s="2">
        <f>IFERROR(__xludf.DUMMYFUNCTION("IFERROR(ABS(R3641-AVERAGE(FILTER(R3641:R7709,AA3641:AA7709=""Neighbor""))) / STDEV(FILTER(R3641:R7709, AA3641:AA7709 =""Neighbor"")), """")"),0.4408874065464679)</f>
        <v>0.4408874065</v>
      </c>
    </row>
    <row r="3642">
      <c r="A3642" s="2" t="s">
        <v>28</v>
      </c>
      <c r="B3642" s="2" t="s">
        <v>7043</v>
      </c>
      <c r="C3642" s="2" t="s">
        <v>7333</v>
      </c>
      <c r="D3642" s="2" t="s">
        <v>14813</v>
      </c>
      <c r="E3642" s="2" t="s">
        <v>14814</v>
      </c>
      <c r="F3642" s="2">
        <v>127.0</v>
      </c>
      <c r="G3642" s="2">
        <v>519.0</v>
      </c>
      <c r="H3642" s="2" t="b">
        <v>1</v>
      </c>
      <c r="I3642" s="2">
        <v>-1.0</v>
      </c>
      <c r="J3642" s="2" t="b">
        <v>0</v>
      </c>
      <c r="K3642" s="2" t="b">
        <v>0</v>
      </c>
      <c r="L3642" s="2" t="b">
        <v>0</v>
      </c>
      <c r="M3642" s="2" t="b">
        <v>0</v>
      </c>
      <c r="N3642" s="2" t="s">
        <v>33</v>
      </c>
      <c r="O3642" s="2">
        <v>80.0</v>
      </c>
      <c r="P3642" s="2">
        <v>11.0</v>
      </c>
      <c r="Q3642" s="2">
        <v>18.0</v>
      </c>
      <c r="R3642" s="2">
        <v>0.0</v>
      </c>
      <c r="S3642" s="3" t="s">
        <v>14815</v>
      </c>
      <c r="T3642" s="2" t="s">
        <v>14816</v>
      </c>
      <c r="Y3642" s="4" t="str">
        <f>IFERROR(__xludf.DUMMYFUNCTION("""COMPUTED_VALUE"""),"8.1322448")</f>
        <v>8.1322448</v>
      </c>
      <c r="Z3642" s="4" t="str">
        <f>IFERROR(__xludf.DUMMYFUNCTION("""COMPUTED_VALUE"""),"4.247435")</f>
        <v>4.247435</v>
      </c>
      <c r="AA3642" s="4" t="str">
        <f t="shared" si="1"/>
        <v>Not Neighbor</v>
      </c>
      <c r="AC3642" s="4">
        <f>IFERROR(__xludf.DUMMYFUNCTION("IFERROR(ABS(O3642-AVERAGE(FILTER(O3642:O7710,AA3642:AA7710=""Neighbor""))) / STDEV(FILTER(O3642:O7710, AA3642:AA7710 =""Neighbor"")), """")"),1.5740031610853835)</f>
        <v>1.574003161</v>
      </c>
      <c r="AF3642" s="2">
        <f>IFERROR(__xludf.DUMMYFUNCTION("IFERROR(ABS(R3642-AVERAGE(FILTER(R3642:R7710,AA3642:AA7710=""Neighbor""))) / STDEV(FILTER(R3642:R7710, AA3642:AA7710 =""Neighbor"")), """")"),0.4408874065464679)</f>
        <v>0.4408874065</v>
      </c>
    </row>
    <row r="3643">
      <c r="A3643" s="2" t="s">
        <v>28</v>
      </c>
      <c r="B3643" s="2" t="s">
        <v>7366</v>
      </c>
      <c r="C3643" s="2" t="s">
        <v>7421</v>
      </c>
      <c r="D3643" s="2" t="s">
        <v>14817</v>
      </c>
      <c r="E3643" s="2" t="s">
        <v>14818</v>
      </c>
      <c r="F3643" s="2">
        <v>98.0</v>
      </c>
      <c r="G3643" s="2">
        <v>124.0</v>
      </c>
      <c r="H3643" s="2" t="b">
        <v>1</v>
      </c>
      <c r="I3643" s="2">
        <v>-1.0</v>
      </c>
      <c r="J3643" s="2" t="b">
        <v>0</v>
      </c>
      <c r="K3643" s="2" t="b">
        <v>0</v>
      </c>
      <c r="L3643" s="2" t="b">
        <v>0</v>
      </c>
      <c r="M3643" s="2" t="b">
        <v>0</v>
      </c>
      <c r="N3643" s="2" t="s">
        <v>33</v>
      </c>
      <c r="O3643" s="2">
        <v>13.0</v>
      </c>
      <c r="P3643" s="2">
        <v>1.0</v>
      </c>
      <c r="Q3643" s="2">
        <v>66.0</v>
      </c>
      <c r="R3643" s="2">
        <v>2.0</v>
      </c>
      <c r="S3643" s="3" t="s">
        <v>14819</v>
      </c>
      <c r="T3643" s="2" t="s">
        <v>14820</v>
      </c>
      <c r="Y3643" s="4" t="str">
        <f>IFERROR(__xludf.DUMMYFUNCTION("""COMPUTED_VALUE"""),"6.6027332")</f>
        <v>6.6027332</v>
      </c>
      <c r="Z3643" s="4" t="str">
        <f>IFERROR(__xludf.DUMMYFUNCTION("""COMPUTED_VALUE"""),"2.7680247")</f>
        <v>2.7680247</v>
      </c>
      <c r="AA3643" s="4" t="str">
        <f t="shared" si="1"/>
        <v>Not Neighbor</v>
      </c>
      <c r="AC3643" s="4">
        <f>IFERROR(__xludf.DUMMYFUNCTION("IFERROR(ABS(O3643-AVERAGE(FILTER(O3643:O7711,AA3643:AA7711=""Neighbor""))) / STDEV(FILTER(O3643:O7711, AA3643:AA7711 =""Neighbor"")), """")"),0.9932691462302958)</f>
        <v>0.9932691462</v>
      </c>
      <c r="AF3643" s="2">
        <f>IFERROR(__xludf.DUMMYFUNCTION("IFERROR(ABS(R3643-AVERAGE(FILTER(R3643:R7711,AA3643:AA7711=""Neighbor""))) / STDEV(FILTER(R3643:R7711, AA3643:AA7711 =""Neighbor"")), """")"),2.7922869081276303)</f>
        <v>2.792286908</v>
      </c>
    </row>
    <row r="3644">
      <c r="A3644" s="2" t="s">
        <v>28</v>
      </c>
      <c r="B3644" s="2" t="s">
        <v>7366</v>
      </c>
      <c r="C3644" s="2" t="s">
        <v>7421</v>
      </c>
      <c r="D3644" s="2" t="s">
        <v>14821</v>
      </c>
      <c r="E3644" s="2" t="s">
        <v>14822</v>
      </c>
      <c r="F3644" s="2">
        <v>184.0</v>
      </c>
      <c r="G3644" s="2">
        <v>260.0</v>
      </c>
      <c r="H3644" s="2" t="b">
        <v>1</v>
      </c>
      <c r="I3644" s="2">
        <v>-1.0</v>
      </c>
      <c r="J3644" s="2" t="b">
        <v>0</v>
      </c>
      <c r="K3644" s="2" t="b">
        <v>0</v>
      </c>
      <c r="L3644" s="2" t="b">
        <v>0</v>
      </c>
      <c r="M3644" s="2" t="b">
        <v>0</v>
      </c>
      <c r="N3644" s="2" t="s">
        <v>33</v>
      </c>
      <c r="O3644" s="2">
        <v>23.0</v>
      </c>
      <c r="P3644" s="2">
        <v>3.0</v>
      </c>
      <c r="Q3644" s="2">
        <v>130.0</v>
      </c>
      <c r="R3644" s="2">
        <v>2.0</v>
      </c>
      <c r="S3644" s="3" t="s">
        <v>14823</v>
      </c>
      <c r="T3644" s="2" t="s">
        <v>14824</v>
      </c>
      <c r="Y3644" s="4" t="str">
        <f>IFERROR(__xludf.DUMMYFUNCTION("""COMPUTED_VALUE"""),"7.8582665")</f>
        <v>7.8582665</v>
      </c>
      <c r="Z3644" s="4" t="str">
        <f>IFERROR(__xludf.DUMMYFUNCTION("""COMPUTED_VALUE"""),"4.5727598")</f>
        <v>4.5727598</v>
      </c>
      <c r="AA3644" s="4" t="str">
        <f t="shared" si="1"/>
        <v>Not Neighbor</v>
      </c>
      <c r="AC3644" s="4">
        <f>IFERROR(__xludf.DUMMYFUNCTION("IFERROR(ABS(O3644-AVERAGE(FILTER(O3644:O7712,AA3644:AA7712=""Neighbor""))) / STDEV(FILTER(O3644:O7712, AA3644:AA7712 =""Neighbor"")), """")"),0.6100941749891498)</f>
        <v>0.610094175</v>
      </c>
      <c r="AF3644" s="2">
        <f>IFERROR(__xludf.DUMMYFUNCTION("IFERROR(ABS(R3644-AVERAGE(FILTER(R3644:R7712,AA3644:AA7712=""Neighbor""))) / STDEV(FILTER(R3644:R7712, AA3644:AA7712 =""Neighbor"")), """")"),2.7922869081276303)</f>
        <v>2.792286908</v>
      </c>
    </row>
    <row r="3645">
      <c r="A3645" s="2" t="s">
        <v>28</v>
      </c>
      <c r="B3645" s="2" t="s">
        <v>7366</v>
      </c>
      <c r="C3645" s="2" t="s">
        <v>7421</v>
      </c>
      <c r="D3645" s="2" t="s">
        <v>14825</v>
      </c>
      <c r="E3645" s="2" t="s">
        <v>14826</v>
      </c>
      <c r="F3645" s="2">
        <v>116.0</v>
      </c>
      <c r="G3645" s="2">
        <v>165.0</v>
      </c>
      <c r="H3645" s="2" t="b">
        <v>1</v>
      </c>
      <c r="I3645" s="2">
        <v>-1.0</v>
      </c>
      <c r="J3645" s="2" t="b">
        <v>0</v>
      </c>
      <c r="K3645" s="2" t="b">
        <v>0</v>
      </c>
      <c r="L3645" s="2" t="b">
        <v>0</v>
      </c>
      <c r="M3645" s="2" t="b">
        <v>0</v>
      </c>
      <c r="N3645" s="2" t="s">
        <v>33</v>
      </c>
      <c r="O3645" s="2">
        <v>36.0</v>
      </c>
      <c r="P3645" s="2">
        <v>5.0</v>
      </c>
      <c r="Q3645" s="2">
        <v>70.0</v>
      </c>
      <c r="R3645" s="2">
        <v>1.0</v>
      </c>
      <c r="S3645" s="3" t="s">
        <v>14827</v>
      </c>
      <c r="T3645" s="2" t="s">
        <v>14828</v>
      </c>
      <c r="Y3645" s="4" t="str">
        <f>IFERROR(__xludf.DUMMYFUNCTION("""COMPUTED_VALUE"""),"6.5343396")</f>
        <v>6.5343396</v>
      </c>
      <c r="Z3645" s="4" t="str">
        <f>IFERROR(__xludf.DUMMYFUNCTION("""COMPUTED_VALUE"""),"2.8415046")</f>
        <v>2.8415046</v>
      </c>
      <c r="AA3645" s="4" t="str">
        <f t="shared" si="1"/>
        <v>Neighbor</v>
      </c>
      <c r="AC3645" s="4">
        <f>IFERROR(__xludf.DUMMYFUNCTION("IFERROR(ABS(O3645-AVERAGE(FILTER(O3645:O7713,AA3645:AA7713=""Neighbor""))) / STDEV(FILTER(O3645:O7713, AA3645:AA7713 =""Neighbor"")), """")"),0.11196671237565971)</f>
        <v>0.1119667124</v>
      </c>
      <c r="AF3645" s="2">
        <f>IFERROR(__xludf.DUMMYFUNCTION("IFERROR(ABS(R3645-AVERAGE(FILTER(R3645:R7713,AA3645:AA7713=""Neighbor""))) / STDEV(FILTER(R3645:R7713, AA3645:AA7713 =""Neighbor"")), """")"),1.1756997507905813)</f>
        <v>1.175699751</v>
      </c>
    </row>
    <row r="3646">
      <c r="A3646" s="2" t="s">
        <v>28</v>
      </c>
      <c r="B3646" s="2" t="s">
        <v>7366</v>
      </c>
      <c r="C3646" s="2" t="s">
        <v>7421</v>
      </c>
      <c r="D3646" s="2" t="s">
        <v>14829</v>
      </c>
      <c r="E3646" s="2" t="s">
        <v>14830</v>
      </c>
      <c r="F3646" s="2">
        <v>76.0</v>
      </c>
      <c r="G3646" s="2">
        <v>98.0</v>
      </c>
      <c r="H3646" s="2" t="b">
        <v>1</v>
      </c>
      <c r="I3646" s="2">
        <v>-1.0</v>
      </c>
      <c r="J3646" s="2" t="b">
        <v>0</v>
      </c>
      <c r="K3646" s="2" t="b">
        <v>0</v>
      </c>
      <c r="L3646" s="2" t="b">
        <v>0</v>
      </c>
      <c r="M3646" s="2" t="b">
        <v>0</v>
      </c>
      <c r="N3646" s="2" t="s">
        <v>33</v>
      </c>
      <c r="O3646" s="2">
        <v>7.0</v>
      </c>
      <c r="P3646" s="2">
        <v>0.0</v>
      </c>
      <c r="Q3646" s="2">
        <v>64.0</v>
      </c>
      <c r="R3646" s="2">
        <v>0.0</v>
      </c>
      <c r="S3646" s="3" t="s">
        <v>14831</v>
      </c>
      <c r="T3646" s="2" t="s">
        <v>14832</v>
      </c>
      <c r="Y3646" s="4" t="str">
        <f>IFERROR(__xludf.DUMMYFUNCTION("""COMPUTED_VALUE"""),"6.5343396")</f>
        <v>6.5343396</v>
      </c>
      <c r="Z3646" s="4" t="str">
        <f>IFERROR(__xludf.DUMMYFUNCTION("""COMPUTED_VALUE"""),"2.8415046")</f>
        <v>2.8415046</v>
      </c>
      <c r="AA3646" s="4" t="str">
        <f t="shared" si="1"/>
        <v>Not Neighbor</v>
      </c>
      <c r="AC3646" s="4">
        <f>IFERROR(__xludf.DUMMYFUNCTION("IFERROR(ABS(O3646-AVERAGE(FILTER(O3646:O7714,AA3646:AA7714=""Neighbor""))) / STDEV(FILTER(O3646:O7714, AA3646:AA7714 =""Neighbor"")), """")"),1.2199499960147937)</f>
        <v>1.219949996</v>
      </c>
      <c r="AF3646" s="2">
        <f>IFERROR(__xludf.DUMMYFUNCTION("IFERROR(ABS(R3646-AVERAGE(FILTER(R3646:R7714,AA3646:AA7714=""Neighbor""))) / STDEV(FILTER(R3646:R7714, AA3646:AA7714 =""Neighbor"")), """")"),0.4337617860698013)</f>
        <v>0.4337617861</v>
      </c>
    </row>
    <row r="3647">
      <c r="A3647" s="2" t="s">
        <v>28</v>
      </c>
      <c r="B3647" s="2" t="s">
        <v>7366</v>
      </c>
      <c r="C3647" s="2" t="s">
        <v>7421</v>
      </c>
      <c r="D3647" s="2" t="s">
        <v>14833</v>
      </c>
      <c r="E3647" s="2" t="s">
        <v>14834</v>
      </c>
      <c r="F3647" s="2">
        <v>130.0</v>
      </c>
      <c r="G3647" s="2">
        <v>195.0</v>
      </c>
      <c r="H3647" s="2" t="b">
        <v>1</v>
      </c>
      <c r="I3647" s="2">
        <v>-1.0</v>
      </c>
      <c r="J3647" s="2" t="b">
        <v>0</v>
      </c>
      <c r="K3647" s="2" t="b">
        <v>0</v>
      </c>
      <c r="L3647" s="2" t="b">
        <v>0</v>
      </c>
      <c r="M3647" s="2" t="b">
        <v>0</v>
      </c>
      <c r="N3647" s="2" t="s">
        <v>33</v>
      </c>
      <c r="O3647" s="2">
        <v>52.0</v>
      </c>
      <c r="P3647" s="2">
        <v>0.0</v>
      </c>
      <c r="Q3647" s="2">
        <v>66.0</v>
      </c>
      <c r="R3647" s="2">
        <v>0.0</v>
      </c>
      <c r="S3647" s="3" t="s">
        <v>14835</v>
      </c>
      <c r="T3647" s="2" t="s">
        <v>14836</v>
      </c>
      <c r="Y3647" s="4" t="str">
        <f>IFERROR(__xludf.DUMMYFUNCTION("""COMPUTED_VALUE"""),"6.4786408")</f>
        <v>6.4786408</v>
      </c>
      <c r="Z3647" s="4" t="str">
        <f>IFERROR(__xludf.DUMMYFUNCTION("""COMPUTED_VALUE"""),"3.7122564")</f>
        <v>3.7122564</v>
      </c>
      <c r="AA3647" s="4" t="str">
        <f t="shared" si="1"/>
        <v>Not Neighbor</v>
      </c>
      <c r="AC3647" s="4">
        <f>IFERROR(__xludf.DUMMYFUNCTION("IFERROR(ABS(O3647-AVERAGE(FILTER(O3647:O7715,AA3647:AA7715=""Neighbor""))) / STDEV(FILTER(O3647:O7715, AA3647:AA7715 =""Neighbor"")), """")"),0.4987640867684794)</f>
        <v>0.4987640868</v>
      </c>
      <c r="AF3647" s="2">
        <f>IFERROR(__xludf.DUMMYFUNCTION("IFERROR(ABS(R3647-AVERAGE(FILTER(R3647:R7715,AA3647:AA7715=""Neighbor""))) / STDEV(FILTER(R3647:R7715, AA3647:AA7715 =""Neighbor"")), """")"),0.4337617860698013)</f>
        <v>0.4337617861</v>
      </c>
    </row>
    <row r="3648">
      <c r="A3648" s="2" t="s">
        <v>28</v>
      </c>
      <c r="B3648" s="2" t="s">
        <v>7366</v>
      </c>
      <c r="C3648" s="2" t="s">
        <v>7421</v>
      </c>
      <c r="D3648" s="2" t="s">
        <v>14837</v>
      </c>
      <c r="E3648" s="2" t="s">
        <v>14838</v>
      </c>
      <c r="F3648" s="2">
        <v>275.0</v>
      </c>
      <c r="G3648" s="2">
        <v>368.0</v>
      </c>
      <c r="H3648" s="2" t="b">
        <v>1</v>
      </c>
      <c r="I3648" s="2">
        <v>-1.0</v>
      </c>
      <c r="J3648" s="2" t="b">
        <v>0</v>
      </c>
      <c r="K3648" s="2" t="b">
        <v>0</v>
      </c>
      <c r="L3648" s="2" t="b">
        <v>0</v>
      </c>
      <c r="M3648" s="2" t="b">
        <v>0</v>
      </c>
      <c r="N3648" s="2" t="s">
        <v>33</v>
      </c>
      <c r="O3648" s="2">
        <v>211.0</v>
      </c>
      <c r="P3648" s="2">
        <v>4.0</v>
      </c>
      <c r="Q3648" s="2">
        <v>28.0</v>
      </c>
      <c r="R3648" s="2">
        <v>0.0</v>
      </c>
      <c r="S3648" s="3" t="s">
        <v>14839</v>
      </c>
      <c r="T3648" s="2" t="s">
        <v>14840</v>
      </c>
      <c r="Y3648" s="4" t="str">
        <f>IFERROR(__xludf.DUMMYFUNCTION("""COMPUTED_VALUE"""),"6.5343396")</f>
        <v>6.5343396</v>
      </c>
      <c r="Z3648" s="4" t="str">
        <f>IFERROR(__xludf.DUMMYFUNCTION("""COMPUTED_VALUE"""),"2.8415046")</f>
        <v>2.8415046</v>
      </c>
      <c r="AA3648" s="4" t="str">
        <f t="shared" si="1"/>
        <v>Not Neighbor</v>
      </c>
      <c r="AC3648" s="4">
        <f>IFERROR(__xludf.DUMMYFUNCTION("IFERROR(ABS(O3648-AVERAGE(FILTER(O3648:O7716,AA3648:AA7716=""Neighbor""))) / STDEV(FILTER(O3648:O7716, AA3648:AA7716 =""Neighbor"")), """")"),6.5715538459360445)</f>
        <v>6.571553846</v>
      </c>
      <c r="AF3648" s="2">
        <f>IFERROR(__xludf.DUMMYFUNCTION("IFERROR(ABS(R3648-AVERAGE(FILTER(R3648:R7716,AA3648:AA7716=""Neighbor""))) / STDEV(FILTER(R3648:R7716, AA3648:AA7716 =""Neighbor"")), """")"),0.4337617860698013)</f>
        <v>0.4337617861</v>
      </c>
    </row>
    <row r="3649">
      <c r="A3649" s="2" t="s">
        <v>28</v>
      </c>
      <c r="B3649" s="2" t="s">
        <v>7366</v>
      </c>
      <c r="C3649" s="2" t="s">
        <v>7421</v>
      </c>
      <c r="D3649" s="2" t="s">
        <v>14841</v>
      </c>
      <c r="E3649" s="2" t="s">
        <v>14842</v>
      </c>
      <c r="F3649" s="2">
        <v>63.0</v>
      </c>
      <c r="G3649" s="2">
        <v>108.0</v>
      </c>
      <c r="H3649" s="2" t="b">
        <v>1</v>
      </c>
      <c r="I3649" s="2">
        <v>-1.0</v>
      </c>
      <c r="J3649" s="2" t="b">
        <v>0</v>
      </c>
      <c r="K3649" s="2" t="b">
        <v>0</v>
      </c>
      <c r="L3649" s="2" t="b">
        <v>0</v>
      </c>
      <c r="M3649" s="2" t="b">
        <v>0</v>
      </c>
      <c r="N3649" s="2" t="s">
        <v>33</v>
      </c>
      <c r="O3649" s="2">
        <v>31.0</v>
      </c>
      <c r="P3649" s="2">
        <v>4.0</v>
      </c>
      <c r="Q3649" s="2">
        <v>20.0</v>
      </c>
      <c r="R3649" s="2">
        <v>0.0</v>
      </c>
      <c r="S3649" s="3" t="s">
        <v>14843</v>
      </c>
      <c r="T3649" s="2" t="s">
        <v>14844</v>
      </c>
      <c r="Y3649" s="4" t="str">
        <f>IFERROR(__xludf.DUMMYFUNCTION("""COMPUTED_VALUE"""),"7.2390599")</f>
        <v>7.2390599</v>
      </c>
      <c r="Z3649" s="4" t="str">
        <f>IFERROR(__xludf.DUMMYFUNCTION("""COMPUTED_VALUE"""),"3.0325855")</f>
        <v>3.0325855</v>
      </c>
      <c r="AA3649" s="4" t="str">
        <f t="shared" si="1"/>
        <v>Not Neighbor</v>
      </c>
      <c r="AC3649" s="4">
        <f>IFERROR(__xludf.DUMMYFUNCTION("IFERROR(ABS(O3649-AVERAGE(FILTER(O3649:O7717,AA3649:AA7717=""Neighbor""))) / STDEV(FILTER(O3649:O7717, AA3649:AA7717 =""Neighbor"")), """")"),0.30330248519704806)</f>
        <v>0.3033024852</v>
      </c>
      <c r="AF3649" s="2">
        <f>IFERROR(__xludf.DUMMYFUNCTION("IFERROR(ABS(R3649-AVERAGE(FILTER(R3649:R7717,AA3649:AA7717=""Neighbor""))) / STDEV(FILTER(R3649:R7717, AA3649:AA7717 =""Neighbor"")), """")"),0.4337617860698013)</f>
        <v>0.4337617861</v>
      </c>
    </row>
    <row r="3650">
      <c r="A3650" s="2" t="s">
        <v>28</v>
      </c>
      <c r="B3650" s="2" t="s">
        <v>7366</v>
      </c>
      <c r="C3650" s="2" t="s">
        <v>7421</v>
      </c>
      <c r="D3650" s="2" t="s">
        <v>14845</v>
      </c>
      <c r="E3650" s="2" t="s">
        <v>14846</v>
      </c>
      <c r="F3650" s="2">
        <v>67.0</v>
      </c>
      <c r="G3650" s="2">
        <v>102.0</v>
      </c>
      <c r="H3650" s="2" t="b">
        <v>1</v>
      </c>
      <c r="I3650" s="2">
        <v>-1.0</v>
      </c>
      <c r="J3650" s="2" t="b">
        <v>0</v>
      </c>
      <c r="K3650" s="2" t="b">
        <v>0</v>
      </c>
      <c r="L3650" s="2" t="b">
        <v>0</v>
      </c>
      <c r="M3650" s="2" t="b">
        <v>0</v>
      </c>
      <c r="N3650" s="2" t="s">
        <v>33</v>
      </c>
      <c r="O3650" s="2">
        <v>16.0</v>
      </c>
      <c r="P3650" s="2">
        <v>1.0</v>
      </c>
      <c r="Q3650" s="2">
        <v>44.0</v>
      </c>
      <c r="R3650" s="2">
        <v>0.0</v>
      </c>
      <c r="S3650" s="3" t="s">
        <v>14847</v>
      </c>
      <c r="T3650" s="2" t="s">
        <v>14848</v>
      </c>
      <c r="Y3650" s="4" t="str">
        <f>IFERROR(__xludf.DUMMYFUNCTION("""COMPUTED_VALUE"""),"6.5343396")</f>
        <v>6.5343396</v>
      </c>
      <c r="Z3650" s="4" t="str">
        <f>IFERROR(__xludf.DUMMYFUNCTION("""COMPUTED_VALUE"""),"2.8415046")</f>
        <v>2.8415046</v>
      </c>
      <c r="AA3650" s="4" t="str">
        <f t="shared" si="1"/>
        <v>Not Neighbor</v>
      </c>
      <c r="AC3650" s="4">
        <f>IFERROR(__xludf.DUMMYFUNCTION("IFERROR(ABS(O3650-AVERAGE(FILTER(O3650:O7718,AA3650:AA7718=""Neighbor""))) / STDEV(FILTER(O3650:O7718, AA3650:AA7718 =""Neighbor"")), """")"),0.8762071794581391)</f>
        <v>0.8762071795</v>
      </c>
      <c r="AF3650" s="2">
        <f>IFERROR(__xludf.DUMMYFUNCTION("IFERROR(ABS(R3650-AVERAGE(FILTER(R3650:R7718,AA3650:AA7718=""Neighbor""))) / STDEV(FILTER(R3650:R7718, AA3650:AA7718 =""Neighbor"")), """")"),0.4337617860698013)</f>
        <v>0.4337617861</v>
      </c>
    </row>
    <row r="3651">
      <c r="A3651" s="2" t="s">
        <v>28</v>
      </c>
      <c r="B3651" s="2" t="s">
        <v>7366</v>
      </c>
      <c r="C3651" s="2" t="s">
        <v>7421</v>
      </c>
      <c r="D3651" s="2" t="s">
        <v>14849</v>
      </c>
      <c r="E3651" s="2" t="s">
        <v>14850</v>
      </c>
      <c r="F3651" s="2">
        <v>54.0</v>
      </c>
      <c r="G3651" s="2">
        <v>113.0</v>
      </c>
      <c r="H3651" s="2" t="b">
        <v>1</v>
      </c>
      <c r="I3651" s="2">
        <v>-1.0</v>
      </c>
      <c r="J3651" s="2" t="b">
        <v>0</v>
      </c>
      <c r="K3651" s="2" t="b">
        <v>0</v>
      </c>
      <c r="L3651" s="2" t="b">
        <v>0</v>
      </c>
      <c r="M3651" s="2" t="b">
        <v>0</v>
      </c>
      <c r="N3651" s="2" t="s">
        <v>33</v>
      </c>
      <c r="O3651" s="2">
        <v>28.0</v>
      </c>
      <c r="P3651" s="2">
        <v>4.0</v>
      </c>
      <c r="Q3651" s="2">
        <v>11.0</v>
      </c>
      <c r="R3651" s="2">
        <v>0.0</v>
      </c>
      <c r="S3651" s="3" t="s">
        <v>14851</v>
      </c>
      <c r="T3651" s="2" t="s">
        <v>14852</v>
      </c>
      <c r="Y3651" s="4" t="str">
        <f>IFERROR(__xludf.DUMMYFUNCTION("""COMPUTED_VALUE"""),"6.6027332")</f>
        <v>6.6027332</v>
      </c>
      <c r="Z3651" s="4" t="str">
        <f>IFERROR(__xludf.DUMMYFUNCTION("""COMPUTED_VALUE"""),"2.7680247")</f>
        <v>2.7680247</v>
      </c>
      <c r="AA3651" s="4" t="str">
        <f t="shared" si="1"/>
        <v>Not Neighbor</v>
      </c>
      <c r="AC3651" s="4">
        <f>IFERROR(__xludf.DUMMYFUNCTION("IFERROR(ABS(O3651-AVERAGE(FILTER(O3651:O7719,AA3651:AA7719=""Neighbor""))) / STDEV(FILTER(O3651:O7719, AA3651:AA7719 =""Neighbor"")), """")"),0.41788342404926626)</f>
        <v>0.417883424</v>
      </c>
      <c r="AF3651" s="2">
        <f>IFERROR(__xludf.DUMMYFUNCTION("IFERROR(ABS(R3651-AVERAGE(FILTER(R3651:R7719,AA3651:AA7719=""Neighbor""))) / STDEV(FILTER(R3651:R7719, AA3651:AA7719 =""Neighbor"")), """")"),0.4337617860698013)</f>
        <v>0.4337617861</v>
      </c>
    </row>
    <row r="3652">
      <c r="A3652" s="2" t="s">
        <v>28</v>
      </c>
      <c r="B3652" s="2" t="s">
        <v>7366</v>
      </c>
      <c r="C3652" s="2" t="s">
        <v>7421</v>
      </c>
      <c r="D3652" s="2" t="s">
        <v>14853</v>
      </c>
      <c r="E3652" s="2" t="s">
        <v>14854</v>
      </c>
      <c r="F3652" s="2">
        <v>110.0</v>
      </c>
      <c r="G3652" s="2">
        <v>143.0</v>
      </c>
      <c r="H3652" s="2" t="b">
        <v>1</v>
      </c>
      <c r="I3652" s="2">
        <v>-1.0</v>
      </c>
      <c r="J3652" s="2" t="b">
        <v>0</v>
      </c>
      <c r="K3652" s="2" t="b">
        <v>0</v>
      </c>
      <c r="L3652" s="2" t="b">
        <v>0</v>
      </c>
      <c r="M3652" s="2" t="b">
        <v>0</v>
      </c>
      <c r="N3652" s="2" t="s">
        <v>33</v>
      </c>
      <c r="O3652" s="2">
        <v>10.0</v>
      </c>
      <c r="P3652" s="2">
        <v>0.0</v>
      </c>
      <c r="Q3652" s="2">
        <v>80.0</v>
      </c>
      <c r="R3652" s="2">
        <v>0.0</v>
      </c>
      <c r="S3652" s="3" t="s">
        <v>14855</v>
      </c>
      <c r="T3652" s="2" t="s">
        <v>14856</v>
      </c>
      <c r="Y3652" s="4" t="str">
        <f>IFERROR(__xludf.DUMMYFUNCTION("""COMPUTED_VALUE"""),"7.2969827")</f>
        <v>7.2969827</v>
      </c>
      <c r="Z3652" s="4" t="str">
        <f>IFERROR(__xludf.DUMMYFUNCTION("""COMPUTED_VALUE"""),"5.899726")</f>
        <v>5.899726</v>
      </c>
      <c r="AA3652" s="4" t="str">
        <f t="shared" si="1"/>
        <v>Not Neighbor</v>
      </c>
      <c r="AC3652" s="4">
        <f>IFERROR(__xludf.DUMMYFUNCTION("IFERROR(ABS(O3652-AVERAGE(FILTER(O3652:O7720,AA3652:AA7720=""Neighbor""))) / STDEV(FILTER(O3652:O7720, AA3652:AA7720 =""Neighbor"")), """")"),1.1053690571625754)</f>
        <v>1.105369057</v>
      </c>
      <c r="AF3652" s="2">
        <f>IFERROR(__xludf.DUMMYFUNCTION("IFERROR(ABS(R3652-AVERAGE(FILTER(R3652:R7720,AA3652:AA7720=""Neighbor""))) / STDEV(FILTER(R3652:R7720, AA3652:AA7720 =""Neighbor"")), """")"),0.4337617860698013)</f>
        <v>0.4337617861</v>
      </c>
    </row>
    <row r="3653">
      <c r="A3653" s="2" t="s">
        <v>28</v>
      </c>
      <c r="B3653" s="2" t="s">
        <v>7366</v>
      </c>
      <c r="C3653" s="2" t="s">
        <v>7421</v>
      </c>
      <c r="D3653" s="2" t="s">
        <v>14857</v>
      </c>
      <c r="E3653" s="2" t="s">
        <v>14858</v>
      </c>
      <c r="F3653" s="2">
        <v>81.0</v>
      </c>
      <c r="G3653" s="2">
        <v>132.0</v>
      </c>
      <c r="H3653" s="2" t="b">
        <v>1</v>
      </c>
      <c r="I3653" s="2">
        <v>-1.0</v>
      </c>
      <c r="J3653" s="2" t="b">
        <v>0</v>
      </c>
      <c r="K3653" s="2" t="b">
        <v>0</v>
      </c>
      <c r="L3653" s="2" t="b">
        <v>0</v>
      </c>
      <c r="M3653" s="2" t="b">
        <v>0</v>
      </c>
      <c r="N3653" s="2" t="s">
        <v>33</v>
      </c>
      <c r="O3653" s="2">
        <v>13.0</v>
      </c>
      <c r="P3653" s="2">
        <v>1.0</v>
      </c>
      <c r="Q3653" s="2">
        <v>60.0</v>
      </c>
      <c r="R3653" s="2">
        <v>2.0</v>
      </c>
      <c r="S3653" s="3" t="s">
        <v>14859</v>
      </c>
      <c r="T3653" s="2" t="s">
        <v>14860</v>
      </c>
      <c r="Y3653" s="4" t="str">
        <f>IFERROR(__xludf.DUMMYFUNCTION("""COMPUTED_VALUE"""),"6.6027332")</f>
        <v>6.6027332</v>
      </c>
      <c r="Z3653" s="4" t="str">
        <f>IFERROR(__xludf.DUMMYFUNCTION("""COMPUTED_VALUE"""),"2.7680247")</f>
        <v>2.7680247</v>
      </c>
      <c r="AA3653" s="4" t="str">
        <f t="shared" si="1"/>
        <v>Not Neighbor</v>
      </c>
      <c r="AC3653" s="4">
        <f>IFERROR(__xludf.DUMMYFUNCTION("IFERROR(ABS(O3653-AVERAGE(FILTER(O3653:O7721,AA3653:AA7721=""Neighbor""))) / STDEV(FILTER(O3653:O7721, AA3653:AA7721 =""Neighbor"")), """")"),0.9907881183103573)</f>
        <v>0.9907881183</v>
      </c>
      <c r="AF3653" s="2">
        <f>IFERROR(__xludf.DUMMYFUNCTION("IFERROR(ABS(R3653-AVERAGE(FILTER(R3653:R7721,AA3653:AA7721=""Neighbor""))) / STDEV(FILTER(R3653:R7721, AA3653:AA7721 =""Neighbor"")), """")"),2.8035822758170084)</f>
        <v>2.803582276</v>
      </c>
    </row>
    <row r="3654">
      <c r="A3654" s="2" t="s">
        <v>28</v>
      </c>
      <c r="B3654" s="2" t="s">
        <v>7366</v>
      </c>
      <c r="C3654" s="2" t="s">
        <v>7421</v>
      </c>
      <c r="D3654" s="2" t="s">
        <v>14861</v>
      </c>
      <c r="E3654" s="2" t="s">
        <v>14862</v>
      </c>
      <c r="F3654" s="2">
        <v>71.0</v>
      </c>
      <c r="G3654" s="2">
        <v>162.0</v>
      </c>
      <c r="H3654" s="2" t="b">
        <v>1</v>
      </c>
      <c r="I3654" s="2">
        <v>-1.0</v>
      </c>
      <c r="J3654" s="2" t="b">
        <v>0</v>
      </c>
      <c r="K3654" s="2" t="b">
        <v>0</v>
      </c>
      <c r="L3654" s="2" t="b">
        <v>0</v>
      </c>
      <c r="M3654" s="2" t="b">
        <v>0</v>
      </c>
      <c r="N3654" s="2" t="s">
        <v>33</v>
      </c>
      <c r="O3654" s="2">
        <v>29.0</v>
      </c>
      <c r="P3654" s="2">
        <v>6.0</v>
      </c>
      <c r="Q3654" s="2">
        <v>28.0</v>
      </c>
      <c r="R3654" s="2">
        <v>1.0</v>
      </c>
      <c r="S3654" s="3" t="s">
        <v>14863</v>
      </c>
      <c r="T3654" s="2" t="s">
        <v>14864</v>
      </c>
      <c r="Y3654" s="4" t="str">
        <f>IFERROR(__xludf.DUMMYFUNCTION("""COMPUTED_VALUE"""),"6.5343396")</f>
        <v>6.5343396</v>
      </c>
      <c r="Z3654" s="4" t="str">
        <f>IFERROR(__xludf.DUMMYFUNCTION("""COMPUTED_VALUE"""),"2.8415046")</f>
        <v>2.8415046</v>
      </c>
      <c r="AA3654" s="4" t="str">
        <f t="shared" si="1"/>
        <v>Not Neighbor</v>
      </c>
      <c r="AC3654" s="4">
        <f>IFERROR(__xludf.DUMMYFUNCTION("IFERROR(ABS(O3654-AVERAGE(FILTER(O3654:O7722,AA3654:AA7722=""Neighbor""))) / STDEV(FILTER(O3654:O7722, AA3654:AA7722 =""Neighbor"")), """")"),0.3796897777651935)</f>
        <v>0.3796897778</v>
      </c>
      <c r="AF3654" s="2">
        <f>IFERROR(__xludf.DUMMYFUNCTION("IFERROR(ABS(R3654-AVERAGE(FILTER(R3654:R7722,AA3654:AA7722=""Neighbor""))) / STDEV(FILTER(R3654:R7722, AA3654:AA7722 =""Neighbor"")), """")"),1.1849102448736037)</f>
        <v>1.184910245</v>
      </c>
    </row>
    <row r="3655">
      <c r="A3655" s="2" t="s">
        <v>28</v>
      </c>
      <c r="B3655" s="2" t="s">
        <v>7366</v>
      </c>
      <c r="C3655" s="2" t="s">
        <v>7421</v>
      </c>
      <c r="D3655" s="2" t="s">
        <v>14865</v>
      </c>
      <c r="E3655" s="2" t="s">
        <v>14866</v>
      </c>
      <c r="F3655" s="2">
        <v>88.0</v>
      </c>
      <c r="G3655" s="2">
        <v>142.0</v>
      </c>
      <c r="H3655" s="2" t="b">
        <v>1</v>
      </c>
      <c r="I3655" s="2">
        <v>-1.0</v>
      </c>
      <c r="J3655" s="2" t="b">
        <v>0</v>
      </c>
      <c r="K3655" s="2" t="b">
        <v>0</v>
      </c>
      <c r="L3655" s="2" t="b">
        <v>0</v>
      </c>
      <c r="M3655" s="2" t="b">
        <v>0</v>
      </c>
      <c r="N3655" s="2" t="s">
        <v>33</v>
      </c>
      <c r="O3655" s="2">
        <v>39.0</v>
      </c>
      <c r="P3655" s="2">
        <v>1.0</v>
      </c>
      <c r="Q3655" s="2">
        <v>20.0</v>
      </c>
      <c r="R3655" s="2">
        <v>0.0</v>
      </c>
      <c r="S3655" s="3" t="s">
        <v>14867</v>
      </c>
      <c r="T3655" s="2" t="s">
        <v>14868</v>
      </c>
      <c r="Y3655" s="4" t="str">
        <f>IFERROR(__xludf.DUMMYFUNCTION("""COMPUTED_VALUE"""),"6.6027332")</f>
        <v>6.6027332</v>
      </c>
      <c r="Z3655" s="4" t="str">
        <f>IFERROR(__xludf.DUMMYFUNCTION("""COMPUTED_VALUE"""),"2.7680247")</f>
        <v>2.7680247</v>
      </c>
      <c r="AA3655" s="4" t="str">
        <f t="shared" si="1"/>
        <v>Not Neighbor</v>
      </c>
      <c r="AC3655" s="4">
        <f>IFERROR(__xludf.DUMMYFUNCTION("IFERROR(ABS(O3655-AVERAGE(FILTER(O3655:O7723,AA3655:AA7723=""Neighbor""))) / STDEV(FILTER(O3655:O7723, AA3655:AA7723 =""Neighbor"")), """")"),0.002246685075533818)</f>
        <v>0.002246685076</v>
      </c>
      <c r="AF3655" s="2">
        <f>IFERROR(__xludf.DUMMYFUNCTION("IFERROR(ABS(R3655-AVERAGE(FILTER(R3655:R7723,AA3655:AA7723=""Neighbor""))) / STDEV(FILTER(R3655:R7723, AA3655:AA7723 =""Neighbor"")), """")"),0.4337617860698013)</f>
        <v>0.4337617861</v>
      </c>
    </row>
    <row r="3656">
      <c r="A3656" s="2" t="s">
        <v>28</v>
      </c>
      <c r="B3656" s="2" t="s">
        <v>7366</v>
      </c>
      <c r="C3656" s="2" t="s">
        <v>7691</v>
      </c>
      <c r="D3656" s="2" t="s">
        <v>14869</v>
      </c>
      <c r="E3656" s="2" t="s">
        <v>14870</v>
      </c>
      <c r="F3656" s="2">
        <v>46.0</v>
      </c>
      <c r="G3656" s="2">
        <v>90.0</v>
      </c>
      <c r="H3656" s="2" t="b">
        <v>1</v>
      </c>
      <c r="I3656" s="2">
        <v>-1.0</v>
      </c>
      <c r="J3656" s="2" t="b">
        <v>0</v>
      </c>
      <c r="K3656" s="2" t="b">
        <v>0</v>
      </c>
      <c r="L3656" s="2" t="b">
        <v>0</v>
      </c>
      <c r="M3656" s="2" t="b">
        <v>0</v>
      </c>
      <c r="N3656" s="2" t="s">
        <v>33</v>
      </c>
      <c r="O3656" s="2">
        <v>25.0</v>
      </c>
      <c r="P3656" s="2">
        <v>0.0</v>
      </c>
      <c r="Q3656" s="2">
        <v>17.0</v>
      </c>
      <c r="R3656" s="2">
        <v>0.0</v>
      </c>
      <c r="S3656" s="3" t="s">
        <v>14871</v>
      </c>
      <c r="T3656" s="2" t="s">
        <v>14872</v>
      </c>
      <c r="Y3656" s="4" t="str">
        <f>IFERROR(__xludf.DUMMYFUNCTION("""COMPUTED_VALUE"""),"7.8720018")</f>
        <v>7.8720018</v>
      </c>
      <c r="Z3656" s="4" t="str">
        <f>IFERROR(__xludf.DUMMYFUNCTION("""COMPUTED_VALUE"""),"3.2325969")</f>
        <v>3.2325969</v>
      </c>
      <c r="AA3656" s="4" t="str">
        <f t="shared" si="1"/>
        <v>Not Neighbor</v>
      </c>
      <c r="AC3656" s="4">
        <f>IFERROR(__xludf.DUMMYFUNCTION("IFERROR(ABS(O3656-AVERAGE(FILTER(O3656:O7724,AA3656:AA7724=""Neighbor""))) / STDEV(FILTER(O3656:O7724, AA3656:AA7724 =""Neighbor"")), """")"),0.5324643629014845)</f>
        <v>0.5324643629</v>
      </c>
      <c r="AF3656" s="2">
        <f>IFERROR(__xludf.DUMMYFUNCTION("IFERROR(ABS(R3656-AVERAGE(FILTER(R3656:R7724,AA3656:AA7724=""Neighbor""))) / STDEV(FILTER(R3656:R7724, AA3656:AA7724 =""Neighbor"")), """")"),0.4337617860698013)</f>
        <v>0.4337617861</v>
      </c>
    </row>
    <row r="3657">
      <c r="A3657" s="2" t="s">
        <v>28</v>
      </c>
      <c r="B3657" s="2" t="s">
        <v>7366</v>
      </c>
      <c r="C3657" s="2" t="s">
        <v>7691</v>
      </c>
      <c r="D3657" s="2" t="s">
        <v>14873</v>
      </c>
      <c r="E3657" s="2" t="s">
        <v>14874</v>
      </c>
      <c r="F3657" s="2">
        <v>73.0</v>
      </c>
      <c r="G3657" s="2">
        <v>131.0</v>
      </c>
      <c r="H3657" s="2" t="b">
        <v>1</v>
      </c>
      <c r="I3657" s="2">
        <v>-1.0</v>
      </c>
      <c r="J3657" s="2" t="b">
        <v>0</v>
      </c>
      <c r="K3657" s="2" t="b">
        <v>1</v>
      </c>
      <c r="L3657" s="2" t="b">
        <v>0</v>
      </c>
      <c r="M3657" s="2" t="b">
        <v>0</v>
      </c>
      <c r="N3657" s="2" t="s">
        <v>33</v>
      </c>
      <c r="O3657" s="2">
        <v>46.0</v>
      </c>
      <c r="P3657" s="2">
        <v>8.0</v>
      </c>
      <c r="Q3657" s="2">
        <v>13.0</v>
      </c>
      <c r="R3657" s="2">
        <v>0.0</v>
      </c>
      <c r="S3657" s="3" t="s">
        <v>14875</v>
      </c>
      <c r="T3657" s="2" t="s">
        <v>14876</v>
      </c>
      <c r="Y3657" s="4" t="str">
        <f>IFERROR(__xludf.DUMMYFUNCTION("""COMPUTED_VALUE"""),"6.5343396")</f>
        <v>6.5343396</v>
      </c>
      <c r="Z3657" s="4" t="str">
        <f>IFERROR(__xludf.DUMMYFUNCTION("""COMPUTED_VALUE"""),"2.8415046")</f>
        <v>2.8415046</v>
      </c>
      <c r="AA3657" s="4" t="str">
        <f t="shared" si="1"/>
        <v>Not Neighbor</v>
      </c>
      <c r="AC3657" s="4">
        <f>IFERROR(__xludf.DUMMYFUNCTION("IFERROR(ABS(O3657-AVERAGE(FILTER(O3657:O7725,AA3657:AA7725=""Neighbor""))) / STDEV(FILTER(O3657:O7725, AA3657:AA7725 =""Neighbor"")), """")"),0.269602209064043)</f>
        <v>0.2696022091</v>
      </c>
      <c r="AF3657" s="2">
        <f>IFERROR(__xludf.DUMMYFUNCTION("IFERROR(ABS(R3657-AVERAGE(FILTER(R3657:R7725,AA3657:AA7725=""Neighbor""))) / STDEV(FILTER(R3657:R7725, AA3657:AA7725 =""Neighbor"")), """")"),0.4337617860698013)</f>
        <v>0.4337617861</v>
      </c>
    </row>
    <row r="3658">
      <c r="A3658" s="2" t="s">
        <v>28</v>
      </c>
      <c r="B3658" s="2" t="s">
        <v>7366</v>
      </c>
      <c r="C3658" s="2" t="s">
        <v>7691</v>
      </c>
      <c r="D3658" s="2" t="s">
        <v>14877</v>
      </c>
      <c r="E3658" s="2" t="s">
        <v>14878</v>
      </c>
      <c r="F3658" s="2">
        <v>118.0</v>
      </c>
      <c r="G3658" s="2">
        <v>569.0</v>
      </c>
      <c r="H3658" s="2" t="b">
        <v>1</v>
      </c>
      <c r="I3658" s="2">
        <v>-1.0</v>
      </c>
      <c r="J3658" s="2" t="b">
        <v>0</v>
      </c>
      <c r="K3658" s="2" t="b">
        <v>0</v>
      </c>
      <c r="L3658" s="2" t="b">
        <v>0</v>
      </c>
      <c r="M3658" s="2" t="b">
        <v>0</v>
      </c>
      <c r="N3658" s="2" t="s">
        <v>33</v>
      </c>
      <c r="O3658" s="2">
        <v>45.0</v>
      </c>
      <c r="P3658" s="2">
        <v>17.0</v>
      </c>
      <c r="Q3658" s="2">
        <v>47.0</v>
      </c>
      <c r="R3658" s="2">
        <v>0.0</v>
      </c>
      <c r="S3658" s="3" t="s">
        <v>14879</v>
      </c>
      <c r="T3658" s="2" t="s">
        <v>14880</v>
      </c>
      <c r="Y3658" s="4" t="str">
        <f>IFERROR(__xludf.DUMMYFUNCTION("""COMPUTED_VALUE"""),"6.4433686")</f>
        <v>6.4433686</v>
      </c>
      <c r="Z3658" s="4" t="str">
        <f>IFERROR(__xludf.DUMMYFUNCTION("""COMPUTED_VALUE"""),"3.3552653")</f>
        <v>3.3552653</v>
      </c>
      <c r="AA3658" s="4" t="str">
        <f t="shared" si="1"/>
        <v>Not Neighbor</v>
      </c>
      <c r="AC3658" s="4">
        <f>IFERROR(__xludf.DUMMYFUNCTION("IFERROR(ABS(O3658-AVERAGE(FILTER(O3658:O7726,AA3658:AA7726=""Neighbor""))) / STDEV(FILTER(O3658:O7726, AA3658:AA7726 =""Neighbor"")), """")"),0.2314085627799702)</f>
        <v>0.2314085628</v>
      </c>
      <c r="AF3658" s="2">
        <f>IFERROR(__xludf.DUMMYFUNCTION("IFERROR(ABS(R3658-AVERAGE(FILTER(R3658:R7726,AA3658:AA7726=""Neighbor""))) / STDEV(FILTER(R3658:R7726, AA3658:AA7726 =""Neighbor"")), """")"),0.4337617860698013)</f>
        <v>0.4337617861</v>
      </c>
    </row>
    <row r="3659">
      <c r="A3659" s="2" t="s">
        <v>28</v>
      </c>
      <c r="B3659" s="2" t="s">
        <v>7366</v>
      </c>
      <c r="C3659" s="2" t="s">
        <v>7691</v>
      </c>
      <c r="D3659" s="2" t="s">
        <v>14881</v>
      </c>
      <c r="E3659" s="2" t="s">
        <v>14882</v>
      </c>
      <c r="F3659" s="2">
        <v>143.0</v>
      </c>
      <c r="G3659" s="2">
        <v>510.0</v>
      </c>
      <c r="H3659" s="2" t="b">
        <v>1</v>
      </c>
      <c r="I3659" s="2">
        <v>-1.0</v>
      </c>
      <c r="J3659" s="2" t="b">
        <v>0</v>
      </c>
      <c r="K3659" s="2" t="b">
        <v>0</v>
      </c>
      <c r="L3659" s="2" t="b">
        <v>0</v>
      </c>
      <c r="M3659" s="2" t="b">
        <v>0</v>
      </c>
      <c r="N3659" s="2" t="s">
        <v>33</v>
      </c>
      <c r="O3659" s="2">
        <v>73.0</v>
      </c>
      <c r="P3659" s="2">
        <v>15.0</v>
      </c>
      <c r="Q3659" s="2">
        <v>27.0</v>
      </c>
      <c r="R3659" s="2">
        <v>0.0</v>
      </c>
      <c r="S3659" s="3" t="s">
        <v>14883</v>
      </c>
      <c r="T3659" s="2" t="s">
        <v>14884</v>
      </c>
      <c r="Y3659" s="4" t="str">
        <f>IFERROR(__xludf.DUMMYFUNCTION("""COMPUTED_VALUE"""),"7.8720018")</f>
        <v>7.8720018</v>
      </c>
      <c r="Z3659" s="4" t="str">
        <f>IFERROR(__xludf.DUMMYFUNCTION("""COMPUTED_VALUE"""),"3.2325969")</f>
        <v>3.2325969</v>
      </c>
      <c r="AA3659" s="4" t="str">
        <f t="shared" si="1"/>
        <v>Neighbor</v>
      </c>
      <c r="AC3659" s="4">
        <f>IFERROR(__xludf.DUMMYFUNCTION("IFERROR(ABS(O3659-AVERAGE(FILTER(O3659:O7727,AA3659:AA7727=""Neighbor""))) / STDEV(FILTER(O3659:O7727, AA3659:AA7727 =""Neighbor"")), """")"),1.3008306587340068)</f>
        <v>1.300830659</v>
      </c>
      <c r="AF3659" s="2">
        <f>IFERROR(__xludf.DUMMYFUNCTION("IFERROR(ABS(R3659-AVERAGE(FILTER(R3659:R7727,AA3659:AA7727=""Neighbor""))) / STDEV(FILTER(R3659:R7727, AA3659:AA7727 =""Neighbor"")), """")"),0.4337617860698013)</f>
        <v>0.4337617861</v>
      </c>
    </row>
    <row r="3660">
      <c r="A3660" s="2" t="s">
        <v>28</v>
      </c>
      <c r="B3660" s="2" t="s">
        <v>7366</v>
      </c>
      <c r="C3660" s="2" t="s">
        <v>7691</v>
      </c>
      <c r="D3660" s="2" t="s">
        <v>14885</v>
      </c>
      <c r="E3660" s="2" t="s">
        <v>14886</v>
      </c>
      <c r="F3660" s="2">
        <v>40.0</v>
      </c>
      <c r="G3660" s="2">
        <v>73.0</v>
      </c>
      <c r="H3660" s="2" t="b">
        <v>1</v>
      </c>
      <c r="I3660" s="2">
        <v>-1.0</v>
      </c>
      <c r="J3660" s="2" t="b">
        <v>0</v>
      </c>
      <c r="K3660" s="2" t="b">
        <v>0</v>
      </c>
      <c r="L3660" s="2" t="b">
        <v>0</v>
      </c>
      <c r="M3660" s="2" t="b">
        <v>0</v>
      </c>
      <c r="N3660" s="2" t="s">
        <v>33</v>
      </c>
      <c r="O3660" s="2">
        <v>25.0</v>
      </c>
      <c r="P3660" s="2">
        <v>4.0</v>
      </c>
      <c r="Q3660" s="2">
        <v>7.0</v>
      </c>
      <c r="R3660" s="2">
        <v>1.0</v>
      </c>
      <c r="S3660" s="3" t="s">
        <v>14887</v>
      </c>
      <c r="T3660" s="2" t="s">
        <v>14888</v>
      </c>
      <c r="Y3660" s="4" t="str">
        <f>IFERROR(__xludf.DUMMYFUNCTION("""COMPUTED_VALUE"""),"7.8720018")</f>
        <v>7.8720018</v>
      </c>
      <c r="Z3660" s="4" t="str">
        <f>IFERROR(__xludf.DUMMYFUNCTION("""COMPUTED_VALUE"""),"3.2325969")</f>
        <v>3.2325969</v>
      </c>
      <c r="AA3660" s="4" t="str">
        <f t="shared" si="1"/>
        <v>Neighbor</v>
      </c>
      <c r="AC3660" s="4">
        <f>IFERROR(__xludf.DUMMYFUNCTION("IFERROR(ABS(O3660-AVERAGE(FILTER(O3660:O7728,AA3660:AA7728=""Neighbor""))) / STDEV(FILTER(O3660:O7728, AA3660:AA7728 =""Neighbor"")), """")"),0.5251306099726755)</f>
        <v>0.52513061</v>
      </c>
      <c r="AF3660" s="2">
        <f>IFERROR(__xludf.DUMMYFUNCTION("IFERROR(ABS(R3660-AVERAGE(FILTER(R3660:R7728,AA3660:AA7728=""Neighbor""))) / STDEV(FILTER(R3660:R7728, AA3660:AA7728 =""Neighbor"")), """")"),1.1788964510188265)</f>
        <v>1.178896451</v>
      </c>
    </row>
    <row r="3661">
      <c r="A3661" s="2" t="s">
        <v>28</v>
      </c>
      <c r="B3661" s="2" t="s">
        <v>7366</v>
      </c>
      <c r="C3661" s="2" t="s">
        <v>7691</v>
      </c>
      <c r="D3661" s="2" t="s">
        <v>14889</v>
      </c>
      <c r="E3661" s="2" t="s">
        <v>14890</v>
      </c>
      <c r="F3661" s="2">
        <v>40.0</v>
      </c>
      <c r="G3661" s="2">
        <v>90.0</v>
      </c>
      <c r="H3661" s="2" t="b">
        <v>1</v>
      </c>
      <c r="I3661" s="2">
        <v>-1.0</v>
      </c>
      <c r="J3661" s="2" t="b">
        <v>0</v>
      </c>
      <c r="K3661" s="2" t="b">
        <v>0</v>
      </c>
      <c r="L3661" s="2" t="b">
        <v>0</v>
      </c>
      <c r="M3661" s="2" t="b">
        <v>0</v>
      </c>
      <c r="N3661" s="2" t="s">
        <v>33</v>
      </c>
      <c r="O3661" s="2">
        <v>16.0</v>
      </c>
      <c r="P3661" s="2">
        <v>2.0</v>
      </c>
      <c r="Q3661" s="2">
        <v>17.0</v>
      </c>
      <c r="R3661" s="2">
        <v>0.0</v>
      </c>
      <c r="S3661" s="3" t="s">
        <v>14891</v>
      </c>
      <c r="T3661" s="2" t="s">
        <v>14892</v>
      </c>
      <c r="Y3661" s="4" t="str">
        <f>IFERROR(__xludf.DUMMYFUNCTION("""COMPUTED_VALUE"""),"7.8720018")</f>
        <v>7.8720018</v>
      </c>
      <c r="Z3661" s="4" t="str">
        <f>IFERROR(__xludf.DUMMYFUNCTION("""COMPUTED_VALUE"""),"3.2325969")</f>
        <v>3.2325969</v>
      </c>
      <c r="AA3661" s="4" t="str">
        <f t="shared" si="1"/>
        <v>Not Neighbor</v>
      </c>
      <c r="AC3661" s="4">
        <f>IFERROR(__xludf.DUMMYFUNCTION("IFERROR(ABS(O3661-AVERAGE(FILTER(O3661:O7729,AA3661:AA7729=""Neighbor""))) / STDEV(FILTER(O3661:O7729, AA3661:AA7729 =""Neighbor"")), """")"),0.8710593976643167)</f>
        <v>0.8710593977</v>
      </c>
      <c r="AF3661" s="2">
        <f>IFERROR(__xludf.DUMMYFUNCTION("IFERROR(ABS(R3661-AVERAGE(FILTER(R3661:R7729,AA3661:AA7729=""Neighbor""))) / STDEV(FILTER(R3661:R7729, AA3661:AA7729 =""Neighbor"")), """")"),0.42821087823932447)</f>
        <v>0.4282108782</v>
      </c>
    </row>
    <row r="3662">
      <c r="A3662" s="2" t="s">
        <v>28</v>
      </c>
      <c r="B3662" s="2" t="s">
        <v>7366</v>
      </c>
      <c r="C3662" s="2" t="s">
        <v>7691</v>
      </c>
      <c r="D3662" s="2" t="s">
        <v>14893</v>
      </c>
      <c r="E3662" s="2" t="s">
        <v>14894</v>
      </c>
      <c r="F3662" s="2">
        <v>22.0</v>
      </c>
      <c r="G3662" s="2">
        <v>48.0</v>
      </c>
      <c r="H3662" s="2" t="b">
        <v>1</v>
      </c>
      <c r="I3662" s="2">
        <v>-1.0</v>
      </c>
      <c r="J3662" s="2" t="b">
        <v>0</v>
      </c>
      <c r="K3662" s="2" t="b">
        <v>0</v>
      </c>
      <c r="L3662" s="2" t="b">
        <v>0</v>
      </c>
      <c r="M3662" s="2" t="b">
        <v>0</v>
      </c>
      <c r="N3662" s="2" t="s">
        <v>33</v>
      </c>
      <c r="O3662" s="2">
        <v>16.0</v>
      </c>
      <c r="P3662" s="2">
        <v>2.0</v>
      </c>
      <c r="Q3662" s="2">
        <v>3.0</v>
      </c>
      <c r="R3662" s="2">
        <v>0.0</v>
      </c>
      <c r="S3662" s="3" t="s">
        <v>14895</v>
      </c>
      <c r="T3662" s="2" t="s">
        <v>14896</v>
      </c>
      <c r="Y3662" s="4" t="str">
        <f>IFERROR(__xludf.DUMMYFUNCTION("""COMPUTED_VALUE"""),"7.8582665")</f>
        <v>7.8582665</v>
      </c>
      <c r="Z3662" s="4" t="str">
        <f>IFERROR(__xludf.DUMMYFUNCTION("""COMPUTED_VALUE"""),"4.5727598")</f>
        <v>4.5727598</v>
      </c>
      <c r="AA3662" s="4" t="str">
        <f t="shared" si="1"/>
        <v>Not Neighbor</v>
      </c>
      <c r="AC3662" s="4">
        <f>IFERROR(__xludf.DUMMYFUNCTION("IFERROR(ABS(O3662-AVERAGE(FILTER(O3662:O7730,AA3662:AA7730=""Neighbor""))) / STDEV(FILTER(O3662:O7730, AA3662:AA7730 =""Neighbor"")), """")"),0.8710593976643167)</f>
        <v>0.8710593977</v>
      </c>
      <c r="AF3662" s="2">
        <f>IFERROR(__xludf.DUMMYFUNCTION("IFERROR(ABS(R3662-AVERAGE(FILTER(R3662:R7730,AA3662:AA7730=""Neighbor""))) / STDEV(FILTER(R3662:R7730, AA3662:AA7730 =""Neighbor"")), """")"),0.42821087823932447)</f>
        <v>0.4282108782</v>
      </c>
    </row>
    <row r="3663">
      <c r="A3663" s="2" t="s">
        <v>28</v>
      </c>
      <c r="B3663" s="2" t="s">
        <v>7366</v>
      </c>
      <c r="C3663" s="2" t="s">
        <v>7691</v>
      </c>
      <c r="D3663" s="2" t="s">
        <v>14897</v>
      </c>
      <c r="E3663" s="2" t="s">
        <v>14898</v>
      </c>
      <c r="F3663" s="2">
        <v>67.0</v>
      </c>
      <c r="G3663" s="2">
        <v>125.0</v>
      </c>
      <c r="H3663" s="2" t="b">
        <v>1</v>
      </c>
      <c r="I3663" s="2">
        <v>-1.0</v>
      </c>
      <c r="J3663" s="2" t="b">
        <v>0</v>
      </c>
      <c r="K3663" s="2" t="b">
        <v>0</v>
      </c>
      <c r="L3663" s="2" t="b">
        <v>0</v>
      </c>
      <c r="M3663" s="2" t="b">
        <v>0</v>
      </c>
      <c r="N3663" s="2" t="s">
        <v>33</v>
      </c>
      <c r="O3663" s="2">
        <v>47.0</v>
      </c>
      <c r="P3663" s="2">
        <v>1.0</v>
      </c>
      <c r="Q3663" s="2">
        <v>14.0</v>
      </c>
      <c r="R3663" s="2">
        <v>1.0</v>
      </c>
      <c r="S3663" s="3" t="s">
        <v>14899</v>
      </c>
      <c r="T3663" s="2" t="s">
        <v>14900</v>
      </c>
      <c r="Y3663" s="4" t="str">
        <f>IFERROR(__xludf.DUMMYFUNCTION("""COMPUTED_VALUE"""),"7.8720018")</f>
        <v>7.8720018</v>
      </c>
      <c r="Z3663" s="4" t="str">
        <f>IFERROR(__xludf.DUMMYFUNCTION("""COMPUTED_VALUE"""),"3.2325969")</f>
        <v>3.2325969</v>
      </c>
      <c r="AA3663" s="4" t="str">
        <f t="shared" si="1"/>
        <v>Neighbor</v>
      </c>
      <c r="AC3663" s="4">
        <f>IFERROR(__xludf.DUMMYFUNCTION("IFERROR(ABS(O3663-AVERAGE(FILTER(O3663:O7731,AA3663:AA7731=""Neighbor""))) / STDEV(FILTER(O3663:O7731, AA3663:AA7731 =""Neighbor"")), """")"),0.3128630879531824)</f>
        <v>0.312863088</v>
      </c>
      <c r="AF3663" s="2">
        <f>IFERROR(__xludf.DUMMYFUNCTION("IFERROR(ABS(R3663-AVERAGE(FILTER(R3663:R7731,AA3663:AA7731=""Neighbor""))) / STDEV(FILTER(R3663:R7731, AA3663:AA7731 =""Neighbor"")), """")"),1.1882851871141253)</f>
        <v>1.188285187</v>
      </c>
    </row>
    <row r="3664">
      <c r="A3664" s="2" t="s">
        <v>28</v>
      </c>
      <c r="B3664" s="2" t="s">
        <v>7366</v>
      </c>
      <c r="C3664" s="2" t="s">
        <v>7691</v>
      </c>
      <c r="D3664" s="2" t="s">
        <v>14901</v>
      </c>
      <c r="E3664" s="2" t="s">
        <v>14902</v>
      </c>
      <c r="F3664" s="2">
        <v>81.0</v>
      </c>
      <c r="G3664" s="2">
        <v>154.0</v>
      </c>
      <c r="H3664" s="2" t="b">
        <v>1</v>
      </c>
      <c r="I3664" s="2">
        <v>-1.0</v>
      </c>
      <c r="J3664" s="2" t="b">
        <v>0</v>
      </c>
      <c r="K3664" s="2" t="b">
        <v>0</v>
      </c>
      <c r="L3664" s="2" t="b">
        <v>0</v>
      </c>
      <c r="M3664" s="2" t="b">
        <v>0</v>
      </c>
      <c r="N3664" s="2" t="s">
        <v>33</v>
      </c>
      <c r="O3664" s="2">
        <v>61.0</v>
      </c>
      <c r="P3664" s="2">
        <v>3.0</v>
      </c>
      <c r="Q3664" s="2">
        <v>3.0</v>
      </c>
      <c r="R3664" s="2">
        <v>0.0</v>
      </c>
      <c r="S3664" s="3" t="s">
        <v>14903</v>
      </c>
      <c r="T3664" s="2" t="s">
        <v>14904</v>
      </c>
      <c r="Y3664" s="4" t="str">
        <f>IFERROR(__xludf.DUMMYFUNCTION("""COMPUTED_VALUE"""),"7.8720018")</f>
        <v>7.8720018</v>
      </c>
      <c r="Z3664" s="4" t="str">
        <f>IFERROR(__xludf.DUMMYFUNCTION("""COMPUTED_VALUE"""),"3.2325969")</f>
        <v>3.2325969</v>
      </c>
      <c r="AA3664" s="4" t="str">
        <f t="shared" si="1"/>
        <v>Not Neighbor</v>
      </c>
      <c r="AC3664" s="4">
        <f>IFERROR(__xludf.DUMMYFUNCTION("IFERROR(ABS(O3664-AVERAGE(FILTER(O3664:O7732,AA3664:AA7732=""Neighbor""))) / STDEV(FILTER(O3664:O7732, AA3664:AA7732 =""Neighbor"")), """")"),0.8470649651333257)</f>
        <v>0.8470649651</v>
      </c>
      <c r="AF3664" s="2">
        <f>IFERROR(__xludf.DUMMYFUNCTION("IFERROR(ABS(R3664-AVERAGE(FILTER(R3664:R7732,AA3664:AA7732=""Neighbor""))) / STDEV(FILTER(R3664:R7732, AA3664:AA7732 =""Neighbor"")), """")"),0.42088461853277753)</f>
        <v>0.4208846185</v>
      </c>
    </row>
    <row r="3665">
      <c r="A3665" s="2" t="s">
        <v>28</v>
      </c>
      <c r="B3665" s="2" t="s">
        <v>7366</v>
      </c>
      <c r="C3665" s="2" t="s">
        <v>7805</v>
      </c>
      <c r="D3665" s="2" t="s">
        <v>14905</v>
      </c>
      <c r="E3665" s="2" t="s">
        <v>14906</v>
      </c>
      <c r="F3665" s="2">
        <v>182.0</v>
      </c>
      <c r="G3665" s="2">
        <v>750.0</v>
      </c>
      <c r="H3665" s="2" t="b">
        <v>1</v>
      </c>
      <c r="I3665" s="2">
        <v>-1.0</v>
      </c>
      <c r="J3665" s="2" t="b">
        <v>0</v>
      </c>
      <c r="K3665" s="2" t="b">
        <v>0</v>
      </c>
      <c r="L3665" s="2" t="b">
        <v>0</v>
      </c>
      <c r="M3665" s="2" t="b">
        <v>0</v>
      </c>
      <c r="N3665" s="2" t="s">
        <v>33</v>
      </c>
      <c r="O3665" s="2">
        <v>69.0</v>
      </c>
      <c r="P3665" s="2">
        <v>35.0</v>
      </c>
      <c r="Q3665" s="2">
        <v>37.0</v>
      </c>
      <c r="R3665" s="2">
        <v>0.0</v>
      </c>
      <c r="S3665" s="3" t="s">
        <v>14907</v>
      </c>
      <c r="T3665" s="2" t="s">
        <v>14908</v>
      </c>
      <c r="Y3665" s="4" t="str">
        <f>IFERROR(__xludf.DUMMYFUNCTION("""COMPUTED_VALUE"""),"6.6401727")</f>
        <v>6.6401727</v>
      </c>
      <c r="Z3665" s="4" t="str">
        <f>IFERROR(__xludf.DUMMYFUNCTION("""COMPUTED_VALUE"""),"2.7530936")</f>
        <v>2.7530936</v>
      </c>
      <c r="AA3665" s="4" t="str">
        <f t="shared" si="1"/>
        <v>Not Neighbor</v>
      </c>
      <c r="AC3665" s="4">
        <f>IFERROR(__xludf.DUMMYFUNCTION("IFERROR(ABS(O3665-AVERAGE(FILTER(O3665:O7733,AA3665:AA7733=""Neighbor""))) / STDEV(FILTER(O3665:O7733, AA3665:AA7733 =""Neighbor"")), """")"),1.1516732834311953)</f>
        <v>1.151673283</v>
      </c>
      <c r="AF3665" s="2">
        <f>IFERROR(__xludf.DUMMYFUNCTION("IFERROR(ABS(R3665-AVERAGE(FILTER(R3665:R7733,AA3665:AA7733=""Neighbor""))) / STDEV(FILTER(R3665:R7733, AA3665:AA7733 =""Neighbor"")), """")"),0.42088461853277753)</f>
        <v>0.4208846185</v>
      </c>
    </row>
    <row r="3666">
      <c r="A3666" s="2" t="s">
        <v>28</v>
      </c>
      <c r="B3666" s="2" t="s">
        <v>7366</v>
      </c>
      <c r="C3666" s="2" t="s">
        <v>7805</v>
      </c>
      <c r="D3666" s="2" t="s">
        <v>14909</v>
      </c>
      <c r="E3666" s="2" t="s">
        <v>14910</v>
      </c>
      <c r="F3666" s="2">
        <v>128.0</v>
      </c>
      <c r="G3666" s="2">
        <v>193.0</v>
      </c>
      <c r="H3666" s="2" t="b">
        <v>1</v>
      </c>
      <c r="I3666" s="2">
        <v>-1.0</v>
      </c>
      <c r="J3666" s="2" t="b">
        <v>0</v>
      </c>
      <c r="K3666" s="2" t="b">
        <v>0</v>
      </c>
      <c r="L3666" s="2" t="b">
        <v>0</v>
      </c>
      <c r="M3666" s="2" t="b">
        <v>0</v>
      </c>
      <c r="N3666" s="2" t="s">
        <v>33</v>
      </c>
      <c r="O3666" s="2">
        <v>87.0</v>
      </c>
      <c r="P3666" s="2">
        <v>14.0</v>
      </c>
      <c r="Q3666" s="2">
        <v>12.0</v>
      </c>
      <c r="R3666" s="2">
        <v>0.0</v>
      </c>
      <c r="S3666" s="3" t="s">
        <v>14911</v>
      </c>
      <c r="T3666" s="2" t="s">
        <v>14912</v>
      </c>
      <c r="Y3666" s="4" t="str">
        <f>IFERROR(__xludf.DUMMYFUNCTION("""COMPUTED_VALUE"""),"8.7699197")</f>
        <v>8.7699197</v>
      </c>
      <c r="Z3666" s="4" t="str">
        <f>IFERROR(__xludf.DUMMYFUNCTION("""COMPUTED_VALUE"""),"4.1104449")</f>
        <v>4.1104449</v>
      </c>
      <c r="AA3666" s="4" t="str">
        <f t="shared" si="1"/>
        <v>Not Neighbor</v>
      </c>
      <c r="AC3666" s="4">
        <f>IFERROR(__xludf.DUMMYFUNCTION("IFERROR(ABS(O3666-AVERAGE(FILTER(O3666:O7734,AA3666:AA7734=""Neighbor""))) / STDEV(FILTER(O3666:O7734, AA3666:AA7734 =""Neighbor"")), """")"),1.837041999601402)</f>
        <v>1.837042</v>
      </c>
      <c r="AF3666" s="2">
        <f>IFERROR(__xludf.DUMMYFUNCTION("IFERROR(ABS(R3666-AVERAGE(FILTER(R3666:R7734,AA3666:AA7734=""Neighbor""))) / STDEV(FILTER(R3666:R7734, AA3666:AA7734 =""Neighbor"")), """")"),0.42088461853277753)</f>
        <v>0.4208846185</v>
      </c>
    </row>
    <row r="3667">
      <c r="A3667" s="2" t="s">
        <v>28</v>
      </c>
      <c r="B3667" s="2" t="s">
        <v>7366</v>
      </c>
      <c r="C3667" s="2" t="s">
        <v>7805</v>
      </c>
      <c r="D3667" s="2" t="s">
        <v>14913</v>
      </c>
      <c r="E3667" s="2" t="s">
        <v>14914</v>
      </c>
      <c r="F3667" s="2">
        <v>76.0</v>
      </c>
      <c r="G3667" s="2">
        <v>144.0</v>
      </c>
      <c r="H3667" s="2" t="b">
        <v>1</v>
      </c>
      <c r="I3667" s="2">
        <v>-1.0</v>
      </c>
      <c r="J3667" s="2" t="b">
        <v>0</v>
      </c>
      <c r="K3667" s="2" t="b">
        <v>0</v>
      </c>
      <c r="L3667" s="2" t="b">
        <v>0</v>
      </c>
      <c r="M3667" s="2" t="b">
        <v>0</v>
      </c>
      <c r="N3667" s="2" t="s">
        <v>33</v>
      </c>
      <c r="O3667" s="2">
        <v>44.0</v>
      </c>
      <c r="P3667" s="2">
        <v>9.0</v>
      </c>
      <c r="Q3667" s="2">
        <v>10.0</v>
      </c>
      <c r="R3667" s="2">
        <v>0.0</v>
      </c>
      <c r="S3667" s="3" t="s">
        <v>14915</v>
      </c>
      <c r="T3667" s="2" t="s">
        <v>14916</v>
      </c>
      <c r="Y3667" s="4" t="str">
        <f>IFERROR(__xludf.DUMMYFUNCTION("""COMPUTED_VALUE"""),"6.6401727")</f>
        <v>6.6401727</v>
      </c>
      <c r="Z3667" s="4" t="str">
        <f>IFERROR(__xludf.DUMMYFUNCTION("""COMPUTED_VALUE"""),"2.7530936")</f>
        <v>2.7530936</v>
      </c>
      <c r="AA3667" s="4" t="str">
        <f t="shared" si="1"/>
        <v>Neighbor</v>
      </c>
      <c r="AC3667" s="4">
        <f>IFERROR(__xludf.DUMMYFUNCTION("IFERROR(ABS(O3667-AVERAGE(FILTER(O3667:O7735,AA3667:AA7735=""Neighbor""))) / STDEV(FILTER(O3667:O7735, AA3667:AA7735 =""Neighbor"")), """")"),0.1997722887503529)</f>
        <v>0.1997722888</v>
      </c>
      <c r="AF3667" s="2">
        <f>IFERROR(__xludf.DUMMYFUNCTION("IFERROR(ABS(R3667-AVERAGE(FILTER(R3667:R7735,AA3667:AA7735=""Neighbor""))) / STDEV(FILTER(R3667:R7735, AA3667:AA7735 =""Neighbor"")), """")"),0.42088461853277753)</f>
        <v>0.4208846185</v>
      </c>
    </row>
    <row r="3668">
      <c r="A3668" s="2" t="s">
        <v>28</v>
      </c>
      <c r="B3668" s="2" t="s">
        <v>7366</v>
      </c>
      <c r="C3668" s="2" t="s">
        <v>7805</v>
      </c>
      <c r="D3668" s="2" t="s">
        <v>14917</v>
      </c>
      <c r="E3668" s="2" t="s">
        <v>14918</v>
      </c>
      <c r="F3668" s="2">
        <v>81.0</v>
      </c>
      <c r="G3668" s="2">
        <v>167.0</v>
      </c>
      <c r="H3668" s="2" t="b">
        <v>1</v>
      </c>
      <c r="I3668" s="2">
        <v>-1.0</v>
      </c>
      <c r="J3668" s="2" t="b">
        <v>0</v>
      </c>
      <c r="K3668" s="2" t="b">
        <v>0</v>
      </c>
      <c r="L3668" s="2" t="b">
        <v>0</v>
      </c>
      <c r="M3668" s="2" t="b">
        <v>0</v>
      </c>
      <c r="N3668" s="2" t="s">
        <v>33</v>
      </c>
      <c r="O3668" s="2">
        <v>25.0</v>
      </c>
      <c r="P3668" s="2">
        <v>1.0</v>
      </c>
      <c r="Q3668" s="2">
        <v>24.0</v>
      </c>
      <c r="R3668" s="2">
        <v>0.0</v>
      </c>
      <c r="S3668" s="3" t="s">
        <v>14919</v>
      </c>
      <c r="T3668" s="2" t="s">
        <v>14920</v>
      </c>
      <c r="Y3668" s="4" t="str">
        <f>IFERROR(__xludf.DUMMYFUNCTION("""COMPUTED_VALUE"""),"6.6401727")</f>
        <v>6.6401727</v>
      </c>
      <c r="Z3668" s="4" t="str">
        <f>IFERROR(__xludf.DUMMYFUNCTION("""COMPUTED_VALUE"""),"2.7530936")</f>
        <v>2.7530936</v>
      </c>
      <c r="AA3668" s="4" t="str">
        <f t="shared" si="1"/>
        <v>Not Neighbor</v>
      </c>
      <c r="AC3668" s="4">
        <f>IFERROR(__xludf.DUMMYFUNCTION("IFERROR(ABS(O3668-AVERAGE(FILTER(O3668:O7736,AA3668:AA7736=""Neighbor""))) / STDEV(FILTER(O3668:O7736, AA3668:AA7736 =""Neighbor"")), """")"),0.5206461708114603)</f>
        <v>0.5206461708</v>
      </c>
      <c r="AF3668" s="2">
        <f>IFERROR(__xludf.DUMMYFUNCTION("IFERROR(ABS(R3668-AVERAGE(FILTER(R3668:R7736,AA3668:AA7736=""Neighbor""))) / STDEV(FILTER(R3668:R7736, AA3668:AA7736 =""Neighbor"")), """")"),0.4225380463946361)</f>
        <v>0.4225380464</v>
      </c>
    </row>
    <row r="3669">
      <c r="A3669" s="2" t="s">
        <v>28</v>
      </c>
      <c r="B3669" s="2" t="s">
        <v>7366</v>
      </c>
      <c r="C3669" s="2" t="s">
        <v>7805</v>
      </c>
      <c r="D3669" s="2" t="s">
        <v>14921</v>
      </c>
      <c r="E3669" s="2" t="s">
        <v>14922</v>
      </c>
      <c r="F3669" s="2">
        <v>94.0</v>
      </c>
      <c r="G3669" s="2">
        <v>142.0</v>
      </c>
      <c r="H3669" s="2" t="b">
        <v>1</v>
      </c>
      <c r="I3669" s="2">
        <v>-1.0</v>
      </c>
      <c r="J3669" s="2" t="b">
        <v>0</v>
      </c>
      <c r="K3669" s="2" t="b">
        <v>0</v>
      </c>
      <c r="L3669" s="2" t="b">
        <v>0</v>
      </c>
      <c r="M3669" s="2" t="b">
        <v>0</v>
      </c>
      <c r="N3669" s="2" t="s">
        <v>33</v>
      </c>
      <c r="O3669" s="2">
        <v>52.0</v>
      </c>
      <c r="P3669" s="2">
        <v>8.0</v>
      </c>
      <c r="Q3669" s="2">
        <v>6.0</v>
      </c>
      <c r="R3669" s="2">
        <v>0.0</v>
      </c>
      <c r="S3669" s="3" t="s">
        <v>14923</v>
      </c>
      <c r="T3669" s="2" t="s">
        <v>14924</v>
      </c>
      <c r="Y3669" s="4" t="str">
        <f>IFERROR(__xludf.DUMMYFUNCTION("""COMPUTED_VALUE"""),"6.5343396")</f>
        <v>6.5343396</v>
      </c>
      <c r="Z3669" s="4" t="str">
        <f>IFERROR(__xludf.DUMMYFUNCTION("""COMPUTED_VALUE"""),"2.8415046")</f>
        <v>2.8415046</v>
      </c>
      <c r="AA3669" s="4" t="str">
        <f t="shared" si="1"/>
        <v>Not Neighbor</v>
      </c>
      <c r="AC3669" s="4">
        <f>IFERROR(__xludf.DUMMYFUNCTION("IFERROR(ABS(O3669-AVERAGE(FILTER(O3669:O7737,AA3669:AA7737=""Neighbor""))) / STDEV(FILTER(O3669:O7737, AA3669:AA7737 =""Neighbor"")), """")"),0.5040894188042466)</f>
        <v>0.5040894188</v>
      </c>
      <c r="AF3669" s="2">
        <f>IFERROR(__xludf.DUMMYFUNCTION("IFERROR(ABS(R3669-AVERAGE(FILTER(R3669:R7737,AA3669:AA7737=""Neighbor""))) / STDEV(FILTER(R3669:R7737, AA3669:AA7737 =""Neighbor"")), """")"),0.4225380463946361)</f>
        <v>0.4225380464</v>
      </c>
    </row>
    <row r="3670">
      <c r="A3670" s="2" t="s">
        <v>28</v>
      </c>
      <c r="B3670" s="2" t="s">
        <v>7366</v>
      </c>
      <c r="C3670" s="2" t="s">
        <v>7805</v>
      </c>
      <c r="D3670" s="2" t="s">
        <v>14925</v>
      </c>
      <c r="E3670" s="2" t="s">
        <v>14926</v>
      </c>
      <c r="F3670" s="2">
        <v>169.0</v>
      </c>
      <c r="G3670" s="2">
        <v>750.0</v>
      </c>
      <c r="H3670" s="2" t="b">
        <v>1</v>
      </c>
      <c r="I3670" s="2">
        <v>-1.0</v>
      </c>
      <c r="J3670" s="2" t="b">
        <v>0</v>
      </c>
      <c r="K3670" s="2" t="b">
        <v>0</v>
      </c>
      <c r="L3670" s="2" t="b">
        <v>0</v>
      </c>
      <c r="M3670" s="2" t="b">
        <v>0</v>
      </c>
      <c r="N3670" s="2" t="s">
        <v>33</v>
      </c>
      <c r="O3670" s="2">
        <v>50.0</v>
      </c>
      <c r="P3670" s="2">
        <v>83.0</v>
      </c>
      <c r="Q3670" s="2">
        <v>5.0</v>
      </c>
      <c r="R3670" s="2">
        <v>3.0</v>
      </c>
      <c r="S3670" s="3" t="s">
        <v>14927</v>
      </c>
      <c r="T3670" s="2" t="s">
        <v>14928</v>
      </c>
      <c r="Y3670" s="4" t="str">
        <f>IFERROR(__xludf.DUMMYFUNCTION("""COMPUTED_VALUE"""),"6.6401727")</f>
        <v>6.6401727</v>
      </c>
      <c r="Z3670" s="4" t="str">
        <f>IFERROR(__xludf.DUMMYFUNCTION("""COMPUTED_VALUE"""),"2.7530936")</f>
        <v>2.7530936</v>
      </c>
      <c r="AA3670" s="4" t="str">
        <f t="shared" si="1"/>
        <v>Neighbor</v>
      </c>
      <c r="AC3670" s="4">
        <f>IFERROR(__xludf.DUMMYFUNCTION("IFERROR(ABS(O3670-AVERAGE(FILTER(O3670:O7738,AA3670:AA7738=""Neighbor""))) / STDEV(FILTER(O3670:O7738, AA3670:AA7738 =""Neighbor"")), """")"),0.42818307883271284)</f>
        <v>0.4281830788</v>
      </c>
      <c r="AF3670" s="2">
        <f>IFERROR(__xludf.DUMMYFUNCTION("IFERROR(ABS(R3670-AVERAGE(FILTER(R3670:R7738,AA3670:AA7738=""Neighbor""))) / STDEV(FILTER(R3670:R7738, AA3670:AA7738 =""Neighbor"")), """")"),4.420398023820809)</f>
        <v>4.420398024</v>
      </c>
    </row>
    <row r="3671">
      <c r="A3671" s="2" t="s">
        <v>28</v>
      </c>
      <c r="B3671" s="2" t="s">
        <v>7366</v>
      </c>
      <c r="C3671" s="2" t="s">
        <v>7805</v>
      </c>
      <c r="D3671" s="2" t="s">
        <v>14929</v>
      </c>
      <c r="E3671" s="2" t="s">
        <v>14930</v>
      </c>
      <c r="F3671" s="2">
        <v>43.0</v>
      </c>
      <c r="G3671" s="2">
        <v>213.0</v>
      </c>
      <c r="H3671" s="2" t="b">
        <v>1</v>
      </c>
      <c r="I3671" s="2">
        <v>-1.0</v>
      </c>
      <c r="J3671" s="2" t="b">
        <v>0</v>
      </c>
      <c r="K3671" s="2" t="b">
        <v>0</v>
      </c>
      <c r="L3671" s="2" t="b">
        <v>0</v>
      </c>
      <c r="M3671" s="2" t="b">
        <v>0</v>
      </c>
      <c r="N3671" s="2" t="s">
        <v>33</v>
      </c>
      <c r="O3671" s="2">
        <v>26.0</v>
      </c>
      <c r="P3671" s="2">
        <v>6.0</v>
      </c>
      <c r="Q3671" s="2">
        <v>6.0</v>
      </c>
      <c r="R3671" s="2">
        <v>0.0</v>
      </c>
      <c r="S3671" s="3" t="s">
        <v>14931</v>
      </c>
      <c r="T3671" s="2" t="s">
        <v>14932</v>
      </c>
      <c r="Y3671" s="4" t="str">
        <f>IFERROR(__xludf.DUMMYFUNCTION("""COMPUTED_VALUE"""),"6.6401727")</f>
        <v>6.6401727</v>
      </c>
      <c r="Z3671" s="4" t="str">
        <f>IFERROR(__xludf.DUMMYFUNCTION("""COMPUTED_VALUE"""),"2.7530936")</f>
        <v>2.7530936</v>
      </c>
      <c r="AA3671" s="4" t="str">
        <f t="shared" si="1"/>
        <v>Not Neighbor</v>
      </c>
      <c r="AC3671" s="4">
        <f>IFERROR(__xludf.DUMMYFUNCTION("IFERROR(ABS(O3671-AVERAGE(FILTER(O3671:O7739,AA3671:AA7739=""Neighbor""))) / STDEV(FILTER(O3671:O7739, AA3671:AA7739 =""Neighbor"")), """")"),0.47847463909975146)</f>
        <v>0.4784746391</v>
      </c>
      <c r="AF3671" s="2">
        <f>IFERROR(__xludf.DUMMYFUNCTION("IFERROR(ABS(R3671-AVERAGE(FILTER(R3671:R7739,AA3671:AA7739=""Neighbor""))) / STDEV(FILTER(R3671:R7739, AA3671:AA7739 =""Neighbor"")), """")"),0.4202678114915021)</f>
        <v>0.4202678115</v>
      </c>
    </row>
    <row r="3672">
      <c r="A3672" s="2" t="s">
        <v>28</v>
      </c>
      <c r="B3672" s="2" t="s">
        <v>7366</v>
      </c>
      <c r="C3672" s="2" t="s">
        <v>7805</v>
      </c>
      <c r="D3672" s="2" t="s">
        <v>14933</v>
      </c>
      <c r="E3672" s="2" t="s">
        <v>14934</v>
      </c>
      <c r="F3672" s="2">
        <v>144.0</v>
      </c>
      <c r="G3672" s="2">
        <v>750.0</v>
      </c>
      <c r="H3672" s="2" t="b">
        <v>1</v>
      </c>
      <c r="I3672" s="2">
        <v>-1.0</v>
      </c>
      <c r="J3672" s="2" t="b">
        <v>0</v>
      </c>
      <c r="K3672" s="2" t="b">
        <v>0</v>
      </c>
      <c r="L3672" s="2" t="b">
        <v>0</v>
      </c>
      <c r="M3672" s="2" t="b">
        <v>0</v>
      </c>
      <c r="N3672" s="2" t="s">
        <v>33</v>
      </c>
      <c r="O3672" s="2">
        <v>71.0</v>
      </c>
      <c r="P3672" s="2">
        <v>32.0</v>
      </c>
      <c r="Q3672" s="2">
        <v>27.0</v>
      </c>
      <c r="R3672" s="2">
        <v>1.0</v>
      </c>
      <c r="S3672" s="3" t="s">
        <v>14935</v>
      </c>
      <c r="T3672" s="2" t="s">
        <v>14936</v>
      </c>
      <c r="Y3672" s="4" t="str">
        <f>IFERROR(__xludf.DUMMYFUNCTION("""COMPUTED_VALUE"""),"6.5343396")</f>
        <v>6.5343396</v>
      </c>
      <c r="Z3672" s="4" t="str">
        <f>IFERROR(__xludf.DUMMYFUNCTION("""COMPUTED_VALUE"""),"2.8415046")</f>
        <v>2.8415046</v>
      </c>
      <c r="AA3672" s="4" t="str">
        <f t="shared" si="1"/>
        <v>Neighbor</v>
      </c>
      <c r="AC3672" s="4">
        <f>IFERROR(__xludf.DUMMYFUNCTION("IFERROR(ABS(O3672-AVERAGE(FILTER(O3672:O7740,AA3672:AA7740=""Neighbor""))) / STDEV(FILTER(O3672:O7740, AA3672:AA7740 =""Neighbor"")), """")"),1.2247007197481075)</f>
        <v>1.22470072</v>
      </c>
      <c r="AF3672" s="2">
        <f>IFERROR(__xludf.DUMMYFUNCTION("IFERROR(ABS(R3672-AVERAGE(FILTER(R3672:R7740,AA3672:AA7740=""Neighbor""))) / STDEV(FILTER(R3672:R7740, AA3672:AA7740 =""Neighbor"")), """")"),1.3074998579735622)</f>
        <v>1.307499858</v>
      </c>
    </row>
    <row r="3673">
      <c r="A3673" s="2" t="s">
        <v>28</v>
      </c>
      <c r="B3673" s="2" t="s">
        <v>7366</v>
      </c>
      <c r="C3673" s="2" t="s">
        <v>7805</v>
      </c>
      <c r="D3673" s="2" t="s">
        <v>14937</v>
      </c>
      <c r="E3673" s="2" t="s">
        <v>14938</v>
      </c>
      <c r="F3673" s="2">
        <v>52.0</v>
      </c>
      <c r="G3673" s="2">
        <v>87.0</v>
      </c>
      <c r="H3673" s="2" t="b">
        <v>1</v>
      </c>
      <c r="I3673" s="2">
        <v>-1.0</v>
      </c>
      <c r="J3673" s="2" t="b">
        <v>0</v>
      </c>
      <c r="K3673" s="2" t="b">
        <v>0</v>
      </c>
      <c r="L3673" s="2" t="b">
        <v>0</v>
      </c>
      <c r="M3673" s="2" t="b">
        <v>0</v>
      </c>
      <c r="N3673" s="2" t="s">
        <v>33</v>
      </c>
      <c r="O3673" s="2">
        <v>28.0</v>
      </c>
      <c r="P3673" s="2">
        <v>11.0</v>
      </c>
      <c r="Q3673" s="2">
        <v>7.0</v>
      </c>
      <c r="R3673" s="2">
        <v>0.0</v>
      </c>
      <c r="S3673" s="3" t="s">
        <v>14939</v>
      </c>
      <c r="T3673" s="2" t="s">
        <v>14940</v>
      </c>
      <c r="Y3673" s="4" t="str">
        <f>IFERROR(__xludf.DUMMYFUNCTION("""COMPUTED_VALUE"""),"6.5343396")</f>
        <v>6.5343396</v>
      </c>
      <c r="Z3673" s="4" t="str">
        <f>IFERROR(__xludf.DUMMYFUNCTION("""COMPUTED_VALUE"""),"2.8415046")</f>
        <v>2.8415046</v>
      </c>
      <c r="AA3673" s="4" t="str">
        <f t="shared" si="1"/>
        <v>Not Neighbor</v>
      </c>
      <c r="AC3673" s="4">
        <f>IFERROR(__xludf.DUMMYFUNCTION("IFERROR(ABS(O3673-AVERAGE(FILTER(O3673:O7741,AA3673:AA7741=""Neighbor""))) / STDEV(FILTER(O3673:O7741, AA3673:AA7741 =""Neighbor"")), """")"),0.3951375293299055)</f>
        <v>0.3951375293</v>
      </c>
      <c r="AF3673" s="2">
        <f>IFERROR(__xludf.DUMMYFUNCTION("IFERROR(ABS(R3673-AVERAGE(FILTER(R3673:R7741,AA3673:AA7741=""Neighbor""))) / STDEV(FILTER(R3673:R7741, AA3673:AA7741 =""Neighbor"")), """")"),0.4123930494211613)</f>
        <v>0.4123930494</v>
      </c>
    </row>
    <row r="3674">
      <c r="A3674" s="2" t="s">
        <v>28</v>
      </c>
      <c r="B3674" s="2" t="s">
        <v>7366</v>
      </c>
      <c r="C3674" s="2" t="s">
        <v>7805</v>
      </c>
      <c r="D3674" s="2" t="s">
        <v>14941</v>
      </c>
      <c r="E3674" s="2" t="s">
        <v>14942</v>
      </c>
      <c r="F3674" s="2">
        <v>49.0</v>
      </c>
      <c r="G3674" s="2">
        <v>103.0</v>
      </c>
      <c r="H3674" s="2" t="b">
        <v>1</v>
      </c>
      <c r="I3674" s="2">
        <v>-1.0</v>
      </c>
      <c r="J3674" s="2" t="b">
        <v>0</v>
      </c>
      <c r="K3674" s="2" t="b">
        <v>0</v>
      </c>
      <c r="L3674" s="2" t="b">
        <v>0</v>
      </c>
      <c r="M3674" s="2" t="b">
        <v>0</v>
      </c>
      <c r="N3674" s="2" t="s">
        <v>33</v>
      </c>
      <c r="O3674" s="2">
        <v>9.0</v>
      </c>
      <c r="P3674" s="2">
        <v>12.0</v>
      </c>
      <c r="Q3674" s="2">
        <v>13.0</v>
      </c>
      <c r="R3674" s="2">
        <v>5.0</v>
      </c>
      <c r="S3674" s="3" t="s">
        <v>14943</v>
      </c>
      <c r="T3674" s="2" t="s">
        <v>14944</v>
      </c>
      <c r="Y3674" s="4" t="str">
        <f>IFERROR(__xludf.DUMMYFUNCTION("""COMPUTED_VALUE"""),"6.6567439")</f>
        <v>6.6567439</v>
      </c>
      <c r="Z3674" s="4" t="str">
        <f>IFERROR(__xludf.DUMMYFUNCTION("""COMPUTED_VALUE"""),"2.7527468")</f>
        <v>2.7527468</v>
      </c>
      <c r="AA3674" s="4" t="str">
        <f t="shared" si="1"/>
        <v>Not Neighbor</v>
      </c>
      <c r="AC3674" s="4">
        <f>IFERROR(__xludf.DUMMYFUNCTION("IFERROR(ABS(O3674-AVERAGE(FILTER(O3674:O7742,AA3674:AA7742=""Neighbor""))) / STDEV(FILTER(O3674:O7742, AA3674:AA7742 =""Neighbor"")), """")"),1.1155155446160845)</f>
        <v>1.115515545</v>
      </c>
      <c r="AF3674" s="2">
        <f>IFERROR(__xludf.DUMMYFUNCTION("IFERROR(ABS(R3674-AVERAGE(FILTER(R3674:R7742,AA3674:AA7742=""Neighbor""))) / STDEV(FILTER(R3674:R7742, AA3674:AA7742 =""Neighbor"")), """")"),8.247860988423225)</f>
        <v>8.247860988</v>
      </c>
    </row>
    <row r="3675">
      <c r="A3675" s="2" t="s">
        <v>28</v>
      </c>
      <c r="B3675" s="2" t="s">
        <v>7366</v>
      </c>
      <c r="C3675" s="2" t="s">
        <v>7805</v>
      </c>
      <c r="D3675" s="2" t="s">
        <v>14945</v>
      </c>
      <c r="E3675" s="2" t="s">
        <v>14946</v>
      </c>
      <c r="F3675" s="2">
        <v>84.0</v>
      </c>
      <c r="G3675" s="2">
        <v>183.0</v>
      </c>
      <c r="H3675" s="2" t="b">
        <v>1</v>
      </c>
      <c r="I3675" s="2">
        <v>-1.0</v>
      </c>
      <c r="J3675" s="2" t="b">
        <v>0</v>
      </c>
      <c r="K3675" s="2" t="b">
        <v>0</v>
      </c>
      <c r="L3675" s="2" t="b">
        <v>0</v>
      </c>
      <c r="M3675" s="2" t="b">
        <v>0</v>
      </c>
      <c r="N3675" s="2" t="s">
        <v>33</v>
      </c>
      <c r="O3675" s="2">
        <v>36.0</v>
      </c>
      <c r="P3675" s="2">
        <v>12.0</v>
      </c>
      <c r="Q3675" s="2">
        <v>27.0</v>
      </c>
      <c r="R3675" s="2">
        <v>0.0</v>
      </c>
      <c r="S3675" s="3" t="s">
        <v>14947</v>
      </c>
      <c r="T3675" s="2" t="s">
        <v>14948</v>
      </c>
      <c r="Y3675" s="4" t="str">
        <f>IFERROR(__xludf.DUMMYFUNCTION("""COMPUTED_VALUE"""),"6.6401727")</f>
        <v>6.6401727</v>
      </c>
      <c r="Z3675" s="4" t="str">
        <f>IFERROR(__xludf.DUMMYFUNCTION("""COMPUTED_VALUE"""),"2.7530936")</f>
        <v>2.7530936</v>
      </c>
      <c r="AA3675" s="4" t="str">
        <f t="shared" si="1"/>
        <v>Neighbor</v>
      </c>
      <c r="AC3675" s="4">
        <f>IFERROR(__xludf.DUMMYFUNCTION("IFERROR(ABS(O3675-AVERAGE(FILTER(O3675:O7743,AA3675:AA7743=""Neighbor""))) / STDEV(FILTER(O3675:O7743, AA3675:AA7743 =""Neighbor"")), """")"),0.09182047026204058)</f>
        <v>0.09182047026</v>
      </c>
      <c r="AF3675" s="2">
        <f>IFERROR(__xludf.DUMMYFUNCTION("IFERROR(ABS(R3675-AVERAGE(FILTER(R3675:R7743,AA3675:AA7743=""Neighbor""))) / STDEV(FILTER(R3675:R7743, AA3675:AA7743 =""Neighbor"")), """")"),0.4123930494211613)</f>
        <v>0.4123930494</v>
      </c>
    </row>
    <row r="3676">
      <c r="A3676" s="2" t="s">
        <v>28</v>
      </c>
      <c r="B3676" s="2" t="s">
        <v>7366</v>
      </c>
      <c r="C3676" s="2" t="s">
        <v>7805</v>
      </c>
      <c r="D3676" s="2" t="s">
        <v>14949</v>
      </c>
      <c r="E3676" s="2" t="s">
        <v>14950</v>
      </c>
      <c r="F3676" s="2">
        <v>147.0</v>
      </c>
      <c r="G3676" s="2">
        <v>269.0</v>
      </c>
      <c r="H3676" s="2" t="b">
        <v>1</v>
      </c>
      <c r="I3676" s="2">
        <v>-1.0</v>
      </c>
      <c r="J3676" s="2" t="b">
        <v>0</v>
      </c>
      <c r="K3676" s="2" t="b">
        <v>0</v>
      </c>
      <c r="L3676" s="2" t="b">
        <v>0</v>
      </c>
      <c r="M3676" s="2" t="b">
        <v>0</v>
      </c>
      <c r="N3676" s="2" t="s">
        <v>33</v>
      </c>
      <c r="O3676" s="2">
        <v>23.0</v>
      </c>
      <c r="P3676" s="2">
        <v>1.0</v>
      </c>
      <c r="Q3676" s="2">
        <v>19.0</v>
      </c>
      <c r="R3676" s="2">
        <v>0.0</v>
      </c>
      <c r="S3676" s="3" t="s">
        <v>14951</v>
      </c>
      <c r="T3676" s="2" t="s">
        <v>14952</v>
      </c>
      <c r="Y3676" s="4" t="str">
        <f>IFERROR(__xludf.DUMMYFUNCTION("""COMPUTED_VALUE"""),"6.6401727")</f>
        <v>6.6401727</v>
      </c>
      <c r="Z3676" s="4" t="str">
        <f>IFERROR(__xludf.DUMMYFUNCTION("""COMPUTED_VALUE"""),"2.7530936")</f>
        <v>2.7530936</v>
      </c>
      <c r="AA3676" s="4" t="str">
        <f t="shared" si="1"/>
        <v>Neighbor</v>
      </c>
      <c r="AC3676" s="4">
        <f>IFERROR(__xludf.DUMMYFUNCTION("IFERROR(ABS(O3676-AVERAGE(FILTER(O3676:O7744,AA3676:AA7744=""Neighbor""))) / STDEV(FILTER(O3676:O7744, AA3676:AA7744 =""Neighbor"")), """")"),0.5833485253907591)</f>
        <v>0.5833485254</v>
      </c>
      <c r="AF3676" s="2">
        <f>IFERROR(__xludf.DUMMYFUNCTION("IFERROR(ABS(R3676-AVERAGE(FILTER(R3676:R7744,AA3676:AA7744=""Neighbor""))) / STDEV(FILTER(R3676:R7744, AA3676:AA7744 =""Neighbor"")), """")"),0.4140361055786237)</f>
        <v>0.4140361056</v>
      </c>
    </row>
    <row r="3677">
      <c r="A3677" s="2" t="s">
        <v>28</v>
      </c>
      <c r="B3677" s="2" t="s">
        <v>7366</v>
      </c>
      <c r="C3677" s="2" t="s">
        <v>7805</v>
      </c>
      <c r="D3677" s="2" t="s">
        <v>14953</v>
      </c>
      <c r="E3677" s="2" t="s">
        <v>14954</v>
      </c>
      <c r="F3677" s="2">
        <v>198.0</v>
      </c>
      <c r="G3677" s="2">
        <v>750.0</v>
      </c>
      <c r="H3677" s="2" t="b">
        <v>1</v>
      </c>
      <c r="I3677" s="2">
        <v>-1.0</v>
      </c>
      <c r="J3677" s="2" t="b">
        <v>0</v>
      </c>
      <c r="K3677" s="2" t="b">
        <v>0</v>
      </c>
      <c r="L3677" s="2" t="b">
        <v>0</v>
      </c>
      <c r="M3677" s="2" t="b">
        <v>0</v>
      </c>
      <c r="N3677" s="2" t="s">
        <v>33</v>
      </c>
      <c r="O3677" s="2">
        <v>130.0</v>
      </c>
      <c r="P3677" s="2">
        <v>25.0</v>
      </c>
      <c r="Q3677" s="2">
        <v>33.0</v>
      </c>
      <c r="R3677" s="2">
        <v>0.0</v>
      </c>
      <c r="S3677" s="3" t="s">
        <v>14955</v>
      </c>
      <c r="T3677" s="2" t="s">
        <v>14956</v>
      </c>
      <c r="Y3677" s="4" t="str">
        <f>IFERROR(__xludf.DUMMYFUNCTION("""COMPUTED_VALUE"""),"6.6348824")</f>
        <v>6.6348824</v>
      </c>
      <c r="Z3677" s="4" t="str">
        <f>IFERROR(__xludf.DUMMYFUNCTION("""COMPUTED_VALUE"""),"2.7477948")</f>
        <v>2.7477948</v>
      </c>
      <c r="AA3677" s="4" t="str">
        <f t="shared" si="1"/>
        <v>Not Neighbor</v>
      </c>
      <c r="AC3677" s="4">
        <f>IFERROR(__xludf.DUMMYFUNCTION("IFERROR(ABS(O3677-AVERAGE(FILTER(O3677:O7745,AA3677:AA7745=""Neighbor""))) / STDEV(FILTER(O3677:O7745, AA3677:AA7745 =""Neighbor"")), """")"),3.4478336456265213)</f>
        <v>3.447833646</v>
      </c>
      <c r="AF3677" s="2">
        <f>IFERROR(__xludf.DUMMYFUNCTION("IFERROR(ABS(R3677-AVERAGE(FILTER(R3677:R7745,AA3677:AA7745=""Neighbor""))) / STDEV(FILTER(R3677:R7745, AA3677:AA7745 =""Neighbor"")), """")"),0.4156989807940704)</f>
        <v>0.4156989808</v>
      </c>
    </row>
    <row r="3678">
      <c r="A3678" s="2" t="s">
        <v>28</v>
      </c>
      <c r="B3678" s="2" t="s">
        <v>7366</v>
      </c>
      <c r="C3678" s="2" t="s">
        <v>7805</v>
      </c>
      <c r="D3678" s="2" t="s">
        <v>14957</v>
      </c>
      <c r="E3678" s="2" t="s">
        <v>14958</v>
      </c>
      <c r="F3678" s="2">
        <v>110.0</v>
      </c>
      <c r="G3678" s="2">
        <v>173.0</v>
      </c>
      <c r="H3678" s="2" t="b">
        <v>1</v>
      </c>
      <c r="I3678" s="2">
        <v>-1.0</v>
      </c>
      <c r="J3678" s="2" t="b">
        <v>0</v>
      </c>
      <c r="K3678" s="2" t="b">
        <v>0</v>
      </c>
      <c r="L3678" s="2" t="b">
        <v>0</v>
      </c>
      <c r="M3678" s="2" t="b">
        <v>0</v>
      </c>
      <c r="N3678" s="2" t="s">
        <v>33</v>
      </c>
      <c r="O3678" s="2">
        <v>37.0</v>
      </c>
      <c r="P3678" s="2">
        <v>19.0</v>
      </c>
      <c r="Q3678" s="2">
        <v>19.0</v>
      </c>
      <c r="R3678" s="2">
        <v>1.0</v>
      </c>
      <c r="S3678" s="3" t="s">
        <v>14959</v>
      </c>
      <c r="T3678" s="2" t="s">
        <v>14960</v>
      </c>
      <c r="Y3678" s="4" t="str">
        <f>IFERROR(__xludf.DUMMYFUNCTION("""COMPUTED_VALUE"""),"6.5343396")</f>
        <v>6.5343396</v>
      </c>
      <c r="Z3678" s="4" t="str">
        <f>IFERROR(__xludf.DUMMYFUNCTION("""COMPUTED_VALUE"""),"2.8415046")</f>
        <v>2.8415046</v>
      </c>
      <c r="AA3678" s="4" t="str">
        <f t="shared" si="1"/>
        <v>Neighbor</v>
      </c>
      <c r="AC3678" s="4">
        <f>IFERROR(__xludf.DUMMYFUNCTION("IFERROR(ABS(O3678-AVERAGE(FILTER(O3678:O7746,AA3678:AA7746=""Neighbor""))) / STDEV(FILTER(O3678:O7746, AA3678:AA7746 =""Neighbor"")), """")"),0.0582395548314865)</f>
        <v>0.05823955483</v>
      </c>
      <c r="AF3678" s="2">
        <f>IFERROR(__xludf.DUMMYFUNCTION("IFERROR(ABS(R3678-AVERAGE(FILTER(R3678:R7746,AA3678:AA7746=""Neighbor""))) / STDEV(FILTER(R3678:R7746, AA3678:AA7746 =""Neighbor"")), """")"),1.3064825110670784)</f>
        <v>1.306482511</v>
      </c>
    </row>
    <row r="3679">
      <c r="A3679" s="2" t="s">
        <v>28</v>
      </c>
      <c r="B3679" s="2" t="s">
        <v>7366</v>
      </c>
      <c r="C3679" s="2" t="s">
        <v>7805</v>
      </c>
      <c r="D3679" s="2" t="s">
        <v>14961</v>
      </c>
      <c r="E3679" s="2" t="s">
        <v>14962</v>
      </c>
      <c r="F3679" s="2">
        <v>126.0</v>
      </c>
      <c r="G3679" s="2">
        <v>182.0</v>
      </c>
      <c r="H3679" s="2" t="b">
        <v>1</v>
      </c>
      <c r="I3679" s="2">
        <v>-1.0</v>
      </c>
      <c r="J3679" s="2" t="b">
        <v>0</v>
      </c>
      <c r="K3679" s="2" t="b">
        <v>0</v>
      </c>
      <c r="L3679" s="2" t="b">
        <v>0</v>
      </c>
      <c r="M3679" s="2" t="b">
        <v>0</v>
      </c>
      <c r="N3679" s="2" t="s">
        <v>33</v>
      </c>
      <c r="O3679" s="2">
        <v>59.0</v>
      </c>
      <c r="P3679" s="2">
        <v>15.0</v>
      </c>
      <c r="Q3679" s="2">
        <v>28.0</v>
      </c>
      <c r="R3679" s="2">
        <v>0.0</v>
      </c>
      <c r="S3679" s="3" t="s">
        <v>14963</v>
      </c>
      <c r="T3679" s="2" t="s">
        <v>14964</v>
      </c>
      <c r="Y3679" s="4" t="str">
        <f>IFERROR(__xludf.DUMMYFUNCTION("""COMPUTED_VALUE"""),"6.5343396")</f>
        <v>6.5343396</v>
      </c>
      <c r="Z3679" s="4" t="str">
        <f>IFERROR(__xludf.DUMMYFUNCTION("""COMPUTED_VALUE"""),"2.8415046")</f>
        <v>2.8415046</v>
      </c>
      <c r="AA3679" s="4" t="str">
        <f t="shared" si="1"/>
        <v>Neighbor</v>
      </c>
      <c r="AC3679" s="4">
        <f>IFERROR(__xludf.DUMMYFUNCTION("IFERROR(ABS(O3679-AVERAGE(FILTER(O3679:O7747,AA3679:AA7747=""Neighbor""))) / STDEV(FILTER(O3679:O7747, AA3679:AA7747 =""Neighbor"")), """")"),0.7680778963309853)</f>
        <v>0.7680778963</v>
      </c>
      <c r="AF3679" s="2">
        <f>IFERROR(__xludf.DUMMYFUNCTION("IFERROR(ABS(R3679-AVERAGE(FILTER(R3679:R7747,AA3679:AA7747=""Neighbor""))) / STDEV(FILTER(R3679:R7747, AA3679:AA7747 =""Neighbor"")), """")"),0.4076519510983032)</f>
        <v>0.4076519511</v>
      </c>
    </row>
    <row r="3680">
      <c r="A3680" s="2" t="s">
        <v>28</v>
      </c>
      <c r="B3680" s="2" t="s">
        <v>7366</v>
      </c>
      <c r="C3680" s="2" t="s">
        <v>7805</v>
      </c>
      <c r="D3680" s="2" t="s">
        <v>14965</v>
      </c>
      <c r="E3680" s="2" t="s">
        <v>14966</v>
      </c>
      <c r="F3680" s="2">
        <v>38.0</v>
      </c>
      <c r="G3680" s="2">
        <v>73.0</v>
      </c>
      <c r="H3680" s="2" t="b">
        <v>1</v>
      </c>
      <c r="I3680" s="2">
        <v>-1.0</v>
      </c>
      <c r="J3680" s="2" t="b">
        <v>0</v>
      </c>
      <c r="K3680" s="2" t="b">
        <v>0</v>
      </c>
      <c r="L3680" s="2" t="b">
        <v>0</v>
      </c>
      <c r="M3680" s="2" t="b">
        <v>0</v>
      </c>
      <c r="N3680" s="2" t="s">
        <v>33</v>
      </c>
      <c r="O3680" s="2">
        <v>21.0</v>
      </c>
      <c r="P3680" s="2">
        <v>4.0</v>
      </c>
      <c r="Q3680" s="2">
        <v>7.0</v>
      </c>
      <c r="R3680" s="2">
        <v>0.0</v>
      </c>
      <c r="S3680" s="3" t="s">
        <v>14967</v>
      </c>
      <c r="T3680" s="2" t="s">
        <v>14968</v>
      </c>
      <c r="Y3680" s="4" t="str">
        <f>IFERROR(__xludf.DUMMYFUNCTION("""COMPUTED_VALUE"""),"6.5343396")</f>
        <v>6.5343396</v>
      </c>
      <c r="Z3680" s="4" t="str">
        <f>IFERROR(__xludf.DUMMYFUNCTION("""COMPUTED_VALUE"""),"2.8415046")</f>
        <v>2.8415046</v>
      </c>
      <c r="AA3680" s="4" t="str">
        <f t="shared" si="1"/>
        <v>Neighbor</v>
      </c>
      <c r="AC3680" s="4">
        <f>IFERROR(__xludf.DUMMYFUNCTION("IFERROR(ABS(O3680-AVERAGE(FILTER(O3680:O7748,AA3680:AA7748=""Neighbor""))) / STDEV(FILTER(O3680:O7748, AA3680:AA7748 =""Neighbor"")), """")"),0.6532409428316277)</f>
        <v>0.6532409428</v>
      </c>
      <c r="AF3680" s="2">
        <f>IFERROR(__xludf.DUMMYFUNCTION("IFERROR(ABS(R3680-AVERAGE(FILTER(R3680:R7748,AA3680:AA7748=""Neighbor""))) / STDEV(FILTER(R3680:R7748, AA3680:AA7748 =""Neighbor"")), """")"),0.4093043811905454)</f>
        <v>0.4093043812</v>
      </c>
    </row>
    <row r="3681">
      <c r="A3681" s="2" t="s">
        <v>28</v>
      </c>
      <c r="B3681" s="2" t="s">
        <v>7366</v>
      </c>
      <c r="C3681" s="2" t="s">
        <v>7805</v>
      </c>
      <c r="D3681" s="2" t="s">
        <v>14969</v>
      </c>
      <c r="E3681" s="2" t="s">
        <v>14970</v>
      </c>
      <c r="F3681" s="2">
        <v>128.0</v>
      </c>
      <c r="G3681" s="2">
        <v>579.0</v>
      </c>
      <c r="H3681" s="2" t="b">
        <v>1</v>
      </c>
      <c r="I3681" s="2">
        <v>-1.0</v>
      </c>
      <c r="J3681" s="2" t="b">
        <v>0</v>
      </c>
      <c r="K3681" s="2" t="b">
        <v>0</v>
      </c>
      <c r="L3681" s="2" t="b">
        <v>0</v>
      </c>
      <c r="M3681" s="2" t="b">
        <v>0</v>
      </c>
      <c r="N3681" s="2" t="s">
        <v>33</v>
      </c>
      <c r="O3681" s="2">
        <v>62.0</v>
      </c>
      <c r="P3681" s="2">
        <v>20.0</v>
      </c>
      <c r="Q3681" s="2">
        <v>28.0</v>
      </c>
      <c r="R3681" s="2">
        <v>0.0</v>
      </c>
      <c r="S3681" s="3" t="s">
        <v>14971</v>
      </c>
      <c r="T3681" s="2" t="s">
        <v>14972</v>
      </c>
      <c r="Y3681" s="4" t="str">
        <f>IFERROR(__xludf.DUMMYFUNCTION("""COMPUTED_VALUE"""),"6.5343396")</f>
        <v>6.5343396</v>
      </c>
      <c r="Z3681" s="4" t="str">
        <f>IFERROR(__xludf.DUMMYFUNCTION("""COMPUTED_VALUE"""),"2.8415046")</f>
        <v>2.8415046</v>
      </c>
      <c r="AA3681" s="4" t="str">
        <f t="shared" si="1"/>
        <v>Neighbor</v>
      </c>
      <c r="AC3681" s="4">
        <f>IFERROR(__xludf.DUMMYFUNCTION("IFERROR(ABS(O3681-AVERAGE(FILTER(O3681:O7749,AA3681:AA7749=""Neighbor""))) / STDEV(FILTER(O3681:O7749, AA3681:AA7749 =""Neighbor"")), """")"),0.8785171824259352)</f>
        <v>0.8785171824</v>
      </c>
      <c r="AF3681" s="2">
        <f>IFERROR(__xludf.DUMMYFUNCTION("IFERROR(ABS(R3681-AVERAGE(FILTER(R3681:R7749,AA3681:AA7749=""Neighbor""))) / STDEV(FILTER(R3681:R7749, AA3681:AA7749 =""Neighbor"")), """")"),0.41097709318125525)</f>
        <v>0.4109770932</v>
      </c>
    </row>
    <row r="3682">
      <c r="A3682" s="2" t="s">
        <v>28</v>
      </c>
      <c r="B3682" s="2" t="s">
        <v>7366</v>
      </c>
      <c r="C3682" s="2" t="s">
        <v>7805</v>
      </c>
      <c r="D3682" s="2" t="s">
        <v>14973</v>
      </c>
      <c r="E3682" s="2" t="s">
        <v>14974</v>
      </c>
      <c r="F3682" s="2">
        <v>124.0</v>
      </c>
      <c r="G3682" s="2">
        <v>477.0</v>
      </c>
      <c r="H3682" s="2" t="b">
        <v>1</v>
      </c>
      <c r="I3682" s="2">
        <v>-1.0</v>
      </c>
      <c r="J3682" s="2" t="b">
        <v>0</v>
      </c>
      <c r="K3682" s="2" t="b">
        <v>0</v>
      </c>
      <c r="L3682" s="2" t="b">
        <v>0</v>
      </c>
      <c r="M3682" s="2" t="b">
        <v>0</v>
      </c>
      <c r="N3682" s="2" t="s">
        <v>33</v>
      </c>
      <c r="O3682" s="2">
        <v>76.0</v>
      </c>
      <c r="P3682" s="2">
        <v>9.0</v>
      </c>
      <c r="Q3682" s="2">
        <v>19.0</v>
      </c>
      <c r="R3682" s="2">
        <v>0.0</v>
      </c>
      <c r="S3682" s="3" t="s">
        <v>14975</v>
      </c>
      <c r="T3682" s="2" t="s">
        <v>14976</v>
      </c>
      <c r="Y3682" s="4" t="str">
        <f>IFERROR(__xludf.DUMMYFUNCTION("""COMPUTED_VALUE"""),"6.5343396")</f>
        <v>6.5343396</v>
      </c>
      <c r="Z3682" s="4" t="str">
        <f>IFERROR(__xludf.DUMMYFUNCTION("""COMPUTED_VALUE"""),"2.8415046")</f>
        <v>2.8415046</v>
      </c>
      <c r="AA3682" s="4" t="str">
        <f t="shared" si="1"/>
        <v>Not Neighbor</v>
      </c>
      <c r="AC3682" s="4">
        <f>IFERROR(__xludf.DUMMYFUNCTION("IFERROR(ABS(O3682-AVERAGE(FILTER(O3682:O7750,AA3682:AA7750=""Neighbor""))) / STDEV(FILTER(O3682:O7750, AA3682:AA7750 =""Neighbor"")), """")"),1.4077856937000084)</f>
        <v>1.407785694</v>
      </c>
      <c r="AF3682" s="2">
        <f>IFERROR(__xludf.DUMMYFUNCTION("IFERROR(ABS(R3682-AVERAGE(FILTER(R3682:R7750,AA3682:AA7750=""Neighbor""))) / STDEV(FILTER(R3682:R7750, AA3682:AA7750 =""Neighbor"")), """")"),0.4126705057985621)</f>
        <v>0.4126705058</v>
      </c>
    </row>
    <row r="3683">
      <c r="A3683" s="2" t="s">
        <v>28</v>
      </c>
      <c r="B3683" s="2" t="s">
        <v>7366</v>
      </c>
      <c r="C3683" s="2" t="s">
        <v>7805</v>
      </c>
      <c r="D3683" s="2" t="s">
        <v>14977</v>
      </c>
      <c r="E3683" s="2" t="s">
        <v>14978</v>
      </c>
      <c r="F3683" s="2">
        <v>74.0</v>
      </c>
      <c r="G3683" s="2">
        <v>110.0</v>
      </c>
      <c r="H3683" s="2" t="b">
        <v>1</v>
      </c>
      <c r="I3683" s="2">
        <v>-1.0</v>
      </c>
      <c r="J3683" s="2" t="b">
        <v>0</v>
      </c>
      <c r="K3683" s="2" t="b">
        <v>0</v>
      </c>
      <c r="L3683" s="2" t="b">
        <v>0</v>
      </c>
      <c r="M3683" s="2" t="b">
        <v>0</v>
      </c>
      <c r="N3683" s="2" t="s">
        <v>33</v>
      </c>
      <c r="O3683" s="2">
        <v>43.0</v>
      </c>
      <c r="P3683" s="2">
        <v>1.0</v>
      </c>
      <c r="Q3683" s="2">
        <v>23.0</v>
      </c>
      <c r="R3683" s="2">
        <v>0.0</v>
      </c>
      <c r="S3683" s="3" t="s">
        <v>14979</v>
      </c>
      <c r="T3683" s="2" t="s">
        <v>14980</v>
      </c>
      <c r="Y3683" s="4" t="str">
        <f>IFERROR(__xludf.DUMMYFUNCTION("""COMPUTED_VALUE"""),"6.5859703")</f>
        <v>6.5859703</v>
      </c>
      <c r="Z3683" s="4" t="str">
        <f>IFERROR(__xludf.DUMMYFUNCTION("""COMPUTED_VALUE"""),"2.7848278")</f>
        <v>2.7848278</v>
      </c>
      <c r="AA3683" s="4" t="str">
        <f t="shared" si="1"/>
        <v>Not Neighbor</v>
      </c>
      <c r="AC3683" s="4">
        <f>IFERROR(__xludf.DUMMYFUNCTION("IFERROR(ABS(O3683-AVERAGE(FILTER(O3683:O7751,AA3683:AA7751=""Neighbor""))) / STDEV(FILTER(O3683:O7751, AA3683:AA7751 =""Neighbor"")), """")"),0.17325368601321242)</f>
        <v>0.173253686</v>
      </c>
      <c r="AF3683" s="2">
        <f>IFERROR(__xludf.DUMMYFUNCTION("IFERROR(ABS(R3683-AVERAGE(FILTER(R3683:R7751,AA3683:AA7751=""Neighbor""))) / STDEV(FILTER(R3683:R7751, AA3683:AA7751 =""Neighbor"")), """")"),0.4126705057985621)</f>
        <v>0.4126705058</v>
      </c>
    </row>
    <row r="3684">
      <c r="A3684" s="2" t="s">
        <v>28</v>
      </c>
      <c r="B3684" s="2" t="s">
        <v>7366</v>
      </c>
      <c r="C3684" s="2" t="s">
        <v>7724</v>
      </c>
      <c r="D3684" s="2" t="s">
        <v>14981</v>
      </c>
      <c r="E3684" s="2" t="s">
        <v>14982</v>
      </c>
      <c r="F3684" s="2">
        <v>57.0</v>
      </c>
      <c r="G3684" s="2">
        <v>95.0</v>
      </c>
      <c r="H3684" s="2" t="b">
        <v>1</v>
      </c>
      <c r="I3684" s="2">
        <v>-1.0</v>
      </c>
      <c r="J3684" s="2" t="b">
        <v>0</v>
      </c>
      <c r="K3684" s="2" t="b">
        <v>0</v>
      </c>
      <c r="L3684" s="2" t="b">
        <v>0</v>
      </c>
      <c r="M3684" s="2" t="b">
        <v>0</v>
      </c>
      <c r="N3684" s="2" t="s">
        <v>33</v>
      </c>
      <c r="O3684" s="2">
        <v>0.0</v>
      </c>
      <c r="P3684" s="2">
        <v>135.0</v>
      </c>
      <c r="Q3684" s="2">
        <v>2.0</v>
      </c>
      <c r="R3684" s="2">
        <v>0.0</v>
      </c>
      <c r="S3684" s="3" t="s">
        <v>14983</v>
      </c>
      <c r="T3684" s="2" t="s">
        <v>14984</v>
      </c>
      <c r="Y3684" s="4" t="str">
        <f>IFERROR(__xludf.DUMMYFUNCTION("""COMPUTED_VALUE"""),"6.7836771")</f>
        <v>6.7836771</v>
      </c>
      <c r="Z3684" s="4" t="str">
        <f>IFERROR(__xludf.DUMMYFUNCTION("""COMPUTED_VALUE"""),"2.7449066")</f>
        <v>2.7449066</v>
      </c>
      <c r="AA3684" s="4" t="str">
        <f t="shared" si="1"/>
        <v>Not Neighbor</v>
      </c>
      <c r="AC3684" s="4">
        <f>IFERROR(__xludf.DUMMYFUNCTION("IFERROR(ABS(O3684-AVERAGE(FILTER(O3684:O7752,AA3684:AA7752=""Neighbor""))) / STDEV(FILTER(O3684:O7752, AA3684:AA7752 =""Neighbor"")), """")"),1.4353789300635216)</f>
        <v>1.43537893</v>
      </c>
      <c r="AF3684" s="2">
        <f>IFERROR(__xludf.DUMMYFUNCTION("IFERROR(ABS(R3684-AVERAGE(FILTER(R3684:R7752,AA3684:AA7752=""Neighbor""))) / STDEV(FILTER(R3684:R7752, AA3684:AA7752 =""Neighbor"")), """")"),0.4126705057985621)</f>
        <v>0.4126705058</v>
      </c>
    </row>
    <row r="3685">
      <c r="A3685" s="2" t="s">
        <v>28</v>
      </c>
      <c r="B3685" s="2" t="s">
        <v>7366</v>
      </c>
      <c r="C3685" s="2" t="s">
        <v>7858</v>
      </c>
      <c r="D3685" s="2" t="s">
        <v>14985</v>
      </c>
      <c r="E3685" s="2" t="s">
        <v>14986</v>
      </c>
      <c r="F3685" s="2">
        <v>103.0</v>
      </c>
      <c r="G3685" s="2">
        <v>182.0</v>
      </c>
      <c r="H3685" s="2" t="b">
        <v>1</v>
      </c>
      <c r="I3685" s="2">
        <v>-1.0</v>
      </c>
      <c r="J3685" s="2" t="b">
        <v>0</v>
      </c>
      <c r="K3685" s="2" t="b">
        <v>0</v>
      </c>
      <c r="L3685" s="2" t="b">
        <v>0</v>
      </c>
      <c r="M3685" s="2" t="b">
        <v>0</v>
      </c>
      <c r="N3685" s="2" t="s">
        <v>33</v>
      </c>
      <c r="O3685" s="2">
        <v>37.0</v>
      </c>
      <c r="P3685" s="2">
        <v>7.0</v>
      </c>
      <c r="Q3685" s="2">
        <v>32.0</v>
      </c>
      <c r="R3685" s="2">
        <v>6.0</v>
      </c>
      <c r="S3685" s="3" t="s">
        <v>14987</v>
      </c>
      <c r="T3685" s="2" t="s">
        <v>14988</v>
      </c>
      <c r="Y3685" s="4" t="str">
        <f>IFERROR(__xludf.DUMMYFUNCTION("""COMPUTED_VALUE"""),"6.6906976")</f>
        <v>6.6906976</v>
      </c>
      <c r="Z3685" s="4" t="str">
        <f>IFERROR(__xludf.DUMMYFUNCTION("""COMPUTED_VALUE"""),"2.7904302")</f>
        <v>2.7904302</v>
      </c>
      <c r="AA3685" s="4" t="str">
        <f t="shared" si="1"/>
        <v>Not Neighbor</v>
      </c>
      <c r="AC3685" s="4">
        <f>IFERROR(__xludf.DUMMYFUNCTION("IFERROR(ABS(O3685-AVERAGE(FILTER(O3685:O7753,AA3685:AA7753=""Neighbor""))) / STDEV(FILTER(O3685:O7753, AA3685:AA7753 =""Neighbor"")), """")"),0.05120667902075047)</f>
        <v>0.05120667902</v>
      </c>
      <c r="AF3685" s="2">
        <f>IFERROR(__xludf.DUMMYFUNCTION("IFERROR(ABS(R3685-AVERAGE(FILTER(R3685:R7753,AA3685:AA7753=""Neighbor""))) / STDEV(FILTER(R3685:R7753, AA3685:AA7753 =""Neighbor"")), """")"),9.855542667895072)</f>
        <v>9.855542668</v>
      </c>
    </row>
    <row r="3686">
      <c r="A3686" s="2" t="s">
        <v>28</v>
      </c>
      <c r="B3686" s="2" t="s">
        <v>7366</v>
      </c>
      <c r="C3686" s="2" t="s">
        <v>7858</v>
      </c>
      <c r="D3686" s="2" t="s">
        <v>14989</v>
      </c>
      <c r="E3686" s="2" t="s">
        <v>14990</v>
      </c>
      <c r="F3686" s="2">
        <v>52.0</v>
      </c>
      <c r="G3686" s="2">
        <v>73.0</v>
      </c>
      <c r="H3686" s="2" t="b">
        <v>1</v>
      </c>
      <c r="I3686" s="2">
        <v>-1.0</v>
      </c>
      <c r="J3686" s="2" t="b">
        <v>0</v>
      </c>
      <c r="K3686" s="2" t="b">
        <v>0</v>
      </c>
      <c r="L3686" s="2" t="b">
        <v>0</v>
      </c>
      <c r="M3686" s="2" t="b">
        <v>0</v>
      </c>
      <c r="N3686" s="2" t="s">
        <v>33</v>
      </c>
      <c r="O3686" s="2">
        <v>20.0</v>
      </c>
      <c r="P3686" s="2">
        <v>1.0</v>
      </c>
      <c r="Q3686" s="2">
        <v>26.0</v>
      </c>
      <c r="R3686" s="2">
        <v>0.0</v>
      </c>
      <c r="S3686" s="3" t="s">
        <v>14991</v>
      </c>
      <c r="T3686" s="2" t="s">
        <v>14992</v>
      </c>
      <c r="Y3686" s="4" t="str">
        <f>IFERROR(__xludf.DUMMYFUNCTION("""COMPUTED_VALUE"""),"6.6878144")</f>
        <v>6.6878144</v>
      </c>
      <c r="Z3686" s="4" t="str">
        <f>IFERROR(__xludf.DUMMYFUNCTION("""COMPUTED_VALUE"""),"2.8277963")</f>
        <v>2.8277963</v>
      </c>
      <c r="AA3686" s="4" t="str">
        <f t="shared" si="1"/>
        <v>Not Neighbor</v>
      </c>
      <c r="AC3686" s="4">
        <f>IFERROR(__xludf.DUMMYFUNCTION("IFERROR(ABS(O3686-AVERAGE(FILTER(O3686:O7754,AA3686:AA7754=""Neighbor""))) / STDEV(FILTER(O3686:O7754, AA3686:AA7754 =""Neighbor"")), """")"),0.6871777132836453)</f>
        <v>0.6871777133</v>
      </c>
      <c r="AF3686" s="2">
        <f>IFERROR(__xludf.DUMMYFUNCTION("IFERROR(ABS(R3686-AVERAGE(FILTER(R3686:R7754,AA3686:AA7754=""Neighbor""))) / STDEV(FILTER(R3686:R7754, AA3686:AA7754 =""Neighbor"")), """")"),0.4126705057985621)</f>
        <v>0.4126705058</v>
      </c>
    </row>
    <row r="3687">
      <c r="A3687" s="2" t="s">
        <v>28</v>
      </c>
      <c r="B3687" s="2" t="s">
        <v>7366</v>
      </c>
      <c r="C3687" s="2" t="s">
        <v>7858</v>
      </c>
      <c r="D3687" s="2" t="s">
        <v>14993</v>
      </c>
      <c r="E3687" s="2" t="s">
        <v>14994</v>
      </c>
      <c r="F3687" s="2">
        <v>51.0</v>
      </c>
      <c r="G3687" s="2">
        <v>85.0</v>
      </c>
      <c r="H3687" s="2" t="b">
        <v>1</v>
      </c>
      <c r="I3687" s="2">
        <v>-1.0</v>
      </c>
      <c r="J3687" s="2" t="b">
        <v>0</v>
      </c>
      <c r="K3687" s="2" t="b">
        <v>1</v>
      </c>
      <c r="L3687" s="2" t="b">
        <v>0</v>
      </c>
      <c r="M3687" s="2" t="b">
        <v>0</v>
      </c>
      <c r="N3687" s="2" t="s">
        <v>33</v>
      </c>
      <c r="O3687" s="2">
        <v>36.0</v>
      </c>
      <c r="P3687" s="2">
        <v>2.0</v>
      </c>
      <c r="Q3687" s="2">
        <v>9.0</v>
      </c>
      <c r="R3687" s="2">
        <v>0.0</v>
      </c>
      <c r="S3687" s="3" t="s">
        <v>14995</v>
      </c>
      <c r="T3687" s="2" t="s">
        <v>14996</v>
      </c>
      <c r="Y3687" s="4" t="str">
        <f>IFERROR(__xludf.DUMMYFUNCTION("""COMPUTED_VALUE"""),"6.6902991")</f>
        <v>6.6902991</v>
      </c>
      <c r="Z3687" s="4" t="str">
        <f>IFERROR(__xludf.DUMMYFUNCTION("""COMPUTED_VALUE"""),"2.8602042")</f>
        <v>2.8602042</v>
      </c>
      <c r="AA3687" s="4" t="str">
        <f t="shared" si="1"/>
        <v>Not Neighbor</v>
      </c>
      <c r="AC3687" s="4">
        <f>IFERROR(__xludf.DUMMYFUNCTION("IFERROR(ABS(O3687-AVERAGE(FILTER(O3687:O7755,AA3687:AA7755=""Neighbor""))) / STDEV(FILTER(O3687:O7755, AA3687:AA7755 =""Neighbor"")), """")"),0.08861673985974429)</f>
        <v>0.08861673986</v>
      </c>
      <c r="AF3687" s="2">
        <f>IFERROR(__xludf.DUMMYFUNCTION("IFERROR(ABS(R3687-AVERAGE(FILTER(R3687:R7755,AA3687:AA7755=""Neighbor""))) / STDEV(FILTER(R3687:R7755, AA3687:AA7755 =""Neighbor"")), """")"),0.4126705057985621)</f>
        <v>0.4126705058</v>
      </c>
    </row>
    <row r="3688">
      <c r="A3688" s="2" t="s">
        <v>28</v>
      </c>
      <c r="B3688" s="2" t="s">
        <v>7366</v>
      </c>
      <c r="C3688" s="2" t="s">
        <v>7858</v>
      </c>
      <c r="D3688" s="2" t="s">
        <v>14997</v>
      </c>
      <c r="E3688" s="2" t="s">
        <v>14998</v>
      </c>
      <c r="F3688" s="2">
        <v>89.0</v>
      </c>
      <c r="G3688" s="2">
        <v>131.0</v>
      </c>
      <c r="H3688" s="2" t="b">
        <v>1</v>
      </c>
      <c r="I3688" s="2">
        <v>-1.0</v>
      </c>
      <c r="J3688" s="2" t="b">
        <v>0</v>
      </c>
      <c r="K3688" s="2" t="b">
        <v>0</v>
      </c>
      <c r="L3688" s="2" t="b">
        <v>0</v>
      </c>
      <c r="M3688" s="2" t="b">
        <v>0</v>
      </c>
      <c r="N3688" s="2" t="s">
        <v>33</v>
      </c>
      <c r="O3688" s="2">
        <v>54.0</v>
      </c>
      <c r="P3688" s="2">
        <v>4.0</v>
      </c>
      <c r="Q3688" s="2">
        <v>14.0</v>
      </c>
      <c r="R3688" s="2">
        <v>0.0</v>
      </c>
      <c r="S3688" s="3" t="s">
        <v>14999</v>
      </c>
      <c r="T3688" s="2" t="s">
        <v>15000</v>
      </c>
      <c r="Y3688" s="4" t="str">
        <f>IFERROR(__xludf.DUMMYFUNCTION("""COMPUTED_VALUE"""),"6.6906976")</f>
        <v>6.6906976</v>
      </c>
      <c r="Z3688" s="4" t="str">
        <f>IFERROR(__xludf.DUMMYFUNCTION("""COMPUTED_VALUE"""),"2.7904302")</f>
        <v>2.7904302</v>
      </c>
      <c r="AA3688" s="4" t="str">
        <f t="shared" si="1"/>
        <v>Neighbor</v>
      </c>
      <c r="AC3688" s="4">
        <f>IFERROR(__xludf.DUMMYFUNCTION("IFERROR(ABS(O3688-AVERAGE(FILTER(O3688:O7756,AA3688:AA7756=""Neighbor""))) / STDEV(FILTER(O3688:O7756, AA3688:AA7756 =""Neighbor"")), """")"),0.5847643552421444)</f>
        <v>0.5847643552</v>
      </c>
      <c r="AF3688" s="2">
        <f>IFERROR(__xludf.DUMMYFUNCTION("IFERROR(ABS(R3688-AVERAGE(FILTER(R3688:R7756,AA3688:AA7756=""Neighbor""))) / STDEV(FILTER(R3688:R7756, AA3688:AA7756 =""Neighbor"")), """")"),0.4126705057985621)</f>
        <v>0.4126705058</v>
      </c>
    </row>
    <row r="3689">
      <c r="A3689" s="2" t="s">
        <v>28</v>
      </c>
      <c r="B3689" s="2" t="s">
        <v>7366</v>
      </c>
      <c r="C3689" s="2" t="s">
        <v>7858</v>
      </c>
      <c r="D3689" s="2" t="s">
        <v>15001</v>
      </c>
      <c r="E3689" s="2" t="s">
        <v>15002</v>
      </c>
      <c r="F3689" s="2">
        <v>113.0</v>
      </c>
      <c r="G3689" s="2">
        <v>395.0</v>
      </c>
      <c r="H3689" s="2" t="b">
        <v>1</v>
      </c>
      <c r="I3689" s="2">
        <v>-1.0</v>
      </c>
      <c r="J3689" s="2" t="b">
        <v>0</v>
      </c>
      <c r="K3689" s="2" t="b">
        <v>0</v>
      </c>
      <c r="L3689" s="2" t="b">
        <v>0</v>
      </c>
      <c r="M3689" s="2" t="b">
        <v>0</v>
      </c>
      <c r="N3689" s="2" t="s">
        <v>33</v>
      </c>
      <c r="O3689" s="2">
        <v>43.0</v>
      </c>
      <c r="P3689" s="2">
        <v>1.0</v>
      </c>
      <c r="Q3689" s="2">
        <v>41.0</v>
      </c>
      <c r="R3689" s="2">
        <v>1.0</v>
      </c>
      <c r="S3689" s="3" t="s">
        <v>15003</v>
      </c>
      <c r="T3689" s="2" t="s">
        <v>15004</v>
      </c>
      <c r="Y3689" s="4" t="str">
        <f>IFERROR(__xludf.DUMMYFUNCTION("""COMPUTED_VALUE"""),"6.6906976")</f>
        <v>6.6906976</v>
      </c>
      <c r="Z3689" s="4" t="str">
        <f>IFERROR(__xludf.DUMMYFUNCTION("""COMPUTED_VALUE"""),"2.7904302")</f>
        <v>2.7904302</v>
      </c>
      <c r="AA3689" s="4" t="str">
        <f t="shared" si="1"/>
        <v>Not Neighbor</v>
      </c>
      <c r="AC3689" s="4">
        <f>IFERROR(__xludf.DUMMYFUNCTION("IFERROR(ABS(O3689-AVERAGE(FILTER(O3689:O7757,AA3689:AA7757=""Neighbor""))) / STDEV(FILTER(O3689:O7757, AA3689:AA7757 =""Neighbor"")), """")"),0.17701361366136134)</f>
        <v>0.1770136137</v>
      </c>
      <c r="AF3689" s="2">
        <f>IFERROR(__xludf.DUMMYFUNCTION("IFERROR(ABS(R3689-AVERAGE(FILTER(R3689:R7757,AA3689:AA7757=""Neighbor""))) / STDEV(FILTER(R3689:R7757, AA3689:AA7757 =""Neighbor"")), """")"),1.2919063323034188)</f>
        <v>1.291906332</v>
      </c>
    </row>
    <row r="3690">
      <c r="A3690" s="2" t="s">
        <v>28</v>
      </c>
      <c r="B3690" s="2" t="s">
        <v>7366</v>
      </c>
      <c r="C3690" s="2" t="s">
        <v>7506</v>
      </c>
      <c r="D3690" s="2" t="s">
        <v>15005</v>
      </c>
      <c r="E3690" s="2" t="s">
        <v>15006</v>
      </c>
      <c r="F3690" s="2">
        <v>96.0</v>
      </c>
      <c r="G3690" s="2">
        <v>123.0</v>
      </c>
      <c r="H3690" s="2" t="b">
        <v>1</v>
      </c>
      <c r="I3690" s="2">
        <v>-1.0</v>
      </c>
      <c r="J3690" s="2" t="b">
        <v>0</v>
      </c>
      <c r="K3690" s="2" t="b">
        <v>1</v>
      </c>
      <c r="L3690" s="2" t="b">
        <v>0</v>
      </c>
      <c r="M3690" s="2" t="b">
        <v>0</v>
      </c>
      <c r="N3690" s="2" t="s">
        <v>33</v>
      </c>
      <c r="O3690" s="2">
        <v>29.0</v>
      </c>
      <c r="P3690" s="2">
        <v>2.0</v>
      </c>
      <c r="Q3690" s="2">
        <v>59.0</v>
      </c>
      <c r="R3690" s="2">
        <v>0.0</v>
      </c>
      <c r="S3690" s="3" t="s">
        <v>15007</v>
      </c>
      <c r="T3690" s="2" t="s">
        <v>15008</v>
      </c>
      <c r="Y3690" s="4" t="str">
        <f>IFERROR(__xludf.DUMMYFUNCTION("""COMPUTED_VALUE"""),"6.5122892")</f>
        <v>6.5122892</v>
      </c>
      <c r="Z3690" s="4" t="str">
        <f>IFERROR(__xludf.DUMMYFUNCTION("""COMPUTED_VALUE"""),"2.7331928")</f>
        <v>2.7331928</v>
      </c>
      <c r="AA3690" s="4" t="str">
        <f t="shared" si="1"/>
        <v>Not Neighbor</v>
      </c>
      <c r="AC3690" s="4">
        <f>IFERROR(__xludf.DUMMYFUNCTION("IFERROR(ABS(O3690-AVERAGE(FILTER(O3690:O7758,AA3690:AA7758=""Neighbor""))) / STDEV(FILTER(O3690:O7758, AA3690:AA7758 =""Neighbor"")), """")"),0.34549645076072966)</f>
        <v>0.3454964508</v>
      </c>
      <c r="AF3690" s="2">
        <f>IFERROR(__xludf.DUMMYFUNCTION("IFERROR(ABS(R3690-AVERAGE(FILTER(R3690:R7758,AA3690:AA7758=""Neighbor""))) / STDEV(FILTER(R3690:R7758, AA3690:AA7758 =""Neighbor"")), """")"),0.4143850499841154)</f>
        <v>0.41438505</v>
      </c>
    </row>
    <row r="3691">
      <c r="A3691" s="2" t="s">
        <v>28</v>
      </c>
      <c r="B3691" s="2" t="s">
        <v>7366</v>
      </c>
      <c r="C3691" s="2" t="s">
        <v>7506</v>
      </c>
      <c r="D3691" s="2" t="s">
        <v>15009</v>
      </c>
      <c r="E3691" s="2" t="s">
        <v>15010</v>
      </c>
      <c r="F3691" s="2">
        <v>123.0</v>
      </c>
      <c r="G3691" s="2">
        <v>146.0</v>
      </c>
      <c r="H3691" s="2" t="b">
        <v>1</v>
      </c>
      <c r="I3691" s="2">
        <v>-1.0</v>
      </c>
      <c r="J3691" s="2" t="b">
        <v>0</v>
      </c>
      <c r="K3691" s="2" t="b">
        <v>0</v>
      </c>
      <c r="L3691" s="2" t="b">
        <v>0</v>
      </c>
      <c r="M3691" s="2" t="b">
        <v>0</v>
      </c>
      <c r="N3691" s="2" t="s">
        <v>33</v>
      </c>
      <c r="O3691" s="2">
        <v>71.0</v>
      </c>
      <c r="P3691" s="2">
        <v>0.0</v>
      </c>
      <c r="Q3691" s="2">
        <v>24.0</v>
      </c>
      <c r="R3691" s="2">
        <v>0.0</v>
      </c>
      <c r="S3691" s="3" t="s">
        <v>15011</v>
      </c>
      <c r="T3691" s="2" t="s">
        <v>15012</v>
      </c>
      <c r="Y3691" s="4" t="str">
        <f>IFERROR(__xludf.DUMMYFUNCTION("""COMPUTED_VALUE"""),"6.5343396")</f>
        <v>6.5343396</v>
      </c>
      <c r="Z3691" s="4" t="str">
        <f>IFERROR(__xludf.DUMMYFUNCTION("""COMPUTED_VALUE"""),"2.8415046")</f>
        <v>2.8415046</v>
      </c>
      <c r="AA3691" s="4" t="str">
        <f t="shared" si="1"/>
        <v>Not Neighbor</v>
      </c>
      <c r="AC3691" s="4">
        <f>IFERROR(__xludf.DUMMYFUNCTION("IFERROR(ABS(O3691-AVERAGE(FILTER(O3691:O7759,AA3691:AA7759=""Neighbor""))) / STDEV(FILTER(O3691:O7759, AA3691:AA7759 =""Neighbor"")), """")"),1.2220337425055434)</f>
        <v>1.222033743</v>
      </c>
      <c r="AF3691" s="2">
        <f>IFERROR(__xludf.DUMMYFUNCTION("IFERROR(ABS(R3691-AVERAGE(FILTER(R3691:R7759,AA3691:AA7759=""Neighbor""))) / STDEV(FILTER(R3691:R7759, AA3691:AA7759 =""Neighbor"")), """")"),0.4143850499841154)</f>
        <v>0.41438505</v>
      </c>
    </row>
    <row r="3692">
      <c r="A3692" s="2" t="s">
        <v>28</v>
      </c>
      <c r="B3692" s="2" t="s">
        <v>7366</v>
      </c>
      <c r="C3692" s="2" t="s">
        <v>7506</v>
      </c>
      <c r="D3692" s="2" t="s">
        <v>15013</v>
      </c>
      <c r="E3692" s="2" t="s">
        <v>15014</v>
      </c>
      <c r="F3692" s="2">
        <v>35.0</v>
      </c>
      <c r="G3692" s="2">
        <v>48.0</v>
      </c>
      <c r="H3692" s="2" t="b">
        <v>1</v>
      </c>
      <c r="I3692" s="2">
        <v>-1.0</v>
      </c>
      <c r="J3692" s="2" t="b">
        <v>0</v>
      </c>
      <c r="K3692" s="2" t="b">
        <v>0</v>
      </c>
      <c r="L3692" s="2" t="b">
        <v>0</v>
      </c>
      <c r="M3692" s="2" t="b">
        <v>0</v>
      </c>
      <c r="N3692" s="2" t="s">
        <v>33</v>
      </c>
      <c r="O3692" s="2">
        <v>27.0</v>
      </c>
      <c r="P3692" s="2">
        <v>0.0</v>
      </c>
      <c r="Q3692" s="2">
        <v>5.0</v>
      </c>
      <c r="R3692" s="2">
        <v>0.0</v>
      </c>
      <c r="S3692" s="3" t="s">
        <v>15015</v>
      </c>
      <c r="T3692" s="2" t="s">
        <v>15016</v>
      </c>
      <c r="Y3692" s="4" t="str">
        <f>IFERROR(__xludf.DUMMYFUNCTION("""COMPUTED_VALUE"""),"6.4650045")</f>
        <v>6.4650045</v>
      </c>
      <c r="Z3692" s="4" t="str">
        <f>IFERROR(__xludf.DUMMYFUNCTION("""COMPUTED_VALUE"""),"2.7135312")</f>
        <v>2.7135312</v>
      </c>
      <c r="AA3692" s="4" t="str">
        <f t="shared" si="1"/>
        <v>Not Neighbor</v>
      </c>
      <c r="AC3692" s="4">
        <f>IFERROR(__xludf.DUMMYFUNCTION("IFERROR(ABS(O3692-AVERAGE(FILTER(O3692:O7760,AA3692:AA7760=""Neighbor""))) / STDEV(FILTER(O3692:O7760, AA3692:AA7760 =""Neighbor"")), """")"),0.4201407456781713)</f>
        <v>0.4201407457</v>
      </c>
      <c r="AF3692" s="2">
        <f>IFERROR(__xludf.DUMMYFUNCTION("IFERROR(ABS(R3692-AVERAGE(FILTER(R3692:R7760,AA3692:AA7760=""Neighbor""))) / STDEV(FILTER(R3692:R7760, AA3692:AA7760 =""Neighbor"")), """")"),0.4143850499841154)</f>
        <v>0.41438505</v>
      </c>
    </row>
    <row r="3693">
      <c r="A3693" s="2" t="s">
        <v>28</v>
      </c>
      <c r="B3693" s="2" t="s">
        <v>7366</v>
      </c>
      <c r="C3693" s="2" t="s">
        <v>7506</v>
      </c>
      <c r="D3693" s="2" t="s">
        <v>15017</v>
      </c>
      <c r="E3693" s="2" t="s">
        <v>15018</v>
      </c>
      <c r="F3693" s="2">
        <v>66.0</v>
      </c>
      <c r="G3693" s="2">
        <v>84.0</v>
      </c>
      <c r="H3693" s="2" t="b">
        <v>1</v>
      </c>
      <c r="I3693" s="2">
        <v>-1.0</v>
      </c>
      <c r="J3693" s="2" t="b">
        <v>0</v>
      </c>
      <c r="K3693" s="2" t="b">
        <v>0</v>
      </c>
      <c r="L3693" s="2" t="b">
        <v>0</v>
      </c>
      <c r="M3693" s="2" t="b">
        <v>0</v>
      </c>
      <c r="N3693" s="2" t="s">
        <v>33</v>
      </c>
      <c r="O3693" s="2">
        <v>17.0</v>
      </c>
      <c r="P3693" s="2">
        <v>3.0</v>
      </c>
      <c r="Q3693" s="2">
        <v>34.0</v>
      </c>
      <c r="R3693" s="2">
        <v>0.0</v>
      </c>
      <c r="S3693" s="3" t="s">
        <v>15019</v>
      </c>
      <c r="T3693" s="2" t="s">
        <v>15020</v>
      </c>
      <c r="Y3693" s="4" t="str">
        <f>IFERROR(__xludf.DUMMYFUNCTION("""COMPUTED_VALUE"""),"6.5122892")</f>
        <v>6.5122892</v>
      </c>
      <c r="Z3693" s="4" t="str">
        <f>IFERROR(__xludf.DUMMYFUNCTION("""COMPUTED_VALUE"""),"2.7331928")</f>
        <v>2.7331928</v>
      </c>
      <c r="AA3693" s="4" t="str">
        <f t="shared" si="1"/>
        <v>Not Neighbor</v>
      </c>
      <c r="AC3693" s="4">
        <f>IFERROR(__xludf.DUMMYFUNCTION("IFERROR(ABS(O3693-AVERAGE(FILTER(O3693:O7761,AA3693:AA7761=""Neighbor""))) / STDEV(FILTER(O3693:O7761, AA3693:AA7761 =""Neighbor"")), """")"),0.7933622202653792)</f>
        <v>0.7933622203</v>
      </c>
      <c r="AF3693" s="2">
        <f>IFERROR(__xludf.DUMMYFUNCTION("IFERROR(ABS(R3693-AVERAGE(FILTER(R3693:R7761,AA3693:AA7761=""Neighbor""))) / STDEV(FILTER(R3693:R7761, AA3693:AA7761 =""Neighbor"")), """")"),0.4143850499841154)</f>
        <v>0.41438505</v>
      </c>
    </row>
    <row r="3694">
      <c r="A3694" s="2" t="s">
        <v>28</v>
      </c>
      <c r="B3694" s="2" t="s">
        <v>7366</v>
      </c>
      <c r="C3694" s="2" t="s">
        <v>7367</v>
      </c>
      <c r="D3694" s="2" t="s">
        <v>15021</v>
      </c>
      <c r="E3694" s="2" t="s">
        <v>15022</v>
      </c>
      <c r="F3694" s="2">
        <v>276.0</v>
      </c>
      <c r="G3694" s="2">
        <v>750.0</v>
      </c>
      <c r="H3694" s="2" t="b">
        <v>1</v>
      </c>
      <c r="I3694" s="2">
        <v>-1.0</v>
      </c>
      <c r="J3694" s="2" t="b">
        <v>0</v>
      </c>
      <c r="K3694" s="2" t="b">
        <v>0</v>
      </c>
      <c r="L3694" s="2" t="b">
        <v>0</v>
      </c>
      <c r="M3694" s="2" t="b">
        <v>0</v>
      </c>
      <c r="N3694" s="2" t="s">
        <v>33</v>
      </c>
      <c r="O3694" s="2">
        <v>205.0</v>
      </c>
      <c r="P3694" s="2">
        <v>3.0</v>
      </c>
      <c r="Q3694" s="2">
        <v>53.0</v>
      </c>
      <c r="R3694" s="2">
        <v>0.0</v>
      </c>
      <c r="S3694" s="3" t="s">
        <v>15023</v>
      </c>
      <c r="T3694" s="2" t="s">
        <v>15024</v>
      </c>
      <c r="Y3694" s="4" t="str">
        <f>IFERROR(__xludf.DUMMYFUNCTION("""COMPUTED_VALUE"""),"6.5343396")</f>
        <v>6.5343396</v>
      </c>
      <c r="Z3694" s="4" t="str">
        <f>IFERROR(__xludf.DUMMYFUNCTION("""COMPUTED_VALUE"""),"2.8415046")</f>
        <v>2.8415046</v>
      </c>
      <c r="AA3694" s="4" t="str">
        <f t="shared" si="1"/>
        <v>Not Neighbor</v>
      </c>
      <c r="AC3694" s="4">
        <f>IFERROR(__xludf.DUMMYFUNCTION("IFERROR(ABS(O3694-AVERAGE(FILTER(O3694:O7762,AA3694:AA7762=""Neighbor""))) / STDEV(FILTER(O3694:O7762, AA3694:AA7762 =""Neighbor"")), """")"),6.2232015019741285)</f>
        <v>6.223201502</v>
      </c>
      <c r="AF3694" s="2">
        <f>IFERROR(__xludf.DUMMYFUNCTION("IFERROR(ABS(R3694-AVERAGE(FILTER(R3694:R7762,AA3694:AA7762=""Neighbor""))) / STDEV(FILTER(R3694:R7762, AA3694:AA7762 =""Neighbor"")), """")"),0.4143850499841154)</f>
        <v>0.41438505</v>
      </c>
    </row>
    <row r="3695">
      <c r="A3695" s="2" t="s">
        <v>28</v>
      </c>
      <c r="B3695" s="2" t="s">
        <v>7366</v>
      </c>
      <c r="C3695" s="2" t="s">
        <v>7367</v>
      </c>
      <c r="D3695" s="2" t="s">
        <v>15025</v>
      </c>
      <c r="E3695" s="2" t="s">
        <v>15026</v>
      </c>
      <c r="F3695" s="2">
        <v>64.0</v>
      </c>
      <c r="G3695" s="2">
        <v>424.0</v>
      </c>
      <c r="H3695" s="2" t="b">
        <v>1</v>
      </c>
      <c r="I3695" s="2">
        <v>-1.0</v>
      </c>
      <c r="J3695" s="2" t="b">
        <v>0</v>
      </c>
      <c r="K3695" s="2" t="b">
        <v>0</v>
      </c>
      <c r="L3695" s="2" t="b">
        <v>0</v>
      </c>
      <c r="M3695" s="2" t="b">
        <v>0</v>
      </c>
      <c r="N3695" s="2" t="s">
        <v>33</v>
      </c>
      <c r="O3695" s="2">
        <v>65.0</v>
      </c>
      <c r="P3695" s="2">
        <v>1.0</v>
      </c>
      <c r="Q3695" s="2">
        <v>57.0</v>
      </c>
      <c r="R3695" s="2">
        <v>0.0</v>
      </c>
      <c r="S3695" s="3" t="s">
        <v>15027</v>
      </c>
      <c r="T3695" s="2" t="s">
        <v>15028</v>
      </c>
      <c r="Y3695" s="4" t="str">
        <f>IFERROR(__xludf.DUMMYFUNCTION("""COMPUTED_VALUE"""),"6.5223433")</f>
        <v>6.5223433</v>
      </c>
      <c r="Z3695" s="4" t="str">
        <f>IFERROR(__xludf.DUMMYFUNCTION("""COMPUTED_VALUE"""),"2.842751")</f>
        <v>2.842751</v>
      </c>
      <c r="AA3695" s="4" t="str">
        <f t="shared" si="1"/>
        <v>Not Neighbor</v>
      </c>
      <c r="AC3695" s="4">
        <f>IFERROR(__xludf.DUMMYFUNCTION("IFERROR(ABS(O3695-AVERAGE(FILTER(O3695:O7763,AA3695:AA7763=""Neighbor""))) / STDEV(FILTER(O3695:O7763, AA3695:AA7763 =""Neighbor"")), """")"),0.9981008577532187)</f>
        <v>0.9981008578</v>
      </c>
      <c r="AF3695" s="2">
        <f>IFERROR(__xludf.DUMMYFUNCTION("IFERROR(ABS(R3695-AVERAGE(FILTER(R3695:R7763,AA3695:AA7763=""Neighbor""))) / STDEV(FILTER(R3695:R7763, AA3695:AA7763 =""Neighbor"")), """")"),0.4143850499841154)</f>
        <v>0.41438505</v>
      </c>
    </row>
    <row r="3696">
      <c r="A3696" s="2" t="s">
        <v>28</v>
      </c>
      <c r="B3696" s="2" t="s">
        <v>7366</v>
      </c>
      <c r="C3696" s="2" t="s">
        <v>7367</v>
      </c>
      <c r="D3696" s="2" t="s">
        <v>15029</v>
      </c>
      <c r="E3696" s="2" t="s">
        <v>15030</v>
      </c>
      <c r="F3696" s="2">
        <v>162.0</v>
      </c>
      <c r="G3696" s="2">
        <v>431.0</v>
      </c>
      <c r="H3696" s="2" t="b">
        <v>1</v>
      </c>
      <c r="I3696" s="2">
        <v>-1.0</v>
      </c>
      <c r="J3696" s="2" t="b">
        <v>0</v>
      </c>
      <c r="K3696" s="2" t="b">
        <v>0</v>
      </c>
      <c r="L3696" s="2" t="b">
        <v>0</v>
      </c>
      <c r="M3696" s="2" t="b">
        <v>0</v>
      </c>
      <c r="N3696" s="2" t="s">
        <v>33</v>
      </c>
      <c r="O3696" s="2">
        <v>80.0</v>
      </c>
      <c r="P3696" s="2">
        <v>2.0</v>
      </c>
      <c r="Q3696" s="2">
        <v>70.0</v>
      </c>
      <c r="R3696" s="2">
        <v>0.0</v>
      </c>
      <c r="S3696" s="3" t="s">
        <v>15031</v>
      </c>
      <c r="T3696" s="2" t="s">
        <v>15032</v>
      </c>
      <c r="Y3696" s="4" t="str">
        <f>IFERROR(__xludf.DUMMYFUNCTION("""COMPUTED_VALUE"""),"6.5343396")</f>
        <v>6.5343396</v>
      </c>
      <c r="Z3696" s="4" t="str">
        <f>IFERROR(__xludf.DUMMYFUNCTION("""COMPUTED_VALUE"""),"2.8415046")</f>
        <v>2.8415046</v>
      </c>
      <c r="AA3696" s="4" t="str">
        <f t="shared" si="1"/>
        <v>Neighbor</v>
      </c>
      <c r="AC3696" s="4">
        <f>IFERROR(__xludf.DUMMYFUNCTION("IFERROR(ABS(O3696-AVERAGE(FILTER(O3696:O7764,AA3696:AA7764=""Neighbor""))) / STDEV(FILTER(O3696:O7764, AA3696:AA7764 =""Neighbor"")), """")"),1.5579330696340306)</f>
        <v>1.55793307</v>
      </c>
      <c r="AF3696" s="2">
        <f>IFERROR(__xludf.DUMMYFUNCTION("IFERROR(ABS(R3696-AVERAGE(FILTER(R3696:R7764,AA3696:AA7764=""Neighbor""))) / STDEV(FILTER(R3696:R7764, AA3696:AA7764 =""Neighbor"")), """")"),0.4143850499841154)</f>
        <v>0.41438505</v>
      </c>
    </row>
    <row r="3697">
      <c r="A3697" s="2" t="s">
        <v>28</v>
      </c>
      <c r="B3697" s="2" t="s">
        <v>7366</v>
      </c>
      <c r="C3697" s="2" t="s">
        <v>7367</v>
      </c>
      <c r="D3697" s="2" t="s">
        <v>15033</v>
      </c>
      <c r="E3697" s="2" t="s">
        <v>15034</v>
      </c>
      <c r="F3697" s="2">
        <v>158.0</v>
      </c>
      <c r="G3697" s="2">
        <v>229.0</v>
      </c>
      <c r="H3697" s="2" t="b">
        <v>1</v>
      </c>
      <c r="I3697" s="2">
        <v>-1.0</v>
      </c>
      <c r="J3697" s="2" t="b">
        <v>0</v>
      </c>
      <c r="K3697" s="2" t="b">
        <v>0</v>
      </c>
      <c r="L3697" s="2" t="b">
        <v>0</v>
      </c>
      <c r="M3697" s="2" t="b">
        <v>0</v>
      </c>
      <c r="N3697" s="2" t="s">
        <v>33</v>
      </c>
      <c r="O3697" s="2">
        <v>87.0</v>
      </c>
      <c r="P3697" s="2">
        <v>0.0</v>
      </c>
      <c r="Q3697" s="2">
        <v>53.0</v>
      </c>
      <c r="R3697" s="2">
        <v>1.0</v>
      </c>
      <c r="S3697" s="3" t="s">
        <v>15035</v>
      </c>
      <c r="T3697" s="2" t="s">
        <v>15036</v>
      </c>
      <c r="Y3697" s="4" t="str">
        <f>IFERROR(__xludf.DUMMYFUNCTION("""COMPUTED_VALUE"""),"6.5343396")</f>
        <v>6.5343396</v>
      </c>
      <c r="Z3697" s="4" t="str">
        <f>IFERROR(__xludf.DUMMYFUNCTION("""COMPUTED_VALUE"""),"2.8415046")</f>
        <v>2.8415046</v>
      </c>
      <c r="AA3697" s="4" t="str">
        <f t="shared" si="1"/>
        <v>Neighbor</v>
      </c>
      <c r="AC3697" s="4">
        <f>IFERROR(__xludf.DUMMYFUNCTION("IFERROR(ABS(O3697-AVERAGE(FILTER(O3697:O7765,AA3697:AA7765=""Neighbor""))) / STDEV(FILTER(O3697:O7765, AA3697:AA7765 =""Neighbor"")), """")"),1.840052646825231)</f>
        <v>1.840052647</v>
      </c>
      <c r="AF3697" s="2">
        <f>IFERROR(__xludf.DUMMYFUNCTION("IFERROR(ABS(R3697-AVERAGE(FILTER(R3697:R7765,AA3697:AA7765=""Neighbor""))) / STDEV(FILTER(R3697:R7765, AA3697:AA7765 =""Neighbor"")), """")"),1.285080081832492)</f>
        <v>1.285080082</v>
      </c>
    </row>
    <row r="3698">
      <c r="A3698" s="2" t="s">
        <v>28</v>
      </c>
      <c r="B3698" s="2" t="s">
        <v>7366</v>
      </c>
      <c r="C3698" s="2" t="s">
        <v>7367</v>
      </c>
      <c r="D3698" s="2" t="s">
        <v>15037</v>
      </c>
      <c r="E3698" s="2" t="s">
        <v>15038</v>
      </c>
      <c r="F3698" s="2">
        <v>71.0</v>
      </c>
      <c r="G3698" s="2">
        <v>91.0</v>
      </c>
      <c r="H3698" s="2" t="b">
        <v>1</v>
      </c>
      <c r="I3698" s="2">
        <v>-1.0</v>
      </c>
      <c r="J3698" s="2" t="b">
        <v>0</v>
      </c>
      <c r="K3698" s="2" t="b">
        <v>0</v>
      </c>
      <c r="L3698" s="2" t="b">
        <v>0</v>
      </c>
      <c r="M3698" s="2" t="b">
        <v>0</v>
      </c>
      <c r="N3698" s="2" t="s">
        <v>33</v>
      </c>
      <c r="O3698" s="2">
        <v>53.0</v>
      </c>
      <c r="P3698" s="2">
        <v>0.0</v>
      </c>
      <c r="Q3698" s="2">
        <v>11.0</v>
      </c>
      <c r="R3698" s="2">
        <v>1.0</v>
      </c>
      <c r="S3698" s="3" t="s">
        <v>15039</v>
      </c>
      <c r="T3698" s="2" t="s">
        <v>15040</v>
      </c>
      <c r="Y3698" s="4" t="str">
        <f>IFERROR(__xludf.DUMMYFUNCTION("""COMPUTED_VALUE"""),"6.5343396")</f>
        <v>6.5343396</v>
      </c>
      <c r="Z3698" s="4" t="str">
        <f>IFERROR(__xludf.DUMMYFUNCTION("""COMPUTED_VALUE"""),"2.8415046")</f>
        <v>2.8415046</v>
      </c>
      <c r="AA3698" s="4" t="str">
        <f t="shared" si="1"/>
        <v>Neighbor</v>
      </c>
      <c r="AC3698" s="4">
        <f>IFERROR(__xludf.DUMMYFUNCTION("IFERROR(ABS(O3698-AVERAGE(FILTER(O3698:O7766,AA3698:AA7766=""Neighbor""))) / STDEV(FILTER(O3698:O7766, AA3698:AA7766 =""Neighbor"")), """")"),0.5828892156390589)</f>
        <v>0.5828892156</v>
      </c>
      <c r="AF3698" s="2">
        <f>IFERROR(__xludf.DUMMYFUNCTION("IFERROR(ABS(R3698-AVERAGE(FILTER(R3698:R7766,AA3698:AA7766=""Neighbor""))) / STDEV(FILTER(R3698:R7766, AA3698:AA7766 =""Neighbor"")), """")"),1.2975376142045656)</f>
        <v>1.297537614</v>
      </c>
    </row>
    <row r="3699">
      <c r="A3699" s="2" t="s">
        <v>28</v>
      </c>
      <c r="B3699" s="2" t="s">
        <v>7366</v>
      </c>
      <c r="C3699" s="2" t="s">
        <v>7367</v>
      </c>
      <c r="D3699" s="2" t="s">
        <v>15041</v>
      </c>
      <c r="E3699" s="2" t="s">
        <v>15042</v>
      </c>
      <c r="F3699" s="2">
        <v>92.0</v>
      </c>
      <c r="G3699" s="2">
        <v>124.0</v>
      </c>
      <c r="H3699" s="2" t="b">
        <v>1</v>
      </c>
      <c r="I3699" s="2">
        <v>-1.0</v>
      </c>
      <c r="J3699" s="2" t="b">
        <v>0</v>
      </c>
      <c r="K3699" s="2" t="b">
        <v>0</v>
      </c>
      <c r="L3699" s="2" t="b">
        <v>0</v>
      </c>
      <c r="M3699" s="2" t="b">
        <v>0</v>
      </c>
      <c r="N3699" s="2" t="s">
        <v>33</v>
      </c>
      <c r="O3699" s="2">
        <v>59.0</v>
      </c>
      <c r="P3699" s="2">
        <v>0.0</v>
      </c>
      <c r="Q3699" s="2">
        <v>27.0</v>
      </c>
      <c r="R3699" s="2">
        <v>0.0</v>
      </c>
      <c r="S3699" s="3" t="s">
        <v>15043</v>
      </c>
      <c r="T3699" s="2" t="s">
        <v>15044</v>
      </c>
      <c r="Y3699" s="4" t="str">
        <f>IFERROR(__xludf.DUMMYFUNCTION("""COMPUTED_VALUE"""),"6.5343396")</f>
        <v>6.5343396</v>
      </c>
      <c r="Z3699" s="4" t="str">
        <f>IFERROR(__xludf.DUMMYFUNCTION("""COMPUTED_VALUE"""),"2.8415046")</f>
        <v>2.8415046</v>
      </c>
      <c r="AA3699" s="4" t="str">
        <f t="shared" si="1"/>
        <v>Not Neighbor</v>
      </c>
      <c r="AC3699" s="4">
        <f>IFERROR(__xludf.DUMMYFUNCTION("IFERROR(ABS(O3699-AVERAGE(FILTER(O3699:O7767,AA3699:AA7767=""Neighbor""))) / STDEV(FILTER(O3699:O7767, AA3699:AA7767 =""Neighbor"")), """")"),0.8123029791112681)</f>
        <v>0.8123029791</v>
      </c>
      <c r="AF3699" s="2">
        <f>IFERROR(__xludf.DUMMYFUNCTION("IFERROR(ABS(R3699-AVERAGE(FILTER(R3699:R7767,AA3699:AA7767=""Neighbor""))) / STDEV(FILTER(R3699:R7767, AA3699:AA7767 =""Neighbor"")), """")"),0.39934947640608426)</f>
        <v>0.3993494764</v>
      </c>
    </row>
    <row r="3700">
      <c r="A3700" s="2" t="s">
        <v>28</v>
      </c>
      <c r="B3700" s="2" t="s">
        <v>7366</v>
      </c>
      <c r="C3700" s="2" t="s">
        <v>7367</v>
      </c>
      <c r="D3700" s="2" t="s">
        <v>15045</v>
      </c>
      <c r="E3700" s="2" t="s">
        <v>15046</v>
      </c>
      <c r="F3700" s="2">
        <v>152.0</v>
      </c>
      <c r="G3700" s="2">
        <v>359.0</v>
      </c>
      <c r="H3700" s="2" t="b">
        <v>1</v>
      </c>
      <c r="I3700" s="2">
        <v>-1.0</v>
      </c>
      <c r="J3700" s="2" t="b">
        <v>0</v>
      </c>
      <c r="K3700" s="2" t="b">
        <v>0</v>
      </c>
      <c r="L3700" s="2" t="b">
        <v>0</v>
      </c>
      <c r="M3700" s="2" t="b">
        <v>0</v>
      </c>
      <c r="N3700" s="2" t="s">
        <v>33</v>
      </c>
      <c r="O3700" s="2">
        <v>82.0</v>
      </c>
      <c r="P3700" s="2">
        <v>1.0</v>
      </c>
      <c r="Q3700" s="2">
        <v>47.0</v>
      </c>
      <c r="R3700" s="2">
        <v>1.0</v>
      </c>
      <c r="S3700" s="3" t="s">
        <v>15047</v>
      </c>
      <c r="T3700" s="2" t="s">
        <v>15048</v>
      </c>
      <c r="Y3700" s="4" t="str">
        <f>IFERROR(__xludf.DUMMYFUNCTION("""COMPUTED_VALUE"""),"6.498293")</f>
        <v>6.498293</v>
      </c>
      <c r="Z3700" s="4" t="str">
        <f>IFERROR(__xludf.DUMMYFUNCTION("""COMPUTED_VALUE"""),"3.348572")</f>
        <v>3.348572</v>
      </c>
      <c r="AA3700" s="4" t="str">
        <f t="shared" si="1"/>
        <v>Not Neighbor</v>
      </c>
      <c r="AC3700" s="4">
        <f>IFERROR(__xludf.DUMMYFUNCTION("IFERROR(ABS(O3700-AVERAGE(FILTER(O3700:O7768,AA3700:AA7768=""Neighbor""))) / STDEV(FILTER(O3700:O7768, AA3700:AA7768 =""Neighbor"")), """")"),1.6808359574552132)</f>
        <v>1.680835957</v>
      </c>
      <c r="AF3700" s="2">
        <f>IFERROR(__xludf.DUMMYFUNCTION("IFERROR(ABS(R3700-AVERAGE(FILTER(R3700:R7768,AA3700:AA7768=""Neighbor""))) / STDEV(FILTER(R3700:R7768, AA3700:AA7768 =""Neighbor"")), """")"),1.310365469457464)</f>
        <v>1.310365469</v>
      </c>
    </row>
    <row r="3701">
      <c r="A3701" s="2" t="s">
        <v>28</v>
      </c>
      <c r="B3701" s="2" t="s">
        <v>7366</v>
      </c>
      <c r="C3701" s="2" t="s">
        <v>7392</v>
      </c>
      <c r="D3701" s="2" t="s">
        <v>15049</v>
      </c>
      <c r="E3701" s="2" t="s">
        <v>15050</v>
      </c>
      <c r="F3701" s="2">
        <v>137.0</v>
      </c>
      <c r="G3701" s="2">
        <v>180.0</v>
      </c>
      <c r="H3701" s="2" t="b">
        <v>1</v>
      </c>
      <c r="I3701" s="2">
        <v>-1.0</v>
      </c>
      <c r="J3701" s="2" t="b">
        <v>0</v>
      </c>
      <c r="K3701" s="2" t="b">
        <v>1</v>
      </c>
      <c r="L3701" s="2" t="b">
        <v>0</v>
      </c>
      <c r="M3701" s="2" t="b">
        <v>0</v>
      </c>
      <c r="N3701" s="2" t="s">
        <v>33</v>
      </c>
      <c r="O3701" s="2">
        <v>39.0</v>
      </c>
      <c r="P3701" s="2">
        <v>1.0</v>
      </c>
      <c r="Q3701" s="2">
        <v>85.0</v>
      </c>
      <c r="R3701" s="2">
        <v>0.0</v>
      </c>
      <c r="S3701" s="3" t="s">
        <v>15051</v>
      </c>
      <c r="T3701" s="2" t="s">
        <v>15052</v>
      </c>
      <c r="Y3701" s="4" t="str">
        <f>IFERROR(__xludf.DUMMYFUNCTION("""COMPUTED_VALUE"""),"6.5343396")</f>
        <v>6.5343396</v>
      </c>
      <c r="Z3701" s="4" t="str">
        <f>IFERROR(__xludf.DUMMYFUNCTION("""COMPUTED_VALUE"""),"2.8415046")</f>
        <v>2.8415046</v>
      </c>
      <c r="AA3701" s="4" t="str">
        <f t="shared" si="1"/>
        <v>Neighbor</v>
      </c>
      <c r="AC3701" s="4">
        <f>IFERROR(__xludf.DUMMYFUNCTION("IFERROR(ABS(O3701-AVERAGE(FILTER(O3701:O7769,AA3701:AA7769=""Neighbor""))) / STDEV(FILTER(O3701:O7769, AA3701:AA7769 =""Neighbor"")), """")"),0.0570569109860985)</f>
        <v>0.05705691099</v>
      </c>
      <c r="AF3701" s="2">
        <f>IFERROR(__xludf.DUMMYFUNCTION("IFERROR(ABS(R3701-AVERAGE(FILTER(R3701:R7769,AA3701:AA7769=""Neighbor""))) / STDEV(FILTER(R3701:R7769, AA3701:AA7769 =""Neighbor"")), """")"),0.39934947640608426)</f>
        <v>0.3993494764</v>
      </c>
    </row>
    <row r="3702">
      <c r="A3702" s="2" t="s">
        <v>28</v>
      </c>
      <c r="B3702" s="2" t="s">
        <v>7366</v>
      </c>
      <c r="C3702" s="2" t="s">
        <v>7392</v>
      </c>
      <c r="D3702" s="2" t="s">
        <v>15053</v>
      </c>
      <c r="E3702" s="2" t="s">
        <v>15054</v>
      </c>
      <c r="F3702" s="2">
        <v>100.0</v>
      </c>
      <c r="G3702" s="2">
        <v>136.0</v>
      </c>
      <c r="H3702" s="2" t="b">
        <v>1</v>
      </c>
      <c r="I3702" s="2">
        <v>-1.0</v>
      </c>
      <c r="J3702" s="2" t="b">
        <v>0</v>
      </c>
      <c r="K3702" s="2" t="b">
        <v>0</v>
      </c>
      <c r="L3702" s="2" t="b">
        <v>0</v>
      </c>
      <c r="M3702" s="2" t="b">
        <v>0</v>
      </c>
      <c r="N3702" s="2" t="s">
        <v>33</v>
      </c>
      <c r="O3702" s="2">
        <v>8.0</v>
      </c>
      <c r="P3702" s="2">
        <v>0.0</v>
      </c>
      <c r="Q3702" s="2">
        <v>76.0</v>
      </c>
      <c r="R3702" s="2">
        <v>0.0</v>
      </c>
      <c r="S3702" s="3" t="s">
        <v>15055</v>
      </c>
      <c r="T3702" s="2" t="s">
        <v>15056</v>
      </c>
      <c r="Y3702" s="4" t="str">
        <f>IFERROR(__xludf.DUMMYFUNCTION("""COMPUTED_VALUE"""),"6.5343396")</f>
        <v>6.5343396</v>
      </c>
      <c r="Z3702" s="4" t="str">
        <f>IFERROR(__xludf.DUMMYFUNCTION("""COMPUTED_VALUE"""),"2.8415046")</f>
        <v>2.8415046</v>
      </c>
      <c r="AA3702" s="4" t="str">
        <f t="shared" si="1"/>
        <v>Neighbor</v>
      </c>
      <c r="AC3702" s="4">
        <f>IFERROR(__xludf.DUMMYFUNCTION("IFERROR(ABS(O3702-AVERAGE(FILTER(O3702:O7770,AA3702:AA7770=""Neighbor""))) / STDEV(FILTER(O3702:O7770, AA3702:AA7770 =""Neighbor"")), """")"),1.1090682981124815)</f>
        <v>1.109068298</v>
      </c>
      <c r="AF3702" s="2">
        <f>IFERROR(__xludf.DUMMYFUNCTION("IFERROR(ABS(R3702-AVERAGE(FILTER(R3702:R7770,AA3702:AA7770=""Neighbor""))) / STDEV(FILTER(R3702:R7770, AA3702:AA7770 =""Neighbor"")), """")"),0.40104108746448724)</f>
        <v>0.4010410875</v>
      </c>
    </row>
    <row r="3703">
      <c r="A3703" s="2" t="s">
        <v>28</v>
      </c>
      <c r="B3703" s="2" t="s">
        <v>7366</v>
      </c>
      <c r="C3703" s="2" t="s">
        <v>7392</v>
      </c>
      <c r="D3703" s="2" t="s">
        <v>15057</v>
      </c>
      <c r="E3703" s="2" t="s">
        <v>15058</v>
      </c>
      <c r="F3703" s="2">
        <v>139.0</v>
      </c>
      <c r="G3703" s="2">
        <v>321.0</v>
      </c>
      <c r="H3703" s="2" t="b">
        <v>1</v>
      </c>
      <c r="I3703" s="2">
        <v>-1.0</v>
      </c>
      <c r="J3703" s="2" t="b">
        <v>0</v>
      </c>
      <c r="K3703" s="2" t="b">
        <v>0</v>
      </c>
      <c r="L3703" s="2" t="b">
        <v>0</v>
      </c>
      <c r="M3703" s="2" t="b">
        <v>0</v>
      </c>
      <c r="N3703" s="2" t="s">
        <v>33</v>
      </c>
      <c r="O3703" s="2">
        <v>99.0</v>
      </c>
      <c r="P3703" s="2">
        <v>0.0</v>
      </c>
      <c r="Q3703" s="2">
        <v>34.0</v>
      </c>
      <c r="R3703" s="2">
        <v>2.0</v>
      </c>
      <c r="S3703" s="3" t="s">
        <v>15059</v>
      </c>
      <c r="T3703" s="2" t="s">
        <v>15060</v>
      </c>
      <c r="Y3703" s="4" t="str">
        <f>IFERROR(__xludf.DUMMYFUNCTION("""COMPUTED_VALUE"""),"6.5343396")</f>
        <v>6.5343396</v>
      </c>
      <c r="Z3703" s="4" t="str">
        <f>IFERROR(__xludf.DUMMYFUNCTION("""COMPUTED_VALUE"""),"2.8415046")</f>
        <v>2.8415046</v>
      </c>
      <c r="AA3703" s="4" t="str">
        <f t="shared" si="1"/>
        <v>Not Neighbor</v>
      </c>
      <c r="AC3703" s="4">
        <f>IFERROR(__xludf.DUMMYFUNCTION("IFERROR(ABS(O3703-AVERAGE(FILTER(O3703:O7771,AA3703:AA7771=""Neighbor""))) / STDEV(FILTER(O3703:O7771, AA3703:AA7771 =""Neighbor"")), """")"),2.30853113565527)</f>
        <v>2.308531136</v>
      </c>
      <c r="AF3703" s="2">
        <f>IFERROR(__xludf.DUMMYFUNCTION("IFERROR(ABS(R3703-AVERAGE(FILTER(R3703:R7771,AA3703:AA7771=""Neighbor""))) / STDEV(FILTER(R3703:R7771, AA3703:AA7771 =""Neighbor"")), """")"),2.9954858796351114)</f>
        <v>2.99548588</v>
      </c>
    </row>
    <row r="3704">
      <c r="A3704" s="2" t="s">
        <v>28</v>
      </c>
      <c r="B3704" s="2" t="s">
        <v>7366</v>
      </c>
      <c r="C3704" s="2" t="s">
        <v>7392</v>
      </c>
      <c r="D3704" s="2" t="s">
        <v>15061</v>
      </c>
      <c r="E3704" s="2" t="s">
        <v>15062</v>
      </c>
      <c r="F3704" s="2">
        <v>51.0</v>
      </c>
      <c r="G3704" s="2">
        <v>67.0</v>
      </c>
      <c r="H3704" s="2" t="b">
        <v>1</v>
      </c>
      <c r="I3704" s="2">
        <v>-1.0</v>
      </c>
      <c r="J3704" s="2" t="b">
        <v>0</v>
      </c>
      <c r="K3704" s="2" t="b">
        <v>0</v>
      </c>
      <c r="L3704" s="2" t="b">
        <v>0</v>
      </c>
      <c r="M3704" s="2" t="b">
        <v>0</v>
      </c>
      <c r="N3704" s="2" t="s">
        <v>33</v>
      </c>
      <c r="O3704" s="2">
        <v>22.0</v>
      </c>
      <c r="P3704" s="2">
        <v>0.0</v>
      </c>
      <c r="Q3704" s="2">
        <v>18.0</v>
      </c>
      <c r="R3704" s="2">
        <v>0.0</v>
      </c>
      <c r="S3704" s="3" t="s">
        <v>15063</v>
      </c>
      <c r="T3704" s="2" t="s">
        <v>15064</v>
      </c>
      <c r="Y3704" s="4" t="str">
        <f>IFERROR(__xludf.DUMMYFUNCTION("""COMPUTED_VALUE"""),"6.5369341")</f>
        <v>6.5369341</v>
      </c>
      <c r="Z3704" s="4" t="str">
        <f>IFERROR(__xludf.DUMMYFUNCTION("""COMPUTED_VALUE"""),"2.8539702")</f>
        <v>2.8539702</v>
      </c>
      <c r="AA3704" s="4" t="str">
        <f t="shared" si="1"/>
        <v>Not Neighbor</v>
      </c>
      <c r="AC3704" s="4">
        <f>IFERROR(__xludf.DUMMYFUNCTION("IFERROR(ABS(O3704-AVERAGE(FILTER(O3704:O7772,AA3704:AA7772=""Neighbor""))) / STDEV(FILTER(O3704:O7772, AA3704:AA7772 =""Neighbor"")), """")"),0.5910799270726821)</f>
        <v>0.5910799271</v>
      </c>
      <c r="AF3704" s="2">
        <f>IFERROR(__xludf.DUMMYFUNCTION("IFERROR(ABS(R3704-AVERAGE(FILTER(R3704:R7772,AA3704:AA7772=""Neighbor""))) / STDEV(FILTER(R3704:R7772, AA3704:AA7772 =""Neighbor"")), """")"),0.40275440398455276)</f>
        <v>0.402754404</v>
      </c>
    </row>
    <row r="3705">
      <c r="A3705" s="2" t="s">
        <v>28</v>
      </c>
      <c r="B3705" s="2" t="s">
        <v>7366</v>
      </c>
      <c r="C3705" s="2" t="s">
        <v>7666</v>
      </c>
      <c r="D3705" s="2" t="s">
        <v>15065</v>
      </c>
      <c r="E3705" s="2" t="s">
        <v>15066</v>
      </c>
      <c r="F3705" s="2">
        <v>92.0</v>
      </c>
      <c r="G3705" s="2">
        <v>106.0</v>
      </c>
      <c r="H3705" s="2" t="b">
        <v>1</v>
      </c>
      <c r="I3705" s="2">
        <v>-1.0</v>
      </c>
      <c r="J3705" s="2" t="b">
        <v>0</v>
      </c>
      <c r="K3705" s="2" t="b">
        <v>0</v>
      </c>
      <c r="L3705" s="2" t="b">
        <v>0</v>
      </c>
      <c r="M3705" s="2" t="b">
        <v>0</v>
      </c>
      <c r="N3705" s="2" t="s">
        <v>33</v>
      </c>
      <c r="O3705" s="2">
        <v>40.0</v>
      </c>
      <c r="P3705" s="2">
        <v>0.0</v>
      </c>
      <c r="Q3705" s="2">
        <v>44.0</v>
      </c>
      <c r="R3705" s="2">
        <v>0.0</v>
      </c>
      <c r="S3705" s="3" t="s">
        <v>15067</v>
      </c>
      <c r="T3705" s="2" t="s">
        <v>15068</v>
      </c>
      <c r="Y3705" s="4" t="str">
        <f>IFERROR(__xludf.DUMMYFUNCTION("""COMPUTED_VALUE"""),"6.4955687")</f>
        <v>6.4955687</v>
      </c>
      <c r="Z3705" s="4" t="str">
        <f>IFERROR(__xludf.DUMMYFUNCTION("""COMPUTED_VALUE"""),"2.8676861")</f>
        <v>2.8676861</v>
      </c>
      <c r="AA3705" s="4" t="str">
        <f t="shared" si="1"/>
        <v>Not Neighbor</v>
      </c>
      <c r="AC3705" s="4">
        <f>IFERROR(__xludf.DUMMYFUNCTION("IFERROR(ABS(O3705-AVERAGE(FILTER(O3705:O7773,AA3705:AA7773=""Neighbor""))) / STDEV(FILTER(O3705:O7773, AA3705:AA7773 =""Neighbor"")), """")"),0.08675123044813786)</f>
        <v>0.08675123045</v>
      </c>
      <c r="AF3705" s="2">
        <f>IFERROR(__xludf.DUMMYFUNCTION("IFERROR(ABS(R3705-AVERAGE(FILTER(R3705:R7773,AA3705:AA7773=""Neighbor""))) / STDEV(FILTER(R3705:R7773, AA3705:AA7773 =""Neighbor"")), """")"),0.40275440398455276)</f>
        <v>0.402754404</v>
      </c>
    </row>
    <row r="3706">
      <c r="A3706" s="2" t="s">
        <v>28</v>
      </c>
      <c r="B3706" s="2" t="s">
        <v>7366</v>
      </c>
      <c r="C3706" s="2" t="s">
        <v>7666</v>
      </c>
      <c r="D3706" s="2" t="s">
        <v>15069</v>
      </c>
      <c r="E3706" s="2" t="s">
        <v>15070</v>
      </c>
      <c r="F3706" s="2">
        <v>195.0</v>
      </c>
      <c r="G3706" s="2">
        <v>239.0</v>
      </c>
      <c r="H3706" s="2" t="b">
        <v>1</v>
      </c>
      <c r="I3706" s="2">
        <v>-1.0</v>
      </c>
      <c r="J3706" s="2" t="b">
        <v>0</v>
      </c>
      <c r="K3706" s="2" t="b">
        <v>0</v>
      </c>
      <c r="L3706" s="2" t="b">
        <v>0</v>
      </c>
      <c r="M3706" s="2" t="b">
        <v>0</v>
      </c>
      <c r="N3706" s="2" t="s">
        <v>33</v>
      </c>
      <c r="O3706" s="2">
        <v>83.0</v>
      </c>
      <c r="P3706" s="2">
        <v>1.0</v>
      </c>
      <c r="Q3706" s="2">
        <v>94.0</v>
      </c>
      <c r="R3706" s="2">
        <v>2.0</v>
      </c>
      <c r="S3706" s="3" t="s">
        <v>15071</v>
      </c>
      <c r="T3706" s="2" t="s">
        <v>15072</v>
      </c>
      <c r="Y3706" s="4" t="str">
        <f>IFERROR(__xludf.DUMMYFUNCTION("""COMPUTED_VALUE"""),"6.479")</f>
        <v>6.479</v>
      </c>
      <c r="Z3706" s="4" t="str">
        <f>IFERROR(__xludf.DUMMYFUNCTION("""COMPUTED_VALUE"""),"2.8607999")</f>
        <v>2.8607999</v>
      </c>
      <c r="AA3706" s="4" t="str">
        <f t="shared" si="1"/>
        <v>Not Neighbor</v>
      </c>
      <c r="AC3706" s="4">
        <f>IFERROR(__xludf.DUMMYFUNCTION("IFERROR(ABS(O3706-AVERAGE(FILTER(O3706:O7774,AA3706:AA7774=""Neighbor""))) / STDEV(FILTER(O3706:O7774, AA3706:AA7774 =""Neighbor"")), """")"),1.7060145511923188)</f>
        <v>1.706014551</v>
      </c>
      <c r="AF3706" s="2">
        <f>IFERROR(__xludf.DUMMYFUNCTION("IFERROR(ABS(R3706-AVERAGE(FILTER(R3706:R7774,AA3706:AA7774=""Neighbor""))) / STDEV(FILTER(R3706:R7774, AA3706:AA7774 =""Neighbor"")), """")"),2.9954858796351114)</f>
        <v>2.99548588</v>
      </c>
    </row>
    <row r="3707">
      <c r="A3707" s="2" t="s">
        <v>28</v>
      </c>
      <c r="B3707" s="2" t="s">
        <v>7366</v>
      </c>
      <c r="C3707" s="2" t="s">
        <v>7666</v>
      </c>
      <c r="D3707" s="2" t="s">
        <v>15073</v>
      </c>
      <c r="E3707" s="2" t="s">
        <v>15074</v>
      </c>
      <c r="F3707" s="2">
        <v>149.0</v>
      </c>
      <c r="G3707" s="2">
        <v>234.0</v>
      </c>
      <c r="H3707" s="2" t="b">
        <v>1</v>
      </c>
      <c r="I3707" s="2">
        <v>-1.0</v>
      </c>
      <c r="J3707" s="2" t="b">
        <v>0</v>
      </c>
      <c r="K3707" s="2" t="b">
        <v>0</v>
      </c>
      <c r="L3707" s="2" t="b">
        <v>0</v>
      </c>
      <c r="M3707" s="2" t="b">
        <v>0</v>
      </c>
      <c r="N3707" s="2" t="s">
        <v>33</v>
      </c>
      <c r="O3707" s="2">
        <v>46.0</v>
      </c>
      <c r="P3707" s="2">
        <v>0.0</v>
      </c>
      <c r="Q3707" s="2">
        <v>93.0</v>
      </c>
      <c r="R3707" s="2">
        <v>0.0</v>
      </c>
      <c r="S3707" s="3" t="s">
        <v>15075</v>
      </c>
      <c r="T3707" s="2" t="s">
        <v>15076</v>
      </c>
      <c r="Y3707" s="4" t="str">
        <f>IFERROR(__xludf.DUMMYFUNCTION("""COMPUTED_VALUE"""),"6.504289")</f>
        <v>6.504289</v>
      </c>
      <c r="Z3707" s="4" t="str">
        <f>IFERROR(__xludf.DUMMYFUNCTION("""COMPUTED_VALUE"""),"2.862888")</f>
        <v>2.862888</v>
      </c>
      <c r="AA3707" s="4" t="str">
        <f t="shared" si="1"/>
        <v>Not Neighbor</v>
      </c>
      <c r="AC3707" s="4">
        <f>IFERROR(__xludf.DUMMYFUNCTION("IFERROR(ABS(O3707-AVERAGE(FILTER(O3707:O7775,AA3707:AA7775=""Neighbor""))) / STDEV(FILTER(O3707:O7775, AA3707:AA7775 =""Neighbor"")), """")"),0.3126949496217445)</f>
        <v>0.3126949496</v>
      </c>
      <c r="AF3707" s="2">
        <f>IFERROR(__xludf.DUMMYFUNCTION("IFERROR(ABS(R3707-AVERAGE(FILTER(R3707:R7775,AA3707:AA7775=""Neighbor""))) / STDEV(FILTER(R3707:R7775, AA3707:AA7775 =""Neighbor"")), """")"),0.40275440398455276)</f>
        <v>0.402754404</v>
      </c>
    </row>
    <row r="3708">
      <c r="A3708" s="2" t="s">
        <v>28</v>
      </c>
      <c r="B3708" s="2" t="s">
        <v>7366</v>
      </c>
      <c r="C3708" s="2" t="s">
        <v>7666</v>
      </c>
      <c r="D3708" s="2" t="s">
        <v>15077</v>
      </c>
      <c r="E3708" s="2" t="s">
        <v>15078</v>
      </c>
      <c r="F3708" s="2">
        <v>117.0</v>
      </c>
      <c r="G3708" s="2">
        <v>135.0</v>
      </c>
      <c r="H3708" s="2" t="b">
        <v>1</v>
      </c>
      <c r="I3708" s="2">
        <v>-1.0</v>
      </c>
      <c r="J3708" s="2" t="b">
        <v>1</v>
      </c>
      <c r="K3708" s="2" t="b">
        <v>1</v>
      </c>
      <c r="L3708" s="2" t="b">
        <v>0</v>
      </c>
      <c r="M3708" s="2" t="b">
        <v>0</v>
      </c>
      <c r="N3708" s="2" t="s">
        <v>33</v>
      </c>
      <c r="O3708" s="2">
        <v>39.0</v>
      </c>
      <c r="P3708" s="2">
        <v>3.0</v>
      </c>
      <c r="Q3708" s="2">
        <v>54.0</v>
      </c>
      <c r="R3708" s="2">
        <v>0.0</v>
      </c>
      <c r="S3708" s="3" t="s">
        <v>15079</v>
      </c>
      <c r="T3708" s="2" t="s">
        <v>15080</v>
      </c>
      <c r="Y3708" s="4" t="str">
        <f>IFERROR(__xludf.DUMMYFUNCTION("""COMPUTED_VALUE"""),"6.4856093")</f>
        <v>6.4856093</v>
      </c>
      <c r="Z3708" s="4" t="str">
        <f>IFERROR(__xludf.DUMMYFUNCTION("""COMPUTED_VALUE"""),"2.8754511")</f>
        <v>2.8754511</v>
      </c>
      <c r="AA3708" s="4" t="str">
        <f t="shared" si="1"/>
        <v>Not Neighbor</v>
      </c>
      <c r="AC3708" s="4">
        <f>IFERROR(__xludf.DUMMYFUNCTION("IFERROR(ABS(O3708-AVERAGE(FILTER(O3708:O7776,AA3708:AA7776=""Neighbor""))) / STDEV(FILTER(O3708:O7776, AA3708:AA7776 =""Neighbor"")), """")"),0.04909394391920342)</f>
        <v>0.04909394392</v>
      </c>
      <c r="AF3708" s="2">
        <f>IFERROR(__xludf.DUMMYFUNCTION("IFERROR(ABS(R3708-AVERAGE(FILTER(R3708:R7776,AA3708:AA7776=""Neighbor""))) / STDEV(FILTER(R3708:R7776, AA3708:AA7776 =""Neighbor"")), """")"),0.40275440398455276)</f>
        <v>0.402754404</v>
      </c>
    </row>
    <row r="3709">
      <c r="A3709" s="2" t="s">
        <v>28</v>
      </c>
      <c r="B3709" s="2" t="s">
        <v>7366</v>
      </c>
      <c r="C3709" s="2" t="s">
        <v>7666</v>
      </c>
      <c r="D3709" s="2" t="s">
        <v>15081</v>
      </c>
      <c r="E3709" s="2" t="s">
        <v>15082</v>
      </c>
      <c r="F3709" s="2">
        <v>133.0</v>
      </c>
      <c r="G3709" s="2">
        <v>166.0</v>
      </c>
      <c r="H3709" s="2" t="b">
        <v>1</v>
      </c>
      <c r="I3709" s="2">
        <v>-1.0</v>
      </c>
      <c r="J3709" s="2" t="b">
        <v>0</v>
      </c>
      <c r="K3709" s="2" t="b">
        <v>0</v>
      </c>
      <c r="L3709" s="2" t="b">
        <v>0</v>
      </c>
      <c r="M3709" s="2" t="b">
        <v>0</v>
      </c>
      <c r="N3709" s="2" t="s">
        <v>33</v>
      </c>
      <c r="O3709" s="2">
        <v>81.0</v>
      </c>
      <c r="P3709" s="2">
        <v>1.0</v>
      </c>
      <c r="Q3709" s="2">
        <v>39.0</v>
      </c>
      <c r="R3709" s="2">
        <v>0.0</v>
      </c>
      <c r="S3709" s="3" t="s">
        <v>15083</v>
      </c>
      <c r="T3709" s="2" t="s">
        <v>15084</v>
      </c>
      <c r="Y3709" s="4" t="str">
        <f>IFERROR(__xludf.DUMMYFUNCTION("""COMPUTED_VALUE"""),"6.5343396")</f>
        <v>6.5343396</v>
      </c>
      <c r="Z3709" s="4" t="str">
        <f>IFERROR(__xludf.DUMMYFUNCTION("""COMPUTED_VALUE"""),"2.8415046")</f>
        <v>2.8415046</v>
      </c>
      <c r="AA3709" s="4" t="str">
        <f t="shared" si="1"/>
        <v>Neighbor</v>
      </c>
      <c r="AC3709" s="4">
        <f>IFERROR(__xludf.DUMMYFUNCTION("IFERROR(ABS(O3709-AVERAGE(FILTER(O3709:O7777,AA3709:AA7777=""Neighbor""))) / STDEV(FILTER(O3709:O7777, AA3709:AA7777 =""Neighbor"")), """")"),1.63069997813445)</f>
        <v>1.630699978</v>
      </c>
      <c r="AF3709" s="2">
        <f>IFERROR(__xludf.DUMMYFUNCTION("IFERROR(ABS(R3709-AVERAGE(FILTER(R3709:R7777,AA3709:AA7777=""Neighbor""))) / STDEV(FILTER(R3709:R7777, AA3709:AA7777 =""Neighbor"")), """")"),0.40275440398455276)</f>
        <v>0.402754404</v>
      </c>
    </row>
    <row r="3710">
      <c r="A3710" s="2" t="s">
        <v>28</v>
      </c>
      <c r="B3710" s="2" t="s">
        <v>7366</v>
      </c>
      <c r="C3710" s="2" t="s">
        <v>7579</v>
      </c>
      <c r="D3710" s="2" t="s">
        <v>15085</v>
      </c>
      <c r="E3710" s="2" t="s">
        <v>15086</v>
      </c>
      <c r="F3710" s="2">
        <v>218.0</v>
      </c>
      <c r="G3710" s="2">
        <v>750.0</v>
      </c>
      <c r="H3710" s="2" t="b">
        <v>1</v>
      </c>
      <c r="I3710" s="2">
        <v>-1.0</v>
      </c>
      <c r="J3710" s="2" t="b">
        <v>0</v>
      </c>
      <c r="K3710" s="2" t="b">
        <v>0</v>
      </c>
      <c r="L3710" s="2" t="b">
        <v>0</v>
      </c>
      <c r="M3710" s="2" t="b">
        <v>0</v>
      </c>
      <c r="N3710" s="2" t="s">
        <v>33</v>
      </c>
      <c r="O3710" s="2">
        <v>55.0</v>
      </c>
      <c r="P3710" s="2">
        <v>13.0</v>
      </c>
      <c r="Q3710" s="2">
        <v>136.0</v>
      </c>
      <c r="R3710" s="2">
        <v>1.0</v>
      </c>
      <c r="S3710" s="3" t="s">
        <v>15087</v>
      </c>
      <c r="T3710" s="2" t="s">
        <v>15088</v>
      </c>
      <c r="Y3710" s="4" t="str">
        <f>IFERROR(__xludf.DUMMYFUNCTION("""COMPUTED_VALUE"""),"6.5343396")</f>
        <v>6.5343396</v>
      </c>
      <c r="Z3710" s="4" t="str">
        <f>IFERROR(__xludf.DUMMYFUNCTION("""COMPUTED_VALUE"""),"2.8415046")</f>
        <v>2.8415046</v>
      </c>
      <c r="AA3710" s="4" t="str">
        <f t="shared" si="1"/>
        <v>Not Neighbor</v>
      </c>
      <c r="AC3710" s="4">
        <f>IFERROR(__xludf.DUMMYFUNCTION("IFERROR(ABS(O3710-AVERAGE(FILTER(O3710:O7778,AA3710:AA7778=""Neighbor""))) / STDEV(FILTER(O3710:O7778, AA3710:AA7778 =""Neighbor"")), """")"),0.6680098901170016)</f>
        <v>0.6680098901</v>
      </c>
      <c r="AF3710" s="2">
        <f>IFERROR(__xludf.DUMMYFUNCTION("IFERROR(ABS(R3710-AVERAGE(FILTER(R3710:R7778,AA3710:AA7778=""Neighbor""))) / STDEV(FILTER(R3710:R7778, AA3710:AA7778 =""Neighbor"")), """")"),1.289311539094207)</f>
        <v>1.289311539</v>
      </c>
    </row>
    <row r="3711">
      <c r="A3711" s="2" t="s">
        <v>28</v>
      </c>
      <c r="B3711" s="2" t="s">
        <v>7915</v>
      </c>
      <c r="C3711" s="2" t="s">
        <v>8435</v>
      </c>
      <c r="D3711" s="2" t="s">
        <v>15089</v>
      </c>
      <c r="E3711" s="2" t="s">
        <v>15090</v>
      </c>
      <c r="F3711" s="2">
        <v>122.0</v>
      </c>
      <c r="G3711" s="2">
        <v>483.0</v>
      </c>
      <c r="H3711" s="2" t="b">
        <v>1</v>
      </c>
      <c r="I3711" s="2">
        <v>-1.0</v>
      </c>
      <c r="J3711" s="2" t="b">
        <v>0</v>
      </c>
      <c r="K3711" s="2" t="b">
        <v>0</v>
      </c>
      <c r="L3711" s="2" t="b">
        <v>0</v>
      </c>
      <c r="M3711" s="2" t="b">
        <v>0</v>
      </c>
      <c r="N3711" s="2" t="s">
        <v>33</v>
      </c>
      <c r="O3711" s="2">
        <v>61.0</v>
      </c>
      <c r="P3711" s="2">
        <v>26.0</v>
      </c>
      <c r="Q3711" s="2">
        <v>25.0</v>
      </c>
      <c r="R3711" s="2">
        <v>0.0</v>
      </c>
      <c r="S3711" s="3" t="s">
        <v>15091</v>
      </c>
      <c r="T3711" s="2" t="s">
        <v>15092</v>
      </c>
      <c r="Y3711" s="4" t="str">
        <f>IFERROR(__xludf.DUMMYFUNCTION("""COMPUTED_VALUE"""),"6.948262")</f>
        <v>6.948262</v>
      </c>
      <c r="Z3711" s="4" t="str">
        <f>IFERROR(__xludf.DUMMYFUNCTION("""COMPUTED_VALUE"""),"3.5079264")</f>
        <v>3.5079264</v>
      </c>
      <c r="AA3711" s="4" t="str">
        <f t="shared" si="1"/>
        <v>Not Neighbor</v>
      </c>
      <c r="AC3711" s="4">
        <f>IFERROR(__xludf.DUMMYFUNCTION("IFERROR(ABS(O3711-AVERAGE(FILTER(O3711:O7779,AA3711:AA7779=""Neighbor""))) / STDEV(FILTER(O3711:O7779, AA3711:AA7779 =""Neighbor"")), """")"),0.8953934428917981)</f>
        <v>0.8953934429</v>
      </c>
      <c r="AF3711" s="2">
        <f>IFERROR(__xludf.DUMMYFUNCTION("IFERROR(ABS(R3711-AVERAGE(FILTER(R3711:R7779,AA3711:AA7779=""Neighbor""))) / STDEV(FILTER(R3711:R7779, AA3711:AA7779 =""Neighbor"")), """")"),0.4044898946177904)</f>
        <v>0.4044898946</v>
      </c>
    </row>
    <row r="3712">
      <c r="A3712" s="2" t="s">
        <v>28</v>
      </c>
      <c r="B3712" s="2" t="s">
        <v>7915</v>
      </c>
      <c r="C3712" s="2" t="s">
        <v>8060</v>
      </c>
      <c r="D3712" s="2" t="s">
        <v>15093</v>
      </c>
      <c r="E3712" s="2" t="s">
        <v>15094</v>
      </c>
      <c r="F3712" s="2">
        <v>76.0</v>
      </c>
      <c r="G3712" s="2">
        <v>399.0</v>
      </c>
      <c r="H3712" s="2" t="b">
        <v>1</v>
      </c>
      <c r="I3712" s="2">
        <v>-1.0</v>
      </c>
      <c r="J3712" s="2" t="b">
        <v>1</v>
      </c>
      <c r="K3712" s="2" t="b">
        <v>1</v>
      </c>
      <c r="L3712" s="2" t="b">
        <v>0</v>
      </c>
      <c r="M3712" s="2" t="b">
        <v>0</v>
      </c>
      <c r="N3712" s="2" t="s">
        <v>33</v>
      </c>
      <c r="O3712" s="2">
        <v>57.0</v>
      </c>
      <c r="P3712" s="2">
        <v>17.0</v>
      </c>
      <c r="Q3712" s="2">
        <v>3.0</v>
      </c>
      <c r="R3712" s="2">
        <v>0.0</v>
      </c>
      <c r="S3712" s="3" t="s">
        <v>15095</v>
      </c>
      <c r="T3712" s="2" t="s">
        <v>15096</v>
      </c>
      <c r="Y3712" s="4" t="str">
        <f>IFERROR(__xludf.DUMMYFUNCTION("""COMPUTED_VALUE"""),"6.9547665")</f>
        <v>6.9547665</v>
      </c>
      <c r="Z3712" s="4" t="str">
        <f>IFERROR(__xludf.DUMMYFUNCTION("""COMPUTED_VALUE"""),"3.5344692")</f>
        <v>3.5344692</v>
      </c>
      <c r="AA3712" s="4" t="str">
        <f t="shared" si="1"/>
        <v>Not Neighbor</v>
      </c>
      <c r="AC3712" s="4">
        <f>IFERROR(__xludf.DUMMYFUNCTION("IFERROR(ABS(O3712-AVERAGE(FILTER(O3712:O7780,AA3712:AA7780=""Neighbor""))) / STDEV(FILTER(O3712:O7780, AA3712:AA7780 =""Neighbor"")), """")"),0.7438044077086005)</f>
        <v>0.7438044077</v>
      </c>
      <c r="AF3712" s="2">
        <f>IFERROR(__xludf.DUMMYFUNCTION("IFERROR(ABS(R3712-AVERAGE(FILTER(R3712:R7780,AA3712:AA7780=""Neighbor""))) / STDEV(FILTER(R3712:R7780, AA3712:AA7780 =""Neighbor"")), """")"),0.4044898946177904)</f>
        <v>0.4044898946</v>
      </c>
    </row>
    <row r="3713">
      <c r="A3713" s="2" t="s">
        <v>28</v>
      </c>
      <c r="B3713" s="2" t="s">
        <v>7915</v>
      </c>
      <c r="C3713" s="2" t="s">
        <v>8060</v>
      </c>
      <c r="D3713" s="2" t="s">
        <v>15097</v>
      </c>
      <c r="E3713" s="2" t="s">
        <v>15098</v>
      </c>
      <c r="F3713" s="2">
        <v>81.0</v>
      </c>
      <c r="G3713" s="2">
        <v>236.0</v>
      </c>
      <c r="H3713" s="2" t="b">
        <v>1</v>
      </c>
      <c r="I3713" s="2">
        <v>-1.0</v>
      </c>
      <c r="J3713" s="2" t="b">
        <v>0</v>
      </c>
      <c r="K3713" s="2" t="b">
        <v>0</v>
      </c>
      <c r="L3713" s="2" t="b">
        <v>0</v>
      </c>
      <c r="M3713" s="2" t="b">
        <v>0</v>
      </c>
      <c r="N3713" s="2" t="s">
        <v>33</v>
      </c>
      <c r="O3713" s="2">
        <v>57.0</v>
      </c>
      <c r="P3713" s="2">
        <v>17.0</v>
      </c>
      <c r="Q3713" s="2">
        <v>3.0</v>
      </c>
      <c r="R3713" s="2">
        <v>0.0</v>
      </c>
      <c r="S3713" s="3" t="s">
        <v>15099</v>
      </c>
      <c r="T3713" s="2" t="s">
        <v>15100</v>
      </c>
      <c r="Y3713" s="4" t="str">
        <f>IFERROR(__xludf.DUMMYFUNCTION("""COMPUTED_VALUE"""),"6.9648267")</f>
        <v>6.9648267</v>
      </c>
      <c r="Z3713" s="4" t="str">
        <f>IFERROR(__xludf.DUMMYFUNCTION("""COMPUTED_VALUE"""),"3.6021223")</f>
        <v>3.6021223</v>
      </c>
      <c r="AA3713" s="4" t="str">
        <f t="shared" si="1"/>
        <v>Not Neighbor</v>
      </c>
      <c r="AC3713" s="4">
        <f>IFERROR(__xludf.DUMMYFUNCTION("IFERROR(ABS(O3713-AVERAGE(FILTER(O3713:O7781,AA3713:AA7781=""Neighbor""))) / STDEV(FILTER(O3713:O7781, AA3713:AA7781 =""Neighbor"")), """")"),0.7438044077086005)</f>
        <v>0.7438044077</v>
      </c>
      <c r="AF3713" s="2">
        <f>IFERROR(__xludf.DUMMYFUNCTION("IFERROR(ABS(R3713-AVERAGE(FILTER(R3713:R7781,AA3713:AA7781=""Neighbor""))) / STDEV(FILTER(R3713:R7781, AA3713:AA7781 =""Neighbor"")), """")"),0.4044898946177904)</f>
        <v>0.4044898946</v>
      </c>
    </row>
    <row r="3714">
      <c r="A3714" s="2" t="s">
        <v>28</v>
      </c>
      <c r="B3714" s="2" t="s">
        <v>7915</v>
      </c>
      <c r="C3714" s="2" t="s">
        <v>8468</v>
      </c>
      <c r="D3714" s="2" t="s">
        <v>15101</v>
      </c>
      <c r="E3714" s="2" t="s">
        <v>15102</v>
      </c>
      <c r="F3714" s="2">
        <v>22.0</v>
      </c>
      <c r="G3714" s="2">
        <v>55.0</v>
      </c>
      <c r="H3714" s="2" t="b">
        <v>1</v>
      </c>
      <c r="I3714" s="2">
        <v>-1.0</v>
      </c>
      <c r="J3714" s="2" t="b">
        <v>0</v>
      </c>
      <c r="K3714" s="2" t="b">
        <v>0</v>
      </c>
      <c r="L3714" s="2" t="b">
        <v>0</v>
      </c>
      <c r="M3714" s="2" t="b">
        <v>0</v>
      </c>
      <c r="N3714" s="2" t="s">
        <v>33</v>
      </c>
      <c r="O3714" s="2">
        <v>16.0</v>
      </c>
      <c r="P3714" s="2">
        <v>3.0</v>
      </c>
      <c r="Q3714" s="2">
        <v>2.0</v>
      </c>
      <c r="R3714" s="2">
        <v>0.0</v>
      </c>
      <c r="S3714" s="3" t="s">
        <v>15103</v>
      </c>
      <c r="T3714" s="2" t="s">
        <v>15104</v>
      </c>
      <c r="Y3714" s="4" t="str">
        <f>IFERROR(__xludf.DUMMYFUNCTION("""COMPUTED_VALUE"""),"7.1855421")</f>
        <v>7.1855421</v>
      </c>
      <c r="Z3714" s="4" t="str">
        <f>IFERROR(__xludf.DUMMYFUNCTION("""COMPUTED_VALUE"""),"3.7232005")</f>
        <v>3.7232005</v>
      </c>
      <c r="AA3714" s="4" t="str">
        <f t="shared" si="1"/>
        <v>Not Neighbor</v>
      </c>
      <c r="AC3714" s="4">
        <f>IFERROR(__xludf.DUMMYFUNCTION("IFERROR(ABS(O3714-AVERAGE(FILTER(O3714:O7782,AA3714:AA7782=""Neighbor""))) / STDEV(FILTER(O3714:O7782, AA3714:AA7782 =""Neighbor"")), """")"),0.8099832029191758)</f>
        <v>0.8099832029</v>
      </c>
      <c r="AF3714" s="2">
        <f>IFERROR(__xludf.DUMMYFUNCTION("IFERROR(ABS(R3714-AVERAGE(FILTER(R3714:R7782,AA3714:AA7782=""Neighbor""))) / STDEV(FILTER(R3714:R7782, AA3714:AA7782 =""Neighbor"")), """")"),0.4044898946177904)</f>
        <v>0.4044898946</v>
      </c>
    </row>
    <row r="3715">
      <c r="A3715" s="2" t="s">
        <v>28</v>
      </c>
      <c r="B3715" s="2" t="s">
        <v>7915</v>
      </c>
      <c r="C3715" s="2" t="s">
        <v>8304</v>
      </c>
      <c r="D3715" s="2" t="s">
        <v>15105</v>
      </c>
      <c r="E3715" s="2" t="s">
        <v>15106</v>
      </c>
      <c r="F3715" s="2">
        <v>102.0</v>
      </c>
      <c r="G3715" s="2">
        <v>177.0</v>
      </c>
      <c r="H3715" s="2" t="b">
        <v>1</v>
      </c>
      <c r="I3715" s="2">
        <v>-1.0</v>
      </c>
      <c r="J3715" s="2" t="b">
        <v>0</v>
      </c>
      <c r="K3715" s="2" t="b">
        <v>0</v>
      </c>
      <c r="L3715" s="2" t="b">
        <v>0</v>
      </c>
      <c r="M3715" s="2" t="b">
        <v>0</v>
      </c>
      <c r="N3715" s="2" t="s">
        <v>33</v>
      </c>
      <c r="O3715" s="2">
        <v>58.0</v>
      </c>
      <c r="P3715" s="2">
        <v>25.0</v>
      </c>
      <c r="Q3715" s="2">
        <v>7.0</v>
      </c>
      <c r="R3715" s="2">
        <v>1.0</v>
      </c>
      <c r="S3715" s="3" t="s">
        <v>15107</v>
      </c>
      <c r="T3715" s="2" t="s">
        <v>15108</v>
      </c>
      <c r="Y3715" s="4" t="str">
        <f>IFERROR(__xludf.DUMMYFUNCTION("""COMPUTED_VALUE"""),"7.1193126")</f>
        <v>7.1193126</v>
      </c>
      <c r="Z3715" s="4" t="str">
        <f>IFERROR(__xludf.DUMMYFUNCTION("""COMPUTED_VALUE"""),"3.3982514")</f>
        <v>3.3982514</v>
      </c>
      <c r="AA3715" s="4" t="str">
        <f t="shared" si="1"/>
        <v>Neighbor</v>
      </c>
      <c r="AC3715" s="4">
        <f>IFERROR(__xludf.DUMMYFUNCTION("IFERROR(ABS(O3715-AVERAGE(FILTER(O3715:O7783,AA3715:AA7783=""Neighbor""))) / STDEV(FILTER(O3715:O7783, AA3715:AA7783 =""Neighbor"")), """")"),0.7817016665043999)</f>
        <v>0.7817016665</v>
      </c>
      <c r="AF3715" s="2">
        <f>IFERROR(__xludf.DUMMYFUNCTION("IFERROR(ABS(R3715-AVERAGE(FILTER(R3715:R7783,AA3715:AA7783=""Neighbor""))) / STDEV(FILTER(R3715:R7783, AA3715:AA7783 =""Neighbor"")), """")"),1.289311539094207)</f>
        <v>1.289311539</v>
      </c>
    </row>
    <row r="3716">
      <c r="A3716" s="2" t="s">
        <v>28</v>
      </c>
      <c r="B3716" s="2" t="s">
        <v>7915</v>
      </c>
      <c r="C3716" s="2" t="s">
        <v>8304</v>
      </c>
      <c r="D3716" s="2" t="s">
        <v>15109</v>
      </c>
      <c r="E3716" s="2" t="s">
        <v>15110</v>
      </c>
      <c r="F3716" s="2">
        <v>120.0</v>
      </c>
      <c r="G3716" s="2">
        <v>228.0</v>
      </c>
      <c r="H3716" s="2" t="b">
        <v>1</v>
      </c>
      <c r="I3716" s="2">
        <v>-1.0</v>
      </c>
      <c r="J3716" s="2" t="b">
        <v>1</v>
      </c>
      <c r="K3716" s="2" t="b">
        <v>0</v>
      </c>
      <c r="L3716" s="2" t="b">
        <v>0</v>
      </c>
      <c r="M3716" s="2" t="b">
        <v>0</v>
      </c>
      <c r="N3716" s="2" t="s">
        <v>33</v>
      </c>
      <c r="O3716" s="2">
        <v>68.0</v>
      </c>
      <c r="P3716" s="2">
        <v>33.0</v>
      </c>
      <c r="Q3716" s="2">
        <v>5.0</v>
      </c>
      <c r="R3716" s="2">
        <v>1.0</v>
      </c>
      <c r="S3716" s="3" t="s">
        <v>15111</v>
      </c>
      <c r="T3716" s="2" t="s">
        <v>15112</v>
      </c>
      <c r="Y3716" s="4" t="str">
        <f>IFERROR(__xludf.DUMMYFUNCTION("""COMPUTED_VALUE"""),"7.1215734")</f>
        <v>7.1215734</v>
      </c>
      <c r="Z3716" s="4" t="str">
        <f>IFERROR(__xludf.DUMMYFUNCTION("""COMPUTED_VALUE"""),"3.3886591")</f>
        <v>3.3886591</v>
      </c>
      <c r="AA3716" s="4" t="str">
        <f t="shared" si="1"/>
        <v>Not Neighbor</v>
      </c>
      <c r="AC3716" s="4">
        <f>IFERROR(__xludf.DUMMYFUNCTION("IFERROR(ABS(O3716-AVERAGE(FILTER(O3716:O7784,AA3716:AA7784=""Neighbor""))) / STDEV(FILTER(O3716:O7784, AA3716:AA7784 =""Neighbor"")), """")"),1.164857069853196)</f>
        <v>1.16485707</v>
      </c>
      <c r="AF3716" s="2">
        <f>IFERROR(__xludf.DUMMYFUNCTION("IFERROR(ABS(R3716-AVERAGE(FILTER(R3716:R7784,AA3716:AA7784=""Neighbor""))) / STDEV(FILTER(R3716:R7784, AA3716:AA7784 =""Neighbor"")), """")"),1.302338846500975)</f>
        <v>1.302338847</v>
      </c>
    </row>
    <row r="3717">
      <c r="A3717" s="2" t="s">
        <v>28</v>
      </c>
      <c r="B3717" s="2" t="s">
        <v>7915</v>
      </c>
      <c r="C3717" s="2" t="s">
        <v>8304</v>
      </c>
      <c r="D3717" s="2" t="s">
        <v>15113</v>
      </c>
      <c r="E3717" s="2" t="s">
        <v>15114</v>
      </c>
      <c r="F3717" s="2">
        <v>228.0</v>
      </c>
      <c r="G3717" s="2">
        <v>427.0</v>
      </c>
      <c r="H3717" s="2" t="b">
        <v>1</v>
      </c>
      <c r="I3717" s="2">
        <v>-1.0</v>
      </c>
      <c r="J3717" s="2" t="b">
        <v>0</v>
      </c>
      <c r="K3717" s="2" t="b">
        <v>0</v>
      </c>
      <c r="L3717" s="2" t="b">
        <v>0</v>
      </c>
      <c r="M3717" s="2" t="b">
        <v>0</v>
      </c>
      <c r="N3717" s="2" t="s">
        <v>33</v>
      </c>
      <c r="O3717" s="2">
        <v>127.0</v>
      </c>
      <c r="P3717" s="2">
        <v>34.0</v>
      </c>
      <c r="Q3717" s="2">
        <v>42.0</v>
      </c>
      <c r="R3717" s="2">
        <v>2.0</v>
      </c>
      <c r="S3717" s="3" t="s">
        <v>15115</v>
      </c>
      <c r="T3717" s="2" t="s">
        <v>15116</v>
      </c>
      <c r="Y3717" s="4" t="str">
        <f>IFERROR(__xludf.DUMMYFUNCTION("""COMPUTED_VALUE"""),"7.139936")</f>
        <v>7.139936</v>
      </c>
      <c r="Z3717" s="4" t="str">
        <f>IFERROR(__xludf.DUMMYFUNCTION("""COMPUTED_VALUE"""),"3.4132969")</f>
        <v>3.4132969</v>
      </c>
      <c r="AA3717" s="4" t="str">
        <f t="shared" si="1"/>
        <v>Not Neighbor</v>
      </c>
      <c r="AC3717" s="4">
        <f>IFERROR(__xludf.DUMMYFUNCTION("IFERROR(ABS(O3717-AVERAGE(FILTER(O3717:O7785,AA3717:AA7785=""Neighbor""))) / STDEV(FILTER(O3717:O7785, AA3717:AA7785 =""Neighbor"")), """")"),3.39754720838227)</f>
        <v>3.397547208</v>
      </c>
      <c r="AF3717" s="2">
        <f>IFERROR(__xludf.DUMMYFUNCTION("IFERROR(ABS(R3717-AVERAGE(FILTER(R3717:R7785,AA3717:AA7785=""Neighbor""))) / STDEV(FILTER(R3717:R7785, AA3717:AA7785 =""Neighbor"")), """")"),3.0004865581149915)</f>
        <v>3.000486558</v>
      </c>
    </row>
    <row r="3718">
      <c r="A3718" s="2" t="s">
        <v>28</v>
      </c>
      <c r="B3718" s="2" t="s">
        <v>7915</v>
      </c>
      <c r="C3718" s="2" t="s">
        <v>8349</v>
      </c>
      <c r="D3718" s="2" t="s">
        <v>15117</v>
      </c>
      <c r="E3718" s="2" t="s">
        <v>15118</v>
      </c>
      <c r="F3718" s="2">
        <v>35.0</v>
      </c>
      <c r="G3718" s="2">
        <v>97.0</v>
      </c>
      <c r="H3718" s="2" t="b">
        <v>1</v>
      </c>
      <c r="I3718" s="2">
        <v>-1.0</v>
      </c>
      <c r="J3718" s="2" t="b">
        <v>0</v>
      </c>
      <c r="K3718" s="2" t="b">
        <v>0</v>
      </c>
      <c r="L3718" s="2" t="b">
        <v>0</v>
      </c>
      <c r="M3718" s="2" t="b">
        <v>0</v>
      </c>
      <c r="N3718" s="2" t="s">
        <v>33</v>
      </c>
      <c r="O3718" s="2">
        <v>19.0</v>
      </c>
      <c r="P3718" s="2">
        <v>7.0</v>
      </c>
      <c r="Q3718" s="2">
        <v>7.0</v>
      </c>
      <c r="R3718" s="2">
        <v>0.0</v>
      </c>
      <c r="S3718" s="3" t="s">
        <v>15119</v>
      </c>
      <c r="T3718" s="2" t="s">
        <v>15120</v>
      </c>
      <c r="Y3718" s="4" t="str">
        <f>IFERROR(__xludf.DUMMYFUNCTION("""COMPUTED_VALUE"""),"8.0901864")</f>
        <v>8.0901864</v>
      </c>
      <c r="Z3718" s="4" t="str">
        <f>IFERROR(__xludf.DUMMYFUNCTION("""COMPUTED_VALUE"""),"3.346448")</f>
        <v>3.346448</v>
      </c>
      <c r="AA3718" s="4" t="str">
        <f t="shared" si="1"/>
        <v>Not Neighbor</v>
      </c>
      <c r="AC3718" s="4">
        <f>IFERROR(__xludf.DUMMYFUNCTION("IFERROR(ABS(O3718-AVERAGE(FILTER(O3718:O7786,AA3718:AA7786=""Neighbor""))) / STDEV(FILTER(O3718:O7786, AA3718:AA7786 =""Neighbor"")), """")"),0.689411011298069)</f>
        <v>0.6894110113</v>
      </c>
      <c r="AF3718" s="2">
        <f>IFERROR(__xludf.DUMMYFUNCTION("IFERROR(ABS(R3718-AVERAGE(FILTER(R3718:R7786,AA3718:AA7786=""Neighbor""))) / STDEV(FILTER(R3718:R7786, AA3718:AA7786 =""Neighbor"")), """")"),0.3958088651130414)</f>
        <v>0.3958088651</v>
      </c>
    </row>
    <row r="3719">
      <c r="A3719" s="2" t="s">
        <v>28</v>
      </c>
      <c r="B3719" s="2" t="s">
        <v>7915</v>
      </c>
      <c r="C3719" s="2" t="s">
        <v>7916</v>
      </c>
      <c r="D3719" s="2" t="s">
        <v>15121</v>
      </c>
      <c r="E3719" s="2" t="s">
        <v>15122</v>
      </c>
      <c r="F3719" s="2">
        <v>24.0</v>
      </c>
      <c r="G3719" s="2">
        <v>55.0</v>
      </c>
      <c r="H3719" s="2" t="b">
        <v>1</v>
      </c>
      <c r="I3719" s="2">
        <v>-1.0</v>
      </c>
      <c r="J3719" s="2" t="b">
        <v>0</v>
      </c>
      <c r="K3719" s="2" t="b">
        <v>0</v>
      </c>
      <c r="L3719" s="2" t="b">
        <v>0</v>
      </c>
      <c r="M3719" s="2" t="b">
        <v>0</v>
      </c>
      <c r="N3719" s="2" t="s">
        <v>33</v>
      </c>
      <c r="O3719" s="2">
        <v>19.0</v>
      </c>
      <c r="P3719" s="2">
        <v>2.0</v>
      </c>
      <c r="Q3719" s="2">
        <v>1.0</v>
      </c>
      <c r="R3719" s="2">
        <v>0.0</v>
      </c>
      <c r="S3719" s="3" t="s">
        <v>15123</v>
      </c>
      <c r="T3719" s="2" t="s">
        <v>15124</v>
      </c>
      <c r="Y3719" s="4" t="str">
        <f>IFERROR(__xludf.DUMMYFUNCTION("""COMPUTED_VALUE"""),"6.8829486")</f>
        <v>6.8829486</v>
      </c>
      <c r="Z3719" s="4" t="str">
        <f>IFERROR(__xludf.DUMMYFUNCTION("""COMPUTED_VALUE"""),"3.3697542")</f>
        <v>3.3697542</v>
      </c>
      <c r="AA3719" s="4" t="str">
        <f t="shared" si="1"/>
        <v>Not Neighbor</v>
      </c>
      <c r="AC3719" s="4">
        <f>IFERROR(__xludf.DUMMYFUNCTION("IFERROR(ABS(O3719-AVERAGE(FILTER(O3719:O7787,AA3719:AA7787=""Neighbor""))) / STDEV(FILTER(O3719:O7787, AA3719:AA7787 =""Neighbor"")), """")"),0.689411011298069)</f>
        <v>0.6894110113</v>
      </c>
      <c r="AF3719" s="2">
        <f>IFERROR(__xludf.DUMMYFUNCTION("IFERROR(ABS(R3719-AVERAGE(FILTER(R3719:R7787,AA3719:AA7787=""Neighbor""))) / STDEV(FILTER(R3719:R7787, AA3719:AA7787 =""Neighbor"")), """")"),0.3958088651130414)</f>
        <v>0.3958088651</v>
      </c>
    </row>
    <row r="3720">
      <c r="A3720" s="2" t="s">
        <v>28</v>
      </c>
      <c r="B3720" s="2" t="s">
        <v>7915</v>
      </c>
      <c r="C3720" s="2" t="s">
        <v>7916</v>
      </c>
      <c r="D3720" s="2" t="s">
        <v>15125</v>
      </c>
      <c r="E3720" s="2" t="s">
        <v>15126</v>
      </c>
      <c r="F3720" s="2">
        <v>76.0</v>
      </c>
      <c r="G3720" s="2">
        <v>121.0</v>
      </c>
      <c r="H3720" s="2" t="b">
        <v>1</v>
      </c>
      <c r="I3720" s="2">
        <v>-1.0</v>
      </c>
      <c r="J3720" s="2" t="b">
        <v>0</v>
      </c>
      <c r="K3720" s="2" t="b">
        <v>1</v>
      </c>
      <c r="L3720" s="2" t="b">
        <v>0</v>
      </c>
      <c r="M3720" s="2" t="b">
        <v>0</v>
      </c>
      <c r="N3720" s="2" t="s">
        <v>33</v>
      </c>
      <c r="O3720" s="2">
        <v>59.0</v>
      </c>
      <c r="P3720" s="2">
        <v>1.0</v>
      </c>
      <c r="Q3720" s="2">
        <v>10.0</v>
      </c>
      <c r="R3720" s="2">
        <v>0.0</v>
      </c>
      <c r="S3720" s="3" t="s">
        <v>15127</v>
      </c>
      <c r="T3720" s="2" t="s">
        <v>15128</v>
      </c>
      <c r="Y3720" s="4" t="str">
        <f>IFERROR(__xludf.DUMMYFUNCTION("""COMPUTED_VALUE"""),"6.879599")</f>
        <v>6.879599</v>
      </c>
      <c r="Z3720" s="4" t="str">
        <f>IFERROR(__xludf.DUMMYFUNCTION("""COMPUTED_VALUE"""),"3.391259")</f>
        <v>3.391259</v>
      </c>
      <c r="AA3720" s="4" t="str">
        <f t="shared" si="1"/>
        <v>Not Neighbor</v>
      </c>
      <c r="AC3720" s="4">
        <f>IFERROR(__xludf.DUMMYFUNCTION("IFERROR(ABS(O3720-AVERAGE(FILTER(O3720:O7788,AA3720:AA7788=""Neighbor""))) / STDEV(FILTER(O3720:O7788, AA3720:AA7788 =""Neighbor"")), """")"),0.8242772182131677)</f>
        <v>0.8242772182</v>
      </c>
      <c r="AF3720" s="2">
        <f>IFERROR(__xludf.DUMMYFUNCTION("IFERROR(ABS(R3720-AVERAGE(FILTER(R3720:R7788,AA3720:AA7788=""Neighbor""))) / STDEV(FILTER(R3720:R7788, AA3720:AA7788 =""Neighbor"")), """")"),0.3958088651130414)</f>
        <v>0.3958088651</v>
      </c>
    </row>
    <row r="3721">
      <c r="A3721" s="2" t="s">
        <v>28</v>
      </c>
      <c r="B3721" s="2" t="s">
        <v>7915</v>
      </c>
      <c r="C3721" s="2" t="s">
        <v>7916</v>
      </c>
      <c r="D3721" s="2" t="s">
        <v>15129</v>
      </c>
      <c r="E3721" s="2" t="s">
        <v>15130</v>
      </c>
      <c r="F3721" s="2">
        <v>26.0</v>
      </c>
      <c r="G3721" s="2">
        <v>76.0</v>
      </c>
      <c r="H3721" s="2" t="b">
        <v>1</v>
      </c>
      <c r="I3721" s="2">
        <v>-1.0</v>
      </c>
      <c r="J3721" s="2" t="b">
        <v>0</v>
      </c>
      <c r="K3721" s="2" t="b">
        <v>0</v>
      </c>
      <c r="L3721" s="2" t="b">
        <v>0</v>
      </c>
      <c r="M3721" s="2" t="b">
        <v>0</v>
      </c>
      <c r="N3721" s="2" t="s">
        <v>33</v>
      </c>
      <c r="O3721" s="2">
        <v>17.0</v>
      </c>
      <c r="P3721" s="2">
        <v>1.0</v>
      </c>
      <c r="Q3721" s="2">
        <v>4.0</v>
      </c>
      <c r="R3721" s="2">
        <v>1.0</v>
      </c>
      <c r="S3721" s="3" t="s">
        <v>15131</v>
      </c>
      <c r="T3721" s="2" t="s">
        <v>15132</v>
      </c>
      <c r="Y3721" s="4" t="str">
        <f>IFERROR(__xludf.DUMMYFUNCTION("""COMPUTED_VALUE"""),"6.8829486")</f>
        <v>6.8829486</v>
      </c>
      <c r="Z3721" s="4" t="str">
        <f>IFERROR(__xludf.DUMMYFUNCTION("""COMPUTED_VALUE"""),"3.3697542")</f>
        <v>3.3697542</v>
      </c>
      <c r="AA3721" s="4" t="str">
        <f t="shared" si="1"/>
        <v>Not Neighbor</v>
      </c>
      <c r="AC3721" s="4">
        <f>IFERROR(__xludf.DUMMYFUNCTION("IFERROR(ABS(O3721-AVERAGE(FILTER(O3721:O7789,AA3721:AA7789=""Neighbor""))) / STDEV(FILTER(O3721:O7789, AA3721:AA7789 =""Neighbor"")), """")"),0.7650954227736309)</f>
        <v>0.7650954228</v>
      </c>
      <c r="AF3721" s="2">
        <f>IFERROR(__xludf.DUMMYFUNCTION("IFERROR(ABS(R3721-AVERAGE(FILTER(R3721:R7789,AA3721:AA7789=""Neighbor""))) / STDEV(FILTER(R3721:R7789, AA3721:AA7789 =""Neighbor"")), """")"),1.302338846500975)</f>
        <v>1.302338847</v>
      </c>
    </row>
    <row r="3722">
      <c r="A3722" s="2" t="s">
        <v>28</v>
      </c>
      <c r="B3722" s="2" t="s">
        <v>7915</v>
      </c>
      <c r="C3722" s="2" t="s">
        <v>8117</v>
      </c>
      <c r="D3722" s="2" t="s">
        <v>15133</v>
      </c>
      <c r="E3722" s="2" t="s">
        <v>15134</v>
      </c>
      <c r="F3722" s="2">
        <v>31.0</v>
      </c>
      <c r="G3722" s="2">
        <v>57.0</v>
      </c>
      <c r="H3722" s="2" t="b">
        <v>1</v>
      </c>
      <c r="I3722" s="2">
        <v>-1.0</v>
      </c>
      <c r="J3722" s="2" t="b">
        <v>0</v>
      </c>
      <c r="K3722" s="2" t="b">
        <v>0</v>
      </c>
      <c r="L3722" s="2" t="b">
        <v>0</v>
      </c>
      <c r="M3722" s="2" t="b">
        <v>0</v>
      </c>
      <c r="N3722" s="2" t="s">
        <v>33</v>
      </c>
      <c r="O3722" s="2">
        <v>23.0</v>
      </c>
      <c r="P3722" s="2">
        <v>4.0</v>
      </c>
      <c r="Q3722" s="2">
        <v>1.0</v>
      </c>
      <c r="R3722" s="2">
        <v>2.0</v>
      </c>
      <c r="S3722" s="3" t="s">
        <v>15135</v>
      </c>
      <c r="T3722" s="2" t="s">
        <v>15136</v>
      </c>
      <c r="Y3722" s="4" t="str">
        <f>IFERROR(__xludf.DUMMYFUNCTION("""COMPUTED_VALUE"""),"7.0318885")</f>
        <v>7.0318885</v>
      </c>
      <c r="Z3722" s="4" t="str">
        <f>IFERROR(__xludf.DUMMYFUNCTION("""COMPUTED_VALUE"""),"3.4532267")</f>
        <v>3.4532267</v>
      </c>
      <c r="AA3722" s="4" t="str">
        <f t="shared" si="1"/>
        <v>Not Neighbor</v>
      </c>
      <c r="AC3722" s="4">
        <f>IFERROR(__xludf.DUMMYFUNCTION("IFERROR(ABS(O3722-AVERAGE(FILTER(O3722:O7790,AA3722:AA7790=""Neighbor""))) / STDEV(FILTER(O3722:O7790, AA3722:AA7790 =""Neighbor"")), """")"),0.5380421883469454)</f>
        <v>0.5380421883</v>
      </c>
      <c r="AF3722" s="2">
        <f>IFERROR(__xludf.DUMMYFUNCTION("IFERROR(ABS(R3722-AVERAGE(FILTER(R3722:R7790,AA3722:AA7790=""Neighbor""))) / STDEV(FILTER(R3722:R7790, AA3722:AA7790 =""Neighbor"")), """")"),3.0004865581149915)</f>
        <v>3.000486558</v>
      </c>
    </row>
    <row r="3723">
      <c r="A3723" s="2" t="s">
        <v>28</v>
      </c>
      <c r="B3723" s="2" t="s">
        <v>7915</v>
      </c>
      <c r="C3723" s="2" t="s">
        <v>8117</v>
      </c>
      <c r="D3723" s="2" t="s">
        <v>15137</v>
      </c>
      <c r="E3723" s="2" t="s">
        <v>15138</v>
      </c>
      <c r="F3723" s="2">
        <v>47.0</v>
      </c>
      <c r="G3723" s="2">
        <v>95.0</v>
      </c>
      <c r="H3723" s="2" t="b">
        <v>1</v>
      </c>
      <c r="I3723" s="2">
        <v>-1.0</v>
      </c>
      <c r="J3723" s="2" t="b">
        <v>0</v>
      </c>
      <c r="K3723" s="2" t="b">
        <v>0</v>
      </c>
      <c r="L3723" s="2" t="b">
        <v>0</v>
      </c>
      <c r="M3723" s="2" t="b">
        <v>0</v>
      </c>
      <c r="N3723" s="2" t="s">
        <v>33</v>
      </c>
      <c r="O3723" s="2">
        <v>29.0</v>
      </c>
      <c r="P3723" s="2">
        <v>9.0</v>
      </c>
      <c r="Q3723" s="2">
        <v>2.0</v>
      </c>
      <c r="R3723" s="2">
        <v>0.0</v>
      </c>
      <c r="S3723" s="3" t="s">
        <v>15139</v>
      </c>
      <c r="T3723" s="2" t="s">
        <v>15140</v>
      </c>
      <c r="Y3723" s="4" t="str">
        <f>IFERROR(__xludf.DUMMYFUNCTION("""COMPUTED_VALUE"""),"7.072065")</f>
        <v>7.072065</v>
      </c>
      <c r="Z3723" s="4" t="str">
        <f>IFERROR(__xludf.DUMMYFUNCTION("""COMPUTED_VALUE"""),"3.5662442")</f>
        <v>3.5662442</v>
      </c>
      <c r="AA3723" s="4" t="str">
        <f t="shared" si="1"/>
        <v>Not Neighbor</v>
      </c>
      <c r="AC3723" s="4">
        <f>IFERROR(__xludf.DUMMYFUNCTION("IFERROR(ABS(O3723-AVERAGE(FILTER(O3723:O7791,AA3723:AA7791=""Neighbor""))) / STDEV(FILTER(O3723:O7791, AA3723:AA7791 =""Neighbor"")), """")"),0.3109889539202598)</f>
        <v>0.3109889539</v>
      </c>
      <c r="AF3723" s="2">
        <f>IFERROR(__xludf.DUMMYFUNCTION("IFERROR(ABS(R3723-AVERAGE(FILTER(R3723:R7791,AA3723:AA7791=""Neighbor""))) / STDEV(FILTER(R3723:R7791, AA3723:AA7791 =""Neighbor"")), """")"),0.3958088651130414)</f>
        <v>0.3958088651</v>
      </c>
    </row>
    <row r="3724">
      <c r="A3724" s="2" t="s">
        <v>28</v>
      </c>
      <c r="B3724" s="2" t="s">
        <v>7915</v>
      </c>
      <c r="C3724" s="2" t="s">
        <v>8219</v>
      </c>
      <c r="D3724" s="2" t="s">
        <v>15141</v>
      </c>
      <c r="E3724" s="2" t="s">
        <v>15142</v>
      </c>
      <c r="F3724" s="2">
        <v>104.0</v>
      </c>
      <c r="G3724" s="2">
        <v>173.0</v>
      </c>
      <c r="H3724" s="2" t="b">
        <v>1</v>
      </c>
      <c r="I3724" s="2">
        <v>-1.0</v>
      </c>
      <c r="J3724" s="2" t="b">
        <v>0</v>
      </c>
      <c r="K3724" s="2" t="b">
        <v>0</v>
      </c>
      <c r="L3724" s="2" t="b">
        <v>0</v>
      </c>
      <c r="M3724" s="2" t="b">
        <v>0</v>
      </c>
      <c r="N3724" s="2" t="s">
        <v>33</v>
      </c>
      <c r="O3724" s="2">
        <v>45.0</v>
      </c>
      <c r="P3724" s="2">
        <v>16.0</v>
      </c>
      <c r="Q3724" s="2">
        <v>12.0</v>
      </c>
      <c r="R3724" s="2">
        <v>2.0</v>
      </c>
      <c r="S3724" s="3" t="s">
        <v>15143</v>
      </c>
      <c r="T3724" s="2" t="s">
        <v>15144</v>
      </c>
      <c r="Y3724" s="4" t="str">
        <f>IFERROR(__xludf.DUMMYFUNCTION("""COMPUTED_VALUE"""),"6.948262")</f>
        <v>6.948262</v>
      </c>
      <c r="Z3724" s="4" t="str">
        <f>IFERROR(__xludf.DUMMYFUNCTION("""COMPUTED_VALUE"""),"3.5079264")</f>
        <v>3.5079264</v>
      </c>
      <c r="AA3724" s="4" t="str">
        <f t="shared" si="1"/>
        <v>Neighbor</v>
      </c>
      <c r="AC3724" s="4">
        <f>IFERROR(__xludf.DUMMYFUNCTION("IFERROR(ABS(O3724-AVERAGE(FILTER(O3724:O7792,AA3724:AA7792=""Neighbor""))) / STDEV(FILTER(O3724:O7792, AA3724:AA7792 =""Neighbor"")), """")"),0.29448633788423484)</f>
        <v>0.2944863379</v>
      </c>
      <c r="AF3724" s="2">
        <f>IFERROR(__xludf.DUMMYFUNCTION("IFERROR(ABS(R3724-AVERAGE(FILTER(R3724:R7792,AA3724:AA7792=""Neighbor""))) / STDEV(FILTER(R3724:R7792, AA3724:AA7792 =""Neighbor"")), """")"),3.0004865581149915)</f>
        <v>3.000486558</v>
      </c>
    </row>
    <row r="3725">
      <c r="A3725" s="2" t="s">
        <v>28</v>
      </c>
      <c r="B3725" s="2" t="s">
        <v>7915</v>
      </c>
      <c r="C3725" s="2" t="s">
        <v>8219</v>
      </c>
      <c r="D3725" s="2" t="s">
        <v>15145</v>
      </c>
      <c r="E3725" s="2" t="s">
        <v>15146</v>
      </c>
      <c r="F3725" s="2">
        <v>117.0</v>
      </c>
      <c r="G3725" s="2">
        <v>750.0</v>
      </c>
      <c r="H3725" s="2" t="b">
        <v>1</v>
      </c>
      <c r="I3725" s="2">
        <v>-1.0</v>
      </c>
      <c r="J3725" s="2" t="b">
        <v>0</v>
      </c>
      <c r="K3725" s="2" t="b">
        <v>1</v>
      </c>
      <c r="L3725" s="2" t="b">
        <v>0</v>
      </c>
      <c r="M3725" s="2" t="b">
        <v>0</v>
      </c>
      <c r="N3725" s="2" t="s">
        <v>33</v>
      </c>
      <c r="O3725" s="2">
        <v>0.0</v>
      </c>
      <c r="P3725" s="2">
        <v>0.0</v>
      </c>
      <c r="Q3725" s="2">
        <v>0.0</v>
      </c>
      <c r="R3725" s="2">
        <v>0.0</v>
      </c>
      <c r="S3725" s="3" t="s">
        <v>15147</v>
      </c>
      <c r="T3725" s="2" t="s">
        <v>15148</v>
      </c>
      <c r="Y3725" s="4" t="str">
        <f>IFERROR(__xludf.DUMMYFUNCTION("""COMPUTED_VALUE"""),"6.948262")</f>
        <v>6.948262</v>
      </c>
      <c r="Z3725" s="4" t="str">
        <f>IFERROR(__xludf.DUMMYFUNCTION("""COMPUTED_VALUE"""),"3.5079264")</f>
        <v>3.5079264</v>
      </c>
      <c r="AA3725" s="4" t="str">
        <f t="shared" si="1"/>
        <v>Not Neighbor</v>
      </c>
      <c r="AC3725" s="4">
        <f>IFERROR(__xludf.DUMMYFUNCTION("IFERROR(ABS(O3725-AVERAGE(FILTER(O3725:O7793,AA3725:AA7793=""Neighbor""))) / STDEV(FILTER(O3725:O7793, AA3725:AA7793 =""Neighbor"")), """")"),1.4013092746366829)</f>
        <v>1.401309275</v>
      </c>
      <c r="AF3725" s="2">
        <f>IFERROR(__xludf.DUMMYFUNCTION("IFERROR(ABS(R3725-AVERAGE(FILTER(R3725:R7793,AA3725:AA7793=""Neighbor""))) / STDEV(FILTER(R3725:R7793, AA3725:AA7793 =""Neighbor"")), """")"),0.38513077408473856)</f>
        <v>0.3851307741</v>
      </c>
    </row>
    <row r="3726">
      <c r="A3726" s="2" t="s">
        <v>28</v>
      </c>
      <c r="B3726" s="2" t="s">
        <v>7915</v>
      </c>
      <c r="C3726" s="2" t="s">
        <v>8219</v>
      </c>
      <c r="D3726" s="2" t="s">
        <v>15149</v>
      </c>
      <c r="E3726" s="2" t="s">
        <v>15150</v>
      </c>
      <c r="F3726" s="2">
        <v>120.0</v>
      </c>
      <c r="G3726" s="2">
        <v>750.0</v>
      </c>
      <c r="H3726" s="2" t="b">
        <v>1</v>
      </c>
      <c r="I3726" s="2">
        <v>-1.0</v>
      </c>
      <c r="J3726" s="2" t="b">
        <v>0</v>
      </c>
      <c r="K3726" s="2" t="b">
        <v>0</v>
      </c>
      <c r="L3726" s="2" t="b">
        <v>0</v>
      </c>
      <c r="M3726" s="2" t="b">
        <v>0</v>
      </c>
      <c r="N3726" s="2" t="s">
        <v>33</v>
      </c>
      <c r="O3726" s="2">
        <v>61.0</v>
      </c>
      <c r="P3726" s="2">
        <v>30.0</v>
      </c>
      <c r="Q3726" s="2">
        <v>21.0</v>
      </c>
      <c r="R3726" s="2">
        <v>0.0</v>
      </c>
      <c r="S3726" s="3" t="s">
        <v>15151</v>
      </c>
      <c r="T3726" s="2" t="s">
        <v>15152</v>
      </c>
      <c r="Y3726" s="4" t="str">
        <f>IFERROR(__xludf.DUMMYFUNCTION("""COMPUTED_VALUE"""),"6.9938972")</f>
        <v>6.9938972</v>
      </c>
      <c r="Z3726" s="4" t="str">
        <f>IFERROR(__xludf.DUMMYFUNCTION("""COMPUTED_VALUE"""),"3.5003454")</f>
        <v>3.5003454</v>
      </c>
      <c r="AA3726" s="4" t="str">
        <f t="shared" si="1"/>
        <v>Not Neighbor</v>
      </c>
      <c r="AC3726" s="4">
        <f>IFERROR(__xludf.DUMMYFUNCTION("IFERROR(ABS(O3726-AVERAGE(FILTER(O3726:O7794,AA3726:AA7794=""Neighbor""))) / STDEV(FILTER(O3726:O7794, AA3726:AA7794 =""Neighbor"")), """")"),0.899066317488612)</f>
        <v>0.8990663175</v>
      </c>
      <c r="AF3726" s="2">
        <f>IFERROR(__xludf.DUMMYFUNCTION("IFERROR(ABS(R3726-AVERAGE(FILTER(R3726:R7794,AA3726:AA7794=""Neighbor""))) / STDEV(FILTER(R3726:R7794, AA3726:AA7794 =""Neighbor"")), """")"),0.38513077408473856)</f>
        <v>0.3851307741</v>
      </c>
    </row>
    <row r="3727">
      <c r="A3727" s="2" t="s">
        <v>28</v>
      </c>
      <c r="B3727" s="2" t="s">
        <v>7915</v>
      </c>
      <c r="C3727" s="2" t="s">
        <v>8219</v>
      </c>
      <c r="D3727" s="2" t="s">
        <v>15153</v>
      </c>
      <c r="E3727" s="2" t="s">
        <v>15154</v>
      </c>
      <c r="F3727" s="2">
        <v>164.0</v>
      </c>
      <c r="G3727" s="2">
        <v>750.0</v>
      </c>
      <c r="H3727" s="2" t="b">
        <v>1</v>
      </c>
      <c r="I3727" s="2">
        <v>-1.0</v>
      </c>
      <c r="J3727" s="2" t="b">
        <v>0</v>
      </c>
      <c r="K3727" s="2" t="b">
        <v>0</v>
      </c>
      <c r="L3727" s="2" t="b">
        <v>0</v>
      </c>
      <c r="M3727" s="2" t="b">
        <v>0</v>
      </c>
      <c r="N3727" s="2" t="s">
        <v>33</v>
      </c>
      <c r="O3727" s="2">
        <v>85.0</v>
      </c>
      <c r="P3727" s="2">
        <v>56.0</v>
      </c>
      <c r="Q3727" s="2">
        <v>12.0</v>
      </c>
      <c r="R3727" s="2">
        <v>1.0</v>
      </c>
      <c r="S3727" s="3" t="s">
        <v>15155</v>
      </c>
      <c r="T3727" s="2" t="s">
        <v>15156</v>
      </c>
      <c r="Y3727" s="4" t="str">
        <f>IFERROR(__xludf.DUMMYFUNCTION("""COMPUTED_VALUE"""),"7.1180193")</f>
        <v>7.1180193</v>
      </c>
      <c r="Z3727" s="4" t="str">
        <f>IFERROR(__xludf.DUMMYFUNCTION("""COMPUTED_VALUE"""),"3.3168912")</f>
        <v>3.3168912</v>
      </c>
      <c r="AA3727" s="4" t="str">
        <f t="shared" si="1"/>
        <v>Not Neighbor</v>
      </c>
      <c r="AC3727" s="4">
        <f>IFERROR(__xludf.DUMMYFUNCTION("IFERROR(ABS(O3727-AVERAGE(FILTER(O3727:O7795,AA3727:AA7795=""Neighbor""))) / STDEV(FILTER(O3727:O7795, AA3727:AA7795 =""Neighbor"")), """")"),1.804132124226433)</f>
        <v>1.804132124</v>
      </c>
      <c r="AF3727" s="2">
        <f>IFERROR(__xludf.DUMMYFUNCTION("IFERROR(ABS(R3727-AVERAGE(FILTER(R3727:R7795,AA3727:AA7795=""Neighbor""))) / STDEV(FILTER(R3727:R7795, AA3727:AA7795 =""Neighbor"")), """")"),1.36787826657683)</f>
        <v>1.367878267</v>
      </c>
    </row>
    <row r="3728">
      <c r="A3728" s="2" t="s">
        <v>28</v>
      </c>
      <c r="B3728" s="2" t="s">
        <v>7915</v>
      </c>
      <c r="C3728" s="2" t="s">
        <v>8219</v>
      </c>
      <c r="D3728" s="2" t="s">
        <v>15157</v>
      </c>
      <c r="E3728" s="2" t="s">
        <v>15158</v>
      </c>
      <c r="F3728" s="2">
        <v>78.0</v>
      </c>
      <c r="G3728" s="2">
        <v>157.0</v>
      </c>
      <c r="H3728" s="2" t="b">
        <v>1</v>
      </c>
      <c r="I3728" s="2">
        <v>-1.0</v>
      </c>
      <c r="J3728" s="2" t="b">
        <v>0</v>
      </c>
      <c r="K3728" s="2" t="b">
        <v>0</v>
      </c>
      <c r="L3728" s="2" t="b">
        <v>0</v>
      </c>
      <c r="M3728" s="2" t="b">
        <v>0</v>
      </c>
      <c r="N3728" s="2" t="s">
        <v>33</v>
      </c>
      <c r="O3728" s="2">
        <v>44.0</v>
      </c>
      <c r="P3728" s="2">
        <v>24.0</v>
      </c>
      <c r="Q3728" s="2">
        <v>6.0</v>
      </c>
      <c r="R3728" s="2">
        <v>1.0</v>
      </c>
      <c r="S3728" s="3" t="s">
        <v>15159</v>
      </c>
      <c r="T3728" s="2" t="s">
        <v>15160</v>
      </c>
      <c r="Y3728" s="4" t="str">
        <f>IFERROR(__xludf.DUMMYFUNCTION("""COMPUTED_VALUE"""),"7.1066518")</f>
        <v>7.1066518</v>
      </c>
      <c r="Z3728" s="4" t="str">
        <f>IFERROR(__xludf.DUMMYFUNCTION("""COMPUTED_VALUE"""),"3.3149708")</f>
        <v>3.3149708</v>
      </c>
      <c r="AA3728" s="4" t="str">
        <f t="shared" si="1"/>
        <v>Not Neighbor</v>
      </c>
      <c r="AC3728" s="4">
        <f>IFERROR(__xludf.DUMMYFUNCTION("IFERROR(ABS(O3728-AVERAGE(FILTER(O3728:O7796,AA3728:AA7796=""Neighbor""))) / STDEV(FILTER(O3728:O7796, AA3728:AA7796 =""Neighbor"")), """")"),0.2579780377159888)</f>
        <v>0.2579780377</v>
      </c>
      <c r="AF3728" s="2">
        <f>IFERROR(__xludf.DUMMYFUNCTION("IFERROR(ABS(R3728-AVERAGE(FILTER(R3728:R7796,AA3728:AA7796=""Neighbor""))) / STDEV(FILTER(R3728:R7796, AA3728:AA7796 =""Neighbor"")), """")"),1.36787826657683)</f>
        <v>1.367878267</v>
      </c>
    </row>
    <row r="3729">
      <c r="A3729" s="2" t="s">
        <v>28</v>
      </c>
      <c r="B3729" s="2" t="s">
        <v>7915</v>
      </c>
      <c r="C3729" s="2" t="s">
        <v>8219</v>
      </c>
      <c r="D3729" s="2" t="s">
        <v>15161</v>
      </c>
      <c r="E3729" s="2" t="s">
        <v>15162</v>
      </c>
      <c r="F3729" s="2">
        <v>80.0</v>
      </c>
      <c r="G3729" s="2">
        <v>228.0</v>
      </c>
      <c r="H3729" s="2" t="b">
        <v>1</v>
      </c>
      <c r="I3729" s="2">
        <v>-1.0</v>
      </c>
      <c r="J3729" s="2" t="b">
        <v>0</v>
      </c>
      <c r="K3729" s="2" t="b">
        <v>0</v>
      </c>
      <c r="L3729" s="2" t="b">
        <v>0</v>
      </c>
      <c r="M3729" s="2" t="b">
        <v>0</v>
      </c>
      <c r="N3729" s="2" t="s">
        <v>33</v>
      </c>
      <c r="O3729" s="2">
        <v>49.0</v>
      </c>
      <c r="P3729" s="2">
        <v>20.0</v>
      </c>
      <c r="Q3729" s="2">
        <v>7.0</v>
      </c>
      <c r="R3729" s="2">
        <v>0.0</v>
      </c>
      <c r="S3729" s="3" t="s">
        <v>15163</v>
      </c>
      <c r="T3729" s="2" t="s">
        <v>15164</v>
      </c>
      <c r="Y3729" s="4" t="str">
        <f>IFERROR(__xludf.DUMMYFUNCTION("""COMPUTED_VALUE"""),"6.948262")</f>
        <v>6.948262</v>
      </c>
      <c r="Z3729" s="4" t="str">
        <f>IFERROR(__xludf.DUMMYFUNCTION("""COMPUTED_VALUE"""),"3.5079264")</f>
        <v>3.5079264</v>
      </c>
      <c r="AA3729" s="4" t="str">
        <f t="shared" si="1"/>
        <v>Not Neighbor</v>
      </c>
      <c r="AC3729" s="4">
        <f>IFERROR(__xludf.DUMMYFUNCTION("IFERROR(ABS(O3729-AVERAGE(FILTER(O3729:O7797,AA3729:AA7797=""Neighbor""))) / STDEV(FILTER(O3729:O7797, AA3729:AA7797 =""Neighbor"")), """")"),0.44653341411970154)</f>
        <v>0.4465334141</v>
      </c>
      <c r="AF3729" s="2">
        <f>IFERROR(__xludf.DUMMYFUNCTION("IFERROR(ABS(R3729-AVERAGE(FILTER(R3729:R7797,AA3729:AA7797=""Neighbor""))) / STDEV(FILTER(R3729:R7797, AA3729:AA7797 =""Neighbor"")), """")"),0.38513077408473856)</f>
        <v>0.3851307741</v>
      </c>
    </row>
    <row r="3730">
      <c r="A3730" s="2" t="s">
        <v>28</v>
      </c>
      <c r="B3730" s="2" t="s">
        <v>7915</v>
      </c>
      <c r="C3730" s="2" t="s">
        <v>8219</v>
      </c>
      <c r="D3730" s="2" t="s">
        <v>15165</v>
      </c>
      <c r="E3730" s="2" t="s">
        <v>15166</v>
      </c>
      <c r="F3730" s="2">
        <v>41.0</v>
      </c>
      <c r="G3730" s="2">
        <v>97.0</v>
      </c>
      <c r="H3730" s="2" t="b">
        <v>1</v>
      </c>
      <c r="I3730" s="2">
        <v>-1.0</v>
      </c>
      <c r="J3730" s="2" t="b">
        <v>0</v>
      </c>
      <c r="K3730" s="2" t="b">
        <v>1</v>
      </c>
      <c r="L3730" s="2" t="b">
        <v>0</v>
      </c>
      <c r="M3730" s="2" t="b">
        <v>0</v>
      </c>
      <c r="N3730" s="2" t="s">
        <v>33</v>
      </c>
      <c r="O3730" s="2">
        <v>33.0</v>
      </c>
      <c r="P3730" s="2">
        <v>6.0</v>
      </c>
      <c r="Q3730" s="2">
        <v>1.0</v>
      </c>
      <c r="R3730" s="2">
        <v>0.0</v>
      </c>
      <c r="S3730" s="3" t="s">
        <v>15167</v>
      </c>
      <c r="T3730" s="2" t="s">
        <v>15168</v>
      </c>
      <c r="Y3730" s="4" t="str">
        <f>IFERROR(__xludf.DUMMYFUNCTION("""COMPUTED_VALUE"""),"7.0735867")</f>
        <v>7.0735867</v>
      </c>
      <c r="Z3730" s="4" t="str">
        <f>IFERROR(__xludf.DUMMYFUNCTION("""COMPUTED_VALUE"""),"3.3370028")</f>
        <v>3.3370028</v>
      </c>
      <c r="AA3730" s="4" t="str">
        <f t="shared" si="1"/>
        <v>Not Neighbor</v>
      </c>
      <c r="AC3730" s="4">
        <f>IFERROR(__xludf.DUMMYFUNCTION("IFERROR(ABS(O3730-AVERAGE(FILTER(O3730:O7798,AA3730:AA7798=""Neighbor""))) / STDEV(FILTER(O3730:O7798, AA3730:AA7798 =""Neighbor"")), """")"),0.1568437903721791)</f>
        <v>0.1568437904</v>
      </c>
      <c r="AF3730" s="2">
        <f>IFERROR(__xludf.DUMMYFUNCTION("IFERROR(ABS(R3730-AVERAGE(FILTER(R3730:R7798,AA3730:AA7798=""Neighbor""))) / STDEV(FILTER(R3730:R7798, AA3730:AA7798 =""Neighbor"")), """")"),0.38513077408473856)</f>
        <v>0.3851307741</v>
      </c>
    </row>
    <row r="3731">
      <c r="A3731" s="2" t="s">
        <v>28</v>
      </c>
      <c r="B3731" s="2" t="s">
        <v>7915</v>
      </c>
      <c r="C3731" s="2" t="s">
        <v>8219</v>
      </c>
      <c r="D3731" s="2" t="s">
        <v>15169</v>
      </c>
      <c r="E3731" s="2" t="s">
        <v>15170</v>
      </c>
      <c r="F3731" s="2">
        <v>71.0</v>
      </c>
      <c r="G3731" s="2">
        <v>197.0</v>
      </c>
      <c r="H3731" s="2" t="b">
        <v>1</v>
      </c>
      <c r="I3731" s="2">
        <v>-1.0</v>
      </c>
      <c r="J3731" s="2" t="b">
        <v>0</v>
      </c>
      <c r="K3731" s="2" t="b">
        <v>1</v>
      </c>
      <c r="L3731" s="2" t="b">
        <v>0</v>
      </c>
      <c r="M3731" s="2" t="b">
        <v>0</v>
      </c>
      <c r="N3731" s="2" t="s">
        <v>33</v>
      </c>
      <c r="O3731" s="2">
        <v>38.0</v>
      </c>
      <c r="P3731" s="2">
        <v>24.0</v>
      </c>
      <c r="Q3731" s="2">
        <v>6.0</v>
      </c>
      <c r="R3731" s="2">
        <v>0.0</v>
      </c>
      <c r="S3731" s="3" t="s">
        <v>15171</v>
      </c>
      <c r="T3731" s="2" t="s">
        <v>15172</v>
      </c>
      <c r="Y3731" s="4" t="str">
        <f>IFERROR(__xludf.DUMMYFUNCTION("""COMPUTED_VALUE"""),"6.948262")</f>
        <v>6.948262</v>
      </c>
      <c r="Z3731" s="4" t="str">
        <f>IFERROR(__xludf.DUMMYFUNCTION("""COMPUTED_VALUE"""),"3.5079264")</f>
        <v>3.5079264</v>
      </c>
      <c r="AA3731" s="4" t="str">
        <f t="shared" si="1"/>
        <v>Not Neighbor</v>
      </c>
      <c r="AC3731" s="4">
        <f>IFERROR(__xludf.DUMMYFUNCTION("IFERROR(ABS(O3731-AVERAGE(FILTER(O3731:O7799,AA3731:AA7799=""Neighbor""))) / STDEV(FILTER(O3731:O7799, AA3731:AA7799 =""Neighbor"")), """")"),0.031711586031533595)</f>
        <v>0.03171158603</v>
      </c>
      <c r="AF3731" s="2">
        <f>IFERROR(__xludf.DUMMYFUNCTION("IFERROR(ABS(R3731-AVERAGE(FILTER(R3731:R7799,AA3731:AA7799=""Neighbor""))) / STDEV(FILTER(R3731:R7799, AA3731:AA7799 =""Neighbor"")), """")"),0.38513077408473856)</f>
        <v>0.3851307741</v>
      </c>
    </row>
    <row r="3732">
      <c r="A3732" s="2" t="s">
        <v>28</v>
      </c>
      <c r="B3732" s="2" t="s">
        <v>7915</v>
      </c>
      <c r="C3732" s="2" t="s">
        <v>8219</v>
      </c>
      <c r="D3732" s="2" t="s">
        <v>15173</v>
      </c>
      <c r="E3732" s="2" t="s">
        <v>15174</v>
      </c>
      <c r="F3732" s="2">
        <v>109.0</v>
      </c>
      <c r="G3732" s="2">
        <v>254.0</v>
      </c>
      <c r="H3732" s="2" t="b">
        <v>1</v>
      </c>
      <c r="I3732" s="2">
        <v>-1.0</v>
      </c>
      <c r="J3732" s="2" t="b">
        <v>0</v>
      </c>
      <c r="K3732" s="2" t="b">
        <v>0</v>
      </c>
      <c r="L3732" s="2" t="b">
        <v>0</v>
      </c>
      <c r="M3732" s="2" t="b">
        <v>0</v>
      </c>
      <c r="N3732" s="2" t="s">
        <v>33</v>
      </c>
      <c r="O3732" s="2">
        <v>53.0</v>
      </c>
      <c r="P3732" s="2">
        <v>36.0</v>
      </c>
      <c r="Q3732" s="2">
        <v>6.0</v>
      </c>
      <c r="R3732" s="2">
        <v>1.0</v>
      </c>
      <c r="S3732" s="3" t="s">
        <v>15175</v>
      </c>
      <c r="T3732" s="2" t="s">
        <v>15176</v>
      </c>
      <c r="Y3732" s="4" t="str">
        <f>IFERROR(__xludf.DUMMYFUNCTION("""COMPUTED_VALUE"""),"6.6287567")</f>
        <v>6.6287567</v>
      </c>
      <c r="Z3732" s="4" t="str">
        <f>IFERROR(__xludf.DUMMYFUNCTION("""COMPUTED_VALUE"""),"3.2794599")</f>
        <v>3.2794599</v>
      </c>
      <c r="AA3732" s="4" t="str">
        <f t="shared" si="1"/>
        <v>Not Neighbor</v>
      </c>
      <c r="AC3732" s="4">
        <f>IFERROR(__xludf.DUMMYFUNCTION("IFERROR(ABS(O3732-AVERAGE(FILTER(O3732:O7800,AA3732:AA7800=""Neighbor""))) / STDEV(FILTER(O3732:O7800, AA3732:AA7800 =""Neighbor"")), """")"),0.5973777152426717)</f>
        <v>0.5973777152</v>
      </c>
      <c r="AF3732" s="2">
        <f>IFERROR(__xludf.DUMMYFUNCTION("IFERROR(ABS(R3732-AVERAGE(FILTER(R3732:R7800,AA3732:AA7800=""Neighbor""))) / STDEV(FILTER(R3732:R7800, AA3732:AA7800 =""Neighbor"")), """")"),1.36787826657683)</f>
        <v>1.367878267</v>
      </c>
    </row>
    <row r="3733">
      <c r="A3733" s="2" t="s">
        <v>28</v>
      </c>
      <c r="B3733" s="2" t="s">
        <v>7915</v>
      </c>
      <c r="C3733" s="2" t="s">
        <v>8219</v>
      </c>
      <c r="D3733" s="2" t="s">
        <v>15177</v>
      </c>
      <c r="E3733" s="2" t="s">
        <v>15178</v>
      </c>
      <c r="F3733" s="2">
        <v>70.0</v>
      </c>
      <c r="G3733" s="2">
        <v>145.0</v>
      </c>
      <c r="H3733" s="2" t="b">
        <v>1</v>
      </c>
      <c r="I3733" s="2">
        <v>-1.0</v>
      </c>
      <c r="J3733" s="2" t="b">
        <v>0</v>
      </c>
      <c r="K3733" s="2" t="b">
        <v>0</v>
      </c>
      <c r="L3733" s="2" t="b">
        <v>0</v>
      </c>
      <c r="M3733" s="2" t="b">
        <v>0</v>
      </c>
      <c r="N3733" s="2" t="s">
        <v>33</v>
      </c>
      <c r="O3733" s="2">
        <v>41.0</v>
      </c>
      <c r="P3733" s="2">
        <v>13.0</v>
      </c>
      <c r="Q3733" s="2">
        <v>3.0</v>
      </c>
      <c r="R3733" s="2">
        <v>1.0</v>
      </c>
      <c r="S3733" s="3" t="s">
        <v>15179</v>
      </c>
      <c r="T3733" s="2" t="s">
        <v>15180</v>
      </c>
      <c r="Y3733" s="4" t="str">
        <f>IFERROR(__xludf.DUMMYFUNCTION("""COMPUTED_VALUE"""),"6.948262")</f>
        <v>6.948262</v>
      </c>
      <c r="Z3733" s="4" t="str">
        <f>IFERROR(__xludf.DUMMYFUNCTION("""COMPUTED_VALUE"""),"3.5079264")</f>
        <v>3.5079264</v>
      </c>
      <c r="AA3733" s="4" t="str">
        <f t="shared" si="1"/>
        <v>Not Neighbor</v>
      </c>
      <c r="AC3733" s="4">
        <f>IFERROR(__xludf.DUMMYFUNCTION("IFERROR(ABS(O3733-AVERAGE(FILTER(O3733:O7801,AA3733:AA7801=""Neighbor""))) / STDEV(FILTER(O3733:O7801, AA3733:AA7801 =""Neighbor"")), """")"),0.14484481187376122)</f>
        <v>0.1448448119</v>
      </c>
      <c r="AF3733" s="2">
        <f>IFERROR(__xludf.DUMMYFUNCTION("IFERROR(ABS(R3733-AVERAGE(FILTER(R3733:R7801,AA3733:AA7801=""Neighbor""))) / STDEV(FILTER(R3733:R7801, AA3733:AA7801 =""Neighbor"")), """")"),1.36787826657683)</f>
        <v>1.367878267</v>
      </c>
    </row>
    <row r="3734">
      <c r="A3734" s="2" t="s">
        <v>28</v>
      </c>
      <c r="B3734" s="2" t="s">
        <v>7915</v>
      </c>
      <c r="C3734" s="2" t="s">
        <v>8219</v>
      </c>
      <c r="D3734" s="2" t="s">
        <v>15181</v>
      </c>
      <c r="E3734" s="2" t="s">
        <v>15182</v>
      </c>
      <c r="F3734" s="2">
        <v>40.0</v>
      </c>
      <c r="G3734" s="2">
        <v>129.0</v>
      </c>
      <c r="H3734" s="2" t="b">
        <v>1</v>
      </c>
      <c r="I3734" s="2">
        <v>-1.0</v>
      </c>
      <c r="J3734" s="2" t="b">
        <v>0</v>
      </c>
      <c r="K3734" s="2" t="b">
        <v>0</v>
      </c>
      <c r="L3734" s="2" t="b">
        <v>0</v>
      </c>
      <c r="M3734" s="2" t="b">
        <v>0</v>
      </c>
      <c r="N3734" s="2" t="s">
        <v>33</v>
      </c>
      <c r="O3734" s="2">
        <v>22.0</v>
      </c>
      <c r="P3734" s="2">
        <v>16.0</v>
      </c>
      <c r="Q3734" s="2">
        <v>0.0</v>
      </c>
      <c r="R3734" s="2">
        <v>0.0</v>
      </c>
      <c r="S3734" s="3" t="s">
        <v>15183</v>
      </c>
      <c r="T3734" s="2" t="s">
        <v>15184</v>
      </c>
      <c r="Y3734" s="4" t="str">
        <f>IFERROR(__xludf.DUMMYFUNCTION("""COMPUTED_VALUE"""),"7.1180193")</f>
        <v>7.1180193</v>
      </c>
      <c r="Z3734" s="4" t="str">
        <f>IFERROR(__xludf.DUMMYFUNCTION("""COMPUTED_VALUE"""),"3.3168912")</f>
        <v>3.3168912</v>
      </c>
      <c r="AA3734" s="4" t="str">
        <f t="shared" si="1"/>
        <v>Neighbor</v>
      </c>
      <c r="AC3734" s="4">
        <f>IFERROR(__xludf.DUMMYFUNCTION("IFERROR(ABS(O3734-AVERAGE(FILTER(O3734:O7802,AA3734:AA7802=""Neighbor""))) / STDEV(FILTER(O3734:O7802, AA3734:AA7802 =""Neighbor"")), """")"),0.571665618460347)</f>
        <v>0.5716656185</v>
      </c>
      <c r="AF3734" s="2">
        <f>IFERROR(__xludf.DUMMYFUNCTION("IFERROR(ABS(R3734-AVERAGE(FILTER(R3734:R7802,AA3734:AA7802=""Neighbor""))) / STDEV(FILTER(R3734:R7802, AA3734:AA7802 =""Neighbor"")), """")"),0.38513077408473856)</f>
        <v>0.3851307741</v>
      </c>
    </row>
    <row r="3735">
      <c r="A3735" s="2" t="s">
        <v>28</v>
      </c>
      <c r="B3735" s="2" t="s">
        <v>7915</v>
      </c>
      <c r="C3735" s="2" t="s">
        <v>8219</v>
      </c>
      <c r="D3735" s="2" t="s">
        <v>15185</v>
      </c>
      <c r="E3735" s="2" t="s">
        <v>15186</v>
      </c>
      <c r="F3735" s="2">
        <v>74.0</v>
      </c>
      <c r="G3735" s="2">
        <v>212.0</v>
      </c>
      <c r="H3735" s="2" t="b">
        <v>1</v>
      </c>
      <c r="I3735" s="2">
        <v>-1.0</v>
      </c>
      <c r="J3735" s="2" t="b">
        <v>0</v>
      </c>
      <c r="K3735" s="2" t="b">
        <v>0</v>
      </c>
      <c r="L3735" s="2" t="b">
        <v>0</v>
      </c>
      <c r="M3735" s="2" t="b">
        <v>0</v>
      </c>
      <c r="N3735" s="2" t="s">
        <v>33</v>
      </c>
      <c r="O3735" s="2">
        <v>35.0</v>
      </c>
      <c r="P3735" s="2">
        <v>7.0</v>
      </c>
      <c r="Q3735" s="2">
        <v>9.0</v>
      </c>
      <c r="R3735" s="2">
        <v>0.0</v>
      </c>
      <c r="S3735" s="3" t="s">
        <v>15187</v>
      </c>
      <c r="T3735" s="2" t="s">
        <v>15188</v>
      </c>
      <c r="Y3735" s="4" t="str">
        <f>IFERROR(__xludf.DUMMYFUNCTION("""COMPUTED_VALUE"""),"7.1106192")</f>
        <v>7.1106192</v>
      </c>
      <c r="Z3735" s="4" t="str">
        <f>IFERROR(__xludf.DUMMYFUNCTION("""COMPUTED_VALUE"""),"3.3220387")</f>
        <v>3.3220387</v>
      </c>
      <c r="AA3735" s="4" t="str">
        <f t="shared" si="1"/>
        <v>Not Neighbor</v>
      </c>
      <c r="AC3735" s="4">
        <f>IFERROR(__xludf.DUMMYFUNCTION("IFERROR(ABS(O3735-AVERAGE(FILTER(O3735:O7803,AA3735:AA7803=""Neighbor""))) / STDEV(FILTER(O3735:O7803, AA3735:AA7803 =""Neighbor"")), """")"),0.08556505728448806)</f>
        <v>0.08556505728</v>
      </c>
      <c r="AF3735" s="2">
        <f>IFERROR(__xludf.DUMMYFUNCTION("IFERROR(ABS(R3735-AVERAGE(FILTER(R3735:R7803,AA3735:AA7803=""Neighbor""))) / STDEV(FILTER(R3735:R7803, AA3735:AA7803 =""Neighbor"")), """")"),0.38680739759094374)</f>
        <v>0.3868073976</v>
      </c>
    </row>
    <row r="3736">
      <c r="A3736" s="2" t="s">
        <v>28</v>
      </c>
      <c r="B3736" s="2" t="s">
        <v>7915</v>
      </c>
      <c r="C3736" s="2" t="s">
        <v>8219</v>
      </c>
      <c r="D3736" s="2" t="s">
        <v>15189</v>
      </c>
      <c r="E3736" s="2" t="s">
        <v>15190</v>
      </c>
      <c r="F3736" s="2">
        <v>64.0</v>
      </c>
      <c r="G3736" s="2">
        <v>172.0</v>
      </c>
      <c r="H3736" s="2" t="b">
        <v>1</v>
      </c>
      <c r="I3736" s="2">
        <v>-1.0</v>
      </c>
      <c r="J3736" s="2" t="b">
        <v>0</v>
      </c>
      <c r="K3736" s="2" t="b">
        <v>0</v>
      </c>
      <c r="L3736" s="2" t="b">
        <v>0</v>
      </c>
      <c r="M3736" s="2" t="b">
        <v>0</v>
      </c>
      <c r="N3736" s="2" t="s">
        <v>33</v>
      </c>
      <c r="O3736" s="2">
        <v>24.0</v>
      </c>
      <c r="P3736" s="2">
        <v>11.0</v>
      </c>
      <c r="Q3736" s="2">
        <v>6.0</v>
      </c>
      <c r="R3736" s="2">
        <v>0.0</v>
      </c>
      <c r="S3736" s="3" t="s">
        <v>15191</v>
      </c>
      <c r="T3736" s="2" t="s">
        <v>15192</v>
      </c>
      <c r="Y3736" s="4" t="str">
        <f>IFERROR(__xludf.DUMMYFUNCTION("""COMPUTED_VALUE"""),"7.1116889")</f>
        <v>7.1116889</v>
      </c>
      <c r="Z3736" s="4" t="str">
        <f>IFERROR(__xludf.DUMMYFUNCTION("""COMPUTED_VALUE"""),"3.3377635")</f>
        <v>3.3377635</v>
      </c>
      <c r="AA3736" s="4" t="str">
        <f t="shared" si="1"/>
        <v>Not Neighbor</v>
      </c>
      <c r="AC3736" s="4">
        <f>IFERROR(__xludf.DUMMYFUNCTION("IFERROR(ABS(O3736-AVERAGE(FILTER(O3736:O7804,AA3736:AA7804=""Neighbor""))) / STDEV(FILTER(O3736:O7804, AA3736:AA7804 =""Neighbor"")), """")"),0.49932092153598867)</f>
        <v>0.4993209215</v>
      </c>
      <c r="AF3736" s="2">
        <f>IFERROR(__xludf.DUMMYFUNCTION("IFERROR(ABS(R3736-AVERAGE(FILTER(R3736:R7804,AA3736:AA7804=""Neighbor""))) / STDEV(FILTER(R3736:R7804, AA3736:AA7804 =""Neighbor"")), """")"),0.38680739759094374)</f>
        <v>0.3868073976</v>
      </c>
    </row>
    <row r="3737">
      <c r="A3737" s="2" t="s">
        <v>28</v>
      </c>
      <c r="B3737" s="2" t="s">
        <v>7915</v>
      </c>
      <c r="C3737" s="2" t="s">
        <v>8386</v>
      </c>
      <c r="D3737" s="2" t="s">
        <v>15193</v>
      </c>
      <c r="E3737" s="2" t="s">
        <v>15194</v>
      </c>
      <c r="F3737" s="2">
        <v>123.0</v>
      </c>
      <c r="G3737" s="2">
        <v>580.0</v>
      </c>
      <c r="H3737" s="2" t="b">
        <v>1</v>
      </c>
      <c r="I3737" s="2">
        <v>-1.0</v>
      </c>
      <c r="J3737" s="2" t="b">
        <v>0</v>
      </c>
      <c r="K3737" s="2" t="b">
        <v>0</v>
      </c>
      <c r="L3737" s="2" t="b">
        <v>0</v>
      </c>
      <c r="M3737" s="2" t="b">
        <v>0</v>
      </c>
      <c r="N3737" s="2" t="s">
        <v>33</v>
      </c>
      <c r="O3737" s="2">
        <v>82.0</v>
      </c>
      <c r="P3737" s="2">
        <v>8.0</v>
      </c>
      <c r="Q3737" s="2">
        <v>11.0</v>
      </c>
      <c r="R3737" s="2">
        <v>0.0</v>
      </c>
      <c r="S3737" s="3" t="s">
        <v>15195</v>
      </c>
      <c r="T3737" s="2" t="s">
        <v>15196</v>
      </c>
      <c r="Y3737" s="4" t="str">
        <f>IFERROR(__xludf.DUMMYFUNCTION("""COMPUTED_VALUE"""),"6.948262")</f>
        <v>6.948262</v>
      </c>
      <c r="Z3737" s="4" t="str">
        <f>IFERROR(__xludf.DUMMYFUNCTION("""COMPUTED_VALUE"""),"3.5079264")</f>
        <v>3.5079264</v>
      </c>
      <c r="AA3737" s="4" t="str">
        <f t="shared" si="1"/>
        <v>Not Neighbor</v>
      </c>
      <c r="AC3737" s="4">
        <f>IFERROR(__xludf.DUMMYFUNCTION("IFERROR(ABS(O3737-AVERAGE(FILTER(O3737:O7805,AA3737:AA7805=""Neighbor""))) / STDEV(FILTER(O3737:O7805, AA3737:AA7805 =""Neighbor"")), """")"),1.682300908153742)</f>
        <v>1.682300908</v>
      </c>
      <c r="AF3737" s="2">
        <f>IFERROR(__xludf.DUMMYFUNCTION("IFERROR(ABS(R3737-AVERAGE(FILTER(R3737:R7805,AA3737:AA7805=""Neighbor""))) / STDEV(FILTER(R3737:R7805, AA3737:AA7805 =""Neighbor"")), """")"),0.38680739759094374)</f>
        <v>0.3868073976</v>
      </c>
    </row>
    <row r="3738">
      <c r="A3738" s="2" t="s">
        <v>28</v>
      </c>
      <c r="B3738" s="2" t="s">
        <v>7915</v>
      </c>
      <c r="C3738" s="2" t="s">
        <v>8386</v>
      </c>
      <c r="D3738" s="2" t="s">
        <v>15197</v>
      </c>
      <c r="E3738" s="2" t="s">
        <v>15198</v>
      </c>
      <c r="F3738" s="2">
        <v>81.0</v>
      </c>
      <c r="G3738" s="2">
        <v>160.0</v>
      </c>
      <c r="H3738" s="2" t="b">
        <v>1</v>
      </c>
      <c r="I3738" s="2">
        <v>-1.0</v>
      </c>
      <c r="J3738" s="2" t="b">
        <v>0</v>
      </c>
      <c r="K3738" s="2" t="b">
        <v>0</v>
      </c>
      <c r="L3738" s="2" t="b">
        <v>0</v>
      </c>
      <c r="M3738" s="2" t="b">
        <v>0</v>
      </c>
      <c r="N3738" s="2" t="s">
        <v>33</v>
      </c>
      <c r="O3738" s="2">
        <v>70.0</v>
      </c>
      <c r="P3738" s="2">
        <v>0.0</v>
      </c>
      <c r="Q3738" s="2">
        <v>2.0</v>
      </c>
      <c r="R3738" s="2">
        <v>0.0</v>
      </c>
      <c r="S3738" s="3" t="s">
        <v>15199</v>
      </c>
      <c r="T3738" s="2" t="s">
        <v>15200</v>
      </c>
      <c r="Y3738" s="4" t="str">
        <f>IFERROR(__xludf.DUMMYFUNCTION("""COMPUTED_VALUE"""),"7.1127506")</f>
        <v>7.1127506</v>
      </c>
      <c r="Z3738" s="4" t="str">
        <f>IFERROR(__xludf.DUMMYFUNCTION("""COMPUTED_VALUE"""),"3.6450572")</f>
        <v>3.6450572</v>
      </c>
      <c r="AA3738" s="4" t="str">
        <f t="shared" si="1"/>
        <v>Not Neighbor</v>
      </c>
      <c r="AC3738" s="4">
        <f>IFERROR(__xludf.DUMMYFUNCTION("IFERROR(ABS(O3738-AVERAGE(FILTER(O3738:O7806,AA3738:AA7806=""Neighbor""))) / STDEV(FILTER(O3738:O7806, AA3738:AA7806 =""Neighbor"")), """")"),1.2309308744248322)</f>
        <v>1.230930874</v>
      </c>
      <c r="AF3738" s="2">
        <f>IFERROR(__xludf.DUMMYFUNCTION("IFERROR(ABS(R3738-AVERAGE(FILTER(R3738:R7806,AA3738:AA7806=""Neighbor""))) / STDEV(FILTER(R3738:R7806, AA3738:AA7806 =""Neighbor"")), """")"),0.38680739759094374)</f>
        <v>0.3868073976</v>
      </c>
    </row>
    <row r="3739">
      <c r="A3739" s="2" t="s">
        <v>28</v>
      </c>
      <c r="B3739" s="2" t="s">
        <v>7915</v>
      </c>
      <c r="C3739" s="2" t="s">
        <v>7937</v>
      </c>
      <c r="D3739" s="2" t="s">
        <v>15201</v>
      </c>
      <c r="E3739" s="2" t="s">
        <v>15202</v>
      </c>
      <c r="F3739" s="2">
        <v>59.0</v>
      </c>
      <c r="G3739" s="2">
        <v>112.0</v>
      </c>
      <c r="H3739" s="2" t="b">
        <v>1</v>
      </c>
      <c r="I3739" s="2">
        <v>-1.0</v>
      </c>
      <c r="J3739" s="2" t="b">
        <v>0</v>
      </c>
      <c r="K3739" s="2" t="b">
        <v>0</v>
      </c>
      <c r="L3739" s="2" t="b">
        <v>0</v>
      </c>
      <c r="M3739" s="2" t="b">
        <v>0</v>
      </c>
      <c r="N3739" s="2" t="s">
        <v>33</v>
      </c>
      <c r="O3739" s="2">
        <v>44.0</v>
      </c>
      <c r="P3739" s="2">
        <v>10.0</v>
      </c>
      <c r="Q3739" s="2">
        <v>1.0</v>
      </c>
      <c r="R3739" s="2">
        <v>0.0</v>
      </c>
      <c r="S3739" s="3" t="s">
        <v>15203</v>
      </c>
      <c r="T3739" s="2" t="s">
        <v>15204</v>
      </c>
      <c r="Y3739" s="4" t="str">
        <f>IFERROR(__xludf.DUMMYFUNCTION("""COMPUTED_VALUE"""),"6.8518597")</f>
        <v>6.8518597</v>
      </c>
      <c r="Z3739" s="4" t="str">
        <f>IFERROR(__xludf.DUMMYFUNCTION("""COMPUTED_VALUE"""),"3.4126157")</f>
        <v>3.4126157</v>
      </c>
      <c r="AA3739" s="4" t="str">
        <f t="shared" si="1"/>
        <v>Not Neighbor</v>
      </c>
      <c r="AC3739" s="4">
        <f>IFERROR(__xludf.DUMMYFUNCTION("IFERROR(ABS(O3739-AVERAGE(FILTER(O3739:O7807,AA3739:AA7807=""Neighbor""))) / STDEV(FILTER(O3739:O7807, AA3739:AA7807 =""Neighbor"")), """")"),0.2529624680121943)</f>
        <v>0.252962468</v>
      </c>
      <c r="AF3739" s="2">
        <f>IFERROR(__xludf.DUMMYFUNCTION("IFERROR(ABS(R3739-AVERAGE(FILTER(R3739:R7807,AA3739:AA7807=""Neighbor""))) / STDEV(FILTER(R3739:R7807, AA3739:AA7807 =""Neighbor"")), """")"),0.38680739759094374)</f>
        <v>0.3868073976</v>
      </c>
    </row>
    <row r="3740">
      <c r="A3740" s="2" t="s">
        <v>28</v>
      </c>
      <c r="B3740" s="2" t="s">
        <v>7915</v>
      </c>
      <c r="C3740" s="2" t="s">
        <v>7937</v>
      </c>
      <c r="D3740" s="2" t="s">
        <v>15205</v>
      </c>
      <c r="E3740" s="2" t="s">
        <v>15206</v>
      </c>
      <c r="F3740" s="2">
        <v>113.0</v>
      </c>
      <c r="G3740" s="2">
        <v>352.0</v>
      </c>
      <c r="H3740" s="2" t="b">
        <v>1</v>
      </c>
      <c r="I3740" s="2">
        <v>-1.0</v>
      </c>
      <c r="J3740" s="2" t="b">
        <v>0</v>
      </c>
      <c r="K3740" s="2" t="b">
        <v>0</v>
      </c>
      <c r="L3740" s="2" t="b">
        <v>0</v>
      </c>
      <c r="M3740" s="2" t="b">
        <v>0</v>
      </c>
      <c r="N3740" s="2" t="s">
        <v>33</v>
      </c>
      <c r="O3740" s="2">
        <v>38.0</v>
      </c>
      <c r="P3740" s="2">
        <v>60.0</v>
      </c>
      <c r="Q3740" s="2">
        <v>4.0</v>
      </c>
      <c r="R3740" s="2">
        <v>1.0</v>
      </c>
      <c r="S3740" s="3" t="s">
        <v>15207</v>
      </c>
      <c r="T3740" s="2" t="s">
        <v>15208</v>
      </c>
      <c r="Y3740" s="4" t="str">
        <f>IFERROR(__xludf.DUMMYFUNCTION("""COMPUTED_VALUE"""),"6.868233")</f>
        <v>6.868233</v>
      </c>
      <c r="Z3740" s="4" t="str">
        <f>IFERROR(__xludf.DUMMYFUNCTION("""COMPUTED_VALUE"""),"3.429468")</f>
        <v>3.429468</v>
      </c>
      <c r="AA3740" s="4" t="str">
        <f t="shared" si="1"/>
        <v>Not Neighbor</v>
      </c>
      <c r="AC3740" s="4">
        <f>IFERROR(__xludf.DUMMYFUNCTION("IFERROR(ABS(O3740-AVERAGE(FILTER(O3740:O7808,AA3740:AA7808=""Neighbor""))) / STDEV(FILTER(O3740:O7808, AA3740:AA7808 =""Neighbor"")), """")"),0.02727745114773939)</f>
        <v>0.02727745115</v>
      </c>
      <c r="AF3740" s="2">
        <f>IFERROR(__xludf.DUMMYFUNCTION("IFERROR(ABS(R3740-AVERAGE(FILTER(R3740:R7808,AA3740:AA7808=""Neighbor""))) / STDEV(FILTER(R3740:R7808, AA3740:AA7808 =""Neighbor"")), """")"),1.360494984630216)</f>
        <v>1.360494985</v>
      </c>
    </row>
    <row r="3741">
      <c r="A3741" s="2" t="s">
        <v>28</v>
      </c>
      <c r="B3741" s="2" t="s">
        <v>7915</v>
      </c>
      <c r="C3741" s="2" t="s">
        <v>7937</v>
      </c>
      <c r="D3741" s="2" t="s">
        <v>15209</v>
      </c>
      <c r="E3741" s="2" t="s">
        <v>15210</v>
      </c>
      <c r="F3741" s="2">
        <v>33.0</v>
      </c>
      <c r="G3741" s="2">
        <v>118.0</v>
      </c>
      <c r="H3741" s="2" t="b">
        <v>1</v>
      </c>
      <c r="I3741" s="2">
        <v>-1.0</v>
      </c>
      <c r="J3741" s="2" t="b">
        <v>0</v>
      </c>
      <c r="K3741" s="2" t="b">
        <v>0</v>
      </c>
      <c r="L3741" s="2" t="b">
        <v>0</v>
      </c>
      <c r="M3741" s="2" t="b">
        <v>0</v>
      </c>
      <c r="N3741" s="2" t="s">
        <v>33</v>
      </c>
      <c r="O3741" s="2">
        <v>11.0</v>
      </c>
      <c r="P3741" s="2">
        <v>18.0</v>
      </c>
      <c r="Q3741" s="2">
        <v>2.0</v>
      </c>
      <c r="R3741" s="2">
        <v>1.0</v>
      </c>
      <c r="S3741" s="3" t="s">
        <v>15211</v>
      </c>
      <c r="T3741" s="2" t="s">
        <v>15212</v>
      </c>
      <c r="Y3741" s="4" t="str">
        <f>IFERROR(__xludf.DUMMYFUNCTION("""COMPUTED_VALUE"""),"6.948262")</f>
        <v>6.948262</v>
      </c>
      <c r="Z3741" s="4" t="str">
        <f>IFERROR(__xludf.DUMMYFUNCTION("""COMPUTED_VALUE"""),"3.5079264")</f>
        <v>3.5079264</v>
      </c>
      <c r="AA3741" s="4" t="str">
        <f t="shared" si="1"/>
        <v>Not Neighbor</v>
      </c>
      <c r="AC3741" s="4">
        <f>IFERROR(__xludf.DUMMYFUNCTION("IFERROR(ABS(O3741-AVERAGE(FILTER(O3741:O7809,AA3741:AA7809=""Neighbor""))) / STDEV(FILTER(O3741:O7809, AA3741:AA7809 =""Neighbor"")), """")"),0.9883051247423076)</f>
        <v>0.9883051247</v>
      </c>
      <c r="AF3741" s="2">
        <f>IFERROR(__xludf.DUMMYFUNCTION("IFERROR(ABS(R3741-AVERAGE(FILTER(R3741:R7809,AA3741:AA7809=""Neighbor""))) / STDEV(FILTER(R3741:R7809, AA3741:AA7809 =""Neighbor"")), """")"),1.360494984630216)</f>
        <v>1.360494985</v>
      </c>
    </row>
    <row r="3742">
      <c r="A3742" s="2" t="s">
        <v>28</v>
      </c>
      <c r="B3742" s="2" t="s">
        <v>7915</v>
      </c>
      <c r="C3742" s="2" t="s">
        <v>7937</v>
      </c>
      <c r="D3742" s="2" t="s">
        <v>15213</v>
      </c>
      <c r="E3742" s="2" t="s">
        <v>15214</v>
      </c>
      <c r="F3742" s="2">
        <v>65.0</v>
      </c>
      <c r="G3742" s="2">
        <v>750.0</v>
      </c>
      <c r="H3742" s="2" t="b">
        <v>1</v>
      </c>
      <c r="I3742" s="2">
        <v>-1.0</v>
      </c>
      <c r="J3742" s="2" t="b">
        <v>0</v>
      </c>
      <c r="K3742" s="2" t="b">
        <v>0</v>
      </c>
      <c r="L3742" s="2" t="b">
        <v>0</v>
      </c>
      <c r="M3742" s="2" t="b">
        <v>0</v>
      </c>
      <c r="N3742" s="2" t="s">
        <v>33</v>
      </c>
      <c r="O3742" s="2">
        <v>31.0</v>
      </c>
      <c r="P3742" s="2">
        <v>25.0</v>
      </c>
      <c r="Q3742" s="2">
        <v>4.0</v>
      </c>
      <c r="R3742" s="2">
        <v>0.0</v>
      </c>
      <c r="S3742" s="3" t="s">
        <v>15215</v>
      </c>
      <c r="T3742" s="2" t="s">
        <v>15216</v>
      </c>
      <c r="Y3742" s="4" t="str">
        <f>IFERROR(__xludf.DUMMYFUNCTION("""COMPUTED_VALUE"""),"6.8650098")</f>
        <v>6.8650098</v>
      </c>
      <c r="Z3742" s="4" t="str">
        <f>IFERROR(__xludf.DUMMYFUNCTION("""COMPUTED_VALUE"""),"3.4095576")</f>
        <v>3.4095576</v>
      </c>
      <c r="AA3742" s="4" t="str">
        <f t="shared" si="1"/>
        <v>Not Neighbor</v>
      </c>
      <c r="AC3742" s="4">
        <f>IFERROR(__xludf.DUMMYFUNCTION("IFERROR(ABS(O3742-AVERAGE(FILTER(O3742:O7810,AA3742:AA7810=""Neighbor""))) / STDEV(FILTER(O3742:O7810, AA3742:AA7810 =""Neighbor"")), """")"),0.23602173519412464)</f>
        <v>0.2360217352</v>
      </c>
      <c r="AF3742" s="2">
        <f>IFERROR(__xludf.DUMMYFUNCTION("IFERROR(ABS(R3742-AVERAGE(FILTER(R3742:R7810,AA3742:AA7810=""Neighbor""))) / STDEV(FILTER(R3742:R7810, AA3742:AA7810 =""Neighbor"")), """")"),0.38680739759094374)</f>
        <v>0.3868073976</v>
      </c>
    </row>
    <row r="3743">
      <c r="A3743" s="2" t="s">
        <v>28</v>
      </c>
      <c r="B3743" s="2" t="s">
        <v>7915</v>
      </c>
      <c r="C3743" s="2" t="s">
        <v>7937</v>
      </c>
      <c r="D3743" s="2" t="s">
        <v>15217</v>
      </c>
      <c r="E3743" s="2" t="s">
        <v>15218</v>
      </c>
      <c r="F3743" s="2">
        <v>51.0</v>
      </c>
      <c r="G3743" s="2">
        <v>122.0</v>
      </c>
      <c r="H3743" s="2" t="b">
        <v>1</v>
      </c>
      <c r="I3743" s="2">
        <v>-1.0</v>
      </c>
      <c r="J3743" s="2" t="b">
        <v>0</v>
      </c>
      <c r="K3743" s="2" t="b">
        <v>0</v>
      </c>
      <c r="L3743" s="2" t="b">
        <v>0</v>
      </c>
      <c r="M3743" s="2" t="b">
        <v>0</v>
      </c>
      <c r="N3743" s="2" t="s">
        <v>33</v>
      </c>
      <c r="O3743" s="2">
        <v>20.0</v>
      </c>
      <c r="P3743" s="2">
        <v>26.0</v>
      </c>
      <c r="Q3743" s="2">
        <v>2.0</v>
      </c>
      <c r="R3743" s="2">
        <v>0.0</v>
      </c>
      <c r="S3743" s="3" t="s">
        <v>15219</v>
      </c>
      <c r="T3743" s="2" t="s">
        <v>15220</v>
      </c>
      <c r="Y3743" s="4" t="str">
        <f>IFERROR(__xludf.DUMMYFUNCTION("""COMPUTED_VALUE"""),"6.8997194")</f>
        <v>6.8997194</v>
      </c>
      <c r="Z3743" s="4" t="str">
        <f>IFERROR(__xludf.DUMMYFUNCTION("""COMPUTED_VALUE"""),"3.4560736")</f>
        <v>3.4560736</v>
      </c>
      <c r="AA3743" s="4" t="str">
        <f t="shared" si="1"/>
        <v>Not Neighbor</v>
      </c>
      <c r="AC3743" s="4">
        <f>IFERROR(__xludf.DUMMYFUNCTION("IFERROR(ABS(O3743-AVERAGE(FILTER(O3743:O7811,AA3743:AA7811=""Neighbor""))) / STDEV(FILTER(O3743:O7811, AA3743:AA7811 =""Neighbor"")), """")"),0.6497775994456253)</f>
        <v>0.6497775994</v>
      </c>
      <c r="AF3743" s="2">
        <f>IFERROR(__xludf.DUMMYFUNCTION("IFERROR(ABS(R3743-AVERAGE(FILTER(R3743:R7811,AA3743:AA7811=""Neighbor""))) / STDEV(FILTER(R3743:R7811, AA3743:AA7811 =""Neighbor"")), """")"),0.38680739759094374)</f>
        <v>0.3868073976</v>
      </c>
    </row>
    <row r="3744">
      <c r="A3744" s="2" t="s">
        <v>28</v>
      </c>
      <c r="B3744" s="2" t="s">
        <v>7915</v>
      </c>
      <c r="C3744" s="2" t="s">
        <v>7937</v>
      </c>
      <c r="D3744" s="2" t="s">
        <v>15221</v>
      </c>
      <c r="E3744" s="2" t="s">
        <v>15222</v>
      </c>
      <c r="F3744" s="2">
        <v>132.0</v>
      </c>
      <c r="G3744" s="2">
        <v>750.0</v>
      </c>
      <c r="H3744" s="2" t="b">
        <v>1</v>
      </c>
      <c r="I3744" s="2">
        <v>-1.0</v>
      </c>
      <c r="J3744" s="2" t="b">
        <v>0</v>
      </c>
      <c r="K3744" s="2" t="b">
        <v>0</v>
      </c>
      <c r="L3744" s="2" t="b">
        <v>0</v>
      </c>
      <c r="M3744" s="2" t="b">
        <v>0</v>
      </c>
      <c r="N3744" s="2" t="s">
        <v>33</v>
      </c>
      <c r="O3744" s="2">
        <v>44.0</v>
      </c>
      <c r="P3744" s="2">
        <v>60.0</v>
      </c>
      <c r="Q3744" s="2">
        <v>1.0</v>
      </c>
      <c r="R3744" s="2">
        <v>4.0</v>
      </c>
      <c r="S3744" s="3" t="s">
        <v>15223</v>
      </c>
      <c r="T3744" s="2" t="s">
        <v>15224</v>
      </c>
      <c r="Y3744" s="4" t="str">
        <f>IFERROR(__xludf.DUMMYFUNCTION("""COMPUTED_VALUE"""),"6.7511805")</f>
        <v>6.7511805</v>
      </c>
      <c r="Z3744" s="4" t="str">
        <f>IFERROR(__xludf.DUMMYFUNCTION("""COMPUTED_VALUE"""),"3.4164846")</f>
        <v>3.4164846</v>
      </c>
      <c r="AA3744" s="4" t="str">
        <f t="shared" si="1"/>
        <v>Not Neighbor</v>
      </c>
      <c r="AC3744" s="4">
        <f>IFERROR(__xludf.DUMMYFUNCTION("IFERROR(ABS(O3744-AVERAGE(FILTER(O3744:O7812,AA3744:AA7812=""Neighbor""))) / STDEV(FILTER(O3744:O7812, AA3744:AA7812 =""Neighbor"")), """")"),0.2529624680121943)</f>
        <v>0.252962468</v>
      </c>
      <c r="AF3744" s="2">
        <f>IFERROR(__xludf.DUMMYFUNCTION("IFERROR(ABS(R3744-AVERAGE(FILTER(R3744:R7812,AA3744:AA7812=""Neighbor""))) / STDEV(FILTER(R3744:R7812, AA3744:AA7812 =""Neighbor"")), """")"),6.602402131293696)</f>
        <v>6.602402131</v>
      </c>
    </row>
    <row r="3745">
      <c r="A3745" s="2" t="s">
        <v>28</v>
      </c>
      <c r="B3745" s="2" t="s">
        <v>7915</v>
      </c>
      <c r="C3745" s="2" t="s">
        <v>7937</v>
      </c>
      <c r="D3745" s="2" t="s">
        <v>15225</v>
      </c>
      <c r="E3745" s="2" t="s">
        <v>15226</v>
      </c>
      <c r="F3745" s="2">
        <v>222.0</v>
      </c>
      <c r="G3745" s="2">
        <v>478.0</v>
      </c>
      <c r="H3745" s="2" t="b">
        <v>1</v>
      </c>
      <c r="I3745" s="2">
        <v>-1.0</v>
      </c>
      <c r="J3745" s="2" t="b">
        <v>0</v>
      </c>
      <c r="K3745" s="2" t="b">
        <v>0</v>
      </c>
      <c r="L3745" s="2" t="b">
        <v>0</v>
      </c>
      <c r="M3745" s="2" t="b">
        <v>0</v>
      </c>
      <c r="N3745" s="2" t="s">
        <v>33</v>
      </c>
      <c r="O3745" s="2">
        <v>101.0</v>
      </c>
      <c r="P3745" s="2">
        <v>104.0</v>
      </c>
      <c r="Q3745" s="2">
        <v>2.0</v>
      </c>
      <c r="R3745" s="2">
        <v>0.0</v>
      </c>
      <c r="S3745" s="3" t="s">
        <v>15227</v>
      </c>
      <c r="T3745" s="2" t="s">
        <v>15228</v>
      </c>
      <c r="Y3745" s="4" t="str">
        <f>IFERROR(__xludf.DUMMYFUNCTION("""COMPUTED_VALUE"""),"6.740147")</f>
        <v>6.740147</v>
      </c>
      <c r="Z3745" s="4" t="str">
        <f>IFERROR(__xludf.DUMMYFUNCTION("""COMPUTED_VALUE"""),"3.4220755")</f>
        <v>3.4220755</v>
      </c>
      <c r="AA3745" s="4" t="str">
        <f t="shared" si="1"/>
        <v>Neighbor</v>
      </c>
      <c r="AC3745" s="4">
        <f>IFERROR(__xludf.DUMMYFUNCTION("IFERROR(ABS(O3745-AVERAGE(FILTER(O3745:O7813,AA3745:AA7813=""Neighbor""))) / STDEV(FILTER(O3745:O7813, AA3745:AA7813 =""Neighbor"")), """")"),2.396970128224516)</f>
        <v>2.396970128</v>
      </c>
      <c r="AF3745" s="2">
        <f>IFERROR(__xludf.DUMMYFUNCTION("IFERROR(ABS(R3745-AVERAGE(FILTER(R3745:R7813,AA3745:AA7813=""Neighbor""))) / STDEV(FILTER(R3745:R7813, AA3745:AA7813 =""Neighbor"")), """")"),0.38680739759094374)</f>
        <v>0.3868073976</v>
      </c>
    </row>
    <row r="3746">
      <c r="A3746" s="2" t="s">
        <v>28</v>
      </c>
      <c r="B3746" s="2" t="s">
        <v>7915</v>
      </c>
      <c r="C3746" s="2" t="s">
        <v>7937</v>
      </c>
      <c r="D3746" s="2" t="s">
        <v>15229</v>
      </c>
      <c r="E3746" s="2" t="s">
        <v>15230</v>
      </c>
      <c r="F3746" s="2">
        <v>203.0</v>
      </c>
      <c r="G3746" s="2">
        <v>408.0</v>
      </c>
      <c r="H3746" s="2" t="b">
        <v>1</v>
      </c>
      <c r="I3746" s="2">
        <v>-1.0</v>
      </c>
      <c r="J3746" s="2" t="b">
        <v>0</v>
      </c>
      <c r="K3746" s="2" t="b">
        <v>1</v>
      </c>
      <c r="L3746" s="2" t="b">
        <v>0</v>
      </c>
      <c r="M3746" s="2" t="b">
        <v>0</v>
      </c>
      <c r="N3746" s="2" t="s">
        <v>33</v>
      </c>
      <c r="O3746" s="2">
        <v>76.0</v>
      </c>
      <c r="P3746" s="2">
        <v>98.0</v>
      </c>
      <c r="Q3746" s="2">
        <v>21.0</v>
      </c>
      <c r="R3746" s="2">
        <v>2.0</v>
      </c>
      <c r="S3746" s="3" t="s">
        <v>15231</v>
      </c>
      <c r="T3746" s="2" t="s">
        <v>15232</v>
      </c>
      <c r="Y3746" s="4" t="str">
        <f>IFERROR(__xludf.DUMMYFUNCTION("""COMPUTED_VALUE"""),"6.740147")</f>
        <v>6.740147</v>
      </c>
      <c r="Z3746" s="4" t="str">
        <f>IFERROR(__xludf.DUMMYFUNCTION("""COMPUTED_VALUE"""),"3.4220755")</f>
        <v>3.4220755</v>
      </c>
      <c r="AA3746" s="4" t="str">
        <f t="shared" si="1"/>
        <v>Neighbor</v>
      </c>
      <c r="AC3746" s="4">
        <f>IFERROR(__xludf.DUMMYFUNCTION("IFERROR(ABS(O3746-AVERAGE(FILTER(O3746:O7814,AA3746:AA7814=""Neighbor""))) / STDEV(FILTER(O3746:O7814, AA3746:AA7814 =""Neighbor"")), """")"),1.5032248227483171)</f>
        <v>1.503224823</v>
      </c>
      <c r="AF3746" s="2">
        <f>IFERROR(__xludf.DUMMYFUNCTION("IFERROR(ABS(R3746-AVERAGE(FILTER(R3746:R7814,AA3746:AA7814=""Neighbor""))) / STDEV(FILTER(R3746:R7814, AA3746:AA7814 =""Neighbor"")), """")"),3.0946523215638035)</f>
        <v>3.094652322</v>
      </c>
    </row>
    <row r="3747">
      <c r="A3747" s="2" t="s">
        <v>28</v>
      </c>
      <c r="B3747" s="2" t="s">
        <v>7915</v>
      </c>
      <c r="C3747" s="2" t="s">
        <v>7937</v>
      </c>
      <c r="D3747" s="2" t="s">
        <v>15233</v>
      </c>
      <c r="E3747" s="2" t="s">
        <v>15234</v>
      </c>
      <c r="F3747" s="2">
        <v>77.0</v>
      </c>
      <c r="G3747" s="2">
        <v>125.0</v>
      </c>
      <c r="H3747" s="2" t="b">
        <v>1</v>
      </c>
      <c r="I3747" s="2">
        <v>-1.0</v>
      </c>
      <c r="J3747" s="2" t="b">
        <v>0</v>
      </c>
      <c r="K3747" s="2" t="b">
        <v>0</v>
      </c>
      <c r="L3747" s="2" t="b">
        <v>0</v>
      </c>
      <c r="M3747" s="2" t="b">
        <v>0</v>
      </c>
      <c r="N3747" s="2" t="s">
        <v>33</v>
      </c>
      <c r="O3747" s="2">
        <v>44.0</v>
      </c>
      <c r="P3747" s="2">
        <v>17.0</v>
      </c>
      <c r="Q3747" s="2">
        <v>7.0</v>
      </c>
      <c r="R3747" s="2">
        <v>2.0</v>
      </c>
      <c r="S3747" s="3" t="s">
        <v>15235</v>
      </c>
      <c r="T3747" s="2" t="s">
        <v>15236</v>
      </c>
      <c r="Y3747" s="4" t="str">
        <f>IFERROR(__xludf.DUMMYFUNCTION("""COMPUTED_VALUE"""),"6.740147")</f>
        <v>6.740147</v>
      </c>
      <c r="Z3747" s="4" t="str">
        <f>IFERROR(__xludf.DUMMYFUNCTION("""COMPUTED_VALUE"""),"3.4220755")</f>
        <v>3.4220755</v>
      </c>
      <c r="AA3747" s="4" t="str">
        <f t="shared" si="1"/>
        <v>Not Neighbor</v>
      </c>
      <c r="AC3747" s="4">
        <f>IFERROR(__xludf.DUMMYFUNCTION("IFERROR(ABS(O3747-AVERAGE(FILTER(O3747:O7815,AA3747:AA7815=""Neighbor""))) / STDEV(FILTER(O3747:O7815, AA3747:AA7815 =""Neighbor"")), """")"),0.2896857228648166)</f>
        <v>0.2896857229</v>
      </c>
      <c r="AF3747" s="2">
        <f>IFERROR(__xludf.DUMMYFUNCTION("IFERROR(ABS(R3747-AVERAGE(FILTER(R3747:R7815,AA3747:AA7815=""Neighbor""))) / STDEV(FILTER(R3747:R7815, AA3747:AA7815 =""Neighbor"")), """")"),3.229693450884195)</f>
        <v>3.229693451</v>
      </c>
    </row>
    <row r="3748">
      <c r="A3748" s="2" t="s">
        <v>28</v>
      </c>
      <c r="B3748" s="2" t="s">
        <v>7915</v>
      </c>
      <c r="C3748" s="2" t="s">
        <v>7937</v>
      </c>
      <c r="D3748" s="2" t="s">
        <v>15237</v>
      </c>
      <c r="E3748" s="2" t="s">
        <v>15238</v>
      </c>
      <c r="F3748" s="2">
        <v>169.0</v>
      </c>
      <c r="G3748" s="2">
        <v>371.0</v>
      </c>
      <c r="H3748" s="2" t="b">
        <v>1</v>
      </c>
      <c r="I3748" s="2">
        <v>-1.0</v>
      </c>
      <c r="J3748" s="2" t="b">
        <v>0</v>
      </c>
      <c r="K3748" s="2" t="b">
        <v>0</v>
      </c>
      <c r="L3748" s="2" t="b">
        <v>0</v>
      </c>
      <c r="M3748" s="2" t="b">
        <v>0</v>
      </c>
      <c r="N3748" s="2" t="s">
        <v>33</v>
      </c>
      <c r="O3748" s="2">
        <v>52.0</v>
      </c>
      <c r="P3748" s="2">
        <v>91.0</v>
      </c>
      <c r="Q3748" s="2">
        <v>17.0</v>
      </c>
      <c r="R3748" s="2">
        <v>0.0</v>
      </c>
      <c r="S3748" s="3" t="s">
        <v>15239</v>
      </c>
      <c r="T3748" s="2" t="s">
        <v>15240</v>
      </c>
      <c r="Y3748" s="4" t="str">
        <f>IFERROR(__xludf.DUMMYFUNCTION("""COMPUTED_VALUE"""),"6.948262")</f>
        <v>6.948262</v>
      </c>
      <c r="Z3748" s="4" t="str">
        <f>IFERROR(__xludf.DUMMYFUNCTION("""COMPUTED_VALUE"""),"3.5079264")</f>
        <v>3.5079264</v>
      </c>
      <c r="AA3748" s="4" t="str">
        <f t="shared" si="1"/>
        <v>Not Neighbor</v>
      </c>
      <c r="AC3748" s="4">
        <f>IFERROR(__xludf.DUMMYFUNCTION("IFERROR(ABS(O3748-AVERAGE(FILTER(O3748:O7816,AA3748:AA7816=""Neighbor""))) / STDEV(FILTER(O3748:O7816, AA3748:AA7816 =""Neighbor"")), """")"),0.5978874403869718)</f>
        <v>0.5978874404</v>
      </c>
      <c r="AF3748" s="2">
        <f>IFERROR(__xludf.DUMMYFUNCTION("IFERROR(ABS(R3748-AVERAGE(FILTER(R3748:R7816,AA3748:AA7816=""Neighbor""))) / STDEV(FILTER(R3748:R7816, AA3748:AA7816 =""Neighbor"")), """")"),0.37749663711633447)</f>
        <v>0.3774966371</v>
      </c>
    </row>
    <row r="3749">
      <c r="A3749" s="2" t="s">
        <v>28</v>
      </c>
      <c r="B3749" s="2" t="s">
        <v>7915</v>
      </c>
      <c r="C3749" s="2" t="s">
        <v>7937</v>
      </c>
      <c r="D3749" s="2" t="s">
        <v>15241</v>
      </c>
      <c r="E3749" s="2" t="s">
        <v>15242</v>
      </c>
      <c r="F3749" s="2">
        <v>27.0</v>
      </c>
      <c r="G3749" s="2">
        <v>750.0</v>
      </c>
      <c r="H3749" s="2" t="b">
        <v>1</v>
      </c>
      <c r="I3749" s="2">
        <v>-1.0</v>
      </c>
      <c r="J3749" s="2" t="b">
        <v>0</v>
      </c>
      <c r="K3749" s="2" t="b">
        <v>1</v>
      </c>
      <c r="L3749" s="2" t="b">
        <v>0</v>
      </c>
      <c r="M3749" s="2" t="b">
        <v>0</v>
      </c>
      <c r="N3749" s="2" t="s">
        <v>33</v>
      </c>
      <c r="O3749" s="2">
        <v>10.0</v>
      </c>
      <c r="P3749" s="2">
        <v>15.0</v>
      </c>
      <c r="Q3749" s="2">
        <v>0.0</v>
      </c>
      <c r="R3749" s="2">
        <v>0.0</v>
      </c>
      <c r="S3749" s="3" t="s">
        <v>15243</v>
      </c>
      <c r="T3749" s="2" t="s">
        <v>15244</v>
      </c>
      <c r="Y3749" s="4" t="str">
        <f>IFERROR(__xludf.DUMMYFUNCTION("""COMPUTED_VALUE"""),"6.740147")</f>
        <v>6.740147</v>
      </c>
      <c r="Z3749" s="4" t="str">
        <f>IFERROR(__xludf.DUMMYFUNCTION("""COMPUTED_VALUE"""),"3.4220755")</f>
        <v>3.4220755</v>
      </c>
      <c r="AA3749" s="4" t="str">
        <f t="shared" si="1"/>
        <v>Neighbor</v>
      </c>
      <c r="AC3749" s="4">
        <f>IFERROR(__xludf.DUMMYFUNCTION("IFERROR(ABS(O3749-AVERAGE(FILTER(O3749:O7817,AA3749:AA7817=""Neighbor""))) / STDEV(FILTER(O3749:O7817, AA3749:AA7817 =""Neighbor"")), """")"),1.0201715766043433)</f>
        <v>1.020171577</v>
      </c>
      <c r="AF3749" s="2">
        <f>IFERROR(__xludf.DUMMYFUNCTION("IFERROR(ABS(R3749-AVERAGE(FILTER(R3749:R7817,AA3749:AA7817=""Neighbor""))) / STDEV(FILTER(R3749:R7817, AA3749:AA7817 =""Neighbor"")), """")"),0.37749663711633447)</f>
        <v>0.3774966371</v>
      </c>
    </row>
    <row r="3750">
      <c r="A3750" s="2" t="s">
        <v>28</v>
      </c>
      <c r="B3750" s="2" t="s">
        <v>7915</v>
      </c>
      <c r="C3750" s="2" t="s">
        <v>7937</v>
      </c>
      <c r="D3750" s="2" t="s">
        <v>15245</v>
      </c>
      <c r="E3750" s="2" t="s">
        <v>15246</v>
      </c>
      <c r="F3750" s="2">
        <v>157.0</v>
      </c>
      <c r="G3750" s="2">
        <v>281.0</v>
      </c>
      <c r="H3750" s="2" t="b">
        <v>1</v>
      </c>
      <c r="I3750" s="2">
        <v>-1.0</v>
      </c>
      <c r="J3750" s="2" t="b">
        <v>0</v>
      </c>
      <c r="K3750" s="2" t="b">
        <v>0</v>
      </c>
      <c r="L3750" s="2" t="b">
        <v>0</v>
      </c>
      <c r="M3750" s="2" t="b">
        <v>0</v>
      </c>
      <c r="N3750" s="2" t="s">
        <v>33</v>
      </c>
      <c r="O3750" s="2">
        <v>58.0</v>
      </c>
      <c r="P3750" s="2">
        <v>67.0</v>
      </c>
      <c r="Q3750" s="2">
        <v>22.0</v>
      </c>
      <c r="R3750" s="2">
        <v>3.0</v>
      </c>
      <c r="S3750" s="3" t="s">
        <v>15247</v>
      </c>
      <c r="T3750" s="2" t="s">
        <v>15248</v>
      </c>
      <c r="Y3750" s="4" t="str">
        <f>IFERROR(__xludf.DUMMYFUNCTION("""COMPUTED_VALUE"""),"6.7321214")</f>
        <v>6.7321214</v>
      </c>
      <c r="Z3750" s="4" t="str">
        <f>IFERROR(__xludf.DUMMYFUNCTION("""COMPUTED_VALUE"""),"3.4264479")</f>
        <v>3.4264479</v>
      </c>
      <c r="AA3750" s="4" t="str">
        <f t="shared" si="1"/>
        <v>Neighbor</v>
      </c>
      <c r="AC3750" s="4">
        <f>IFERROR(__xludf.DUMMYFUNCTION("IFERROR(ABS(O3750-AVERAGE(FILTER(O3750:O7818,AA3750:AA7818=""Neighbor""))) / STDEV(FILTER(O3750:O7818, AA3750:AA7818 =""Neighbor"")), """")"),0.8212266938647018)</f>
        <v>0.8212266939</v>
      </c>
      <c r="AF3750" s="2">
        <f>IFERROR(__xludf.DUMMYFUNCTION("IFERROR(ABS(R3750-AVERAGE(FILTER(R3750:R7818,AA3750:AA7818=""Neighbor""))) / STDEV(FILTER(R3750:R7818, AA3750:AA7818 =""Neighbor"")), """")"),5.0134643733012965)</f>
        <v>5.013464373</v>
      </c>
    </row>
    <row r="3751">
      <c r="A3751" s="2" t="s">
        <v>28</v>
      </c>
      <c r="B3751" s="2" t="s">
        <v>7915</v>
      </c>
      <c r="C3751" s="2" t="s">
        <v>7937</v>
      </c>
      <c r="D3751" s="2" t="s">
        <v>15249</v>
      </c>
      <c r="E3751" s="2" t="s">
        <v>15250</v>
      </c>
      <c r="F3751" s="2">
        <v>85.0</v>
      </c>
      <c r="G3751" s="2">
        <v>128.0</v>
      </c>
      <c r="H3751" s="2" t="b">
        <v>1</v>
      </c>
      <c r="I3751" s="2">
        <v>-1.0</v>
      </c>
      <c r="J3751" s="2" t="b">
        <v>0</v>
      </c>
      <c r="K3751" s="2" t="b">
        <v>0</v>
      </c>
      <c r="L3751" s="2" t="b">
        <v>0</v>
      </c>
      <c r="M3751" s="2" t="b">
        <v>0</v>
      </c>
      <c r="N3751" s="2" t="s">
        <v>33</v>
      </c>
      <c r="O3751" s="2">
        <v>34.0</v>
      </c>
      <c r="P3751" s="2">
        <v>47.0</v>
      </c>
      <c r="Q3751" s="2">
        <v>0.0</v>
      </c>
      <c r="R3751" s="2">
        <v>0.0</v>
      </c>
      <c r="S3751" s="3" t="s">
        <v>15251</v>
      </c>
      <c r="T3751" s="2" t="s">
        <v>15252</v>
      </c>
      <c r="Y3751" s="4" t="str">
        <f>IFERROR(__xludf.DUMMYFUNCTION("""COMPUTED_VALUE"""),"6.7321214")</f>
        <v>6.7321214</v>
      </c>
      <c r="Z3751" s="4" t="str">
        <f>IFERROR(__xludf.DUMMYFUNCTION("""COMPUTED_VALUE"""),"3.4264479")</f>
        <v>3.4264479</v>
      </c>
      <c r="AA3751" s="4" t="str">
        <f t="shared" si="1"/>
        <v>Neighbor</v>
      </c>
      <c r="AC3751" s="4">
        <f>IFERROR(__xludf.DUMMYFUNCTION("IFERROR(ABS(O3751-AVERAGE(FILTER(O3751:O7819,AA3751:AA7819=""Neighbor""))) / STDEV(FILTER(O3751:O7819, AA3751:AA7819 =""Neighbor"")), """")"),0.09696693260279422)</f>
        <v>0.0969669326</v>
      </c>
      <c r="AF3751" s="2">
        <f>IFERROR(__xludf.DUMMYFUNCTION("IFERROR(ABS(R3751-AVERAGE(FILTER(R3751:R7819,AA3751:AA7819=""Neighbor""))) / STDEV(FILTER(R3751:R7819, AA3751:AA7819 =""Neighbor"")), """")"),0.3781655072625829)</f>
        <v>0.3781655073</v>
      </c>
    </row>
    <row r="3752">
      <c r="A3752" s="2" t="s">
        <v>28</v>
      </c>
      <c r="B3752" s="2" t="s">
        <v>7915</v>
      </c>
      <c r="C3752" s="2" t="s">
        <v>7937</v>
      </c>
      <c r="D3752" s="2" t="s">
        <v>15253</v>
      </c>
      <c r="E3752" s="2" t="s">
        <v>15254</v>
      </c>
      <c r="F3752" s="2">
        <v>256.0</v>
      </c>
      <c r="G3752" s="2">
        <v>466.0</v>
      </c>
      <c r="H3752" s="2" t="b">
        <v>1</v>
      </c>
      <c r="I3752" s="2">
        <v>-1.0</v>
      </c>
      <c r="J3752" s="2" t="b">
        <v>0</v>
      </c>
      <c r="K3752" s="2" t="b">
        <v>0</v>
      </c>
      <c r="L3752" s="2" t="b">
        <v>0</v>
      </c>
      <c r="M3752" s="2" t="b">
        <v>0</v>
      </c>
      <c r="N3752" s="2" t="s">
        <v>33</v>
      </c>
      <c r="O3752" s="2">
        <v>102.0</v>
      </c>
      <c r="P3752" s="2">
        <v>97.0</v>
      </c>
      <c r="Q3752" s="2">
        <v>39.0</v>
      </c>
      <c r="R3752" s="2">
        <v>0.0</v>
      </c>
      <c r="S3752" s="3" t="s">
        <v>15255</v>
      </c>
      <c r="T3752" s="2" t="s">
        <v>15256</v>
      </c>
      <c r="Y3752" s="4" t="str">
        <f>IFERROR(__xludf.DUMMYFUNCTION("""COMPUTED_VALUE"""),"6.740147")</f>
        <v>6.740147</v>
      </c>
      <c r="Z3752" s="4" t="str">
        <f>IFERROR(__xludf.DUMMYFUNCTION("""COMPUTED_VALUE"""),"3.4220755")</f>
        <v>3.4220755</v>
      </c>
      <c r="AA3752" s="4" t="str">
        <f t="shared" si="1"/>
        <v>Not Neighbor</v>
      </c>
      <c r="AC3752" s="4">
        <f>IFERROR(__xludf.DUMMYFUNCTION("IFERROR(ABS(O3752-AVERAGE(FILTER(O3752:O7820,AA3752:AA7820=""Neighbor""))) / STDEV(FILTER(O3752:O7820, AA3752:AA7820 =""Neighbor"")), """")"),2.509236376471715)</f>
        <v>2.509236376</v>
      </c>
      <c r="AF3752" s="2">
        <f>IFERROR(__xludf.DUMMYFUNCTION("IFERROR(ABS(R3752-AVERAGE(FILTER(R3752:R7820,AA3752:AA7820=""Neighbor""))) / STDEV(FILTER(R3752:R7820, AA3752:AA7820 =""Neighbor"")), """")"),0.3798685881987932)</f>
        <v>0.3798685882</v>
      </c>
    </row>
    <row r="3753">
      <c r="A3753" s="2" t="s">
        <v>28</v>
      </c>
      <c r="B3753" s="2" t="s">
        <v>7915</v>
      </c>
      <c r="C3753" s="2" t="s">
        <v>7937</v>
      </c>
      <c r="D3753" s="2" t="s">
        <v>15257</v>
      </c>
      <c r="E3753" s="2" t="s">
        <v>15258</v>
      </c>
      <c r="F3753" s="2">
        <v>77.0</v>
      </c>
      <c r="G3753" s="2">
        <v>133.0</v>
      </c>
      <c r="H3753" s="2" t="b">
        <v>1</v>
      </c>
      <c r="I3753" s="2">
        <v>-1.0</v>
      </c>
      <c r="J3753" s="2" t="b">
        <v>0</v>
      </c>
      <c r="K3753" s="2" t="b">
        <v>0</v>
      </c>
      <c r="L3753" s="2" t="b">
        <v>0</v>
      </c>
      <c r="M3753" s="2" t="b">
        <v>0</v>
      </c>
      <c r="N3753" s="2" t="s">
        <v>33</v>
      </c>
      <c r="O3753" s="2">
        <v>40.0</v>
      </c>
      <c r="P3753" s="2">
        <v>32.0</v>
      </c>
      <c r="Q3753" s="2">
        <v>3.0</v>
      </c>
      <c r="R3753" s="2">
        <v>0.0</v>
      </c>
      <c r="S3753" s="3" t="s">
        <v>15259</v>
      </c>
      <c r="T3753" s="2" t="s">
        <v>15260</v>
      </c>
      <c r="Y3753" s="4" t="str">
        <f>IFERROR(__xludf.DUMMYFUNCTION("""COMPUTED_VALUE"""),"6.948262")</f>
        <v>6.948262</v>
      </c>
      <c r="Z3753" s="4" t="str">
        <f>IFERROR(__xludf.DUMMYFUNCTION("""COMPUTED_VALUE"""),"3.5079264")</f>
        <v>3.5079264</v>
      </c>
      <c r="AA3753" s="4" t="str">
        <f t="shared" si="1"/>
        <v>Not Neighbor</v>
      </c>
      <c r="AC3753" s="4">
        <f>IFERROR(__xludf.DUMMYFUNCTION("IFERROR(ABS(O3753-AVERAGE(FILTER(O3753:O7821,AA3753:AA7821=""Neighbor""))) / STDEV(FILTER(O3753:O7821, AA3753:AA7821 =""Neighbor"")), """")"),0.13264149613744766)</f>
        <v>0.1326414961</v>
      </c>
      <c r="AF3753" s="2">
        <f>IFERROR(__xludf.DUMMYFUNCTION("IFERROR(ABS(R3753-AVERAGE(FILTER(R3753:R7821,AA3753:AA7821=""Neighbor""))) / STDEV(FILTER(R3753:R7821, AA3753:AA7821 =""Neighbor"")), """")"),0.3798685881987932)</f>
        <v>0.3798685882</v>
      </c>
    </row>
    <row r="3754">
      <c r="A3754" s="2" t="s">
        <v>28</v>
      </c>
      <c r="B3754" s="2" t="s">
        <v>7915</v>
      </c>
      <c r="C3754" s="2" t="s">
        <v>7937</v>
      </c>
      <c r="D3754" s="2" t="s">
        <v>15261</v>
      </c>
      <c r="E3754" s="2" t="s">
        <v>15262</v>
      </c>
      <c r="F3754" s="2">
        <v>259.0</v>
      </c>
      <c r="G3754" s="2">
        <v>382.0</v>
      </c>
      <c r="H3754" s="2" t="b">
        <v>1</v>
      </c>
      <c r="I3754" s="2">
        <v>-1.0</v>
      </c>
      <c r="J3754" s="2" t="b">
        <v>0</v>
      </c>
      <c r="K3754" s="2" t="b">
        <v>0</v>
      </c>
      <c r="L3754" s="2" t="b">
        <v>0</v>
      </c>
      <c r="M3754" s="2" t="b">
        <v>0</v>
      </c>
      <c r="N3754" s="2" t="s">
        <v>33</v>
      </c>
      <c r="O3754" s="2">
        <v>77.0</v>
      </c>
      <c r="P3754" s="2">
        <v>171.0</v>
      </c>
      <c r="Q3754" s="2">
        <v>2.0</v>
      </c>
      <c r="R3754" s="2">
        <v>0.0</v>
      </c>
      <c r="S3754" s="3" t="s">
        <v>15263</v>
      </c>
      <c r="T3754" s="2" t="s">
        <v>15264</v>
      </c>
      <c r="Y3754" s="4" t="str">
        <f>IFERROR(__xludf.DUMMYFUNCTION("""COMPUTED_VALUE"""),"6.7189155")</f>
        <v>6.7189155</v>
      </c>
      <c r="Z3754" s="4" t="str">
        <f>IFERROR(__xludf.DUMMYFUNCTION("""COMPUTED_VALUE"""),"3.4018969")</f>
        <v>3.4018969</v>
      </c>
      <c r="AA3754" s="4" t="str">
        <f t="shared" si="1"/>
        <v>Neighbor</v>
      </c>
      <c r="AC3754" s="4">
        <f>IFERROR(__xludf.DUMMYFUNCTION("IFERROR(ABS(O3754-AVERAGE(FILTER(O3754:O7822,AA3754:AA7822=""Neighbor""))) / STDEV(FILTER(O3754:O7822, AA3754:AA7822 =""Neighbor"")), """")"),1.5509319892401556)</f>
        <v>1.550931989</v>
      </c>
      <c r="AF3754" s="2">
        <f>IFERROR(__xludf.DUMMYFUNCTION("IFERROR(ABS(R3754-AVERAGE(FILTER(R3754:R7822,AA3754:AA7822=""Neighbor""))) / STDEV(FILTER(R3754:R7822, AA3754:AA7822 =""Neighbor"")), """")"),0.3798685881987932)</f>
        <v>0.3798685882</v>
      </c>
    </row>
    <row r="3755">
      <c r="A3755" s="2" t="s">
        <v>28</v>
      </c>
      <c r="B3755" s="2" t="s">
        <v>7915</v>
      </c>
      <c r="C3755" s="2" t="s">
        <v>7937</v>
      </c>
      <c r="D3755" s="2" t="s">
        <v>15265</v>
      </c>
      <c r="E3755" s="2" t="s">
        <v>15266</v>
      </c>
      <c r="F3755" s="2">
        <v>133.0</v>
      </c>
      <c r="G3755" s="2">
        <v>241.0</v>
      </c>
      <c r="H3755" s="2" t="b">
        <v>1</v>
      </c>
      <c r="I3755" s="2">
        <v>-1.0</v>
      </c>
      <c r="J3755" s="2" t="b">
        <v>0</v>
      </c>
      <c r="K3755" s="2" t="b">
        <v>0</v>
      </c>
      <c r="L3755" s="2" t="b">
        <v>0</v>
      </c>
      <c r="M3755" s="2" t="b">
        <v>0</v>
      </c>
      <c r="N3755" s="2" t="s">
        <v>33</v>
      </c>
      <c r="O3755" s="2">
        <v>48.0</v>
      </c>
      <c r="P3755" s="2">
        <v>58.0</v>
      </c>
      <c r="Q3755" s="2">
        <v>11.0</v>
      </c>
      <c r="R3755" s="2">
        <v>2.0</v>
      </c>
      <c r="S3755" s="3" t="s">
        <v>15267</v>
      </c>
      <c r="T3755" s="2" t="s">
        <v>15268</v>
      </c>
      <c r="Y3755" s="4" t="str">
        <f>IFERROR(__xludf.DUMMYFUNCTION("""COMPUTED_VALUE"""),"6.7189155")</f>
        <v>6.7189155</v>
      </c>
      <c r="Z3755" s="4" t="str">
        <f>IFERROR(__xludf.DUMMYFUNCTION("""COMPUTED_VALUE"""),"3.4018969")</f>
        <v>3.4018969</v>
      </c>
      <c r="AA3755" s="4" t="str">
        <f t="shared" si="1"/>
        <v>Not Neighbor</v>
      </c>
      <c r="AC3755" s="4">
        <f>IFERROR(__xludf.DUMMYFUNCTION("IFERROR(ABS(O3755-AVERAGE(FILTER(O3755:O7823,AA3755:AA7823=""Neighbor""))) / STDEV(FILTER(O3755:O7823, AA3755:AA7823 =""Neighbor"")), """")"),0.4543237530758314)</f>
        <v>0.4543237531</v>
      </c>
      <c r="AF3755" s="2">
        <f>IFERROR(__xludf.DUMMYFUNCTION("IFERROR(ABS(R3755-AVERAGE(FILTER(R3755:R7823,AA3755:AA7823=""Neighbor""))) / STDEV(FILTER(R3755:R7823, AA3755:AA7823 =""Neighbor"")), """")"),3.5933521131064468)</f>
        <v>3.593352113</v>
      </c>
    </row>
    <row r="3756">
      <c r="A3756" s="2" t="s">
        <v>28</v>
      </c>
      <c r="B3756" s="2" t="s">
        <v>7915</v>
      </c>
      <c r="C3756" s="2" t="s">
        <v>7937</v>
      </c>
      <c r="D3756" s="2" t="s">
        <v>15269</v>
      </c>
      <c r="E3756" s="2" t="s">
        <v>15270</v>
      </c>
      <c r="F3756" s="2">
        <v>217.0</v>
      </c>
      <c r="G3756" s="2">
        <v>364.0</v>
      </c>
      <c r="H3756" s="2" t="b">
        <v>1</v>
      </c>
      <c r="I3756" s="2">
        <v>-1.0</v>
      </c>
      <c r="J3756" s="2" t="b">
        <v>0</v>
      </c>
      <c r="K3756" s="2" t="b">
        <v>0</v>
      </c>
      <c r="L3756" s="2" t="b">
        <v>0</v>
      </c>
      <c r="M3756" s="2" t="b">
        <v>0</v>
      </c>
      <c r="N3756" s="2" t="s">
        <v>33</v>
      </c>
      <c r="O3756" s="2">
        <v>56.0</v>
      </c>
      <c r="P3756" s="2">
        <v>141.0</v>
      </c>
      <c r="Q3756" s="2">
        <v>10.0</v>
      </c>
      <c r="R3756" s="2">
        <v>0.0</v>
      </c>
      <c r="S3756" s="3" t="s">
        <v>15271</v>
      </c>
      <c r="T3756" s="2" t="s">
        <v>15272</v>
      </c>
      <c r="Y3756" s="4" t="str">
        <f>IFERROR(__xludf.DUMMYFUNCTION("""COMPUTED_VALUE"""),"6.7132522")</f>
        <v>6.7132522</v>
      </c>
      <c r="Z3756" s="4" t="str">
        <f>IFERROR(__xludf.DUMMYFUNCTION("""COMPUTED_VALUE"""),"3.4156411")</f>
        <v>3.4156411</v>
      </c>
      <c r="AA3756" s="4" t="str">
        <f t="shared" si="1"/>
        <v>Not Neighbor</v>
      </c>
      <c r="AC3756" s="4">
        <f>IFERROR(__xludf.DUMMYFUNCTION("IFERROR(ABS(O3756-AVERAGE(FILTER(O3756:O7824,AA3756:AA7824=""Neighbor""))) / STDEV(FILTER(O3756:O7824, AA3756:AA7824 =""Neighbor"")), """")"),0.7627580728829132)</f>
        <v>0.7627580729</v>
      </c>
      <c r="AF3756" s="2">
        <f>IFERROR(__xludf.DUMMYFUNCTION("IFERROR(ABS(R3756-AVERAGE(FILTER(R3756:R7824,AA3756:AA7824=""Neighbor""))) / STDEV(FILTER(R3756:R7824, AA3756:AA7824 =""Neighbor"")), """")"),0.3815949146661713)</f>
        <v>0.3815949147</v>
      </c>
    </row>
    <row r="3757">
      <c r="A3757" s="2" t="s">
        <v>28</v>
      </c>
      <c r="B3757" s="2" t="s">
        <v>7915</v>
      </c>
      <c r="C3757" s="2" t="s">
        <v>7937</v>
      </c>
      <c r="D3757" s="2" t="s">
        <v>15273</v>
      </c>
      <c r="E3757" s="2" t="s">
        <v>15274</v>
      </c>
      <c r="F3757" s="2">
        <v>92.0</v>
      </c>
      <c r="G3757" s="2">
        <v>148.0</v>
      </c>
      <c r="H3757" s="2" t="b">
        <v>1</v>
      </c>
      <c r="I3757" s="2">
        <v>-1.0</v>
      </c>
      <c r="J3757" s="2" t="b">
        <v>0</v>
      </c>
      <c r="K3757" s="2" t="b">
        <v>0</v>
      </c>
      <c r="L3757" s="2" t="b">
        <v>0</v>
      </c>
      <c r="M3757" s="2" t="b">
        <v>0</v>
      </c>
      <c r="N3757" s="2" t="s">
        <v>33</v>
      </c>
      <c r="O3757" s="2">
        <v>27.0</v>
      </c>
      <c r="P3757" s="2">
        <v>53.0</v>
      </c>
      <c r="Q3757" s="2">
        <v>5.0</v>
      </c>
      <c r="R3757" s="2">
        <v>0.0</v>
      </c>
      <c r="S3757" s="3" t="s">
        <v>15275</v>
      </c>
      <c r="T3757" s="2" t="s">
        <v>15276</v>
      </c>
      <c r="Y3757" s="4" t="str">
        <f>IFERROR(__xludf.DUMMYFUNCTION("""COMPUTED_VALUE"""),"6.7189155")</f>
        <v>6.7189155</v>
      </c>
      <c r="Z3757" s="4" t="str">
        <f>IFERROR(__xludf.DUMMYFUNCTION("""COMPUTED_VALUE"""),"3.4018969")</f>
        <v>3.4018969</v>
      </c>
      <c r="AA3757" s="4" t="str">
        <f t="shared" si="1"/>
        <v>Not Neighbor</v>
      </c>
      <c r="AC3757" s="4">
        <f>IFERROR(__xludf.DUMMYFUNCTION("IFERROR(ABS(O3757-AVERAGE(FILTER(O3757:O7825,AA3757:AA7825=""Neighbor""))) / STDEV(FILTER(O3757:O7825, AA3757:AA7825 =""Neighbor"")), """")"),0.3553163364177582)</f>
        <v>0.3553163364</v>
      </c>
      <c r="AF3757" s="2">
        <f>IFERROR(__xludf.DUMMYFUNCTION("IFERROR(ABS(R3757-AVERAGE(FILTER(R3757:R7825,AA3757:AA7825=""Neighbor""))) / STDEV(FILTER(R3757:R7825, AA3757:AA7825 =""Neighbor"")), """")"),0.3815949146661713)</f>
        <v>0.3815949147</v>
      </c>
    </row>
    <row r="3758">
      <c r="A3758" s="2" t="s">
        <v>28</v>
      </c>
      <c r="B3758" s="2" t="s">
        <v>7915</v>
      </c>
      <c r="C3758" s="2" t="s">
        <v>7937</v>
      </c>
      <c r="D3758" s="2" t="s">
        <v>15277</v>
      </c>
      <c r="E3758" s="2" t="s">
        <v>15278</v>
      </c>
      <c r="F3758" s="2">
        <v>364.0</v>
      </c>
      <c r="G3758" s="2">
        <v>660.0</v>
      </c>
      <c r="H3758" s="2" t="b">
        <v>1</v>
      </c>
      <c r="I3758" s="2">
        <v>-1.0</v>
      </c>
      <c r="J3758" s="2" t="b">
        <v>0</v>
      </c>
      <c r="K3758" s="2" t="b">
        <v>1</v>
      </c>
      <c r="L3758" s="2" t="b">
        <v>0</v>
      </c>
      <c r="M3758" s="2" t="b">
        <v>0</v>
      </c>
      <c r="N3758" s="2" t="s">
        <v>33</v>
      </c>
      <c r="O3758" s="2">
        <v>0.0</v>
      </c>
      <c r="P3758" s="2">
        <v>0.0</v>
      </c>
      <c r="Q3758" s="2">
        <v>0.0</v>
      </c>
      <c r="R3758" s="2">
        <v>0.0</v>
      </c>
      <c r="S3758" s="3" t="s">
        <v>15279</v>
      </c>
      <c r="T3758" s="2" t="s">
        <v>15280</v>
      </c>
      <c r="Y3758" s="4" t="str">
        <f>IFERROR(__xludf.DUMMYFUNCTION("""COMPUTED_VALUE"""),"6.7378752")</f>
        <v>6.7378752</v>
      </c>
      <c r="Z3758" s="4" t="str">
        <f>IFERROR(__xludf.DUMMYFUNCTION("""COMPUTED_VALUE"""),"3.3929707")</f>
        <v>3.3929707</v>
      </c>
      <c r="AA3758" s="4" t="str">
        <f t="shared" si="1"/>
        <v>Not Neighbor</v>
      </c>
      <c r="AC3758" s="4">
        <f>IFERROR(__xludf.DUMMYFUNCTION("IFERROR(ABS(O3758-AVERAGE(FILTER(O3758:O7826,AA3758:AA7826=""Neighbor""))) / STDEV(FILTER(O3758:O7826, AA3758:AA7826 =""Neighbor"")), """")"),1.3962821657666593)</f>
        <v>1.396282166</v>
      </c>
      <c r="AF3758" s="2">
        <f>IFERROR(__xludf.DUMMYFUNCTION("IFERROR(ABS(R3758-AVERAGE(FILTER(R3758:R7826,AA3758:AA7826=""Neighbor""))) / STDEV(FILTER(R3758:R7826, AA3758:AA7826 =""Neighbor"")), """")"),0.3815949146661713)</f>
        <v>0.3815949147</v>
      </c>
    </row>
    <row r="3759">
      <c r="A3759" s="2" t="s">
        <v>28</v>
      </c>
      <c r="B3759" s="2" t="s">
        <v>7915</v>
      </c>
      <c r="C3759" s="2" t="s">
        <v>7937</v>
      </c>
      <c r="D3759" s="2" t="s">
        <v>15281</v>
      </c>
      <c r="E3759" s="2" t="s">
        <v>15282</v>
      </c>
      <c r="F3759" s="2">
        <v>199.0</v>
      </c>
      <c r="G3759" s="2">
        <v>710.0</v>
      </c>
      <c r="H3759" s="2" t="b">
        <v>1</v>
      </c>
      <c r="I3759" s="2">
        <v>-1.0</v>
      </c>
      <c r="J3759" s="2" t="b">
        <v>0</v>
      </c>
      <c r="K3759" s="2" t="b">
        <v>0</v>
      </c>
      <c r="L3759" s="2" t="b">
        <v>0</v>
      </c>
      <c r="M3759" s="2" t="b">
        <v>0</v>
      </c>
      <c r="N3759" s="2" t="s">
        <v>33</v>
      </c>
      <c r="O3759" s="2">
        <v>45.0</v>
      </c>
      <c r="P3759" s="2">
        <v>119.0</v>
      </c>
      <c r="Q3759" s="2">
        <v>2.0</v>
      </c>
      <c r="R3759" s="2">
        <v>4.0</v>
      </c>
      <c r="S3759" s="3" t="s">
        <v>15283</v>
      </c>
      <c r="T3759" s="2" t="s">
        <v>15284</v>
      </c>
      <c r="Y3759" s="4" t="str">
        <f>IFERROR(__xludf.DUMMYFUNCTION("""COMPUTED_VALUE"""),"6.7189155")</f>
        <v>6.7189155</v>
      </c>
      <c r="Z3759" s="4" t="str">
        <f>IFERROR(__xludf.DUMMYFUNCTION("""COMPUTED_VALUE"""),"3.4018969")</f>
        <v>3.4018969</v>
      </c>
      <c r="AA3759" s="4" t="str">
        <f t="shared" si="1"/>
        <v>Not Neighbor</v>
      </c>
      <c r="AC3759" s="4">
        <f>IFERROR(__xludf.DUMMYFUNCTION("IFERROR(ABS(O3759-AVERAGE(FILTER(O3759:O7827,AA3759:AA7827=""Neighbor""))) / STDEV(FILTER(O3759:O7827, AA3759:AA7827 =""Neighbor"")), """")"),0.3386608831481758)</f>
        <v>0.3386608831</v>
      </c>
      <c r="AF3759" s="2">
        <f>IFERROR(__xludf.DUMMYFUNCTION("IFERROR(ABS(R3759-AVERAGE(FILTER(R3759:R7827,AA3759:AA7827=""Neighbor""))) / STDEV(FILTER(R3759:R7827, AA3759:AA7827 =""Neighbor"")), """")"),7.568299140879064)</f>
        <v>7.568299141</v>
      </c>
    </row>
    <row r="3760">
      <c r="A3760" s="2" t="s">
        <v>28</v>
      </c>
      <c r="B3760" s="2" t="s">
        <v>7915</v>
      </c>
      <c r="C3760" s="2" t="s">
        <v>7937</v>
      </c>
      <c r="D3760" s="2" t="s">
        <v>15285</v>
      </c>
      <c r="E3760" s="2" t="s">
        <v>15286</v>
      </c>
      <c r="F3760" s="2">
        <v>200.0</v>
      </c>
      <c r="G3760" s="2">
        <v>286.0</v>
      </c>
      <c r="H3760" s="2" t="b">
        <v>1</v>
      </c>
      <c r="I3760" s="2">
        <v>-1.0</v>
      </c>
      <c r="J3760" s="2" t="b">
        <v>0</v>
      </c>
      <c r="K3760" s="2" t="b">
        <v>0</v>
      </c>
      <c r="L3760" s="2" t="b">
        <v>0</v>
      </c>
      <c r="M3760" s="2" t="b">
        <v>0</v>
      </c>
      <c r="N3760" s="2" t="s">
        <v>33</v>
      </c>
      <c r="O3760" s="2">
        <v>58.0</v>
      </c>
      <c r="P3760" s="2">
        <v>140.0</v>
      </c>
      <c r="Q3760" s="2">
        <v>0.0</v>
      </c>
      <c r="R3760" s="2">
        <v>0.0</v>
      </c>
      <c r="S3760" s="3" t="s">
        <v>15287</v>
      </c>
      <c r="T3760" s="2" t="s">
        <v>15288</v>
      </c>
      <c r="Y3760" s="4" t="str">
        <f>IFERROR(__xludf.DUMMYFUNCTION("""COMPUTED_VALUE"""),"6.6966956")</f>
        <v>6.6966956</v>
      </c>
      <c r="Z3760" s="4" t="str">
        <f>IFERROR(__xludf.DUMMYFUNCTION("""COMPUTED_VALUE"""),"3.4253559")</f>
        <v>3.4253559</v>
      </c>
      <c r="AA3760" s="4" t="str">
        <f t="shared" si="1"/>
        <v>Neighbor</v>
      </c>
      <c r="AC3760" s="4">
        <f>IFERROR(__xludf.DUMMYFUNCTION("IFERROR(ABS(O3760-AVERAGE(FILTER(O3760:O7828,AA3760:AA7828=""Neighbor""))) / STDEV(FILTER(O3760:O7828, AA3760:AA7828 =""Neighbor"")), """")"),0.8398666528346836)</f>
        <v>0.8398666528</v>
      </c>
      <c r="AF3760" s="2">
        <f>IFERROR(__xludf.DUMMYFUNCTION("IFERROR(ABS(R3760-AVERAGE(FILTER(R3760:R7828,AA3760:AA7828=""Neighbor""))) / STDEV(FILTER(R3760:R7828, AA3760:AA7828 =""Neighbor"")), """")"),0.3815949146661713)</f>
        <v>0.3815949147</v>
      </c>
    </row>
    <row r="3761">
      <c r="A3761" s="2" t="s">
        <v>28</v>
      </c>
      <c r="B3761" s="2" t="s">
        <v>7915</v>
      </c>
      <c r="C3761" s="2" t="s">
        <v>7937</v>
      </c>
      <c r="D3761" s="2" t="s">
        <v>15289</v>
      </c>
      <c r="E3761" s="2" t="s">
        <v>15290</v>
      </c>
      <c r="F3761" s="2">
        <v>285.0</v>
      </c>
      <c r="G3761" s="2">
        <v>434.0</v>
      </c>
      <c r="H3761" s="2" t="b">
        <v>1</v>
      </c>
      <c r="I3761" s="2">
        <v>-1.0</v>
      </c>
      <c r="J3761" s="2" t="b">
        <v>0</v>
      </c>
      <c r="K3761" s="2" t="b">
        <v>0</v>
      </c>
      <c r="L3761" s="2" t="b">
        <v>0</v>
      </c>
      <c r="M3761" s="2" t="b">
        <v>0</v>
      </c>
      <c r="N3761" s="2" t="s">
        <v>33</v>
      </c>
      <c r="O3761" s="2">
        <v>90.0</v>
      </c>
      <c r="P3761" s="2">
        <v>175.0</v>
      </c>
      <c r="Q3761" s="2">
        <v>11.0</v>
      </c>
      <c r="R3761" s="2">
        <v>1.0</v>
      </c>
      <c r="S3761" s="3" t="s">
        <v>15291</v>
      </c>
      <c r="T3761" s="2" t="s">
        <v>15292</v>
      </c>
      <c r="Y3761" s="4" t="str">
        <f>IFERROR(__xludf.DUMMYFUNCTION("""COMPUTED_VALUE"""),"6.6972608")</f>
        <v>6.6972608</v>
      </c>
      <c r="Z3761" s="4" t="str">
        <f>IFERROR(__xludf.DUMMYFUNCTION("""COMPUTED_VALUE"""),"3.4189098")</f>
        <v>3.4189098</v>
      </c>
      <c r="AA3761" s="4" t="str">
        <f t="shared" si="1"/>
        <v>Not Neighbor</v>
      </c>
      <c r="AC3761" s="4">
        <f>IFERROR(__xludf.DUMMYFUNCTION("IFERROR(ABS(O3761-AVERAGE(FILTER(O3761:O7829,AA3761:AA7829=""Neighbor""))) / STDEV(FILTER(O3761:O7829, AA3761:AA7829 =""Neighbor"")), """")"),2.077937872100565)</f>
        <v>2.077937872</v>
      </c>
      <c r="AF3761" s="2">
        <f>IFERROR(__xludf.DUMMYFUNCTION("IFERROR(ABS(R3761-AVERAGE(FILTER(R3761:R7829,AA3761:AA7829=""Neighbor""))) / STDEV(FILTER(R3761:R7829, AA3761:AA7829 =""Neighbor"")), """")"),1.5972709202487356)</f>
        <v>1.59727092</v>
      </c>
    </row>
    <row r="3762">
      <c r="A3762" s="2" t="s">
        <v>28</v>
      </c>
      <c r="B3762" s="2" t="s">
        <v>7915</v>
      </c>
      <c r="C3762" s="2" t="s">
        <v>7937</v>
      </c>
      <c r="D3762" s="2" t="s">
        <v>15293</v>
      </c>
      <c r="E3762" s="2" t="s">
        <v>15294</v>
      </c>
      <c r="F3762" s="2">
        <v>79.0</v>
      </c>
      <c r="G3762" s="2">
        <v>160.0</v>
      </c>
      <c r="H3762" s="2" t="b">
        <v>1</v>
      </c>
      <c r="I3762" s="2">
        <v>-1.0</v>
      </c>
      <c r="J3762" s="2" t="b">
        <v>0</v>
      </c>
      <c r="K3762" s="2" t="b">
        <v>0</v>
      </c>
      <c r="L3762" s="2" t="b">
        <v>0</v>
      </c>
      <c r="M3762" s="2" t="b">
        <v>0</v>
      </c>
      <c r="N3762" s="2" t="s">
        <v>33</v>
      </c>
      <c r="O3762" s="2">
        <v>22.0</v>
      </c>
      <c r="P3762" s="2">
        <v>47.0</v>
      </c>
      <c r="Q3762" s="2">
        <v>6.0</v>
      </c>
      <c r="R3762" s="2">
        <v>0.0</v>
      </c>
      <c r="S3762" s="3" t="s">
        <v>15295</v>
      </c>
      <c r="T3762" s="2" t="s">
        <v>15296</v>
      </c>
      <c r="Y3762" s="4" t="str">
        <f>IFERROR(__xludf.DUMMYFUNCTION("""COMPUTED_VALUE"""),"6.7819638")</f>
        <v>6.7819638</v>
      </c>
      <c r="Z3762" s="4" t="str">
        <f>IFERROR(__xludf.DUMMYFUNCTION("""COMPUTED_VALUE"""),"3.4119813")</f>
        <v>3.4119813</v>
      </c>
      <c r="AA3762" s="4" t="str">
        <f t="shared" si="1"/>
        <v>Neighbor</v>
      </c>
      <c r="AC3762" s="4">
        <f>IFERROR(__xludf.DUMMYFUNCTION("IFERROR(ABS(O3762-AVERAGE(FILTER(O3762:O7830,AA3762:AA7830=""Neighbor""))) / STDEV(FILTER(O3762:O7830, AA3762:AA7830 =""Neighbor"")), """")"),0.540679993323432)</f>
        <v>0.5406799933</v>
      </c>
      <c r="AF3762" s="2">
        <f>IFERROR(__xludf.DUMMYFUNCTION("IFERROR(ABS(R3762-AVERAGE(FILTER(R3762:R7830,AA3762:AA7830=""Neighbor""))) / STDEV(FILTER(R3762:R7830, AA3762:AA7830 =""Neighbor"")), """")"),0.3833450208596965)</f>
        <v>0.3833450209</v>
      </c>
    </row>
    <row r="3763">
      <c r="A3763" s="2" t="s">
        <v>28</v>
      </c>
      <c r="B3763" s="2" t="s">
        <v>7915</v>
      </c>
      <c r="C3763" s="2" t="s">
        <v>7937</v>
      </c>
      <c r="D3763" s="2" t="s">
        <v>15297</v>
      </c>
      <c r="E3763" s="2" t="s">
        <v>15298</v>
      </c>
      <c r="F3763" s="2">
        <v>182.0</v>
      </c>
      <c r="G3763" s="2">
        <v>292.0</v>
      </c>
      <c r="H3763" s="2" t="b">
        <v>1</v>
      </c>
      <c r="I3763" s="2">
        <v>-1.0</v>
      </c>
      <c r="J3763" s="2" t="b">
        <v>0</v>
      </c>
      <c r="K3763" s="2" t="b">
        <v>0</v>
      </c>
      <c r="L3763" s="2" t="b">
        <v>0</v>
      </c>
      <c r="M3763" s="2" t="b">
        <v>0</v>
      </c>
      <c r="N3763" s="2" t="s">
        <v>33</v>
      </c>
      <c r="O3763" s="2">
        <v>75.0</v>
      </c>
      <c r="P3763" s="2">
        <v>82.0</v>
      </c>
      <c r="Q3763" s="2">
        <v>17.0</v>
      </c>
      <c r="R3763" s="2">
        <v>0.0</v>
      </c>
      <c r="S3763" s="3" t="s">
        <v>15299</v>
      </c>
      <c r="T3763" s="2" t="s">
        <v>15300</v>
      </c>
      <c r="Y3763" s="4" t="str">
        <f>IFERROR(__xludf.DUMMYFUNCTION("""COMPUTED_VALUE"""),"6.7819638")</f>
        <v>6.7819638</v>
      </c>
      <c r="Z3763" s="4" t="str">
        <f>IFERROR(__xludf.DUMMYFUNCTION("""COMPUTED_VALUE"""),"3.4119813")</f>
        <v>3.4119813</v>
      </c>
      <c r="AA3763" s="4" t="str">
        <f t="shared" si="1"/>
        <v>Not Neighbor</v>
      </c>
      <c r="AC3763" s="4">
        <f>IFERROR(__xludf.DUMMYFUNCTION("IFERROR(ABS(O3763-AVERAGE(FILTER(O3763:O7831,AA3763:AA7831=""Neighbor""))) / STDEV(FILTER(O3763:O7831, AA3763:AA7831 =""Neighbor"")), """")"),1.491600508643753)</f>
        <v>1.491600509</v>
      </c>
      <c r="AF3763" s="2">
        <f>IFERROR(__xludf.DUMMYFUNCTION("IFERROR(ABS(R3763-AVERAGE(FILTER(R3763:R7831,AA3763:AA7831=""Neighbor""))) / STDEV(FILTER(R3763:R7831, AA3763:AA7831 =""Neighbor"")), """")"),0.38511945833554495)</f>
        <v>0.3851194583</v>
      </c>
    </row>
    <row r="3764">
      <c r="A3764" s="2" t="s">
        <v>28</v>
      </c>
      <c r="B3764" s="2" t="s">
        <v>7915</v>
      </c>
      <c r="C3764" s="2" t="s">
        <v>7937</v>
      </c>
      <c r="D3764" s="2" t="s">
        <v>15301</v>
      </c>
      <c r="E3764" s="2" t="s">
        <v>15302</v>
      </c>
      <c r="F3764" s="2">
        <v>281.0</v>
      </c>
      <c r="G3764" s="2">
        <v>603.0</v>
      </c>
      <c r="H3764" s="2" t="b">
        <v>1</v>
      </c>
      <c r="I3764" s="2">
        <v>-1.0</v>
      </c>
      <c r="J3764" s="2" t="b">
        <v>0</v>
      </c>
      <c r="K3764" s="2" t="b">
        <v>1</v>
      </c>
      <c r="L3764" s="2" t="b">
        <v>0</v>
      </c>
      <c r="M3764" s="2" t="b">
        <v>0</v>
      </c>
      <c r="N3764" s="2" t="s">
        <v>33</v>
      </c>
      <c r="O3764" s="2">
        <v>150.0</v>
      </c>
      <c r="P3764" s="2">
        <v>101.0</v>
      </c>
      <c r="Q3764" s="2">
        <v>10.0</v>
      </c>
      <c r="R3764" s="2">
        <v>0.0</v>
      </c>
      <c r="S3764" s="3" t="s">
        <v>15303</v>
      </c>
      <c r="T3764" s="2" t="s">
        <v>15304</v>
      </c>
      <c r="Y3764" s="4" t="str">
        <f>IFERROR(__xludf.DUMMYFUNCTION("""COMPUTED_VALUE"""),"6.948262")</f>
        <v>6.948262</v>
      </c>
      <c r="Z3764" s="4" t="str">
        <f>IFERROR(__xludf.DUMMYFUNCTION("""COMPUTED_VALUE"""),"3.5079264")</f>
        <v>3.5079264</v>
      </c>
      <c r="AA3764" s="4" t="str">
        <f t="shared" si="1"/>
        <v>Not Neighbor</v>
      </c>
      <c r="AC3764" s="4">
        <f>IFERROR(__xludf.DUMMYFUNCTION("IFERROR(ABS(O3764-AVERAGE(FILTER(O3764:O7832,AA3764:AA7832=""Neighbor""))) / STDEV(FILTER(O3764:O7832, AA3764:AA7832 =""Neighbor"")), """")"),4.371469636362175)</f>
        <v>4.371469636</v>
      </c>
      <c r="AF3764" s="2">
        <f>IFERROR(__xludf.DUMMYFUNCTION("IFERROR(ABS(R3764-AVERAGE(FILTER(R3764:R7832,AA3764:AA7832=""Neighbor""))) / STDEV(FILTER(R3764:R7832, AA3764:AA7832 =""Neighbor"")), """")"),0.38511945833554495)</f>
        <v>0.3851194583</v>
      </c>
    </row>
    <row r="3765">
      <c r="A3765" s="2" t="s">
        <v>28</v>
      </c>
      <c r="B3765" s="2" t="s">
        <v>7915</v>
      </c>
      <c r="C3765" s="2" t="s">
        <v>7937</v>
      </c>
      <c r="D3765" s="2" t="s">
        <v>15305</v>
      </c>
      <c r="E3765" s="2" t="s">
        <v>15306</v>
      </c>
      <c r="F3765" s="2">
        <v>124.0</v>
      </c>
      <c r="G3765" s="2">
        <v>254.0</v>
      </c>
      <c r="H3765" s="2" t="b">
        <v>1</v>
      </c>
      <c r="I3765" s="2">
        <v>-1.0</v>
      </c>
      <c r="J3765" s="2" t="b">
        <v>0</v>
      </c>
      <c r="K3765" s="2" t="b">
        <v>1</v>
      </c>
      <c r="L3765" s="2" t="b">
        <v>0</v>
      </c>
      <c r="M3765" s="2" t="b">
        <v>0</v>
      </c>
      <c r="N3765" s="2" t="s">
        <v>33</v>
      </c>
      <c r="O3765" s="2">
        <v>35.0</v>
      </c>
      <c r="P3765" s="2">
        <v>54.0</v>
      </c>
      <c r="Q3765" s="2">
        <v>8.0</v>
      </c>
      <c r="R3765" s="2">
        <v>0.0</v>
      </c>
      <c r="S3765" s="3" t="s">
        <v>15307</v>
      </c>
      <c r="T3765" s="2" t="s">
        <v>15308</v>
      </c>
      <c r="Y3765" s="4" t="str">
        <f>IFERROR(__xludf.DUMMYFUNCTION("""COMPUTED_VALUE"""),"6.8043492")</f>
        <v>6.8043492</v>
      </c>
      <c r="Z3765" s="4" t="str">
        <f>IFERROR(__xludf.DUMMYFUNCTION("""COMPUTED_VALUE"""),"3.4284763")</f>
        <v>3.4284763</v>
      </c>
      <c r="AA3765" s="4" t="str">
        <f t="shared" si="1"/>
        <v>Neighbor</v>
      </c>
      <c r="AC3765" s="4">
        <f>IFERROR(__xludf.DUMMYFUNCTION("IFERROR(ABS(O3765-AVERAGE(FILTER(O3765:O7833,AA3765:AA7833=""Neighbor""))) / STDEV(FILTER(O3765:O7833, AA3765:AA7833 =""Neighbor"")), """")"),0.044329692806072254)</f>
        <v>0.04432969281</v>
      </c>
      <c r="AF3765" s="2">
        <f>IFERROR(__xludf.DUMMYFUNCTION("IFERROR(ABS(R3765-AVERAGE(FILTER(R3765:R7833,AA3765:AA7833=""Neighbor""))) / STDEV(FILTER(R3765:R7833, AA3765:AA7833 =""Neighbor"")), """")"),0.38511945833554495)</f>
        <v>0.3851194583</v>
      </c>
    </row>
    <row r="3766">
      <c r="A3766" s="2" t="s">
        <v>28</v>
      </c>
      <c r="B3766" s="2" t="s">
        <v>7915</v>
      </c>
      <c r="C3766" s="2" t="s">
        <v>7937</v>
      </c>
      <c r="D3766" s="2" t="s">
        <v>15309</v>
      </c>
      <c r="E3766" s="2" t="s">
        <v>15310</v>
      </c>
      <c r="F3766" s="2">
        <v>159.0</v>
      </c>
      <c r="G3766" s="2">
        <v>480.0</v>
      </c>
      <c r="H3766" s="2" t="b">
        <v>1</v>
      </c>
      <c r="I3766" s="2">
        <v>-1.0</v>
      </c>
      <c r="J3766" s="2" t="b">
        <v>0</v>
      </c>
      <c r="K3766" s="2" t="b">
        <v>0</v>
      </c>
      <c r="L3766" s="2" t="b">
        <v>0</v>
      </c>
      <c r="M3766" s="2" t="b">
        <v>0</v>
      </c>
      <c r="N3766" s="2" t="s">
        <v>33</v>
      </c>
      <c r="O3766" s="2">
        <v>46.0</v>
      </c>
      <c r="P3766" s="2">
        <v>97.0</v>
      </c>
      <c r="Q3766" s="2">
        <v>7.0</v>
      </c>
      <c r="R3766" s="2">
        <v>0.0</v>
      </c>
      <c r="S3766" s="3" t="s">
        <v>15311</v>
      </c>
      <c r="T3766" s="2" t="s">
        <v>15312</v>
      </c>
      <c r="Y3766" s="4" t="str">
        <f>IFERROR(__xludf.DUMMYFUNCTION("""COMPUTED_VALUE"""),"6.8043492")</f>
        <v>6.8043492</v>
      </c>
      <c r="Z3766" s="4" t="str">
        <f>IFERROR(__xludf.DUMMYFUNCTION("""COMPUTED_VALUE"""),"3.4284763")</f>
        <v>3.4284763</v>
      </c>
      <c r="AA3766" s="4" t="str">
        <f t="shared" si="1"/>
        <v>Neighbor</v>
      </c>
      <c r="AC3766" s="4">
        <f>IFERROR(__xludf.DUMMYFUNCTION("IFERROR(ABS(O3766-AVERAGE(FILTER(O3766:O7834,AA3766:AA7834=""Neighbor""))) / STDEV(FILTER(O3766:O7834, AA3766:AA7834 =""Neighbor"")), """")"),0.3761397230163209)</f>
        <v>0.376139723</v>
      </c>
      <c r="AF3766" s="2">
        <f>IFERROR(__xludf.DUMMYFUNCTION("IFERROR(ABS(R3766-AVERAGE(FILTER(R3766:R7834,AA3766:AA7834=""Neighbor""))) / STDEV(FILTER(R3766:R7834, AA3766:AA7834 =""Neighbor"")), """")"),0.3869187967438899)</f>
        <v>0.3869187967</v>
      </c>
    </row>
    <row r="3767">
      <c r="A3767" s="2" t="s">
        <v>28</v>
      </c>
      <c r="B3767" s="2" t="s">
        <v>7915</v>
      </c>
      <c r="C3767" s="2" t="s">
        <v>7937</v>
      </c>
      <c r="D3767" s="2" t="s">
        <v>15313</v>
      </c>
      <c r="E3767" s="2" t="s">
        <v>15314</v>
      </c>
      <c r="F3767" s="2">
        <v>258.0</v>
      </c>
      <c r="G3767" s="2">
        <v>459.0</v>
      </c>
      <c r="H3767" s="2" t="b">
        <v>1</v>
      </c>
      <c r="I3767" s="2">
        <v>-1.0</v>
      </c>
      <c r="J3767" s="2" t="b">
        <v>1</v>
      </c>
      <c r="K3767" s="2" t="b">
        <v>1</v>
      </c>
      <c r="L3767" s="2" t="b">
        <v>0</v>
      </c>
      <c r="M3767" s="2" t="b">
        <v>0</v>
      </c>
      <c r="N3767" s="2" t="s">
        <v>33</v>
      </c>
      <c r="O3767" s="2">
        <v>0.0</v>
      </c>
      <c r="P3767" s="2">
        <v>0.0</v>
      </c>
      <c r="Q3767" s="2">
        <v>0.0</v>
      </c>
      <c r="R3767" s="2">
        <v>0.0</v>
      </c>
      <c r="S3767" s="3" t="s">
        <v>15315</v>
      </c>
      <c r="T3767" s="2" t="s">
        <v>15316</v>
      </c>
      <c r="Y3767" s="4" t="str">
        <f>IFERROR(__xludf.DUMMYFUNCTION("""COMPUTED_VALUE"""),"6.8085486")</f>
        <v>6.8085486</v>
      </c>
      <c r="Z3767" s="4" t="str">
        <f>IFERROR(__xludf.DUMMYFUNCTION("""COMPUTED_VALUE"""),"3.4367201")</f>
        <v>3.4367201</v>
      </c>
      <c r="AA3767" s="4" t="str">
        <f t="shared" si="1"/>
        <v>Neighbor</v>
      </c>
      <c r="AC3767" s="4">
        <f>IFERROR(__xludf.DUMMYFUNCTION("IFERROR(ABS(O3767-AVERAGE(FILTER(O3767:O7835,AA3767:AA7835=""Neighbor""))) / STDEV(FILTER(O3767:O7835, AA3767:AA7835 =""Neighbor"")), """")"),1.3749288856232036)</f>
        <v>1.374928886</v>
      </c>
      <c r="AF3767" s="2">
        <f>IFERROR(__xludf.DUMMYFUNCTION("IFERROR(ABS(R3767-AVERAGE(FILTER(R3767:R7835,AA3767:AA7835=""Neighbor""))) / STDEV(FILTER(R3767:R7835, AA3767:AA7835 =""Neighbor"")), """")"),0.3887436245998901)</f>
        <v>0.3887436246</v>
      </c>
    </row>
    <row r="3768">
      <c r="A3768" s="2" t="s">
        <v>28</v>
      </c>
      <c r="B3768" s="2" t="s">
        <v>7915</v>
      </c>
      <c r="C3768" s="2" t="s">
        <v>7937</v>
      </c>
      <c r="D3768" s="2" t="s">
        <v>15317</v>
      </c>
      <c r="E3768" s="2" t="s">
        <v>15318</v>
      </c>
      <c r="F3768" s="2">
        <v>142.0</v>
      </c>
      <c r="G3768" s="2">
        <v>330.0</v>
      </c>
      <c r="H3768" s="2" t="b">
        <v>1</v>
      </c>
      <c r="I3768" s="2">
        <v>-1.0</v>
      </c>
      <c r="J3768" s="2" t="b">
        <v>1</v>
      </c>
      <c r="K3768" s="2" t="b">
        <v>0</v>
      </c>
      <c r="L3768" s="2" t="b">
        <v>0</v>
      </c>
      <c r="M3768" s="2" t="b">
        <v>0</v>
      </c>
      <c r="N3768" s="2" t="s">
        <v>33</v>
      </c>
      <c r="O3768" s="2">
        <v>85.0</v>
      </c>
      <c r="P3768" s="2">
        <v>43.0</v>
      </c>
      <c r="Q3768" s="2">
        <v>6.0</v>
      </c>
      <c r="R3768" s="2">
        <v>0.0</v>
      </c>
      <c r="S3768" s="3" t="s">
        <v>15319</v>
      </c>
      <c r="T3768" s="2" t="s">
        <v>15320</v>
      </c>
      <c r="Y3768" s="4" t="str">
        <f>IFERROR(__xludf.DUMMYFUNCTION("""COMPUTED_VALUE"""),"6.8043492")</f>
        <v>6.8043492</v>
      </c>
      <c r="Z3768" s="4" t="str">
        <f>IFERROR(__xludf.DUMMYFUNCTION("""COMPUTED_VALUE"""),"3.4284763")</f>
        <v>3.4284763</v>
      </c>
      <c r="AA3768" s="4" t="str">
        <f t="shared" si="1"/>
        <v>Not Neighbor</v>
      </c>
      <c r="AC3768" s="4">
        <f>IFERROR(__xludf.DUMMYFUNCTION("IFERROR(ABS(O3768-AVERAGE(FILTER(O3768:O7836,AA3768:AA7836=""Neighbor""))) / STDEV(FILTER(O3768:O7836, AA3768:AA7836 =""Neighbor"")), """")"),1.8596317589323483)</f>
        <v>1.859631759</v>
      </c>
      <c r="AF3768" s="2">
        <f>IFERROR(__xludf.DUMMYFUNCTION("IFERROR(ABS(R3768-AVERAGE(FILTER(R3768:R7836,AA3768:AA7836=""Neighbor""))) / STDEV(FILTER(R3768:R7836, AA3768:AA7836 =""Neighbor"")), """")"),0.3905945500952395)</f>
        <v>0.3905945501</v>
      </c>
    </row>
    <row r="3769">
      <c r="A3769" s="2" t="s">
        <v>28</v>
      </c>
      <c r="B3769" s="2" t="s">
        <v>7915</v>
      </c>
      <c r="C3769" s="2" t="s">
        <v>7937</v>
      </c>
      <c r="D3769" s="2" t="s">
        <v>15321</v>
      </c>
      <c r="E3769" s="2" t="s">
        <v>15322</v>
      </c>
      <c r="F3769" s="2">
        <v>408.0</v>
      </c>
      <c r="G3769" s="2">
        <v>2451.0</v>
      </c>
      <c r="H3769" s="2" t="b">
        <v>1</v>
      </c>
      <c r="I3769" s="2">
        <v>-1.0</v>
      </c>
      <c r="J3769" s="2" t="b">
        <v>0</v>
      </c>
      <c r="K3769" s="2" t="b">
        <v>0</v>
      </c>
      <c r="L3769" s="2" t="b">
        <v>0</v>
      </c>
      <c r="M3769" s="2" t="b">
        <v>0</v>
      </c>
      <c r="N3769" s="2" t="s">
        <v>33</v>
      </c>
      <c r="O3769" s="2">
        <v>33.0</v>
      </c>
      <c r="P3769" s="2">
        <v>347.0</v>
      </c>
      <c r="Q3769" s="2">
        <v>3.0</v>
      </c>
      <c r="R3769" s="2">
        <v>5.0</v>
      </c>
      <c r="S3769" s="3" t="s">
        <v>15323</v>
      </c>
      <c r="T3769" s="2" t="s">
        <v>15324</v>
      </c>
      <c r="Y3769" s="4" t="str">
        <f>IFERROR(__xludf.DUMMYFUNCTION("""COMPUTED_VALUE"""),"6.8005815")</f>
        <v>6.8005815</v>
      </c>
      <c r="Z3769" s="4" t="str">
        <f>IFERROR(__xludf.DUMMYFUNCTION("""COMPUTED_VALUE"""),"3.4447778")</f>
        <v>3.4447778</v>
      </c>
      <c r="AA3769" s="4" t="str">
        <f t="shared" si="1"/>
        <v>Not Neighbor</v>
      </c>
      <c r="AC3769" s="4">
        <f>IFERROR(__xludf.DUMMYFUNCTION("IFERROR(ABS(O3769-AVERAGE(FILTER(O3769:O7837,AA3769:AA7837=""Neighbor""))) / STDEV(FILTER(O3769:O7837, AA3769:AA7837 =""Neighbor"")), """")"),0.12941558006968346)</f>
        <v>0.1294155801</v>
      </c>
      <c r="AF3769" s="2">
        <f>IFERROR(__xludf.DUMMYFUNCTION("IFERROR(ABS(R3769-AVERAGE(FILTER(R3769:R7837,AA3769:AA7837=""Neighbor""))) / STDEV(FILTER(R3769:R7837, AA3769:AA7837 =""Neighbor"")), """")"),9.374269202285747)</f>
        <v>9.374269202</v>
      </c>
    </row>
    <row r="3770">
      <c r="A3770" s="2" t="s">
        <v>28</v>
      </c>
      <c r="B3770" s="2" t="s">
        <v>7915</v>
      </c>
      <c r="C3770" s="2" t="s">
        <v>7937</v>
      </c>
      <c r="D3770" s="2" t="s">
        <v>15325</v>
      </c>
      <c r="E3770" s="2" t="s">
        <v>15326</v>
      </c>
      <c r="F3770" s="2">
        <v>90.0</v>
      </c>
      <c r="G3770" s="2">
        <v>154.0</v>
      </c>
      <c r="H3770" s="2" t="b">
        <v>1</v>
      </c>
      <c r="I3770" s="2">
        <v>-1.0</v>
      </c>
      <c r="J3770" s="2" t="b">
        <v>0</v>
      </c>
      <c r="K3770" s="2" t="b">
        <v>0</v>
      </c>
      <c r="L3770" s="2" t="b">
        <v>0</v>
      </c>
      <c r="M3770" s="2" t="b">
        <v>0</v>
      </c>
      <c r="N3770" s="2" t="s">
        <v>33</v>
      </c>
      <c r="O3770" s="2">
        <v>38.0</v>
      </c>
      <c r="P3770" s="2">
        <v>45.0</v>
      </c>
      <c r="Q3770" s="2">
        <v>1.0</v>
      </c>
      <c r="R3770" s="2">
        <v>0.0</v>
      </c>
      <c r="S3770" s="3" t="s">
        <v>15327</v>
      </c>
      <c r="T3770" s="2" t="s">
        <v>15328</v>
      </c>
      <c r="Y3770" s="4" t="str">
        <f>IFERROR(__xludf.DUMMYFUNCTION("""COMPUTED_VALUE"""),"6.948262")</f>
        <v>6.948262</v>
      </c>
      <c r="Z3770" s="4" t="str">
        <f>IFERROR(__xludf.DUMMYFUNCTION("""COMPUTED_VALUE"""),"3.5079264")</f>
        <v>3.5079264</v>
      </c>
      <c r="AA3770" s="4" t="str">
        <f t="shared" si="1"/>
        <v>Not Neighbor</v>
      </c>
      <c r="AC3770" s="4">
        <f>IFERROR(__xludf.DUMMYFUNCTION("IFERROR(ABS(O3770-AVERAGE(FILTER(O3770:O7838,AA3770:AA7838=""Neighbor""))) / STDEV(FILTER(O3770:O7838, AA3770:AA7838 =""Neighbor"")), """")"),0.061838971757434975)</f>
        <v>0.06183897176</v>
      </c>
      <c r="AF3770" s="2">
        <f>IFERROR(__xludf.DUMMYFUNCTION("IFERROR(ABS(R3770-AVERAGE(FILTER(R3770:R7838,AA3770:AA7838=""Neighbor""))) / STDEV(FILTER(R3770:R7838, AA3770:AA7838 =""Neighbor"")), """")"),0.3905945500952395)</f>
        <v>0.3905945501</v>
      </c>
    </row>
    <row r="3771">
      <c r="A3771" s="2" t="s">
        <v>28</v>
      </c>
      <c r="B3771" s="2" t="s">
        <v>7915</v>
      </c>
      <c r="C3771" s="2" t="s">
        <v>7937</v>
      </c>
      <c r="D3771" s="2" t="s">
        <v>15329</v>
      </c>
      <c r="E3771" s="2" t="s">
        <v>15330</v>
      </c>
      <c r="F3771" s="2">
        <v>24.0</v>
      </c>
      <c r="G3771" s="2">
        <v>116.0</v>
      </c>
      <c r="H3771" s="2" t="b">
        <v>1</v>
      </c>
      <c r="I3771" s="2">
        <v>-1.0</v>
      </c>
      <c r="J3771" s="2" t="b">
        <v>0</v>
      </c>
      <c r="K3771" s="2" t="b">
        <v>0</v>
      </c>
      <c r="L3771" s="2" t="b">
        <v>0</v>
      </c>
      <c r="M3771" s="2" t="b">
        <v>0</v>
      </c>
      <c r="N3771" s="2" t="s">
        <v>33</v>
      </c>
      <c r="O3771" s="2">
        <v>7.0</v>
      </c>
      <c r="P3771" s="2">
        <v>17.0</v>
      </c>
      <c r="Q3771" s="2">
        <v>0.0</v>
      </c>
      <c r="R3771" s="2">
        <v>0.0</v>
      </c>
      <c r="S3771" s="3" t="s">
        <v>15331</v>
      </c>
      <c r="T3771" s="2" t="s">
        <v>15332</v>
      </c>
      <c r="Y3771" s="4" t="str">
        <f>IFERROR(__xludf.DUMMYFUNCTION("""COMPUTED_VALUE"""),"6.8085486")</f>
        <v>6.8085486</v>
      </c>
      <c r="Z3771" s="4" t="str">
        <f>IFERROR(__xludf.DUMMYFUNCTION("""COMPUTED_VALUE"""),"3.4367201")</f>
        <v>3.4367201</v>
      </c>
      <c r="AA3771" s="4" t="str">
        <f t="shared" si="1"/>
        <v>Neighbor</v>
      </c>
      <c r="AC3771" s="4">
        <f>IFERROR(__xludf.DUMMYFUNCTION("IFERROR(ABS(O3771-AVERAGE(FILTER(O3771:O7839,AA3771:AA7839=""Neighbor""))) / STDEV(FILTER(O3771:O7839, AA3771:AA7839 =""Neighbor"")), """")"),1.1239392495706992)</f>
        <v>1.12393925</v>
      </c>
      <c r="AF3771" s="2">
        <f>IFERROR(__xludf.DUMMYFUNCTION("IFERROR(ABS(R3771-AVERAGE(FILTER(R3771:R7839,AA3771:AA7839=""Neighbor""))) / STDEV(FILTER(R3771:R7839, AA3771:AA7839 =""Neighbor"")), """")"),0.3905945500952395)</f>
        <v>0.3905945501</v>
      </c>
    </row>
    <row r="3772">
      <c r="A3772" s="2" t="s">
        <v>28</v>
      </c>
      <c r="B3772" s="2" t="s">
        <v>7915</v>
      </c>
      <c r="C3772" s="2" t="s">
        <v>7937</v>
      </c>
      <c r="D3772" s="2" t="s">
        <v>15333</v>
      </c>
      <c r="E3772" s="2" t="s">
        <v>15334</v>
      </c>
      <c r="F3772" s="2">
        <v>46.0</v>
      </c>
      <c r="G3772" s="2">
        <v>151.0</v>
      </c>
      <c r="H3772" s="2" t="b">
        <v>1</v>
      </c>
      <c r="I3772" s="2">
        <v>-1.0</v>
      </c>
      <c r="J3772" s="2" t="b">
        <v>0</v>
      </c>
      <c r="K3772" s="2" t="b">
        <v>1</v>
      </c>
      <c r="L3772" s="2" t="b">
        <v>0</v>
      </c>
      <c r="M3772" s="2" t="b">
        <v>0</v>
      </c>
      <c r="N3772" s="2" t="s">
        <v>33</v>
      </c>
      <c r="O3772" s="2">
        <v>11.0</v>
      </c>
      <c r="P3772" s="2">
        <v>28.0</v>
      </c>
      <c r="Q3772" s="2">
        <v>3.0</v>
      </c>
      <c r="R3772" s="2">
        <v>0.0</v>
      </c>
      <c r="S3772" s="3" t="s">
        <v>15335</v>
      </c>
      <c r="T3772" s="2" t="s">
        <v>15336</v>
      </c>
      <c r="Y3772" s="4" t="str">
        <f>IFERROR(__xludf.DUMMYFUNCTION("""COMPUTED_VALUE"""),"6.8067039")</f>
        <v>6.8067039</v>
      </c>
      <c r="Z3772" s="4" t="str">
        <f>IFERROR(__xludf.DUMMYFUNCTION("""COMPUTED_VALUE"""),"3.4396549")</f>
        <v>3.4396549</v>
      </c>
      <c r="AA3772" s="4" t="str">
        <f t="shared" si="1"/>
        <v>Not Neighbor</v>
      </c>
      <c r="AC3772" s="4">
        <f>IFERROR(__xludf.DUMMYFUNCTION("IFERROR(ABS(O3772-AVERAGE(FILTER(O3772:O7840,AA3772:AA7840=""Neighbor""))) / STDEV(FILTER(O3772:O7840, AA3772:AA7840 =""Neighbor"")), """")"),0.981520095318883)</f>
        <v>0.9815200953</v>
      </c>
      <c r="AF3772" s="2">
        <f>IFERROR(__xludf.DUMMYFUNCTION("IFERROR(ABS(R3772-AVERAGE(FILTER(R3772:R7840,AA3772:AA7840=""Neighbor""))) / STDEV(FILTER(R3772:R7840, AA3772:AA7840 =""Neighbor"")), """")"),0.39247220195282995)</f>
        <v>0.392472202</v>
      </c>
    </row>
    <row r="3773">
      <c r="A3773" s="2" t="s">
        <v>28</v>
      </c>
      <c r="B3773" s="2" t="s">
        <v>7915</v>
      </c>
      <c r="C3773" s="2" t="s">
        <v>7937</v>
      </c>
      <c r="D3773" s="2" t="s">
        <v>15337</v>
      </c>
      <c r="E3773" s="2" t="s">
        <v>15338</v>
      </c>
      <c r="F3773" s="2">
        <v>106.0</v>
      </c>
      <c r="G3773" s="2">
        <v>230.0</v>
      </c>
      <c r="H3773" s="2" t="b">
        <v>1</v>
      </c>
      <c r="I3773" s="2">
        <v>-1.0</v>
      </c>
      <c r="J3773" s="2" t="b">
        <v>0</v>
      </c>
      <c r="K3773" s="2" t="b">
        <v>0</v>
      </c>
      <c r="L3773" s="2" t="b">
        <v>0</v>
      </c>
      <c r="M3773" s="2" t="b">
        <v>0</v>
      </c>
      <c r="N3773" s="2" t="s">
        <v>33</v>
      </c>
      <c r="O3773" s="2">
        <v>54.0</v>
      </c>
      <c r="P3773" s="2">
        <v>33.0</v>
      </c>
      <c r="Q3773" s="2">
        <v>7.0</v>
      </c>
      <c r="R3773" s="2">
        <v>0.0</v>
      </c>
      <c r="S3773" s="3" t="s">
        <v>15339</v>
      </c>
      <c r="T3773" s="2" t="s">
        <v>15340</v>
      </c>
      <c r="Y3773" s="4" t="str">
        <f>IFERROR(__xludf.DUMMYFUNCTION("""COMPUTED_VALUE"""),"6.8169211")</f>
        <v>6.8169211</v>
      </c>
      <c r="Z3773" s="4" t="str">
        <f>IFERROR(__xludf.DUMMYFUNCTION("""COMPUTED_VALUE"""),"3.4601221")</f>
        <v>3.4601221</v>
      </c>
      <c r="AA3773" s="4" t="str">
        <f t="shared" si="1"/>
        <v>Not Neighbor</v>
      </c>
      <c r="AC3773" s="4">
        <f>IFERROR(__xludf.DUMMYFUNCTION("IFERROR(ABS(O3773-AVERAGE(FILTER(O3773:O7841,AA3773:AA7841=""Neighbor""))) / STDEV(FILTER(O3773:O7841, AA3773:AA7841 =""Neighbor"")), """")"),0.6651809957456167)</f>
        <v>0.6651809957</v>
      </c>
      <c r="AF3773" s="2">
        <f>IFERROR(__xludf.DUMMYFUNCTION("IFERROR(ABS(R3773-AVERAGE(FILTER(R3773:R7841,AA3773:AA7841=""Neighbor""))) / STDEV(FILTER(R3773:R7841, AA3773:AA7841 =""Neighbor"")), """")"),0.39247220195282995)</f>
        <v>0.392472202</v>
      </c>
    </row>
    <row r="3774">
      <c r="A3774" s="2" t="s">
        <v>28</v>
      </c>
      <c r="B3774" s="2" t="s">
        <v>7915</v>
      </c>
      <c r="C3774" s="2" t="s">
        <v>7937</v>
      </c>
      <c r="D3774" s="2" t="s">
        <v>15341</v>
      </c>
      <c r="E3774" s="2" t="s">
        <v>15342</v>
      </c>
      <c r="F3774" s="2">
        <v>43.0</v>
      </c>
      <c r="G3774" s="2">
        <v>104.0</v>
      </c>
      <c r="H3774" s="2" t="b">
        <v>1</v>
      </c>
      <c r="I3774" s="2">
        <v>-1.0</v>
      </c>
      <c r="J3774" s="2" t="b">
        <v>0</v>
      </c>
      <c r="K3774" s="2" t="b">
        <v>0</v>
      </c>
      <c r="L3774" s="2" t="b">
        <v>0</v>
      </c>
      <c r="M3774" s="2" t="b">
        <v>0</v>
      </c>
      <c r="N3774" s="2" t="s">
        <v>33</v>
      </c>
      <c r="O3774" s="2">
        <v>25.0</v>
      </c>
      <c r="P3774" s="2">
        <v>9.0</v>
      </c>
      <c r="Q3774" s="2">
        <v>4.0</v>
      </c>
      <c r="R3774" s="2">
        <v>0.0</v>
      </c>
      <c r="S3774" s="3" t="s">
        <v>15343</v>
      </c>
      <c r="T3774" s="2" t="s">
        <v>15344</v>
      </c>
      <c r="Y3774" s="4" t="str">
        <f>IFERROR(__xludf.DUMMYFUNCTION("""COMPUTED_VALUE"""),"6.8067039")</f>
        <v>6.8067039</v>
      </c>
      <c r="Z3774" s="4" t="str">
        <f>IFERROR(__xludf.DUMMYFUNCTION("""COMPUTED_VALUE"""),"3.4396549")</f>
        <v>3.4396549</v>
      </c>
      <c r="AA3774" s="4" t="str">
        <f t="shared" si="1"/>
        <v>Not Neighbor</v>
      </c>
      <c r="AC3774" s="4">
        <f>IFERROR(__xludf.DUMMYFUNCTION("IFERROR(ABS(O3774-AVERAGE(FILTER(O3774:O7842,AA3774:AA7842=""Neighbor""))) / STDEV(FILTER(O3774:O7842, AA3774:AA7842 =""Neighbor"")), """")"),0.4453848563676505)</f>
        <v>0.4453848564</v>
      </c>
      <c r="AF3774" s="2">
        <f>IFERROR(__xludf.DUMMYFUNCTION("IFERROR(ABS(R3774-AVERAGE(FILTER(R3774:R7842,AA3774:AA7842=""Neighbor""))) / STDEV(FILTER(R3774:R7842, AA3774:AA7842 =""Neighbor"")), """")"),0.39247220195282995)</f>
        <v>0.392472202</v>
      </c>
    </row>
    <row r="3775">
      <c r="A3775" s="2" t="s">
        <v>28</v>
      </c>
      <c r="B3775" s="2" t="s">
        <v>7915</v>
      </c>
      <c r="C3775" s="2" t="s">
        <v>7937</v>
      </c>
      <c r="D3775" s="2" t="s">
        <v>15345</v>
      </c>
      <c r="E3775" s="2" t="s">
        <v>15346</v>
      </c>
      <c r="F3775" s="2">
        <v>341.0</v>
      </c>
      <c r="G3775" s="2">
        <v>785.0</v>
      </c>
      <c r="H3775" s="2" t="b">
        <v>1</v>
      </c>
      <c r="I3775" s="2">
        <v>-1.0</v>
      </c>
      <c r="J3775" s="2" t="b">
        <v>0</v>
      </c>
      <c r="K3775" s="2" t="b">
        <v>0</v>
      </c>
      <c r="L3775" s="2" t="b">
        <v>0</v>
      </c>
      <c r="M3775" s="2" t="b">
        <v>0</v>
      </c>
      <c r="N3775" s="2" t="s">
        <v>33</v>
      </c>
      <c r="O3775" s="2">
        <v>184.0</v>
      </c>
      <c r="P3775" s="2">
        <v>127.0</v>
      </c>
      <c r="Q3775" s="2">
        <v>8.0</v>
      </c>
      <c r="R3775" s="2">
        <v>0.0</v>
      </c>
      <c r="S3775" s="3" t="s">
        <v>15347</v>
      </c>
      <c r="T3775" s="2" t="s">
        <v>15348</v>
      </c>
      <c r="Y3775" s="4" t="str">
        <f>IFERROR(__xludf.DUMMYFUNCTION("""COMPUTED_VALUE"""),"6.8300633")</f>
        <v>6.8300633</v>
      </c>
      <c r="Z3775" s="4" t="str">
        <f>IFERROR(__xludf.DUMMYFUNCTION("""COMPUTED_VALUE"""),"3.4408698")</f>
        <v>3.4408698</v>
      </c>
      <c r="AA3775" s="4" t="str">
        <f t="shared" si="1"/>
        <v>Not Neighbor</v>
      </c>
      <c r="AC3775" s="4">
        <f>IFERROR(__xludf.DUMMYFUNCTION("IFERROR(ABS(O3775-AVERAGE(FILTER(O3775:O7843,AA3775:AA7843=""Neighbor""))) / STDEV(FILTER(O3775:O7843, AA3775:AA7843 =""Neighbor"")), """")"),5.643579643149918)</f>
        <v>5.643579643</v>
      </c>
      <c r="AF3775" s="2">
        <f>IFERROR(__xludf.DUMMYFUNCTION("IFERROR(ABS(R3775-AVERAGE(FILTER(R3775:R7843,AA3775:AA7843=""Neighbor""))) / STDEV(FILTER(R3775:R7843, AA3775:AA7843 =""Neighbor"")), """")"),0.39247220195282995)</f>
        <v>0.392472202</v>
      </c>
    </row>
    <row r="3776">
      <c r="A3776" s="2" t="s">
        <v>28</v>
      </c>
      <c r="B3776" s="2" t="s">
        <v>7915</v>
      </c>
      <c r="C3776" s="2" t="s">
        <v>7937</v>
      </c>
      <c r="D3776" s="2" t="s">
        <v>15349</v>
      </c>
      <c r="E3776" s="2" t="s">
        <v>15350</v>
      </c>
      <c r="F3776" s="2">
        <v>111.0</v>
      </c>
      <c r="G3776" s="2">
        <v>296.0</v>
      </c>
      <c r="H3776" s="2" t="b">
        <v>1</v>
      </c>
      <c r="I3776" s="2">
        <v>-1.0</v>
      </c>
      <c r="J3776" s="2" t="b">
        <v>0</v>
      </c>
      <c r="K3776" s="2" t="b">
        <v>0</v>
      </c>
      <c r="L3776" s="2" t="b">
        <v>0</v>
      </c>
      <c r="M3776" s="2" t="b">
        <v>0</v>
      </c>
      <c r="N3776" s="2" t="s">
        <v>33</v>
      </c>
      <c r="O3776" s="2">
        <v>40.0</v>
      </c>
      <c r="P3776" s="2">
        <v>45.0</v>
      </c>
      <c r="Q3776" s="2">
        <v>14.0</v>
      </c>
      <c r="R3776" s="2">
        <v>0.0</v>
      </c>
      <c r="S3776" s="3" t="s">
        <v>15351</v>
      </c>
      <c r="T3776" s="2" t="s">
        <v>15352</v>
      </c>
      <c r="Y3776" s="4" t="str">
        <f>IFERROR(__xludf.DUMMYFUNCTION("""COMPUTED_VALUE"""),"6.8407809")</f>
        <v>6.8407809</v>
      </c>
      <c r="Z3776" s="4" t="str">
        <f>IFERROR(__xludf.DUMMYFUNCTION("""COMPUTED_VALUE"""),"3.4399043")</f>
        <v>3.4399043</v>
      </c>
      <c r="AA3776" s="4" t="str">
        <f t="shared" si="1"/>
        <v>Neighbor</v>
      </c>
      <c r="AC3776" s="4">
        <f>IFERROR(__xludf.DUMMYFUNCTION("IFERROR(ABS(O3776-AVERAGE(FILTER(O3776:O7844,AA3776:AA7844=""Neighbor""))) / STDEV(FILTER(O3776:O7844, AA3776:AA7844 =""Neighbor"")), """")"),0.12904575679438424)</f>
        <v>0.1290457568</v>
      </c>
      <c r="AF3776" s="2">
        <f>IFERROR(__xludf.DUMMYFUNCTION("IFERROR(ABS(R3776-AVERAGE(FILTER(R3776:R7844,AA3776:AA7844=""Neighbor""))) / STDEV(FILTER(R3776:R7844, AA3776:AA7844 =""Neighbor"")), """")"),0.39247220195282995)</f>
        <v>0.392472202</v>
      </c>
    </row>
    <row r="3777">
      <c r="A3777" s="2" t="s">
        <v>28</v>
      </c>
      <c r="B3777" s="2" t="s">
        <v>7915</v>
      </c>
      <c r="C3777" s="2" t="s">
        <v>7937</v>
      </c>
      <c r="D3777" s="2" t="s">
        <v>15353</v>
      </c>
      <c r="E3777" s="2" t="s">
        <v>15354</v>
      </c>
      <c r="F3777" s="2">
        <v>63.0</v>
      </c>
      <c r="G3777" s="2">
        <v>128.0</v>
      </c>
      <c r="H3777" s="2" t="b">
        <v>1</v>
      </c>
      <c r="I3777" s="2">
        <v>-1.0</v>
      </c>
      <c r="J3777" s="2" t="b">
        <v>0</v>
      </c>
      <c r="K3777" s="2" t="b">
        <v>0</v>
      </c>
      <c r="L3777" s="2" t="b">
        <v>0</v>
      </c>
      <c r="M3777" s="2" t="b">
        <v>0</v>
      </c>
      <c r="N3777" s="2" t="s">
        <v>33</v>
      </c>
      <c r="O3777" s="2">
        <v>24.0</v>
      </c>
      <c r="P3777" s="2">
        <v>29.0</v>
      </c>
      <c r="Q3777" s="2">
        <v>7.0</v>
      </c>
      <c r="R3777" s="2">
        <v>0.0</v>
      </c>
      <c r="S3777" s="3" t="s">
        <v>15355</v>
      </c>
      <c r="T3777" s="2" t="s">
        <v>15356</v>
      </c>
      <c r="Y3777" s="4" t="str">
        <f>IFERROR(__xludf.DUMMYFUNCTION("""COMPUTED_VALUE"""),"6.8407809")</f>
        <v>6.8407809</v>
      </c>
      <c r="Z3777" s="4" t="str">
        <f>IFERROR(__xludf.DUMMYFUNCTION("""COMPUTED_VALUE"""),"3.4399043")</f>
        <v>3.4399043</v>
      </c>
      <c r="AA3777" s="4" t="str">
        <f t="shared" si="1"/>
        <v>Not Neighbor</v>
      </c>
      <c r="AC3777" s="4">
        <f>IFERROR(__xludf.DUMMYFUNCTION("IFERROR(ABS(O3777-AVERAGE(FILTER(O3777:O7845,AA3777:AA7845=""Neighbor""))) / STDEV(FILTER(O3777:O7845, AA3777:AA7845 =""Neighbor"")), """")"),0.4805716121623491)</f>
        <v>0.4805716122</v>
      </c>
      <c r="AF3777" s="2">
        <f>IFERROR(__xludf.DUMMYFUNCTION("IFERROR(ABS(R3777-AVERAGE(FILTER(R3777:R7845,AA3777:AA7845=""Neighbor""))) / STDEV(FILTER(R3777:R7845, AA3777:AA7845 =""Neighbor"")), """")"),0.39437723032725686)</f>
        <v>0.3943772303</v>
      </c>
    </row>
    <row r="3778">
      <c r="A3778" s="2" t="s">
        <v>28</v>
      </c>
      <c r="B3778" s="2" t="s">
        <v>7915</v>
      </c>
      <c r="C3778" s="2" t="s">
        <v>7937</v>
      </c>
      <c r="D3778" s="2" t="s">
        <v>15357</v>
      </c>
      <c r="E3778" s="2" t="s">
        <v>15358</v>
      </c>
      <c r="F3778" s="2">
        <v>258.0</v>
      </c>
      <c r="G3778" s="2">
        <v>473.0</v>
      </c>
      <c r="H3778" s="2" t="b">
        <v>1</v>
      </c>
      <c r="I3778" s="2">
        <v>-1.0</v>
      </c>
      <c r="J3778" s="2" t="b">
        <v>0</v>
      </c>
      <c r="K3778" s="2" t="b">
        <v>0</v>
      </c>
      <c r="L3778" s="2" t="b">
        <v>0</v>
      </c>
      <c r="M3778" s="2" t="b">
        <v>0</v>
      </c>
      <c r="N3778" s="2" t="s">
        <v>33</v>
      </c>
      <c r="O3778" s="2">
        <v>75.0</v>
      </c>
      <c r="P3778" s="2">
        <v>162.0</v>
      </c>
      <c r="Q3778" s="2">
        <v>11.0</v>
      </c>
      <c r="R3778" s="2">
        <v>0.0</v>
      </c>
      <c r="S3778" s="3" t="s">
        <v>15359</v>
      </c>
      <c r="T3778" s="2" t="s">
        <v>15360</v>
      </c>
      <c r="Y3778" s="4" t="str">
        <f>IFERROR(__xludf.DUMMYFUNCTION("""COMPUTED_VALUE"""),"6.7644327")</f>
        <v>6.7644327</v>
      </c>
      <c r="Z3778" s="4" t="str">
        <f>IFERROR(__xludf.DUMMYFUNCTION("""COMPUTED_VALUE"""),"3.4362685")</f>
        <v>3.4362685</v>
      </c>
      <c r="AA3778" s="4" t="str">
        <f t="shared" si="1"/>
        <v>Not Neighbor</v>
      </c>
      <c r="AC3778" s="4">
        <f>IFERROR(__xludf.DUMMYFUNCTION("IFERROR(ABS(O3778-AVERAGE(FILTER(O3778:O7846,AA3778:AA7846=""Neighbor""))) / STDEV(FILTER(O3778:O7846, AA3778:AA7846 =""Neighbor"")), """")"),1.464337575459048)</f>
        <v>1.464337575</v>
      </c>
      <c r="AF3778" s="2">
        <f>IFERROR(__xludf.DUMMYFUNCTION("IFERROR(ABS(R3778-AVERAGE(FILTER(R3778:R7846,AA3778:AA7846=""Neighbor""))) / STDEV(FILTER(R3778:R7846, AA3778:AA7846 =""Neighbor"")), """")"),0.39437723032725686)</f>
        <v>0.3943772303</v>
      </c>
    </row>
    <row r="3779">
      <c r="A3779" s="2" t="s">
        <v>28</v>
      </c>
      <c r="B3779" s="2" t="s">
        <v>7915</v>
      </c>
      <c r="C3779" s="2" t="s">
        <v>7937</v>
      </c>
      <c r="D3779" s="2" t="s">
        <v>15361</v>
      </c>
      <c r="E3779" s="2" t="s">
        <v>15362</v>
      </c>
      <c r="F3779" s="2">
        <v>56.0</v>
      </c>
      <c r="G3779" s="2">
        <v>120.0</v>
      </c>
      <c r="H3779" s="2" t="b">
        <v>1</v>
      </c>
      <c r="I3779" s="2">
        <v>-1.0</v>
      </c>
      <c r="J3779" s="2" t="b">
        <v>0</v>
      </c>
      <c r="K3779" s="2" t="b">
        <v>0</v>
      </c>
      <c r="L3779" s="2" t="b">
        <v>0</v>
      </c>
      <c r="M3779" s="2" t="b">
        <v>0</v>
      </c>
      <c r="N3779" s="2" t="s">
        <v>33</v>
      </c>
      <c r="O3779" s="2">
        <v>24.0</v>
      </c>
      <c r="P3779" s="2">
        <v>28.0</v>
      </c>
      <c r="Q3779" s="2">
        <v>4.0</v>
      </c>
      <c r="R3779" s="2">
        <v>0.0</v>
      </c>
      <c r="S3779" s="3" t="s">
        <v>15363</v>
      </c>
      <c r="T3779" s="2" t="s">
        <v>15364</v>
      </c>
      <c r="Y3779" s="4" t="str">
        <f>IFERROR(__xludf.DUMMYFUNCTION("""COMPUTED_VALUE"""),"6.8043492")</f>
        <v>6.8043492</v>
      </c>
      <c r="Z3779" s="4" t="str">
        <f>IFERROR(__xludf.DUMMYFUNCTION("""COMPUTED_VALUE"""),"3.4284763")</f>
        <v>3.4284763</v>
      </c>
      <c r="AA3779" s="4" t="str">
        <f t="shared" si="1"/>
        <v>Not Neighbor</v>
      </c>
      <c r="AC3779" s="4">
        <f>IFERROR(__xludf.DUMMYFUNCTION("IFERROR(ABS(O3779-AVERAGE(FILTER(O3779:O7847,AA3779:AA7847=""Neighbor""))) / STDEV(FILTER(O3779:O7847, AA3779:AA7847 =""Neighbor"")), """")"),0.4805716121623491)</f>
        <v>0.4805716122</v>
      </c>
      <c r="AF3779" s="2">
        <f>IFERROR(__xludf.DUMMYFUNCTION("IFERROR(ABS(R3779-AVERAGE(FILTER(R3779:R7847,AA3779:AA7847=""Neighbor""))) / STDEV(FILTER(R3779:R7847, AA3779:AA7847 =""Neighbor"")), """")"),0.39437723032725686)</f>
        <v>0.3943772303</v>
      </c>
    </row>
    <row r="3780">
      <c r="A3780" s="2" t="s">
        <v>28</v>
      </c>
      <c r="B3780" s="2" t="s">
        <v>7915</v>
      </c>
      <c r="C3780" s="2" t="s">
        <v>7937</v>
      </c>
      <c r="D3780" s="2" t="s">
        <v>15365</v>
      </c>
      <c r="E3780" s="2" t="s">
        <v>15366</v>
      </c>
      <c r="F3780" s="2">
        <v>83.0</v>
      </c>
      <c r="G3780" s="2">
        <v>153.0</v>
      </c>
      <c r="H3780" s="2" t="b">
        <v>1</v>
      </c>
      <c r="I3780" s="2">
        <v>-1.0</v>
      </c>
      <c r="J3780" s="2" t="b">
        <v>0</v>
      </c>
      <c r="K3780" s="2" t="b">
        <v>0</v>
      </c>
      <c r="L3780" s="2" t="b">
        <v>0</v>
      </c>
      <c r="M3780" s="2" t="b">
        <v>0</v>
      </c>
      <c r="N3780" s="2" t="s">
        <v>33</v>
      </c>
      <c r="O3780" s="2">
        <v>43.0</v>
      </c>
      <c r="P3780" s="2">
        <v>29.0</v>
      </c>
      <c r="Q3780" s="2">
        <v>6.0</v>
      </c>
      <c r="R3780" s="2">
        <v>0.0</v>
      </c>
      <c r="S3780" s="3" t="s">
        <v>15367</v>
      </c>
      <c r="T3780" s="2" t="s">
        <v>15368</v>
      </c>
      <c r="Y3780" s="4" t="str">
        <f>IFERROR(__xludf.DUMMYFUNCTION("""COMPUTED_VALUE"""),"6.948262")</f>
        <v>6.948262</v>
      </c>
      <c r="Z3780" s="4" t="str">
        <f>IFERROR(__xludf.DUMMYFUNCTION("""COMPUTED_VALUE"""),"3.5079264")</f>
        <v>3.5079264</v>
      </c>
      <c r="AA3780" s="4" t="str">
        <f t="shared" si="1"/>
        <v>Neighbor</v>
      </c>
      <c r="AC3780" s="4">
        <f>IFERROR(__xludf.DUMMYFUNCTION("IFERROR(ABS(O3780-AVERAGE(FILTER(O3780:O7848,AA3780:AA7848=""Neighbor""))) / STDEV(FILTER(O3780:O7848, AA3780:AA7848 =""Neighbor"")), """")"),0.244002398912289)</f>
        <v>0.2440023989</v>
      </c>
      <c r="AF3780" s="2">
        <f>IFERROR(__xludf.DUMMYFUNCTION("IFERROR(ABS(R3780-AVERAGE(FILTER(R3780:R7848,AA3780:AA7848=""Neighbor""))) / STDEV(FILTER(R3780:R7848, AA3780:AA7848 =""Neighbor"")), """")"),0.39437723032725686)</f>
        <v>0.3943772303</v>
      </c>
    </row>
    <row r="3781">
      <c r="A3781" s="2" t="s">
        <v>28</v>
      </c>
      <c r="B3781" s="2" t="s">
        <v>7915</v>
      </c>
      <c r="C3781" s="2" t="s">
        <v>7937</v>
      </c>
      <c r="D3781" s="2" t="s">
        <v>15369</v>
      </c>
      <c r="E3781" s="2" t="s">
        <v>15370</v>
      </c>
      <c r="F3781" s="2">
        <v>47.0</v>
      </c>
      <c r="G3781" s="2">
        <v>93.0</v>
      </c>
      <c r="H3781" s="2" t="b">
        <v>1</v>
      </c>
      <c r="I3781" s="2">
        <v>-1.0</v>
      </c>
      <c r="J3781" s="2" t="b">
        <v>0</v>
      </c>
      <c r="K3781" s="2" t="b">
        <v>0</v>
      </c>
      <c r="L3781" s="2" t="b">
        <v>0</v>
      </c>
      <c r="M3781" s="2" t="b">
        <v>0</v>
      </c>
      <c r="N3781" s="2" t="s">
        <v>33</v>
      </c>
      <c r="O3781" s="2">
        <v>28.0</v>
      </c>
      <c r="P3781" s="2">
        <v>12.0</v>
      </c>
      <c r="Q3781" s="2">
        <v>3.0</v>
      </c>
      <c r="R3781" s="2">
        <v>0.0</v>
      </c>
      <c r="S3781" s="3" t="s">
        <v>15371</v>
      </c>
      <c r="T3781" s="2" t="s">
        <v>15372</v>
      </c>
      <c r="Y3781" s="4" t="str">
        <f>IFERROR(__xludf.DUMMYFUNCTION("""COMPUTED_VALUE"""),"6.948262")</f>
        <v>6.948262</v>
      </c>
      <c r="Z3781" s="4" t="str">
        <f>IFERROR(__xludf.DUMMYFUNCTION("""COMPUTED_VALUE"""),"3.5079264")</f>
        <v>3.5079264</v>
      </c>
      <c r="AA3781" s="4" t="str">
        <f t="shared" si="1"/>
        <v>Not Neighbor</v>
      </c>
      <c r="AC3781" s="4">
        <f>IFERROR(__xludf.DUMMYFUNCTION("IFERROR(ABS(O3781-AVERAGE(FILTER(O3781:O7849,AA3781:AA7849=""Neighbor""))) / STDEV(FILTER(O3781:O7849, AA3781:AA7849 =""Neighbor"")), """")"),0.32463162478200946)</f>
        <v>0.3246316248</v>
      </c>
      <c r="AF3781" s="2">
        <f>IFERROR(__xludf.DUMMYFUNCTION("IFERROR(ABS(R3781-AVERAGE(FILTER(R3781:R7849,AA3781:AA7849=""Neighbor""))) / STDEV(FILTER(R3781:R7849, AA3781:AA7849 =""Neighbor"")), """")"),0.3963103077541095)</f>
        <v>0.3963103078</v>
      </c>
    </row>
    <row r="3782">
      <c r="A3782" s="2" t="s">
        <v>28</v>
      </c>
      <c r="B3782" s="2" t="s">
        <v>7915</v>
      </c>
      <c r="C3782" s="2" t="s">
        <v>7937</v>
      </c>
      <c r="D3782" s="2" t="s">
        <v>15373</v>
      </c>
      <c r="E3782" s="2" t="s">
        <v>15374</v>
      </c>
      <c r="F3782" s="2">
        <v>139.0</v>
      </c>
      <c r="G3782" s="2">
        <v>335.0</v>
      </c>
      <c r="H3782" s="2" t="b">
        <v>1</v>
      </c>
      <c r="I3782" s="2">
        <v>-1.0</v>
      </c>
      <c r="J3782" s="2" t="b">
        <v>0</v>
      </c>
      <c r="K3782" s="2" t="b">
        <v>0</v>
      </c>
      <c r="L3782" s="2" t="b">
        <v>0</v>
      </c>
      <c r="M3782" s="2" t="b">
        <v>0</v>
      </c>
      <c r="N3782" s="2" t="s">
        <v>33</v>
      </c>
      <c r="O3782" s="2">
        <v>103.0</v>
      </c>
      <c r="P3782" s="2">
        <v>15.0</v>
      </c>
      <c r="Q3782" s="2">
        <v>8.0</v>
      </c>
      <c r="R3782" s="2">
        <v>1.0</v>
      </c>
      <c r="S3782" s="3" t="s">
        <v>15375</v>
      </c>
      <c r="T3782" s="2" t="s">
        <v>15376</v>
      </c>
      <c r="Y3782" s="4" t="str">
        <f>IFERROR(__xludf.DUMMYFUNCTION("""COMPUTED_VALUE"""),"6.8288336")</f>
        <v>6.8288336</v>
      </c>
      <c r="Z3782" s="4" t="str">
        <f>IFERROR(__xludf.DUMMYFUNCTION("""COMPUTED_VALUE"""),"3.4755571")</f>
        <v>3.4755571</v>
      </c>
      <c r="AA3782" s="4" t="str">
        <f t="shared" si="1"/>
        <v>Not Neighbor</v>
      </c>
      <c r="AC3782" s="4">
        <f>IFERROR(__xludf.DUMMYFUNCTION("IFERROR(ABS(O3782-AVERAGE(FILTER(O3782:O7850,AA3782:AA7850=""Neighbor""))) / STDEV(FILTER(O3782:O7850, AA3782:AA7850 =""Neighbor"")), """")"),2.524010882680124)</f>
        <v>2.524010883</v>
      </c>
      <c r="AF3782" s="2">
        <f>IFERROR(__xludf.DUMMYFUNCTION("IFERROR(ABS(R3782-AVERAGE(FILTER(R3782:R7850,AA3782:AA7850=""Neighbor""))) / STDEV(FILTER(R3782:R7850, AA3782:AA7850 =""Neighbor"")), """")"),1.5357024425471746)</f>
        <v>1.535702443</v>
      </c>
    </row>
    <row r="3783">
      <c r="A3783" s="2" t="s">
        <v>28</v>
      </c>
      <c r="B3783" s="2" t="s">
        <v>7915</v>
      </c>
      <c r="C3783" s="2" t="s">
        <v>7937</v>
      </c>
      <c r="D3783" s="2" t="s">
        <v>15377</v>
      </c>
      <c r="E3783" s="2" t="s">
        <v>15378</v>
      </c>
      <c r="F3783" s="2">
        <v>101.0</v>
      </c>
      <c r="G3783" s="2">
        <v>179.0</v>
      </c>
      <c r="H3783" s="2" t="b">
        <v>1</v>
      </c>
      <c r="I3783" s="2">
        <v>-1.0</v>
      </c>
      <c r="J3783" s="2" t="b">
        <v>0</v>
      </c>
      <c r="K3783" s="2" t="b">
        <v>0</v>
      </c>
      <c r="L3783" s="2" t="b">
        <v>0</v>
      </c>
      <c r="M3783" s="2" t="b">
        <v>0</v>
      </c>
      <c r="N3783" s="2" t="s">
        <v>33</v>
      </c>
      <c r="O3783" s="2">
        <v>35.0</v>
      </c>
      <c r="P3783" s="2">
        <v>56.0</v>
      </c>
      <c r="Q3783" s="2">
        <v>0.0</v>
      </c>
      <c r="R3783" s="2">
        <v>4.0</v>
      </c>
      <c r="S3783" s="3" t="s">
        <v>15379</v>
      </c>
      <c r="T3783" s="2" t="s">
        <v>15380</v>
      </c>
      <c r="Y3783" s="4" t="str">
        <f>IFERROR(__xludf.DUMMYFUNCTION("""COMPUTED_VALUE"""),"6.8403902")</f>
        <v>6.8403902</v>
      </c>
      <c r="Z3783" s="4" t="str">
        <f>IFERROR(__xludf.DUMMYFUNCTION("""COMPUTED_VALUE"""),"3.4366782")</f>
        <v>3.4366782</v>
      </c>
      <c r="AA3783" s="4" t="str">
        <f t="shared" si="1"/>
        <v>Not Neighbor</v>
      </c>
      <c r="AC3783" s="4">
        <f>IFERROR(__xludf.DUMMYFUNCTION("IFERROR(ABS(O3783-AVERAGE(FILTER(O3783:O7851,AA3783:AA7851=""Neighbor""))) / STDEV(FILTER(O3783:O7851, AA3783:AA7851 =""Neighbor"")), """")"),0.058758324085543656)</f>
        <v>0.05875832409</v>
      </c>
      <c r="AF3783" s="2">
        <f>IFERROR(__xludf.DUMMYFUNCTION("IFERROR(ABS(R3783-AVERAGE(FILTER(R3783:R7851,AA3783:AA7851=""Neighbor""))) / STDEV(FILTER(R3783:R7851, AA3783:AA7851 =""Neighbor"")), """")"),7.331740693451025)</f>
        <v>7.331740693</v>
      </c>
    </row>
    <row r="3784">
      <c r="A3784" s="2" t="s">
        <v>28</v>
      </c>
      <c r="B3784" s="2" t="s">
        <v>7915</v>
      </c>
      <c r="C3784" s="2" t="s">
        <v>7937</v>
      </c>
      <c r="D3784" s="2" t="s">
        <v>15381</v>
      </c>
      <c r="E3784" s="2" t="s">
        <v>15382</v>
      </c>
      <c r="F3784" s="2">
        <v>24.0</v>
      </c>
      <c r="G3784" s="2">
        <v>162.0</v>
      </c>
      <c r="H3784" s="2" t="b">
        <v>1</v>
      </c>
      <c r="I3784" s="2">
        <v>-1.0</v>
      </c>
      <c r="J3784" s="2" t="b">
        <v>0</v>
      </c>
      <c r="K3784" s="2" t="b">
        <v>0</v>
      </c>
      <c r="L3784" s="2" t="b">
        <v>0</v>
      </c>
      <c r="M3784" s="2" t="b">
        <v>0</v>
      </c>
      <c r="N3784" s="2" t="s">
        <v>33</v>
      </c>
      <c r="O3784" s="2">
        <v>6.0</v>
      </c>
      <c r="P3784" s="2">
        <v>10.0</v>
      </c>
      <c r="Q3784" s="2">
        <v>8.0</v>
      </c>
      <c r="R3784" s="2">
        <v>0.0</v>
      </c>
      <c r="S3784" s="3" t="s">
        <v>15383</v>
      </c>
      <c r="T3784" s="2" t="s">
        <v>15384</v>
      </c>
      <c r="Y3784" s="4" t="str">
        <f>IFERROR(__xludf.DUMMYFUNCTION("""COMPUTED_VALUE"""),"6.868632")</f>
        <v>6.868632</v>
      </c>
      <c r="Z3784" s="4" t="str">
        <f>IFERROR(__xludf.DUMMYFUNCTION("""COMPUTED_VALUE"""),"3.4320596")</f>
        <v>3.4320596</v>
      </c>
      <c r="AA3784" s="4" t="str">
        <f t="shared" si="1"/>
        <v>Neighbor</v>
      </c>
      <c r="AC3784" s="4">
        <f>IFERROR(__xludf.DUMMYFUNCTION("IFERROR(ABS(O3784-AVERAGE(FILTER(O3784:O7852,AA3784:AA7852=""Neighbor""))) / STDEV(FILTER(O3784:O7852, AA3784:AA7852 =""Neighbor"")), """")"),1.160233426970902)</f>
        <v>1.160233427</v>
      </c>
      <c r="AF3784" s="2">
        <f>IFERROR(__xludf.DUMMYFUNCTION("IFERROR(ABS(R3784-AVERAGE(FILTER(R3784:R7852,AA3784:AA7852=""Neighbor""))) / STDEV(FILTER(R3784:R7852, AA3784:AA7852 =""Neighbor"")), """")"),0.3963103077541095)</f>
        <v>0.3963103078</v>
      </c>
    </row>
    <row r="3785">
      <c r="A3785" s="2" t="s">
        <v>28</v>
      </c>
      <c r="B3785" s="2" t="s">
        <v>7915</v>
      </c>
      <c r="C3785" s="2" t="s">
        <v>7937</v>
      </c>
      <c r="D3785" s="2" t="s">
        <v>15385</v>
      </c>
      <c r="E3785" s="2" t="s">
        <v>15386</v>
      </c>
      <c r="F3785" s="2">
        <v>27.0</v>
      </c>
      <c r="G3785" s="2">
        <v>80.0</v>
      </c>
      <c r="H3785" s="2" t="b">
        <v>1</v>
      </c>
      <c r="I3785" s="2">
        <v>-1.0</v>
      </c>
      <c r="J3785" s="2" t="b">
        <v>0</v>
      </c>
      <c r="K3785" s="2" t="b">
        <v>0</v>
      </c>
      <c r="L3785" s="2" t="b">
        <v>0</v>
      </c>
      <c r="M3785" s="2" t="b">
        <v>0</v>
      </c>
      <c r="N3785" s="2" t="s">
        <v>33</v>
      </c>
      <c r="O3785" s="2">
        <v>15.0</v>
      </c>
      <c r="P3785" s="2">
        <v>5.0</v>
      </c>
      <c r="Q3785" s="2">
        <v>5.0</v>
      </c>
      <c r="R3785" s="2">
        <v>0.0</v>
      </c>
      <c r="S3785" s="3" t="s">
        <v>15387</v>
      </c>
      <c r="T3785" s="2" t="s">
        <v>15388</v>
      </c>
      <c r="Y3785" s="4" t="str">
        <f>IFERROR(__xludf.DUMMYFUNCTION("""COMPUTED_VALUE"""),"6.8637379")</f>
        <v>6.8637379</v>
      </c>
      <c r="Z3785" s="4" t="str">
        <f>IFERROR(__xludf.DUMMYFUNCTION("""COMPUTED_VALUE"""),"3.4282386")</f>
        <v>3.4282386</v>
      </c>
      <c r="AA3785" s="4" t="str">
        <f t="shared" si="1"/>
        <v>Neighbor</v>
      </c>
      <c r="AC3785" s="4">
        <f>IFERROR(__xludf.DUMMYFUNCTION("IFERROR(ABS(O3785-AVERAGE(FILTER(O3785:O7853,AA3785:AA7853=""Neighbor""))) / STDEV(FILTER(O3785:O7853, AA3785:AA7853 =""Neighbor"")), """")"),0.829689858610712)</f>
        <v>0.8296898586</v>
      </c>
      <c r="AF3785" s="2">
        <f>IFERROR(__xludf.DUMMYFUNCTION("IFERROR(ABS(R3785-AVERAGE(FILTER(R3785:R7853,AA3785:AA7853=""Neighbor""))) / STDEV(FILTER(R3785:R7853, AA3785:AA7853 =""Neighbor"")), """")"),0.3982721301511974)</f>
        <v>0.3982721302</v>
      </c>
    </row>
    <row r="3786">
      <c r="A3786" s="2" t="s">
        <v>28</v>
      </c>
      <c r="B3786" s="2" t="s">
        <v>7915</v>
      </c>
      <c r="C3786" s="2" t="s">
        <v>7937</v>
      </c>
      <c r="D3786" s="2" t="s">
        <v>15389</v>
      </c>
      <c r="E3786" s="2" t="s">
        <v>15390</v>
      </c>
      <c r="F3786" s="2">
        <v>45.0</v>
      </c>
      <c r="G3786" s="2">
        <v>145.0</v>
      </c>
      <c r="H3786" s="2" t="b">
        <v>1</v>
      </c>
      <c r="I3786" s="2">
        <v>-1.0</v>
      </c>
      <c r="J3786" s="2" t="b">
        <v>0</v>
      </c>
      <c r="K3786" s="2" t="b">
        <v>0</v>
      </c>
      <c r="L3786" s="2" t="b">
        <v>0</v>
      </c>
      <c r="M3786" s="2" t="b">
        <v>0</v>
      </c>
      <c r="N3786" s="2" t="s">
        <v>33</v>
      </c>
      <c r="O3786" s="2">
        <v>18.0</v>
      </c>
      <c r="P3786" s="2">
        <v>23.0</v>
      </c>
      <c r="Q3786" s="2">
        <v>3.0</v>
      </c>
      <c r="R3786" s="2">
        <v>1.0</v>
      </c>
      <c r="S3786" s="3" t="s">
        <v>15391</v>
      </c>
      <c r="T3786" s="2" t="s">
        <v>15392</v>
      </c>
      <c r="Y3786" s="4" t="str">
        <f>IFERROR(__xludf.DUMMYFUNCTION("""COMPUTED_VALUE"""),"6.8644897")</f>
        <v>6.8644897</v>
      </c>
      <c r="Z3786" s="4" t="str">
        <f>IFERROR(__xludf.DUMMYFUNCTION("""COMPUTED_VALUE"""),"3.4272691")</f>
        <v>3.4272691</v>
      </c>
      <c r="AA3786" s="4" t="str">
        <f t="shared" si="1"/>
        <v>Not Neighbor</v>
      </c>
      <c r="AC3786" s="4">
        <f>IFERROR(__xludf.DUMMYFUNCTION("IFERROR(ABS(O3786-AVERAGE(FILTER(O3786:O7854,AA3786:AA7854=""Neighbor""))) / STDEV(FILTER(O3786:O7854, AA3786:AA7854 =""Neighbor"")), """")"),0.7218142770193301)</f>
        <v>0.721814277</v>
      </c>
      <c r="AF3786" s="2">
        <f>IFERROR(__xludf.DUMMYFUNCTION("IFERROR(ABS(R3786-AVERAGE(FILTER(R3786:R7854,AA3786:AA7854=""Neighbor""))) / STDEV(FILTER(R3786:R7854, AA3786:AA7854 =""Neighbor"")), """")"),1.5176654594431236)</f>
        <v>1.517665459</v>
      </c>
    </row>
    <row r="3787">
      <c r="A3787" s="2" t="s">
        <v>28</v>
      </c>
      <c r="B3787" s="2" t="s">
        <v>7915</v>
      </c>
      <c r="C3787" s="2" t="s">
        <v>7937</v>
      </c>
      <c r="D3787" s="2" t="s">
        <v>15393</v>
      </c>
      <c r="E3787" s="2" t="s">
        <v>15394</v>
      </c>
      <c r="F3787" s="2">
        <v>150.0</v>
      </c>
      <c r="G3787" s="2">
        <v>329.0</v>
      </c>
      <c r="H3787" s="2" t="b">
        <v>1</v>
      </c>
      <c r="I3787" s="2">
        <v>-1.0</v>
      </c>
      <c r="J3787" s="2" t="b">
        <v>0</v>
      </c>
      <c r="K3787" s="2" t="b">
        <v>0</v>
      </c>
      <c r="L3787" s="2" t="b">
        <v>0</v>
      </c>
      <c r="M3787" s="2" t="b">
        <v>0</v>
      </c>
      <c r="N3787" s="2" t="s">
        <v>33</v>
      </c>
      <c r="O3787" s="2">
        <v>44.0</v>
      </c>
      <c r="P3787" s="2">
        <v>93.0</v>
      </c>
      <c r="Q3787" s="2">
        <v>4.0</v>
      </c>
      <c r="R3787" s="2">
        <v>1.0</v>
      </c>
      <c r="S3787" s="3" t="s">
        <v>15395</v>
      </c>
      <c r="T3787" s="2" t="s">
        <v>15396</v>
      </c>
      <c r="Y3787" s="4" t="str">
        <f>IFERROR(__xludf.DUMMYFUNCTION("""COMPUTED_VALUE"""),"6.948262")</f>
        <v>6.948262</v>
      </c>
      <c r="Z3787" s="4" t="str">
        <f>IFERROR(__xludf.DUMMYFUNCTION("""COMPUTED_VALUE"""),"3.5079264")</f>
        <v>3.5079264</v>
      </c>
      <c r="AA3787" s="4" t="str">
        <f t="shared" si="1"/>
        <v>Not Neighbor</v>
      </c>
      <c r="AC3787" s="4">
        <f>IFERROR(__xludf.DUMMYFUNCTION("IFERROR(ABS(O3787-AVERAGE(FILTER(O3787:O7855,AA3787:AA7855=""Neighbor""))) / STDEV(FILTER(O3787:O7855, AA3787:AA7855 =""Neighbor"")), """")"),0.2659315757439637)</f>
        <v>0.2659315757</v>
      </c>
      <c r="AF3787" s="2">
        <f>IFERROR(__xludf.DUMMYFUNCTION("IFERROR(ABS(R3787-AVERAGE(FILTER(R3787:R7855,AA3787:AA7855=""Neighbor""))) / STDEV(FILTER(R3787:R7855, AA3787:AA7855 =""Neighbor"")), """")"),1.5176654594431236)</f>
        <v>1.517665459</v>
      </c>
    </row>
    <row r="3788">
      <c r="A3788" s="2" t="s">
        <v>28</v>
      </c>
      <c r="B3788" s="2" t="s">
        <v>7915</v>
      </c>
      <c r="C3788" s="2" t="s">
        <v>7937</v>
      </c>
      <c r="D3788" s="2" t="s">
        <v>15397</v>
      </c>
      <c r="E3788" s="2" t="s">
        <v>15398</v>
      </c>
      <c r="F3788" s="2">
        <v>75.0</v>
      </c>
      <c r="G3788" s="2">
        <v>193.0</v>
      </c>
      <c r="H3788" s="2" t="b">
        <v>1</v>
      </c>
      <c r="I3788" s="2">
        <v>-1.0</v>
      </c>
      <c r="J3788" s="2" t="b">
        <v>0</v>
      </c>
      <c r="K3788" s="2" t="b">
        <v>0</v>
      </c>
      <c r="L3788" s="2" t="b">
        <v>0</v>
      </c>
      <c r="M3788" s="2" t="b">
        <v>0</v>
      </c>
      <c r="N3788" s="2" t="s">
        <v>33</v>
      </c>
      <c r="O3788" s="2">
        <v>32.0</v>
      </c>
      <c r="P3788" s="2">
        <v>29.0</v>
      </c>
      <c r="Q3788" s="2">
        <v>5.0</v>
      </c>
      <c r="R3788" s="2">
        <v>3.0</v>
      </c>
      <c r="S3788" s="3" t="s">
        <v>15399</v>
      </c>
      <c r="T3788" s="2" t="s">
        <v>15400</v>
      </c>
      <c r="Y3788" s="4" t="str">
        <f>IFERROR(__xludf.DUMMYFUNCTION("""COMPUTED_VALUE"""),"6.7212799")</f>
        <v>6.7212799</v>
      </c>
      <c r="Z3788" s="4" t="str">
        <f>IFERROR(__xludf.DUMMYFUNCTION("""COMPUTED_VALUE"""),"3.3957972")</f>
        <v>3.3957972</v>
      </c>
      <c r="AA3788" s="4" t="str">
        <f t="shared" si="1"/>
        <v>Not Neighbor</v>
      </c>
      <c r="AC3788" s="4">
        <f>IFERROR(__xludf.DUMMYFUNCTION("IFERROR(ABS(O3788-AVERAGE(FILTER(O3788:O7856,AA3788:AA7856=""Neighbor""))) / STDEV(FILTER(O3788:O7856, AA3788:AA7856 =""Neighbor"")), """")"),0.18995112553140264)</f>
        <v>0.1899511255</v>
      </c>
      <c r="AF3788" s="2">
        <f>IFERROR(__xludf.DUMMYFUNCTION("IFERROR(ABS(R3788-AVERAGE(FILTER(R3788:R7856,AA3788:AA7856=""Neighbor""))) / STDEV(FILTER(R3788:R7856, AA3788:AA7856 =""Neighbor"")), """")"),5.35352321407959)</f>
        <v>5.353523214</v>
      </c>
    </row>
    <row r="3789">
      <c r="A3789" s="2" t="s">
        <v>28</v>
      </c>
      <c r="B3789" s="2" t="s">
        <v>7915</v>
      </c>
      <c r="C3789" s="2" t="s">
        <v>7937</v>
      </c>
      <c r="D3789" s="2" t="s">
        <v>15401</v>
      </c>
      <c r="E3789" s="2" t="s">
        <v>15402</v>
      </c>
      <c r="F3789" s="2">
        <v>54.0</v>
      </c>
      <c r="G3789" s="2">
        <v>111.0</v>
      </c>
      <c r="H3789" s="2" t="b">
        <v>1</v>
      </c>
      <c r="I3789" s="2">
        <v>-1.0</v>
      </c>
      <c r="J3789" s="2" t="b">
        <v>0</v>
      </c>
      <c r="K3789" s="2" t="b">
        <v>0</v>
      </c>
      <c r="L3789" s="2" t="b">
        <v>0</v>
      </c>
      <c r="M3789" s="2" t="b">
        <v>0</v>
      </c>
      <c r="N3789" s="2" t="s">
        <v>33</v>
      </c>
      <c r="O3789" s="2">
        <v>32.0</v>
      </c>
      <c r="P3789" s="2">
        <v>16.0</v>
      </c>
      <c r="Q3789" s="2">
        <v>2.0</v>
      </c>
      <c r="R3789" s="2">
        <v>0.0</v>
      </c>
      <c r="S3789" s="3" t="s">
        <v>15403</v>
      </c>
      <c r="T3789" s="2" t="s">
        <v>15404</v>
      </c>
      <c r="Y3789" s="4" t="str">
        <f>IFERROR(__xludf.DUMMYFUNCTION("""COMPUTED_VALUE"""),"6.8067039")</f>
        <v>6.8067039</v>
      </c>
      <c r="Z3789" s="4" t="str">
        <f>IFERROR(__xludf.DUMMYFUNCTION("""COMPUTED_VALUE"""),"3.4396549")</f>
        <v>3.4396549</v>
      </c>
      <c r="AA3789" s="4" t="str">
        <f t="shared" si="1"/>
        <v>Not Neighbor</v>
      </c>
      <c r="AC3789" s="4">
        <f>IFERROR(__xludf.DUMMYFUNCTION("IFERROR(ABS(O3789-AVERAGE(FILTER(O3789:O7857,AA3789:AA7857=""Neighbor""))) / STDEV(FILTER(O3789:O7857, AA3789:AA7857 =""Neighbor"")), """")"),0.18995112553140264)</f>
        <v>0.1899511255</v>
      </c>
      <c r="AF3789" s="2">
        <f>IFERROR(__xludf.DUMMYFUNCTION("IFERROR(ABS(R3789-AVERAGE(FILTER(R3789:R7857,AA3789:AA7857=""Neighbor""))) / STDEV(FILTER(R3789:R7857, AA3789:AA7857 =""Neighbor"")), """")"),0.4002634178751095)</f>
        <v>0.4002634179</v>
      </c>
    </row>
    <row r="3790">
      <c r="A3790" s="2" t="s">
        <v>28</v>
      </c>
      <c r="B3790" s="2" t="s">
        <v>7915</v>
      </c>
      <c r="C3790" s="2" t="s">
        <v>7937</v>
      </c>
      <c r="D3790" s="2" t="s">
        <v>15405</v>
      </c>
      <c r="E3790" s="2" t="s">
        <v>15406</v>
      </c>
      <c r="F3790" s="2">
        <v>119.0</v>
      </c>
      <c r="G3790" s="2">
        <v>209.0</v>
      </c>
      <c r="H3790" s="2" t="b">
        <v>1</v>
      </c>
      <c r="I3790" s="2">
        <v>-1.0</v>
      </c>
      <c r="J3790" s="2" t="b">
        <v>0</v>
      </c>
      <c r="K3790" s="2" t="b">
        <v>0</v>
      </c>
      <c r="L3790" s="2" t="b">
        <v>0</v>
      </c>
      <c r="M3790" s="2" t="b">
        <v>0</v>
      </c>
      <c r="N3790" s="2" t="s">
        <v>33</v>
      </c>
      <c r="O3790" s="2">
        <v>38.0</v>
      </c>
      <c r="P3790" s="2">
        <v>57.0</v>
      </c>
      <c r="Q3790" s="2">
        <v>11.0</v>
      </c>
      <c r="R3790" s="2">
        <v>0.0</v>
      </c>
      <c r="S3790" s="3" t="s">
        <v>15407</v>
      </c>
      <c r="T3790" s="2" t="s">
        <v>15408</v>
      </c>
      <c r="Y3790" s="4" t="str">
        <f>IFERROR(__xludf.DUMMYFUNCTION("""COMPUTED_VALUE"""),"6.948262")</f>
        <v>6.948262</v>
      </c>
      <c r="Z3790" s="4" t="str">
        <f>IFERROR(__xludf.DUMMYFUNCTION("""COMPUTED_VALUE"""),"3.5079264")</f>
        <v>3.5079264</v>
      </c>
      <c r="AA3790" s="4" t="str">
        <f t="shared" si="1"/>
        <v>Not Neighbor</v>
      </c>
      <c r="AC3790" s="4">
        <f>IFERROR(__xludf.DUMMYFUNCTION("IFERROR(ABS(O3790-AVERAGE(FILTER(O3790:O7858,AA3790:AA7858=""Neighbor""))) / STDEV(FILTER(O3790:O7858, AA3790:AA7858 =""Neighbor"")), """")"),0.03799022510628053)</f>
        <v>0.03799022511</v>
      </c>
      <c r="AF3790" s="2">
        <f>IFERROR(__xludf.DUMMYFUNCTION("IFERROR(ABS(R3790-AVERAGE(FILTER(R3790:R7858,AA3790:AA7858=""Neighbor""))) / STDEV(FILTER(R3790:R7858, AA3790:AA7858 =""Neighbor"")), """")"),0.4002634178751095)</f>
        <v>0.4002634179</v>
      </c>
    </row>
    <row r="3791">
      <c r="A3791" s="2" t="s">
        <v>28</v>
      </c>
      <c r="B3791" s="2" t="s">
        <v>7915</v>
      </c>
      <c r="C3791" s="2" t="s">
        <v>7937</v>
      </c>
      <c r="D3791" s="2" t="s">
        <v>15409</v>
      </c>
      <c r="E3791" s="2" t="s">
        <v>15410</v>
      </c>
      <c r="F3791" s="2">
        <v>109.0</v>
      </c>
      <c r="G3791" s="2">
        <v>750.0</v>
      </c>
      <c r="H3791" s="2" t="b">
        <v>1</v>
      </c>
      <c r="I3791" s="2">
        <v>-1.0</v>
      </c>
      <c r="J3791" s="2" t="b">
        <v>0</v>
      </c>
      <c r="K3791" s="2" t="b">
        <v>0</v>
      </c>
      <c r="L3791" s="2" t="b">
        <v>0</v>
      </c>
      <c r="M3791" s="2" t="b">
        <v>0</v>
      </c>
      <c r="N3791" s="2" t="s">
        <v>33</v>
      </c>
      <c r="O3791" s="2">
        <v>41.0</v>
      </c>
      <c r="P3791" s="2">
        <v>61.0</v>
      </c>
      <c r="Q3791" s="2">
        <v>1.0</v>
      </c>
      <c r="R3791" s="2">
        <v>0.0</v>
      </c>
      <c r="S3791" s="3" t="s">
        <v>15411</v>
      </c>
      <c r="T3791" s="2" t="s">
        <v>15412</v>
      </c>
      <c r="Y3791" s="4" t="str">
        <f>IFERROR(__xludf.DUMMYFUNCTION("""COMPUTED_VALUE"""),"6.8067039")</f>
        <v>6.8067039</v>
      </c>
      <c r="Z3791" s="4" t="str">
        <f>IFERROR(__xludf.DUMMYFUNCTION("""COMPUTED_VALUE"""),"3.4396549")</f>
        <v>3.4396549</v>
      </c>
      <c r="AA3791" s="4" t="str">
        <f t="shared" si="1"/>
        <v>Neighbor</v>
      </c>
      <c r="AC3791" s="4">
        <f>IFERROR(__xludf.DUMMYFUNCTION("IFERROR(ABS(O3791-AVERAGE(FILTER(O3791:O7859,AA3791:AA7859=""Neighbor""))) / STDEV(FILTER(O3791:O7859, AA3791:AA7859 =""Neighbor"")), """")"),0.15196090042512211)</f>
        <v>0.1519609004</v>
      </c>
      <c r="AF3791" s="2">
        <f>IFERROR(__xludf.DUMMYFUNCTION("IFERROR(ABS(R3791-AVERAGE(FILTER(R3791:R7859,AA3791:AA7859=""Neighbor""))) / STDEV(FILTER(R3791:R7859, AA3791:AA7859 =""Neighbor"")), """")"),0.4002634178751095)</f>
        <v>0.4002634179</v>
      </c>
    </row>
    <row r="3792">
      <c r="A3792" s="2" t="s">
        <v>28</v>
      </c>
      <c r="B3792" s="2" t="s">
        <v>7915</v>
      </c>
      <c r="C3792" s="2" t="s">
        <v>7937</v>
      </c>
      <c r="D3792" s="2" t="s">
        <v>15413</v>
      </c>
      <c r="E3792" s="2" t="s">
        <v>15414</v>
      </c>
      <c r="F3792" s="2">
        <v>88.0</v>
      </c>
      <c r="G3792" s="2">
        <v>140.0</v>
      </c>
      <c r="H3792" s="2" t="b">
        <v>1</v>
      </c>
      <c r="I3792" s="2">
        <v>-1.0</v>
      </c>
      <c r="J3792" s="2" t="b">
        <v>1</v>
      </c>
      <c r="K3792" s="2" t="b">
        <v>0</v>
      </c>
      <c r="L3792" s="2" t="b">
        <v>0</v>
      </c>
      <c r="M3792" s="2" t="b">
        <v>0</v>
      </c>
      <c r="N3792" s="2" t="s">
        <v>33</v>
      </c>
      <c r="O3792" s="2">
        <v>62.0</v>
      </c>
      <c r="P3792" s="2">
        <v>16.0</v>
      </c>
      <c r="Q3792" s="2">
        <v>2.0</v>
      </c>
      <c r="R3792" s="2">
        <v>0.0</v>
      </c>
      <c r="S3792" s="3" t="s">
        <v>15415</v>
      </c>
      <c r="T3792" s="2" t="s">
        <v>15416</v>
      </c>
      <c r="Y3792" s="4" t="str">
        <f>IFERROR(__xludf.DUMMYFUNCTION("""COMPUTED_VALUE"""),"6.8067039")</f>
        <v>6.8067039</v>
      </c>
      <c r="Z3792" s="4" t="str">
        <f>IFERROR(__xludf.DUMMYFUNCTION("""COMPUTED_VALUE"""),"3.4396549")</f>
        <v>3.4396549</v>
      </c>
      <c r="AA3792" s="4" t="str">
        <f t="shared" si="1"/>
        <v>Neighbor</v>
      </c>
      <c r="AC3792" s="4">
        <f>IFERROR(__xludf.DUMMYFUNCTION("IFERROR(ABS(O3792-AVERAGE(FILTER(O3792:O7860,AA3792:AA7860=""Neighbor""))) / STDEV(FILTER(O3792:O7860, AA3792:AA7860 =""Neighbor"")), """")"),0.9470047485396934)</f>
        <v>0.9470047485</v>
      </c>
      <c r="AF3792" s="2">
        <f>IFERROR(__xludf.DUMMYFUNCTION("IFERROR(ABS(R3792-AVERAGE(FILTER(R3792:R7860,AA3792:AA7860=""Neighbor""))) / STDEV(FILTER(R3792:R7860, AA3792:AA7860 =""Neighbor"")), """")"),0.4022849168367579)</f>
        <v>0.4022849168</v>
      </c>
    </row>
    <row r="3793">
      <c r="A3793" s="2" t="s">
        <v>28</v>
      </c>
      <c r="B3793" s="2" t="s">
        <v>7915</v>
      </c>
      <c r="C3793" s="2" t="s">
        <v>7937</v>
      </c>
      <c r="D3793" s="2" t="s">
        <v>15417</v>
      </c>
      <c r="E3793" s="2" t="s">
        <v>15418</v>
      </c>
      <c r="F3793" s="2">
        <v>125.0</v>
      </c>
      <c r="G3793" s="2">
        <v>273.0</v>
      </c>
      <c r="H3793" s="2" t="b">
        <v>1</v>
      </c>
      <c r="I3793" s="2">
        <v>-1.0</v>
      </c>
      <c r="J3793" s="2" t="b">
        <v>0</v>
      </c>
      <c r="K3793" s="2" t="b">
        <v>0</v>
      </c>
      <c r="L3793" s="2" t="b">
        <v>0</v>
      </c>
      <c r="M3793" s="2" t="b">
        <v>0</v>
      </c>
      <c r="N3793" s="2" t="s">
        <v>33</v>
      </c>
      <c r="O3793" s="2">
        <v>72.0</v>
      </c>
      <c r="P3793" s="2">
        <v>41.0</v>
      </c>
      <c r="Q3793" s="2">
        <v>5.0</v>
      </c>
      <c r="R3793" s="2">
        <v>0.0</v>
      </c>
      <c r="S3793" s="3" t="s">
        <v>15419</v>
      </c>
      <c r="T3793" s="2" t="s">
        <v>15420</v>
      </c>
      <c r="Y3793" s="4" t="str">
        <f>IFERROR(__xludf.DUMMYFUNCTION("""COMPUTED_VALUE"""),"6.8067039")</f>
        <v>6.8067039</v>
      </c>
      <c r="Z3793" s="4" t="str">
        <f>IFERROR(__xludf.DUMMYFUNCTION("""COMPUTED_VALUE"""),"3.4396549")</f>
        <v>3.4396549</v>
      </c>
      <c r="AA3793" s="4" t="str">
        <f t="shared" si="1"/>
        <v>Not Neighbor</v>
      </c>
      <c r="AC3793" s="4">
        <f>IFERROR(__xludf.DUMMYFUNCTION("IFERROR(ABS(O3793-AVERAGE(FILTER(O3793:O7861,AA3793:AA7861=""Neighbor""))) / STDEV(FILTER(O3793:O7861, AA3793:AA7861 =""Neighbor"")), """")"),1.3330896005098487)</f>
        <v>1.333089601</v>
      </c>
      <c r="AF3793" s="2">
        <f>IFERROR(__xludf.DUMMYFUNCTION("IFERROR(ABS(R3793-AVERAGE(FILTER(R3793:R7861,AA3793:AA7861=""Neighbor""))) / STDEV(FILTER(R3793:R7861, AA3793:AA7861 =""Neighbor"")), """")"),0.4043373996798414)</f>
        <v>0.4043373997</v>
      </c>
    </row>
    <row r="3794">
      <c r="A3794" s="2" t="s">
        <v>28</v>
      </c>
      <c r="B3794" s="2" t="s">
        <v>7915</v>
      </c>
      <c r="C3794" s="2" t="s">
        <v>7937</v>
      </c>
      <c r="D3794" s="2" t="s">
        <v>15421</v>
      </c>
      <c r="E3794" s="2" t="s">
        <v>15422</v>
      </c>
      <c r="F3794" s="2">
        <v>107.0</v>
      </c>
      <c r="G3794" s="2">
        <v>272.0</v>
      </c>
      <c r="H3794" s="2" t="b">
        <v>1</v>
      </c>
      <c r="I3794" s="2">
        <v>-1.0</v>
      </c>
      <c r="J3794" s="2" t="b">
        <v>0</v>
      </c>
      <c r="K3794" s="2" t="b">
        <v>0</v>
      </c>
      <c r="L3794" s="2" t="b">
        <v>0</v>
      </c>
      <c r="M3794" s="2" t="b">
        <v>0</v>
      </c>
      <c r="N3794" s="2" t="s">
        <v>33</v>
      </c>
      <c r="O3794" s="2">
        <v>58.0</v>
      </c>
      <c r="P3794" s="2">
        <v>40.0</v>
      </c>
      <c r="Q3794" s="2">
        <v>6.0</v>
      </c>
      <c r="R3794" s="2">
        <v>0.0</v>
      </c>
      <c r="S3794" s="3" t="s">
        <v>15423</v>
      </c>
      <c r="T3794" s="2" t="s">
        <v>15424</v>
      </c>
      <c r="Y3794" s="4" t="str">
        <f>IFERROR(__xludf.DUMMYFUNCTION("""COMPUTED_VALUE"""),"6.7819638")</f>
        <v>6.7819638</v>
      </c>
      <c r="Z3794" s="4" t="str">
        <f>IFERROR(__xludf.DUMMYFUNCTION("""COMPUTED_VALUE"""),"3.4119813")</f>
        <v>3.4119813</v>
      </c>
      <c r="AA3794" s="4" t="str">
        <f t="shared" si="1"/>
        <v>Not Neighbor</v>
      </c>
      <c r="AC3794" s="4">
        <f>IFERROR(__xludf.DUMMYFUNCTION("IFERROR(ABS(O3794-AVERAGE(FILTER(O3794:O7862,AA3794:AA7862=""Neighbor""))) / STDEV(FILTER(O3794:O7862, AA3794:AA7862 =""Neighbor"")), """")"),0.8037352460905263)</f>
        <v>0.8037352461</v>
      </c>
      <c r="AF3794" s="2">
        <f>IFERROR(__xludf.DUMMYFUNCTION("IFERROR(ABS(R3794-AVERAGE(FILTER(R3794:R7862,AA3794:AA7862=""Neighbor""))) / STDEV(FILTER(R3794:R7862, AA3794:AA7862 =""Neighbor"")), """")"),0.4043373996798414)</f>
        <v>0.4043373997</v>
      </c>
    </row>
    <row r="3795">
      <c r="A3795" s="2" t="s">
        <v>28</v>
      </c>
      <c r="B3795" s="2" t="s">
        <v>7915</v>
      </c>
      <c r="C3795" s="2" t="s">
        <v>7937</v>
      </c>
      <c r="D3795" s="2" t="s">
        <v>15425</v>
      </c>
      <c r="E3795" s="2" t="s">
        <v>15426</v>
      </c>
      <c r="F3795" s="2">
        <v>88.0</v>
      </c>
      <c r="G3795" s="2">
        <v>182.0</v>
      </c>
      <c r="H3795" s="2" t="b">
        <v>1</v>
      </c>
      <c r="I3795" s="2">
        <v>-1.0</v>
      </c>
      <c r="J3795" s="2" t="b">
        <v>0</v>
      </c>
      <c r="K3795" s="2" t="b">
        <v>0</v>
      </c>
      <c r="L3795" s="2" t="b">
        <v>0</v>
      </c>
      <c r="M3795" s="2" t="b">
        <v>0</v>
      </c>
      <c r="N3795" s="2" t="s">
        <v>33</v>
      </c>
      <c r="O3795" s="2">
        <v>38.0</v>
      </c>
      <c r="P3795" s="2">
        <v>27.0</v>
      </c>
      <c r="Q3795" s="2">
        <v>10.0</v>
      </c>
      <c r="R3795" s="2">
        <v>0.0</v>
      </c>
      <c r="S3795" s="3" t="s">
        <v>15427</v>
      </c>
      <c r="T3795" s="2" t="s">
        <v>15428</v>
      </c>
      <c r="Y3795" s="4" t="str">
        <f>IFERROR(__xludf.DUMMYFUNCTION("""COMPUTED_VALUE"""),"6.8644834")</f>
        <v>6.8644834</v>
      </c>
      <c r="Z3795" s="4" t="str">
        <f>IFERROR(__xludf.DUMMYFUNCTION("""COMPUTED_VALUE"""),"3.4272705")</f>
        <v>3.4272705</v>
      </c>
      <c r="AA3795" s="4" t="str">
        <f t="shared" si="1"/>
        <v>Not Neighbor</v>
      </c>
      <c r="AC3795" s="4">
        <f>IFERROR(__xludf.DUMMYFUNCTION("IFERROR(ABS(O3795-AVERAGE(FILTER(O3795:O7863,AA3795:AA7863=""Neighbor""))) / STDEV(FILTER(O3795:O7863, AA3795:AA7863 =""Neighbor"")), """")"),0.04751473977720852)</f>
        <v>0.04751473978</v>
      </c>
      <c r="AF3795" s="2">
        <f>IFERROR(__xludf.DUMMYFUNCTION("IFERROR(ABS(R3795-AVERAGE(FILTER(R3795:R7863,AA3795:AA7863=""Neighbor""))) / STDEV(FILTER(R3795:R7863, AA3795:AA7863 =""Neighbor"")), """")"),0.4043373996798414)</f>
        <v>0.4043373997</v>
      </c>
    </row>
    <row r="3796">
      <c r="A3796" s="2" t="s">
        <v>28</v>
      </c>
      <c r="B3796" s="2" t="s">
        <v>7915</v>
      </c>
      <c r="C3796" s="2" t="s">
        <v>7937</v>
      </c>
      <c r="D3796" s="2" t="s">
        <v>15429</v>
      </c>
      <c r="E3796" s="2" t="s">
        <v>15430</v>
      </c>
      <c r="F3796" s="2">
        <v>108.0</v>
      </c>
      <c r="G3796" s="2">
        <v>217.0</v>
      </c>
      <c r="H3796" s="2" t="b">
        <v>1</v>
      </c>
      <c r="I3796" s="2">
        <v>-1.0</v>
      </c>
      <c r="J3796" s="2" t="b">
        <v>0</v>
      </c>
      <c r="K3796" s="2" t="b">
        <v>0</v>
      </c>
      <c r="L3796" s="2" t="b">
        <v>0</v>
      </c>
      <c r="M3796" s="2" t="b">
        <v>0</v>
      </c>
      <c r="N3796" s="2" t="s">
        <v>33</v>
      </c>
      <c r="O3796" s="2">
        <v>67.0</v>
      </c>
      <c r="P3796" s="2">
        <v>25.0</v>
      </c>
      <c r="Q3796" s="2">
        <v>3.0</v>
      </c>
      <c r="R3796" s="2">
        <v>0.0</v>
      </c>
      <c r="S3796" s="3" t="s">
        <v>15431</v>
      </c>
      <c r="T3796" s="2" t="s">
        <v>15432</v>
      </c>
      <c r="Y3796" s="4" t="str">
        <f>IFERROR(__xludf.DUMMYFUNCTION("""COMPUTED_VALUE"""),"6.7819638")</f>
        <v>6.7819638</v>
      </c>
      <c r="Z3796" s="4" t="str">
        <f>IFERROR(__xludf.DUMMYFUNCTION("""COMPUTED_VALUE"""),"3.4119813")</f>
        <v>3.4119813</v>
      </c>
      <c r="AA3796" s="4" t="str">
        <f t="shared" si="1"/>
        <v>Not Neighbor</v>
      </c>
      <c r="AC3796" s="4">
        <f>IFERROR(__xludf.DUMMYFUNCTION("IFERROR(ABS(O3796-AVERAGE(FILTER(O3796:O7864,AA3796:AA7864=""Neighbor""))) / STDEV(FILTER(O3796:O7864, AA3796:AA7864 =""Neighbor"")), """")"),1.1440344739315194)</f>
        <v>1.144034474</v>
      </c>
      <c r="AF3796" s="2">
        <f>IFERROR(__xludf.DUMMYFUNCTION("IFERROR(ABS(R3796-AVERAGE(FILTER(R3796:R7864,AA3796:AA7864=""Neighbor""))) / STDEV(FILTER(R3796:R7864, AA3796:AA7864 =""Neighbor"")), """")"),0.4043373996798414)</f>
        <v>0.4043373997</v>
      </c>
    </row>
    <row r="3797">
      <c r="A3797" s="2" t="s">
        <v>28</v>
      </c>
      <c r="B3797" s="2" t="s">
        <v>7915</v>
      </c>
      <c r="C3797" s="2" t="s">
        <v>7937</v>
      </c>
      <c r="D3797" s="2" t="s">
        <v>15433</v>
      </c>
      <c r="E3797" s="2" t="s">
        <v>15434</v>
      </c>
      <c r="F3797" s="2">
        <v>126.0</v>
      </c>
      <c r="G3797" s="2">
        <v>232.0</v>
      </c>
      <c r="H3797" s="2" t="b">
        <v>1</v>
      </c>
      <c r="I3797" s="2">
        <v>-1.0</v>
      </c>
      <c r="J3797" s="2" t="b">
        <v>1</v>
      </c>
      <c r="K3797" s="2" t="b">
        <v>0</v>
      </c>
      <c r="L3797" s="2" t="b">
        <v>0</v>
      </c>
      <c r="M3797" s="2" t="b">
        <v>0</v>
      </c>
      <c r="N3797" s="2" t="s">
        <v>33</v>
      </c>
      <c r="O3797" s="2">
        <v>76.0</v>
      </c>
      <c r="P3797" s="2">
        <v>26.0</v>
      </c>
      <c r="Q3797" s="2">
        <v>15.0</v>
      </c>
      <c r="R3797" s="2">
        <v>0.0</v>
      </c>
      <c r="S3797" s="3" t="s">
        <v>15435</v>
      </c>
      <c r="T3797" s="2" t="s">
        <v>15436</v>
      </c>
      <c r="Y3797" s="4" t="str">
        <f>IFERROR(__xludf.DUMMYFUNCTION("""COMPUTED_VALUE"""),"6.740147")</f>
        <v>6.740147</v>
      </c>
      <c r="Z3797" s="4" t="str">
        <f>IFERROR(__xludf.DUMMYFUNCTION("""COMPUTED_VALUE"""),"3.4220755")</f>
        <v>3.4220755</v>
      </c>
      <c r="AA3797" s="4" t="str">
        <f t="shared" si="1"/>
        <v>Neighbor</v>
      </c>
      <c r="AC3797" s="4">
        <f>IFERROR(__xludf.DUMMYFUNCTION("IFERROR(ABS(O3797-AVERAGE(FILTER(O3797:O7865,AA3797:AA7865=""Neighbor""))) / STDEV(FILTER(O3797:O7865, AA3797:AA7865 =""Neighbor"")), """")"),1.4843337017725122)</f>
        <v>1.484333702</v>
      </c>
      <c r="AF3797" s="2">
        <f>IFERROR(__xludf.DUMMYFUNCTION("IFERROR(ABS(R3797-AVERAGE(FILTER(R3797:R7865,AA3797:AA7865=""Neighbor""))) / STDEV(FILTER(R3797:R7865, AA3797:AA7865 =""Neighbor"")), """")"),0.4043373996798414)</f>
        <v>0.4043373997</v>
      </c>
    </row>
    <row r="3798">
      <c r="A3798" s="2" t="s">
        <v>28</v>
      </c>
      <c r="B3798" s="2" t="s">
        <v>7915</v>
      </c>
      <c r="C3798" s="2" t="s">
        <v>7937</v>
      </c>
      <c r="D3798" s="2" t="s">
        <v>15437</v>
      </c>
      <c r="E3798" s="2" t="s">
        <v>15438</v>
      </c>
      <c r="F3798" s="2">
        <v>78.0</v>
      </c>
      <c r="G3798" s="2">
        <v>212.0</v>
      </c>
      <c r="H3798" s="2" t="b">
        <v>1</v>
      </c>
      <c r="I3798" s="2">
        <v>-1.0</v>
      </c>
      <c r="J3798" s="2" t="b">
        <v>0</v>
      </c>
      <c r="K3798" s="2" t="b">
        <v>0</v>
      </c>
      <c r="L3798" s="2" t="b">
        <v>0</v>
      </c>
      <c r="M3798" s="2" t="b">
        <v>0</v>
      </c>
      <c r="N3798" s="2" t="s">
        <v>33</v>
      </c>
      <c r="O3798" s="2">
        <v>31.0</v>
      </c>
      <c r="P3798" s="2">
        <v>38.0</v>
      </c>
      <c r="Q3798" s="2">
        <v>4.0</v>
      </c>
      <c r="R3798" s="2">
        <v>1.0</v>
      </c>
      <c r="S3798" s="3" t="s">
        <v>15439</v>
      </c>
      <c r="T3798" s="2" t="s">
        <v>15440</v>
      </c>
      <c r="Y3798" s="4" t="str">
        <f>IFERROR(__xludf.DUMMYFUNCTION("""COMPUTED_VALUE"""),"6.740147")</f>
        <v>6.740147</v>
      </c>
      <c r="Z3798" s="4" t="str">
        <f>IFERROR(__xludf.DUMMYFUNCTION("""COMPUTED_VALUE"""),"3.4220755")</f>
        <v>3.4220755</v>
      </c>
      <c r="AA3798" s="4" t="str">
        <f t="shared" si="1"/>
        <v>Neighbor</v>
      </c>
      <c r="AC3798" s="4">
        <f>IFERROR(__xludf.DUMMYFUNCTION("IFERROR(ABS(O3798-AVERAGE(FILTER(O3798:O7866,AA3798:AA7866=""Neighbor""))) / STDEV(FILTER(O3798:O7866, AA3798:AA7866 =""Neighbor"")), """")"),0.20504208955856476)</f>
        <v>0.2050420896</v>
      </c>
      <c r="AF3798" s="2">
        <f>IFERROR(__xludf.DUMMYFUNCTION("IFERROR(ABS(R3798-AVERAGE(FILTER(R3798:R7866,AA3798:AA7866=""Neighbor""))) / STDEV(FILTER(R3798:R7866, AA3798:AA7866 =""Neighbor"")), """")"),1.490212779097041)</f>
        <v>1.490212779</v>
      </c>
    </row>
    <row r="3799">
      <c r="A3799" s="2" t="s">
        <v>28</v>
      </c>
      <c r="B3799" s="2" t="s">
        <v>7915</v>
      </c>
      <c r="C3799" s="2" t="s">
        <v>7937</v>
      </c>
      <c r="D3799" s="2" t="s">
        <v>15441</v>
      </c>
      <c r="E3799" s="2" t="s">
        <v>15442</v>
      </c>
      <c r="F3799" s="2">
        <v>127.0</v>
      </c>
      <c r="G3799" s="2">
        <v>276.0</v>
      </c>
      <c r="H3799" s="2" t="b">
        <v>1</v>
      </c>
      <c r="I3799" s="2">
        <v>-1.0</v>
      </c>
      <c r="J3799" s="2" t="b">
        <v>0</v>
      </c>
      <c r="K3799" s="2" t="b">
        <v>0</v>
      </c>
      <c r="L3799" s="2" t="b">
        <v>0</v>
      </c>
      <c r="M3799" s="2" t="b">
        <v>0</v>
      </c>
      <c r="N3799" s="2" t="s">
        <v>33</v>
      </c>
      <c r="O3799" s="2">
        <v>66.0</v>
      </c>
      <c r="P3799" s="2">
        <v>46.0</v>
      </c>
      <c r="Q3799" s="2">
        <v>7.0</v>
      </c>
      <c r="R3799" s="2">
        <v>1.0</v>
      </c>
      <c r="S3799" s="3" t="s">
        <v>15443</v>
      </c>
      <c r="T3799" s="2" t="s">
        <v>15444</v>
      </c>
      <c r="Y3799" s="4" t="str">
        <f>IFERROR(__xludf.DUMMYFUNCTION("""COMPUTED_VALUE"""),"6.740147")</f>
        <v>6.740147</v>
      </c>
      <c r="Z3799" s="4" t="str">
        <f>IFERROR(__xludf.DUMMYFUNCTION("""COMPUTED_VALUE"""),"3.4220755")</f>
        <v>3.4220755</v>
      </c>
      <c r="AA3799" s="4" t="str">
        <f t="shared" si="1"/>
        <v>Neighbor</v>
      </c>
      <c r="AC3799" s="4">
        <f>IFERROR(__xludf.DUMMYFUNCTION("IFERROR(ABS(O3799-AVERAGE(FILTER(O3799:O7867,AA3799:AA7867=""Neighbor""))) / STDEV(FILTER(O3799:O7867, AA3799:AA7867 =""Neighbor"")), """")"),1.1189874382984453)</f>
        <v>1.118987438</v>
      </c>
      <c r="AF3799" s="2">
        <f>IFERROR(__xludf.DUMMYFUNCTION("IFERROR(ABS(R3799-AVERAGE(FILTER(R3799:R7867,AA3799:AA7867=""Neighbor""))) / STDEV(FILTER(R3799:R7867, AA3799:AA7867 =""Neighbor"")), """")"),1.5121906527920377)</f>
        <v>1.512190653</v>
      </c>
    </row>
    <row r="3800">
      <c r="A3800" s="2" t="s">
        <v>28</v>
      </c>
      <c r="B3800" s="2" t="s">
        <v>7915</v>
      </c>
      <c r="C3800" s="2" t="s">
        <v>7937</v>
      </c>
      <c r="D3800" s="2" t="s">
        <v>15445</v>
      </c>
      <c r="E3800" s="2" t="s">
        <v>15446</v>
      </c>
      <c r="F3800" s="2">
        <v>70.0</v>
      </c>
      <c r="G3800" s="2">
        <v>132.0</v>
      </c>
      <c r="H3800" s="2" t="b">
        <v>1</v>
      </c>
      <c r="I3800" s="2">
        <v>-1.0</v>
      </c>
      <c r="J3800" s="2" t="b">
        <v>0</v>
      </c>
      <c r="K3800" s="2" t="b">
        <v>1</v>
      </c>
      <c r="L3800" s="2" t="b">
        <v>0</v>
      </c>
      <c r="M3800" s="2" t="b">
        <v>0</v>
      </c>
      <c r="N3800" s="2" t="s">
        <v>33</v>
      </c>
      <c r="O3800" s="2">
        <v>17.0</v>
      </c>
      <c r="P3800" s="2">
        <v>38.0</v>
      </c>
      <c r="Q3800" s="2">
        <v>10.0</v>
      </c>
      <c r="R3800" s="2">
        <v>1.0</v>
      </c>
      <c r="S3800" s="3" t="s">
        <v>15447</v>
      </c>
      <c r="T3800" s="2" t="s">
        <v>15448</v>
      </c>
      <c r="Y3800" s="4" t="str">
        <f>IFERROR(__xludf.DUMMYFUNCTION("""COMPUTED_VALUE"""),"6.740147")</f>
        <v>6.740147</v>
      </c>
      <c r="Z3800" s="4" t="str">
        <f>IFERROR(__xludf.DUMMYFUNCTION("""COMPUTED_VALUE"""),"3.4220755")</f>
        <v>3.4220755</v>
      </c>
      <c r="AA3800" s="4" t="str">
        <f t="shared" si="1"/>
        <v>Neighbor</v>
      </c>
      <c r="AC3800" s="4">
        <f>IFERROR(__xludf.DUMMYFUNCTION("IFERROR(ABS(O3800-AVERAGE(FILTER(O3800:O7868,AA3800:AA7868=""Neighbor""))) / STDEV(FILTER(O3800:O7868, AA3800:AA7868 =""Neighbor"")), """")"),0.7266938085120159)</f>
        <v>0.7266938085</v>
      </c>
      <c r="AF3800" s="2">
        <f>IFERROR(__xludf.DUMMYFUNCTION("IFERROR(ABS(R3800-AVERAGE(FILTER(R3800:R7868,AA3800:AA7868=""Neighbor""))) / STDEV(FILTER(R3800:R7868, AA3800:AA7868 =""Neighbor"")), """")"),1.5351732008984385)</f>
        <v>1.535173201</v>
      </c>
    </row>
    <row r="3801">
      <c r="A3801" s="2" t="s">
        <v>28</v>
      </c>
      <c r="B3801" s="2" t="s">
        <v>7915</v>
      </c>
      <c r="C3801" s="2" t="s">
        <v>7937</v>
      </c>
      <c r="D3801" s="2" t="s">
        <v>15449</v>
      </c>
      <c r="E3801" s="2" t="s">
        <v>15450</v>
      </c>
      <c r="F3801" s="2">
        <v>121.0</v>
      </c>
      <c r="G3801" s="2">
        <v>242.0</v>
      </c>
      <c r="H3801" s="2" t="b">
        <v>1</v>
      </c>
      <c r="I3801" s="2">
        <v>-1.0</v>
      </c>
      <c r="J3801" s="2" t="b">
        <v>0</v>
      </c>
      <c r="K3801" s="2" t="b">
        <v>0</v>
      </c>
      <c r="L3801" s="2" t="b">
        <v>0</v>
      </c>
      <c r="M3801" s="2" t="b">
        <v>0</v>
      </c>
      <c r="N3801" s="2" t="s">
        <v>33</v>
      </c>
      <c r="O3801" s="2">
        <v>57.0</v>
      </c>
      <c r="P3801" s="2">
        <v>47.0</v>
      </c>
      <c r="Q3801" s="2">
        <v>5.0</v>
      </c>
      <c r="R3801" s="2">
        <v>2.0</v>
      </c>
      <c r="S3801" s="3" t="s">
        <v>15451</v>
      </c>
      <c r="T3801" s="2" t="s">
        <v>15452</v>
      </c>
      <c r="Y3801" s="4" t="str">
        <f>IFERROR(__xludf.DUMMYFUNCTION("""COMPUTED_VALUE"""),"6.740147")</f>
        <v>6.740147</v>
      </c>
      <c r="Z3801" s="4" t="str">
        <f>IFERROR(__xludf.DUMMYFUNCTION("""COMPUTED_VALUE"""),"3.4220755")</f>
        <v>3.4220755</v>
      </c>
      <c r="AA3801" s="4" t="str">
        <f t="shared" si="1"/>
        <v>Neighbor</v>
      </c>
      <c r="AC3801" s="4">
        <f>IFERROR(__xludf.DUMMYFUNCTION("IFERROR(ABS(O3801-AVERAGE(FILTER(O3801:O7869,AA3801:AA7869=""Neighbor""))) / STDEV(FILTER(O3801:O7869, AA3801:AA7869 =""Neighbor"")), """")"),0.7810511626318205)</f>
        <v>0.7810511626</v>
      </c>
      <c r="AF3801" s="2">
        <f>IFERROR(__xludf.DUMMYFUNCTION("IFERROR(ABS(R3801-AVERAGE(FILTER(R3801:R7869,AA3801:AA7869=""Neighbor""))) / STDEV(FILTER(R3801:R7869, AA3801:AA7869 =""Neighbor"")), """")"),3.4905700472691255)</f>
        <v>3.490570047</v>
      </c>
    </row>
    <row r="3802">
      <c r="A3802" s="2" t="s">
        <v>28</v>
      </c>
      <c r="B3802" s="2" t="s">
        <v>7915</v>
      </c>
      <c r="C3802" s="2" t="s">
        <v>7937</v>
      </c>
      <c r="D3802" s="2" t="s">
        <v>15453</v>
      </c>
      <c r="E3802" s="2" t="s">
        <v>15454</v>
      </c>
      <c r="F3802" s="2">
        <v>242.0</v>
      </c>
      <c r="G3802" s="2">
        <v>472.0</v>
      </c>
      <c r="H3802" s="2" t="b">
        <v>1</v>
      </c>
      <c r="I3802" s="2">
        <v>-1.0</v>
      </c>
      <c r="J3802" s="2" t="b">
        <v>0</v>
      </c>
      <c r="K3802" s="2" t="b">
        <v>0</v>
      </c>
      <c r="L3802" s="2" t="b">
        <v>0</v>
      </c>
      <c r="M3802" s="2" t="b">
        <v>0</v>
      </c>
      <c r="N3802" s="2" t="s">
        <v>33</v>
      </c>
      <c r="O3802" s="2">
        <v>74.0</v>
      </c>
      <c r="P3802" s="2">
        <v>61.0</v>
      </c>
      <c r="Q3802" s="2">
        <v>38.0</v>
      </c>
      <c r="R3802" s="2">
        <v>1.0</v>
      </c>
      <c r="S3802" s="3" t="s">
        <v>15455</v>
      </c>
      <c r="T3802" s="2" t="s">
        <v>15456</v>
      </c>
      <c r="Y3802" s="4" t="str">
        <f>IFERROR(__xludf.DUMMYFUNCTION("""COMPUTED_VALUE"""),"6.740147")</f>
        <v>6.740147</v>
      </c>
      <c r="Z3802" s="4" t="str">
        <f>IFERROR(__xludf.DUMMYFUNCTION("""COMPUTED_VALUE"""),"3.4220755")</f>
        <v>3.4220755</v>
      </c>
      <c r="AA3802" s="4" t="str">
        <f t="shared" si="1"/>
        <v>Neighbor</v>
      </c>
      <c r="AC3802" s="4">
        <f>IFERROR(__xludf.DUMMYFUNCTION("IFERROR(ABS(O3802-AVERAGE(FILTER(O3802:O7870,AA3802:AA7870=""Neighbor""))) / STDEV(FILTER(O3802:O7870, AA3802:AA7870 =""Neighbor"")), """")"),1.4286730111952335)</f>
        <v>1.428673011</v>
      </c>
      <c r="AF3802" s="2">
        <f>IFERROR(__xludf.DUMMYFUNCTION("IFERROR(ABS(R3802-AVERAGE(FILTER(R3802:R7870,AA3802:AA7870=""Neighbor""))) / STDEV(FILTER(R3802:R7870, AA3802:AA7870 =""Neighbor"")), """")"),1.682874597207673)</f>
        <v>1.682874597</v>
      </c>
    </row>
    <row r="3803">
      <c r="A3803" s="2" t="s">
        <v>28</v>
      </c>
      <c r="B3803" s="2" t="s">
        <v>7915</v>
      </c>
      <c r="C3803" s="2" t="s">
        <v>7937</v>
      </c>
      <c r="D3803" s="2" t="s">
        <v>15457</v>
      </c>
      <c r="E3803" s="2" t="s">
        <v>15458</v>
      </c>
      <c r="F3803" s="2">
        <v>39.0</v>
      </c>
      <c r="G3803" s="2">
        <v>119.0</v>
      </c>
      <c r="H3803" s="2" t="b">
        <v>1</v>
      </c>
      <c r="I3803" s="2">
        <v>-1.0</v>
      </c>
      <c r="J3803" s="2" t="b">
        <v>0</v>
      </c>
      <c r="K3803" s="2" t="b">
        <v>0</v>
      </c>
      <c r="L3803" s="2" t="b">
        <v>0</v>
      </c>
      <c r="M3803" s="2" t="b">
        <v>0</v>
      </c>
      <c r="N3803" s="2" t="s">
        <v>33</v>
      </c>
      <c r="O3803" s="2">
        <v>7.0</v>
      </c>
      <c r="P3803" s="2">
        <v>27.0</v>
      </c>
      <c r="Q3803" s="2">
        <v>1.0</v>
      </c>
      <c r="R3803" s="2">
        <v>1.0</v>
      </c>
      <c r="S3803" s="3" t="s">
        <v>15459</v>
      </c>
      <c r="T3803" s="2" t="s">
        <v>15460</v>
      </c>
      <c r="Y3803" s="4" t="str">
        <f>IFERROR(__xludf.DUMMYFUNCTION("""COMPUTED_VALUE"""),"6.740147")</f>
        <v>6.740147</v>
      </c>
      <c r="Z3803" s="4" t="str">
        <f>IFERROR(__xludf.DUMMYFUNCTION("""COMPUTED_VALUE"""),"3.4220755")</f>
        <v>3.4220755</v>
      </c>
      <c r="AA3803" s="4" t="str">
        <f t="shared" si="1"/>
        <v>Neighbor</v>
      </c>
      <c r="AC3803" s="4">
        <f>IFERROR(__xludf.DUMMYFUNCTION("IFERROR(ABS(O3803-AVERAGE(FILTER(O3803:O7871,AA3803:AA7871=""Neighbor""))) / STDEV(FILTER(O3803:O7871, AA3803:AA7871 =""Neighbor"")), """")"),1.0929079751522508)</f>
        <v>1.092907975</v>
      </c>
      <c r="AF3803" s="2">
        <f>IFERROR(__xludf.DUMMYFUNCTION("IFERROR(ABS(R3803-AVERAGE(FILTER(R3803:R7871,AA3803:AA7871=""Neighbor""))) / STDEV(FILTER(R3803:R7871, AA3803:AA7871 =""Neighbor"")), """")"),1.7136922138976305)</f>
        <v>1.713692214</v>
      </c>
    </row>
    <row r="3804">
      <c r="A3804" s="2" t="s">
        <v>28</v>
      </c>
      <c r="B3804" s="2" t="s">
        <v>7915</v>
      </c>
      <c r="C3804" s="2" t="s">
        <v>7937</v>
      </c>
      <c r="D3804" s="2" t="s">
        <v>15461</v>
      </c>
      <c r="E3804" s="2" t="s">
        <v>15462</v>
      </c>
      <c r="F3804" s="2">
        <v>172.0</v>
      </c>
      <c r="G3804" s="2">
        <v>290.0</v>
      </c>
      <c r="H3804" s="2" t="b">
        <v>1</v>
      </c>
      <c r="I3804" s="2">
        <v>-1.0</v>
      </c>
      <c r="J3804" s="2" t="b">
        <v>0</v>
      </c>
      <c r="K3804" s="2" t="b">
        <v>0</v>
      </c>
      <c r="L3804" s="2" t="b">
        <v>0</v>
      </c>
      <c r="M3804" s="2" t="b">
        <v>0</v>
      </c>
      <c r="N3804" s="2" t="s">
        <v>33</v>
      </c>
      <c r="O3804" s="2">
        <v>74.0</v>
      </c>
      <c r="P3804" s="2">
        <v>61.0</v>
      </c>
      <c r="Q3804" s="2">
        <v>21.0</v>
      </c>
      <c r="R3804" s="2">
        <v>1.0</v>
      </c>
      <c r="S3804" s="3" t="s">
        <v>15463</v>
      </c>
      <c r="T3804" s="2" t="s">
        <v>15464</v>
      </c>
      <c r="Y3804" s="4" t="str">
        <f>IFERROR(__xludf.DUMMYFUNCTION("""COMPUTED_VALUE"""),"6.740147")</f>
        <v>6.740147</v>
      </c>
      <c r="Z3804" s="4" t="str">
        <f>IFERROR(__xludf.DUMMYFUNCTION("""COMPUTED_VALUE"""),"3.4220755")</f>
        <v>3.4220755</v>
      </c>
      <c r="AA3804" s="4" t="str">
        <f t="shared" si="1"/>
        <v>Neighbor</v>
      </c>
      <c r="AC3804" s="4">
        <f>IFERROR(__xludf.DUMMYFUNCTION("IFERROR(ABS(O3804-AVERAGE(FILTER(O3804:O7872,AA3804:AA7872=""Neighbor""))) / STDEV(FILTER(O3804:O7872, AA3804:AA7872 =""Neighbor"")), """")"),1.4403922594761531)</f>
        <v>1.440392259</v>
      </c>
      <c r="AF3804" s="2">
        <f>IFERROR(__xludf.DUMMYFUNCTION("IFERROR(ABS(R3804-AVERAGE(FILTER(R3804:R7872,AA3804:AA7872=""Neighbor""))) / STDEV(FILTER(R3804:R7872, AA3804:AA7872 =""Neighbor"")), """")"),1.746271758454144)</f>
        <v>1.746271758</v>
      </c>
    </row>
    <row r="3805">
      <c r="A3805" s="2" t="s">
        <v>28</v>
      </c>
      <c r="B3805" s="2" t="s">
        <v>7915</v>
      </c>
      <c r="C3805" s="2" t="s">
        <v>7937</v>
      </c>
      <c r="D3805" s="2" t="s">
        <v>15465</v>
      </c>
      <c r="E3805" s="2" t="s">
        <v>15466</v>
      </c>
      <c r="F3805" s="2">
        <v>148.0</v>
      </c>
      <c r="G3805" s="2">
        <v>288.0</v>
      </c>
      <c r="H3805" s="2" t="b">
        <v>1</v>
      </c>
      <c r="I3805" s="2">
        <v>-1.0</v>
      </c>
      <c r="J3805" s="2" t="b">
        <v>0</v>
      </c>
      <c r="K3805" s="2" t="b">
        <v>0</v>
      </c>
      <c r="L3805" s="2" t="b">
        <v>0</v>
      </c>
      <c r="M3805" s="2" t="b">
        <v>0</v>
      </c>
      <c r="N3805" s="2" t="s">
        <v>33</v>
      </c>
      <c r="O3805" s="2">
        <v>71.0</v>
      </c>
      <c r="P3805" s="2">
        <v>51.0</v>
      </c>
      <c r="Q3805" s="2">
        <v>19.0</v>
      </c>
      <c r="R3805" s="2">
        <v>0.0</v>
      </c>
      <c r="S3805" s="3" t="s">
        <v>15467</v>
      </c>
      <c r="T3805" s="2" t="s">
        <v>15468</v>
      </c>
      <c r="Y3805" s="4" t="str">
        <f>IFERROR(__xludf.DUMMYFUNCTION("""COMPUTED_VALUE"""),"6.740147")</f>
        <v>6.740147</v>
      </c>
      <c r="Z3805" s="4" t="str">
        <f>IFERROR(__xludf.DUMMYFUNCTION("""COMPUTED_VALUE"""),"3.4220755")</f>
        <v>3.4220755</v>
      </c>
      <c r="AA3805" s="4" t="str">
        <f t="shared" si="1"/>
        <v>Neighbor</v>
      </c>
      <c r="AC3805" s="4">
        <f>IFERROR(__xludf.DUMMYFUNCTION("IFERROR(ABS(O3805-AVERAGE(FILTER(O3805:O7873,AA3805:AA7873=""Neighbor""))) / STDEV(FILTER(O3805:O7873, AA3805:AA7873 =""Neighbor"")), """")"),1.3472768813114733)</f>
        <v>1.347276881</v>
      </c>
      <c r="AF3805" s="2">
        <f>IFERROR(__xludf.DUMMYFUNCTION("IFERROR(ABS(R3805-AVERAGE(FILTER(R3805:R7873,AA3805:AA7873=""Neighbor""))) / STDEV(FILTER(R3805:R7873, AA3805:AA7873 =""Neighbor"")), """")"),0.32014163243614263)</f>
        <v>0.3201416324</v>
      </c>
    </row>
    <row r="3806">
      <c r="A3806" s="2" t="s">
        <v>28</v>
      </c>
      <c r="B3806" s="2" t="s">
        <v>7915</v>
      </c>
      <c r="C3806" s="2" t="s">
        <v>7937</v>
      </c>
      <c r="D3806" s="2" t="s">
        <v>15469</v>
      </c>
      <c r="E3806" s="2" t="s">
        <v>15470</v>
      </c>
      <c r="F3806" s="2">
        <v>145.0</v>
      </c>
      <c r="G3806" s="2">
        <v>260.0</v>
      </c>
      <c r="H3806" s="2" t="b">
        <v>1</v>
      </c>
      <c r="I3806" s="2">
        <v>-1.0</v>
      </c>
      <c r="J3806" s="2" t="b">
        <v>0</v>
      </c>
      <c r="K3806" s="2" t="b">
        <v>0</v>
      </c>
      <c r="L3806" s="2" t="b">
        <v>0</v>
      </c>
      <c r="M3806" s="2" t="b">
        <v>0</v>
      </c>
      <c r="N3806" s="2" t="s">
        <v>33</v>
      </c>
      <c r="O3806" s="2">
        <v>52.0</v>
      </c>
      <c r="P3806" s="2">
        <v>34.0</v>
      </c>
      <c r="Q3806" s="2">
        <v>7.0</v>
      </c>
      <c r="R3806" s="2">
        <v>1.0</v>
      </c>
      <c r="S3806" s="3" t="s">
        <v>15471</v>
      </c>
      <c r="T3806" s="2" t="s">
        <v>15472</v>
      </c>
      <c r="Y3806" s="4" t="str">
        <f>IFERROR(__xludf.DUMMYFUNCTION("""COMPUTED_VALUE"""),"6.740147")</f>
        <v>6.740147</v>
      </c>
      <c r="Z3806" s="4" t="str">
        <f>IFERROR(__xludf.DUMMYFUNCTION("""COMPUTED_VALUE"""),"3.4220755")</f>
        <v>3.4220755</v>
      </c>
      <c r="AA3806" s="4" t="str">
        <f t="shared" si="1"/>
        <v>Not Neighbor</v>
      </c>
      <c r="AC3806" s="4">
        <f>IFERROR(__xludf.DUMMYFUNCTION("IFERROR(ABS(O3806-AVERAGE(FILTER(O3806:O7874,AA3806:AA7874=""Neighbor""))) / STDEV(FILTER(O3806:O7874, AA3806:AA7874 =""Neighbor"")), """")"),0.6373559695106853)</f>
        <v>0.6373559695</v>
      </c>
      <c r="AF3806" s="2">
        <f>IFERROR(__xludf.DUMMYFUNCTION("IFERROR(ABS(R3806-AVERAGE(FILTER(R3806:R7874,AA3806:AA7874=""Neighbor""))) / STDEV(FILTER(R3806:R7874, AA3806:AA7874 =""Neighbor"")), """")"),1.7700229935476206)</f>
        <v>1.770022994</v>
      </c>
    </row>
    <row r="3807">
      <c r="A3807" s="2" t="s">
        <v>28</v>
      </c>
      <c r="B3807" s="2" t="s">
        <v>7915</v>
      </c>
      <c r="C3807" s="2" t="s">
        <v>7937</v>
      </c>
      <c r="D3807" s="2" t="s">
        <v>15473</v>
      </c>
      <c r="E3807" s="2" t="s">
        <v>15474</v>
      </c>
      <c r="F3807" s="2">
        <v>42.0</v>
      </c>
      <c r="G3807" s="2">
        <v>122.0</v>
      </c>
      <c r="H3807" s="2" t="b">
        <v>1</v>
      </c>
      <c r="I3807" s="2">
        <v>-1.0</v>
      </c>
      <c r="J3807" s="2" t="b">
        <v>0</v>
      </c>
      <c r="K3807" s="2" t="b">
        <v>0</v>
      </c>
      <c r="L3807" s="2" t="b">
        <v>0</v>
      </c>
      <c r="M3807" s="2" t="b">
        <v>0</v>
      </c>
      <c r="N3807" s="2" t="s">
        <v>33</v>
      </c>
      <c r="O3807" s="2">
        <v>20.0</v>
      </c>
      <c r="P3807" s="2">
        <v>14.0</v>
      </c>
      <c r="Q3807" s="2">
        <v>3.0</v>
      </c>
      <c r="R3807" s="2">
        <v>0.0</v>
      </c>
      <c r="S3807" s="3" t="s">
        <v>15475</v>
      </c>
      <c r="T3807" s="2" t="s">
        <v>15476</v>
      </c>
      <c r="Y3807" s="4" t="str">
        <f>IFERROR(__xludf.DUMMYFUNCTION("""COMPUTED_VALUE"""),"6.8085486")</f>
        <v>6.8085486</v>
      </c>
      <c r="Z3807" s="4" t="str">
        <f>IFERROR(__xludf.DUMMYFUNCTION("""COMPUTED_VALUE"""),"3.4367201")</f>
        <v>3.4367201</v>
      </c>
      <c r="AA3807" s="4" t="str">
        <f t="shared" si="1"/>
        <v>Not Neighbor</v>
      </c>
      <c r="AC3807" s="4">
        <f>IFERROR(__xludf.DUMMYFUNCTION("IFERROR(ABS(O3807-AVERAGE(FILTER(O3807:O7875,AA3807:AA7875=""Neighbor""))) / STDEV(FILTER(O3807:O7875, AA3807:AA7875 =""Neighbor"")), """")"),0.5894344680437165)</f>
        <v>0.589434468</v>
      </c>
      <c r="AF3807" s="2">
        <f>IFERROR(__xludf.DUMMYFUNCTION("IFERROR(ABS(R3807-AVERAGE(FILTER(R3807:R7875,AA3807:AA7875=""Neighbor""))) / STDEV(FILTER(R3807:R7875, AA3807:AA7875 =""Neighbor"")), """")"),0.3218223624632038)</f>
        <v>0.3218223625</v>
      </c>
    </row>
    <row r="3808">
      <c r="A3808" s="2" t="s">
        <v>28</v>
      </c>
      <c r="B3808" s="2" t="s">
        <v>7915</v>
      </c>
      <c r="C3808" s="2" t="s">
        <v>7937</v>
      </c>
      <c r="D3808" s="2" t="s">
        <v>15477</v>
      </c>
      <c r="E3808" s="2" t="s">
        <v>15478</v>
      </c>
      <c r="F3808" s="2">
        <v>64.0</v>
      </c>
      <c r="G3808" s="2">
        <v>164.0</v>
      </c>
      <c r="H3808" s="2" t="b">
        <v>1</v>
      </c>
      <c r="I3808" s="2">
        <v>-1.0</v>
      </c>
      <c r="J3808" s="2" t="b">
        <v>0</v>
      </c>
      <c r="K3808" s="2" t="b">
        <v>0</v>
      </c>
      <c r="L3808" s="2" t="b">
        <v>0</v>
      </c>
      <c r="M3808" s="2" t="b">
        <v>0</v>
      </c>
      <c r="N3808" s="2" t="s">
        <v>33</v>
      </c>
      <c r="O3808" s="2">
        <v>28.0</v>
      </c>
      <c r="P3808" s="2">
        <v>23.0</v>
      </c>
      <c r="Q3808" s="2">
        <v>1.0</v>
      </c>
      <c r="R3808" s="2">
        <v>0.0</v>
      </c>
      <c r="S3808" s="3" t="s">
        <v>15479</v>
      </c>
      <c r="T3808" s="2" t="s">
        <v>15480</v>
      </c>
      <c r="Y3808" s="4" t="str">
        <f>IFERROR(__xludf.DUMMYFUNCTION("""COMPUTED_VALUE"""),"6.948262")</f>
        <v>6.948262</v>
      </c>
      <c r="Z3808" s="4" t="str">
        <f>IFERROR(__xludf.DUMMYFUNCTION("""COMPUTED_VALUE"""),"3.5079264")</f>
        <v>3.5079264</v>
      </c>
      <c r="AA3808" s="4" t="str">
        <f t="shared" si="1"/>
        <v>Not Neighbor</v>
      </c>
      <c r="AC3808" s="4">
        <f>IFERROR(__xludf.DUMMYFUNCTION("IFERROR(ABS(O3808-AVERAGE(FILTER(O3808:O7876,AA3808:AA7876=""Neighbor""))) / STDEV(FILTER(O3808:O7876, AA3808:AA7876 =""Neighbor"")), """")"),0.282736858655116)</f>
        <v>0.2827368587</v>
      </c>
      <c r="AF3808" s="2">
        <f>IFERROR(__xludf.DUMMYFUNCTION("IFERROR(ABS(R3808-AVERAGE(FILTER(R3808:R7876,AA3808:AA7876=""Neighbor""))) / STDEV(FILTER(R3808:R7876, AA3808:AA7876 =""Neighbor"")), """")"),0.3218223624632038)</f>
        <v>0.3218223625</v>
      </c>
    </row>
    <row r="3809">
      <c r="A3809" s="2" t="s">
        <v>28</v>
      </c>
      <c r="B3809" s="2" t="s">
        <v>7915</v>
      </c>
      <c r="C3809" s="2" t="s">
        <v>7937</v>
      </c>
      <c r="D3809" s="2" t="s">
        <v>15481</v>
      </c>
      <c r="E3809" s="2" t="s">
        <v>15482</v>
      </c>
      <c r="F3809" s="2">
        <v>153.0</v>
      </c>
      <c r="G3809" s="2">
        <v>750.0</v>
      </c>
      <c r="H3809" s="2" t="b">
        <v>1</v>
      </c>
      <c r="I3809" s="2">
        <v>-1.0</v>
      </c>
      <c r="J3809" s="2" t="b">
        <v>0</v>
      </c>
      <c r="K3809" s="2" t="b">
        <v>0</v>
      </c>
      <c r="L3809" s="2" t="b">
        <v>0</v>
      </c>
      <c r="M3809" s="2" t="b">
        <v>0</v>
      </c>
      <c r="N3809" s="2" t="s">
        <v>33</v>
      </c>
      <c r="O3809" s="2">
        <v>71.0</v>
      </c>
      <c r="P3809" s="2">
        <v>50.0</v>
      </c>
      <c r="Q3809" s="2">
        <v>23.0</v>
      </c>
      <c r="R3809" s="2">
        <v>0.0</v>
      </c>
      <c r="S3809" s="3" t="s">
        <v>15483</v>
      </c>
      <c r="T3809" s="2" t="s">
        <v>15484</v>
      </c>
      <c r="Y3809" s="4" t="str">
        <f>IFERROR(__xludf.DUMMYFUNCTION("""COMPUTED_VALUE"""),"6.8085486")</f>
        <v>6.8085486</v>
      </c>
      <c r="Z3809" s="4" t="str">
        <f>IFERROR(__xludf.DUMMYFUNCTION("""COMPUTED_VALUE"""),"3.4367201")</f>
        <v>3.4367201</v>
      </c>
      <c r="AA3809" s="4" t="str">
        <f t="shared" si="1"/>
        <v>Not Neighbor</v>
      </c>
      <c r="AC3809" s="4">
        <f>IFERROR(__xludf.DUMMYFUNCTION("IFERROR(ABS(O3809-AVERAGE(FILTER(O3809:O7877,AA3809:AA7877=""Neighbor""))) / STDEV(FILTER(O3809:O7877, AA3809:AA7877 =""Neighbor"")), """")"),1.3657627918086113)</f>
        <v>1.365762792</v>
      </c>
      <c r="AF3809" s="2">
        <f>IFERROR(__xludf.DUMMYFUNCTION("IFERROR(ABS(R3809-AVERAGE(FILTER(R3809:R7877,AA3809:AA7877=""Neighbor""))) / STDEV(FILTER(R3809:R7877, AA3809:AA7877 =""Neighbor"")), """")"),0.3218223624632038)</f>
        <v>0.3218223625</v>
      </c>
    </row>
    <row r="3810">
      <c r="A3810" s="2" t="s">
        <v>28</v>
      </c>
      <c r="B3810" s="2" t="s">
        <v>7915</v>
      </c>
      <c r="C3810" s="2" t="s">
        <v>7937</v>
      </c>
      <c r="D3810" s="2" t="s">
        <v>15485</v>
      </c>
      <c r="E3810" s="2" t="s">
        <v>15486</v>
      </c>
      <c r="F3810" s="2">
        <v>62.0</v>
      </c>
      <c r="G3810" s="2">
        <v>143.0</v>
      </c>
      <c r="H3810" s="2" t="b">
        <v>1</v>
      </c>
      <c r="I3810" s="2">
        <v>-1.0</v>
      </c>
      <c r="J3810" s="2" t="b">
        <v>0</v>
      </c>
      <c r="K3810" s="2" t="b">
        <v>0</v>
      </c>
      <c r="L3810" s="2" t="b">
        <v>0</v>
      </c>
      <c r="M3810" s="2" t="b">
        <v>0</v>
      </c>
      <c r="N3810" s="2" t="s">
        <v>33</v>
      </c>
      <c r="O3810" s="2">
        <v>41.0</v>
      </c>
      <c r="P3810" s="2">
        <v>12.0</v>
      </c>
      <c r="Q3810" s="2">
        <v>6.0</v>
      </c>
      <c r="R3810" s="2">
        <v>0.0</v>
      </c>
      <c r="S3810" s="3" t="s">
        <v>15487</v>
      </c>
      <c r="T3810" s="2" t="s">
        <v>15488</v>
      </c>
      <c r="Y3810" s="4" t="str">
        <f>IFERROR(__xludf.DUMMYFUNCTION("""COMPUTED_VALUE"""),"6.948262")</f>
        <v>6.948262</v>
      </c>
      <c r="Z3810" s="4" t="str">
        <f>IFERROR(__xludf.DUMMYFUNCTION("""COMPUTED_VALUE"""),"3.5079264")</f>
        <v>3.5079264</v>
      </c>
      <c r="AA3810" s="4" t="str">
        <f t="shared" si="1"/>
        <v>Not Neighbor</v>
      </c>
      <c r="AC3810" s="4">
        <f>IFERROR(__xludf.DUMMYFUNCTION("IFERROR(ABS(O3810-AVERAGE(FILTER(O3810:O7878,AA3810:AA7878=""Neighbor""))) / STDEV(FILTER(O3810:O7878, AA3810:AA7878 =""Neighbor"")), """")"),0.21564675660135968)</f>
        <v>0.2156467566</v>
      </c>
      <c r="AF3810" s="2">
        <f>IFERROR(__xludf.DUMMYFUNCTION("IFERROR(ABS(R3810-AVERAGE(FILTER(R3810:R7878,AA3810:AA7878=""Neighbor""))) / STDEV(FILTER(R3810:R7878, AA3810:AA7878 =""Neighbor"")), """")"),0.3218223624632038)</f>
        <v>0.3218223625</v>
      </c>
    </row>
    <row r="3811">
      <c r="A3811" s="2" t="s">
        <v>28</v>
      </c>
      <c r="B3811" s="2" t="s">
        <v>7915</v>
      </c>
      <c r="C3811" s="2" t="s">
        <v>7937</v>
      </c>
      <c r="D3811" s="2" t="s">
        <v>15489</v>
      </c>
      <c r="E3811" s="2" t="s">
        <v>15490</v>
      </c>
      <c r="F3811" s="2">
        <v>201.0</v>
      </c>
      <c r="G3811" s="2">
        <v>397.0</v>
      </c>
      <c r="H3811" s="2" t="b">
        <v>1</v>
      </c>
      <c r="I3811" s="2">
        <v>-1.0</v>
      </c>
      <c r="J3811" s="2" t="b">
        <v>0</v>
      </c>
      <c r="K3811" s="2" t="b">
        <v>0</v>
      </c>
      <c r="L3811" s="2" t="b">
        <v>0</v>
      </c>
      <c r="M3811" s="2" t="b">
        <v>0</v>
      </c>
      <c r="N3811" s="2" t="s">
        <v>33</v>
      </c>
      <c r="O3811" s="2">
        <v>108.0</v>
      </c>
      <c r="P3811" s="2">
        <v>62.0</v>
      </c>
      <c r="Q3811" s="2">
        <v>2.0</v>
      </c>
      <c r="R3811" s="2">
        <v>0.0</v>
      </c>
      <c r="S3811" s="3" t="s">
        <v>15491</v>
      </c>
      <c r="T3811" s="2" t="s">
        <v>15492</v>
      </c>
      <c r="Y3811" s="4" t="str">
        <f>IFERROR(__xludf.DUMMYFUNCTION("""COMPUTED_VALUE"""),"6.8114479")</f>
        <v>6.8114479</v>
      </c>
      <c r="Z3811" s="4" t="str">
        <f>IFERROR(__xludf.DUMMYFUNCTION("""COMPUTED_VALUE"""),"3.4276537")</f>
        <v>3.4276537</v>
      </c>
      <c r="AA3811" s="4" t="str">
        <f t="shared" si="1"/>
        <v>Not Neighbor</v>
      </c>
      <c r="AC3811" s="4">
        <f>IFERROR(__xludf.DUMMYFUNCTION("IFERROR(ABS(O3811-AVERAGE(FILTER(O3811:O7879,AA3811:AA7879=""Neighbor""))) / STDEV(FILTER(O3811:O7879, AA3811:AA7879 =""Neighbor"")), """")"),2.7842392352308885)</f>
        <v>2.784239235</v>
      </c>
      <c r="AF3811" s="2">
        <f>IFERROR(__xludf.DUMMYFUNCTION("IFERROR(ABS(R3811-AVERAGE(FILTER(R3811:R7879,AA3811:AA7879=""Neighbor""))) / STDEV(FILTER(R3811:R7879, AA3811:AA7879 =""Neighbor"")), """")"),0.3218223624632038)</f>
        <v>0.3218223625</v>
      </c>
    </row>
    <row r="3812">
      <c r="A3812" s="2" t="s">
        <v>28</v>
      </c>
      <c r="B3812" s="2" t="s">
        <v>7915</v>
      </c>
      <c r="C3812" s="2" t="s">
        <v>7937</v>
      </c>
      <c r="D3812" s="2" t="s">
        <v>15493</v>
      </c>
      <c r="E3812" s="2" t="s">
        <v>15494</v>
      </c>
      <c r="F3812" s="2">
        <v>116.0</v>
      </c>
      <c r="G3812" s="2">
        <v>233.0</v>
      </c>
      <c r="H3812" s="2" t="b">
        <v>1</v>
      </c>
      <c r="I3812" s="2">
        <v>-1.0</v>
      </c>
      <c r="J3812" s="2" t="b">
        <v>0</v>
      </c>
      <c r="K3812" s="2" t="b">
        <v>0</v>
      </c>
      <c r="L3812" s="2" t="b">
        <v>0</v>
      </c>
      <c r="M3812" s="2" t="b">
        <v>0</v>
      </c>
      <c r="N3812" s="2" t="s">
        <v>33</v>
      </c>
      <c r="O3812" s="2">
        <v>44.0</v>
      </c>
      <c r="P3812" s="2">
        <v>62.0</v>
      </c>
      <c r="Q3812" s="2">
        <v>5.0</v>
      </c>
      <c r="R3812" s="2">
        <v>1.0</v>
      </c>
      <c r="S3812" s="3" t="s">
        <v>15495</v>
      </c>
      <c r="T3812" s="2" t="s">
        <v>15496</v>
      </c>
      <c r="Y3812" s="4" t="str">
        <f>IFERROR(__xludf.DUMMYFUNCTION("""COMPUTED_VALUE"""),"6.948262")</f>
        <v>6.948262</v>
      </c>
      <c r="Z3812" s="4" t="str">
        <f>IFERROR(__xludf.DUMMYFUNCTION("""COMPUTED_VALUE"""),"3.5079264")</f>
        <v>3.5079264</v>
      </c>
      <c r="AA3812" s="4" t="str">
        <f t="shared" si="1"/>
        <v>Not Neighbor</v>
      </c>
      <c r="AC3812" s="4">
        <f>IFERROR(__xludf.DUMMYFUNCTION("IFERROR(ABS(O3812-AVERAGE(FILTER(O3812:O7880,AA3812:AA7880=""Neighbor""))) / STDEV(FILTER(O3812:O7880, AA3812:AA7880 =""Neighbor"")), """")"),0.3306583601220848)</f>
        <v>0.3306583601</v>
      </c>
      <c r="AF3812" s="2">
        <f>IFERROR(__xludf.DUMMYFUNCTION("IFERROR(ABS(R3812-AVERAGE(FILTER(R3812:R7880,AA3812:AA7880=""Neighbor""))) / STDEV(FILTER(R3812:R7880, AA3812:AA7880 =""Neighbor"")), """")"),1.7700229935476206)</f>
        <v>1.770022994</v>
      </c>
    </row>
    <row r="3813">
      <c r="A3813" s="2" t="s">
        <v>28</v>
      </c>
      <c r="B3813" s="2" t="s">
        <v>7915</v>
      </c>
      <c r="C3813" s="2" t="s">
        <v>7937</v>
      </c>
      <c r="D3813" s="2" t="s">
        <v>15497</v>
      </c>
      <c r="E3813" s="2" t="s">
        <v>15498</v>
      </c>
      <c r="F3813" s="2">
        <v>249.0</v>
      </c>
      <c r="G3813" s="2">
        <v>750.0</v>
      </c>
      <c r="H3813" s="2" t="b">
        <v>1</v>
      </c>
      <c r="I3813" s="2">
        <v>-1.0</v>
      </c>
      <c r="J3813" s="2" t="b">
        <v>0</v>
      </c>
      <c r="K3813" s="2" t="b">
        <v>0</v>
      </c>
      <c r="L3813" s="2" t="b">
        <v>0</v>
      </c>
      <c r="M3813" s="2" t="b">
        <v>0</v>
      </c>
      <c r="N3813" s="2" t="s">
        <v>33</v>
      </c>
      <c r="O3813" s="2">
        <v>92.0</v>
      </c>
      <c r="P3813" s="2">
        <v>120.0</v>
      </c>
      <c r="Q3813" s="2">
        <v>14.0</v>
      </c>
      <c r="R3813" s="2">
        <v>0.0</v>
      </c>
      <c r="S3813" s="3" t="s">
        <v>15499</v>
      </c>
      <c r="T3813" s="2" t="s">
        <v>15500</v>
      </c>
      <c r="Y3813" s="4" t="str">
        <f>IFERROR(__xludf.DUMMYFUNCTION("""COMPUTED_VALUE"""),"6.7819638")</f>
        <v>6.7819638</v>
      </c>
      <c r="Z3813" s="4" t="str">
        <f>IFERROR(__xludf.DUMMYFUNCTION("""COMPUTED_VALUE"""),"3.4119813")</f>
        <v>3.4119813</v>
      </c>
      <c r="AA3813" s="4" t="str">
        <f t="shared" si="1"/>
        <v>Neighbor</v>
      </c>
      <c r="AC3813" s="4">
        <f>IFERROR(__xludf.DUMMYFUNCTION("IFERROR(ABS(O3813-AVERAGE(FILTER(O3813:O7881,AA3813:AA7881=""Neighbor""))) / STDEV(FILTER(O3813:O7881, AA3813:AA7881 =""Neighbor"")), """")"),2.1708440164536875)</f>
        <v>2.170844016</v>
      </c>
      <c r="AF3813" s="2">
        <f>IFERROR(__xludf.DUMMYFUNCTION("IFERROR(ABS(R3813-AVERAGE(FILTER(R3813:R7881,AA3813:AA7881=""Neighbor""))) / STDEV(FILTER(R3813:R7881, AA3813:AA7881 =""Neighbor"")), """")"),0.3218223624632038)</f>
        <v>0.3218223625</v>
      </c>
    </row>
    <row r="3814">
      <c r="A3814" s="2" t="s">
        <v>28</v>
      </c>
      <c r="B3814" s="2" t="s">
        <v>7915</v>
      </c>
      <c r="C3814" s="2" t="s">
        <v>7937</v>
      </c>
      <c r="D3814" s="2" t="s">
        <v>15501</v>
      </c>
      <c r="E3814" s="2" t="s">
        <v>15502</v>
      </c>
      <c r="F3814" s="2">
        <v>34.0</v>
      </c>
      <c r="G3814" s="2">
        <v>88.0</v>
      </c>
      <c r="H3814" s="2" t="b">
        <v>1</v>
      </c>
      <c r="I3814" s="2">
        <v>-1.0</v>
      </c>
      <c r="J3814" s="2" t="b">
        <v>0</v>
      </c>
      <c r="K3814" s="2" t="b">
        <v>0</v>
      </c>
      <c r="L3814" s="2" t="b">
        <v>0</v>
      </c>
      <c r="M3814" s="2" t="b">
        <v>0</v>
      </c>
      <c r="N3814" s="2" t="s">
        <v>33</v>
      </c>
      <c r="O3814" s="2">
        <v>16.0</v>
      </c>
      <c r="P3814" s="2">
        <v>12.0</v>
      </c>
      <c r="Q3814" s="2">
        <v>2.0</v>
      </c>
      <c r="R3814" s="2">
        <v>0.0</v>
      </c>
      <c r="S3814" s="3" t="s">
        <v>15503</v>
      </c>
      <c r="T3814" s="2" t="s">
        <v>15504</v>
      </c>
      <c r="Y3814" s="4" t="str">
        <f>IFERROR(__xludf.DUMMYFUNCTION("""COMPUTED_VALUE"""),"6.7819638")</f>
        <v>6.7819638</v>
      </c>
      <c r="Z3814" s="4" t="str">
        <f>IFERROR(__xludf.DUMMYFUNCTION("""COMPUTED_VALUE"""),"3.4119813")</f>
        <v>3.4119813</v>
      </c>
      <c r="AA3814" s="4" t="str">
        <f t="shared" si="1"/>
        <v>Not Neighbor</v>
      </c>
      <c r="AC3814" s="4">
        <f>IFERROR(__xludf.DUMMYFUNCTION("IFERROR(ABS(O3814-AVERAGE(FILTER(O3814:O7882,AA3814:AA7882=""Neighbor""))) / STDEV(FILTER(O3814:O7882, AA3814:AA7882 =""Neighbor"")), """")"),0.7353823069449529)</f>
        <v>0.7353823069</v>
      </c>
      <c r="AF3814" s="2">
        <f>IFERROR(__xludf.DUMMYFUNCTION("IFERROR(ABS(R3814-AVERAGE(FILTER(R3814:R7882,AA3814:AA7882=""Neighbor""))) / STDEV(FILTER(R3814:R7882, AA3814:AA7882 =""Neighbor"")), """")"),0.32352987264186)</f>
        <v>0.3235298726</v>
      </c>
    </row>
    <row r="3815">
      <c r="A3815" s="2" t="s">
        <v>28</v>
      </c>
      <c r="B3815" s="2" t="s">
        <v>7915</v>
      </c>
      <c r="C3815" s="2" t="s">
        <v>7937</v>
      </c>
      <c r="D3815" s="2" t="s">
        <v>15505</v>
      </c>
      <c r="E3815" s="2" t="s">
        <v>15506</v>
      </c>
      <c r="F3815" s="2">
        <v>109.0</v>
      </c>
      <c r="G3815" s="2">
        <v>184.0</v>
      </c>
      <c r="H3815" s="2" t="b">
        <v>1</v>
      </c>
      <c r="I3815" s="2">
        <v>-1.0</v>
      </c>
      <c r="J3815" s="2" t="b">
        <v>0</v>
      </c>
      <c r="K3815" s="2" t="b">
        <v>0</v>
      </c>
      <c r="L3815" s="2" t="b">
        <v>0</v>
      </c>
      <c r="M3815" s="2" t="b">
        <v>0</v>
      </c>
      <c r="N3815" s="2" t="s">
        <v>33</v>
      </c>
      <c r="O3815" s="2">
        <v>16.0</v>
      </c>
      <c r="P3815" s="2">
        <v>76.0</v>
      </c>
      <c r="Q3815" s="2">
        <v>5.0</v>
      </c>
      <c r="R3815" s="2">
        <v>2.0</v>
      </c>
      <c r="S3815" s="3" t="s">
        <v>15507</v>
      </c>
      <c r="T3815" s="2" t="s">
        <v>15508</v>
      </c>
      <c r="Y3815" s="4" t="str">
        <f>IFERROR(__xludf.DUMMYFUNCTION("""COMPUTED_VALUE"""),"6.8085486")</f>
        <v>6.8085486</v>
      </c>
      <c r="Z3815" s="4" t="str">
        <f>IFERROR(__xludf.DUMMYFUNCTION("""COMPUTED_VALUE"""),"3.4367201")</f>
        <v>3.4367201</v>
      </c>
      <c r="AA3815" s="4" t="str">
        <f t="shared" si="1"/>
        <v>Not Neighbor</v>
      </c>
      <c r="AC3815" s="4">
        <f>IFERROR(__xludf.DUMMYFUNCTION("IFERROR(ABS(O3815-AVERAGE(FILTER(O3815:O7883,AA3815:AA7883=""Neighbor""))) / STDEV(FILTER(O3815:O7883, AA3815:AA7883 =""Neighbor"")), """")"),0.7353823069449529)</f>
        <v>0.7353823069</v>
      </c>
      <c r="AF3815" s="2">
        <f>IFERROR(__xludf.DUMMYFUNCTION("IFERROR(ABS(R3815-AVERAGE(FILTER(R3815:R7883,AA3815:AA7883=""Neighbor""))) / STDEV(FILTER(R3815:R7883, AA3815:AA7883 =""Neighbor"")), """")"),3.8419172376220883)</f>
        <v>3.841917238</v>
      </c>
    </row>
    <row r="3816">
      <c r="A3816" s="2" t="s">
        <v>28</v>
      </c>
      <c r="B3816" s="2" t="s">
        <v>7915</v>
      </c>
      <c r="C3816" s="2" t="s">
        <v>7937</v>
      </c>
      <c r="D3816" s="2" t="s">
        <v>15509</v>
      </c>
      <c r="E3816" s="2" t="s">
        <v>15510</v>
      </c>
      <c r="F3816" s="2">
        <v>67.0</v>
      </c>
      <c r="G3816" s="2">
        <v>97.0</v>
      </c>
      <c r="H3816" s="2" t="b">
        <v>1</v>
      </c>
      <c r="I3816" s="2">
        <v>-1.0</v>
      </c>
      <c r="J3816" s="2" t="b">
        <v>0</v>
      </c>
      <c r="K3816" s="2" t="b">
        <v>0</v>
      </c>
      <c r="L3816" s="2" t="b">
        <v>0</v>
      </c>
      <c r="M3816" s="2" t="b">
        <v>0</v>
      </c>
      <c r="N3816" s="2" t="s">
        <v>33</v>
      </c>
      <c r="O3816" s="2">
        <v>18.0</v>
      </c>
      <c r="P3816" s="2">
        <v>45.0</v>
      </c>
      <c r="Q3816" s="2">
        <v>1.0</v>
      </c>
      <c r="R3816" s="2">
        <v>0.0</v>
      </c>
      <c r="S3816" s="3" t="s">
        <v>15511</v>
      </c>
      <c r="T3816" s="2" t="s">
        <v>15512</v>
      </c>
      <c r="Y3816" s="4" t="str">
        <f>IFERROR(__xludf.DUMMYFUNCTION("""COMPUTED_VALUE"""),"6.7133744")</f>
        <v>6.7133744</v>
      </c>
      <c r="Z3816" s="4" t="str">
        <f>IFERROR(__xludf.DUMMYFUNCTION("""COMPUTED_VALUE"""),"3.4173661")</f>
        <v>3.4173661</v>
      </c>
      <c r="AA3816" s="4" t="str">
        <f t="shared" si="1"/>
        <v>Neighbor</v>
      </c>
      <c r="AC3816" s="4">
        <f>IFERROR(__xludf.DUMMYFUNCTION("IFERROR(ABS(O3816-AVERAGE(FILTER(O3816:O7884,AA3816:AA7884=""Neighbor""))) / STDEV(FILTER(O3816:O7884, AA3816:AA7884 =""Neighbor"")), """")"),0.6572550479296562)</f>
        <v>0.6572550479</v>
      </c>
      <c r="AF3816" s="2">
        <f>IFERROR(__xludf.DUMMYFUNCTION("IFERROR(ABS(R3816-AVERAGE(FILTER(R3816:R7884,AA3816:AA7884=""Neighbor""))) / STDEV(FILTER(R3816:R7884, AA3816:AA7884 =""Neighbor"")), """")"),0.32352987264186)</f>
        <v>0.3235298726</v>
      </c>
    </row>
    <row r="3817">
      <c r="A3817" s="2" t="s">
        <v>28</v>
      </c>
      <c r="B3817" s="2" t="s">
        <v>7915</v>
      </c>
      <c r="C3817" s="2" t="s">
        <v>7937</v>
      </c>
      <c r="D3817" s="2" t="s">
        <v>15513</v>
      </c>
      <c r="E3817" s="2" t="s">
        <v>15514</v>
      </c>
      <c r="F3817" s="2">
        <v>131.0</v>
      </c>
      <c r="G3817" s="2">
        <v>222.0</v>
      </c>
      <c r="H3817" s="2" t="b">
        <v>1</v>
      </c>
      <c r="I3817" s="2">
        <v>-1.0</v>
      </c>
      <c r="J3817" s="2" t="b">
        <v>0</v>
      </c>
      <c r="K3817" s="2" t="b">
        <v>0</v>
      </c>
      <c r="L3817" s="2" t="b">
        <v>0</v>
      </c>
      <c r="M3817" s="2" t="b">
        <v>0</v>
      </c>
      <c r="N3817" s="2" t="s">
        <v>33</v>
      </c>
      <c r="O3817" s="2">
        <v>63.0</v>
      </c>
      <c r="P3817" s="2">
        <v>55.0</v>
      </c>
      <c r="Q3817" s="2">
        <v>7.0</v>
      </c>
      <c r="R3817" s="2">
        <v>0.0</v>
      </c>
      <c r="S3817" s="3" t="s">
        <v>15515</v>
      </c>
      <c r="T3817" s="2" t="s">
        <v>15516</v>
      </c>
      <c r="Y3817" s="4" t="str">
        <f>IFERROR(__xludf.DUMMYFUNCTION("""COMPUTED_VALUE"""),"6.7133744")</f>
        <v>6.7133744</v>
      </c>
      <c r="Z3817" s="4" t="str">
        <f>IFERROR(__xludf.DUMMYFUNCTION("""COMPUTED_VALUE"""),"3.4173661")</f>
        <v>3.4173661</v>
      </c>
      <c r="AA3817" s="4" t="str">
        <f t="shared" si="1"/>
        <v>Not Neighbor</v>
      </c>
      <c r="AC3817" s="4">
        <f>IFERROR(__xludf.DUMMYFUNCTION("IFERROR(ABS(O3817-AVERAGE(FILTER(O3817:O7885,AA3817:AA7885=""Neighbor""))) / STDEV(FILTER(O3817:O7885, AA3817:AA7885 =""Neighbor"")), """")"),1.0911235223584597)</f>
        <v>1.091123522</v>
      </c>
      <c r="AF3817" s="2">
        <f>IFERROR(__xludf.DUMMYFUNCTION("IFERROR(ABS(R3817-AVERAGE(FILTER(R3817:R7885,AA3817:AA7885=""Neighbor""))) / STDEV(FILTER(R3817:R7885, AA3817:AA7885 =""Neighbor"")), """")"),0.32526488247626767)</f>
        <v>0.3252648825</v>
      </c>
    </row>
    <row r="3818">
      <c r="A3818" s="2" t="s">
        <v>28</v>
      </c>
      <c r="B3818" s="2" t="s">
        <v>7915</v>
      </c>
      <c r="C3818" s="2" t="s">
        <v>7937</v>
      </c>
      <c r="D3818" s="2" t="s">
        <v>15517</v>
      </c>
      <c r="E3818" s="2" t="s">
        <v>15518</v>
      </c>
      <c r="F3818" s="2">
        <v>134.0</v>
      </c>
      <c r="G3818" s="2">
        <v>212.0</v>
      </c>
      <c r="H3818" s="2" t="b">
        <v>1</v>
      </c>
      <c r="I3818" s="2">
        <v>-1.0</v>
      </c>
      <c r="J3818" s="2" t="b">
        <v>0</v>
      </c>
      <c r="K3818" s="2" t="b">
        <v>0</v>
      </c>
      <c r="L3818" s="2" t="b">
        <v>0</v>
      </c>
      <c r="M3818" s="2" t="b">
        <v>0</v>
      </c>
      <c r="N3818" s="2" t="s">
        <v>33</v>
      </c>
      <c r="O3818" s="2">
        <v>29.0</v>
      </c>
      <c r="P3818" s="2">
        <v>93.0</v>
      </c>
      <c r="Q3818" s="2">
        <v>2.0</v>
      </c>
      <c r="R3818" s="2">
        <v>0.0</v>
      </c>
      <c r="S3818" s="3" t="s">
        <v>15519</v>
      </c>
      <c r="T3818" s="2" t="s">
        <v>15520</v>
      </c>
      <c r="Y3818" s="4" t="str">
        <f>IFERROR(__xludf.DUMMYFUNCTION("""COMPUTED_VALUE"""),"6.7173738")</f>
        <v>6.7173738</v>
      </c>
      <c r="Z3818" s="4" t="str">
        <f>IFERROR(__xludf.DUMMYFUNCTION("""COMPUTED_VALUE"""),"3.3981323")</f>
        <v>3.3981323</v>
      </c>
      <c r="AA3818" s="4" t="str">
        <f t="shared" si="1"/>
        <v>Neighbor</v>
      </c>
      <c r="AC3818" s="4">
        <f>IFERROR(__xludf.DUMMYFUNCTION("IFERROR(ABS(O3818-AVERAGE(FILTER(O3818:O7886,AA3818:AA7886=""Neighbor""))) / STDEV(FILTER(O3818:O7886, AA3818:AA7886 =""Neighbor"")), """")"),0.2333484326779906)</f>
        <v>0.2333484327</v>
      </c>
      <c r="AF3818" s="2">
        <f>IFERROR(__xludf.DUMMYFUNCTION("IFERROR(ABS(R3818-AVERAGE(FILTER(R3818:R7886,AA3818:AA7886=""Neighbor""))) / STDEV(FILTER(R3818:R7886, AA3818:AA7886 =""Neighbor"")), """")"),0.32526488247626767)</f>
        <v>0.3252648825</v>
      </c>
    </row>
    <row r="3819">
      <c r="A3819" s="2" t="s">
        <v>28</v>
      </c>
      <c r="B3819" s="2" t="s">
        <v>7915</v>
      </c>
      <c r="C3819" s="2" t="s">
        <v>7937</v>
      </c>
      <c r="D3819" s="2" t="s">
        <v>15521</v>
      </c>
      <c r="E3819" s="2" t="s">
        <v>15522</v>
      </c>
      <c r="F3819" s="2">
        <v>228.0</v>
      </c>
      <c r="G3819" s="2">
        <v>522.0</v>
      </c>
      <c r="H3819" s="2" t="b">
        <v>1</v>
      </c>
      <c r="I3819" s="2">
        <v>-1.0</v>
      </c>
      <c r="J3819" s="2" t="b">
        <v>0</v>
      </c>
      <c r="K3819" s="2" t="b">
        <v>0</v>
      </c>
      <c r="L3819" s="2" t="b">
        <v>0</v>
      </c>
      <c r="M3819" s="2" t="b">
        <v>0</v>
      </c>
      <c r="N3819" s="2" t="s">
        <v>33</v>
      </c>
      <c r="O3819" s="2">
        <v>33.0</v>
      </c>
      <c r="P3819" s="2">
        <v>130.0</v>
      </c>
      <c r="Q3819" s="2">
        <v>2.0</v>
      </c>
      <c r="R3819" s="2">
        <v>2.0</v>
      </c>
      <c r="S3819" s="3" t="s">
        <v>15523</v>
      </c>
      <c r="T3819" s="2" t="s">
        <v>15524</v>
      </c>
      <c r="Y3819" s="4" t="str">
        <f>IFERROR(__xludf.DUMMYFUNCTION("""COMPUTED_VALUE"""),"6.7258709")</f>
        <v>6.7258709</v>
      </c>
      <c r="Z3819" s="4" t="str">
        <f>IFERROR(__xludf.DUMMYFUNCTION("""COMPUTED_VALUE"""),"3.4003463")</f>
        <v>3.4003463</v>
      </c>
      <c r="AA3819" s="4" t="str">
        <f t="shared" si="1"/>
        <v>Neighbor</v>
      </c>
      <c r="AC3819" s="4">
        <f>IFERROR(__xludf.DUMMYFUNCTION("IFERROR(ABS(O3819-AVERAGE(FILTER(O3819:O7887,AA3819:AA7887=""Neighbor""))) / STDEV(FILTER(O3819:O7887, AA3819:AA7887 =""Neighbor"")), """")"),0.07946399498250194)</f>
        <v>0.07946399498</v>
      </c>
      <c r="AF3819" s="2">
        <f>IFERROR(__xludf.DUMMYFUNCTION("IFERROR(ABS(R3819-AVERAGE(FILTER(R3819:R7887,AA3819:AA7887=""Neighbor""))) / STDEV(FILTER(R3819:R7887, AA3819:AA7887 =""Neighbor"")), """")"),3.8017021141565737)</f>
        <v>3.801702114</v>
      </c>
    </row>
    <row r="3820">
      <c r="A3820" s="2" t="s">
        <v>28</v>
      </c>
      <c r="B3820" s="2" t="s">
        <v>7915</v>
      </c>
      <c r="C3820" s="2" t="s">
        <v>7937</v>
      </c>
      <c r="D3820" s="2" t="s">
        <v>15525</v>
      </c>
      <c r="E3820" s="2" t="s">
        <v>15526</v>
      </c>
      <c r="F3820" s="2">
        <v>182.0</v>
      </c>
      <c r="G3820" s="2">
        <v>298.0</v>
      </c>
      <c r="H3820" s="2" t="b">
        <v>1</v>
      </c>
      <c r="I3820" s="2">
        <v>-1.0</v>
      </c>
      <c r="J3820" s="2" t="b">
        <v>0</v>
      </c>
      <c r="K3820" s="2" t="b">
        <v>0</v>
      </c>
      <c r="L3820" s="2" t="b">
        <v>0</v>
      </c>
      <c r="M3820" s="2" t="b">
        <v>0</v>
      </c>
      <c r="N3820" s="2" t="s">
        <v>33</v>
      </c>
      <c r="O3820" s="2">
        <v>73.0</v>
      </c>
      <c r="P3820" s="2">
        <v>86.0</v>
      </c>
      <c r="Q3820" s="2">
        <v>5.0</v>
      </c>
      <c r="R3820" s="2">
        <v>0.0</v>
      </c>
      <c r="S3820" s="3" t="s">
        <v>15527</v>
      </c>
      <c r="T3820" s="2" t="s">
        <v>15528</v>
      </c>
      <c r="Y3820" s="4" t="str">
        <f>IFERROR(__xludf.DUMMYFUNCTION("""COMPUTED_VALUE"""),"6.7189155")</f>
        <v>6.7189155</v>
      </c>
      <c r="Z3820" s="4" t="str">
        <f>IFERROR(__xludf.DUMMYFUNCTION("""COMPUTED_VALUE"""),"3.4018969")</f>
        <v>3.4018969</v>
      </c>
      <c r="AA3820" s="4" t="str">
        <f t="shared" si="1"/>
        <v>Neighbor</v>
      </c>
      <c r="AC3820" s="4">
        <f>IFERROR(__xludf.DUMMYFUNCTION("IFERROR(ABS(O3820-AVERAGE(FILTER(O3820:O7888,AA3820:AA7888=""Neighbor""))) / STDEV(FILTER(O3820:O7888, AA3820:AA7888 =""Neighbor"")), """")"),1.4633078848648746)</f>
        <v>1.463307885</v>
      </c>
      <c r="AF3820" s="2">
        <f>IFERROR(__xludf.DUMMYFUNCTION("IFERROR(ABS(R3820-AVERAGE(FILTER(R3820:R7888,AA3820:AA7888=""Neighbor""))) / STDEV(FILTER(R3820:R7888, AA3820:AA7888 =""Neighbor"")), """")"),0.311169322564724)</f>
        <v>0.3111693226</v>
      </c>
    </row>
    <row r="3821">
      <c r="A3821" s="2" t="s">
        <v>28</v>
      </c>
      <c r="B3821" s="2" t="s">
        <v>7915</v>
      </c>
      <c r="C3821" s="2" t="s">
        <v>7937</v>
      </c>
      <c r="D3821" s="2" t="s">
        <v>15529</v>
      </c>
      <c r="E3821" s="2" t="s">
        <v>15530</v>
      </c>
      <c r="F3821" s="2">
        <v>303.0</v>
      </c>
      <c r="G3821" s="2">
        <v>518.0</v>
      </c>
      <c r="H3821" s="2" t="b">
        <v>1</v>
      </c>
      <c r="I3821" s="2">
        <v>-1.0</v>
      </c>
      <c r="J3821" s="2" t="b">
        <v>0</v>
      </c>
      <c r="K3821" s="2" t="b">
        <v>0</v>
      </c>
      <c r="L3821" s="2" t="b">
        <v>0</v>
      </c>
      <c r="M3821" s="2" t="b">
        <v>0</v>
      </c>
      <c r="N3821" s="2" t="s">
        <v>33</v>
      </c>
      <c r="O3821" s="2">
        <v>127.0</v>
      </c>
      <c r="P3821" s="2">
        <v>136.0</v>
      </c>
      <c r="Q3821" s="2">
        <v>6.0</v>
      </c>
      <c r="R3821" s="2">
        <v>0.0</v>
      </c>
      <c r="S3821" s="3" t="s">
        <v>15531</v>
      </c>
      <c r="T3821" s="2" t="s">
        <v>15532</v>
      </c>
      <c r="Y3821" s="4" t="str">
        <f>IFERROR(__xludf.DUMMYFUNCTION("""COMPUTED_VALUE"""),"6.7189155")</f>
        <v>6.7189155</v>
      </c>
      <c r="Z3821" s="4" t="str">
        <f>IFERROR(__xludf.DUMMYFUNCTION("""COMPUTED_VALUE"""),"3.4018969")</f>
        <v>3.4018969</v>
      </c>
      <c r="AA3821" s="4" t="str">
        <f t="shared" si="1"/>
        <v>Not Neighbor</v>
      </c>
      <c r="AC3821" s="4">
        <f>IFERROR(__xludf.DUMMYFUNCTION("IFERROR(ABS(O3821-AVERAGE(FILTER(O3821:O7889,AA3821:AA7889=""Neighbor""))) / STDEV(FILTER(O3821:O7889, AA3821:AA7889 =""Neighbor"")), """")"),3.5826839715235668)</f>
        <v>3.582683972</v>
      </c>
      <c r="AF3821" s="2">
        <f>IFERROR(__xludf.DUMMYFUNCTION("IFERROR(ABS(R3821-AVERAGE(FILTER(R3821:R7889,AA3821:AA7889=""Neighbor""))) / STDEV(FILTER(R3821:R7889, AA3821:AA7889 =""Neighbor"")), """")"),0.3128755680777919)</f>
        <v>0.3128755681</v>
      </c>
    </row>
    <row r="3822">
      <c r="A3822" s="2" t="s">
        <v>28</v>
      </c>
      <c r="B3822" s="2" t="s">
        <v>7915</v>
      </c>
      <c r="C3822" s="2" t="s">
        <v>7937</v>
      </c>
      <c r="D3822" s="2" t="s">
        <v>15533</v>
      </c>
      <c r="E3822" s="2" t="s">
        <v>15534</v>
      </c>
      <c r="F3822" s="2">
        <v>49.0</v>
      </c>
      <c r="G3822" s="2">
        <v>71.0</v>
      </c>
      <c r="H3822" s="2" t="b">
        <v>1</v>
      </c>
      <c r="I3822" s="2">
        <v>-1.0</v>
      </c>
      <c r="J3822" s="2" t="b">
        <v>0</v>
      </c>
      <c r="K3822" s="2" t="b">
        <v>0</v>
      </c>
      <c r="L3822" s="2" t="b">
        <v>0</v>
      </c>
      <c r="M3822" s="2" t="b">
        <v>0</v>
      </c>
      <c r="N3822" s="2" t="s">
        <v>33</v>
      </c>
      <c r="O3822" s="2">
        <v>22.0</v>
      </c>
      <c r="P3822" s="2">
        <v>23.0</v>
      </c>
      <c r="Q3822" s="2">
        <v>3.0</v>
      </c>
      <c r="R3822" s="2">
        <v>0.0</v>
      </c>
      <c r="S3822" s="3" t="s">
        <v>15535</v>
      </c>
      <c r="T3822" s="2" t="s">
        <v>15536</v>
      </c>
      <c r="Y3822" s="4" t="str">
        <f>IFERROR(__xludf.DUMMYFUNCTION("""COMPUTED_VALUE"""),"6.948262")</f>
        <v>6.948262</v>
      </c>
      <c r="Z3822" s="4" t="str">
        <f>IFERROR(__xludf.DUMMYFUNCTION("""COMPUTED_VALUE"""),"3.5079264")</f>
        <v>3.5079264</v>
      </c>
      <c r="AA3822" s="4" t="str">
        <f t="shared" si="1"/>
        <v>Neighbor</v>
      </c>
      <c r="AC3822" s="4">
        <f>IFERROR(__xludf.DUMMYFUNCTION("IFERROR(ABS(O3822-AVERAGE(FILTER(O3822:O7890,AA3822:AA7890=""Neighbor""))) / STDEV(FILTER(O3822:O7890, AA3822:AA7890 =""Neighbor"")), """")"),0.4923789329503883)</f>
        <v>0.492378933</v>
      </c>
      <c r="AF3822" s="2">
        <f>IFERROR(__xludf.DUMMYFUNCTION("IFERROR(ABS(R3822-AVERAGE(FILTER(R3822:R7890,AA3822:AA7890=""Neighbor""))) / STDEV(FILTER(R3822:R7890, AA3822:AA7890 =""Neighbor"")), """")"),0.3128755680777919)</f>
        <v>0.3128755681</v>
      </c>
    </row>
    <row r="3823">
      <c r="A3823" s="2" t="s">
        <v>28</v>
      </c>
      <c r="B3823" s="2" t="s">
        <v>7915</v>
      </c>
      <c r="C3823" s="2" t="s">
        <v>7937</v>
      </c>
      <c r="D3823" s="2" t="s">
        <v>15537</v>
      </c>
      <c r="E3823" s="2" t="s">
        <v>15538</v>
      </c>
      <c r="F3823" s="2">
        <v>108.0</v>
      </c>
      <c r="G3823" s="2">
        <v>165.0</v>
      </c>
      <c r="H3823" s="2" t="b">
        <v>1</v>
      </c>
      <c r="I3823" s="2">
        <v>-1.0</v>
      </c>
      <c r="J3823" s="2" t="b">
        <v>0</v>
      </c>
      <c r="K3823" s="2" t="b">
        <v>0</v>
      </c>
      <c r="L3823" s="2" t="b">
        <v>0</v>
      </c>
      <c r="M3823" s="2" t="b">
        <v>0</v>
      </c>
      <c r="N3823" s="2" t="s">
        <v>33</v>
      </c>
      <c r="O3823" s="2">
        <v>25.0</v>
      </c>
      <c r="P3823" s="2">
        <v>77.0</v>
      </c>
      <c r="Q3823" s="2">
        <v>2.0</v>
      </c>
      <c r="R3823" s="2">
        <v>0.0</v>
      </c>
      <c r="S3823" s="3" t="s">
        <v>15539</v>
      </c>
      <c r="T3823" s="2" t="s">
        <v>15540</v>
      </c>
      <c r="Y3823" s="4" t="str">
        <f>IFERROR(__xludf.DUMMYFUNCTION("""COMPUTED_VALUE"""),"6.948262")</f>
        <v>6.948262</v>
      </c>
      <c r="Z3823" s="4" t="str">
        <f>IFERROR(__xludf.DUMMYFUNCTION("""COMPUTED_VALUE"""),"3.5079264")</f>
        <v>3.5079264</v>
      </c>
      <c r="AA3823" s="4" t="str">
        <f t="shared" si="1"/>
        <v>Not Neighbor</v>
      </c>
      <c r="AC3823" s="4">
        <f>IFERROR(__xludf.DUMMYFUNCTION("IFERROR(ABS(O3823-AVERAGE(FILTER(O3823:O7891,AA3823:AA7891=""Neighbor""))) / STDEV(FILTER(O3823:O7891, AA3823:AA7891 =""Neighbor"")), """")"),0.37949861343549657)</f>
        <v>0.3794986134</v>
      </c>
      <c r="AF3823" s="2">
        <f>IFERROR(__xludf.DUMMYFUNCTION("IFERROR(ABS(R3823-AVERAGE(FILTER(R3823:R7891,AA3823:AA7891=""Neighbor""))) / STDEV(FILTER(R3823:R7891, AA3823:AA7891 =""Neighbor"")), """")"),0.3146102220792177)</f>
        <v>0.3146102221</v>
      </c>
    </row>
    <row r="3824">
      <c r="A3824" s="2" t="s">
        <v>28</v>
      </c>
      <c r="B3824" s="2" t="s">
        <v>7915</v>
      </c>
      <c r="C3824" s="2" t="s">
        <v>7937</v>
      </c>
      <c r="D3824" s="2" t="s">
        <v>15541</v>
      </c>
      <c r="E3824" s="2" t="s">
        <v>15542</v>
      </c>
      <c r="F3824" s="2">
        <v>53.0</v>
      </c>
      <c r="G3824" s="2">
        <v>71.0</v>
      </c>
      <c r="H3824" s="2" t="b">
        <v>1</v>
      </c>
      <c r="I3824" s="2">
        <v>-1.0</v>
      </c>
      <c r="J3824" s="2" t="b">
        <v>0</v>
      </c>
      <c r="K3824" s="2" t="b">
        <v>0</v>
      </c>
      <c r="L3824" s="2" t="b">
        <v>0</v>
      </c>
      <c r="M3824" s="2" t="b">
        <v>0</v>
      </c>
      <c r="N3824" s="2" t="s">
        <v>33</v>
      </c>
      <c r="O3824" s="2">
        <v>22.0</v>
      </c>
      <c r="P3824" s="2">
        <v>28.0</v>
      </c>
      <c r="Q3824" s="2">
        <v>2.0</v>
      </c>
      <c r="R3824" s="2">
        <v>0.0</v>
      </c>
      <c r="S3824" s="3" t="s">
        <v>15543</v>
      </c>
      <c r="T3824" s="2" t="s">
        <v>15544</v>
      </c>
      <c r="Y3824" s="4" t="str">
        <f>IFERROR(__xludf.DUMMYFUNCTION("""COMPUTED_VALUE"""),"6.6966956")</f>
        <v>6.6966956</v>
      </c>
      <c r="Z3824" s="4" t="str">
        <f>IFERROR(__xludf.DUMMYFUNCTION("""COMPUTED_VALUE"""),"3.4253559")</f>
        <v>3.4253559</v>
      </c>
      <c r="AA3824" s="4" t="str">
        <f t="shared" si="1"/>
        <v>Not Neighbor</v>
      </c>
      <c r="AC3824" s="4">
        <f>IFERROR(__xludf.DUMMYFUNCTION("IFERROR(ABS(O3824-AVERAGE(FILTER(O3824:O7892,AA3824:AA7892=""Neighbor""))) / STDEV(FILTER(O3824:O7892, AA3824:AA7892 =""Neighbor"")), """")"),0.49547843916318474)</f>
        <v>0.4954784392</v>
      </c>
      <c r="AF3824" s="2">
        <f>IFERROR(__xludf.DUMMYFUNCTION("IFERROR(ABS(R3824-AVERAGE(FILTER(R3824:R7892,AA3824:AA7892=""Neighbor""))) / STDEV(FILTER(R3824:R7892, AA3824:AA7892 =""Neighbor"")), """")"),0.3146102220792177)</f>
        <v>0.3146102221</v>
      </c>
    </row>
    <row r="3825">
      <c r="A3825" s="2" t="s">
        <v>28</v>
      </c>
      <c r="B3825" s="2" t="s">
        <v>7915</v>
      </c>
      <c r="C3825" s="2" t="s">
        <v>7937</v>
      </c>
      <c r="D3825" s="2" t="s">
        <v>15545</v>
      </c>
      <c r="E3825" s="2" t="s">
        <v>15546</v>
      </c>
      <c r="F3825" s="2">
        <v>21.0</v>
      </c>
      <c r="G3825" s="2">
        <v>343.0</v>
      </c>
      <c r="H3825" s="2" t="b">
        <v>1</v>
      </c>
      <c r="I3825" s="2">
        <v>-1.0</v>
      </c>
      <c r="J3825" s="2" t="b">
        <v>0</v>
      </c>
      <c r="K3825" s="2" t="b">
        <v>0</v>
      </c>
      <c r="L3825" s="2" t="b">
        <v>0</v>
      </c>
      <c r="M3825" s="2" t="b">
        <v>0</v>
      </c>
      <c r="N3825" s="2" t="s">
        <v>33</v>
      </c>
      <c r="O3825" s="2">
        <v>109.0</v>
      </c>
      <c r="P3825" s="2">
        <v>59.0</v>
      </c>
      <c r="Q3825" s="2">
        <v>8.0</v>
      </c>
      <c r="R3825" s="2">
        <v>2.0</v>
      </c>
      <c r="S3825" s="3" t="s">
        <v>15547</v>
      </c>
      <c r="T3825" s="2" t="s">
        <v>15548</v>
      </c>
      <c r="Y3825" s="4" t="str">
        <f>IFERROR(__xludf.DUMMYFUNCTION("""COMPUTED_VALUE"""),"6.7701797620833")</f>
        <v>6.7701797620833</v>
      </c>
      <c r="Z3825" s="4" t="str">
        <f>IFERROR(__xludf.DUMMYFUNCTION("""COMPUTED_VALUE"""),"3.4200228918186")</f>
        <v>3.4200228918186</v>
      </c>
      <c r="AA3825" s="4" t="str">
        <f t="shared" si="1"/>
        <v>Neighbor</v>
      </c>
      <c r="AC3825" s="4">
        <f>IFERROR(__xludf.DUMMYFUNCTION("IFERROR(ABS(O3825-AVERAGE(FILTER(O3825:O7893,AA3825:AA7893=""Neighbor""))) / STDEV(FILTER(O3825:O7893, AA3825:AA7893 =""Neighbor"")), """")"),2.8679365069397718)</f>
        <v>2.867936507</v>
      </c>
      <c r="AF3825" s="2">
        <f>IFERROR(__xludf.DUMMYFUNCTION("IFERROR(ABS(R3825-AVERAGE(FILTER(R3825:R7893,AA3825:AA7893=""Neighbor""))) / STDEV(FILTER(R3825:R7893, AA3825:AA7893 =""Neighbor"")), """")"),4.08993288702983)</f>
        <v>4.089932887</v>
      </c>
    </row>
    <row r="3826">
      <c r="A3826" s="2" t="s">
        <v>28</v>
      </c>
      <c r="B3826" s="2" t="s">
        <v>7915</v>
      </c>
      <c r="C3826" s="2" t="s">
        <v>7937</v>
      </c>
      <c r="D3826" s="2" t="s">
        <v>15549</v>
      </c>
      <c r="E3826" s="2" t="s">
        <v>15550</v>
      </c>
      <c r="F3826" s="2">
        <v>95.0</v>
      </c>
      <c r="G3826" s="2">
        <v>184.0</v>
      </c>
      <c r="H3826" s="2" t="b">
        <v>1</v>
      </c>
      <c r="I3826" s="2">
        <v>-1.0</v>
      </c>
      <c r="J3826" s="2" t="b">
        <v>0</v>
      </c>
      <c r="K3826" s="2" t="b">
        <v>0</v>
      </c>
      <c r="L3826" s="2" t="b">
        <v>0</v>
      </c>
      <c r="M3826" s="2" t="b">
        <v>0</v>
      </c>
      <c r="N3826" s="2" t="s">
        <v>33</v>
      </c>
      <c r="O3826" s="2">
        <v>19.0</v>
      </c>
      <c r="P3826" s="2">
        <v>44.0</v>
      </c>
      <c r="Q3826" s="2">
        <v>23.0</v>
      </c>
      <c r="R3826" s="2">
        <v>0.0</v>
      </c>
      <c r="S3826" s="3" t="s">
        <v>15551</v>
      </c>
      <c r="T3826" s="2" t="s">
        <v>15552</v>
      </c>
      <c r="Y3826" s="4" t="str">
        <f>IFERROR(__xludf.DUMMYFUNCTION("""COMPUTED_VALUE"""),"6.7701797620833")</f>
        <v>6.7701797620833</v>
      </c>
      <c r="Z3826" s="4" t="str">
        <f>IFERROR(__xludf.DUMMYFUNCTION("""COMPUTED_VALUE"""),"3.4200228918186")</f>
        <v>3.4200228918186</v>
      </c>
      <c r="AA3826" s="4" t="str">
        <f t="shared" si="1"/>
        <v>Not Neighbor</v>
      </c>
      <c r="AC3826" s="4">
        <f>IFERROR(__xludf.DUMMYFUNCTION("IFERROR(ABS(O3826-AVERAGE(FILTER(O3826:O7894,AA3826:AA7894=""Neighbor""))) / STDEV(FILTER(O3826:O7894, AA3826:AA7894 =""Neighbor"")), """")"),0.605396980925628)</f>
        <v>0.6053969809</v>
      </c>
      <c r="AF3826" s="2">
        <f>IFERROR(__xludf.DUMMYFUNCTION("IFERROR(ABS(R3826-AVERAGE(FILTER(R3826:R7894,AA3826:AA7894=""Neighbor""))) / STDEV(FILTER(R3826:R7894, AA3826:AA7894 =""Neighbor"")), """")"),0.2982632457138725)</f>
        <v>0.2982632457</v>
      </c>
    </row>
    <row r="3827">
      <c r="A3827" s="2" t="s">
        <v>28</v>
      </c>
      <c r="B3827" s="2" t="s">
        <v>7915</v>
      </c>
      <c r="C3827" s="2" t="s">
        <v>8002</v>
      </c>
      <c r="D3827" s="2" t="s">
        <v>15553</v>
      </c>
      <c r="E3827" s="2" t="s">
        <v>15554</v>
      </c>
      <c r="F3827" s="2">
        <v>106.0</v>
      </c>
      <c r="G3827" s="2">
        <v>750.0</v>
      </c>
      <c r="H3827" s="2" t="b">
        <v>1</v>
      </c>
      <c r="I3827" s="2">
        <v>-1.0</v>
      </c>
      <c r="J3827" s="2" t="b">
        <v>0</v>
      </c>
      <c r="K3827" s="2" t="b">
        <v>1</v>
      </c>
      <c r="L3827" s="2" t="b">
        <v>0</v>
      </c>
      <c r="M3827" s="2" t="b">
        <v>0</v>
      </c>
      <c r="N3827" s="2" t="s">
        <v>33</v>
      </c>
      <c r="O3827" s="2">
        <v>49.0</v>
      </c>
      <c r="P3827" s="2">
        <v>16.0</v>
      </c>
      <c r="Q3827" s="2">
        <v>33.0</v>
      </c>
      <c r="R3827" s="2">
        <v>0.0</v>
      </c>
      <c r="S3827" s="3" t="s">
        <v>15555</v>
      </c>
      <c r="T3827" s="2" t="s">
        <v>15556</v>
      </c>
      <c r="Y3827" s="4" t="str">
        <f>IFERROR(__xludf.DUMMYFUNCTION("""COMPUTED_VALUE"""),"6.948262")</f>
        <v>6.948262</v>
      </c>
      <c r="Z3827" s="4" t="str">
        <f>IFERROR(__xludf.DUMMYFUNCTION("""COMPUTED_VALUE"""),"3.5079264")</f>
        <v>3.5079264</v>
      </c>
      <c r="AA3827" s="4" t="str">
        <f t="shared" si="1"/>
        <v>Neighbor</v>
      </c>
      <c r="AC3827" s="4">
        <f>IFERROR(__xludf.DUMMYFUNCTION("IFERROR(ABS(O3827-AVERAGE(FILTER(O3827:O7895,AA3827:AA7895=""Neighbor""))) / STDEV(FILTER(O3827:O7895, AA3827:AA7895 =""Neighbor"")), """")"),0.6012504262617535)</f>
        <v>0.6012504263</v>
      </c>
      <c r="AF3827" s="2">
        <f>IFERROR(__xludf.DUMMYFUNCTION("IFERROR(ABS(R3827-AVERAGE(FILTER(R3827:R7895,AA3827:AA7895=""Neighbor""))) / STDEV(FILTER(R3827:R7895, AA3827:AA7895 =""Neighbor"")), """")"),0.2982632457138725)</f>
        <v>0.2982632457</v>
      </c>
    </row>
    <row r="3828">
      <c r="A3828" s="2" t="s">
        <v>28</v>
      </c>
      <c r="B3828" s="2" t="s">
        <v>7915</v>
      </c>
      <c r="C3828" s="2" t="s">
        <v>8002</v>
      </c>
      <c r="D3828" s="2" t="s">
        <v>15557</v>
      </c>
      <c r="E3828" s="2" t="s">
        <v>15558</v>
      </c>
      <c r="F3828" s="2">
        <v>60.0</v>
      </c>
      <c r="G3828" s="2">
        <v>137.0</v>
      </c>
      <c r="H3828" s="2" t="b">
        <v>1</v>
      </c>
      <c r="I3828" s="2">
        <v>-1.0</v>
      </c>
      <c r="J3828" s="2" t="b">
        <v>1</v>
      </c>
      <c r="K3828" s="2" t="b">
        <v>0</v>
      </c>
      <c r="L3828" s="2" t="b">
        <v>0</v>
      </c>
      <c r="M3828" s="2" t="b">
        <v>0</v>
      </c>
      <c r="N3828" s="2" t="s">
        <v>33</v>
      </c>
      <c r="O3828" s="2">
        <v>34.0</v>
      </c>
      <c r="P3828" s="2">
        <v>6.0</v>
      </c>
      <c r="Q3828" s="2">
        <v>11.0</v>
      </c>
      <c r="R3828" s="2">
        <v>0.0</v>
      </c>
      <c r="S3828" s="3" t="s">
        <v>15559</v>
      </c>
      <c r="T3828" s="2" t="s">
        <v>15560</v>
      </c>
      <c r="Y3828" s="4" t="str">
        <f>IFERROR(__xludf.DUMMYFUNCTION("""COMPUTED_VALUE"""),"6.948262")</f>
        <v>6.948262</v>
      </c>
      <c r="Z3828" s="4" t="str">
        <f>IFERROR(__xludf.DUMMYFUNCTION("""COMPUTED_VALUE"""),"3.5079264")</f>
        <v>3.5079264</v>
      </c>
      <c r="AA3828" s="4" t="str">
        <f t="shared" si="1"/>
        <v>Neighbor</v>
      </c>
      <c r="AC3828" s="4">
        <f>IFERROR(__xludf.DUMMYFUNCTION("IFERROR(ABS(O3828-AVERAGE(FILTER(O3828:O7896,AA3828:AA7896=""Neighbor""))) / STDEV(FILTER(O3828:O7896, AA3828:AA7896 =""Neighbor"")), """")"),0.004175821016300562)</f>
        <v>0.004175821016</v>
      </c>
      <c r="AF3828" s="2">
        <f>IFERROR(__xludf.DUMMYFUNCTION("IFERROR(ABS(R3828-AVERAGE(FILTER(R3828:R7896,AA3828:AA7896=""Neighbor""))) / STDEV(FILTER(R3828:R7896, AA3828:AA7896 =""Neighbor"")), """")"),0.299936862042866)</f>
        <v>0.299936862</v>
      </c>
    </row>
    <row r="3829">
      <c r="A3829" s="2" t="s">
        <v>28</v>
      </c>
      <c r="B3829" s="2" t="s">
        <v>7915</v>
      </c>
      <c r="C3829" s="2" t="s">
        <v>8002</v>
      </c>
      <c r="D3829" s="2" t="s">
        <v>15561</v>
      </c>
      <c r="E3829" s="2" t="s">
        <v>15562</v>
      </c>
      <c r="F3829" s="2">
        <v>139.0</v>
      </c>
      <c r="G3829" s="2">
        <v>750.0</v>
      </c>
      <c r="H3829" s="2" t="b">
        <v>1</v>
      </c>
      <c r="I3829" s="2">
        <v>-1.0</v>
      </c>
      <c r="J3829" s="2" t="b">
        <v>1</v>
      </c>
      <c r="K3829" s="2" t="b">
        <v>0</v>
      </c>
      <c r="L3829" s="2" t="b">
        <v>0</v>
      </c>
      <c r="M3829" s="2" t="b">
        <v>0</v>
      </c>
      <c r="N3829" s="2" t="s">
        <v>33</v>
      </c>
      <c r="O3829" s="2">
        <v>63.0</v>
      </c>
      <c r="P3829" s="2">
        <v>39.0</v>
      </c>
      <c r="Q3829" s="2">
        <v>19.0</v>
      </c>
      <c r="R3829" s="2">
        <v>0.0</v>
      </c>
      <c r="S3829" s="3" t="s">
        <v>15563</v>
      </c>
      <c r="T3829" s="2" t="s">
        <v>15564</v>
      </c>
      <c r="Y3829" s="4" t="str">
        <f>IFERROR(__xludf.DUMMYFUNCTION("""COMPUTED_VALUE"""),"6.948262")</f>
        <v>6.948262</v>
      </c>
      <c r="Z3829" s="4" t="str">
        <f>IFERROR(__xludf.DUMMYFUNCTION("""COMPUTED_VALUE"""),"3.5079264")</f>
        <v>3.5079264</v>
      </c>
      <c r="AA3829" s="4" t="str">
        <f t="shared" si="1"/>
        <v>Neighbor</v>
      </c>
      <c r="AC3829" s="4">
        <f>IFERROR(__xludf.DUMMYFUNCTION("IFERROR(ABS(O3829-AVERAGE(FILTER(O3829:O7897,AA3829:AA7897=""Neighbor""))) / STDEV(FILTER(O3829:O7897, AA3829:AA7897 =""Neighbor"")), """")"),1.1606113237169577)</f>
        <v>1.160611324</v>
      </c>
      <c r="AF3829" s="2">
        <f>IFERROR(__xludf.DUMMYFUNCTION("IFERROR(ABS(R3829-AVERAGE(FILTER(R3829:R7897,AA3829:AA7897=""Neighbor""))) / STDEV(FILTER(R3829:R7897, AA3829:AA7897 =""Neighbor"")), """")"),0.30163899930946636)</f>
        <v>0.3016389993</v>
      </c>
    </row>
    <row r="3830">
      <c r="A3830" s="2" t="s">
        <v>28</v>
      </c>
      <c r="B3830" s="2" t="s">
        <v>7915</v>
      </c>
      <c r="C3830" s="2" t="s">
        <v>8002</v>
      </c>
      <c r="D3830" s="2" t="s">
        <v>15565</v>
      </c>
      <c r="E3830" s="2" t="s">
        <v>15566</v>
      </c>
      <c r="F3830" s="2">
        <v>48.0</v>
      </c>
      <c r="G3830" s="2">
        <v>707.0</v>
      </c>
      <c r="H3830" s="2" t="b">
        <v>1</v>
      </c>
      <c r="I3830" s="2">
        <v>-1.0</v>
      </c>
      <c r="J3830" s="2" t="b">
        <v>0</v>
      </c>
      <c r="K3830" s="2" t="b">
        <v>0</v>
      </c>
      <c r="L3830" s="2" t="b">
        <v>0</v>
      </c>
      <c r="M3830" s="2" t="b">
        <v>0</v>
      </c>
      <c r="N3830" s="2" t="s">
        <v>33</v>
      </c>
      <c r="O3830" s="2">
        <v>19.0</v>
      </c>
      <c r="P3830" s="2">
        <v>8.0</v>
      </c>
      <c r="Q3830" s="2">
        <v>12.0</v>
      </c>
      <c r="R3830" s="2">
        <v>0.0</v>
      </c>
      <c r="S3830" s="3" t="s">
        <v>15567</v>
      </c>
      <c r="T3830" s="2" t="s">
        <v>15568</v>
      </c>
      <c r="Y3830" s="4" t="str">
        <f>IFERROR(__xludf.DUMMYFUNCTION("""COMPUTED_VALUE"""),"6.948262")</f>
        <v>6.948262</v>
      </c>
      <c r="Z3830" s="4" t="str">
        <f>IFERROR(__xludf.DUMMYFUNCTION("""COMPUTED_VALUE"""),"3.5079264")</f>
        <v>3.5079264</v>
      </c>
      <c r="AA3830" s="4" t="str">
        <f t="shared" si="1"/>
        <v>Neighbor</v>
      </c>
      <c r="AC3830" s="4">
        <f>IFERROR(__xludf.DUMMYFUNCTION("IFERROR(ABS(O3830-AVERAGE(FILTER(O3830:O7898,AA3830:AA7898=""Neighbor""))) / STDEV(FILTER(O3830:O7898, AA3830:AA7898 =""Neighbor"")), """")"),0.5827338371296095)</f>
        <v>0.5827338371</v>
      </c>
      <c r="AF3830" s="2">
        <f>IFERROR(__xludf.DUMMYFUNCTION("IFERROR(ABS(R3830-AVERAGE(FILTER(R3830:R7898,AA3830:AA7898=""Neighbor""))) / STDEV(FILTER(R3830:R7898, AA3830:AA7898 =""Neighbor"")), """")"),0.30337047764993497)</f>
        <v>0.3033704776</v>
      </c>
    </row>
    <row r="3831">
      <c r="A3831" s="2" t="s">
        <v>28</v>
      </c>
      <c r="B3831" s="2" t="s">
        <v>7915</v>
      </c>
      <c r="C3831" s="2" t="s">
        <v>8002</v>
      </c>
      <c r="D3831" s="2" t="s">
        <v>15569</v>
      </c>
      <c r="E3831" s="2" t="s">
        <v>15570</v>
      </c>
      <c r="F3831" s="2">
        <v>102.0</v>
      </c>
      <c r="G3831" s="2">
        <v>750.0</v>
      </c>
      <c r="H3831" s="2" t="b">
        <v>1</v>
      </c>
      <c r="I3831" s="2">
        <v>-1.0</v>
      </c>
      <c r="J3831" s="2" t="b">
        <v>1</v>
      </c>
      <c r="K3831" s="2" t="b">
        <v>1</v>
      </c>
      <c r="L3831" s="2" t="b">
        <v>0</v>
      </c>
      <c r="M3831" s="2" t="b">
        <v>0</v>
      </c>
      <c r="N3831" s="2" t="s">
        <v>33</v>
      </c>
      <c r="O3831" s="2">
        <v>60.0</v>
      </c>
      <c r="P3831" s="2">
        <v>7.0</v>
      </c>
      <c r="Q3831" s="2">
        <v>19.0</v>
      </c>
      <c r="R3831" s="2">
        <v>1.0</v>
      </c>
      <c r="S3831" s="3" t="s">
        <v>15571</v>
      </c>
      <c r="T3831" s="2" t="s">
        <v>15572</v>
      </c>
      <c r="Y3831" s="4" t="str">
        <f>IFERROR(__xludf.DUMMYFUNCTION("""COMPUTED_VALUE"""),"6.948262")</f>
        <v>6.948262</v>
      </c>
      <c r="Z3831" s="4" t="str">
        <f>IFERROR(__xludf.DUMMYFUNCTION("""COMPUTED_VALUE"""),"3.5079264")</f>
        <v>3.5079264</v>
      </c>
      <c r="AA3831" s="4" t="str">
        <f t="shared" si="1"/>
        <v>Neighbor</v>
      </c>
      <c r="AC3831" s="4">
        <f>IFERROR(__xludf.DUMMYFUNCTION("IFERROR(ABS(O3831-AVERAGE(FILTER(O3831:O7899,AA3831:AA7899=""Neighbor""))) / STDEV(FILTER(O3831:O7899, AA3831:AA7899 =""Neighbor"")), """")"),1.0453908200674893)</f>
        <v>1.04539082</v>
      </c>
      <c r="AF3831" s="2">
        <f>IFERROR(__xludf.DUMMYFUNCTION("IFERROR(ABS(R3831-AVERAGE(FILTER(R3831:R7899,AA3831:AA7899=""Neighbor""))) / STDEV(FILTER(R3831:R7899, AA3831:AA7899 =""Neighbor"")), """")"),2.0596420167571963)</f>
        <v>2.059642017</v>
      </c>
    </row>
    <row r="3832">
      <c r="A3832" s="2" t="s">
        <v>28</v>
      </c>
      <c r="B3832" s="2" t="s">
        <v>7915</v>
      </c>
      <c r="C3832" s="2" t="s">
        <v>8002</v>
      </c>
      <c r="D3832" s="2" t="s">
        <v>15573</v>
      </c>
      <c r="E3832" s="2" t="s">
        <v>15574</v>
      </c>
      <c r="F3832" s="2">
        <v>108.0</v>
      </c>
      <c r="G3832" s="2">
        <v>750.0</v>
      </c>
      <c r="H3832" s="2" t="b">
        <v>1</v>
      </c>
      <c r="I3832" s="2">
        <v>-1.0</v>
      </c>
      <c r="J3832" s="2" t="b">
        <v>0</v>
      </c>
      <c r="K3832" s="2" t="b">
        <v>0</v>
      </c>
      <c r="L3832" s="2" t="b">
        <v>0</v>
      </c>
      <c r="M3832" s="2" t="b">
        <v>0</v>
      </c>
      <c r="N3832" s="2" t="s">
        <v>33</v>
      </c>
      <c r="O3832" s="2">
        <v>60.0</v>
      </c>
      <c r="P3832" s="2">
        <v>32.0</v>
      </c>
      <c r="Q3832" s="2">
        <v>10.0</v>
      </c>
      <c r="R3832" s="2">
        <v>1.0</v>
      </c>
      <c r="S3832" s="3" t="s">
        <v>15575</v>
      </c>
      <c r="T3832" s="2" t="s">
        <v>15576</v>
      </c>
      <c r="Y3832" s="4" t="str">
        <f>IFERROR(__xludf.DUMMYFUNCTION("""COMPUTED_VALUE"""),"6.948262")</f>
        <v>6.948262</v>
      </c>
      <c r="Z3832" s="4" t="str">
        <f>IFERROR(__xludf.DUMMYFUNCTION("""COMPUTED_VALUE"""),"3.5079264")</f>
        <v>3.5079264</v>
      </c>
      <c r="AA3832" s="4" t="str">
        <f t="shared" si="1"/>
        <v>Not Neighbor</v>
      </c>
      <c r="AC3832" s="4">
        <f>IFERROR(__xludf.DUMMYFUNCTION("IFERROR(ABS(O3832-AVERAGE(FILTER(O3832:O7900,AA3832:AA7900=""Neighbor""))) / STDEV(FILTER(O3832:O7900, AA3832:AA7900 =""Neighbor"")), """")"),1.0573623328874449)</f>
        <v>1.057362333</v>
      </c>
      <c r="AF3832" s="2">
        <f>IFERROR(__xludf.DUMMYFUNCTION("IFERROR(ABS(R3832-AVERAGE(FILTER(R3832:R7900,AA3832:AA7900=""Neighbor""))) / STDEV(FILTER(R3832:R7900, AA3832:AA7900 =""Neighbor"")), """")"),2.120697067405875)</f>
        <v>2.120697067</v>
      </c>
    </row>
    <row r="3833">
      <c r="A3833" s="2" t="s">
        <v>28</v>
      </c>
      <c r="B3833" s="2" t="s">
        <v>7915</v>
      </c>
      <c r="C3833" s="2" t="s">
        <v>8002</v>
      </c>
      <c r="D3833" s="2" t="s">
        <v>15577</v>
      </c>
      <c r="E3833" s="2" t="s">
        <v>15578</v>
      </c>
      <c r="F3833" s="2">
        <v>4.0</v>
      </c>
      <c r="G3833" s="2">
        <v>32.0</v>
      </c>
      <c r="H3833" s="2" t="b">
        <v>1</v>
      </c>
      <c r="I3833" s="2">
        <v>-1.0</v>
      </c>
      <c r="J3833" s="2" t="b">
        <v>0</v>
      </c>
      <c r="K3833" s="2" t="b">
        <v>0</v>
      </c>
      <c r="L3833" s="2" t="b">
        <v>0</v>
      </c>
      <c r="M3833" s="2" t="b">
        <v>0</v>
      </c>
      <c r="N3833" s="2" t="s">
        <v>33</v>
      </c>
      <c r="O3833" s="2">
        <v>2.0</v>
      </c>
      <c r="P3833" s="2">
        <v>1.0</v>
      </c>
      <c r="Q3833" s="2">
        <v>1.0</v>
      </c>
      <c r="R3833" s="2">
        <v>0.0</v>
      </c>
      <c r="S3833" s="3" t="s">
        <v>15579</v>
      </c>
      <c r="T3833" s="2" t="s">
        <v>15580</v>
      </c>
      <c r="Y3833" s="4" t="str">
        <f>IFERROR(__xludf.DUMMYFUNCTION("""COMPUTED_VALUE"""),"6.9989158")</f>
        <v>6.9989158</v>
      </c>
      <c r="Z3833" s="4" t="str">
        <f>IFERROR(__xludf.DUMMYFUNCTION("""COMPUTED_VALUE"""),"3.4790299")</f>
        <v>3.4790299</v>
      </c>
      <c r="AA3833" s="4" t="str">
        <f t="shared" si="1"/>
        <v>Not Neighbor</v>
      </c>
      <c r="AC3833" s="4">
        <f>IFERROR(__xludf.DUMMYFUNCTION("IFERROR(ABS(O3833-AVERAGE(FILTER(O3833:O7901,AA3833:AA7901=""Neighbor""))) / STDEV(FILTER(O3833:O7901, AA3833:AA7901 =""Neighbor"")), """")"),1.253073952242533)</f>
        <v>1.253073952</v>
      </c>
      <c r="AF3833" s="2">
        <f>IFERROR(__xludf.DUMMYFUNCTION("IFERROR(ABS(R3833-AVERAGE(FILTER(R3833:R7901,AA3833:AA7901=""Neighbor""))) / STDEV(FILTER(R3833:R7901, AA3833:AA7901 =""Neighbor"")), """")"),0.28799589804277315)</f>
        <v>0.287995898</v>
      </c>
    </row>
    <row r="3834">
      <c r="A3834" s="2" t="s">
        <v>28</v>
      </c>
      <c r="B3834" s="2" t="s">
        <v>7915</v>
      </c>
      <c r="C3834" s="2" t="s">
        <v>8002</v>
      </c>
      <c r="D3834" s="2" t="s">
        <v>15581</v>
      </c>
      <c r="E3834" s="2" t="s">
        <v>15582</v>
      </c>
      <c r="F3834" s="2">
        <v>43.0</v>
      </c>
      <c r="G3834" s="2">
        <v>129.0</v>
      </c>
      <c r="H3834" s="2" t="b">
        <v>1</v>
      </c>
      <c r="I3834" s="2">
        <v>-1.0</v>
      </c>
      <c r="J3834" s="2" t="b">
        <v>0</v>
      </c>
      <c r="K3834" s="2" t="b">
        <v>0</v>
      </c>
      <c r="L3834" s="2" t="b">
        <v>0</v>
      </c>
      <c r="M3834" s="2" t="b">
        <v>0</v>
      </c>
      <c r="N3834" s="2" t="s">
        <v>33</v>
      </c>
      <c r="O3834" s="2">
        <v>22.0</v>
      </c>
      <c r="P3834" s="2">
        <v>9.0</v>
      </c>
      <c r="Q3834" s="2">
        <v>9.0</v>
      </c>
      <c r="R3834" s="2">
        <v>0.0</v>
      </c>
      <c r="S3834" s="3" t="s">
        <v>15583</v>
      </c>
      <c r="T3834" s="2" t="s">
        <v>15584</v>
      </c>
      <c r="Y3834" s="4" t="str">
        <f>IFERROR(__xludf.DUMMYFUNCTION("""COMPUTED_VALUE"""),"6.9362672")</f>
        <v>6.9362672</v>
      </c>
      <c r="Z3834" s="4" t="str">
        <f>IFERROR(__xludf.DUMMYFUNCTION("""COMPUTED_VALUE"""),"3.499082")</f>
        <v>3.499082</v>
      </c>
      <c r="AA3834" s="4" t="str">
        <f t="shared" si="1"/>
        <v>Not Neighbor</v>
      </c>
      <c r="AC3834" s="4">
        <f>IFERROR(__xludf.DUMMYFUNCTION("IFERROR(ABS(O3834-AVERAGE(FILTER(O3834:O7902,AA3834:AA7902=""Neighbor""))) / STDEV(FILTER(O3834:O7902, AA3834:AA7902 =""Neighbor"")), """")"),0.4563717849563338)</f>
        <v>0.456371785</v>
      </c>
      <c r="AF3834" s="2">
        <f>IFERROR(__xludf.DUMMYFUNCTION("IFERROR(ABS(R3834-AVERAGE(FILTER(R3834:R7902,AA3834:AA7902=""Neighbor""))) / STDEV(FILTER(R3834:R7902, AA3834:AA7902 =""Neighbor"")), """")"),0.28799589804277315)</f>
        <v>0.287995898</v>
      </c>
    </row>
    <row r="3835">
      <c r="A3835" s="2" t="s">
        <v>28</v>
      </c>
      <c r="B3835" s="2" t="s">
        <v>7915</v>
      </c>
      <c r="C3835" s="2" t="s">
        <v>8002</v>
      </c>
      <c r="D3835" s="2" t="s">
        <v>15585</v>
      </c>
      <c r="E3835" s="2" t="s">
        <v>15586</v>
      </c>
      <c r="F3835" s="2">
        <v>17.0</v>
      </c>
      <c r="G3835" s="2">
        <v>82.0</v>
      </c>
      <c r="H3835" s="2" t="b">
        <v>1</v>
      </c>
      <c r="I3835" s="2">
        <v>-1.0</v>
      </c>
      <c r="J3835" s="2" t="b">
        <v>0</v>
      </c>
      <c r="K3835" s="2" t="b">
        <v>0</v>
      </c>
      <c r="L3835" s="2" t="b">
        <v>0</v>
      </c>
      <c r="M3835" s="2" t="b">
        <v>0</v>
      </c>
      <c r="N3835" s="2" t="s">
        <v>33</v>
      </c>
      <c r="O3835" s="2">
        <v>6.0</v>
      </c>
      <c r="P3835" s="2">
        <v>7.0</v>
      </c>
      <c r="Q3835" s="2">
        <v>3.0</v>
      </c>
      <c r="R3835" s="2">
        <v>0.0</v>
      </c>
      <c r="S3835" s="3" t="s">
        <v>15587</v>
      </c>
      <c r="T3835" s="2" t="s">
        <v>15588</v>
      </c>
      <c r="Y3835" s="4" t="str">
        <f>IFERROR(__xludf.DUMMYFUNCTION("""COMPUTED_VALUE"""),"6.948262")</f>
        <v>6.948262</v>
      </c>
      <c r="Z3835" s="4" t="str">
        <f>IFERROR(__xludf.DUMMYFUNCTION("""COMPUTED_VALUE"""),"3.5079264")</f>
        <v>3.5079264</v>
      </c>
      <c r="AA3835" s="4" t="str">
        <f t="shared" si="1"/>
        <v>Neighbor</v>
      </c>
      <c r="AC3835" s="4">
        <f>IFERROR(__xludf.DUMMYFUNCTION("IFERROR(ABS(O3835-AVERAGE(FILTER(O3835:O7903,AA3835:AA7903=""Neighbor""))) / STDEV(FILTER(O3835:O7903, AA3835:AA7903 =""Neighbor"")), """")"),1.0937335187852932)</f>
        <v>1.093733519</v>
      </c>
      <c r="AF3835" s="2">
        <f>IFERROR(__xludf.DUMMYFUNCTION("IFERROR(ABS(R3835-AVERAGE(FILTER(R3835:R7903,AA3835:AA7903=""Neighbor""))) / STDEV(FILTER(R3835:R7903, AA3835:AA7903 =""Neighbor"")), """")"),0.28799589804277315)</f>
        <v>0.287995898</v>
      </c>
    </row>
    <row r="3836">
      <c r="A3836" s="2" t="s">
        <v>28</v>
      </c>
      <c r="B3836" s="2" t="s">
        <v>7915</v>
      </c>
      <c r="C3836" s="2" t="s">
        <v>8002</v>
      </c>
      <c r="D3836" s="2" t="s">
        <v>15589</v>
      </c>
      <c r="E3836" s="2" t="s">
        <v>15590</v>
      </c>
      <c r="F3836" s="2">
        <v>38.0</v>
      </c>
      <c r="G3836" s="2">
        <v>64.0</v>
      </c>
      <c r="H3836" s="2" t="b">
        <v>1</v>
      </c>
      <c r="I3836" s="2">
        <v>-1.0</v>
      </c>
      <c r="J3836" s="2" t="b">
        <v>0</v>
      </c>
      <c r="K3836" s="2" t="b">
        <v>0</v>
      </c>
      <c r="L3836" s="2" t="b">
        <v>0</v>
      </c>
      <c r="M3836" s="2" t="b">
        <v>0</v>
      </c>
      <c r="N3836" s="2" t="s">
        <v>33</v>
      </c>
      <c r="O3836" s="2">
        <v>15.0</v>
      </c>
      <c r="P3836" s="2">
        <v>15.0</v>
      </c>
      <c r="Q3836" s="2">
        <v>1.0</v>
      </c>
      <c r="R3836" s="2">
        <v>0.0</v>
      </c>
      <c r="S3836" s="3" t="s">
        <v>15591</v>
      </c>
      <c r="T3836" s="2" t="s">
        <v>15592</v>
      </c>
      <c r="Y3836" s="4" t="str">
        <f>IFERROR(__xludf.DUMMYFUNCTION("""COMPUTED_VALUE"""),"6.948262")</f>
        <v>6.948262</v>
      </c>
      <c r="Z3836" s="4" t="str">
        <f>IFERROR(__xludf.DUMMYFUNCTION("""COMPUTED_VALUE"""),"3.5079264")</f>
        <v>3.5079264</v>
      </c>
      <c r="AA3836" s="4" t="str">
        <f t="shared" si="1"/>
        <v>Neighbor</v>
      </c>
      <c r="AC3836" s="4">
        <f>IFERROR(__xludf.DUMMYFUNCTION("IFERROR(ABS(O3836-AVERAGE(FILTER(O3836:O7904,AA3836:AA7904=""Neighbor""))) / STDEV(FILTER(O3836:O7904, AA3836:AA7904 =""Neighbor"")), """")"),0.7481073926161048)</f>
        <v>0.7481073926</v>
      </c>
      <c r="AF3836" s="2">
        <f>IFERROR(__xludf.DUMMYFUNCTION("IFERROR(ABS(R3836-AVERAGE(FILTER(R3836:R7904,AA3836:AA7904=""Neighbor""))) / STDEV(FILTER(R3836:R7904, AA3836:AA7904 =""Neighbor"")), """")"),0.28968998478778346)</f>
        <v>0.2896899848</v>
      </c>
    </row>
    <row r="3837">
      <c r="A3837" s="2" t="s">
        <v>28</v>
      </c>
      <c r="B3837" s="2" t="s">
        <v>7915</v>
      </c>
      <c r="C3837" s="2" t="s">
        <v>8002</v>
      </c>
      <c r="D3837" s="2" t="s">
        <v>15593</v>
      </c>
      <c r="E3837" s="2" t="s">
        <v>15594</v>
      </c>
      <c r="F3837" s="2">
        <v>17.0</v>
      </c>
      <c r="G3837" s="2">
        <v>70.0</v>
      </c>
      <c r="H3837" s="2" t="b">
        <v>1</v>
      </c>
      <c r="I3837" s="2">
        <v>-1.0</v>
      </c>
      <c r="J3837" s="2" t="b">
        <v>1</v>
      </c>
      <c r="K3837" s="2" t="b">
        <v>0</v>
      </c>
      <c r="L3837" s="2" t="b">
        <v>0</v>
      </c>
      <c r="M3837" s="2" t="b">
        <v>0</v>
      </c>
      <c r="N3837" s="2" t="s">
        <v>33</v>
      </c>
      <c r="O3837" s="2">
        <v>9.0</v>
      </c>
      <c r="P3837" s="2">
        <v>5.0</v>
      </c>
      <c r="Q3837" s="2">
        <v>1.0</v>
      </c>
      <c r="R3837" s="2">
        <v>1.0</v>
      </c>
      <c r="S3837" s="3" t="s">
        <v>15595</v>
      </c>
      <c r="T3837" s="2" t="s">
        <v>15596</v>
      </c>
      <c r="Y3837" s="4" t="str">
        <f>IFERROR(__xludf.DUMMYFUNCTION("""COMPUTED_VALUE"""),"6.948262")</f>
        <v>6.948262</v>
      </c>
      <c r="Z3837" s="4" t="str">
        <f>IFERROR(__xludf.DUMMYFUNCTION("""COMPUTED_VALUE"""),"3.5079264")</f>
        <v>3.5079264</v>
      </c>
      <c r="AA3837" s="4" t="str">
        <f t="shared" si="1"/>
        <v>Neighbor</v>
      </c>
      <c r="AC3837" s="4">
        <f>IFERROR(__xludf.DUMMYFUNCTION("IFERROR(ABS(O3837-AVERAGE(FILTER(O3837:O7905,AA3837:AA7905=""Neighbor""))) / STDEV(FILTER(O3837:O7905, AA3837:AA7905 =""Neighbor"")), """")"),0.9932893351839488)</f>
        <v>0.9932893352</v>
      </c>
      <c r="AF3837" s="2">
        <f>IFERROR(__xludf.DUMMYFUNCTION("IFERROR(ABS(R3837-AVERAGE(FILTER(R3837:R7905,AA3837:AA7905=""Neighbor""))) / STDEV(FILTER(R3837:R7905, AA3837:AA7905 =""Neighbor"")), """")"),2.0928848939309916)</f>
        <v>2.092884894</v>
      </c>
    </row>
    <row r="3838">
      <c r="A3838" s="2" t="s">
        <v>28</v>
      </c>
      <c r="B3838" s="2" t="s">
        <v>7915</v>
      </c>
      <c r="C3838" s="2" t="s">
        <v>8002</v>
      </c>
      <c r="D3838" s="2" t="s">
        <v>15597</v>
      </c>
      <c r="E3838" s="2" t="s">
        <v>15598</v>
      </c>
      <c r="F3838" s="2">
        <v>44.0</v>
      </c>
      <c r="G3838" s="2">
        <v>80.0</v>
      </c>
      <c r="H3838" s="2" t="b">
        <v>1</v>
      </c>
      <c r="I3838" s="2">
        <v>-1.0</v>
      </c>
      <c r="J3838" s="2" t="b">
        <v>0</v>
      </c>
      <c r="K3838" s="2" t="b">
        <v>0</v>
      </c>
      <c r="L3838" s="2" t="b">
        <v>0</v>
      </c>
      <c r="M3838" s="2" t="b">
        <v>0</v>
      </c>
      <c r="N3838" s="2" t="s">
        <v>33</v>
      </c>
      <c r="O3838" s="2">
        <v>29.0</v>
      </c>
      <c r="P3838" s="2">
        <v>5.0</v>
      </c>
      <c r="Q3838" s="2">
        <v>3.0</v>
      </c>
      <c r="R3838" s="2">
        <v>0.0</v>
      </c>
      <c r="S3838" s="3" t="s">
        <v>15599</v>
      </c>
      <c r="T3838" s="2" t="s">
        <v>15600</v>
      </c>
      <c r="Y3838" s="4" t="str">
        <f>IFERROR(__xludf.DUMMYFUNCTION("""COMPUTED_VALUE"""),"6.948262")</f>
        <v>6.948262</v>
      </c>
      <c r="Z3838" s="4" t="str">
        <f>IFERROR(__xludf.DUMMYFUNCTION("""COMPUTED_VALUE"""),"3.5079264")</f>
        <v>3.5079264</v>
      </c>
      <c r="AA3838" s="4" t="str">
        <f t="shared" si="1"/>
        <v>Neighbor</v>
      </c>
      <c r="AC3838" s="4">
        <f>IFERROR(__xludf.DUMMYFUNCTION("IFERROR(ABS(O3838-AVERAGE(FILTER(O3838:O7906,AA3838:AA7906=""Neighbor""))) / STDEV(FILTER(O3838:O7906, AA3838:AA7906 =""Neighbor"")), """")"),0.2087547812539872)</f>
        <v>0.2087547813</v>
      </c>
      <c r="AF3838" s="2">
        <f>IFERROR(__xludf.DUMMYFUNCTION("IFERROR(ABS(R3838-AVERAGE(FILTER(R3838:R7906,AA3838:AA7906=""Neighbor""))) / STDEV(FILTER(R3838:R7906, AA3838:AA7906 =""Neighbor"")), """")"),0.2732765336019708)</f>
        <v>0.2732765336</v>
      </c>
    </row>
    <row r="3839">
      <c r="A3839" s="2" t="s">
        <v>28</v>
      </c>
      <c r="B3839" s="2" t="s">
        <v>7915</v>
      </c>
      <c r="C3839" s="2" t="s">
        <v>8002</v>
      </c>
      <c r="D3839" s="2" t="s">
        <v>15601</v>
      </c>
      <c r="E3839" s="2" t="s">
        <v>15602</v>
      </c>
      <c r="F3839" s="2">
        <v>18.0</v>
      </c>
      <c r="G3839" s="2">
        <v>81.0</v>
      </c>
      <c r="H3839" s="2" t="b">
        <v>1</v>
      </c>
      <c r="I3839" s="2">
        <v>-1.0</v>
      </c>
      <c r="J3839" s="2" t="b">
        <v>0</v>
      </c>
      <c r="K3839" s="2" t="b">
        <v>0</v>
      </c>
      <c r="L3839" s="2" t="b">
        <v>0</v>
      </c>
      <c r="M3839" s="2" t="b">
        <v>0</v>
      </c>
      <c r="N3839" s="2" t="s">
        <v>33</v>
      </c>
      <c r="O3839" s="2">
        <v>7.0</v>
      </c>
      <c r="P3839" s="2">
        <v>9.0</v>
      </c>
      <c r="Q3839" s="2">
        <v>0.0</v>
      </c>
      <c r="R3839" s="2">
        <v>0.0</v>
      </c>
      <c r="S3839" s="3" t="s">
        <v>15603</v>
      </c>
      <c r="T3839" s="2" t="s">
        <v>15604</v>
      </c>
      <c r="Y3839" s="4" t="str">
        <f>IFERROR(__xludf.DUMMYFUNCTION("""COMPUTED_VALUE"""),"6.948262")</f>
        <v>6.948262</v>
      </c>
      <c r="Z3839" s="4" t="str">
        <f>IFERROR(__xludf.DUMMYFUNCTION("""COMPUTED_VALUE"""),"3.5079264")</f>
        <v>3.5079264</v>
      </c>
      <c r="AA3839" s="4" t="str">
        <f t="shared" si="1"/>
        <v>Not Neighbor</v>
      </c>
      <c r="AC3839" s="4">
        <f>IFERROR(__xludf.DUMMYFUNCTION("IFERROR(ABS(O3839-AVERAGE(FILTER(O3839:O7907,AA3839:AA7907=""Neighbor""))) / STDEV(FILTER(O3839:O7907, AA3839:AA7907 =""Neighbor"")), """")"),1.0804576009510969)</f>
        <v>1.080457601</v>
      </c>
      <c r="AF3839" s="2">
        <f>IFERROR(__xludf.DUMMYFUNCTION("IFERROR(ABS(R3839-AVERAGE(FILTER(R3839:R7907,AA3839:AA7907=""Neighbor""))) / STDEV(FILTER(R3839:R7907, AA3839:AA7907 =""Neighbor"")), """")"),0.27492511680433074)</f>
        <v>0.2749251168</v>
      </c>
    </row>
    <row r="3840">
      <c r="A3840" s="2" t="s">
        <v>28</v>
      </c>
      <c r="B3840" s="2" t="s">
        <v>7915</v>
      </c>
      <c r="C3840" s="2" t="s">
        <v>8002</v>
      </c>
      <c r="D3840" s="2" t="s">
        <v>15605</v>
      </c>
      <c r="E3840" s="2" t="s">
        <v>15606</v>
      </c>
      <c r="F3840" s="2">
        <v>59.0</v>
      </c>
      <c r="G3840" s="2">
        <v>103.0</v>
      </c>
      <c r="H3840" s="2" t="b">
        <v>1</v>
      </c>
      <c r="I3840" s="2">
        <v>-1.0</v>
      </c>
      <c r="J3840" s="2" t="b">
        <v>0</v>
      </c>
      <c r="K3840" s="2" t="b">
        <v>0</v>
      </c>
      <c r="L3840" s="2" t="b">
        <v>0</v>
      </c>
      <c r="M3840" s="2" t="b">
        <v>0</v>
      </c>
      <c r="N3840" s="2" t="s">
        <v>33</v>
      </c>
      <c r="O3840" s="2">
        <v>32.0</v>
      </c>
      <c r="P3840" s="2">
        <v>10.0</v>
      </c>
      <c r="Q3840" s="2">
        <v>7.0</v>
      </c>
      <c r="R3840" s="2">
        <v>0.0</v>
      </c>
      <c r="S3840" s="3" t="s">
        <v>15607</v>
      </c>
      <c r="T3840" s="2" t="s">
        <v>15608</v>
      </c>
      <c r="Y3840" s="4" t="str">
        <f>IFERROR(__xludf.DUMMYFUNCTION("""COMPUTED_VALUE"""),"6.9156728")</f>
        <v>6.9156728</v>
      </c>
      <c r="Z3840" s="4" t="str">
        <f>IFERROR(__xludf.DUMMYFUNCTION("""COMPUTED_VALUE"""),"3.4757149")</f>
        <v>3.4757149</v>
      </c>
      <c r="AA3840" s="4" t="str">
        <f t="shared" si="1"/>
        <v>Not Neighbor</v>
      </c>
      <c r="AC3840" s="4">
        <f>IFERROR(__xludf.DUMMYFUNCTION("IFERROR(ABS(O3840-AVERAGE(FILTER(O3840:O7908,AA3840:AA7908=""Neighbor""))) / STDEV(FILTER(O3840:O7908, AA3840:AA7908 =""Neighbor"")), """")"),0.09127461214859446)</f>
        <v>0.09127461215</v>
      </c>
      <c r="AF3840" s="2">
        <f>IFERROR(__xludf.DUMMYFUNCTION("IFERROR(ABS(R3840-AVERAGE(FILTER(R3840:R7908,AA3840:AA7908=""Neighbor""))) / STDEV(FILTER(R3840:R7908, AA3840:AA7908 =""Neighbor"")), """")"),0.27492511680433074)</f>
        <v>0.2749251168</v>
      </c>
    </row>
    <row r="3841">
      <c r="A3841" s="2" t="s">
        <v>28</v>
      </c>
      <c r="B3841" s="2" t="s">
        <v>8509</v>
      </c>
      <c r="C3841" s="2" t="s">
        <v>8816</v>
      </c>
      <c r="D3841" s="2" t="s">
        <v>15609</v>
      </c>
      <c r="E3841" s="2" t="s">
        <v>15610</v>
      </c>
      <c r="F3841" s="2">
        <v>55.0</v>
      </c>
      <c r="G3841" s="2">
        <v>121.0</v>
      </c>
      <c r="H3841" s="2" t="b">
        <v>1</v>
      </c>
      <c r="I3841" s="2">
        <v>-1.0</v>
      </c>
      <c r="J3841" s="2" t="b">
        <v>0</v>
      </c>
      <c r="K3841" s="2" t="b">
        <v>0</v>
      </c>
      <c r="L3841" s="2" t="b">
        <v>0</v>
      </c>
      <c r="M3841" s="2" t="b">
        <v>0</v>
      </c>
      <c r="N3841" s="2" t="s">
        <v>33</v>
      </c>
      <c r="O3841" s="2">
        <v>41.0</v>
      </c>
      <c r="P3841" s="2">
        <v>1.0</v>
      </c>
      <c r="Q3841" s="2">
        <v>9.0</v>
      </c>
      <c r="R3841" s="2">
        <v>0.0</v>
      </c>
      <c r="S3841" s="3" t="s">
        <v>15611</v>
      </c>
      <c r="T3841" s="2" t="s">
        <v>15612</v>
      </c>
      <c r="Y3841" s="4" t="str">
        <f>IFERROR(__xludf.DUMMYFUNCTION("""COMPUTED_VALUE"""),"7.2285853")</f>
        <v>7.2285853</v>
      </c>
      <c r="Z3841" s="4" t="str">
        <f>IFERROR(__xludf.DUMMYFUNCTION("""COMPUTED_VALUE"""),"3.4529198")</f>
        <v>3.4529198</v>
      </c>
      <c r="AA3841" s="4" t="str">
        <f t="shared" si="1"/>
        <v>Not Neighbor</v>
      </c>
      <c r="AC3841" s="4">
        <f>IFERROR(__xludf.DUMMYFUNCTION("IFERROR(ABS(O3841-AVERAGE(FILTER(O3841:O7909,AA3841:AA7909=""Neighbor""))) / STDEV(FILTER(O3841:O7909, AA3841:AA7909 =""Neighbor"")), """")"),0.2648312638203064)</f>
        <v>0.2648312638</v>
      </c>
      <c r="AF3841" s="2">
        <f>IFERROR(__xludf.DUMMYFUNCTION("IFERROR(ABS(R3841-AVERAGE(FILTER(R3841:R7909,AA3841:AA7909=""Neighbor""))) / STDEV(FILTER(R3841:R7909, AA3841:AA7909 =""Neighbor"")), """")"),0.27492511680433074)</f>
        <v>0.2749251168</v>
      </c>
    </row>
    <row r="3842">
      <c r="A3842" s="2" t="s">
        <v>28</v>
      </c>
      <c r="B3842" s="2" t="s">
        <v>8509</v>
      </c>
      <c r="C3842" s="2" t="s">
        <v>8640</v>
      </c>
      <c r="D3842" s="2" t="s">
        <v>15613</v>
      </c>
      <c r="E3842" s="2" t="s">
        <v>15614</v>
      </c>
      <c r="F3842" s="2">
        <v>43.0</v>
      </c>
      <c r="G3842" s="2">
        <v>66.0</v>
      </c>
      <c r="H3842" s="2" t="b">
        <v>1</v>
      </c>
      <c r="I3842" s="2">
        <v>-1.0</v>
      </c>
      <c r="J3842" s="2" t="b">
        <v>0</v>
      </c>
      <c r="K3842" s="2" t="b">
        <v>0</v>
      </c>
      <c r="L3842" s="2" t="b">
        <v>0</v>
      </c>
      <c r="M3842" s="2" t="b">
        <v>0</v>
      </c>
      <c r="N3842" s="2" t="s">
        <v>33</v>
      </c>
      <c r="O3842" s="2">
        <v>36.0</v>
      </c>
      <c r="P3842" s="2">
        <v>0.0</v>
      </c>
      <c r="Q3842" s="2">
        <v>0.0</v>
      </c>
      <c r="R3842" s="2">
        <v>0.0</v>
      </c>
      <c r="S3842" s="3" t="s">
        <v>15615</v>
      </c>
      <c r="T3842" s="2" t="s">
        <v>15616</v>
      </c>
      <c r="Y3842" s="4" t="str">
        <f>IFERROR(__xludf.DUMMYFUNCTION("""COMPUTED_VALUE"""),"7.083482")</f>
        <v>7.083482</v>
      </c>
      <c r="Z3842" s="4" t="str">
        <f>IFERROR(__xludf.DUMMYFUNCTION("""COMPUTED_VALUE"""),"3.529597")</f>
        <v>3.529597</v>
      </c>
      <c r="AA3842" s="4" t="str">
        <f t="shared" si="1"/>
        <v>Not Neighbor</v>
      </c>
      <c r="AC3842" s="4">
        <f>IFERROR(__xludf.DUMMYFUNCTION("IFERROR(ABS(O3842-AVERAGE(FILTER(O3842:O7910,AA3842:AA7910=""Neighbor""))) / STDEV(FILTER(O3842:O7910, AA3842:AA7910 =""Neighbor"")), """")"),0.06699466605980592)</f>
        <v>0.06699466606</v>
      </c>
      <c r="AF3842" s="2">
        <f>IFERROR(__xludf.DUMMYFUNCTION("IFERROR(ABS(R3842-AVERAGE(FILTER(R3842:R7910,AA3842:AA7910=""Neighbor""))) / STDEV(FILTER(R3842:R7910, AA3842:AA7910 =""Neighbor"")), """")"),0.27492511680433074)</f>
        <v>0.2749251168</v>
      </c>
    </row>
    <row r="3843">
      <c r="A3843" s="2" t="s">
        <v>28</v>
      </c>
      <c r="B3843" s="2" t="s">
        <v>8509</v>
      </c>
      <c r="C3843" s="2" t="s">
        <v>8677</v>
      </c>
      <c r="D3843" s="2" t="s">
        <v>15617</v>
      </c>
      <c r="E3843" s="2" t="s">
        <v>15618</v>
      </c>
      <c r="F3843" s="2">
        <v>60.0</v>
      </c>
      <c r="G3843" s="2">
        <v>118.0</v>
      </c>
      <c r="H3843" s="2" t="b">
        <v>1</v>
      </c>
      <c r="I3843" s="2">
        <v>-1.0</v>
      </c>
      <c r="J3843" s="2" t="b">
        <v>0</v>
      </c>
      <c r="K3843" s="2" t="b">
        <v>0</v>
      </c>
      <c r="L3843" s="2" t="b">
        <v>0</v>
      </c>
      <c r="M3843" s="2" t="b">
        <v>0</v>
      </c>
      <c r="N3843" s="2" t="s">
        <v>33</v>
      </c>
      <c r="O3843" s="2">
        <v>35.0</v>
      </c>
      <c r="P3843" s="2">
        <v>6.0</v>
      </c>
      <c r="Q3843" s="2">
        <v>8.0</v>
      </c>
      <c r="R3843" s="2">
        <v>0.0</v>
      </c>
      <c r="S3843" s="3" t="s">
        <v>15619</v>
      </c>
      <c r="T3843" s="2" t="s">
        <v>15620</v>
      </c>
      <c r="Y3843" s="4" t="str">
        <f>IFERROR(__xludf.DUMMYFUNCTION("""COMPUTED_VALUE"""),"7.3965096")</f>
        <v>7.3965096</v>
      </c>
      <c r="Z3843" s="4" t="str">
        <f>IFERROR(__xludf.DUMMYFUNCTION("""COMPUTED_VALUE"""),"3.6984606")</f>
        <v>3.6984606</v>
      </c>
      <c r="AA3843" s="4" t="str">
        <f t="shared" si="1"/>
        <v>Not Neighbor</v>
      </c>
      <c r="AC3843" s="4">
        <f>IFERROR(__xludf.DUMMYFUNCTION("IFERROR(ABS(O3843-AVERAGE(FILTER(O3843:O7911,AA3843:AA7911=""Neighbor""))) / STDEV(FILTER(O3843:O7911, AA3843:AA7911 =""Neighbor"")), """")"),0.027427346507705827)</f>
        <v>0.02742734651</v>
      </c>
      <c r="AF3843" s="2">
        <f>IFERROR(__xludf.DUMMYFUNCTION("IFERROR(ABS(R3843-AVERAGE(FILTER(R3843:R7911,AA3843:AA7911=""Neighbor""))) / STDEV(FILTER(R3843:R7911, AA3843:AA7911 =""Neighbor"")), """")"),0.27492511680433074)</f>
        <v>0.2749251168</v>
      </c>
    </row>
    <row r="3844">
      <c r="A3844" s="2" t="s">
        <v>28</v>
      </c>
      <c r="B3844" s="2" t="s">
        <v>8509</v>
      </c>
      <c r="C3844" s="2" t="s">
        <v>8677</v>
      </c>
      <c r="D3844" s="2" t="s">
        <v>15621</v>
      </c>
      <c r="E3844" s="2" t="s">
        <v>15622</v>
      </c>
      <c r="F3844" s="2">
        <v>33.0</v>
      </c>
      <c r="G3844" s="2">
        <v>59.0</v>
      </c>
      <c r="H3844" s="2" t="b">
        <v>1</v>
      </c>
      <c r="I3844" s="2">
        <v>-1.0</v>
      </c>
      <c r="J3844" s="2" t="b">
        <v>0</v>
      </c>
      <c r="K3844" s="2" t="b">
        <v>0</v>
      </c>
      <c r="L3844" s="2" t="b">
        <v>0</v>
      </c>
      <c r="M3844" s="2" t="b">
        <v>0</v>
      </c>
      <c r="N3844" s="2" t="s">
        <v>33</v>
      </c>
      <c r="O3844" s="2">
        <v>22.0</v>
      </c>
      <c r="P3844" s="2">
        <v>1.0</v>
      </c>
      <c r="Q3844" s="2">
        <v>9.0</v>
      </c>
      <c r="R3844" s="2">
        <v>0.0</v>
      </c>
      <c r="S3844" s="3" t="s">
        <v>15623</v>
      </c>
      <c r="T3844" s="2" t="s">
        <v>15624</v>
      </c>
      <c r="Y3844" s="4" t="str">
        <f>IFERROR(__xludf.DUMMYFUNCTION("""COMPUTED_VALUE"""),"7.3751496")</f>
        <v>7.3751496</v>
      </c>
      <c r="Z3844" s="4" t="str">
        <f>IFERROR(__xludf.DUMMYFUNCTION("""COMPUTED_VALUE"""),"3.6303297")</f>
        <v>3.6303297</v>
      </c>
      <c r="AA3844" s="4" t="str">
        <f t="shared" si="1"/>
        <v>Not Neighbor</v>
      </c>
      <c r="AC3844" s="4">
        <f>IFERROR(__xludf.DUMMYFUNCTION("IFERROR(ABS(O3844-AVERAGE(FILTER(O3844:O7912,AA3844:AA7912=""Neighbor""))) / STDEV(FILTER(O3844:O7912, AA3844:AA7912 =""Neighbor"")), """")"),0.48694780766959544)</f>
        <v>0.4869478077</v>
      </c>
      <c r="AF3844" s="2">
        <f>IFERROR(__xludf.DUMMYFUNCTION("IFERROR(ABS(R3844-AVERAGE(FILTER(R3844:R7912,AA3844:AA7912=""Neighbor""))) / STDEV(FILTER(R3844:R7912, AA3844:AA7912 =""Neighbor"")), """")"),0.27492511680433074)</f>
        <v>0.2749251168</v>
      </c>
    </row>
    <row r="3845">
      <c r="A3845" s="2" t="s">
        <v>28</v>
      </c>
      <c r="B3845" s="2" t="s">
        <v>8509</v>
      </c>
      <c r="C3845" s="2" t="s">
        <v>8677</v>
      </c>
      <c r="D3845" s="2" t="s">
        <v>15625</v>
      </c>
      <c r="E3845" s="2" t="s">
        <v>15626</v>
      </c>
      <c r="F3845" s="2">
        <v>166.0</v>
      </c>
      <c r="G3845" s="2">
        <v>750.0</v>
      </c>
      <c r="H3845" s="2" t="b">
        <v>1</v>
      </c>
      <c r="I3845" s="2">
        <v>-1.0</v>
      </c>
      <c r="J3845" s="2" t="b">
        <v>0</v>
      </c>
      <c r="K3845" s="2" t="b">
        <v>1</v>
      </c>
      <c r="L3845" s="2" t="b">
        <v>0</v>
      </c>
      <c r="M3845" s="2" t="b">
        <v>0</v>
      </c>
      <c r="N3845" s="2" t="s">
        <v>33</v>
      </c>
      <c r="O3845" s="2">
        <v>101.0</v>
      </c>
      <c r="P3845" s="2">
        <v>8.0</v>
      </c>
      <c r="Q3845" s="2">
        <v>34.0</v>
      </c>
      <c r="R3845" s="2">
        <v>0.0</v>
      </c>
      <c r="S3845" s="3" t="s">
        <v>15627</v>
      </c>
      <c r="T3845" s="2" t="s">
        <v>15628</v>
      </c>
      <c r="Y3845" s="4" t="str">
        <f>IFERROR(__xludf.DUMMYFUNCTION("""COMPUTED_VALUE"""),"7.1355598")</f>
        <v>7.1355598</v>
      </c>
      <c r="Z3845" s="4" t="str">
        <f>IFERROR(__xludf.DUMMYFUNCTION("""COMPUTED_VALUE"""),"3.4056797")</f>
        <v>3.4056797</v>
      </c>
      <c r="AA3845" s="4" t="str">
        <f t="shared" si="1"/>
        <v>Not Neighbor</v>
      </c>
      <c r="AC3845" s="4">
        <f>IFERROR(__xludf.DUMMYFUNCTION("IFERROR(ABS(O3845-AVERAGE(FILTER(O3845:O7913,AA3845:AA7913=""Neighbor""))) / STDEV(FILTER(O3845:O7913, AA3845:AA7913 =""Neighbor"")), """")"),2.638870436946312)</f>
        <v>2.638870437</v>
      </c>
      <c r="AF3845" s="2">
        <f>IFERROR(__xludf.DUMMYFUNCTION("IFERROR(ABS(R3845-AVERAGE(FILTER(R3845:R7913,AA3845:AA7913=""Neighbor""))) / STDEV(FILTER(R3845:R7913, AA3845:AA7913 =""Neighbor"")), """")"),0.27492511680433074)</f>
        <v>0.2749251168</v>
      </c>
    </row>
    <row r="3846">
      <c r="A3846" s="2" t="s">
        <v>28</v>
      </c>
      <c r="B3846" s="2" t="s">
        <v>8509</v>
      </c>
      <c r="C3846" s="2" t="s">
        <v>8677</v>
      </c>
      <c r="D3846" s="2" t="s">
        <v>15629</v>
      </c>
      <c r="E3846" s="2" t="s">
        <v>15630</v>
      </c>
      <c r="F3846" s="2">
        <v>140.0</v>
      </c>
      <c r="G3846" s="2">
        <v>750.0</v>
      </c>
      <c r="H3846" s="2" t="b">
        <v>1</v>
      </c>
      <c r="I3846" s="2">
        <v>-1.0</v>
      </c>
      <c r="J3846" s="2" t="b">
        <v>0</v>
      </c>
      <c r="K3846" s="2" t="b">
        <v>1</v>
      </c>
      <c r="L3846" s="2" t="b">
        <v>0</v>
      </c>
      <c r="M3846" s="2" t="b">
        <v>0</v>
      </c>
      <c r="N3846" s="2" t="s">
        <v>33</v>
      </c>
      <c r="O3846" s="2">
        <v>0.0</v>
      </c>
      <c r="P3846" s="2">
        <v>0.0</v>
      </c>
      <c r="Q3846" s="2">
        <v>0.0</v>
      </c>
      <c r="R3846" s="2">
        <v>0.0</v>
      </c>
      <c r="S3846" s="3" t="s">
        <v>15631</v>
      </c>
      <c r="T3846" s="2" t="s">
        <v>15632</v>
      </c>
      <c r="Y3846" s="4" t="str">
        <f>IFERROR(__xludf.DUMMYFUNCTION("""COMPUTED_VALUE"""),"7.3692607")</f>
        <v>7.3692607</v>
      </c>
      <c r="Z3846" s="4" t="str">
        <f>IFERROR(__xludf.DUMMYFUNCTION("""COMPUTED_VALUE"""),"3.6652033")</f>
        <v>3.6652033</v>
      </c>
      <c r="AA3846" s="4" t="str">
        <f t="shared" si="1"/>
        <v>Neighbor</v>
      </c>
      <c r="AC3846" s="4">
        <f>IFERROR(__xludf.DUMMYFUNCTION("IFERROR(ABS(O3846-AVERAGE(FILTER(O3846:O7914,AA3846:AA7914=""Neighbor""))) / STDEV(FILTER(O3846:O7914, AA3846:AA7914 =""Neighbor"")), """")"),1.3574288378157975)</f>
        <v>1.357428838</v>
      </c>
      <c r="AF3846" s="2">
        <f>IFERROR(__xludf.DUMMYFUNCTION("IFERROR(ABS(R3846-AVERAGE(FILTER(R3846:R7914,AA3846:AA7914=""Neighbor""))) / STDEV(FILTER(R3846:R7914, AA3846:AA7914 =""Neighbor"")), """")"),0.27492511680433074)</f>
        <v>0.2749251168</v>
      </c>
    </row>
    <row r="3847">
      <c r="A3847" s="2" t="s">
        <v>28</v>
      </c>
      <c r="B3847" s="2" t="s">
        <v>8509</v>
      </c>
      <c r="C3847" s="2" t="s">
        <v>8677</v>
      </c>
      <c r="D3847" s="2" t="s">
        <v>15633</v>
      </c>
      <c r="E3847" s="2" t="s">
        <v>15634</v>
      </c>
      <c r="F3847" s="2">
        <v>24.0</v>
      </c>
      <c r="G3847" s="2">
        <v>72.0</v>
      </c>
      <c r="H3847" s="2" t="b">
        <v>1</v>
      </c>
      <c r="I3847" s="2">
        <v>-1.0</v>
      </c>
      <c r="J3847" s="2" t="b">
        <v>0</v>
      </c>
      <c r="K3847" s="2" t="b">
        <v>0</v>
      </c>
      <c r="L3847" s="2" t="b">
        <v>0</v>
      </c>
      <c r="M3847" s="2" t="b">
        <v>0</v>
      </c>
      <c r="N3847" s="2" t="s">
        <v>33</v>
      </c>
      <c r="O3847" s="2">
        <v>20.0</v>
      </c>
      <c r="P3847" s="2">
        <v>0.0</v>
      </c>
      <c r="Q3847" s="2">
        <v>2.0</v>
      </c>
      <c r="R3847" s="2">
        <v>0.0</v>
      </c>
      <c r="S3847" s="3" t="s">
        <v>15635</v>
      </c>
      <c r="T3847" s="2" t="s">
        <v>15636</v>
      </c>
      <c r="Y3847" s="4" t="str">
        <f>IFERROR(__xludf.DUMMYFUNCTION("""COMPUTED_VALUE"""),"7.3692607")</f>
        <v>7.3692607</v>
      </c>
      <c r="Z3847" s="4" t="str">
        <f>IFERROR(__xludf.DUMMYFUNCTION("""COMPUTED_VALUE"""),"3.6652033")</f>
        <v>3.6652033</v>
      </c>
      <c r="AA3847" s="4" t="str">
        <f t="shared" si="1"/>
        <v>Not Neighbor</v>
      </c>
      <c r="AC3847" s="4">
        <f>IFERROR(__xludf.DUMMYFUNCTION("IFERROR(ABS(O3847-AVERAGE(FILTER(O3847:O7915,AA3847:AA7915=""Neighbor""))) / STDEV(FILTER(O3847:O7915, AA3847:AA7915 =""Neighbor"")), """")"),0.5846285201588061)</f>
        <v>0.5846285202</v>
      </c>
      <c r="AF3847" s="2">
        <f>IFERROR(__xludf.DUMMYFUNCTION("IFERROR(ABS(R3847-AVERAGE(FILTER(R3847:R7915,AA3847:AA7915=""Neighbor""))) / STDEV(FILTER(R3847:R7915, AA3847:AA7915 =""Neighbor"")), """")"),0.2766039275746536)</f>
        <v>0.2766039276</v>
      </c>
    </row>
    <row r="3848">
      <c r="A3848" s="2" t="s">
        <v>28</v>
      </c>
      <c r="B3848" s="2" t="s">
        <v>8509</v>
      </c>
      <c r="C3848" s="2" t="s">
        <v>8775</v>
      </c>
      <c r="D3848" s="2" t="s">
        <v>15637</v>
      </c>
      <c r="E3848" s="2" t="s">
        <v>15638</v>
      </c>
      <c r="F3848" s="2">
        <v>85.0</v>
      </c>
      <c r="G3848" s="2">
        <v>128.0</v>
      </c>
      <c r="H3848" s="2" t="b">
        <v>1</v>
      </c>
      <c r="I3848" s="2">
        <v>-1.0</v>
      </c>
      <c r="J3848" s="2" t="b">
        <v>0</v>
      </c>
      <c r="K3848" s="2" t="b">
        <v>1</v>
      </c>
      <c r="L3848" s="2" t="b">
        <v>0</v>
      </c>
      <c r="M3848" s="2" t="b">
        <v>0</v>
      </c>
      <c r="N3848" s="2" t="s">
        <v>33</v>
      </c>
      <c r="O3848" s="2">
        <v>57.0</v>
      </c>
      <c r="P3848" s="2">
        <v>17.0</v>
      </c>
      <c r="Q3848" s="2">
        <v>7.0</v>
      </c>
      <c r="R3848" s="2">
        <v>0.0</v>
      </c>
      <c r="S3848" s="3" t="s">
        <v>15639</v>
      </c>
      <c r="T3848" s="2" t="s">
        <v>15640</v>
      </c>
      <c r="Y3848" s="4" t="str">
        <f>IFERROR(__xludf.DUMMYFUNCTION("""COMPUTED_VALUE"""),"7.1768669")</f>
        <v>7.1768669</v>
      </c>
      <c r="Z3848" s="4" t="str">
        <f>IFERROR(__xludf.DUMMYFUNCTION("""COMPUTED_VALUE"""),"3.4000774")</f>
        <v>3.4000774</v>
      </c>
      <c r="AA3848" s="4" t="str">
        <f t="shared" si="1"/>
        <v>Neighbor</v>
      </c>
      <c r="AC3848" s="4">
        <f>IFERROR(__xludf.DUMMYFUNCTION("IFERROR(ABS(O3848-AVERAGE(FILTER(O3848:O7916,AA3848:AA7916=""Neighbor""))) / STDEV(FILTER(O3848:O7916, AA3848:AA7916 =""Neighbor"")), """")"),0.8867703902330603)</f>
        <v>0.8867703902</v>
      </c>
      <c r="AF3848" s="2">
        <f>IFERROR(__xludf.DUMMYFUNCTION("IFERROR(ABS(R3848-AVERAGE(FILTER(R3848:R7916,AA3848:AA7916=""Neighbor""))) / STDEV(FILTER(R3848:R7916, AA3848:AA7916 =""Neighbor"")), """")"),0.2766039275746536)</f>
        <v>0.2766039276</v>
      </c>
    </row>
    <row r="3849">
      <c r="A3849" s="2" t="s">
        <v>28</v>
      </c>
      <c r="B3849" s="2" t="s">
        <v>8509</v>
      </c>
      <c r="C3849" s="2" t="s">
        <v>8775</v>
      </c>
      <c r="D3849" s="2" t="s">
        <v>15641</v>
      </c>
      <c r="E3849" s="2" t="s">
        <v>15642</v>
      </c>
      <c r="F3849" s="2">
        <v>211.0</v>
      </c>
      <c r="G3849" s="2">
        <v>364.0</v>
      </c>
      <c r="H3849" s="2" t="b">
        <v>1</v>
      </c>
      <c r="I3849" s="2">
        <v>-1.0</v>
      </c>
      <c r="J3849" s="2" t="b">
        <v>0</v>
      </c>
      <c r="K3849" s="2" t="b">
        <v>0</v>
      </c>
      <c r="L3849" s="2" t="b">
        <v>0</v>
      </c>
      <c r="M3849" s="2" t="b">
        <v>0</v>
      </c>
      <c r="N3849" s="2" t="s">
        <v>33</v>
      </c>
      <c r="O3849" s="2">
        <v>97.0</v>
      </c>
      <c r="P3849" s="2">
        <v>40.0</v>
      </c>
      <c r="Q3849" s="2">
        <v>58.0</v>
      </c>
      <c r="R3849" s="2">
        <v>0.0</v>
      </c>
      <c r="S3849" s="3" t="s">
        <v>15643</v>
      </c>
      <c r="T3849" s="2" t="s">
        <v>15644</v>
      </c>
      <c r="Y3849" s="4" t="str">
        <f>IFERROR(__xludf.DUMMYFUNCTION("""COMPUTED_VALUE"""),"7.1797129")</f>
        <v>7.1797129</v>
      </c>
      <c r="Z3849" s="4" t="str">
        <f>IFERROR(__xludf.DUMMYFUNCTION("""COMPUTED_VALUE"""),"3.4053326")</f>
        <v>3.4053326</v>
      </c>
      <c r="AA3849" s="4" t="str">
        <f t="shared" si="1"/>
        <v>Not Neighbor</v>
      </c>
      <c r="AC3849" s="4">
        <f>IFERROR(__xludf.DUMMYFUNCTION("IFERROR(ABS(O3849-AVERAGE(FILTER(O3849:O7917,AA3849:AA7917=""Neighbor""))) / STDEV(FILTER(O3849:O7917, AA3849:AA7917 =""Neighbor"")), """")"),2.484796010623687)</f>
        <v>2.484796011</v>
      </c>
      <c r="AF3849" s="2">
        <f>IFERROR(__xludf.DUMMYFUNCTION("IFERROR(ABS(R3849-AVERAGE(FILTER(R3849:R7917,AA3849:AA7917=""Neighbor""))) / STDEV(FILTER(R3849:R7917, AA3849:AA7917 =""Neighbor"")), """")"),0.27831390188037497)</f>
        <v>0.2783139019</v>
      </c>
    </row>
    <row r="3850">
      <c r="A3850" s="2" t="s">
        <v>28</v>
      </c>
      <c r="B3850" s="2" t="s">
        <v>8509</v>
      </c>
      <c r="C3850" s="2" t="s">
        <v>8775</v>
      </c>
      <c r="D3850" s="2" t="s">
        <v>15645</v>
      </c>
      <c r="E3850" s="2" t="s">
        <v>15646</v>
      </c>
      <c r="F3850" s="2">
        <v>108.0</v>
      </c>
      <c r="G3850" s="2">
        <v>206.0</v>
      </c>
      <c r="H3850" s="2" t="b">
        <v>1</v>
      </c>
      <c r="I3850" s="2">
        <v>-1.0</v>
      </c>
      <c r="J3850" s="2" t="b">
        <v>0</v>
      </c>
      <c r="K3850" s="2" t="b">
        <v>1</v>
      </c>
      <c r="L3850" s="2" t="b">
        <v>0</v>
      </c>
      <c r="M3850" s="2" t="b">
        <v>0</v>
      </c>
      <c r="N3850" s="2" t="s">
        <v>33</v>
      </c>
      <c r="O3850" s="2">
        <v>63.0</v>
      </c>
      <c r="P3850" s="2">
        <v>34.0</v>
      </c>
      <c r="Q3850" s="2">
        <v>8.0</v>
      </c>
      <c r="R3850" s="2">
        <v>1.0</v>
      </c>
      <c r="S3850" s="3" t="s">
        <v>15647</v>
      </c>
      <c r="T3850" s="2" t="s">
        <v>15648</v>
      </c>
      <c r="Y3850" s="4" t="str">
        <f>IFERROR(__xludf.DUMMYFUNCTION("""COMPUTED_VALUE"""),"7.2201082")</f>
        <v>7.2201082</v>
      </c>
      <c r="Z3850" s="4" t="str">
        <f>IFERROR(__xludf.DUMMYFUNCTION("""COMPUTED_VALUE"""),"3.4296446")</f>
        <v>3.4296446</v>
      </c>
      <c r="AA3850" s="4" t="str">
        <f t="shared" si="1"/>
        <v>Not Neighbor</v>
      </c>
      <c r="AC3850" s="4">
        <f>IFERROR(__xludf.DUMMYFUNCTION("IFERROR(ABS(O3850-AVERAGE(FILTER(O3850:O7918,AA3850:AA7918=""Neighbor""))) / STDEV(FILTER(O3850:O7918, AA3850:AA7918 =""Neighbor"")), """")"),1.1343232345895495)</f>
        <v>1.134323235</v>
      </c>
      <c r="AF3850" s="2">
        <f>IFERROR(__xludf.DUMMYFUNCTION("IFERROR(ABS(R3850-AVERAGE(FILTER(R3850:R7918,AA3850:AA7918=""Neighbor""))) / STDEV(FILTER(R3850:R7918, AA3850:AA7918 =""Neighbor"")), """")"),2.11518565429085)</f>
        <v>2.115185654</v>
      </c>
    </row>
    <row r="3851">
      <c r="A3851" s="2" t="s">
        <v>28</v>
      </c>
      <c r="B3851" s="2" t="s">
        <v>8509</v>
      </c>
      <c r="C3851" s="2" t="s">
        <v>8775</v>
      </c>
      <c r="D3851" s="2" t="s">
        <v>15649</v>
      </c>
      <c r="E3851" s="2" t="s">
        <v>15650</v>
      </c>
      <c r="F3851" s="2">
        <v>207.0</v>
      </c>
      <c r="G3851" s="2">
        <v>346.0</v>
      </c>
      <c r="H3851" s="2" t="b">
        <v>1</v>
      </c>
      <c r="I3851" s="2">
        <v>-1.0</v>
      </c>
      <c r="J3851" s="2" t="b">
        <v>0</v>
      </c>
      <c r="K3851" s="2" t="b">
        <v>0</v>
      </c>
      <c r="L3851" s="2" t="b">
        <v>0</v>
      </c>
      <c r="M3851" s="2" t="b">
        <v>0</v>
      </c>
      <c r="N3851" s="2" t="s">
        <v>33</v>
      </c>
      <c r="O3851" s="2">
        <v>96.0</v>
      </c>
      <c r="P3851" s="2">
        <v>53.0</v>
      </c>
      <c r="Q3851" s="2">
        <v>40.0</v>
      </c>
      <c r="R3851" s="2">
        <v>0.0</v>
      </c>
      <c r="S3851" s="3" t="s">
        <v>15651</v>
      </c>
      <c r="T3851" s="2" t="s">
        <v>15652</v>
      </c>
      <c r="Y3851" s="4" t="str">
        <f>IFERROR(__xludf.DUMMYFUNCTION("""COMPUTED_VALUE"""),"7.1993609")</f>
        <v>7.1993609</v>
      </c>
      <c r="Z3851" s="4" t="str">
        <f>IFERROR(__xludf.DUMMYFUNCTION("""COMPUTED_VALUE"""),"3.3896255")</f>
        <v>3.3896255</v>
      </c>
      <c r="AA3851" s="4" t="str">
        <f t="shared" si="1"/>
        <v>Neighbor</v>
      </c>
      <c r="AC3851" s="4">
        <f>IFERROR(__xludf.DUMMYFUNCTION("IFERROR(ABS(O3851-AVERAGE(FILTER(O3851:O7919,AA3851:AA7919=""Neighbor""))) / STDEV(FILTER(O3851:O7919, AA3851:AA7919 =""Neighbor"")), """")"),2.445076223093271)</f>
        <v>2.445076223</v>
      </c>
      <c r="AF3851" s="2">
        <f>IFERROR(__xludf.DUMMYFUNCTION("IFERROR(ABS(R3851-AVERAGE(FILTER(R3851:R7919,AA3851:AA7919=""Neighbor""))) / STDEV(FILTER(R3851:R7919, AA3851:AA7919 =""Neighbor"")), """")"),0.27831390188037497)</f>
        <v>0.2783139019</v>
      </c>
    </row>
    <row r="3852">
      <c r="A3852" s="2" t="s">
        <v>28</v>
      </c>
      <c r="B3852" s="2" t="s">
        <v>8509</v>
      </c>
      <c r="C3852" s="2" t="s">
        <v>8775</v>
      </c>
      <c r="D3852" s="2" t="s">
        <v>15653</v>
      </c>
      <c r="E3852" s="2" t="s">
        <v>15654</v>
      </c>
      <c r="F3852" s="2">
        <v>242.0</v>
      </c>
      <c r="G3852" s="2">
        <v>517.0</v>
      </c>
      <c r="H3852" s="2" t="b">
        <v>1</v>
      </c>
      <c r="I3852" s="2">
        <v>-1.0</v>
      </c>
      <c r="J3852" s="2" t="b">
        <v>0</v>
      </c>
      <c r="K3852" s="2" t="b">
        <v>0</v>
      </c>
      <c r="L3852" s="2" t="b">
        <v>0</v>
      </c>
      <c r="M3852" s="2" t="b">
        <v>0</v>
      </c>
      <c r="N3852" s="2" t="s">
        <v>33</v>
      </c>
      <c r="O3852" s="2">
        <v>164.0</v>
      </c>
      <c r="P3852" s="2">
        <v>39.0</v>
      </c>
      <c r="Q3852" s="2">
        <v>14.0</v>
      </c>
      <c r="R3852" s="2">
        <v>2.0</v>
      </c>
      <c r="S3852" s="3" t="s">
        <v>15655</v>
      </c>
      <c r="T3852" s="2" t="s">
        <v>15656</v>
      </c>
      <c r="Y3852" s="4" t="str">
        <f>IFERROR(__xludf.DUMMYFUNCTION("""COMPUTED_VALUE"""),"7.2049811")</f>
        <v>7.2049811</v>
      </c>
      <c r="Z3852" s="4" t="str">
        <f>IFERROR(__xludf.DUMMYFUNCTION("""COMPUTED_VALUE"""),"3.3899531")</f>
        <v>3.3899531</v>
      </c>
      <c r="AA3852" s="4" t="str">
        <f t="shared" si="1"/>
        <v>Not Neighbor</v>
      </c>
      <c r="AC3852" s="4">
        <f>IFERROR(__xludf.DUMMYFUNCTION("IFERROR(ABS(O3852-AVERAGE(FILTER(O3852:O7920,AA3852:AA7920=""Neighbor""))) / STDEV(FILTER(O3852:O7920, AA3852:AA7920 =""Neighbor"")), """")"),5.337680789417484)</f>
        <v>5.337680789</v>
      </c>
      <c r="AF3852" s="2">
        <f>IFERROR(__xludf.DUMMYFUNCTION("IFERROR(ABS(R3852-AVERAGE(FILTER(R3852:R7920,AA3852:AA7920=""Neighbor""))) / STDEV(FILTER(R3852:R7920, AA3852:AA7920 =""Neighbor"")), """")"),4.480896268889631)</f>
        <v>4.480896269</v>
      </c>
    </row>
    <row r="3853">
      <c r="A3853" s="2" t="s">
        <v>28</v>
      </c>
      <c r="B3853" s="2" t="s">
        <v>8509</v>
      </c>
      <c r="C3853" s="2" t="s">
        <v>8775</v>
      </c>
      <c r="D3853" s="2" t="s">
        <v>15657</v>
      </c>
      <c r="E3853" s="2" t="s">
        <v>15658</v>
      </c>
      <c r="F3853" s="2">
        <v>236.0</v>
      </c>
      <c r="G3853" s="2">
        <v>386.0</v>
      </c>
      <c r="H3853" s="2" t="b">
        <v>1</v>
      </c>
      <c r="I3853" s="2">
        <v>-1.0</v>
      </c>
      <c r="J3853" s="2" t="b">
        <v>0</v>
      </c>
      <c r="K3853" s="2" t="b">
        <v>0</v>
      </c>
      <c r="L3853" s="2" t="b">
        <v>0</v>
      </c>
      <c r="M3853" s="2" t="b">
        <v>0</v>
      </c>
      <c r="N3853" s="2" t="s">
        <v>33</v>
      </c>
      <c r="O3853" s="2">
        <v>84.0</v>
      </c>
      <c r="P3853" s="2">
        <v>24.0</v>
      </c>
      <c r="Q3853" s="2">
        <v>0.0</v>
      </c>
      <c r="R3853" s="2">
        <v>116.0</v>
      </c>
      <c r="S3853" s="3" t="s">
        <v>15659</v>
      </c>
      <c r="T3853" s="2" t="s">
        <v>15660</v>
      </c>
      <c r="Y3853" s="4" t="str">
        <f>IFERROR(__xludf.DUMMYFUNCTION("""COMPUTED_VALUE"""),"7.2201082")</f>
        <v>7.2201082</v>
      </c>
      <c r="Z3853" s="4" t="str">
        <f>IFERROR(__xludf.DUMMYFUNCTION("""COMPUTED_VALUE"""),"3.4296446")</f>
        <v>3.4296446</v>
      </c>
      <c r="AA3853" s="4" t="str">
        <f t="shared" si="1"/>
        <v>Not Neighbor</v>
      </c>
      <c r="AC3853" s="4">
        <f>IFERROR(__xludf.DUMMYFUNCTION("IFERROR(ABS(O3853-AVERAGE(FILTER(O3853:O7921,AA3853:AA7921=""Neighbor""))) / STDEV(FILTER(O3853:O7921, AA3853:AA7921 =""Neighbor"")), """")"),2.0600729360637824)</f>
        <v>2.060072936</v>
      </c>
      <c r="AF3853" s="2">
        <f>IFERROR(__xludf.DUMMYFUNCTION("IFERROR(ABS(R3853-AVERAGE(FILTER(R3853:R7921,AA3853:AA7921=""Neighbor""))) / STDEV(FILTER(R3853:R7921, AA3853:AA7921 =""Neighbor"")), """")"),275.85517655351794)</f>
        <v>275.8551766</v>
      </c>
    </row>
    <row r="3854">
      <c r="A3854" s="2" t="s">
        <v>28</v>
      </c>
      <c r="B3854" s="2" t="s">
        <v>8509</v>
      </c>
      <c r="C3854" s="2" t="s">
        <v>8775</v>
      </c>
      <c r="D3854" s="2" t="s">
        <v>15661</v>
      </c>
      <c r="E3854" s="2" t="s">
        <v>15662</v>
      </c>
      <c r="F3854" s="2">
        <v>138.0</v>
      </c>
      <c r="G3854" s="2">
        <v>242.0</v>
      </c>
      <c r="H3854" s="2" t="b">
        <v>1</v>
      </c>
      <c r="I3854" s="2">
        <v>-1.0</v>
      </c>
      <c r="J3854" s="2" t="b">
        <v>1</v>
      </c>
      <c r="K3854" s="2" t="b">
        <v>0</v>
      </c>
      <c r="L3854" s="2" t="b">
        <v>0</v>
      </c>
      <c r="M3854" s="2" t="b">
        <v>0</v>
      </c>
      <c r="N3854" s="2" t="s">
        <v>33</v>
      </c>
      <c r="O3854" s="2">
        <v>95.0</v>
      </c>
      <c r="P3854" s="2">
        <v>20.0</v>
      </c>
      <c r="Q3854" s="2">
        <v>16.0</v>
      </c>
      <c r="R3854" s="2">
        <v>0.0</v>
      </c>
      <c r="S3854" s="3" t="s">
        <v>15663</v>
      </c>
      <c r="T3854" s="2" t="s">
        <v>15664</v>
      </c>
      <c r="Y3854" s="4" t="str">
        <f>IFERROR(__xludf.DUMMYFUNCTION("""COMPUTED_VALUE"""),"7.1548692")</f>
        <v>7.1548692</v>
      </c>
      <c r="Z3854" s="4" t="str">
        <f>IFERROR(__xludf.DUMMYFUNCTION("""COMPUTED_VALUE"""),"3.4174959")</f>
        <v>3.4174959</v>
      </c>
      <c r="AA3854" s="4" t="str">
        <f t="shared" si="1"/>
        <v>Not Neighbor</v>
      </c>
      <c r="AC3854" s="4">
        <f>IFERROR(__xludf.DUMMYFUNCTION("IFERROR(ABS(O3854-AVERAGE(FILTER(O3854:O7922,AA3854:AA7922=""Neighbor""))) / STDEV(FILTER(O3854:O7922, AA3854:AA7922 =""Neighbor"")), """")"),2.5107440158999164)</f>
        <v>2.510744016</v>
      </c>
      <c r="AF3854" s="2">
        <f>IFERROR(__xludf.DUMMYFUNCTION("IFERROR(ABS(R3854-AVERAGE(FILTER(R3854:R7922,AA3854:AA7922=""Neighbor""))) / STDEV(FILTER(R3854:R7922, AA3854:AA7922 =""Neighbor"")), """")"),0.28005601680560194)</f>
        <v>0.2800560168</v>
      </c>
    </row>
    <row r="3855">
      <c r="A3855" s="2" t="s">
        <v>28</v>
      </c>
      <c r="B3855" s="2" t="s">
        <v>8509</v>
      </c>
      <c r="C3855" s="2" t="s">
        <v>8775</v>
      </c>
      <c r="D3855" s="2" t="s">
        <v>15665</v>
      </c>
      <c r="E3855" s="2" t="s">
        <v>15666</v>
      </c>
      <c r="F3855" s="2">
        <v>144.0</v>
      </c>
      <c r="G3855" s="2">
        <v>214.0</v>
      </c>
      <c r="H3855" s="2" t="b">
        <v>1</v>
      </c>
      <c r="I3855" s="2">
        <v>-1.0</v>
      </c>
      <c r="J3855" s="2" t="b">
        <v>0</v>
      </c>
      <c r="K3855" s="2" t="b">
        <v>0</v>
      </c>
      <c r="L3855" s="2" t="b">
        <v>0</v>
      </c>
      <c r="M3855" s="2" t="b">
        <v>0</v>
      </c>
      <c r="N3855" s="2" t="s">
        <v>33</v>
      </c>
      <c r="O3855" s="2">
        <v>83.0</v>
      </c>
      <c r="P3855" s="2">
        <v>27.0</v>
      </c>
      <c r="Q3855" s="2">
        <v>11.0</v>
      </c>
      <c r="R3855" s="2">
        <v>0.0</v>
      </c>
      <c r="S3855" s="3" t="s">
        <v>15667</v>
      </c>
      <c r="T3855" s="2" t="s">
        <v>15668</v>
      </c>
      <c r="Y3855" s="4" t="str">
        <f>IFERROR(__xludf.DUMMYFUNCTION("""COMPUTED_VALUE"""),"7.2201082")</f>
        <v>7.2201082</v>
      </c>
      <c r="Z3855" s="4" t="str">
        <f>IFERROR(__xludf.DUMMYFUNCTION("""COMPUTED_VALUE"""),"3.4296446")</f>
        <v>3.4296446</v>
      </c>
      <c r="AA3855" s="4" t="str">
        <f t="shared" si="1"/>
        <v>Not Neighbor</v>
      </c>
      <c r="AC3855" s="4">
        <f>IFERROR(__xludf.DUMMYFUNCTION("IFERROR(ABS(O3855-AVERAGE(FILTER(O3855:O7923,AA3855:AA7923=""Neighbor""))) / STDEV(FILTER(O3855:O7923, AA3855:AA7923 =""Neighbor"")), """")"),2.019102837896861)</f>
        <v>2.019102838</v>
      </c>
      <c r="AF3855" s="2">
        <f>IFERROR(__xludf.DUMMYFUNCTION("IFERROR(ABS(R3855-AVERAGE(FILTER(R3855:R7923,AA3855:AA7923=""Neighbor""))) / STDEV(FILTER(R3855:R7923, AA3855:AA7923 =""Neighbor"")), """")"),0.28005601680560194)</f>
        <v>0.2800560168</v>
      </c>
    </row>
    <row r="3856">
      <c r="A3856" s="2" t="s">
        <v>28</v>
      </c>
      <c r="B3856" s="2" t="s">
        <v>8509</v>
      </c>
      <c r="C3856" s="2" t="s">
        <v>8775</v>
      </c>
      <c r="D3856" s="2" t="s">
        <v>15669</v>
      </c>
      <c r="E3856" s="2" t="s">
        <v>15670</v>
      </c>
      <c r="F3856" s="2">
        <v>97.0</v>
      </c>
      <c r="G3856" s="2">
        <v>170.0</v>
      </c>
      <c r="H3856" s="2" t="b">
        <v>1</v>
      </c>
      <c r="I3856" s="2">
        <v>-1.0</v>
      </c>
      <c r="J3856" s="2" t="b">
        <v>1</v>
      </c>
      <c r="K3856" s="2" t="b">
        <v>0</v>
      </c>
      <c r="L3856" s="2" t="b">
        <v>0</v>
      </c>
      <c r="M3856" s="2" t="b">
        <v>0</v>
      </c>
      <c r="N3856" s="2" t="s">
        <v>33</v>
      </c>
      <c r="O3856" s="2">
        <v>77.0</v>
      </c>
      <c r="P3856" s="2">
        <v>10.0</v>
      </c>
      <c r="Q3856" s="2">
        <v>7.0</v>
      </c>
      <c r="R3856" s="2">
        <v>0.0</v>
      </c>
      <c r="S3856" s="3" t="s">
        <v>15671</v>
      </c>
      <c r="T3856" s="2" t="s">
        <v>15672</v>
      </c>
      <c r="Y3856" s="4" t="str">
        <f>IFERROR(__xludf.DUMMYFUNCTION("""COMPUTED_VALUE"""),"7.1872188")</f>
        <v>7.1872188</v>
      </c>
      <c r="Z3856" s="4" t="str">
        <f>IFERROR(__xludf.DUMMYFUNCTION("""COMPUTED_VALUE"""),"3.5314666")</f>
        <v>3.5314666</v>
      </c>
      <c r="AA3856" s="4" t="str">
        <f t="shared" si="1"/>
        <v>Not Neighbor</v>
      </c>
      <c r="AC3856" s="4">
        <f>IFERROR(__xludf.DUMMYFUNCTION("IFERROR(ABS(O3856-AVERAGE(FILTER(O3856:O7924,AA3856:AA7924=""Neighbor""))) / STDEV(FILTER(O3856:O7924, AA3856:AA7924 =""Neighbor"")), """")"),1.7732822488953335)</f>
        <v>1.773282249</v>
      </c>
      <c r="AF3856" s="2">
        <f>IFERROR(__xludf.DUMMYFUNCTION("IFERROR(ABS(R3856-AVERAGE(FILTER(R3856:R7924,AA3856:AA7924=""Neighbor""))) / STDEV(FILTER(R3856:R7924, AA3856:AA7924 =""Neighbor"")), """")"),0.28005601680560194)</f>
        <v>0.2800560168</v>
      </c>
    </row>
    <row r="3857">
      <c r="A3857" s="2" t="s">
        <v>28</v>
      </c>
      <c r="B3857" s="2" t="s">
        <v>8509</v>
      </c>
      <c r="C3857" s="2" t="s">
        <v>8775</v>
      </c>
      <c r="D3857" s="2" t="s">
        <v>15673</v>
      </c>
      <c r="E3857" s="2" t="s">
        <v>15674</v>
      </c>
      <c r="F3857" s="2">
        <v>67.0</v>
      </c>
      <c r="G3857" s="2">
        <v>142.0</v>
      </c>
      <c r="H3857" s="2" t="b">
        <v>1</v>
      </c>
      <c r="I3857" s="2">
        <v>-1.0</v>
      </c>
      <c r="J3857" s="2" t="b">
        <v>0</v>
      </c>
      <c r="K3857" s="2" t="b">
        <v>0</v>
      </c>
      <c r="L3857" s="2" t="b">
        <v>0</v>
      </c>
      <c r="M3857" s="2" t="b">
        <v>0</v>
      </c>
      <c r="N3857" s="2" t="s">
        <v>33</v>
      </c>
      <c r="O3857" s="2">
        <v>47.0</v>
      </c>
      <c r="P3857" s="2">
        <v>9.0</v>
      </c>
      <c r="Q3857" s="2">
        <v>2.0</v>
      </c>
      <c r="R3857" s="2">
        <v>0.0</v>
      </c>
      <c r="S3857" s="3" t="s">
        <v>15675</v>
      </c>
      <c r="T3857" s="2" t="s">
        <v>15676</v>
      </c>
      <c r="Y3857" s="4" t="str">
        <f>IFERROR(__xludf.DUMMYFUNCTION("""COMPUTED_VALUE"""),"7.2201082")</f>
        <v>7.2201082</v>
      </c>
      <c r="Z3857" s="4" t="str">
        <f>IFERROR(__xludf.DUMMYFUNCTION("""COMPUTED_VALUE"""),"3.4296446")</f>
        <v>3.4296446</v>
      </c>
      <c r="AA3857" s="4" t="str">
        <f t="shared" si="1"/>
        <v>Not Neighbor</v>
      </c>
      <c r="AC3857" s="4">
        <f>IFERROR(__xludf.DUMMYFUNCTION("IFERROR(ABS(O3857-AVERAGE(FILTER(O3857:O7925,AA3857:AA7925=""Neighbor""))) / STDEV(FILTER(O3857:O7925, AA3857:AA7925 =""Neighbor"")), """")"),0.5441793038876954)</f>
        <v>0.5441793039</v>
      </c>
      <c r="AF3857" s="2">
        <f>IFERROR(__xludf.DUMMYFUNCTION("IFERROR(ABS(R3857-AVERAGE(FILTER(R3857:R7925,AA3857:AA7925=""Neighbor""))) / STDEV(FILTER(R3857:R7925, AA3857:AA7925 =""Neighbor"")), """")"),0.28005601680560194)</f>
        <v>0.2800560168</v>
      </c>
    </row>
    <row r="3858">
      <c r="A3858" s="2" t="s">
        <v>28</v>
      </c>
      <c r="B3858" s="2" t="s">
        <v>8509</v>
      </c>
      <c r="C3858" s="2" t="s">
        <v>8775</v>
      </c>
      <c r="D3858" s="2" t="s">
        <v>15677</v>
      </c>
      <c r="E3858" s="2" t="s">
        <v>15678</v>
      </c>
      <c r="F3858" s="2">
        <v>135.0</v>
      </c>
      <c r="G3858" s="2">
        <v>237.0</v>
      </c>
      <c r="H3858" s="2" t="b">
        <v>1</v>
      </c>
      <c r="I3858" s="2">
        <v>-1.0</v>
      </c>
      <c r="J3858" s="2" t="b">
        <v>0</v>
      </c>
      <c r="K3858" s="2" t="b">
        <v>0</v>
      </c>
      <c r="L3858" s="2" t="b">
        <v>0</v>
      </c>
      <c r="M3858" s="2" t="b">
        <v>0</v>
      </c>
      <c r="N3858" s="2" t="s">
        <v>33</v>
      </c>
      <c r="O3858" s="2">
        <v>62.0</v>
      </c>
      <c r="P3858" s="2">
        <v>36.0</v>
      </c>
      <c r="Q3858" s="2">
        <v>28.0</v>
      </c>
      <c r="R3858" s="2">
        <v>0.0</v>
      </c>
      <c r="S3858" s="3" t="s">
        <v>15679</v>
      </c>
      <c r="T3858" s="2" t="s">
        <v>15680</v>
      </c>
      <c r="Y3858" s="4" t="str">
        <f>IFERROR(__xludf.DUMMYFUNCTION("""COMPUTED_VALUE"""),"7.197828")</f>
        <v>7.197828</v>
      </c>
      <c r="Z3858" s="4" t="str">
        <f>IFERROR(__xludf.DUMMYFUNCTION("""COMPUTED_VALUE"""),"3.4290927")</f>
        <v>3.4290927</v>
      </c>
      <c r="AA3858" s="4" t="str">
        <f t="shared" si="1"/>
        <v>Not Neighbor</v>
      </c>
      <c r="AC3858" s="4">
        <f>IFERROR(__xludf.DUMMYFUNCTION("IFERROR(ABS(O3858-AVERAGE(FILTER(O3858:O7926,AA3858:AA7926=""Neighbor""))) / STDEV(FILTER(O3858:O7926, AA3858:AA7926 =""Neighbor"")), """")"),1.1587307763915144)</f>
        <v>1.158730776</v>
      </c>
      <c r="AF3858" s="2">
        <f>IFERROR(__xludf.DUMMYFUNCTION("IFERROR(ABS(R3858-AVERAGE(FILTER(R3858:R7926,AA3858:AA7926=""Neighbor""))) / STDEV(FILTER(R3858:R7926, AA3858:AA7926 =""Neighbor"")), """")"),0.28005601680560194)</f>
        <v>0.2800560168</v>
      </c>
    </row>
    <row r="3859">
      <c r="A3859" s="2" t="s">
        <v>28</v>
      </c>
      <c r="B3859" s="2" t="s">
        <v>8509</v>
      </c>
      <c r="C3859" s="2" t="s">
        <v>8775</v>
      </c>
      <c r="D3859" s="2" t="s">
        <v>15681</v>
      </c>
      <c r="E3859" s="2" t="s">
        <v>15682</v>
      </c>
      <c r="F3859" s="2">
        <v>156.0</v>
      </c>
      <c r="G3859" s="2">
        <v>255.0</v>
      </c>
      <c r="H3859" s="2" t="b">
        <v>1</v>
      </c>
      <c r="I3859" s="2">
        <v>-1.0</v>
      </c>
      <c r="J3859" s="2" t="b">
        <v>0</v>
      </c>
      <c r="K3859" s="2" t="b">
        <v>0</v>
      </c>
      <c r="L3859" s="2" t="b">
        <v>0</v>
      </c>
      <c r="M3859" s="2" t="b">
        <v>0</v>
      </c>
      <c r="N3859" s="2" t="s">
        <v>33</v>
      </c>
      <c r="O3859" s="2">
        <v>83.0</v>
      </c>
      <c r="P3859" s="2">
        <v>24.0</v>
      </c>
      <c r="Q3859" s="2">
        <v>22.0</v>
      </c>
      <c r="R3859" s="2">
        <v>1.0</v>
      </c>
      <c r="S3859" s="3" t="s">
        <v>15683</v>
      </c>
      <c r="T3859" s="2" t="s">
        <v>15684</v>
      </c>
      <c r="Y3859" s="4" t="str">
        <f>IFERROR(__xludf.DUMMYFUNCTION("""COMPUTED_VALUE"""),"7.2201082")</f>
        <v>7.2201082</v>
      </c>
      <c r="Z3859" s="4" t="str">
        <f>IFERROR(__xludf.DUMMYFUNCTION("""COMPUTED_VALUE"""),"3.4296446")</f>
        <v>3.4296446</v>
      </c>
      <c r="AA3859" s="4" t="str">
        <f t="shared" si="1"/>
        <v>Not Neighbor</v>
      </c>
      <c r="AC3859" s="4">
        <f>IFERROR(__xludf.DUMMYFUNCTION("IFERROR(ABS(O3859-AVERAGE(FILTER(O3859:O7927,AA3859:AA7927=""Neighbor""))) / STDEV(FILTER(O3859:O7927, AA3859:AA7927 =""Neighbor"")), """")"),2.019102837896861)</f>
        <v>2.019102838</v>
      </c>
      <c r="AF3859" s="2">
        <f>IFERROR(__xludf.DUMMYFUNCTION("IFERROR(ABS(R3859-AVERAGE(FILTER(R3859:R7927,AA3859:AA7927=""Neighbor""))) / STDEV(FILTER(R3859:R7927, AA3859:AA7927 =""Neighbor"")), """")"),2.100420126042015)</f>
        <v>2.100420126</v>
      </c>
    </row>
    <row r="3860">
      <c r="A3860" s="2" t="s">
        <v>28</v>
      </c>
      <c r="B3860" s="2" t="s">
        <v>8509</v>
      </c>
      <c r="C3860" s="2" t="s">
        <v>8775</v>
      </c>
      <c r="D3860" s="2" t="s">
        <v>15685</v>
      </c>
      <c r="E3860" s="2" t="s">
        <v>15686</v>
      </c>
      <c r="F3860" s="2">
        <v>242.0</v>
      </c>
      <c r="G3860" s="2">
        <v>423.0</v>
      </c>
      <c r="H3860" s="2" t="b">
        <v>1</v>
      </c>
      <c r="I3860" s="2">
        <v>-1.0</v>
      </c>
      <c r="J3860" s="2" t="b">
        <v>0</v>
      </c>
      <c r="K3860" s="2" t="b">
        <v>0</v>
      </c>
      <c r="L3860" s="2" t="b">
        <v>0</v>
      </c>
      <c r="M3860" s="2" t="b">
        <v>0</v>
      </c>
      <c r="N3860" s="2" t="s">
        <v>33</v>
      </c>
      <c r="O3860" s="2">
        <v>53.0</v>
      </c>
      <c r="P3860" s="2">
        <v>28.0</v>
      </c>
      <c r="Q3860" s="2">
        <v>143.0</v>
      </c>
      <c r="R3860" s="2">
        <v>0.0</v>
      </c>
      <c r="S3860" s="3" t="s">
        <v>15687</v>
      </c>
      <c r="T3860" s="2" t="s">
        <v>15688</v>
      </c>
      <c r="Y3860" s="4" t="str">
        <f>IFERROR(__xludf.DUMMYFUNCTION("""COMPUTED_VALUE"""),"7.1792811")</f>
        <v>7.1792811</v>
      </c>
      <c r="Z3860" s="4" t="str">
        <f>IFERROR(__xludf.DUMMYFUNCTION("""COMPUTED_VALUE"""),"3.3963926")</f>
        <v>3.3963926</v>
      </c>
      <c r="AA3860" s="4" t="str">
        <f t="shared" si="1"/>
        <v>Not Neighbor</v>
      </c>
      <c r="AC3860" s="4">
        <f>IFERROR(__xludf.DUMMYFUNCTION("IFERROR(ABS(O3860-AVERAGE(FILTER(O3860:O7928,AA3860:AA7928=""Neighbor""))) / STDEV(FILTER(O3860:O7928, AA3860:AA7928 =""Neighbor"")), """")"),0.789999892889223)</f>
        <v>0.7899998929</v>
      </c>
      <c r="AF3860" s="2">
        <f>IFERROR(__xludf.DUMMYFUNCTION("IFERROR(ABS(R3860-AVERAGE(FILTER(R3860:R7928,AA3860:AA7928=""Neighbor""))) / STDEV(FILTER(R3860:R7928, AA3860:AA7928 =""Neighbor"")), """")"),0.28005601680560194)</f>
        <v>0.2800560168</v>
      </c>
    </row>
    <row r="3861">
      <c r="A3861" s="2" t="s">
        <v>28</v>
      </c>
      <c r="B3861" s="2" t="s">
        <v>8509</v>
      </c>
      <c r="C3861" s="2" t="s">
        <v>8775</v>
      </c>
      <c r="D3861" s="2" t="s">
        <v>15689</v>
      </c>
      <c r="E3861" s="2" t="s">
        <v>15690</v>
      </c>
      <c r="F3861" s="2">
        <v>114.0</v>
      </c>
      <c r="G3861" s="2">
        <v>261.0</v>
      </c>
      <c r="H3861" s="2" t="b">
        <v>1</v>
      </c>
      <c r="I3861" s="2">
        <v>-1.0</v>
      </c>
      <c r="J3861" s="2" t="b">
        <v>1</v>
      </c>
      <c r="K3861" s="2" t="b">
        <v>0</v>
      </c>
      <c r="L3861" s="2" t="b">
        <v>0</v>
      </c>
      <c r="M3861" s="2" t="b">
        <v>0</v>
      </c>
      <c r="N3861" s="2" t="s">
        <v>33</v>
      </c>
      <c r="O3861" s="2">
        <v>26.0</v>
      </c>
      <c r="P3861" s="2">
        <v>54.0</v>
      </c>
      <c r="Q3861" s="2">
        <v>15.0</v>
      </c>
      <c r="R3861" s="2">
        <v>0.0</v>
      </c>
      <c r="S3861" s="3" t="s">
        <v>15691</v>
      </c>
      <c r="T3861" s="2" t="s">
        <v>15692</v>
      </c>
      <c r="Y3861" s="4" t="str">
        <f>IFERROR(__xludf.DUMMYFUNCTION("""COMPUTED_VALUE"""),"7.2201082")</f>
        <v>7.2201082</v>
      </c>
      <c r="Z3861" s="4" t="str">
        <f>IFERROR(__xludf.DUMMYFUNCTION("""COMPUTED_VALUE"""),"3.4296446")</f>
        <v>3.4296446</v>
      </c>
      <c r="AA3861" s="4" t="str">
        <f t="shared" si="1"/>
        <v>Not Neighbor</v>
      </c>
      <c r="AC3861" s="4">
        <f>IFERROR(__xludf.DUMMYFUNCTION("IFERROR(ABS(O3861-AVERAGE(FILTER(O3861:O7929,AA3861:AA7929=""Neighbor""))) / STDEV(FILTER(O3861:O7929, AA3861:AA7929 =""Neighbor"")), """")"),0.31619275761765125)</f>
        <v>0.3161927576</v>
      </c>
      <c r="AF3861" s="2">
        <f>IFERROR(__xludf.DUMMYFUNCTION("IFERROR(ABS(R3861-AVERAGE(FILTER(R3861:R7929,AA3861:AA7929=""Neighbor""))) / STDEV(FILTER(R3861:R7929, AA3861:AA7929 =""Neighbor"")), """")"),0.28005601680560194)</f>
        <v>0.2800560168</v>
      </c>
    </row>
    <row r="3862">
      <c r="A3862" s="2" t="s">
        <v>28</v>
      </c>
      <c r="B3862" s="2" t="s">
        <v>8509</v>
      </c>
      <c r="C3862" s="2" t="s">
        <v>8509</v>
      </c>
      <c r="D3862" s="2" t="s">
        <v>15693</v>
      </c>
      <c r="E3862" s="2" t="s">
        <v>15694</v>
      </c>
      <c r="F3862" s="2">
        <v>79.0</v>
      </c>
      <c r="G3862" s="2">
        <v>163.0</v>
      </c>
      <c r="H3862" s="2" t="b">
        <v>1</v>
      </c>
      <c r="I3862" s="2">
        <v>-1.0</v>
      </c>
      <c r="J3862" s="2" t="b">
        <v>0</v>
      </c>
      <c r="K3862" s="2" t="b">
        <v>0</v>
      </c>
      <c r="L3862" s="2" t="b">
        <v>0</v>
      </c>
      <c r="M3862" s="2" t="b">
        <v>0</v>
      </c>
      <c r="N3862" s="2" t="s">
        <v>33</v>
      </c>
      <c r="O3862" s="2">
        <v>33.0</v>
      </c>
      <c r="P3862" s="2">
        <v>22.0</v>
      </c>
      <c r="Q3862" s="2">
        <v>15.0</v>
      </c>
      <c r="R3862" s="2">
        <v>0.0</v>
      </c>
      <c r="S3862" s="3" t="s">
        <v>15695</v>
      </c>
      <c r="T3862" s="2" t="s">
        <v>15696</v>
      </c>
      <c r="Y3862" s="4" t="str">
        <f>IFERROR(__xludf.DUMMYFUNCTION("""COMPUTED_VALUE"""),"7.2292359")</f>
        <v>7.2292359</v>
      </c>
      <c r="Z3862" s="4" t="str">
        <f>IFERROR(__xludf.DUMMYFUNCTION("""COMPUTED_VALUE"""),"3.642048")</f>
        <v>3.642048</v>
      </c>
      <c r="AA3862" s="4" t="str">
        <f t="shared" si="1"/>
        <v>Not Neighbor</v>
      </c>
      <c r="AC3862" s="4">
        <f>IFERROR(__xludf.DUMMYFUNCTION("IFERROR(ABS(O3862-AVERAGE(FILTER(O3862:O7930,AA3862:AA7930=""Neighbor""))) / STDEV(FILTER(O3862:O7930, AA3862:AA7930 =""Neighbor"")), """")"),0.02940207044920236)</f>
        <v>0.02940207045</v>
      </c>
      <c r="AF3862" s="2">
        <f>IFERROR(__xludf.DUMMYFUNCTION("IFERROR(ABS(R3862-AVERAGE(FILTER(R3862:R7930,AA3862:AA7930=""Neighbor""))) / STDEV(FILTER(R3862:R7930, AA3862:AA7930 =""Neighbor"")), """")"),0.28005601680560194)</f>
        <v>0.2800560168</v>
      </c>
    </row>
    <row r="3863">
      <c r="A3863" s="2" t="s">
        <v>28</v>
      </c>
      <c r="B3863" s="2" t="s">
        <v>8509</v>
      </c>
      <c r="C3863" s="2" t="s">
        <v>8509</v>
      </c>
      <c r="D3863" s="2" t="s">
        <v>15697</v>
      </c>
      <c r="E3863" s="2" t="s">
        <v>15698</v>
      </c>
      <c r="F3863" s="2">
        <v>62.0</v>
      </c>
      <c r="G3863" s="2">
        <v>116.0</v>
      </c>
      <c r="H3863" s="2" t="b">
        <v>1</v>
      </c>
      <c r="I3863" s="2">
        <v>-1.0</v>
      </c>
      <c r="J3863" s="2" t="b">
        <v>0</v>
      </c>
      <c r="K3863" s="2" t="b">
        <v>0</v>
      </c>
      <c r="L3863" s="2" t="b">
        <v>0</v>
      </c>
      <c r="M3863" s="2" t="b">
        <v>0</v>
      </c>
      <c r="N3863" s="2" t="s">
        <v>33</v>
      </c>
      <c r="O3863" s="2">
        <v>35.0</v>
      </c>
      <c r="P3863" s="2">
        <v>3.0</v>
      </c>
      <c r="Q3863" s="2">
        <v>12.0</v>
      </c>
      <c r="R3863" s="2">
        <v>0.0</v>
      </c>
      <c r="S3863" s="3" t="s">
        <v>15699</v>
      </c>
      <c r="T3863" s="2" t="s">
        <v>15700</v>
      </c>
      <c r="Y3863" s="4" t="str">
        <f>IFERROR(__xludf.DUMMYFUNCTION("""COMPUTED_VALUE"""),"7.2328184")</f>
        <v>7.2328184</v>
      </c>
      <c r="Z3863" s="4" t="str">
        <f>IFERROR(__xludf.DUMMYFUNCTION("""COMPUTED_VALUE"""),"3.5281482")</f>
        <v>3.5281482</v>
      </c>
      <c r="AA3863" s="4" t="str">
        <f t="shared" si="1"/>
        <v>Not Neighbor</v>
      </c>
      <c r="AC3863" s="4">
        <f>IFERROR(__xludf.DUMMYFUNCTION("IFERROR(ABS(O3863-AVERAGE(FILTER(O3863:O7931,AA3863:AA7931=""Neighbor""))) / STDEV(FILTER(O3863:O7931, AA3863:AA7931 =""Neighbor"")), """")"),0.05253812588464017)</f>
        <v>0.05253812588</v>
      </c>
      <c r="AF3863" s="2">
        <f>IFERROR(__xludf.DUMMYFUNCTION("IFERROR(ABS(R3863-AVERAGE(FILTER(R3863:R7931,AA3863:AA7931=""Neighbor""))) / STDEV(FILTER(R3863:R7931, AA3863:AA7931 =""Neighbor"")), """")"),0.28005601680560194)</f>
        <v>0.2800560168</v>
      </c>
    </row>
    <row r="3864">
      <c r="A3864" s="2" t="s">
        <v>28</v>
      </c>
      <c r="B3864" s="2" t="s">
        <v>8509</v>
      </c>
      <c r="C3864" s="2" t="s">
        <v>8509</v>
      </c>
      <c r="D3864" s="2" t="s">
        <v>15701</v>
      </c>
      <c r="E3864" s="2" t="s">
        <v>15702</v>
      </c>
      <c r="F3864" s="2">
        <v>46.0</v>
      </c>
      <c r="G3864" s="2">
        <v>90.0</v>
      </c>
      <c r="H3864" s="2" t="b">
        <v>1</v>
      </c>
      <c r="I3864" s="2">
        <v>-1.0</v>
      </c>
      <c r="J3864" s="2" t="b">
        <v>0</v>
      </c>
      <c r="K3864" s="2" t="b">
        <v>0</v>
      </c>
      <c r="L3864" s="2" t="b">
        <v>0</v>
      </c>
      <c r="M3864" s="2" t="b">
        <v>0</v>
      </c>
      <c r="N3864" s="2" t="s">
        <v>33</v>
      </c>
      <c r="O3864" s="2">
        <v>29.0</v>
      </c>
      <c r="P3864" s="2">
        <v>1.0</v>
      </c>
      <c r="Q3864" s="2">
        <v>14.0</v>
      </c>
      <c r="R3864" s="2">
        <v>0.0</v>
      </c>
      <c r="S3864" s="3" t="s">
        <v>15703</v>
      </c>
      <c r="T3864" s="2" t="s">
        <v>15704</v>
      </c>
      <c r="Y3864" s="4" t="str">
        <f>IFERROR(__xludf.DUMMYFUNCTION("""COMPUTED_VALUE"""),"7.2946562")</f>
        <v>7.2946562</v>
      </c>
      <c r="Z3864" s="4" t="str">
        <f>IFERROR(__xludf.DUMMYFUNCTION("""COMPUTED_VALUE"""),"3.5407909")</f>
        <v>3.5407909</v>
      </c>
      <c r="AA3864" s="4" t="str">
        <f t="shared" si="1"/>
        <v>Not Neighbor</v>
      </c>
      <c r="AC3864" s="4">
        <f>IFERROR(__xludf.DUMMYFUNCTION("IFERROR(ABS(O3864-AVERAGE(FILTER(O3864:O7932,AA3864:AA7932=""Neighbor""))) / STDEV(FILTER(O3864:O7932, AA3864:AA7932 =""Neighbor"")), """")"),0.19328246311688743)</f>
        <v>0.1932824631</v>
      </c>
      <c r="AF3864" s="2">
        <f>IFERROR(__xludf.DUMMYFUNCTION("IFERROR(ABS(R3864-AVERAGE(FILTER(R3864:R7932,AA3864:AA7932=""Neighbor""))) / STDEV(FILTER(R3864:R7932, AA3864:AA7932 =""Neighbor"")), """")"),0.28005601680560194)</f>
        <v>0.2800560168</v>
      </c>
    </row>
    <row r="3865">
      <c r="A3865" s="2" t="s">
        <v>28</v>
      </c>
      <c r="B3865" s="2" t="s">
        <v>8509</v>
      </c>
      <c r="C3865" s="2" t="s">
        <v>8509</v>
      </c>
      <c r="D3865" s="2" t="s">
        <v>15705</v>
      </c>
      <c r="E3865" s="2" t="s">
        <v>15706</v>
      </c>
      <c r="F3865" s="2">
        <v>22.0</v>
      </c>
      <c r="G3865" s="2">
        <v>58.0</v>
      </c>
      <c r="H3865" s="2" t="b">
        <v>1</v>
      </c>
      <c r="I3865" s="2">
        <v>-1.0</v>
      </c>
      <c r="J3865" s="2" t="b">
        <v>0</v>
      </c>
      <c r="K3865" s="2" t="b">
        <v>0</v>
      </c>
      <c r="L3865" s="2" t="b">
        <v>0</v>
      </c>
      <c r="M3865" s="2" t="b">
        <v>0</v>
      </c>
      <c r="N3865" s="2" t="s">
        <v>33</v>
      </c>
      <c r="O3865" s="2">
        <v>9.0</v>
      </c>
      <c r="P3865" s="2">
        <v>1.0</v>
      </c>
      <c r="Q3865" s="2">
        <v>9.0</v>
      </c>
      <c r="R3865" s="2">
        <v>0.0</v>
      </c>
      <c r="S3865" s="3" t="s">
        <v>15707</v>
      </c>
      <c r="T3865" s="2" t="s">
        <v>15708</v>
      </c>
      <c r="Y3865" s="4" t="str">
        <f>IFERROR(__xludf.DUMMYFUNCTION("""COMPUTED_VALUE"""),"7.2233864")</f>
        <v>7.2233864</v>
      </c>
      <c r="Z3865" s="4" t="str">
        <f>IFERROR(__xludf.DUMMYFUNCTION("""COMPUTED_VALUE"""),"3.6160814")</f>
        <v>3.6160814</v>
      </c>
      <c r="AA3865" s="4" t="str">
        <f t="shared" si="1"/>
        <v>Not Neighbor</v>
      </c>
      <c r="AC3865" s="4">
        <f>IFERROR(__xludf.DUMMYFUNCTION("IFERROR(ABS(O3865-AVERAGE(FILTER(O3865:O7933,AA3865:AA7933=""Neighbor""))) / STDEV(FILTER(O3865:O7933, AA3865:AA7933 =""Neighbor"")), """")"),1.0126844264553128)</f>
        <v>1.012684426</v>
      </c>
      <c r="AF3865" s="2">
        <f>IFERROR(__xludf.DUMMYFUNCTION("IFERROR(ABS(R3865-AVERAGE(FILTER(R3865:R7933,AA3865:AA7933=""Neighbor""))) / STDEV(FILTER(R3865:R7933, AA3865:AA7933 =""Neighbor"")), """")"),0.28005601680560194)</f>
        <v>0.2800560168</v>
      </c>
    </row>
    <row r="3866">
      <c r="A3866" s="2" t="s">
        <v>28</v>
      </c>
      <c r="B3866" s="2" t="s">
        <v>8509</v>
      </c>
      <c r="C3866" s="2" t="s">
        <v>8509</v>
      </c>
      <c r="D3866" s="2" t="s">
        <v>15709</v>
      </c>
      <c r="E3866" s="2" t="s">
        <v>15710</v>
      </c>
      <c r="F3866" s="2">
        <v>47.0</v>
      </c>
      <c r="G3866" s="2">
        <v>57.0</v>
      </c>
      <c r="H3866" s="2" t="b">
        <v>1</v>
      </c>
      <c r="I3866" s="2">
        <v>-1.0</v>
      </c>
      <c r="J3866" s="2" t="b">
        <v>1</v>
      </c>
      <c r="K3866" s="2" t="b">
        <v>0</v>
      </c>
      <c r="L3866" s="2" t="b">
        <v>0</v>
      </c>
      <c r="M3866" s="2" t="b">
        <v>0</v>
      </c>
      <c r="N3866" s="2" t="s">
        <v>33</v>
      </c>
      <c r="O3866" s="2">
        <v>45.0</v>
      </c>
      <c r="P3866" s="2">
        <v>0.0</v>
      </c>
      <c r="Q3866" s="2">
        <v>2.0</v>
      </c>
      <c r="R3866" s="2">
        <v>0.0</v>
      </c>
      <c r="S3866" s="3" t="s">
        <v>15711</v>
      </c>
      <c r="T3866" s="2" t="s">
        <v>15712</v>
      </c>
      <c r="Y3866" s="4" t="str">
        <f>IFERROR(__xludf.DUMMYFUNCTION("""COMPUTED_VALUE"""),"7.2292359")</f>
        <v>7.2292359</v>
      </c>
      <c r="Z3866" s="4" t="str">
        <f>IFERROR(__xludf.DUMMYFUNCTION("""COMPUTED_VALUE"""),"3.642048")</f>
        <v>3.642048</v>
      </c>
      <c r="AA3866" s="4" t="str">
        <f t="shared" si="1"/>
        <v>Not Neighbor</v>
      </c>
      <c r="AC3866" s="4">
        <f>IFERROR(__xludf.DUMMYFUNCTION("IFERROR(ABS(O3866-AVERAGE(FILTER(O3866:O7934,AA3866:AA7934=""Neighbor""))) / STDEV(FILTER(O3866:O7934, AA3866:AA7934 =""Neighbor"")), """")"),0.46223910755385283)</f>
        <v>0.4622391076</v>
      </c>
      <c r="AF3866" s="2">
        <f>IFERROR(__xludf.DUMMYFUNCTION("IFERROR(ABS(R3866-AVERAGE(FILTER(R3866:R7934,AA3866:AA7934=""Neighbor""))) / STDEV(FILTER(R3866:R7934, AA3866:AA7934 =""Neighbor"")), """")"),0.28005601680560194)</f>
        <v>0.2800560168</v>
      </c>
    </row>
    <row r="3867">
      <c r="A3867" s="2" t="s">
        <v>28</v>
      </c>
      <c r="B3867" s="2" t="s">
        <v>8509</v>
      </c>
      <c r="C3867" s="2" t="s">
        <v>8509</v>
      </c>
      <c r="D3867" s="2" t="s">
        <v>15713</v>
      </c>
      <c r="E3867" s="2" t="s">
        <v>15714</v>
      </c>
      <c r="F3867" s="2">
        <v>100.0</v>
      </c>
      <c r="G3867" s="2">
        <v>182.0</v>
      </c>
      <c r="H3867" s="2" t="b">
        <v>1</v>
      </c>
      <c r="I3867" s="2">
        <v>-1.0</v>
      </c>
      <c r="J3867" s="2" t="b">
        <v>0</v>
      </c>
      <c r="K3867" s="2" t="b">
        <v>0</v>
      </c>
      <c r="L3867" s="2" t="b">
        <v>0</v>
      </c>
      <c r="M3867" s="2" t="b">
        <v>0</v>
      </c>
      <c r="N3867" s="2" t="s">
        <v>33</v>
      </c>
      <c r="O3867" s="2">
        <v>87.0</v>
      </c>
      <c r="P3867" s="2">
        <v>1.0</v>
      </c>
      <c r="Q3867" s="2">
        <v>2.0</v>
      </c>
      <c r="R3867" s="2">
        <v>0.0</v>
      </c>
      <c r="S3867" s="3" t="s">
        <v>15715</v>
      </c>
      <c r="T3867" s="2" t="s">
        <v>15716</v>
      </c>
      <c r="Y3867" s="4" t="str">
        <f>IFERROR(__xludf.DUMMYFUNCTION("""COMPUTED_VALUE"""),"7.2559")</f>
        <v>7.2559</v>
      </c>
      <c r="Z3867" s="4" t="str">
        <f>IFERROR(__xludf.DUMMYFUNCTION("""COMPUTED_VALUE"""),"3.6315964")</f>
        <v>3.6315964</v>
      </c>
      <c r="AA3867" s="4" t="str">
        <f t="shared" si="1"/>
        <v>Not Neighbor</v>
      </c>
      <c r="AC3867" s="4">
        <f>IFERROR(__xludf.DUMMYFUNCTION("IFERROR(ABS(O3867-AVERAGE(FILTER(O3867:O7935,AA3867:AA7935=""Neighbor""))) / STDEV(FILTER(O3867:O7935, AA3867:AA7935 =""Neighbor"")), """")"),2.1829832305645462)</f>
        <v>2.182983231</v>
      </c>
      <c r="AF3867" s="2">
        <f>IFERROR(__xludf.DUMMYFUNCTION("IFERROR(ABS(R3867-AVERAGE(FILTER(R3867:R7935,AA3867:AA7935=""Neighbor""))) / STDEV(FILTER(R3867:R7935, AA3867:AA7935 =""Neighbor"")), """")"),0.28005601680560194)</f>
        <v>0.2800560168</v>
      </c>
    </row>
    <row r="3868">
      <c r="A3868" s="2" t="s">
        <v>28</v>
      </c>
      <c r="B3868" s="2" t="s">
        <v>8509</v>
      </c>
      <c r="C3868" s="2" t="s">
        <v>8509</v>
      </c>
      <c r="D3868" s="2" t="s">
        <v>15717</v>
      </c>
      <c r="E3868" s="2" t="s">
        <v>15718</v>
      </c>
      <c r="F3868" s="2">
        <v>62.0</v>
      </c>
      <c r="G3868" s="2">
        <v>92.0</v>
      </c>
      <c r="H3868" s="2" t="b">
        <v>1</v>
      </c>
      <c r="I3868" s="2">
        <v>-1.0</v>
      </c>
      <c r="J3868" s="2" t="b">
        <v>0</v>
      </c>
      <c r="K3868" s="2" t="b">
        <v>0</v>
      </c>
      <c r="L3868" s="2" t="b">
        <v>0</v>
      </c>
      <c r="M3868" s="2" t="b">
        <v>0</v>
      </c>
      <c r="N3868" s="2" t="s">
        <v>33</v>
      </c>
      <c r="O3868" s="2">
        <v>61.0</v>
      </c>
      <c r="P3868" s="2">
        <v>0.0</v>
      </c>
      <c r="Q3868" s="2">
        <v>0.0</v>
      </c>
      <c r="R3868" s="2">
        <v>0.0</v>
      </c>
      <c r="S3868" s="3" t="s">
        <v>15719</v>
      </c>
      <c r="T3868" s="2" t="s">
        <v>15720</v>
      </c>
      <c r="Y3868" s="4" t="str">
        <f>IFERROR(__xludf.DUMMYFUNCTION("""COMPUTED_VALUE"""),"7.2292359")</f>
        <v>7.2292359</v>
      </c>
      <c r="Z3868" s="4" t="str">
        <f>IFERROR(__xludf.DUMMYFUNCTION("""COMPUTED_VALUE"""),"3.642048")</f>
        <v>3.642048</v>
      </c>
      <c r="AA3868" s="4" t="str">
        <f t="shared" si="1"/>
        <v>Not Neighbor</v>
      </c>
      <c r="AC3868" s="4">
        <f>IFERROR(__xludf.DUMMYFUNCTION("IFERROR(ABS(O3868-AVERAGE(FILTER(O3868:O7936,AA3868:AA7936=""Neighbor""))) / STDEV(FILTER(O3868:O7936, AA3868:AA7936 =""Neighbor"")), """")"),1.1177606782245932)</f>
        <v>1.117760678</v>
      </c>
      <c r="AF3868" s="2">
        <f>IFERROR(__xludf.DUMMYFUNCTION("IFERROR(ABS(R3868-AVERAGE(FILTER(R3868:R7936,AA3868:AA7936=""Neighbor""))) / STDEV(FILTER(R3868:R7936, AA3868:AA7936 =""Neighbor"")), """")"),0.28005601680560194)</f>
        <v>0.2800560168</v>
      </c>
    </row>
    <row r="3869">
      <c r="A3869" s="2" t="s">
        <v>28</v>
      </c>
      <c r="B3869" s="2" t="s">
        <v>8509</v>
      </c>
      <c r="C3869" s="2" t="s">
        <v>8509</v>
      </c>
      <c r="D3869" s="2" t="s">
        <v>15721</v>
      </c>
      <c r="E3869" s="2" t="s">
        <v>15722</v>
      </c>
      <c r="F3869" s="2">
        <v>72.0</v>
      </c>
      <c r="G3869" s="2">
        <v>129.0</v>
      </c>
      <c r="H3869" s="2" t="b">
        <v>1</v>
      </c>
      <c r="I3869" s="2">
        <v>-1.0</v>
      </c>
      <c r="J3869" s="2" t="b">
        <v>1</v>
      </c>
      <c r="K3869" s="2" t="b">
        <v>0</v>
      </c>
      <c r="L3869" s="2" t="b">
        <v>0</v>
      </c>
      <c r="M3869" s="2" t="b">
        <v>0</v>
      </c>
      <c r="N3869" s="2" t="s">
        <v>33</v>
      </c>
      <c r="O3869" s="2">
        <v>37.0</v>
      </c>
      <c r="P3869" s="2">
        <v>17.0</v>
      </c>
      <c r="Q3869" s="2">
        <v>13.0</v>
      </c>
      <c r="R3869" s="2">
        <v>0.0</v>
      </c>
      <c r="S3869" s="3" t="s">
        <v>15723</v>
      </c>
      <c r="T3869" s="2" t="s">
        <v>15724</v>
      </c>
      <c r="Y3869" s="4" t="str">
        <f>IFERROR(__xludf.DUMMYFUNCTION("""COMPUTED_VALUE"""),"7.2328184")</f>
        <v>7.2328184</v>
      </c>
      <c r="Z3869" s="4" t="str">
        <f>IFERROR(__xludf.DUMMYFUNCTION("""COMPUTED_VALUE"""),"3.5281482")</f>
        <v>3.5281482</v>
      </c>
      <c r="AA3869" s="4" t="str">
        <f t="shared" si="1"/>
        <v>Neighbor</v>
      </c>
      <c r="AC3869" s="4">
        <f>IFERROR(__xludf.DUMMYFUNCTION("IFERROR(ABS(O3869-AVERAGE(FILTER(O3869:O7937,AA3869:AA7937=""Neighbor""))) / STDEV(FILTER(O3869:O7937, AA3869:AA7937 =""Neighbor"")), """")"),0.13447832221848272)</f>
        <v>0.1344783222</v>
      </c>
      <c r="AF3869" s="2">
        <f>IFERROR(__xludf.DUMMYFUNCTION("IFERROR(ABS(R3869-AVERAGE(FILTER(R3869:R7937,AA3869:AA7937=""Neighbor""))) / STDEV(FILTER(R3869:R7937, AA3869:AA7937 =""Neighbor"")), """")"),0.28005601680560194)</f>
        <v>0.2800560168</v>
      </c>
    </row>
    <row r="3870">
      <c r="A3870" s="2" t="s">
        <v>28</v>
      </c>
      <c r="B3870" s="2" t="s">
        <v>8509</v>
      </c>
      <c r="C3870" s="2" t="s">
        <v>8509</v>
      </c>
      <c r="D3870" s="2" t="s">
        <v>15725</v>
      </c>
      <c r="E3870" s="2" t="s">
        <v>15726</v>
      </c>
      <c r="F3870" s="2">
        <v>105.0</v>
      </c>
      <c r="G3870" s="2">
        <v>142.0</v>
      </c>
      <c r="H3870" s="2" t="b">
        <v>1</v>
      </c>
      <c r="I3870" s="2">
        <v>-1.0</v>
      </c>
      <c r="J3870" s="2" t="b">
        <v>0</v>
      </c>
      <c r="K3870" s="2" t="b">
        <v>1</v>
      </c>
      <c r="L3870" s="2" t="b">
        <v>0</v>
      </c>
      <c r="M3870" s="2" t="b">
        <v>0</v>
      </c>
      <c r="N3870" s="2" t="s">
        <v>33</v>
      </c>
      <c r="O3870" s="2">
        <v>82.0</v>
      </c>
      <c r="P3870" s="2">
        <v>4.0</v>
      </c>
      <c r="Q3870" s="2">
        <v>12.0</v>
      </c>
      <c r="R3870" s="2">
        <v>0.0</v>
      </c>
      <c r="S3870" s="3" t="s">
        <v>15727</v>
      </c>
      <c r="T3870" s="2" t="s">
        <v>15728</v>
      </c>
      <c r="Y3870" s="4" t="str">
        <f>IFERROR(__xludf.DUMMYFUNCTION("""COMPUTED_VALUE"""),"7.2328184")</f>
        <v>7.2328184</v>
      </c>
      <c r="Z3870" s="4" t="str">
        <f>IFERROR(__xludf.DUMMYFUNCTION("""COMPUTED_VALUE"""),"3.5281482")</f>
        <v>3.5281482</v>
      </c>
      <c r="AA3870" s="4" t="str">
        <f t="shared" si="1"/>
        <v>Not Neighbor</v>
      </c>
      <c r="AC3870" s="4">
        <f>IFERROR(__xludf.DUMMYFUNCTION("IFERROR(ABS(O3870-AVERAGE(FILTER(O3870:O7938,AA3870:AA7938=""Neighbor""))) / STDEV(FILTER(O3870:O7938, AA3870:AA7938 =""Neighbor"")), """")"),1.9681286547177386)</f>
        <v>1.968128655</v>
      </c>
      <c r="AF3870" s="2">
        <f>IFERROR(__xludf.DUMMYFUNCTION("IFERROR(ABS(R3870-AVERAGE(FILTER(R3870:R7938,AA3870:AA7938=""Neighbor""))) / STDEV(FILTER(R3870:R7938, AA3870:AA7938 =""Neighbor"")), """")"),0.28183129290479597)</f>
        <v>0.2818312929</v>
      </c>
    </row>
    <row r="3871">
      <c r="A3871" s="2" t="s">
        <v>28</v>
      </c>
      <c r="B3871" s="2" t="s">
        <v>8509</v>
      </c>
      <c r="C3871" s="2" t="s">
        <v>8591</v>
      </c>
      <c r="D3871" s="2" t="s">
        <v>15729</v>
      </c>
      <c r="E3871" s="2" t="s">
        <v>15730</v>
      </c>
      <c r="F3871" s="2">
        <v>138.0</v>
      </c>
      <c r="G3871" s="2">
        <v>621.0</v>
      </c>
      <c r="H3871" s="2" t="b">
        <v>1</v>
      </c>
      <c r="I3871" s="2">
        <v>-1.0</v>
      </c>
      <c r="J3871" s="2" t="b">
        <v>0</v>
      </c>
      <c r="K3871" s="2" t="b">
        <v>0</v>
      </c>
      <c r="L3871" s="2" t="b">
        <v>0</v>
      </c>
      <c r="M3871" s="2" t="b">
        <v>0</v>
      </c>
      <c r="N3871" s="2" t="s">
        <v>33</v>
      </c>
      <c r="O3871" s="2">
        <v>93.0</v>
      </c>
      <c r="P3871" s="2">
        <v>15.0</v>
      </c>
      <c r="Q3871" s="2">
        <v>20.0</v>
      </c>
      <c r="R3871" s="2">
        <v>0.0</v>
      </c>
      <c r="S3871" s="3" t="s">
        <v>15731</v>
      </c>
      <c r="T3871" s="2" t="s">
        <v>15732</v>
      </c>
      <c r="Y3871" s="4" t="str">
        <f>IFERROR(__xludf.DUMMYFUNCTION("""COMPUTED_VALUE"""),"7.29548")</f>
        <v>7.29548</v>
      </c>
      <c r="Z3871" s="4" t="str">
        <f>IFERROR(__xludf.DUMMYFUNCTION("""COMPUTED_VALUE"""),"3.608317")</f>
        <v>3.608317</v>
      </c>
      <c r="AA3871" s="4" t="str">
        <f t="shared" si="1"/>
        <v>Not Neighbor</v>
      </c>
      <c r="AC3871" s="4">
        <f>IFERROR(__xludf.DUMMYFUNCTION("IFERROR(ABS(O3871-AVERAGE(FILTER(O3871:O7939,AA3871:AA7939=""Neighbor""))) / STDEV(FILTER(O3871:O7939, AA3871:AA7939 =""Neighbor"")), """")"),2.416157941970557)</f>
        <v>2.416157942</v>
      </c>
      <c r="AF3871" s="2">
        <f>IFERROR(__xludf.DUMMYFUNCTION("IFERROR(ABS(R3871-AVERAGE(FILTER(R3871:R7939,AA3871:AA7939=""Neighbor""))) / STDEV(FILTER(R3871:R7939, AA3871:AA7939 =""Neighbor"")), """")"),0.28183129290479597)</f>
        <v>0.2818312929</v>
      </c>
    </row>
    <row r="3872">
      <c r="A3872" s="2" t="s">
        <v>28</v>
      </c>
      <c r="B3872" s="2" t="s">
        <v>8509</v>
      </c>
      <c r="C3872" s="2" t="s">
        <v>8591</v>
      </c>
      <c r="D3872" s="2" t="s">
        <v>15733</v>
      </c>
      <c r="E3872" s="2" t="s">
        <v>15734</v>
      </c>
      <c r="F3872" s="2">
        <v>62.0</v>
      </c>
      <c r="G3872" s="2">
        <v>118.0</v>
      </c>
      <c r="H3872" s="2" t="b">
        <v>1</v>
      </c>
      <c r="I3872" s="2">
        <v>-1.0</v>
      </c>
      <c r="J3872" s="2" t="b">
        <v>0</v>
      </c>
      <c r="K3872" s="2" t="b">
        <v>0</v>
      </c>
      <c r="L3872" s="2" t="b">
        <v>0</v>
      </c>
      <c r="M3872" s="2" t="b">
        <v>0</v>
      </c>
      <c r="N3872" s="2" t="s">
        <v>33</v>
      </c>
      <c r="O3872" s="2">
        <v>36.0</v>
      </c>
      <c r="P3872" s="2">
        <v>4.0</v>
      </c>
      <c r="Q3872" s="2">
        <v>16.0</v>
      </c>
      <c r="R3872" s="2">
        <v>1.0</v>
      </c>
      <c r="S3872" s="3" t="s">
        <v>15735</v>
      </c>
      <c r="T3872" s="2" t="s">
        <v>15736</v>
      </c>
      <c r="Y3872" s="4" t="str">
        <f>IFERROR(__xludf.DUMMYFUNCTION("""COMPUTED_VALUE"""),"7.2876578")</f>
        <v>7.2876578</v>
      </c>
      <c r="Z3872" s="4" t="str">
        <f>IFERROR(__xludf.DUMMYFUNCTION("""COMPUTED_VALUE"""),"3.6591553")</f>
        <v>3.6591553</v>
      </c>
      <c r="AA3872" s="4" t="str">
        <f t="shared" si="1"/>
        <v>Not Neighbor</v>
      </c>
      <c r="AC3872" s="4">
        <f>IFERROR(__xludf.DUMMYFUNCTION("IFERROR(ABS(O3872-AVERAGE(FILTER(O3872:O7940,AA3872:AA7940=""Neighbor""))) / STDEV(FILTER(O3872:O7940, AA3872:AA7940 =""Neighbor"")), """")"),0.09455163529686098)</f>
        <v>0.0945516353</v>
      </c>
      <c r="AF3872" s="2">
        <f>IFERROR(__xludf.DUMMYFUNCTION("IFERROR(ABS(R3872-AVERAGE(FILTER(R3872:R7940,AA3872:AA7940=""Neighbor""))) / STDEV(FILTER(R3872:R7940, AA3872:AA7940 =""Neighbor"")), """")"),2.0855515674954903)</f>
        <v>2.085551567</v>
      </c>
    </row>
    <row r="3873">
      <c r="A3873" s="2" t="s">
        <v>28</v>
      </c>
      <c r="B3873" s="2" t="s">
        <v>8509</v>
      </c>
      <c r="C3873" s="2" t="s">
        <v>8870</v>
      </c>
      <c r="D3873" s="2" t="s">
        <v>15737</v>
      </c>
      <c r="E3873" s="2" t="s">
        <v>15738</v>
      </c>
      <c r="F3873" s="2">
        <v>91.0</v>
      </c>
      <c r="G3873" s="2">
        <v>182.0</v>
      </c>
      <c r="H3873" s="2" t="b">
        <v>1</v>
      </c>
      <c r="I3873" s="2">
        <v>-1.0</v>
      </c>
      <c r="J3873" s="2" t="b">
        <v>0</v>
      </c>
      <c r="K3873" s="2" t="b">
        <v>0</v>
      </c>
      <c r="L3873" s="2" t="b">
        <v>0</v>
      </c>
      <c r="M3873" s="2" t="b">
        <v>0</v>
      </c>
      <c r="N3873" s="2" t="s">
        <v>33</v>
      </c>
      <c r="O3873" s="2">
        <v>69.0</v>
      </c>
      <c r="P3873" s="2">
        <v>2.0</v>
      </c>
      <c r="Q3873" s="2">
        <v>10.0</v>
      </c>
      <c r="R3873" s="2">
        <v>0.0</v>
      </c>
      <c r="S3873" s="3" t="s">
        <v>15739</v>
      </c>
      <c r="T3873" s="2" t="s">
        <v>15740</v>
      </c>
      <c r="Y3873" s="4" t="str">
        <f>IFERROR(__xludf.DUMMYFUNCTION("""COMPUTED_VALUE"""),"7.1833563")</f>
        <v>7.1833563</v>
      </c>
      <c r="Z3873" s="4" t="str">
        <f>IFERROR(__xludf.DUMMYFUNCTION("""COMPUTED_VALUE"""),"4.6980117")</f>
        <v>4.6980117</v>
      </c>
      <c r="AA3873" s="4" t="str">
        <f t="shared" si="1"/>
        <v>Not Neighbor</v>
      </c>
      <c r="AC3873" s="4">
        <f>IFERROR(__xludf.DUMMYFUNCTION("IFERROR(ABS(O3873-AVERAGE(FILTER(O3873:O7941,AA3873:AA7941=""Neighbor""))) / STDEV(FILTER(O3873:O7941, AA3873:AA7941 =""Neighbor"")), """")"),1.4386394970553167)</f>
        <v>1.438639497</v>
      </c>
      <c r="AF3873" s="2">
        <f>IFERROR(__xludf.DUMMYFUNCTION("IFERROR(ABS(R3873-AVERAGE(FILTER(R3873:R7941,AA3873:AA7941=""Neighbor""))) / STDEV(FILTER(R3873:R7941, AA3873:AA7941 =""Neighbor"")), """")"),0.28183129290479597)</f>
        <v>0.2818312929</v>
      </c>
    </row>
    <row r="3874">
      <c r="A3874" s="2" t="s">
        <v>28</v>
      </c>
      <c r="B3874" s="2" t="s">
        <v>8509</v>
      </c>
      <c r="C3874" s="2" t="s">
        <v>8870</v>
      </c>
      <c r="D3874" s="2" t="s">
        <v>15741</v>
      </c>
      <c r="E3874" s="2" t="s">
        <v>15742</v>
      </c>
      <c r="F3874" s="2">
        <v>111.0</v>
      </c>
      <c r="G3874" s="2">
        <v>198.0</v>
      </c>
      <c r="H3874" s="2" t="b">
        <v>1</v>
      </c>
      <c r="I3874" s="2">
        <v>-1.0</v>
      </c>
      <c r="J3874" s="2" t="b">
        <v>1</v>
      </c>
      <c r="K3874" s="2" t="b">
        <v>0</v>
      </c>
      <c r="L3874" s="2" t="b">
        <v>0</v>
      </c>
      <c r="M3874" s="2" t="b">
        <v>0</v>
      </c>
      <c r="N3874" s="2" t="s">
        <v>33</v>
      </c>
      <c r="O3874" s="2">
        <v>155.0</v>
      </c>
      <c r="P3874" s="2">
        <v>15.0</v>
      </c>
      <c r="Q3874" s="2">
        <v>20.0</v>
      </c>
      <c r="R3874" s="2">
        <v>0.0</v>
      </c>
      <c r="S3874" s="3" t="s">
        <v>15743</v>
      </c>
      <c r="T3874" s="2" t="s">
        <v>15744</v>
      </c>
      <c r="Y3874" s="4" t="str">
        <f>IFERROR(__xludf.DUMMYFUNCTION("""COMPUTED_VALUE"""),"6.5536484")</f>
        <v>6.5536484</v>
      </c>
      <c r="Z3874" s="4" t="str">
        <f>IFERROR(__xludf.DUMMYFUNCTION("""COMPUTED_VALUE"""),"3.3566738")</f>
        <v>3.3566738</v>
      </c>
      <c r="AA3874" s="4" t="str">
        <f t="shared" si="1"/>
        <v>Not Neighbor</v>
      </c>
      <c r="AC3874" s="4">
        <f>IFERROR(__xludf.DUMMYFUNCTION("IFERROR(ABS(O3874-AVERAGE(FILTER(O3874:O7942,AA3874:AA7942=""Neighbor""))) / STDEV(FILTER(O3874:O7942, AA3874:AA7942 =""Neighbor"")), """")"),4.941413924668262)</f>
        <v>4.941413925</v>
      </c>
      <c r="AF3874" s="2">
        <f>IFERROR(__xludf.DUMMYFUNCTION("IFERROR(ABS(R3874-AVERAGE(FILTER(R3874:R7942,AA3874:AA7942=""Neighbor""))) / STDEV(FILTER(R3874:R7942, AA3874:AA7942 =""Neighbor"")), """")"),0.28183129290479597)</f>
        <v>0.2818312929</v>
      </c>
    </row>
    <row r="3875">
      <c r="A3875" s="2" t="s">
        <v>28</v>
      </c>
      <c r="B3875" s="2" t="s">
        <v>8509</v>
      </c>
      <c r="C3875" s="2" t="s">
        <v>8870</v>
      </c>
      <c r="D3875" s="2" t="s">
        <v>15745</v>
      </c>
      <c r="E3875" s="2" t="s">
        <v>15746</v>
      </c>
      <c r="F3875" s="2">
        <v>55.0</v>
      </c>
      <c r="G3875" s="2">
        <v>98.0</v>
      </c>
      <c r="H3875" s="2" t="b">
        <v>1</v>
      </c>
      <c r="I3875" s="2">
        <v>-1.0</v>
      </c>
      <c r="J3875" s="2" t="b">
        <v>0</v>
      </c>
      <c r="K3875" s="2" t="b">
        <v>0</v>
      </c>
      <c r="L3875" s="2" t="b">
        <v>0</v>
      </c>
      <c r="M3875" s="2" t="b">
        <v>0</v>
      </c>
      <c r="N3875" s="2" t="s">
        <v>33</v>
      </c>
      <c r="O3875" s="2">
        <v>0.0</v>
      </c>
      <c r="P3875" s="2">
        <v>0.0</v>
      </c>
      <c r="Q3875" s="2">
        <v>0.0</v>
      </c>
      <c r="R3875" s="2">
        <v>0.0</v>
      </c>
      <c r="S3875" s="3" t="s">
        <v>15747</v>
      </c>
      <c r="T3875" s="2" t="s">
        <v>15748</v>
      </c>
      <c r="Y3875" s="4" t="str">
        <f>IFERROR(__xludf.DUMMYFUNCTION("""COMPUTED_VALUE"""),"7.3217523")</f>
        <v>7.3217523</v>
      </c>
      <c r="Z3875" s="4" t="str">
        <f>IFERROR(__xludf.DUMMYFUNCTION("""COMPUTED_VALUE"""),"3.3778666")</f>
        <v>3.3778666</v>
      </c>
      <c r="AA3875" s="4" t="str">
        <f t="shared" si="1"/>
        <v>Not Neighbor</v>
      </c>
      <c r="AC3875" s="4">
        <f>IFERROR(__xludf.DUMMYFUNCTION("IFERROR(ABS(O3875-AVERAGE(FILTER(O3875:O7943,AA3875:AA7943=""Neighbor""))) / STDEV(FILTER(O3875:O7943, AA3875:AA7943 =""Neighbor"")), """")"),1.3717260320759999)</f>
        <v>1.371726032</v>
      </c>
      <c r="AF3875" s="2">
        <f>IFERROR(__xludf.DUMMYFUNCTION("IFERROR(ABS(R3875-AVERAGE(FILTER(R3875:R7943,AA3875:AA7943=""Neighbor""))) / STDEV(FILTER(R3875:R7943, AA3875:AA7943 =""Neighbor"")), """")"),0.28183129290479597)</f>
        <v>0.2818312929</v>
      </c>
    </row>
    <row r="3876">
      <c r="A3876" s="2" t="s">
        <v>28</v>
      </c>
      <c r="B3876" s="2" t="s">
        <v>8509</v>
      </c>
      <c r="C3876" s="2" t="s">
        <v>8870</v>
      </c>
      <c r="D3876" s="2" t="s">
        <v>15749</v>
      </c>
      <c r="E3876" s="2" t="s">
        <v>15750</v>
      </c>
      <c r="F3876" s="2">
        <v>107.0</v>
      </c>
      <c r="G3876" s="2">
        <v>191.0</v>
      </c>
      <c r="H3876" s="2" t="b">
        <v>1</v>
      </c>
      <c r="I3876" s="2">
        <v>-1.0</v>
      </c>
      <c r="J3876" s="2" t="b">
        <v>0</v>
      </c>
      <c r="K3876" s="2" t="b">
        <v>0</v>
      </c>
      <c r="L3876" s="2" t="b">
        <v>0</v>
      </c>
      <c r="M3876" s="2" t="b">
        <v>0</v>
      </c>
      <c r="N3876" s="2" t="s">
        <v>33</v>
      </c>
      <c r="O3876" s="2">
        <v>84.0</v>
      </c>
      <c r="P3876" s="2">
        <v>11.0</v>
      </c>
      <c r="Q3876" s="2">
        <v>5.0</v>
      </c>
      <c r="R3876" s="2">
        <v>0.0</v>
      </c>
      <c r="S3876" s="3" t="s">
        <v>15751</v>
      </c>
      <c r="T3876" s="2" t="s">
        <v>15752</v>
      </c>
      <c r="Y3876" s="4" t="str">
        <f>IFERROR(__xludf.DUMMYFUNCTION("""COMPUTED_VALUE"""),"7.2361632")</f>
        <v>7.2361632</v>
      </c>
      <c r="Z3876" s="4" t="str">
        <f>IFERROR(__xludf.DUMMYFUNCTION("""COMPUTED_VALUE"""),"3.3400723")</f>
        <v>3.3400723</v>
      </c>
      <c r="AA3876" s="4" t="str">
        <f t="shared" si="1"/>
        <v>Not Neighbor</v>
      </c>
      <c r="AC3876" s="4">
        <f>IFERROR(__xludf.DUMMYFUNCTION("IFERROR(ABS(O3876-AVERAGE(FILTER(O3876:O7944,AA3876:AA7944=""Neighbor""))) / STDEV(FILTER(O3876:O7944, AA3876:AA7944 =""Neighbor"")), """")"),2.049588525127342)</f>
        <v>2.049588525</v>
      </c>
      <c r="AF3876" s="2">
        <f>IFERROR(__xludf.DUMMYFUNCTION("IFERROR(ABS(R3876-AVERAGE(FILTER(R3876:R7944,AA3876:AA7944=""Neighbor""))) / STDEV(FILTER(R3876:R7944, AA3876:AA7944 =""Neighbor"")), """")"),0.28183129290479597)</f>
        <v>0.2818312929</v>
      </c>
    </row>
    <row r="3877">
      <c r="A3877" s="2" t="s">
        <v>28</v>
      </c>
      <c r="B3877" s="2" t="s">
        <v>8509</v>
      </c>
      <c r="C3877" s="2" t="s">
        <v>8870</v>
      </c>
      <c r="D3877" s="2" t="s">
        <v>15753</v>
      </c>
      <c r="E3877" s="2" t="s">
        <v>15754</v>
      </c>
      <c r="F3877" s="2">
        <v>132.0</v>
      </c>
      <c r="G3877" s="2">
        <v>238.0</v>
      </c>
      <c r="H3877" s="2" t="b">
        <v>1</v>
      </c>
      <c r="I3877" s="2">
        <v>-1.0</v>
      </c>
      <c r="J3877" s="2" t="b">
        <v>0</v>
      </c>
      <c r="K3877" s="2" t="b">
        <v>0</v>
      </c>
      <c r="L3877" s="2" t="b">
        <v>0</v>
      </c>
      <c r="M3877" s="2" t="b">
        <v>0</v>
      </c>
      <c r="N3877" s="2" t="s">
        <v>33</v>
      </c>
      <c r="O3877" s="2">
        <v>89.0</v>
      </c>
      <c r="P3877" s="2">
        <v>24.0</v>
      </c>
      <c r="Q3877" s="2">
        <v>14.0</v>
      </c>
      <c r="R3877" s="2">
        <v>0.0</v>
      </c>
      <c r="S3877" s="3" t="s">
        <v>15755</v>
      </c>
      <c r="T3877" s="2" t="s">
        <v>15756</v>
      </c>
      <c r="Y3877" s="4" t="str">
        <f>IFERROR(__xludf.DUMMYFUNCTION("""COMPUTED_VALUE"""),"7.3217523")</f>
        <v>7.3217523</v>
      </c>
      <c r="Z3877" s="4" t="str">
        <f>IFERROR(__xludf.DUMMYFUNCTION("""COMPUTED_VALUE"""),"3.3778666")</f>
        <v>3.3778666</v>
      </c>
      <c r="AA3877" s="4" t="str">
        <f t="shared" si="1"/>
        <v>Not Neighbor</v>
      </c>
      <c r="AC3877" s="4">
        <f>IFERROR(__xludf.DUMMYFUNCTION("IFERROR(ABS(O3877-AVERAGE(FILTER(O3877:O7945,AA3877:AA7945=""Neighbor""))) / STDEV(FILTER(O3877:O7945, AA3877:AA7945 =""Neighbor"")), """")"),2.2532382011513503)</f>
        <v>2.253238201</v>
      </c>
      <c r="AF3877" s="2">
        <f>IFERROR(__xludf.DUMMYFUNCTION("IFERROR(ABS(R3877-AVERAGE(FILTER(R3877:R7945,AA3877:AA7945=""Neighbor""))) / STDEV(FILTER(R3877:R7945, AA3877:AA7945 =""Neighbor"")), """")"),0.28183129290479597)</f>
        <v>0.2818312929</v>
      </c>
    </row>
    <row r="3878">
      <c r="A3878" s="2" t="s">
        <v>28</v>
      </c>
      <c r="B3878" s="2" t="s">
        <v>8509</v>
      </c>
      <c r="C3878" s="2" t="s">
        <v>8870</v>
      </c>
      <c r="D3878" s="2" t="s">
        <v>15757</v>
      </c>
      <c r="E3878" s="2" t="s">
        <v>15758</v>
      </c>
      <c r="F3878" s="2">
        <v>195.0</v>
      </c>
      <c r="G3878" s="2">
        <v>323.0</v>
      </c>
      <c r="H3878" s="2" t="b">
        <v>1</v>
      </c>
      <c r="I3878" s="2">
        <v>-1.0</v>
      </c>
      <c r="J3878" s="2" t="b">
        <v>1</v>
      </c>
      <c r="K3878" s="2" t="b">
        <v>0</v>
      </c>
      <c r="L3878" s="2" t="b">
        <v>0</v>
      </c>
      <c r="M3878" s="2" t="b">
        <v>0</v>
      </c>
      <c r="N3878" s="2" t="s">
        <v>33</v>
      </c>
      <c r="O3878" s="2">
        <v>141.0</v>
      </c>
      <c r="P3878" s="2">
        <v>14.0</v>
      </c>
      <c r="Q3878" s="2">
        <v>28.0</v>
      </c>
      <c r="R3878" s="2">
        <v>1.0</v>
      </c>
      <c r="S3878" s="3" t="s">
        <v>15759</v>
      </c>
      <c r="T3878" s="2" t="s">
        <v>15760</v>
      </c>
      <c r="Y3878" s="4" t="str">
        <f>IFERROR(__xludf.DUMMYFUNCTION("""COMPUTED_VALUE"""),"7.1489241")</f>
        <v>7.1489241</v>
      </c>
      <c r="Z3878" s="4" t="str">
        <f>IFERROR(__xludf.DUMMYFUNCTION("""COMPUTED_VALUE"""),"3.3358439")</f>
        <v>3.3358439</v>
      </c>
      <c r="AA3878" s="4" t="str">
        <f t="shared" si="1"/>
        <v>Not Neighbor</v>
      </c>
      <c r="AC3878" s="4">
        <f>IFERROR(__xludf.DUMMYFUNCTION("IFERROR(ABS(O3878-AVERAGE(FILTER(O3878:O7946,AA3878:AA7946=""Neighbor""))) / STDEV(FILTER(O3878:O7946, AA3878:AA7946 =""Neighbor"")), """")"),4.371194831801038)</f>
        <v>4.371194832</v>
      </c>
      <c r="AF3878" s="2">
        <f>IFERROR(__xludf.DUMMYFUNCTION("IFERROR(ABS(R3878-AVERAGE(FILTER(R3878:R7946,AA3878:AA7946=""Neighbor""))) / STDEV(FILTER(R3878:R7946, AA3878:AA7946 =""Neighbor"")), """")"),2.0855515674954903)</f>
        <v>2.085551567</v>
      </c>
    </row>
    <row r="3879">
      <c r="A3879" s="2" t="s">
        <v>28</v>
      </c>
      <c r="B3879" s="2" t="s">
        <v>8509</v>
      </c>
      <c r="C3879" s="2" t="s">
        <v>8870</v>
      </c>
      <c r="D3879" s="2" t="s">
        <v>15761</v>
      </c>
      <c r="E3879" s="2" t="s">
        <v>15762</v>
      </c>
      <c r="F3879" s="2">
        <v>63.0</v>
      </c>
      <c r="G3879" s="2">
        <v>134.0</v>
      </c>
      <c r="H3879" s="2" t="b">
        <v>1</v>
      </c>
      <c r="I3879" s="2">
        <v>-1.0</v>
      </c>
      <c r="J3879" s="2" t="b">
        <v>0</v>
      </c>
      <c r="K3879" s="2" t="b">
        <v>0</v>
      </c>
      <c r="L3879" s="2" t="b">
        <v>0</v>
      </c>
      <c r="M3879" s="2" t="b">
        <v>0</v>
      </c>
      <c r="N3879" s="2" t="s">
        <v>33</v>
      </c>
      <c r="O3879" s="2">
        <v>49.0</v>
      </c>
      <c r="P3879" s="2">
        <v>1.0</v>
      </c>
      <c r="Q3879" s="2">
        <v>5.0</v>
      </c>
      <c r="R3879" s="2">
        <v>0.0</v>
      </c>
      <c r="S3879" s="3" t="s">
        <v>15763</v>
      </c>
      <c r="T3879" s="2" t="s">
        <v>15764</v>
      </c>
      <c r="Y3879" s="4" t="str">
        <f>IFERROR(__xludf.DUMMYFUNCTION("""COMPUTED_VALUE"""),"7.3172955")</f>
        <v>7.3172955</v>
      </c>
      <c r="Z3879" s="4" t="str">
        <f>IFERROR(__xludf.DUMMYFUNCTION("""COMPUTED_VALUE"""),"3.3993751")</f>
        <v>3.3993751</v>
      </c>
      <c r="AA3879" s="4" t="str">
        <f t="shared" si="1"/>
        <v>Not Neighbor</v>
      </c>
      <c r="AC3879" s="4">
        <f>IFERROR(__xludf.DUMMYFUNCTION("IFERROR(ABS(O3879-AVERAGE(FILTER(O3879:O7947,AA3879:AA7947=""Neighbor""))) / STDEV(FILTER(O3879:O7947, AA3879:AA7947 =""Neighbor"")), """")"),0.6240407929592829)</f>
        <v>0.624040793</v>
      </c>
      <c r="AF3879" s="2">
        <f>IFERROR(__xludf.DUMMYFUNCTION("IFERROR(ABS(R3879-AVERAGE(FILTER(R3879:R7947,AA3879:AA7947=""Neighbor""))) / STDEV(FILTER(R3879:R7947, AA3879:AA7947 =""Neighbor"")), """")"),0.28183129290479597)</f>
        <v>0.2818312929</v>
      </c>
    </row>
    <row r="3880">
      <c r="A3880" s="2" t="s">
        <v>28</v>
      </c>
      <c r="B3880" s="2" t="s">
        <v>8509</v>
      </c>
      <c r="C3880" s="2" t="s">
        <v>8738</v>
      </c>
      <c r="D3880" s="2" t="s">
        <v>15765</v>
      </c>
      <c r="E3880" s="2" t="s">
        <v>15766</v>
      </c>
      <c r="F3880" s="2">
        <v>104.0</v>
      </c>
      <c r="G3880" s="2">
        <v>203.0</v>
      </c>
      <c r="H3880" s="2" t="b">
        <v>1</v>
      </c>
      <c r="I3880" s="2">
        <v>-1.0</v>
      </c>
      <c r="J3880" s="2" t="b">
        <v>0</v>
      </c>
      <c r="K3880" s="2" t="b">
        <v>0</v>
      </c>
      <c r="L3880" s="2" t="b">
        <v>0</v>
      </c>
      <c r="M3880" s="2" t="b">
        <v>0</v>
      </c>
      <c r="N3880" s="2" t="s">
        <v>33</v>
      </c>
      <c r="O3880" s="2">
        <v>50.0</v>
      </c>
      <c r="P3880" s="2">
        <v>23.0</v>
      </c>
      <c r="Q3880" s="2">
        <v>17.0</v>
      </c>
      <c r="R3880" s="2">
        <v>1.0</v>
      </c>
      <c r="S3880" s="3" t="s">
        <v>15767</v>
      </c>
      <c r="T3880" s="2" t="s">
        <v>15768</v>
      </c>
      <c r="Y3880" s="4" t="str">
        <f>IFERROR(__xludf.DUMMYFUNCTION("""COMPUTED_VALUE"""),"7.1813062")</f>
        <v>7.1813062</v>
      </c>
      <c r="Z3880" s="4" t="str">
        <f>IFERROR(__xludf.DUMMYFUNCTION("""COMPUTED_VALUE"""),"3.4463638")</f>
        <v>3.4463638</v>
      </c>
      <c r="AA3880" s="4" t="str">
        <f t="shared" si="1"/>
        <v>Neighbor</v>
      </c>
      <c r="AC3880" s="4">
        <f>IFERROR(__xludf.DUMMYFUNCTION("IFERROR(ABS(O3880-AVERAGE(FILTER(O3880:O7948,AA3880:AA7948=""Neighbor""))) / STDEV(FILTER(O3880:O7948, AA3880:AA7948 =""Neighbor"")), """")"),0.6647707281640846)</f>
        <v>0.6647707282</v>
      </c>
      <c r="AF3880" s="2">
        <f>IFERROR(__xludf.DUMMYFUNCTION("IFERROR(ABS(R3880-AVERAGE(FILTER(R3880:R7948,AA3880:AA7948=""Neighbor""))) / STDEV(FILTER(R3880:R7948, AA3880:AA7948 =""Neighbor"")), """")"),2.0855515674954903)</f>
        <v>2.085551567</v>
      </c>
    </row>
    <row r="3881">
      <c r="A3881" s="2" t="s">
        <v>28</v>
      </c>
      <c r="B3881" s="2" t="s">
        <v>8509</v>
      </c>
      <c r="C3881" s="2" t="s">
        <v>8738</v>
      </c>
      <c r="D3881" s="2" t="s">
        <v>15769</v>
      </c>
      <c r="E3881" s="2" t="s">
        <v>15770</v>
      </c>
      <c r="F3881" s="2">
        <v>64.0</v>
      </c>
      <c r="G3881" s="2">
        <v>136.0</v>
      </c>
      <c r="H3881" s="2" t="b">
        <v>1</v>
      </c>
      <c r="I3881" s="2">
        <v>-1.0</v>
      </c>
      <c r="J3881" s="2" t="b">
        <v>1</v>
      </c>
      <c r="K3881" s="2" t="b">
        <v>1</v>
      </c>
      <c r="L3881" s="2" t="b">
        <v>0</v>
      </c>
      <c r="M3881" s="2" t="b">
        <v>0</v>
      </c>
      <c r="N3881" s="2" t="s">
        <v>33</v>
      </c>
      <c r="O3881" s="2">
        <v>36.0</v>
      </c>
      <c r="P3881" s="2">
        <v>4.0</v>
      </c>
      <c r="Q3881" s="2">
        <v>10.0</v>
      </c>
      <c r="R3881" s="2">
        <v>0.0</v>
      </c>
      <c r="S3881" s="3" t="s">
        <v>15771</v>
      </c>
      <c r="T3881" s="2" t="s">
        <v>15772</v>
      </c>
      <c r="Y3881" s="4" t="str">
        <f>IFERROR(__xludf.DUMMYFUNCTION("""COMPUTED_VALUE"""),"7.1813062")</f>
        <v>7.1813062</v>
      </c>
      <c r="Z3881" s="4" t="str">
        <f>IFERROR(__xludf.DUMMYFUNCTION("""COMPUTED_VALUE"""),"3.4463638")</f>
        <v>3.4463638</v>
      </c>
      <c r="AA3881" s="4" t="str">
        <f t="shared" si="1"/>
        <v>Neighbor</v>
      </c>
      <c r="AC3881" s="4">
        <f>IFERROR(__xludf.DUMMYFUNCTION("IFERROR(ABS(O3881-AVERAGE(FILTER(O3881:O7949,AA3881:AA7949=""Neighbor""))) / STDEV(FILTER(O3881:O7949, AA3881:AA7949 =""Neighbor"")), """")"),0.10221698151245265)</f>
        <v>0.1022169815</v>
      </c>
      <c r="AF3881" s="2">
        <f>IFERROR(__xludf.DUMMYFUNCTION("IFERROR(ABS(R3881-AVERAGE(FILTER(R3881:R7949,AA3881:AA7949=""Neighbor""))) / STDEV(FILTER(R3881:R7949, AA3881:AA7949 =""Neighbor"")), """")"),0.26220073169028224)</f>
        <v>0.2622007317</v>
      </c>
    </row>
    <row r="3882">
      <c r="A3882" s="2" t="s">
        <v>28</v>
      </c>
      <c r="B3882" s="2" t="s">
        <v>8509</v>
      </c>
      <c r="C3882" s="2" t="s">
        <v>8738</v>
      </c>
      <c r="D3882" s="2" t="s">
        <v>15773</v>
      </c>
      <c r="E3882" s="2" t="s">
        <v>15774</v>
      </c>
      <c r="F3882" s="2">
        <v>148.0</v>
      </c>
      <c r="G3882" s="2">
        <v>540.0</v>
      </c>
      <c r="H3882" s="2" t="b">
        <v>1</v>
      </c>
      <c r="I3882" s="2">
        <v>-1.0</v>
      </c>
      <c r="J3882" s="2" t="b">
        <v>0</v>
      </c>
      <c r="K3882" s="2" t="b">
        <v>0</v>
      </c>
      <c r="L3882" s="2" t="b">
        <v>0</v>
      </c>
      <c r="M3882" s="2" t="b">
        <v>0</v>
      </c>
      <c r="N3882" s="2" t="s">
        <v>33</v>
      </c>
      <c r="O3882" s="2">
        <v>0.0</v>
      </c>
      <c r="P3882" s="2">
        <v>0.0</v>
      </c>
      <c r="Q3882" s="2">
        <v>0.0</v>
      </c>
      <c r="R3882" s="2">
        <v>0.0</v>
      </c>
      <c r="S3882" s="3" t="s">
        <v>15775</v>
      </c>
      <c r="T3882" s="2" t="s">
        <v>15776</v>
      </c>
      <c r="Y3882" s="4" t="str">
        <f>IFERROR(__xludf.DUMMYFUNCTION("""COMPUTED_VALUE"""),"7.1813062")</f>
        <v>7.1813062</v>
      </c>
      <c r="Z3882" s="4" t="str">
        <f>IFERROR(__xludf.DUMMYFUNCTION("""COMPUTED_VALUE"""),"3.4463638")</f>
        <v>3.4463638</v>
      </c>
      <c r="AA3882" s="4" t="str">
        <f t="shared" si="1"/>
        <v>Not Neighbor</v>
      </c>
      <c r="AC3882" s="4">
        <f>IFERROR(__xludf.DUMMYFUNCTION("IFERROR(ABS(O3882-AVERAGE(FILTER(O3882:O7950,AA3882:AA7950=""Neighbor""))) / STDEV(FILTER(O3882:O7950, AA3882:AA7950 =""Neighbor"")), """")"),1.3496787323905173)</f>
        <v>1.349678732</v>
      </c>
      <c r="AF3882" s="2">
        <f>IFERROR(__xludf.DUMMYFUNCTION("IFERROR(ABS(R3882-AVERAGE(FILTER(R3882:R7950,AA3882:AA7950=""Neighbor""))) / STDEV(FILTER(R3882:R7950, AA3882:AA7950 =""Neighbor"")), """")"),0.2638870501084263)</f>
        <v>0.2638870501</v>
      </c>
    </row>
    <row r="3883">
      <c r="A3883" s="2" t="s">
        <v>28</v>
      </c>
      <c r="B3883" s="2" t="s">
        <v>8509</v>
      </c>
      <c r="C3883" s="2" t="s">
        <v>8738</v>
      </c>
      <c r="D3883" s="2" t="s">
        <v>15777</v>
      </c>
      <c r="E3883" s="2" t="s">
        <v>15778</v>
      </c>
      <c r="F3883" s="2">
        <v>67.0</v>
      </c>
      <c r="G3883" s="2">
        <v>157.0</v>
      </c>
      <c r="H3883" s="2" t="b">
        <v>1</v>
      </c>
      <c r="I3883" s="2">
        <v>-1.0</v>
      </c>
      <c r="J3883" s="2" t="b">
        <v>0</v>
      </c>
      <c r="K3883" s="2" t="b">
        <v>1</v>
      </c>
      <c r="L3883" s="2" t="b">
        <v>0</v>
      </c>
      <c r="M3883" s="2" t="b">
        <v>0</v>
      </c>
      <c r="N3883" s="2" t="s">
        <v>33</v>
      </c>
      <c r="O3883" s="2">
        <v>16.0</v>
      </c>
      <c r="P3883" s="2">
        <v>37.0</v>
      </c>
      <c r="Q3883" s="2">
        <v>4.0</v>
      </c>
      <c r="R3883" s="2">
        <v>0.0</v>
      </c>
      <c r="S3883" s="3" t="s">
        <v>15779</v>
      </c>
      <c r="T3883" s="2" t="s">
        <v>15780</v>
      </c>
      <c r="Y3883" s="4" t="str">
        <f>IFERROR(__xludf.DUMMYFUNCTION("""COMPUTED_VALUE"""),"7.1909598")</f>
        <v>7.1909598</v>
      </c>
      <c r="Z3883" s="4" t="str">
        <f>IFERROR(__xludf.DUMMYFUNCTION("""COMPUTED_VALUE"""),"3.4360005")</f>
        <v>3.4360005</v>
      </c>
      <c r="AA3883" s="4" t="str">
        <f t="shared" si="1"/>
        <v>Neighbor</v>
      </c>
      <c r="AC3883" s="4">
        <f>IFERROR(__xludf.DUMMYFUNCTION("IFERROR(ABS(O3883-AVERAGE(FILTER(O3883:O7951,AA3883:AA7951=""Neighbor""))) / STDEV(FILTER(O3883:O7951, AA3883:AA7951 =""Neighbor"")), """")"),0.7041160284545499)</f>
        <v>0.7041160285</v>
      </c>
      <c r="AF3883" s="2">
        <f>IFERROR(__xludf.DUMMYFUNCTION("IFERROR(ABS(R3883-AVERAGE(FILTER(R3883:R7951,AA3883:AA7951=""Neighbor""))) / STDEV(FILTER(R3883:R7951, AA3883:AA7951 =""Neighbor"")), """")"),0.2638870501084263)</f>
        <v>0.2638870501</v>
      </c>
    </row>
    <row r="3884">
      <c r="A3884" s="2" t="s">
        <v>28</v>
      </c>
      <c r="B3884" s="2" t="s">
        <v>8509</v>
      </c>
      <c r="C3884" s="2" t="s">
        <v>8738</v>
      </c>
      <c r="D3884" s="2" t="s">
        <v>15781</v>
      </c>
      <c r="E3884" s="2" t="s">
        <v>15782</v>
      </c>
      <c r="F3884" s="2">
        <v>64.0</v>
      </c>
      <c r="G3884" s="2">
        <v>123.0</v>
      </c>
      <c r="H3884" s="2" t="b">
        <v>1</v>
      </c>
      <c r="I3884" s="2">
        <v>-1.0</v>
      </c>
      <c r="J3884" s="2" t="b">
        <v>0</v>
      </c>
      <c r="K3884" s="2" t="b">
        <v>0</v>
      </c>
      <c r="L3884" s="2" t="b">
        <v>0</v>
      </c>
      <c r="M3884" s="2" t="b">
        <v>0</v>
      </c>
      <c r="N3884" s="2" t="s">
        <v>33</v>
      </c>
      <c r="O3884" s="2">
        <v>21.0</v>
      </c>
      <c r="P3884" s="2">
        <v>20.0</v>
      </c>
      <c r="Q3884" s="2">
        <v>17.0</v>
      </c>
      <c r="R3884" s="2">
        <v>0.0</v>
      </c>
      <c r="S3884" s="3" t="s">
        <v>15783</v>
      </c>
      <c r="T3884" s="2" t="s">
        <v>15784</v>
      </c>
      <c r="Y3884" s="4" t="str">
        <f>IFERROR(__xludf.DUMMYFUNCTION("""COMPUTED_VALUE"""),"7.1909598")</f>
        <v>7.1909598</v>
      </c>
      <c r="Z3884" s="4" t="str">
        <f>IFERROR(__xludf.DUMMYFUNCTION("""COMPUTED_VALUE"""),"3.4360005")</f>
        <v>3.4360005</v>
      </c>
      <c r="AA3884" s="4" t="str">
        <f t="shared" si="1"/>
        <v>Not Neighbor</v>
      </c>
      <c r="AC3884" s="4">
        <f>IFERROR(__xludf.DUMMYFUNCTION("IFERROR(ABS(O3884-AVERAGE(FILTER(O3884:O7952,AA3884:AA7952=""Neighbor""))) / STDEV(FILTER(O3884:O7952, AA3884:AA7952 =""Neighbor"")), """")"),0.509486839298415)</f>
        <v>0.5094868393</v>
      </c>
      <c r="AF3884" s="2">
        <f>IFERROR(__xludf.DUMMYFUNCTION("IFERROR(ABS(R3884-AVERAGE(FILTER(R3884:R7952,AA3884:AA7952=""Neighbor""))) / STDEV(FILTER(R3884:R7952, AA3884:AA7952 =""Neighbor"")), """")"),0.26560635762986523)</f>
        <v>0.2656063576</v>
      </c>
    </row>
    <row r="3885">
      <c r="A3885" s="2" t="s">
        <v>28</v>
      </c>
      <c r="B3885" s="2" t="s">
        <v>8509</v>
      </c>
      <c r="C3885" s="2" t="s">
        <v>8738</v>
      </c>
      <c r="D3885" s="2" t="s">
        <v>15785</v>
      </c>
      <c r="E3885" s="2" t="s">
        <v>15786</v>
      </c>
      <c r="F3885" s="2">
        <v>125.0</v>
      </c>
      <c r="G3885" s="2">
        <v>750.0</v>
      </c>
      <c r="H3885" s="2" t="b">
        <v>1</v>
      </c>
      <c r="I3885" s="2">
        <v>-1.0</v>
      </c>
      <c r="J3885" s="2" t="b">
        <v>1</v>
      </c>
      <c r="K3885" s="2" t="b">
        <v>0</v>
      </c>
      <c r="L3885" s="2" t="b">
        <v>0</v>
      </c>
      <c r="M3885" s="2" t="b">
        <v>0</v>
      </c>
      <c r="N3885" s="2" t="s">
        <v>33</v>
      </c>
      <c r="O3885" s="2">
        <v>73.0</v>
      </c>
      <c r="P3885" s="2">
        <v>41.0</v>
      </c>
      <c r="Q3885" s="2">
        <v>7.0</v>
      </c>
      <c r="R3885" s="2">
        <v>0.0</v>
      </c>
      <c r="S3885" s="3" t="s">
        <v>15787</v>
      </c>
      <c r="T3885" s="2" t="s">
        <v>15788</v>
      </c>
      <c r="Y3885" s="4" t="str">
        <f>IFERROR(__xludf.DUMMYFUNCTION("""COMPUTED_VALUE"""),"7.1813062")</f>
        <v>7.1813062</v>
      </c>
      <c r="Z3885" s="4" t="str">
        <f>IFERROR(__xludf.DUMMYFUNCTION("""COMPUTED_VALUE"""),"3.4463638")</f>
        <v>3.4463638</v>
      </c>
      <c r="AA3885" s="4" t="str">
        <f t="shared" si="1"/>
        <v>Neighbor</v>
      </c>
      <c r="AC3885" s="4">
        <f>IFERROR(__xludf.DUMMYFUNCTION("IFERROR(ABS(O3885-AVERAGE(FILTER(O3885:O7953,AA3885:AA7953=""Neighbor""))) / STDEV(FILTER(O3885:O7953, AA3885:AA7953 =""Neighbor"")), """")"),1.5820907115056049)</f>
        <v>1.582090712</v>
      </c>
      <c r="AF3885" s="2">
        <f>IFERROR(__xludf.DUMMYFUNCTION("IFERROR(ABS(R3885-AVERAGE(FILTER(R3885:R7953,AA3885:AA7953=""Neighbor""))) / STDEV(FILTER(R3885:R7953, AA3885:AA7953 =""Neighbor"")), """")"),0.26560635762986523)</f>
        <v>0.2656063576</v>
      </c>
    </row>
    <row r="3886">
      <c r="A3886" s="2" t="s">
        <v>28</v>
      </c>
      <c r="B3886" s="2" t="s">
        <v>8509</v>
      </c>
      <c r="C3886" s="2" t="s">
        <v>8738</v>
      </c>
      <c r="D3886" s="2" t="s">
        <v>15789</v>
      </c>
      <c r="E3886" s="2" t="s">
        <v>15790</v>
      </c>
      <c r="F3886" s="2">
        <v>33.0</v>
      </c>
      <c r="G3886" s="2">
        <v>93.0</v>
      </c>
      <c r="H3886" s="2" t="b">
        <v>1</v>
      </c>
      <c r="I3886" s="2">
        <v>-1.0</v>
      </c>
      <c r="J3886" s="2" t="b">
        <v>0</v>
      </c>
      <c r="K3886" s="2" t="b">
        <v>0</v>
      </c>
      <c r="L3886" s="2" t="b">
        <v>0</v>
      </c>
      <c r="M3886" s="2" t="b">
        <v>0</v>
      </c>
      <c r="N3886" s="2" t="s">
        <v>33</v>
      </c>
      <c r="O3886" s="2">
        <v>16.0</v>
      </c>
      <c r="P3886" s="2">
        <v>12.0</v>
      </c>
      <c r="Q3886" s="2">
        <v>1.0</v>
      </c>
      <c r="R3886" s="2">
        <v>0.0</v>
      </c>
      <c r="S3886" s="3" t="s">
        <v>15791</v>
      </c>
      <c r="T3886" s="2" t="s">
        <v>15792</v>
      </c>
      <c r="Y3886" s="4" t="str">
        <f>IFERROR(__xludf.DUMMYFUNCTION("""COMPUTED_VALUE"""),"7.1813062")</f>
        <v>7.1813062</v>
      </c>
      <c r="Z3886" s="4" t="str">
        <f>IFERROR(__xludf.DUMMYFUNCTION("""COMPUTED_VALUE"""),"3.4463638")</f>
        <v>3.4463638</v>
      </c>
      <c r="AA3886" s="4" t="str">
        <f t="shared" si="1"/>
        <v>Neighbor</v>
      </c>
      <c r="AC3886" s="4">
        <f>IFERROR(__xludf.DUMMYFUNCTION("IFERROR(ABS(O3886-AVERAGE(FILTER(O3886:O7954,AA3886:AA7954=""Neighbor""))) / STDEV(FILTER(O3886:O7954, AA3886:AA7954 =""Neighbor"")), """")"),0.6976316751468142)</f>
        <v>0.6976316751</v>
      </c>
      <c r="AF3886" s="2">
        <f>IFERROR(__xludf.DUMMYFUNCTION("IFERROR(ABS(R3886-AVERAGE(FILTER(R3886:R7954,AA3886:AA7954=""Neighbor""))) / STDEV(FILTER(R3886:R7954, AA3886:AA7954 =""Neighbor"")), """")"),0.2673597449953299)</f>
        <v>0.267359745</v>
      </c>
    </row>
    <row r="3887">
      <c r="A3887" s="2" t="s">
        <v>28</v>
      </c>
      <c r="B3887" s="2" t="s">
        <v>8509</v>
      </c>
      <c r="C3887" s="2" t="s">
        <v>8738</v>
      </c>
      <c r="D3887" s="2" t="s">
        <v>15793</v>
      </c>
      <c r="E3887" s="2" t="s">
        <v>15794</v>
      </c>
      <c r="F3887" s="2">
        <v>85.0</v>
      </c>
      <c r="G3887" s="2">
        <v>155.0</v>
      </c>
      <c r="H3887" s="2" t="b">
        <v>1</v>
      </c>
      <c r="I3887" s="2">
        <v>-1.0</v>
      </c>
      <c r="J3887" s="2" t="b">
        <v>0</v>
      </c>
      <c r="K3887" s="2" t="b">
        <v>0</v>
      </c>
      <c r="L3887" s="2" t="b">
        <v>0</v>
      </c>
      <c r="M3887" s="2" t="b">
        <v>0</v>
      </c>
      <c r="N3887" s="2" t="s">
        <v>33</v>
      </c>
      <c r="O3887" s="2">
        <v>25.0</v>
      </c>
      <c r="P3887" s="2">
        <v>37.0</v>
      </c>
      <c r="Q3887" s="2">
        <v>17.0</v>
      </c>
      <c r="R3887" s="2">
        <v>0.0</v>
      </c>
      <c r="S3887" s="3" t="s">
        <v>15795</v>
      </c>
      <c r="T3887" s="2" t="s">
        <v>15796</v>
      </c>
      <c r="Y3887" s="4" t="str">
        <f>IFERROR(__xludf.DUMMYFUNCTION("""COMPUTED_VALUE"""),"7.1813062")</f>
        <v>7.1813062</v>
      </c>
      <c r="Z3887" s="4" t="str">
        <f>IFERROR(__xludf.DUMMYFUNCTION("""COMPUTED_VALUE"""),"3.4463638")</f>
        <v>3.4463638</v>
      </c>
      <c r="AA3887" s="4" t="str">
        <f t="shared" si="1"/>
        <v>Not Neighbor</v>
      </c>
      <c r="AC3887" s="4">
        <f>IFERROR(__xludf.DUMMYFUNCTION("IFERROR(ABS(O3887-AVERAGE(FILTER(O3887:O7955,AA3887:AA7955=""Neighbor""))) / STDEV(FILTER(O3887:O7955, AA3887:AA7955 =""Neighbor"")), """")"),0.3397884242924763)</f>
        <v>0.3397884243</v>
      </c>
      <c r="AF3887" s="2">
        <f>IFERROR(__xludf.DUMMYFUNCTION("IFERROR(ABS(R3887-AVERAGE(FILTER(R3887:R7955,AA3887:AA7955=""Neighbor""))) / STDEV(FILTER(R3887:R7955, AA3887:AA7955 =""Neighbor"")), """")"),0.2691483541539005)</f>
        <v>0.2691483542</v>
      </c>
    </row>
    <row r="3888">
      <c r="A3888" s="2" t="s">
        <v>28</v>
      </c>
      <c r="B3888" s="2" t="s">
        <v>8509</v>
      </c>
      <c r="C3888" s="2" t="s">
        <v>8738</v>
      </c>
      <c r="D3888" s="2" t="s">
        <v>15797</v>
      </c>
      <c r="E3888" s="2" t="s">
        <v>15798</v>
      </c>
      <c r="F3888" s="2">
        <v>43.0</v>
      </c>
      <c r="G3888" s="2">
        <v>103.0</v>
      </c>
      <c r="H3888" s="2" t="b">
        <v>1</v>
      </c>
      <c r="I3888" s="2">
        <v>-1.0</v>
      </c>
      <c r="J3888" s="2" t="b">
        <v>1</v>
      </c>
      <c r="K3888" s="2" t="b">
        <v>0</v>
      </c>
      <c r="L3888" s="2" t="b">
        <v>0</v>
      </c>
      <c r="M3888" s="2" t="b">
        <v>0</v>
      </c>
      <c r="N3888" s="2" t="s">
        <v>33</v>
      </c>
      <c r="O3888" s="2">
        <v>14.0</v>
      </c>
      <c r="P3888" s="2">
        <v>22.0</v>
      </c>
      <c r="Q3888" s="2">
        <v>2.0</v>
      </c>
      <c r="R3888" s="2">
        <v>1.0</v>
      </c>
      <c r="S3888" s="3" t="s">
        <v>15799</v>
      </c>
      <c r="T3888" s="2" t="s">
        <v>15800</v>
      </c>
      <c r="Y3888" s="4" t="str">
        <f>IFERROR(__xludf.DUMMYFUNCTION("""COMPUTED_VALUE"""),"7.2271413")</f>
        <v>7.2271413</v>
      </c>
      <c r="Z3888" s="4" t="str">
        <f>IFERROR(__xludf.DUMMYFUNCTION("""COMPUTED_VALUE"""),"3.4507417")</f>
        <v>3.4507417</v>
      </c>
      <c r="AA3888" s="4" t="str">
        <f t="shared" si="1"/>
        <v>Not Neighbor</v>
      </c>
      <c r="AC3888" s="4">
        <f>IFERROR(__xludf.DUMMYFUNCTION("IFERROR(ABS(O3888-AVERAGE(FILTER(O3888:O7956,AA3888:AA7956=""Neighbor""))) / STDEV(FILTER(O3888:O7956, AA3888:AA7956 =""Neighbor"")), """")"),0.7851521357708504)</f>
        <v>0.7851521358</v>
      </c>
      <c r="AF3888" s="2">
        <f>IFERROR(__xludf.DUMMYFUNCTION("IFERROR(ABS(R3888-AVERAGE(FILTER(R3888:R7956,AA3888:AA7956=""Neighbor""))) / STDEV(FILTER(R3888:R7956, AA3888:AA7956 =""Neighbor"")), """")"),2.0933760878636702)</f>
        <v>2.093376088</v>
      </c>
    </row>
    <row r="3889">
      <c r="A3889" s="2" t="s">
        <v>28</v>
      </c>
      <c r="B3889" s="2" t="s">
        <v>8509</v>
      </c>
      <c r="C3889" s="2" t="s">
        <v>8738</v>
      </c>
      <c r="D3889" s="2" t="s">
        <v>15801</v>
      </c>
      <c r="E3889" s="2" t="s">
        <v>15802</v>
      </c>
      <c r="F3889" s="2">
        <v>42.0</v>
      </c>
      <c r="G3889" s="2">
        <v>85.0</v>
      </c>
      <c r="H3889" s="2" t="b">
        <v>1</v>
      </c>
      <c r="I3889" s="2">
        <v>-1.0</v>
      </c>
      <c r="J3889" s="2" t="b">
        <v>0</v>
      </c>
      <c r="K3889" s="2" t="b">
        <v>0</v>
      </c>
      <c r="L3889" s="2" t="b">
        <v>0</v>
      </c>
      <c r="M3889" s="2" t="b">
        <v>0</v>
      </c>
      <c r="N3889" s="2" t="s">
        <v>33</v>
      </c>
      <c r="O3889" s="2">
        <v>31.0</v>
      </c>
      <c r="P3889" s="2">
        <v>4.0</v>
      </c>
      <c r="Q3889" s="2">
        <v>3.0</v>
      </c>
      <c r="R3889" s="2">
        <v>0.0</v>
      </c>
      <c r="S3889" s="3" t="s">
        <v>15803</v>
      </c>
      <c r="T3889" s="2" t="s">
        <v>15804</v>
      </c>
      <c r="Y3889" s="4" t="str">
        <f>IFERROR(__xludf.DUMMYFUNCTION("""COMPUTED_VALUE"""),"7.1976196")</f>
        <v>7.1976196</v>
      </c>
      <c r="Z3889" s="4" t="str">
        <f>IFERROR(__xludf.DUMMYFUNCTION("""COMPUTED_VALUE"""),"3.4681388")</f>
        <v>3.4681388</v>
      </c>
      <c r="AA3889" s="4" t="str">
        <f t="shared" si="1"/>
        <v>Neighbor</v>
      </c>
      <c r="AC3889" s="4">
        <f>IFERROR(__xludf.DUMMYFUNCTION("IFERROR(ABS(O3889-AVERAGE(FILTER(O3889:O7957,AA3889:AA7957=""Neighbor""))) / STDEV(FILTER(O3889:O7957, AA3889:AA7957 =""Neighbor"")), """")"),0.09686276348609044)</f>
        <v>0.09686276349</v>
      </c>
      <c r="AF3889" s="2">
        <f>IFERROR(__xludf.DUMMYFUNCTION("IFERROR(ABS(R3889-AVERAGE(FILTER(R3889:R7957,AA3889:AA7957=""Neighbor""))) / STDEV(FILTER(R3889:R7957, AA3889:AA7957 =""Neighbor"")), """")"),0.2691483541539005)</f>
        <v>0.2691483542</v>
      </c>
    </row>
    <row r="3890">
      <c r="A3890" s="2" t="s">
        <v>28</v>
      </c>
      <c r="B3890" s="2" t="s">
        <v>8509</v>
      </c>
      <c r="C3890" s="2" t="s">
        <v>8738</v>
      </c>
      <c r="D3890" s="2" t="s">
        <v>15805</v>
      </c>
      <c r="E3890" s="2" t="s">
        <v>15806</v>
      </c>
      <c r="F3890" s="2">
        <v>36.0</v>
      </c>
      <c r="G3890" s="2">
        <v>93.0</v>
      </c>
      <c r="H3890" s="2" t="b">
        <v>1</v>
      </c>
      <c r="I3890" s="2">
        <v>-1.0</v>
      </c>
      <c r="J3890" s="2" t="b">
        <v>0</v>
      </c>
      <c r="K3890" s="2" t="b">
        <v>0</v>
      </c>
      <c r="L3890" s="2" t="b">
        <v>0</v>
      </c>
      <c r="M3890" s="2" t="b">
        <v>0</v>
      </c>
      <c r="N3890" s="2" t="s">
        <v>33</v>
      </c>
      <c r="O3890" s="2">
        <v>24.0</v>
      </c>
      <c r="P3890" s="2">
        <v>4.0</v>
      </c>
      <c r="Q3890" s="2">
        <v>3.0</v>
      </c>
      <c r="R3890" s="2">
        <v>0.0</v>
      </c>
      <c r="S3890" s="3" t="s">
        <v>15807</v>
      </c>
      <c r="T3890" s="2" t="s">
        <v>15808</v>
      </c>
      <c r="Y3890" s="4" t="str">
        <f>IFERROR(__xludf.DUMMYFUNCTION("""COMPUTED_VALUE"""),"7.1976196")</f>
        <v>7.1976196</v>
      </c>
      <c r="Z3890" s="4" t="str">
        <f>IFERROR(__xludf.DUMMYFUNCTION("""COMPUTED_VALUE"""),"3.4681388")</f>
        <v>3.4681388</v>
      </c>
      <c r="AA3890" s="4" t="str">
        <f t="shared" si="1"/>
        <v>Neighbor</v>
      </c>
      <c r="AC3890" s="4">
        <f>IFERROR(__xludf.DUMMYFUNCTION("IFERROR(ABS(O3890-AVERAGE(FILTER(O3890:O7958,AA3890:AA7958=""Neighbor""))) / STDEV(FILTER(O3890:O7958, AA3890:AA7958 =""Neighbor"")), """")"),0.37908744086147556)</f>
        <v>0.3790874409</v>
      </c>
      <c r="AF3890" s="2">
        <f>IFERROR(__xludf.DUMMYFUNCTION("IFERROR(ABS(R3890-AVERAGE(FILTER(R3890:R7958,AA3890:AA7958=""Neighbor""))) / STDEV(FILTER(R3890:R7958, AA3890:AA7958 =""Neighbor"")), """")"),0.2709733813985673)</f>
        <v>0.2709733814</v>
      </c>
    </row>
    <row r="3891">
      <c r="A3891" s="2" t="s">
        <v>28</v>
      </c>
      <c r="B3891" s="2" t="s">
        <v>8509</v>
      </c>
      <c r="C3891" s="2" t="s">
        <v>8738</v>
      </c>
      <c r="D3891" s="2" t="s">
        <v>15809</v>
      </c>
      <c r="E3891" s="2" t="s">
        <v>15810</v>
      </c>
      <c r="F3891" s="2">
        <v>64.0</v>
      </c>
      <c r="G3891" s="2">
        <v>128.0</v>
      </c>
      <c r="H3891" s="2" t="b">
        <v>1</v>
      </c>
      <c r="I3891" s="2">
        <v>-1.0</v>
      </c>
      <c r="J3891" s="2" t="b">
        <v>0</v>
      </c>
      <c r="K3891" s="2" t="b">
        <v>0</v>
      </c>
      <c r="L3891" s="2" t="b">
        <v>0</v>
      </c>
      <c r="M3891" s="2" t="b">
        <v>0</v>
      </c>
      <c r="N3891" s="2" t="s">
        <v>33</v>
      </c>
      <c r="O3891" s="2">
        <v>23.0</v>
      </c>
      <c r="P3891" s="2">
        <v>29.0</v>
      </c>
      <c r="Q3891" s="2">
        <v>3.0</v>
      </c>
      <c r="R3891" s="2">
        <v>0.0</v>
      </c>
      <c r="S3891" s="3" t="s">
        <v>15811</v>
      </c>
      <c r="T3891" s="2" t="s">
        <v>15812</v>
      </c>
      <c r="Y3891" s="4" t="str">
        <f>IFERROR(__xludf.DUMMYFUNCTION("""COMPUTED_VALUE"""),"7.1916672")</f>
        <v>7.1916672</v>
      </c>
      <c r="Z3891" s="4" t="str">
        <f>IFERROR(__xludf.DUMMYFUNCTION("""COMPUTED_VALUE"""),"3.4633862")</f>
        <v>3.4633862</v>
      </c>
      <c r="AA3891" s="4" t="str">
        <f t="shared" si="1"/>
        <v>Not Neighbor</v>
      </c>
      <c r="AC3891" s="4">
        <f>IFERROR(__xludf.DUMMYFUNCTION("IFERROR(ABS(O3891-AVERAGE(FILTER(O3891:O7959,AA3891:AA7959=""Neighbor""))) / STDEV(FILTER(O3891:O7959, AA3891:AA7959 =""Neighbor"")), """")"),0.4218755123382733)</f>
        <v>0.4218755123</v>
      </c>
      <c r="AF3891" s="2">
        <f>IFERROR(__xludf.DUMMYFUNCTION("IFERROR(ABS(R3891-AVERAGE(FILTER(R3891:R7959,AA3891:AA7959=""Neighbor""))) / STDEV(FILTER(R3891:R7959, AA3891:AA7959 =""Neighbor"")), """")"),0.27283608073987103)</f>
        <v>0.2728360807</v>
      </c>
    </row>
    <row r="3892">
      <c r="A3892" s="2" t="s">
        <v>28</v>
      </c>
      <c r="B3892" s="2" t="s">
        <v>8509</v>
      </c>
      <c r="C3892" s="2" t="s">
        <v>8738</v>
      </c>
      <c r="D3892" s="2" t="s">
        <v>15813</v>
      </c>
      <c r="E3892" s="2" t="s">
        <v>15814</v>
      </c>
      <c r="F3892" s="2">
        <v>48.0</v>
      </c>
      <c r="G3892" s="2">
        <v>97.0</v>
      </c>
      <c r="H3892" s="2" t="b">
        <v>1</v>
      </c>
      <c r="I3892" s="2">
        <v>-1.0</v>
      </c>
      <c r="J3892" s="2" t="b">
        <v>0</v>
      </c>
      <c r="K3892" s="2" t="b">
        <v>0</v>
      </c>
      <c r="L3892" s="2" t="b">
        <v>0</v>
      </c>
      <c r="M3892" s="2" t="b">
        <v>0</v>
      </c>
      <c r="N3892" s="2" t="s">
        <v>33</v>
      </c>
      <c r="O3892" s="2">
        <v>18.0</v>
      </c>
      <c r="P3892" s="2">
        <v>25.0</v>
      </c>
      <c r="Q3892" s="2">
        <v>4.0</v>
      </c>
      <c r="R3892" s="2">
        <v>0.0</v>
      </c>
      <c r="S3892" s="3" t="s">
        <v>15815</v>
      </c>
      <c r="T3892" s="2" t="s">
        <v>15816</v>
      </c>
      <c r="Y3892" s="4" t="str">
        <f>IFERROR(__xludf.DUMMYFUNCTION("""COMPUTED_VALUE"""),"7.1813062")</f>
        <v>7.1813062</v>
      </c>
      <c r="Z3892" s="4" t="str">
        <f>IFERROR(__xludf.DUMMYFUNCTION("""COMPUTED_VALUE"""),"3.4463638")</f>
        <v>3.4463638</v>
      </c>
      <c r="AA3892" s="4" t="str">
        <f t="shared" si="1"/>
        <v>Not Neighbor</v>
      </c>
      <c r="AC3892" s="4">
        <f>IFERROR(__xludf.DUMMYFUNCTION("IFERROR(ABS(O3892-AVERAGE(FILTER(O3892:O7960,AA3892:AA7960=""Neighbor""))) / STDEV(FILTER(O3892:O7960, AA3892:AA7960 =""Neighbor"")), """")"),0.6219026949124545)</f>
        <v>0.6219026949</v>
      </c>
      <c r="AF3892" s="2">
        <f>IFERROR(__xludf.DUMMYFUNCTION("IFERROR(ABS(R3892-AVERAGE(FILTER(R3892:R7960,AA3892:AA7960=""Neighbor""))) / STDEV(FILTER(R3892:R7960, AA3892:AA7960 =""Neighbor"")), """")"),0.27283608073987103)</f>
        <v>0.2728360807</v>
      </c>
    </row>
    <row r="3893">
      <c r="A3893" s="2" t="s">
        <v>28</v>
      </c>
      <c r="B3893" s="2" t="s">
        <v>8911</v>
      </c>
      <c r="C3893" s="2" t="s">
        <v>9045</v>
      </c>
      <c r="D3893" s="2" t="s">
        <v>15817</v>
      </c>
      <c r="E3893" s="2" t="s">
        <v>15818</v>
      </c>
      <c r="F3893" s="2">
        <v>58.0</v>
      </c>
      <c r="G3893" s="2">
        <v>103.0</v>
      </c>
      <c r="H3893" s="2" t="b">
        <v>1</v>
      </c>
      <c r="I3893" s="2">
        <v>-1.0</v>
      </c>
      <c r="J3893" s="2" t="b">
        <v>0</v>
      </c>
      <c r="K3893" s="2" t="b">
        <v>0</v>
      </c>
      <c r="L3893" s="2" t="b">
        <v>0</v>
      </c>
      <c r="M3893" s="2" t="b">
        <v>0</v>
      </c>
      <c r="N3893" s="2" t="s">
        <v>33</v>
      </c>
      <c r="O3893" s="2">
        <v>38.0</v>
      </c>
      <c r="P3893" s="2">
        <v>4.0</v>
      </c>
      <c r="Q3893" s="2">
        <v>12.0</v>
      </c>
      <c r="R3893" s="2">
        <v>0.0</v>
      </c>
      <c r="S3893" s="3" t="s">
        <v>15819</v>
      </c>
      <c r="T3893" s="2" t="s">
        <v>15820</v>
      </c>
      <c r="Y3893" s="4" t="str">
        <f>IFERROR(__xludf.DUMMYFUNCTION("""COMPUTED_VALUE"""),"6.8004194")</f>
        <v>6.8004194</v>
      </c>
      <c r="Z3893" s="4" t="str">
        <f>IFERROR(__xludf.DUMMYFUNCTION("""COMPUTED_VALUE"""),"3.7359638")</f>
        <v>3.7359638</v>
      </c>
      <c r="AA3893" s="4" t="str">
        <f t="shared" si="1"/>
        <v>Neighbor</v>
      </c>
      <c r="AC3893" s="4">
        <f>IFERROR(__xludf.DUMMYFUNCTION("IFERROR(ABS(O3893-AVERAGE(FILTER(O3893:O7961,AA3893:AA7961=""Neighbor""))) / STDEV(FILTER(O3893:O7961, AA3893:AA7961 =""Neighbor"")), """")"),0.17820603538427054)</f>
        <v>0.1782060354</v>
      </c>
      <c r="AF3893" s="2">
        <f>IFERROR(__xludf.DUMMYFUNCTION("IFERROR(ABS(R3893-AVERAGE(FILTER(R3893:R7961,AA3893:AA7961=""Neighbor""))) / STDEV(FILTER(R3893:R7961, AA3893:AA7961 =""Neighbor"")), """")"),0.27283608073987103)</f>
        <v>0.2728360807</v>
      </c>
    </row>
    <row r="3894">
      <c r="A3894" s="2" t="s">
        <v>28</v>
      </c>
      <c r="B3894" s="2" t="s">
        <v>8911</v>
      </c>
      <c r="C3894" s="2" t="s">
        <v>9045</v>
      </c>
      <c r="D3894" s="2" t="s">
        <v>15821</v>
      </c>
      <c r="E3894" s="2" t="s">
        <v>15822</v>
      </c>
      <c r="F3894" s="2">
        <v>52.0</v>
      </c>
      <c r="G3894" s="2">
        <v>113.0</v>
      </c>
      <c r="H3894" s="2" t="b">
        <v>1</v>
      </c>
      <c r="I3894" s="2">
        <v>-1.0</v>
      </c>
      <c r="J3894" s="2" t="b">
        <v>0</v>
      </c>
      <c r="K3894" s="2" t="b">
        <v>0</v>
      </c>
      <c r="L3894" s="2" t="b">
        <v>0</v>
      </c>
      <c r="M3894" s="2" t="b">
        <v>0</v>
      </c>
      <c r="N3894" s="2" t="s">
        <v>33</v>
      </c>
      <c r="O3894" s="2">
        <v>34.0</v>
      </c>
      <c r="P3894" s="2">
        <v>3.0</v>
      </c>
      <c r="Q3894" s="2">
        <v>11.0</v>
      </c>
      <c r="R3894" s="2">
        <v>0.0</v>
      </c>
      <c r="S3894" s="3" t="s">
        <v>15823</v>
      </c>
      <c r="T3894" s="2" t="s">
        <v>15824</v>
      </c>
      <c r="Y3894" s="4" t="str">
        <f>IFERROR(__xludf.DUMMYFUNCTION("""COMPUTED_VALUE"""),"6.8073418")</f>
        <v>6.8073418</v>
      </c>
      <c r="Z3894" s="4" t="str">
        <f>IFERROR(__xludf.DUMMYFUNCTION("""COMPUTED_VALUE"""),"3.7358924")</f>
        <v>3.7358924</v>
      </c>
      <c r="AA3894" s="4" t="str">
        <f t="shared" si="1"/>
        <v>Neighbor</v>
      </c>
      <c r="AC3894" s="4">
        <f>IFERROR(__xludf.DUMMYFUNCTION("IFERROR(ABS(O3894-AVERAGE(FILTER(O3894:O7962,AA3894:AA7962=""Neighbor""))) / STDEV(FILTER(O3894:O7962, AA3894:AA7962 =""Neighbor"")), """")"),0.020397916725256846)</f>
        <v>0.02039791673</v>
      </c>
      <c r="AF3894" s="2">
        <f>IFERROR(__xludf.DUMMYFUNCTION("IFERROR(ABS(R3894-AVERAGE(FILTER(R3894:R7962,AA3894:AA7962=""Neighbor""))) / STDEV(FILTER(R3894:R7962, AA3894:AA7962 =""Neighbor"")), """")"),0.2747377675393019)</f>
        <v>0.2747377675</v>
      </c>
    </row>
    <row r="3895">
      <c r="A3895" s="2" t="s">
        <v>28</v>
      </c>
      <c r="B3895" s="2" t="s">
        <v>8911</v>
      </c>
      <c r="C3895" s="2" t="s">
        <v>9045</v>
      </c>
      <c r="D3895" s="2" t="s">
        <v>15825</v>
      </c>
      <c r="E3895" s="2" t="s">
        <v>15826</v>
      </c>
      <c r="F3895" s="2">
        <v>60.0</v>
      </c>
      <c r="G3895" s="2">
        <v>127.0</v>
      </c>
      <c r="H3895" s="2" t="b">
        <v>1</v>
      </c>
      <c r="I3895" s="2">
        <v>-1.0</v>
      </c>
      <c r="J3895" s="2" t="b">
        <v>0</v>
      </c>
      <c r="K3895" s="2" t="b">
        <v>0</v>
      </c>
      <c r="L3895" s="2" t="b">
        <v>0</v>
      </c>
      <c r="M3895" s="2" t="b">
        <v>0</v>
      </c>
      <c r="N3895" s="2" t="s">
        <v>33</v>
      </c>
      <c r="O3895" s="2">
        <v>33.0</v>
      </c>
      <c r="P3895" s="2">
        <v>2.0</v>
      </c>
      <c r="Q3895" s="2">
        <v>22.0</v>
      </c>
      <c r="R3895" s="2">
        <v>0.0</v>
      </c>
      <c r="S3895" s="3" t="s">
        <v>15827</v>
      </c>
      <c r="T3895" s="2" t="s">
        <v>15828</v>
      </c>
      <c r="Y3895" s="4" t="str">
        <f>IFERROR(__xludf.DUMMYFUNCTION("""COMPUTED_VALUE"""),"6.80378")</f>
        <v>6.80378</v>
      </c>
      <c r="Z3895" s="4" t="str">
        <f>IFERROR(__xludf.DUMMYFUNCTION("""COMPUTED_VALUE"""),"3.7431826")</f>
        <v>3.7431826</v>
      </c>
      <c r="AA3895" s="4" t="str">
        <f t="shared" si="1"/>
        <v>Neighbor</v>
      </c>
      <c r="AC3895" s="4">
        <f>IFERROR(__xludf.DUMMYFUNCTION("IFERROR(ABS(O3895-AVERAGE(FILTER(O3895:O7963,AA3895:AA7963=""Neighbor""))) / STDEV(FILTER(O3895:O7963, AA3895:AA7963 =""Neighbor"")), """")"),0.018952324597552618)</f>
        <v>0.0189523246</v>
      </c>
      <c r="AF3895" s="2">
        <f>IFERROR(__xludf.DUMMYFUNCTION("IFERROR(ABS(R3895-AVERAGE(FILTER(R3895:R7963,AA3895:AA7963=""Neighbor""))) / STDEV(FILTER(R3895:R7963, AA3895:AA7963 =""Neighbor"")), """")"),0.27667982242644845)</f>
        <v>0.2766798224</v>
      </c>
    </row>
    <row r="3896">
      <c r="A3896" s="2" t="s">
        <v>28</v>
      </c>
      <c r="B3896" s="2" t="s">
        <v>8911</v>
      </c>
      <c r="C3896" s="2" t="s">
        <v>9120</v>
      </c>
      <c r="D3896" s="2" t="s">
        <v>15829</v>
      </c>
      <c r="E3896" s="2" t="s">
        <v>15830</v>
      </c>
      <c r="F3896" s="2">
        <v>184.0</v>
      </c>
      <c r="G3896" s="2">
        <v>539.0</v>
      </c>
      <c r="H3896" s="2" t="b">
        <v>1</v>
      </c>
      <c r="I3896" s="2">
        <v>-1.0</v>
      </c>
      <c r="J3896" s="2" t="b">
        <v>0</v>
      </c>
      <c r="K3896" s="2" t="b">
        <v>0</v>
      </c>
      <c r="L3896" s="2" t="b">
        <v>0</v>
      </c>
      <c r="M3896" s="2" t="b">
        <v>0</v>
      </c>
      <c r="N3896" s="2" t="s">
        <v>33</v>
      </c>
      <c r="O3896" s="2">
        <v>75.0</v>
      </c>
      <c r="P3896" s="2">
        <v>5.0</v>
      </c>
      <c r="Q3896" s="2">
        <v>95.0</v>
      </c>
      <c r="R3896" s="2">
        <v>0.0</v>
      </c>
      <c r="S3896" s="3" t="s">
        <v>15831</v>
      </c>
      <c r="T3896" s="2" t="s">
        <v>15832</v>
      </c>
      <c r="Y3896" s="4" t="str">
        <f>IFERROR(__xludf.DUMMYFUNCTION("""COMPUTED_VALUE"""),"6.8036748")</f>
        <v>6.8036748</v>
      </c>
      <c r="Z3896" s="4" t="str">
        <f>IFERROR(__xludf.DUMMYFUNCTION("""COMPUTED_VALUE"""),"3.7428008")</f>
        <v>3.7428008</v>
      </c>
      <c r="AA3896" s="4" t="str">
        <f t="shared" si="1"/>
        <v>Not Neighbor</v>
      </c>
      <c r="AC3896" s="4">
        <f>IFERROR(__xludf.DUMMYFUNCTION("IFERROR(ABS(O3896-AVERAGE(FILTER(O3896:O7964,AA3896:AA7964=""Neighbor""))) / STDEV(FILTER(O3896:O7964, AA3896:AA7964 =""Neighbor"")), """")"),1.6280111638533608)</f>
        <v>1.628011164</v>
      </c>
      <c r="AF3896" s="2">
        <f>IFERROR(__xludf.DUMMYFUNCTION("IFERROR(ABS(R3896-AVERAGE(FILTER(R3896:R7964,AA3896:AA7964=""Neighbor""))) / STDEV(FILTER(R3896:R7964, AA3896:AA7964 =""Neighbor"")), """")"),0.27866369552648157)</f>
        <v>0.2786636955</v>
      </c>
    </row>
    <row r="3897">
      <c r="A3897" s="2" t="s">
        <v>28</v>
      </c>
      <c r="B3897" s="2" t="s">
        <v>8911</v>
      </c>
      <c r="C3897" s="2" t="s">
        <v>9120</v>
      </c>
      <c r="D3897" s="2" t="s">
        <v>15833</v>
      </c>
      <c r="E3897" s="2" t="s">
        <v>15834</v>
      </c>
      <c r="F3897" s="2">
        <v>68.0</v>
      </c>
      <c r="G3897" s="2">
        <v>115.0</v>
      </c>
      <c r="H3897" s="2" t="b">
        <v>1</v>
      </c>
      <c r="I3897" s="2">
        <v>-1.0</v>
      </c>
      <c r="J3897" s="2" t="b">
        <v>0</v>
      </c>
      <c r="K3897" s="2" t="b">
        <v>0</v>
      </c>
      <c r="L3897" s="2" t="b">
        <v>0</v>
      </c>
      <c r="M3897" s="2" t="b">
        <v>0</v>
      </c>
      <c r="N3897" s="2" t="s">
        <v>33</v>
      </c>
      <c r="O3897" s="2">
        <v>43.0</v>
      </c>
      <c r="P3897" s="2">
        <v>5.0</v>
      </c>
      <c r="Q3897" s="2">
        <v>14.0</v>
      </c>
      <c r="R3897" s="2">
        <v>0.0</v>
      </c>
      <c r="S3897" s="3" t="s">
        <v>15835</v>
      </c>
      <c r="T3897" s="2" t="s">
        <v>15836</v>
      </c>
      <c r="Y3897" s="4" t="str">
        <f>IFERROR(__xludf.DUMMYFUNCTION("""COMPUTED_VALUE"""),"6.7160293")</f>
        <v>6.7160293</v>
      </c>
      <c r="Z3897" s="4" t="str">
        <f>IFERROR(__xludf.DUMMYFUNCTION("""COMPUTED_VALUE"""),"3.7968574")</f>
        <v>3.7968574</v>
      </c>
      <c r="AA3897" s="4" t="str">
        <f t="shared" si="1"/>
        <v>Neighbor</v>
      </c>
      <c r="AC3897" s="4">
        <f>IFERROR(__xludf.DUMMYFUNCTION("IFERROR(ABS(O3897-AVERAGE(FILTER(O3897:O7965,AA3897:AA7965=""Neighbor""))) / STDEV(FILTER(O3897:O7965, AA3897:AA7965 =""Neighbor"")), """")"),0.3730858917163953)</f>
        <v>0.3730858917</v>
      </c>
      <c r="AF3897" s="2">
        <f>IFERROR(__xludf.DUMMYFUNCTION("IFERROR(ABS(R3897-AVERAGE(FILTER(R3897:R7965,AA3897:AA7965=""Neighbor""))) / STDEV(FILTER(R3897:R7965, AA3897:AA7965 =""Neighbor"")), """")"),0.27866369552648157)</f>
        <v>0.2786636955</v>
      </c>
    </row>
    <row r="3898">
      <c r="A3898" s="2" t="s">
        <v>28</v>
      </c>
      <c r="B3898" s="2" t="s">
        <v>8911</v>
      </c>
      <c r="C3898" s="2" t="s">
        <v>9120</v>
      </c>
      <c r="D3898" s="2" t="s">
        <v>15837</v>
      </c>
      <c r="E3898" s="2" t="s">
        <v>15838</v>
      </c>
      <c r="F3898" s="2">
        <v>67.0</v>
      </c>
      <c r="G3898" s="2">
        <v>91.0</v>
      </c>
      <c r="H3898" s="2" t="b">
        <v>1</v>
      </c>
      <c r="I3898" s="2">
        <v>-1.0</v>
      </c>
      <c r="J3898" s="2" t="b">
        <v>0</v>
      </c>
      <c r="K3898" s="2" t="b">
        <v>0</v>
      </c>
      <c r="L3898" s="2" t="b">
        <v>0</v>
      </c>
      <c r="M3898" s="2" t="b">
        <v>0</v>
      </c>
      <c r="N3898" s="2" t="s">
        <v>33</v>
      </c>
      <c r="O3898" s="2">
        <v>29.0</v>
      </c>
      <c r="P3898" s="2">
        <v>4.0</v>
      </c>
      <c r="Q3898" s="2">
        <v>29.0</v>
      </c>
      <c r="R3898" s="2">
        <v>0.0</v>
      </c>
      <c r="S3898" s="3" t="s">
        <v>15839</v>
      </c>
      <c r="T3898" s="2" t="s">
        <v>15840</v>
      </c>
      <c r="Y3898" s="4" t="str">
        <f>IFERROR(__xludf.DUMMYFUNCTION("""COMPUTED_VALUE"""),"6.7160293")</f>
        <v>6.7160293</v>
      </c>
      <c r="Z3898" s="4" t="str">
        <f>IFERROR(__xludf.DUMMYFUNCTION("""COMPUTED_VALUE"""),"3.7968574")</f>
        <v>3.7968574</v>
      </c>
      <c r="AA3898" s="4" t="str">
        <f t="shared" si="1"/>
        <v>Not Neighbor</v>
      </c>
      <c r="AC3898" s="4">
        <f>IFERROR(__xludf.DUMMYFUNCTION("IFERROR(ABS(O3898-AVERAGE(FILTER(O3898:O7966,AA3898:AA7966=""Neighbor""))) / STDEV(FILTER(O3898:O7966, AA3898:AA7966 =""Neighbor"")), """")"),0.16982322717459666)</f>
        <v>0.1698232272</v>
      </c>
      <c r="AF3898" s="2">
        <f>IFERROR(__xludf.DUMMYFUNCTION("IFERROR(ABS(R3898-AVERAGE(FILTER(R3898:R7966,AA3898:AA7966=""Neighbor""))) / STDEV(FILTER(R3898:R7966, AA3898:AA7966 =""Neighbor"")), """")"),0.28069091102747873)</f>
        <v>0.280690911</v>
      </c>
    </row>
    <row r="3899">
      <c r="A3899" s="2" t="s">
        <v>28</v>
      </c>
      <c r="B3899" s="2" t="s">
        <v>8911</v>
      </c>
      <c r="C3899" s="2" t="s">
        <v>9103</v>
      </c>
      <c r="D3899" s="2" t="s">
        <v>15841</v>
      </c>
      <c r="E3899" s="2" t="s">
        <v>15842</v>
      </c>
      <c r="F3899" s="2">
        <v>105.0</v>
      </c>
      <c r="G3899" s="2">
        <v>446.0</v>
      </c>
      <c r="H3899" s="2" t="b">
        <v>1</v>
      </c>
      <c r="I3899" s="2">
        <v>-1.0</v>
      </c>
      <c r="J3899" s="2" t="b">
        <v>0</v>
      </c>
      <c r="K3899" s="2" t="b">
        <v>0</v>
      </c>
      <c r="L3899" s="2" t="b">
        <v>0</v>
      </c>
      <c r="M3899" s="2" t="b">
        <v>0</v>
      </c>
      <c r="N3899" s="2" t="s">
        <v>33</v>
      </c>
      <c r="O3899" s="2">
        <v>61.0</v>
      </c>
      <c r="P3899" s="2">
        <v>9.0</v>
      </c>
      <c r="Q3899" s="2">
        <v>24.0</v>
      </c>
      <c r="R3899" s="2">
        <v>0.0</v>
      </c>
      <c r="S3899" s="3" t="s">
        <v>15843</v>
      </c>
      <c r="T3899" s="2" t="s">
        <v>15844</v>
      </c>
      <c r="Y3899" s="4" t="str">
        <f>IFERROR(__xludf.DUMMYFUNCTION("""COMPUTED_VALUE"""),"6.7702167")</f>
        <v>6.7702167</v>
      </c>
      <c r="Z3899" s="4" t="str">
        <f>IFERROR(__xludf.DUMMYFUNCTION("""COMPUTED_VALUE"""),"3.8693481")</f>
        <v>3.8693481</v>
      </c>
      <c r="AA3899" s="4" t="str">
        <f t="shared" si="1"/>
        <v>Neighbor</v>
      </c>
      <c r="AC3899" s="4">
        <f>IFERROR(__xludf.DUMMYFUNCTION("IFERROR(ABS(O3899-AVERAGE(FILTER(O3899:O7967,AA3899:AA7967=""Neighbor""))) / STDEV(FILTER(O3899:O7967, AA3899:AA7967 =""Neighbor"")), """")"),1.077683246661435)</f>
        <v>1.077683247</v>
      </c>
      <c r="AF3899" s="2">
        <f>IFERROR(__xludf.DUMMYFUNCTION("IFERROR(ABS(R3899-AVERAGE(FILTER(R3899:R7967,AA3899:AA7967=""Neighbor""))) / STDEV(FILTER(R3899:R7967, AA3899:AA7967 =""Neighbor"")), """")"),0.28069091102747873)</f>
        <v>0.280690911</v>
      </c>
    </row>
    <row r="3900">
      <c r="A3900" s="2" t="s">
        <v>28</v>
      </c>
      <c r="B3900" s="2" t="s">
        <v>8911</v>
      </c>
      <c r="C3900" s="2" t="s">
        <v>9103</v>
      </c>
      <c r="D3900" s="2" t="s">
        <v>15845</v>
      </c>
      <c r="E3900" s="2" t="s">
        <v>15846</v>
      </c>
      <c r="F3900" s="2">
        <v>94.0</v>
      </c>
      <c r="G3900" s="2">
        <v>453.0</v>
      </c>
      <c r="H3900" s="2" t="b">
        <v>1</v>
      </c>
      <c r="I3900" s="2">
        <v>-1.0</v>
      </c>
      <c r="J3900" s="2" t="b">
        <v>0</v>
      </c>
      <c r="K3900" s="2" t="b">
        <v>0</v>
      </c>
      <c r="L3900" s="2" t="b">
        <v>0</v>
      </c>
      <c r="M3900" s="2" t="b">
        <v>0</v>
      </c>
      <c r="N3900" s="2" t="s">
        <v>33</v>
      </c>
      <c r="O3900" s="2">
        <v>48.0</v>
      </c>
      <c r="P3900" s="2">
        <v>15.0</v>
      </c>
      <c r="Q3900" s="2">
        <v>21.0</v>
      </c>
      <c r="R3900" s="2">
        <v>0.0</v>
      </c>
      <c r="S3900" s="3" t="s">
        <v>15847</v>
      </c>
      <c r="T3900" s="2" t="s">
        <v>15848</v>
      </c>
      <c r="Y3900" s="4" t="str">
        <f>IFERROR(__xludf.DUMMYFUNCTION("""COMPUTED_VALUE"""),"6.7768209")</f>
        <v>6.7768209</v>
      </c>
      <c r="Z3900" s="4" t="str">
        <f>IFERROR(__xludf.DUMMYFUNCTION("""COMPUTED_VALUE"""),"3.8664341")</f>
        <v>3.8664341</v>
      </c>
      <c r="AA3900" s="4" t="str">
        <f t="shared" si="1"/>
        <v>Neighbor</v>
      </c>
      <c r="AC3900" s="4">
        <f>IFERROR(__xludf.DUMMYFUNCTION("IFERROR(ABS(O3900-AVERAGE(FILTER(O3900:O7968,AA3900:AA7968=""Neighbor""))) / STDEV(FILTER(O3900:O7968, AA3900:AA7968 =""Neighbor"")), """")"),0.5865853864408728)</f>
        <v>0.5865853864</v>
      </c>
      <c r="AF3900" s="2">
        <f>IFERROR(__xludf.DUMMYFUNCTION("IFERROR(ABS(R3900-AVERAGE(FILTER(R3900:R7968,AA3900:AA7968=""Neighbor""))) / STDEV(FILTER(R3900:R7968, AA3900:AA7968 =""Neighbor"")), """")"),0.28276307212037954)</f>
        <v>0.2827630721</v>
      </c>
    </row>
    <row r="3901">
      <c r="A3901" s="2" t="s">
        <v>28</v>
      </c>
      <c r="B3901" s="2" t="s">
        <v>8911</v>
      </c>
      <c r="C3901" s="2" t="s">
        <v>9103</v>
      </c>
      <c r="D3901" s="2" t="s">
        <v>15849</v>
      </c>
      <c r="E3901" s="2" t="s">
        <v>15850</v>
      </c>
      <c r="F3901" s="2">
        <v>60.0</v>
      </c>
      <c r="G3901" s="2">
        <v>107.0</v>
      </c>
      <c r="H3901" s="2" t="b">
        <v>1</v>
      </c>
      <c r="I3901" s="2">
        <v>-1.0</v>
      </c>
      <c r="J3901" s="2" t="b">
        <v>0</v>
      </c>
      <c r="K3901" s="2" t="b">
        <v>0</v>
      </c>
      <c r="L3901" s="2" t="b">
        <v>0</v>
      </c>
      <c r="M3901" s="2" t="b">
        <v>0</v>
      </c>
      <c r="N3901" s="2" t="s">
        <v>33</v>
      </c>
      <c r="O3901" s="2">
        <v>27.0</v>
      </c>
      <c r="P3901" s="2">
        <v>6.0</v>
      </c>
      <c r="Q3901" s="2">
        <v>20.0</v>
      </c>
      <c r="R3901" s="2">
        <v>0.0</v>
      </c>
      <c r="S3901" s="3" t="s">
        <v>15851</v>
      </c>
      <c r="T3901" s="2" t="s">
        <v>15852</v>
      </c>
      <c r="Y3901" s="4" t="str">
        <f>IFERROR(__xludf.DUMMYFUNCTION("""COMPUTED_VALUE"""),"6.7715212")</f>
        <v>6.7715212</v>
      </c>
      <c r="Z3901" s="4" t="str">
        <f>IFERROR(__xludf.DUMMYFUNCTION("""COMPUTED_VALUE"""),"3.8700796")</f>
        <v>3.8700796</v>
      </c>
      <c r="AA3901" s="4" t="str">
        <f t="shared" si="1"/>
        <v>Neighbor</v>
      </c>
      <c r="AC3901" s="4">
        <f>IFERROR(__xludf.DUMMYFUNCTION("IFERROR(ABS(O3901-AVERAGE(FILTER(O3901:O7969,AA3901:AA7969=""Neighbor""))) / STDEV(FILTER(O3901:O7969, AA3901:AA7969 =""Neighbor"")), """")"),0.22381597341300646)</f>
        <v>0.2238159734</v>
      </c>
      <c r="AF3901" s="2">
        <f>IFERROR(__xludf.DUMMYFUNCTION("IFERROR(ABS(R3901-AVERAGE(FILTER(R3901:R7969,AA3901:AA7969=""Neighbor""))) / STDEV(FILTER(R3901:R7969, AA3901:AA7969 =""Neighbor"")), """")"),0.28488186634807217)</f>
        <v>0.2848818663</v>
      </c>
    </row>
    <row r="3902">
      <c r="A3902" s="2" t="s">
        <v>28</v>
      </c>
      <c r="B3902" s="2" t="s">
        <v>8911</v>
      </c>
      <c r="C3902" s="2" t="s">
        <v>9103</v>
      </c>
      <c r="D3902" s="2" t="s">
        <v>15853</v>
      </c>
      <c r="E3902" s="2" t="s">
        <v>15854</v>
      </c>
      <c r="F3902" s="2">
        <v>76.0</v>
      </c>
      <c r="G3902" s="2">
        <v>124.0</v>
      </c>
      <c r="H3902" s="2" t="b">
        <v>1</v>
      </c>
      <c r="I3902" s="2">
        <v>-1.0</v>
      </c>
      <c r="J3902" s="2" t="b">
        <v>0</v>
      </c>
      <c r="K3902" s="2" t="b">
        <v>0</v>
      </c>
      <c r="L3902" s="2" t="b">
        <v>0</v>
      </c>
      <c r="M3902" s="2" t="b">
        <v>0</v>
      </c>
      <c r="N3902" s="2" t="s">
        <v>33</v>
      </c>
      <c r="O3902" s="2">
        <v>0.0</v>
      </c>
      <c r="P3902" s="2">
        <v>0.0</v>
      </c>
      <c r="Q3902" s="2">
        <v>0.0</v>
      </c>
      <c r="R3902" s="2">
        <v>0.0</v>
      </c>
      <c r="S3902" s="3" t="s">
        <v>15855</v>
      </c>
      <c r="T3902" s="2" t="s">
        <v>15856</v>
      </c>
      <c r="Y3902" s="4" t="str">
        <f>IFERROR(__xludf.DUMMYFUNCTION("""COMPUTED_VALUE"""),"6.7702167")</f>
        <v>6.7702167</v>
      </c>
      <c r="Z3902" s="4" t="str">
        <f>IFERROR(__xludf.DUMMYFUNCTION("""COMPUTED_VALUE"""),"3.8693481")</f>
        <v>3.8693481</v>
      </c>
      <c r="AA3902" s="4" t="str">
        <f t="shared" si="1"/>
        <v>Not Neighbor</v>
      </c>
      <c r="AC3902" s="4">
        <f>IFERROR(__xludf.DUMMYFUNCTION("IFERROR(ABS(O3902-AVERAGE(FILTER(O3902:O7970,AA3902:AA7970=""Neighbor""))) / STDEV(FILTER(O3902:O7970, AA3902:AA7970 =""Neighbor"")), """")"),1.2673607362496389)</f>
        <v>1.267360736</v>
      </c>
      <c r="AF3902" s="2">
        <f>IFERROR(__xludf.DUMMYFUNCTION("IFERROR(ABS(R3902-AVERAGE(FILTER(R3902:R7970,AA3902:AA7970=""Neighbor""))) / STDEV(FILTER(R3902:R7970, AA3902:AA7970 =""Neighbor"")), """")"),0.28704907140430436)</f>
        <v>0.2870490714</v>
      </c>
    </row>
    <row r="3903">
      <c r="A3903" s="2" t="s">
        <v>28</v>
      </c>
      <c r="B3903" s="2" t="s">
        <v>8911</v>
      </c>
      <c r="C3903" s="2" t="s">
        <v>9145</v>
      </c>
      <c r="D3903" s="2" t="s">
        <v>15857</v>
      </c>
      <c r="E3903" s="2" t="s">
        <v>15858</v>
      </c>
      <c r="F3903" s="2">
        <v>94.0</v>
      </c>
      <c r="G3903" s="2">
        <v>131.0</v>
      </c>
      <c r="H3903" s="2" t="b">
        <v>1</v>
      </c>
      <c r="I3903" s="2">
        <v>-1.0</v>
      </c>
      <c r="J3903" s="2" t="b">
        <v>0</v>
      </c>
      <c r="K3903" s="2" t="b">
        <v>0</v>
      </c>
      <c r="L3903" s="2" t="b">
        <v>0</v>
      </c>
      <c r="M3903" s="2" t="b">
        <v>0</v>
      </c>
      <c r="N3903" s="2" t="s">
        <v>33</v>
      </c>
      <c r="O3903" s="2">
        <v>58.0</v>
      </c>
      <c r="P3903" s="2">
        <v>6.0</v>
      </c>
      <c r="Q3903" s="2">
        <v>10.0</v>
      </c>
      <c r="R3903" s="2">
        <v>0.0</v>
      </c>
      <c r="S3903" s="3" t="s">
        <v>15859</v>
      </c>
      <c r="T3903" s="2" t="s">
        <v>15860</v>
      </c>
      <c r="Y3903" s="4" t="str">
        <f>IFERROR(__xludf.DUMMYFUNCTION("""COMPUTED_VALUE"""),"6.7282385")</f>
        <v>6.7282385</v>
      </c>
      <c r="Z3903" s="4" t="str">
        <f>IFERROR(__xludf.DUMMYFUNCTION("""COMPUTED_VALUE"""),"3.8149704")</f>
        <v>3.8149704</v>
      </c>
      <c r="AA3903" s="4" t="str">
        <f t="shared" si="1"/>
        <v>Not Neighbor</v>
      </c>
      <c r="AC3903" s="4">
        <f>IFERROR(__xludf.DUMMYFUNCTION("IFERROR(ABS(O3903-AVERAGE(FILTER(O3903:O7971,AA3903:AA7971=""Neighbor""))) / STDEV(FILTER(O3903:O7971, AA3903:AA7971 =""Neighbor"")), """")"),0.9707795809202323)</f>
        <v>0.9707795809</v>
      </c>
      <c r="AF3903" s="2">
        <f>IFERROR(__xludf.DUMMYFUNCTION("IFERROR(ABS(R3903-AVERAGE(FILTER(R3903:R7971,AA3903:AA7971=""Neighbor""))) / STDEV(FILTER(R3903:R7971, AA3903:AA7971 =""Neighbor"")), """")"),0.28704907140430436)</f>
        <v>0.2870490714</v>
      </c>
    </row>
    <row r="3904">
      <c r="A3904" s="2" t="s">
        <v>28</v>
      </c>
      <c r="B3904" s="2" t="s">
        <v>8911</v>
      </c>
      <c r="C3904" s="2" t="s">
        <v>9145</v>
      </c>
      <c r="D3904" s="2" t="s">
        <v>15861</v>
      </c>
      <c r="E3904" s="2" t="s">
        <v>15862</v>
      </c>
      <c r="F3904" s="2">
        <v>77.0</v>
      </c>
      <c r="G3904" s="2">
        <v>146.0</v>
      </c>
      <c r="H3904" s="2" t="b">
        <v>1</v>
      </c>
      <c r="I3904" s="2">
        <v>-1.0</v>
      </c>
      <c r="J3904" s="2" t="b">
        <v>0</v>
      </c>
      <c r="K3904" s="2" t="b">
        <v>1</v>
      </c>
      <c r="L3904" s="2" t="b">
        <v>0</v>
      </c>
      <c r="M3904" s="2" t="b">
        <v>0</v>
      </c>
      <c r="N3904" s="2" t="s">
        <v>33</v>
      </c>
      <c r="O3904" s="2">
        <v>45.0</v>
      </c>
      <c r="P3904" s="2">
        <v>6.0</v>
      </c>
      <c r="Q3904" s="2">
        <v>15.0</v>
      </c>
      <c r="R3904" s="2">
        <v>0.0</v>
      </c>
      <c r="S3904" s="3" t="s">
        <v>15863</v>
      </c>
      <c r="T3904" s="2" t="s">
        <v>15864</v>
      </c>
      <c r="Y3904" s="4" t="str">
        <f>IFERROR(__xludf.DUMMYFUNCTION("""COMPUTED_VALUE"""),"6.7410495")</f>
        <v>6.7410495</v>
      </c>
      <c r="Z3904" s="4" t="str">
        <f>IFERROR(__xludf.DUMMYFUNCTION("""COMPUTED_VALUE"""),"3.8304992")</f>
        <v>3.8304992</v>
      </c>
      <c r="AA3904" s="4" t="str">
        <f t="shared" si="1"/>
        <v>Not Neighbor</v>
      </c>
      <c r="AC3904" s="4">
        <f>IFERROR(__xludf.DUMMYFUNCTION("IFERROR(ABS(O3904-AVERAGE(FILTER(O3904:O7972,AA3904:AA7972=""Neighbor""))) / STDEV(FILTER(O3904:O7972, AA3904:AA7972 =""Neighbor"")), """")"),0.46912744086491637)</f>
        <v>0.4691274409</v>
      </c>
      <c r="AF3904" s="2">
        <f>IFERROR(__xludf.DUMMYFUNCTION("IFERROR(ABS(R3904-AVERAGE(FILTER(R3904:R7972,AA3904:AA7972=""Neighbor""))) / STDEV(FILTER(R3904:R7972, AA3904:AA7972 =""Neighbor"")), """")"),0.28704907140430436)</f>
        <v>0.2870490714</v>
      </c>
    </row>
    <row r="3905">
      <c r="A3905" s="2" t="s">
        <v>28</v>
      </c>
      <c r="B3905" s="2" t="s">
        <v>8911</v>
      </c>
      <c r="C3905" s="2" t="s">
        <v>8925</v>
      </c>
      <c r="D3905" s="2" t="s">
        <v>15865</v>
      </c>
      <c r="E3905" s="2" t="s">
        <v>15866</v>
      </c>
      <c r="F3905" s="2">
        <v>62.0</v>
      </c>
      <c r="G3905" s="2">
        <v>96.0</v>
      </c>
      <c r="H3905" s="2" t="b">
        <v>1</v>
      </c>
      <c r="I3905" s="2">
        <v>-1.0</v>
      </c>
      <c r="J3905" s="2" t="b">
        <v>0</v>
      </c>
      <c r="K3905" s="2" t="b">
        <v>0</v>
      </c>
      <c r="L3905" s="2" t="b">
        <v>0</v>
      </c>
      <c r="M3905" s="2" t="b">
        <v>0</v>
      </c>
      <c r="N3905" s="2" t="s">
        <v>33</v>
      </c>
      <c r="O3905" s="2">
        <v>33.0</v>
      </c>
      <c r="P3905" s="2">
        <v>5.0</v>
      </c>
      <c r="Q3905" s="2">
        <v>16.0</v>
      </c>
      <c r="R3905" s="2">
        <v>0.0</v>
      </c>
      <c r="S3905" s="3" t="s">
        <v>15867</v>
      </c>
      <c r="T3905" s="2" t="s">
        <v>15868</v>
      </c>
      <c r="Y3905" s="4" t="str">
        <f>IFERROR(__xludf.DUMMYFUNCTION("""COMPUTED_VALUE"""),"6.8663959")</f>
        <v>6.8663959</v>
      </c>
      <c r="Z3905" s="4" t="str">
        <f>IFERROR(__xludf.DUMMYFUNCTION("""COMPUTED_VALUE"""),"3.8795305")</f>
        <v>3.8795305</v>
      </c>
      <c r="AA3905" s="4" t="str">
        <f t="shared" si="1"/>
        <v>Not Neighbor</v>
      </c>
      <c r="AC3905" s="4">
        <f>IFERROR(__xludf.DUMMYFUNCTION("IFERROR(ABS(O3905-AVERAGE(FILTER(O3905:O7973,AA3905:AA7973=""Neighbor""))) / STDEV(FILTER(O3905:O7973, AA3905:AA7973 =""Neighbor"")), """")"),0.006063926967701669)</f>
        <v>0.006063926968</v>
      </c>
      <c r="AF3905" s="2">
        <f>IFERROR(__xludf.DUMMYFUNCTION("IFERROR(ABS(R3905-AVERAGE(FILTER(R3905:R7973,AA3905:AA7973=""Neighbor""))) / STDEV(FILTER(R3905:R7973, AA3905:AA7973 =""Neighbor"")), """")"),0.28704907140430436)</f>
        <v>0.2870490714</v>
      </c>
    </row>
    <row r="3906">
      <c r="A3906" s="2" t="s">
        <v>28</v>
      </c>
      <c r="B3906" s="2" t="s">
        <v>8911</v>
      </c>
      <c r="C3906" s="2" t="s">
        <v>8925</v>
      </c>
      <c r="D3906" s="2" t="s">
        <v>15869</v>
      </c>
      <c r="E3906" s="2" t="s">
        <v>15870</v>
      </c>
      <c r="F3906" s="2">
        <v>96.0</v>
      </c>
      <c r="G3906" s="2">
        <v>176.0</v>
      </c>
      <c r="H3906" s="2" t="b">
        <v>1</v>
      </c>
      <c r="I3906" s="2">
        <v>-1.0</v>
      </c>
      <c r="J3906" s="2" t="b">
        <v>0</v>
      </c>
      <c r="K3906" s="2" t="b">
        <v>0</v>
      </c>
      <c r="L3906" s="2" t="b">
        <v>0</v>
      </c>
      <c r="M3906" s="2" t="b">
        <v>0</v>
      </c>
      <c r="N3906" s="2" t="s">
        <v>33</v>
      </c>
      <c r="O3906" s="2">
        <v>37.0</v>
      </c>
      <c r="P3906" s="2">
        <v>41.0</v>
      </c>
      <c r="Q3906" s="2">
        <v>9.0</v>
      </c>
      <c r="R3906" s="2">
        <v>0.0</v>
      </c>
      <c r="S3906" s="3" t="s">
        <v>15871</v>
      </c>
      <c r="T3906" s="2" t="s">
        <v>15872</v>
      </c>
      <c r="Y3906" s="4" t="str">
        <f>IFERROR(__xludf.DUMMYFUNCTION("""COMPUTED_VALUE"""),"6.8384")</f>
        <v>6.8384</v>
      </c>
      <c r="Z3906" s="4" t="str">
        <f>IFERROR(__xludf.DUMMYFUNCTION("""COMPUTED_VALUE"""),"3.8763268")</f>
        <v>3.8763268</v>
      </c>
      <c r="AA3906" s="4" t="str">
        <f t="shared" si="1"/>
        <v>Not Neighbor</v>
      </c>
      <c r="AC3906" s="4">
        <f>IFERROR(__xludf.DUMMYFUNCTION("IFERROR(ABS(O3906-AVERAGE(FILTER(O3906:O7974,AA3906:AA7974=""Neighbor""))) / STDEV(FILTER(O3906:O7974, AA3906:AA7974 =""Neighbor"")), """")"),0.16041843160010658)</f>
        <v>0.1604184316</v>
      </c>
      <c r="AF3906" s="2">
        <f>IFERROR(__xludf.DUMMYFUNCTION("IFERROR(ABS(R3906-AVERAGE(FILTER(R3906:R7974,AA3906:AA7974=""Neighbor""))) / STDEV(FILTER(R3906:R7974, AA3906:AA7974 =""Neighbor"")), """")"),0.28704907140430436)</f>
        <v>0.2870490714</v>
      </c>
    </row>
    <row r="3907">
      <c r="A3907" s="2" t="s">
        <v>28</v>
      </c>
      <c r="B3907" s="2" t="s">
        <v>8911</v>
      </c>
      <c r="C3907" s="2" t="s">
        <v>8925</v>
      </c>
      <c r="D3907" s="2" t="s">
        <v>15873</v>
      </c>
      <c r="E3907" s="2" t="s">
        <v>15874</v>
      </c>
      <c r="F3907" s="2">
        <v>83.0</v>
      </c>
      <c r="G3907" s="2">
        <v>153.0</v>
      </c>
      <c r="H3907" s="2" t="b">
        <v>1</v>
      </c>
      <c r="I3907" s="2">
        <v>-1.0</v>
      </c>
      <c r="J3907" s="2" t="b">
        <v>0</v>
      </c>
      <c r="K3907" s="2" t="b">
        <v>0</v>
      </c>
      <c r="L3907" s="2" t="b">
        <v>0</v>
      </c>
      <c r="M3907" s="2" t="b">
        <v>0</v>
      </c>
      <c r="N3907" s="2" t="s">
        <v>33</v>
      </c>
      <c r="O3907" s="2">
        <v>34.0</v>
      </c>
      <c r="P3907" s="2">
        <v>22.0</v>
      </c>
      <c r="Q3907" s="2">
        <v>11.0</v>
      </c>
      <c r="R3907" s="2">
        <v>0.0</v>
      </c>
      <c r="S3907" s="3" t="s">
        <v>15875</v>
      </c>
      <c r="T3907" s="2" t="s">
        <v>15876</v>
      </c>
      <c r="Y3907" s="4" t="str">
        <f>IFERROR(__xludf.DUMMYFUNCTION("""COMPUTED_VALUE"""),"6.840503")</f>
        <v>6.840503</v>
      </c>
      <c r="Z3907" s="4" t="str">
        <f>IFERROR(__xludf.DUMMYFUNCTION("""COMPUTED_VALUE"""),"3.8557374")</f>
        <v>3.8557374</v>
      </c>
      <c r="AA3907" s="4" t="str">
        <f t="shared" si="1"/>
        <v>Not Neighbor</v>
      </c>
      <c r="AC3907" s="4">
        <f>IFERROR(__xludf.DUMMYFUNCTION("IFERROR(ABS(O3907-AVERAGE(FILTER(O3907:O7975,AA3907:AA7975=""Neighbor""))) / STDEV(FILTER(O3907:O7975, AA3907:AA7975 =""Neighbor"")), """")"),0.044652553125802893)</f>
        <v>0.04465255313</v>
      </c>
      <c r="AF3907" s="2">
        <f>IFERROR(__xludf.DUMMYFUNCTION("IFERROR(ABS(R3907-AVERAGE(FILTER(R3907:R7975,AA3907:AA7975=""Neighbor""))) / STDEV(FILTER(R3907:R7975, AA3907:AA7975 =""Neighbor"")), """")"),0.28704907140430436)</f>
        <v>0.2870490714</v>
      </c>
    </row>
    <row r="3908">
      <c r="A3908" s="2" t="s">
        <v>28</v>
      </c>
      <c r="B3908" s="2" t="s">
        <v>8911</v>
      </c>
      <c r="C3908" s="2" t="s">
        <v>8925</v>
      </c>
      <c r="D3908" s="2" t="s">
        <v>15877</v>
      </c>
      <c r="E3908" s="2" t="s">
        <v>15878</v>
      </c>
      <c r="F3908" s="2">
        <v>93.0</v>
      </c>
      <c r="G3908" s="2">
        <v>391.0</v>
      </c>
      <c r="H3908" s="2" t="b">
        <v>1</v>
      </c>
      <c r="I3908" s="2">
        <v>-1.0</v>
      </c>
      <c r="J3908" s="2" t="b">
        <v>0</v>
      </c>
      <c r="K3908" s="2" t="b">
        <v>0</v>
      </c>
      <c r="L3908" s="2" t="b">
        <v>0</v>
      </c>
      <c r="M3908" s="2" t="b">
        <v>0</v>
      </c>
      <c r="N3908" s="2" t="s">
        <v>33</v>
      </c>
      <c r="O3908" s="2">
        <v>65.0</v>
      </c>
      <c r="P3908" s="2">
        <v>16.0</v>
      </c>
      <c r="Q3908" s="2">
        <v>10.0</v>
      </c>
      <c r="R3908" s="2">
        <v>0.0</v>
      </c>
      <c r="S3908" s="3" t="s">
        <v>15879</v>
      </c>
      <c r="T3908" s="2" t="s">
        <v>15880</v>
      </c>
      <c r="Y3908" s="4" t="str">
        <f>IFERROR(__xludf.DUMMYFUNCTION("""COMPUTED_VALUE"""),"6.8518739")</f>
        <v>6.8518739</v>
      </c>
      <c r="Z3908" s="4" t="str">
        <f>IFERROR(__xludf.DUMMYFUNCTION("""COMPUTED_VALUE"""),"3.8553507")</f>
        <v>3.8553507</v>
      </c>
      <c r="AA3908" s="4" t="str">
        <f t="shared" si="1"/>
        <v>Not Neighbor</v>
      </c>
      <c r="AC3908" s="4">
        <f>IFERROR(__xludf.DUMMYFUNCTION("IFERROR(ABS(O3908-AVERAGE(FILTER(O3908:O7976,AA3908:AA7976=""Neighbor""))) / STDEV(FILTER(O3908:O7976, AA3908:AA7976 =""Neighbor"")), """")"),1.240899964026941)</f>
        <v>1.240899964</v>
      </c>
      <c r="AF3908" s="2">
        <f>IFERROR(__xludf.DUMMYFUNCTION("IFERROR(ABS(R3908-AVERAGE(FILTER(R3908:R7976,AA3908:AA7976=""Neighbor""))) / STDEV(FILTER(R3908:R7976, AA3908:AA7976 =""Neighbor"")), """")"),0.28704907140430436)</f>
        <v>0.2870490714</v>
      </c>
    </row>
    <row r="3909">
      <c r="A3909" s="2" t="s">
        <v>28</v>
      </c>
      <c r="B3909" s="2" t="s">
        <v>8911</v>
      </c>
      <c r="C3909" s="2" t="s">
        <v>8925</v>
      </c>
      <c r="D3909" s="2" t="s">
        <v>15881</v>
      </c>
      <c r="E3909" s="2" t="s">
        <v>15882</v>
      </c>
      <c r="F3909" s="2">
        <v>76.0</v>
      </c>
      <c r="G3909" s="2">
        <v>151.0</v>
      </c>
      <c r="H3909" s="2" t="b">
        <v>1</v>
      </c>
      <c r="I3909" s="2">
        <v>-1.0</v>
      </c>
      <c r="J3909" s="2" t="b">
        <v>0</v>
      </c>
      <c r="K3909" s="2" t="b">
        <v>0</v>
      </c>
      <c r="L3909" s="2" t="b">
        <v>0</v>
      </c>
      <c r="M3909" s="2" t="b">
        <v>0</v>
      </c>
      <c r="N3909" s="2" t="s">
        <v>33</v>
      </c>
      <c r="O3909" s="2">
        <v>52.0</v>
      </c>
      <c r="P3909" s="2">
        <v>6.0</v>
      </c>
      <c r="Q3909" s="2">
        <v>9.0</v>
      </c>
      <c r="R3909" s="2">
        <v>0.0</v>
      </c>
      <c r="S3909" s="3" t="s">
        <v>15883</v>
      </c>
      <c r="T3909" s="2" t="s">
        <v>15884</v>
      </c>
      <c r="Y3909" s="4" t="str">
        <f>IFERROR(__xludf.DUMMYFUNCTION("""COMPUTED_VALUE"""),"6.8663959")</f>
        <v>6.8663959</v>
      </c>
      <c r="Z3909" s="4" t="str">
        <f>IFERROR(__xludf.DUMMYFUNCTION("""COMPUTED_VALUE"""),"3.8795305")</f>
        <v>3.8795305</v>
      </c>
      <c r="AA3909" s="4" t="str">
        <f t="shared" si="1"/>
        <v>Not Neighbor</v>
      </c>
      <c r="AC3909" s="4">
        <f>IFERROR(__xludf.DUMMYFUNCTION("IFERROR(ABS(O3909-AVERAGE(FILTER(O3909:O7977,AA3909:AA7977=""Neighbor""))) / STDEV(FILTER(O3909:O7977, AA3909:AA7977 =""Neighbor"")), """")"),0.739247823971625)</f>
        <v>0.739247824</v>
      </c>
      <c r="AF3909" s="2">
        <f>IFERROR(__xludf.DUMMYFUNCTION("IFERROR(ABS(R3909-AVERAGE(FILTER(R3909:R7977,AA3909:AA7977=""Neighbor""))) / STDEV(FILTER(R3909:R7977, AA3909:AA7977 =""Neighbor"")), """")"),0.28704907140430436)</f>
        <v>0.2870490714</v>
      </c>
    </row>
    <row r="3910">
      <c r="A3910" s="2" t="s">
        <v>28</v>
      </c>
      <c r="B3910" s="2" t="s">
        <v>8911</v>
      </c>
      <c r="C3910" s="2" t="s">
        <v>8925</v>
      </c>
      <c r="D3910" s="2" t="s">
        <v>15885</v>
      </c>
      <c r="E3910" s="2" t="s">
        <v>15886</v>
      </c>
      <c r="F3910" s="2">
        <v>70.0</v>
      </c>
      <c r="G3910" s="2">
        <v>116.0</v>
      </c>
      <c r="H3910" s="2" t="b">
        <v>1</v>
      </c>
      <c r="I3910" s="2">
        <v>-1.0</v>
      </c>
      <c r="J3910" s="2" t="b">
        <v>0</v>
      </c>
      <c r="K3910" s="2" t="b">
        <v>0</v>
      </c>
      <c r="L3910" s="2" t="b">
        <v>0</v>
      </c>
      <c r="M3910" s="2" t="b">
        <v>0</v>
      </c>
      <c r="N3910" s="2" t="s">
        <v>33</v>
      </c>
      <c r="O3910" s="2">
        <v>34.0</v>
      </c>
      <c r="P3910" s="2">
        <v>18.0</v>
      </c>
      <c r="Q3910" s="2">
        <v>8.0</v>
      </c>
      <c r="R3910" s="2">
        <v>0.0</v>
      </c>
      <c r="S3910" s="3" t="s">
        <v>15887</v>
      </c>
      <c r="T3910" s="2" t="s">
        <v>15888</v>
      </c>
      <c r="Y3910" s="4" t="str">
        <f>IFERROR(__xludf.DUMMYFUNCTION("""COMPUTED_VALUE"""),"6.8421434")</f>
        <v>6.8421434</v>
      </c>
      <c r="Z3910" s="4" t="str">
        <f>IFERROR(__xludf.DUMMYFUNCTION("""COMPUTED_VALUE"""),"3.8989076")</f>
        <v>3.8989076</v>
      </c>
      <c r="AA3910" s="4" t="str">
        <f t="shared" si="1"/>
        <v>Neighbor</v>
      </c>
      <c r="AC3910" s="4">
        <f>IFERROR(__xludf.DUMMYFUNCTION("IFERROR(ABS(O3910-AVERAGE(FILTER(O3910:O7978,AA3910:AA7978=""Neighbor""))) / STDEV(FILTER(O3910:O7978, AA3910:AA7978 =""Neighbor"")), """")"),0.044652553125802893)</f>
        <v>0.04465255313</v>
      </c>
      <c r="AF3910" s="2">
        <f>IFERROR(__xludf.DUMMYFUNCTION("IFERROR(ABS(R3910-AVERAGE(FILTER(R3910:R7978,AA3910:AA7978=""Neighbor""))) / STDEV(FILTER(R3910:R7978, AA3910:AA7978 =""Neighbor"")), """")"),0.28704907140430436)</f>
        <v>0.2870490714</v>
      </c>
    </row>
    <row r="3911">
      <c r="A3911" s="2" t="s">
        <v>28</v>
      </c>
      <c r="B3911" s="2" t="s">
        <v>8911</v>
      </c>
      <c r="C3911" s="2" t="s">
        <v>8925</v>
      </c>
      <c r="D3911" s="2" t="s">
        <v>15889</v>
      </c>
      <c r="E3911" s="2" t="s">
        <v>15890</v>
      </c>
      <c r="F3911" s="2">
        <v>57.0</v>
      </c>
      <c r="G3911" s="2">
        <v>95.0</v>
      </c>
      <c r="H3911" s="2" t="b">
        <v>1</v>
      </c>
      <c r="I3911" s="2">
        <v>-1.0</v>
      </c>
      <c r="J3911" s="2" t="b">
        <v>0</v>
      </c>
      <c r="K3911" s="2" t="b">
        <v>0</v>
      </c>
      <c r="L3911" s="2" t="b">
        <v>0</v>
      </c>
      <c r="M3911" s="2" t="b">
        <v>0</v>
      </c>
      <c r="N3911" s="2" t="s">
        <v>33</v>
      </c>
      <c r="O3911" s="2">
        <v>39.0</v>
      </c>
      <c r="P3911" s="2">
        <v>13.0</v>
      </c>
      <c r="Q3911" s="2">
        <v>1.0</v>
      </c>
      <c r="R3911" s="2">
        <v>0.0</v>
      </c>
      <c r="S3911" s="3" t="s">
        <v>15891</v>
      </c>
      <c r="T3911" s="2" t="s">
        <v>15892</v>
      </c>
      <c r="Y3911" s="4" t="str">
        <f>IFERROR(__xludf.DUMMYFUNCTION("""COMPUTED_VALUE"""),"6.8403627")</f>
        <v>6.8403627</v>
      </c>
      <c r="Z3911" s="4" t="str">
        <f>IFERROR(__xludf.DUMMYFUNCTION("""COMPUTED_VALUE"""),"3.9020348")</f>
        <v>3.9020348</v>
      </c>
      <c r="AA3911" s="4" t="str">
        <f t="shared" si="1"/>
        <v>Not Neighbor</v>
      </c>
      <c r="AC3911" s="4">
        <f>IFERROR(__xludf.DUMMYFUNCTION("IFERROR(ABS(O3911-AVERAGE(FILTER(O3911:O7979,AA3911:AA7979=""Neighbor""))) / STDEV(FILTER(O3911:O7979, AA3911:AA7979 =""Neighbor"")), """")"),0.23651359104374567)</f>
        <v>0.236513591</v>
      </c>
      <c r="AF3911" s="2">
        <f>IFERROR(__xludf.DUMMYFUNCTION("IFERROR(ABS(R3911-AVERAGE(FILTER(R3911:R7979,AA3911:AA7979=""Neighbor""))) / STDEV(FILTER(R3911:R7979, AA3911:AA7979 =""Neighbor"")), """")"),0.28926656142785556)</f>
        <v>0.2892665614</v>
      </c>
    </row>
    <row r="3912">
      <c r="A3912" s="2" t="s">
        <v>28</v>
      </c>
      <c r="B3912" s="2" t="s">
        <v>8911</v>
      </c>
      <c r="C3912" s="2" t="s">
        <v>8912</v>
      </c>
      <c r="D3912" s="2" t="s">
        <v>15893</v>
      </c>
      <c r="E3912" s="2" t="s">
        <v>15894</v>
      </c>
      <c r="F3912" s="2">
        <v>193.0</v>
      </c>
      <c r="G3912" s="2">
        <v>572.0</v>
      </c>
      <c r="H3912" s="2" t="b">
        <v>1</v>
      </c>
      <c r="I3912" s="2">
        <v>-1.0</v>
      </c>
      <c r="J3912" s="2" t="b">
        <v>0</v>
      </c>
      <c r="K3912" s="2" t="b">
        <v>0</v>
      </c>
      <c r="L3912" s="2" t="b">
        <v>0</v>
      </c>
      <c r="M3912" s="2" t="b">
        <v>0</v>
      </c>
      <c r="N3912" s="2" t="s">
        <v>33</v>
      </c>
      <c r="O3912" s="2">
        <v>94.0</v>
      </c>
      <c r="P3912" s="2">
        <v>12.0</v>
      </c>
      <c r="Q3912" s="2">
        <v>70.0</v>
      </c>
      <c r="R3912" s="2">
        <v>0.0</v>
      </c>
      <c r="S3912" s="3" t="s">
        <v>15895</v>
      </c>
      <c r="T3912" s="2" t="s">
        <v>15896</v>
      </c>
      <c r="Y3912" s="4" t="str">
        <f>IFERROR(__xludf.DUMMYFUNCTION("""COMPUTED_VALUE"""),"6.863597")</f>
        <v>6.863597</v>
      </c>
      <c r="Z3912" s="4" t="str">
        <f>IFERROR(__xludf.DUMMYFUNCTION("""COMPUTED_VALUE"""),"3.8948078")</f>
        <v>3.8948078</v>
      </c>
      <c r="AA3912" s="4" t="str">
        <f t="shared" si="1"/>
        <v>Not Neighbor</v>
      </c>
      <c r="AC3912" s="4">
        <f>IFERROR(__xludf.DUMMYFUNCTION("IFERROR(ABS(O3912-AVERAGE(FILTER(O3912:O7980,AA3912:AA7980=""Neighbor""))) / STDEV(FILTER(O3912:O7980, AA3912:AA7980 =""Neighbor"")), """")"),2.3434832577362696)</f>
        <v>2.343483258</v>
      </c>
      <c r="AF3912" s="2">
        <f>IFERROR(__xludf.DUMMYFUNCTION("IFERROR(ABS(R3912-AVERAGE(FILTER(R3912:R7980,AA3912:AA7980=""Neighbor""))) / STDEV(FILTER(R3912:R7980, AA3912:AA7980 =""Neighbor"")), """")"),0.28926656142785556)</f>
        <v>0.2892665614</v>
      </c>
    </row>
    <row r="3913">
      <c r="A3913" s="2" t="s">
        <v>28</v>
      </c>
      <c r="B3913" s="2" t="s">
        <v>8911</v>
      </c>
      <c r="C3913" s="2" t="s">
        <v>8912</v>
      </c>
      <c r="D3913" s="2" t="s">
        <v>15897</v>
      </c>
      <c r="E3913" s="2" t="s">
        <v>15898</v>
      </c>
      <c r="F3913" s="2">
        <v>212.0</v>
      </c>
      <c r="G3913" s="2">
        <v>743.0</v>
      </c>
      <c r="H3913" s="2" t="b">
        <v>1</v>
      </c>
      <c r="I3913" s="2">
        <v>-1.0</v>
      </c>
      <c r="J3913" s="2" t="b">
        <v>0</v>
      </c>
      <c r="K3913" s="2" t="b">
        <v>0</v>
      </c>
      <c r="L3913" s="2" t="b">
        <v>0</v>
      </c>
      <c r="M3913" s="2" t="b">
        <v>0</v>
      </c>
      <c r="N3913" s="2" t="s">
        <v>33</v>
      </c>
      <c r="O3913" s="2">
        <v>119.0</v>
      </c>
      <c r="P3913" s="2">
        <v>14.0</v>
      </c>
      <c r="Q3913" s="2">
        <v>68.0</v>
      </c>
      <c r="R3913" s="2">
        <v>0.0</v>
      </c>
      <c r="S3913" s="3" t="s">
        <v>15899</v>
      </c>
      <c r="T3913" s="2" t="s">
        <v>15900</v>
      </c>
      <c r="Y3913" s="4" t="str">
        <f>IFERROR(__xludf.DUMMYFUNCTION("""COMPUTED_VALUE"""),"6.8365046")</f>
        <v>6.8365046</v>
      </c>
      <c r="Z3913" s="4" t="str">
        <f>IFERROR(__xludf.DUMMYFUNCTION("""COMPUTED_VALUE"""),"3.768906")</f>
        <v>3.768906</v>
      </c>
      <c r="AA3913" s="4" t="str">
        <f t="shared" si="1"/>
        <v>Not Neighbor</v>
      </c>
      <c r="AC3913" s="4">
        <f>IFERROR(__xludf.DUMMYFUNCTION("IFERROR(ABS(O3913-AVERAGE(FILTER(O3913:O7981,AA3913:AA7981=""Neighbor""))) / STDEV(FILTER(O3913:O7981, AA3913:AA7981 =""Neighbor"")), """")"),3.3011967425965074)</f>
        <v>3.301196743</v>
      </c>
      <c r="AF3913" s="2">
        <f>IFERROR(__xludf.DUMMYFUNCTION("IFERROR(ABS(R3913-AVERAGE(FILTER(R3913:R7981,AA3913:AA7981=""Neighbor""))) / STDEV(FILTER(R3913:R7981, AA3913:AA7981 =""Neighbor"")), """")"),0.28926656142785556)</f>
        <v>0.2892665614</v>
      </c>
    </row>
    <row r="3914">
      <c r="A3914" s="2" t="s">
        <v>28</v>
      </c>
      <c r="B3914" s="2" t="s">
        <v>8911</v>
      </c>
      <c r="C3914" s="2" t="s">
        <v>8912</v>
      </c>
      <c r="D3914" s="2" t="s">
        <v>15901</v>
      </c>
      <c r="E3914" s="2" t="s">
        <v>15902</v>
      </c>
      <c r="F3914" s="2">
        <v>72.0</v>
      </c>
      <c r="G3914" s="2">
        <v>128.0</v>
      </c>
      <c r="H3914" s="2" t="b">
        <v>1</v>
      </c>
      <c r="I3914" s="2">
        <v>-1.0</v>
      </c>
      <c r="J3914" s="2" t="b">
        <v>0</v>
      </c>
      <c r="K3914" s="2" t="b">
        <v>0</v>
      </c>
      <c r="L3914" s="2" t="b">
        <v>0</v>
      </c>
      <c r="M3914" s="2" t="b">
        <v>0</v>
      </c>
      <c r="N3914" s="2" t="s">
        <v>33</v>
      </c>
      <c r="O3914" s="2">
        <v>38.0</v>
      </c>
      <c r="P3914" s="2">
        <v>5.0</v>
      </c>
      <c r="Q3914" s="2">
        <v>24.0</v>
      </c>
      <c r="R3914" s="2">
        <v>0.0</v>
      </c>
      <c r="S3914" s="3" t="s">
        <v>15903</v>
      </c>
      <c r="T3914" s="2" t="s">
        <v>15904</v>
      </c>
      <c r="Y3914" s="4" t="str">
        <f>IFERROR(__xludf.DUMMYFUNCTION("""COMPUTED_VALUE"""),"6.863597")</f>
        <v>6.863597</v>
      </c>
      <c r="Z3914" s="4" t="str">
        <f>IFERROR(__xludf.DUMMYFUNCTION("""COMPUTED_VALUE"""),"3.8948078")</f>
        <v>3.8948078</v>
      </c>
      <c r="AA3914" s="4" t="str">
        <f t="shared" si="1"/>
        <v>Not Neighbor</v>
      </c>
      <c r="AC3914" s="4">
        <f>IFERROR(__xludf.DUMMYFUNCTION("IFERROR(ABS(O3914-AVERAGE(FILTER(O3914:O7982,AA3914:AA7982=""Neighbor""))) / STDEV(FILTER(O3914:O7982, AA3914:AA7982 =""Neighbor"")), """")"),0.19820505164933613)</f>
        <v>0.1982050516</v>
      </c>
      <c r="AF3914" s="2">
        <f>IFERROR(__xludf.DUMMYFUNCTION("IFERROR(ABS(R3914-AVERAGE(FILTER(R3914:R7982,AA3914:AA7982=""Neighbor""))) / STDEV(FILTER(R3914:R7982, AA3914:AA7982 =""Neighbor"")), """")"),0.28926656142785556)</f>
        <v>0.2892665614</v>
      </c>
    </row>
    <row r="3915">
      <c r="A3915" s="2" t="s">
        <v>28</v>
      </c>
      <c r="B3915" s="2" t="s">
        <v>8911</v>
      </c>
      <c r="C3915" s="2" t="s">
        <v>8912</v>
      </c>
      <c r="D3915" s="2" t="s">
        <v>15905</v>
      </c>
      <c r="E3915" s="2" t="s">
        <v>15906</v>
      </c>
      <c r="F3915" s="2">
        <v>29.0</v>
      </c>
      <c r="G3915" s="2">
        <v>52.0</v>
      </c>
      <c r="H3915" s="2" t="b">
        <v>1</v>
      </c>
      <c r="I3915" s="2">
        <v>-1.0</v>
      </c>
      <c r="J3915" s="2" t="b">
        <v>0</v>
      </c>
      <c r="K3915" s="2" t="b">
        <v>1</v>
      </c>
      <c r="L3915" s="2" t="b">
        <v>0</v>
      </c>
      <c r="M3915" s="2" t="b">
        <v>0</v>
      </c>
      <c r="N3915" s="2" t="s">
        <v>33</v>
      </c>
      <c r="O3915" s="2">
        <v>16.0</v>
      </c>
      <c r="P3915" s="2">
        <v>2.0</v>
      </c>
      <c r="Q3915" s="2">
        <v>8.0</v>
      </c>
      <c r="R3915" s="2">
        <v>0.0</v>
      </c>
      <c r="S3915" s="3" t="s">
        <v>15907</v>
      </c>
      <c r="T3915" s="2" t="s">
        <v>15908</v>
      </c>
      <c r="Y3915" s="4" t="str">
        <f>IFERROR(__xludf.DUMMYFUNCTION("""COMPUTED_VALUE"""),"8.0334483")</f>
        <v>8.0334483</v>
      </c>
      <c r="Z3915" s="4" t="str">
        <f>IFERROR(__xludf.DUMMYFUNCTION("""COMPUTED_VALUE"""),"4.9298999")</f>
        <v>4.9298999</v>
      </c>
      <c r="AA3915" s="4" t="str">
        <f t="shared" si="1"/>
        <v>Not Neighbor</v>
      </c>
      <c r="AC3915" s="4">
        <f>IFERROR(__xludf.DUMMYFUNCTION("IFERROR(ABS(O3915-AVERAGE(FILTER(O3915:O7983,AA3915:AA7983=""Neighbor""))) / STDEV(FILTER(O3915:O7983, AA3915:AA7983 =""Neighbor"")), """")"),0.6445828150276735)</f>
        <v>0.644582815</v>
      </c>
      <c r="AF3915" s="2">
        <f>IFERROR(__xludf.DUMMYFUNCTION("IFERROR(ABS(R3915-AVERAGE(FILTER(R3915:R7983,AA3915:AA7983=""Neighbor""))) / STDEV(FILTER(R3915:R7983, AA3915:AA7983 =""Neighbor"")), """")"),0.28926656142785556)</f>
        <v>0.2892665614</v>
      </c>
    </row>
    <row r="3916">
      <c r="A3916" s="2" t="s">
        <v>28</v>
      </c>
      <c r="B3916" s="2" t="s">
        <v>8911</v>
      </c>
      <c r="C3916" s="2" t="s">
        <v>9244</v>
      </c>
      <c r="D3916" s="2" t="s">
        <v>15909</v>
      </c>
      <c r="E3916" s="2" t="s">
        <v>15910</v>
      </c>
      <c r="F3916" s="2">
        <v>115.0</v>
      </c>
      <c r="G3916" s="2">
        <v>458.0</v>
      </c>
      <c r="H3916" s="2" t="b">
        <v>1</v>
      </c>
      <c r="I3916" s="2">
        <v>-1.0</v>
      </c>
      <c r="J3916" s="2" t="b">
        <v>0</v>
      </c>
      <c r="K3916" s="2" t="b">
        <v>0</v>
      </c>
      <c r="L3916" s="2" t="b">
        <v>0</v>
      </c>
      <c r="M3916" s="2" t="b">
        <v>0</v>
      </c>
      <c r="N3916" s="2" t="s">
        <v>33</v>
      </c>
      <c r="O3916" s="2">
        <v>68.0</v>
      </c>
      <c r="P3916" s="2">
        <v>6.0</v>
      </c>
      <c r="Q3916" s="2">
        <v>36.0</v>
      </c>
      <c r="R3916" s="2">
        <v>0.0</v>
      </c>
      <c r="S3916" s="3" t="s">
        <v>15911</v>
      </c>
      <c r="T3916" s="2" t="s">
        <v>15912</v>
      </c>
      <c r="Y3916" s="4" t="str">
        <f>IFERROR(__xludf.DUMMYFUNCTION("""COMPUTED_VALUE"""),"6.7289648")</f>
        <v>6.7289648</v>
      </c>
      <c r="Z3916" s="4" t="str">
        <f>IFERROR(__xludf.DUMMYFUNCTION("""COMPUTED_VALUE"""),"3.8502617")</f>
        <v>3.8502617</v>
      </c>
      <c r="AA3916" s="4" t="str">
        <f t="shared" si="1"/>
        <v>Not Neighbor</v>
      </c>
      <c r="AC3916" s="4">
        <f>IFERROR(__xludf.DUMMYFUNCTION("IFERROR(ABS(O3916-AVERAGE(FILTER(O3916:O7984,AA3916:AA7984=""Neighbor""))) / STDEV(FILTER(O3916:O7984, AA3916:AA7984 =""Neighbor"")), """")"),1.3474612334816218)</f>
        <v>1.347461233</v>
      </c>
      <c r="AF3916" s="2">
        <f>IFERROR(__xludf.DUMMYFUNCTION("IFERROR(ABS(R3916-AVERAGE(FILTER(R3916:R7984,AA3916:AA7984=""Neighbor""))) / STDEV(FILTER(R3916:R7984, AA3916:AA7984 =""Neighbor"")), """")"),0.28926656142785556)</f>
        <v>0.2892665614</v>
      </c>
    </row>
    <row r="3917">
      <c r="A3917" s="2" t="s">
        <v>28</v>
      </c>
      <c r="B3917" s="2" t="s">
        <v>8911</v>
      </c>
      <c r="C3917" s="2" t="s">
        <v>8991</v>
      </c>
      <c r="D3917" s="2" t="s">
        <v>15913</v>
      </c>
      <c r="E3917" s="2" t="s">
        <v>15914</v>
      </c>
      <c r="F3917" s="2">
        <v>74.0</v>
      </c>
      <c r="G3917" s="2">
        <v>205.0</v>
      </c>
      <c r="H3917" s="2" t="b">
        <v>1</v>
      </c>
      <c r="I3917" s="2">
        <v>-1.0</v>
      </c>
      <c r="J3917" s="2" t="b">
        <v>0</v>
      </c>
      <c r="K3917" s="2" t="b">
        <v>1</v>
      </c>
      <c r="L3917" s="2" t="b">
        <v>0</v>
      </c>
      <c r="M3917" s="2" t="b">
        <v>0</v>
      </c>
      <c r="N3917" s="2" t="s">
        <v>33</v>
      </c>
      <c r="O3917" s="2">
        <v>19.0</v>
      </c>
      <c r="P3917" s="2">
        <v>38.0</v>
      </c>
      <c r="Q3917" s="2">
        <v>10.0</v>
      </c>
      <c r="R3917" s="2">
        <v>0.0</v>
      </c>
      <c r="S3917" s="3" t="s">
        <v>15915</v>
      </c>
      <c r="T3917" s="2" t="s">
        <v>15916</v>
      </c>
      <c r="Y3917" s="4" t="str">
        <f>IFERROR(__xludf.DUMMYFUNCTION("""COMPUTED_VALUE"""),"6.801286")</f>
        <v>6.801286</v>
      </c>
      <c r="Z3917" s="4" t="str">
        <f>IFERROR(__xludf.DUMMYFUNCTION("""COMPUTED_VALUE"""),"3.8608165")</f>
        <v>3.8608165</v>
      </c>
      <c r="AA3917" s="4" t="str">
        <f t="shared" si="1"/>
        <v>Not Neighbor</v>
      </c>
      <c r="AC3917" s="4">
        <f>IFERROR(__xludf.DUMMYFUNCTION("IFERROR(ABS(O3917-AVERAGE(FILTER(O3917:O7985,AA3917:AA7985=""Neighbor""))) / STDEV(FILTER(O3917:O7985, AA3917:AA7985 =""Neighbor"")), """")"),0.5296571968444448)</f>
        <v>0.5296571968</v>
      </c>
      <c r="AF3917" s="2">
        <f>IFERROR(__xludf.DUMMYFUNCTION("IFERROR(ABS(R3917-AVERAGE(FILTER(R3917:R7985,AA3917:AA7985=""Neighbor""))) / STDEV(FILTER(R3917:R7985, AA3917:AA7985 =""Neighbor"")), """")"),0.28926656142785556)</f>
        <v>0.2892665614</v>
      </c>
    </row>
    <row r="3918">
      <c r="A3918" s="2" t="s">
        <v>28</v>
      </c>
      <c r="B3918" s="2" t="s">
        <v>8911</v>
      </c>
      <c r="C3918" s="2" t="s">
        <v>8991</v>
      </c>
      <c r="D3918" s="2" t="s">
        <v>15917</v>
      </c>
      <c r="E3918" s="2" t="s">
        <v>15918</v>
      </c>
      <c r="F3918" s="2">
        <v>182.0</v>
      </c>
      <c r="G3918" s="2">
        <v>750.0</v>
      </c>
      <c r="H3918" s="2" t="b">
        <v>1</v>
      </c>
      <c r="I3918" s="2">
        <v>-1.0</v>
      </c>
      <c r="J3918" s="2" t="b">
        <v>1</v>
      </c>
      <c r="K3918" s="2" t="b">
        <v>0</v>
      </c>
      <c r="L3918" s="2" t="b">
        <v>0</v>
      </c>
      <c r="M3918" s="2" t="b">
        <v>0</v>
      </c>
      <c r="N3918" s="2" t="s">
        <v>33</v>
      </c>
      <c r="O3918" s="2">
        <v>79.0</v>
      </c>
      <c r="P3918" s="2">
        <v>50.0</v>
      </c>
      <c r="Q3918" s="2">
        <v>40.0</v>
      </c>
      <c r="R3918" s="2">
        <v>0.0</v>
      </c>
      <c r="S3918" s="3" t="s">
        <v>15919</v>
      </c>
      <c r="T3918" s="2" t="s">
        <v>15920</v>
      </c>
      <c r="Y3918" s="4" t="str">
        <f>IFERROR(__xludf.DUMMYFUNCTION("""COMPUTED_VALUE"""),"6.8097213")</f>
        <v>6.8097213</v>
      </c>
      <c r="Z3918" s="4" t="str">
        <f>IFERROR(__xludf.DUMMYFUNCTION("""COMPUTED_VALUE"""),"3.7739869")</f>
        <v>3.7739869</v>
      </c>
      <c r="AA3918" s="4" t="str">
        <f t="shared" si="1"/>
        <v>Not Neighbor</v>
      </c>
      <c r="AC3918" s="4">
        <f>IFERROR(__xludf.DUMMYFUNCTION("IFERROR(ABS(O3918-AVERAGE(FILTER(O3918:O7986,AA3918:AA7986=""Neighbor""))) / STDEV(FILTER(O3918:O7986, AA3918:AA7986 =""Neighbor"")), """")"),1.7688551668201267)</f>
        <v>1.768855167</v>
      </c>
      <c r="AF3918" s="2">
        <f>IFERROR(__xludf.DUMMYFUNCTION("IFERROR(ABS(R3918-AVERAGE(FILTER(R3918:R7986,AA3918:AA7986=""Neighbor""))) / STDEV(FILTER(R3918:R7986, AA3918:AA7986 =""Neighbor"")), """")"),0.28926656142785556)</f>
        <v>0.2892665614</v>
      </c>
    </row>
    <row r="3919">
      <c r="A3919" s="2" t="s">
        <v>28</v>
      </c>
      <c r="B3919" s="2" t="s">
        <v>8911</v>
      </c>
      <c r="C3919" s="2" t="s">
        <v>9016</v>
      </c>
      <c r="D3919" s="2" t="s">
        <v>15921</v>
      </c>
      <c r="E3919" s="2" t="s">
        <v>15922</v>
      </c>
      <c r="F3919" s="2">
        <v>34.0</v>
      </c>
      <c r="G3919" s="2">
        <v>84.0</v>
      </c>
      <c r="H3919" s="2" t="b">
        <v>1</v>
      </c>
      <c r="I3919" s="2">
        <v>-1.0</v>
      </c>
      <c r="J3919" s="2" t="b">
        <v>1</v>
      </c>
      <c r="K3919" s="2" t="b">
        <v>1</v>
      </c>
      <c r="L3919" s="2" t="b">
        <v>0</v>
      </c>
      <c r="M3919" s="2" t="b">
        <v>0</v>
      </c>
      <c r="N3919" s="2" t="s">
        <v>33</v>
      </c>
      <c r="O3919" s="2">
        <v>13.0</v>
      </c>
      <c r="P3919" s="2">
        <v>8.0</v>
      </c>
      <c r="Q3919" s="2">
        <v>13.0</v>
      </c>
      <c r="R3919" s="2">
        <v>0.0</v>
      </c>
      <c r="S3919" s="3" t="s">
        <v>15923</v>
      </c>
      <c r="T3919" s="2" t="s">
        <v>15924</v>
      </c>
      <c r="Y3919" s="4" t="str">
        <f>IFERROR(__xludf.DUMMYFUNCTION("""COMPUTED_VALUE"""),"6.8739248")</f>
        <v>6.8739248</v>
      </c>
      <c r="Z3919" s="4" t="str">
        <f>IFERROR(__xludf.DUMMYFUNCTION("""COMPUTED_VALUE"""),"3.7739869")</f>
        <v>3.7739869</v>
      </c>
      <c r="AA3919" s="4" t="str">
        <f t="shared" si="1"/>
        <v>Neighbor</v>
      </c>
      <c r="AC3919" s="4">
        <f>IFERROR(__xludf.DUMMYFUNCTION("IFERROR(ABS(O3919-AVERAGE(FILTER(O3919:O7987,AA3919:AA7987=""Neighbor""))) / STDEV(FILTER(O3919:O7987, AA3919:AA7987 =""Neighbor"")), """")"),0.759508433210902)</f>
        <v>0.7595084332</v>
      </c>
      <c r="AF3919" s="2">
        <f>IFERROR(__xludf.DUMMYFUNCTION("IFERROR(ABS(R3919-AVERAGE(FILTER(R3919:R7987,AA3919:AA7987=""Neighbor""))) / STDEV(FILTER(R3919:R7987, AA3919:AA7987 =""Neighbor"")), """")"),0.28926656142785556)</f>
        <v>0.2892665614</v>
      </c>
    </row>
    <row r="3920">
      <c r="A3920" s="2" t="s">
        <v>28</v>
      </c>
      <c r="B3920" s="2" t="s">
        <v>8911</v>
      </c>
      <c r="C3920" s="2" t="s">
        <v>9016</v>
      </c>
      <c r="D3920" s="2" t="s">
        <v>15925</v>
      </c>
      <c r="E3920" s="2" t="s">
        <v>15926</v>
      </c>
      <c r="F3920" s="2">
        <v>46.0</v>
      </c>
      <c r="G3920" s="2">
        <v>100.0</v>
      </c>
      <c r="H3920" s="2" t="b">
        <v>1</v>
      </c>
      <c r="I3920" s="2">
        <v>-1.0</v>
      </c>
      <c r="J3920" s="2" t="b">
        <v>0</v>
      </c>
      <c r="K3920" s="2" t="b">
        <v>0</v>
      </c>
      <c r="L3920" s="2" t="b">
        <v>0</v>
      </c>
      <c r="M3920" s="2" t="b">
        <v>0</v>
      </c>
      <c r="N3920" s="2" t="s">
        <v>33</v>
      </c>
      <c r="O3920" s="2">
        <v>18.0</v>
      </c>
      <c r="P3920" s="2">
        <v>9.0</v>
      </c>
      <c r="Q3920" s="2">
        <v>14.0</v>
      </c>
      <c r="R3920" s="2">
        <v>0.0</v>
      </c>
      <c r="S3920" s="3" t="s">
        <v>15927</v>
      </c>
      <c r="T3920" s="2" t="s">
        <v>15928</v>
      </c>
      <c r="Y3920" s="4" t="str">
        <f>IFERROR(__xludf.DUMMYFUNCTION("""COMPUTED_VALUE"""),"6.8739248")</f>
        <v>6.8739248</v>
      </c>
      <c r="Z3920" s="4" t="str">
        <f>IFERROR(__xludf.DUMMYFUNCTION("""COMPUTED_VALUE"""),"3.7739869")</f>
        <v>3.7739869</v>
      </c>
      <c r="AA3920" s="4" t="str">
        <f t="shared" si="1"/>
        <v>Not Neighbor</v>
      </c>
      <c r="AC3920" s="4">
        <f>IFERROR(__xludf.DUMMYFUNCTION("IFERROR(ABS(O3920-AVERAGE(FILTER(O3920:O7988,AA3920:AA7988=""Neighbor""))) / STDEV(FILTER(O3920:O7988, AA3920:AA7988 =""Neighbor"")), """")"),0.5773511172223996)</f>
        <v>0.5773511172</v>
      </c>
      <c r="AF3920" s="2">
        <f>IFERROR(__xludf.DUMMYFUNCTION("IFERROR(ABS(R3920-AVERAGE(FILTER(R3920:R7988,AA3920:AA7988=""Neighbor""))) / STDEV(FILTER(R3920:R7988, AA3920:AA7988 =""Neighbor"")), """")"),0.2915363138427928)</f>
        <v>0.2915363138</v>
      </c>
    </row>
    <row r="3921">
      <c r="A3921" s="2" t="s">
        <v>28</v>
      </c>
      <c r="B3921" s="2" t="s">
        <v>8911</v>
      </c>
      <c r="C3921" s="2" t="s">
        <v>9166</v>
      </c>
      <c r="D3921" s="2" t="s">
        <v>15929</v>
      </c>
      <c r="E3921" s="2" t="s">
        <v>15930</v>
      </c>
      <c r="F3921" s="2">
        <v>162.0</v>
      </c>
      <c r="G3921" s="2">
        <v>612.0</v>
      </c>
      <c r="H3921" s="2" t="b">
        <v>1</v>
      </c>
      <c r="I3921" s="2">
        <v>-1.0</v>
      </c>
      <c r="J3921" s="2" t="b">
        <v>0</v>
      </c>
      <c r="K3921" s="2" t="b">
        <v>0</v>
      </c>
      <c r="L3921" s="2" t="b">
        <v>0</v>
      </c>
      <c r="M3921" s="2" t="b">
        <v>0</v>
      </c>
      <c r="N3921" s="2" t="s">
        <v>33</v>
      </c>
      <c r="O3921" s="2">
        <v>0.0</v>
      </c>
      <c r="P3921" s="2">
        <v>0.0</v>
      </c>
      <c r="Q3921" s="2">
        <v>0.0</v>
      </c>
      <c r="R3921" s="2">
        <v>0.0</v>
      </c>
      <c r="S3921" s="3" t="s">
        <v>15931</v>
      </c>
      <c r="T3921" s="2" t="s">
        <v>15932</v>
      </c>
      <c r="Y3921" s="4" t="str">
        <f>IFERROR(__xludf.DUMMYFUNCTION("""COMPUTED_VALUE"""),"6.7927597")</f>
        <v>6.7927597</v>
      </c>
      <c r="Z3921" s="4" t="str">
        <f>IFERROR(__xludf.DUMMYFUNCTION("""COMPUTED_VALUE"""),"3.8909881")</f>
        <v>3.8909881</v>
      </c>
      <c r="AA3921" s="4" t="str">
        <f t="shared" si="1"/>
        <v>Neighbor</v>
      </c>
      <c r="AC3921" s="4">
        <f>IFERROR(__xludf.DUMMYFUNCTION("IFERROR(ABS(O3921-AVERAGE(FILTER(O3921:O7989,AA3921:AA7989=""Neighbor""))) / STDEV(FILTER(O3921:O7989, AA3921:AA7989 =""Neighbor"")), """")"),1.2647808521253348)</f>
        <v>1.264780852</v>
      </c>
      <c r="AF3921" s="2">
        <f>IFERROR(__xludf.DUMMYFUNCTION("IFERROR(ABS(R3921-AVERAGE(FILTER(R3921:R7989,AA3921:AA7989=""Neighbor""))) / STDEV(FILTER(R3921:R7989, AA3921:AA7989 =""Neighbor"")), """")"),0.2915363138427928)</f>
        <v>0.2915363138</v>
      </c>
    </row>
    <row r="3922">
      <c r="A3922" s="2" t="s">
        <v>28</v>
      </c>
      <c r="B3922" s="2" t="s">
        <v>8911</v>
      </c>
      <c r="C3922" s="2" t="s">
        <v>9166</v>
      </c>
      <c r="D3922" s="2" t="s">
        <v>15933</v>
      </c>
      <c r="E3922" s="2" t="s">
        <v>15934</v>
      </c>
      <c r="F3922" s="2">
        <v>125.0</v>
      </c>
      <c r="G3922" s="2">
        <v>750.0</v>
      </c>
      <c r="H3922" s="2" t="b">
        <v>1</v>
      </c>
      <c r="I3922" s="2">
        <v>-1.0</v>
      </c>
      <c r="J3922" s="2" t="b">
        <v>0</v>
      </c>
      <c r="K3922" s="2" t="b">
        <v>0</v>
      </c>
      <c r="L3922" s="2" t="b">
        <v>0</v>
      </c>
      <c r="M3922" s="2" t="b">
        <v>0</v>
      </c>
      <c r="N3922" s="2" t="s">
        <v>33</v>
      </c>
      <c r="O3922" s="2">
        <v>71.0</v>
      </c>
      <c r="P3922" s="2">
        <v>16.0</v>
      </c>
      <c r="Q3922" s="2">
        <v>22.0</v>
      </c>
      <c r="R3922" s="2">
        <v>1.0</v>
      </c>
      <c r="S3922" s="3" t="s">
        <v>15935</v>
      </c>
      <c r="T3922" s="2" t="s">
        <v>15936</v>
      </c>
      <c r="Y3922" s="4" t="str">
        <f>IFERROR(__xludf.DUMMYFUNCTION("""COMPUTED_VALUE"""),"6.7853845")</f>
        <v>6.7853845</v>
      </c>
      <c r="Z3922" s="4" t="str">
        <f>IFERROR(__xludf.DUMMYFUNCTION("""COMPUTED_VALUE"""),"3.8941712")</f>
        <v>3.8941712</v>
      </c>
      <c r="AA3922" s="4" t="str">
        <f t="shared" si="1"/>
        <v>Neighbor</v>
      </c>
      <c r="AC3922" s="4">
        <f>IFERROR(__xludf.DUMMYFUNCTION("IFERROR(ABS(O3922-AVERAGE(FILTER(O3922:O7990,AA3922:AA7990=""Neighbor""))) / STDEV(FILTER(O3922:O7990, AA3922:AA7990 =""Neighbor"")), """")"),1.434663417523481)</f>
        <v>1.434663418</v>
      </c>
      <c r="AF3922" s="2">
        <f>IFERROR(__xludf.DUMMYFUNCTION("IFERROR(ABS(R3922-AVERAGE(FILTER(R3922:R7990,AA3922:AA7990=""Neighbor""))) / STDEV(FILTER(R3922:R7990, AA3922:AA7990 =""Neighbor"")), """")"),1.8937671305001837)</f>
        <v>1.893767131</v>
      </c>
    </row>
    <row r="3923">
      <c r="A3923" s="2" t="s">
        <v>28</v>
      </c>
      <c r="B3923" s="2" t="s">
        <v>8911</v>
      </c>
      <c r="C3923" s="2" t="s">
        <v>9166</v>
      </c>
      <c r="D3923" s="2" t="s">
        <v>15937</v>
      </c>
      <c r="E3923" s="2" t="s">
        <v>15938</v>
      </c>
      <c r="F3923" s="2">
        <v>65.0</v>
      </c>
      <c r="G3923" s="2">
        <v>140.0</v>
      </c>
      <c r="H3923" s="2" t="b">
        <v>1</v>
      </c>
      <c r="I3923" s="2">
        <v>-1.0</v>
      </c>
      <c r="J3923" s="2" t="b">
        <v>0</v>
      </c>
      <c r="K3923" s="2" t="b">
        <v>0</v>
      </c>
      <c r="L3923" s="2" t="b">
        <v>0</v>
      </c>
      <c r="M3923" s="2" t="b">
        <v>0</v>
      </c>
      <c r="N3923" s="2" t="s">
        <v>33</v>
      </c>
      <c r="O3923" s="2">
        <v>0.0</v>
      </c>
      <c r="P3923" s="2">
        <v>0.0</v>
      </c>
      <c r="Q3923" s="2">
        <v>0.0</v>
      </c>
      <c r="R3923" s="2">
        <v>0.0</v>
      </c>
      <c r="S3923" s="3" t="s">
        <v>15939</v>
      </c>
      <c r="T3923" s="2" t="s">
        <v>15940</v>
      </c>
      <c r="Y3923" s="4" t="str">
        <f>IFERROR(__xludf.DUMMYFUNCTION("""COMPUTED_VALUE"""),"6.7853845")</f>
        <v>6.7853845</v>
      </c>
      <c r="Z3923" s="4" t="str">
        <f>IFERROR(__xludf.DUMMYFUNCTION("""COMPUTED_VALUE"""),"3.8941712")</f>
        <v>3.8941712</v>
      </c>
      <c r="AA3923" s="4" t="str">
        <f t="shared" si="1"/>
        <v>Not Neighbor</v>
      </c>
      <c r="AC3923" s="4">
        <f>IFERROR(__xludf.DUMMYFUNCTION("IFERROR(ABS(O3923-AVERAGE(FILTER(O3923:O7991,AA3923:AA7991=""Neighbor""))) / STDEV(FILTER(O3923:O7991, AA3923:AA7991 =""Neighbor"")), """")"),1.2787899375941765)</f>
        <v>1.278789938</v>
      </c>
      <c r="AF3923" s="2">
        <f>IFERROR(__xludf.DUMMYFUNCTION("IFERROR(ABS(R3923-AVERAGE(FILTER(R3923:R7991,AA3923:AA7991=""Neighbor""))) / STDEV(FILTER(R3923:R7991, AA3923:AA7991 =""Neighbor"")), """")"),0.2707231981844853)</f>
        <v>0.2707231982</v>
      </c>
    </row>
    <row r="3924">
      <c r="A3924" s="2" t="s">
        <v>28</v>
      </c>
      <c r="B3924" s="2" t="s">
        <v>8911</v>
      </c>
      <c r="C3924" s="2" t="s">
        <v>9166</v>
      </c>
      <c r="D3924" s="2" t="s">
        <v>15941</v>
      </c>
      <c r="E3924" s="2" t="s">
        <v>15942</v>
      </c>
      <c r="F3924" s="2">
        <v>161.0</v>
      </c>
      <c r="G3924" s="2">
        <v>647.0</v>
      </c>
      <c r="H3924" s="2" t="b">
        <v>1</v>
      </c>
      <c r="I3924" s="2">
        <v>-1.0</v>
      </c>
      <c r="J3924" s="2" t="b">
        <v>0</v>
      </c>
      <c r="K3924" s="2" t="b">
        <v>0</v>
      </c>
      <c r="L3924" s="2" t="b">
        <v>0</v>
      </c>
      <c r="M3924" s="2" t="b">
        <v>0</v>
      </c>
      <c r="N3924" s="2" t="s">
        <v>33</v>
      </c>
      <c r="O3924" s="2">
        <v>92.0</v>
      </c>
      <c r="P3924" s="2">
        <v>33.0</v>
      </c>
      <c r="Q3924" s="2">
        <v>26.0</v>
      </c>
      <c r="R3924" s="2">
        <v>0.0</v>
      </c>
      <c r="S3924" s="3" t="s">
        <v>15943</v>
      </c>
      <c r="T3924" s="2" t="s">
        <v>15944</v>
      </c>
      <c r="Y3924" s="4" t="str">
        <f>IFERROR(__xludf.DUMMYFUNCTION("""COMPUTED_VALUE"""),"6.8099744")</f>
        <v>6.8099744</v>
      </c>
      <c r="Z3924" s="4" t="str">
        <f>IFERROR(__xludf.DUMMYFUNCTION("""COMPUTED_VALUE"""),"3.9001928")</f>
        <v>3.9001928</v>
      </c>
      <c r="AA3924" s="4" t="str">
        <f t="shared" si="1"/>
        <v>Not Neighbor</v>
      </c>
      <c r="AC3924" s="4">
        <f>IFERROR(__xludf.DUMMYFUNCTION("IFERROR(ABS(O3924-AVERAGE(FILTER(O3924:O7992,AA3924:AA7992=""Neighbor""))) / STDEV(FILTER(O3924:O7992, AA3924:AA7992 =""Neighbor"")), """")"),2.2814175365332146)</f>
        <v>2.281417537</v>
      </c>
      <c r="AF3924" s="2">
        <f>IFERROR(__xludf.DUMMYFUNCTION("IFERROR(ABS(R3924-AVERAGE(FILTER(R3924:R7992,AA3924:AA7992=""Neighbor""))) / STDEV(FILTER(R3924:R7992, AA3924:AA7992 =""Neighbor"")), """")"),0.2707231981844853)</f>
        <v>0.2707231982</v>
      </c>
    </row>
    <row r="3925">
      <c r="A3925" s="2" t="s">
        <v>28</v>
      </c>
      <c r="B3925" s="2" t="s">
        <v>8911</v>
      </c>
      <c r="C3925" s="2" t="s">
        <v>9166</v>
      </c>
      <c r="D3925" s="2" t="s">
        <v>15945</v>
      </c>
      <c r="E3925" s="2" t="s">
        <v>15946</v>
      </c>
      <c r="F3925" s="2">
        <v>111.0</v>
      </c>
      <c r="G3925" s="2">
        <v>247.0</v>
      </c>
      <c r="H3925" s="2" t="b">
        <v>1</v>
      </c>
      <c r="I3925" s="2">
        <v>-1.0</v>
      </c>
      <c r="J3925" s="2" t="b">
        <v>0</v>
      </c>
      <c r="K3925" s="2" t="b">
        <v>0</v>
      </c>
      <c r="L3925" s="2" t="b">
        <v>0</v>
      </c>
      <c r="M3925" s="2" t="b">
        <v>0</v>
      </c>
      <c r="N3925" s="2" t="s">
        <v>33</v>
      </c>
      <c r="O3925" s="2">
        <v>73.0</v>
      </c>
      <c r="P3925" s="2">
        <v>13.0</v>
      </c>
      <c r="Q3925" s="2">
        <v>10.0</v>
      </c>
      <c r="R3925" s="2">
        <v>0.0</v>
      </c>
      <c r="S3925" s="3" t="s">
        <v>15947</v>
      </c>
      <c r="T3925" s="2" t="s">
        <v>15948</v>
      </c>
      <c r="Y3925" s="4" t="str">
        <f>IFERROR(__xludf.DUMMYFUNCTION("""COMPUTED_VALUE"""),"6.8113902")</f>
        <v>6.8113902</v>
      </c>
      <c r="Z3925" s="4" t="str">
        <f>IFERROR(__xludf.DUMMYFUNCTION("""COMPUTED_VALUE"""),"3.8876701")</f>
        <v>3.8876701</v>
      </c>
      <c r="AA3925" s="4" t="str">
        <f t="shared" si="1"/>
        <v>Not Neighbor</v>
      </c>
      <c r="AC3925" s="4">
        <f>IFERROR(__xludf.DUMMYFUNCTION("IFERROR(ABS(O3925-AVERAGE(FILTER(O3925:O7993,AA3925:AA7993=""Neighbor""))) / STDEV(FILTER(O3925:O7993, AA3925:AA7993 =""Neighbor"")), """")"),1.5461572973112532)</f>
        <v>1.546157297</v>
      </c>
      <c r="AF3925" s="2">
        <f>IFERROR(__xludf.DUMMYFUNCTION("IFERROR(ABS(R3925-AVERAGE(FILTER(R3925:R7993,AA3925:AA7993=""Neighbor""))) / STDEV(FILTER(R3925:R7993, AA3925:AA7993 =""Neighbor"")), """")"),0.2707231981844853)</f>
        <v>0.2707231982</v>
      </c>
    </row>
    <row r="3926">
      <c r="A3926" s="2" t="s">
        <v>28</v>
      </c>
      <c r="B3926" s="2" t="s">
        <v>8911</v>
      </c>
      <c r="C3926" s="2" t="s">
        <v>9166</v>
      </c>
      <c r="D3926" s="2" t="s">
        <v>15949</v>
      </c>
      <c r="E3926" s="2" t="s">
        <v>15950</v>
      </c>
      <c r="F3926" s="2">
        <v>185.0</v>
      </c>
      <c r="G3926" s="2">
        <v>750.0</v>
      </c>
      <c r="H3926" s="2" t="b">
        <v>1</v>
      </c>
      <c r="I3926" s="2">
        <v>-1.0</v>
      </c>
      <c r="J3926" s="2" t="b">
        <v>0</v>
      </c>
      <c r="K3926" s="2" t="b">
        <v>0</v>
      </c>
      <c r="L3926" s="2" t="b">
        <v>0</v>
      </c>
      <c r="M3926" s="2" t="b">
        <v>0</v>
      </c>
      <c r="N3926" s="2" t="s">
        <v>33</v>
      </c>
      <c r="O3926" s="2">
        <v>94.0</v>
      </c>
      <c r="P3926" s="2">
        <v>37.0</v>
      </c>
      <c r="Q3926" s="2">
        <v>44.0</v>
      </c>
      <c r="R3926" s="2">
        <v>0.0</v>
      </c>
      <c r="S3926" s="3" t="s">
        <v>15951</v>
      </c>
      <c r="T3926" s="2" t="s">
        <v>15952</v>
      </c>
      <c r="Y3926" s="4" t="str">
        <f>IFERROR(__xludf.DUMMYFUNCTION("""COMPUTED_VALUE"""),"6.7927597")</f>
        <v>6.7927597</v>
      </c>
      <c r="Z3926" s="4" t="str">
        <f>IFERROR(__xludf.DUMMYFUNCTION("""COMPUTED_VALUE"""),"3.8909881")</f>
        <v>3.8909881</v>
      </c>
      <c r="AA3926" s="4" t="str">
        <f t="shared" si="1"/>
        <v>Neighbor</v>
      </c>
      <c r="AC3926" s="4">
        <f>IFERROR(__xludf.DUMMYFUNCTION("IFERROR(ABS(O3926-AVERAGE(FILTER(O3926:O7994,AA3926:AA7994=""Neighbor""))) / STDEV(FILTER(O3926:O7994, AA3926:AA7994 =""Neighbor"")), """")"),2.3588133511881577)</f>
        <v>2.358813351</v>
      </c>
      <c r="AF3926" s="2">
        <f>IFERROR(__xludf.DUMMYFUNCTION("IFERROR(ABS(R3926-AVERAGE(FILTER(R3926:R7994,AA3926:AA7994=""Neighbor""))) / STDEV(FILTER(R3926:R7994, AA3926:AA7994 =""Neighbor"")), """")"),0.2707231981844853)</f>
        <v>0.2707231982</v>
      </c>
    </row>
    <row r="3927">
      <c r="A3927" s="2" t="s">
        <v>28</v>
      </c>
      <c r="B3927" s="2" t="s">
        <v>8911</v>
      </c>
      <c r="C3927" s="2" t="s">
        <v>9166</v>
      </c>
      <c r="D3927" s="2" t="s">
        <v>15953</v>
      </c>
      <c r="E3927" s="2" t="s">
        <v>15954</v>
      </c>
      <c r="F3927" s="2">
        <v>114.0</v>
      </c>
      <c r="G3927" s="2">
        <v>212.0</v>
      </c>
      <c r="H3927" s="2" t="b">
        <v>1</v>
      </c>
      <c r="I3927" s="2">
        <v>-1.0</v>
      </c>
      <c r="J3927" s="2" t="b">
        <v>0</v>
      </c>
      <c r="K3927" s="2" t="b">
        <v>0</v>
      </c>
      <c r="L3927" s="2" t="b">
        <v>0</v>
      </c>
      <c r="M3927" s="2" t="b">
        <v>0</v>
      </c>
      <c r="N3927" s="2" t="s">
        <v>33</v>
      </c>
      <c r="O3927" s="2">
        <v>44.0</v>
      </c>
      <c r="P3927" s="2">
        <v>12.0</v>
      </c>
      <c r="Q3927" s="2">
        <v>47.0</v>
      </c>
      <c r="R3927" s="2">
        <v>0.0</v>
      </c>
      <c r="S3927" s="3" t="s">
        <v>15955</v>
      </c>
      <c r="T3927" s="2" t="s">
        <v>15956</v>
      </c>
      <c r="Y3927" s="4" t="str">
        <f>IFERROR(__xludf.DUMMYFUNCTION("""COMPUTED_VALUE"""),"6.7927597")</f>
        <v>6.7927597</v>
      </c>
      <c r="Z3927" s="4" t="str">
        <f>IFERROR(__xludf.DUMMYFUNCTION("""COMPUTED_VALUE"""),"3.8909881")</f>
        <v>3.8909881</v>
      </c>
      <c r="AA3927" s="4" t="str">
        <f t="shared" si="1"/>
        <v>Neighbor</v>
      </c>
      <c r="AC3927" s="4">
        <f>IFERROR(__xludf.DUMMYFUNCTION("IFERROR(ABS(O3927-AVERAGE(FILTER(O3927:O7995,AA3927:AA7995=""Neighbor""))) / STDEV(FILTER(O3927:O7995, AA3927:AA7995 =""Neighbor"")), """")"),0.4778942233809567)</f>
        <v>0.4778942234</v>
      </c>
      <c r="AF3927" s="2">
        <f>IFERROR(__xludf.DUMMYFUNCTION("IFERROR(ABS(R3927-AVERAGE(FILTER(R3927:R7995,AA3927:AA7995=""Neighbor""))) / STDEV(FILTER(R3927:R7995, AA3927:AA7995 =""Neighbor"")), """")"),0.27292172912934415)</f>
        <v>0.2729217291</v>
      </c>
    </row>
    <row r="3928">
      <c r="A3928" s="2" t="s">
        <v>28</v>
      </c>
      <c r="B3928" s="2" t="s">
        <v>8911</v>
      </c>
      <c r="C3928" s="2" t="s">
        <v>9166</v>
      </c>
      <c r="D3928" s="2" t="s">
        <v>15957</v>
      </c>
      <c r="E3928" s="2" t="s">
        <v>15958</v>
      </c>
      <c r="F3928" s="2">
        <v>153.0</v>
      </c>
      <c r="G3928" s="2">
        <v>738.0</v>
      </c>
      <c r="H3928" s="2" t="b">
        <v>1</v>
      </c>
      <c r="I3928" s="2">
        <v>-1.0</v>
      </c>
      <c r="J3928" s="2" t="b">
        <v>0</v>
      </c>
      <c r="K3928" s="2" t="b">
        <v>0</v>
      </c>
      <c r="L3928" s="2" t="b">
        <v>0</v>
      </c>
      <c r="M3928" s="2" t="b">
        <v>0</v>
      </c>
      <c r="N3928" s="2" t="s">
        <v>33</v>
      </c>
      <c r="O3928" s="2">
        <v>97.0</v>
      </c>
      <c r="P3928" s="2">
        <v>20.0</v>
      </c>
      <c r="Q3928" s="2">
        <v>15.0</v>
      </c>
      <c r="R3928" s="2">
        <v>0.0</v>
      </c>
      <c r="S3928" s="3" t="s">
        <v>15959</v>
      </c>
      <c r="T3928" s="2" t="s">
        <v>15960</v>
      </c>
      <c r="Y3928" s="4" t="str">
        <f>IFERROR(__xludf.DUMMYFUNCTION("""COMPUTED_VALUE"""),"6.7954529")</f>
        <v>6.7954529</v>
      </c>
      <c r="Z3928" s="4" t="str">
        <f>IFERROR(__xludf.DUMMYFUNCTION("""COMPUTED_VALUE"""),"3.8884417")</f>
        <v>3.8884417</v>
      </c>
      <c r="AA3928" s="4" t="str">
        <f t="shared" si="1"/>
        <v>Neighbor</v>
      </c>
      <c r="AC3928" s="4">
        <f>IFERROR(__xludf.DUMMYFUNCTION("IFERROR(ABS(O3928-AVERAGE(FILTER(O3928:O7996,AA3928:AA7996=""Neighbor""))) / STDEV(FILTER(O3928:O7996, AA3928:AA7996 =""Neighbor"")), """")"),2.5993776861885527)</f>
        <v>2.599377686</v>
      </c>
      <c r="AF3928" s="2">
        <f>IFERROR(__xludf.DUMMYFUNCTION("IFERROR(ABS(R3928-AVERAGE(FILTER(R3928:R7996,AA3928:AA7996=""Neighbor""))) / STDEV(FILTER(R3928:R7996, AA3928:AA7996 =""Neighbor"")), """")"),0.2751747696395036)</f>
        <v>0.2751747696</v>
      </c>
    </row>
    <row r="3929">
      <c r="A3929" s="2" t="s">
        <v>28</v>
      </c>
      <c r="B3929" s="2" t="s">
        <v>8911</v>
      </c>
      <c r="C3929" s="2" t="s">
        <v>9166</v>
      </c>
      <c r="D3929" s="2" t="s">
        <v>15961</v>
      </c>
      <c r="E3929" s="2" t="s">
        <v>15962</v>
      </c>
      <c r="F3929" s="2">
        <v>85.0</v>
      </c>
      <c r="G3929" s="2">
        <v>143.0</v>
      </c>
      <c r="H3929" s="2" t="b">
        <v>1</v>
      </c>
      <c r="I3929" s="2">
        <v>-1.0</v>
      </c>
      <c r="J3929" s="2" t="b">
        <v>0</v>
      </c>
      <c r="K3929" s="2" t="b">
        <v>0</v>
      </c>
      <c r="L3929" s="2" t="b">
        <v>0</v>
      </c>
      <c r="M3929" s="2" t="b">
        <v>0</v>
      </c>
      <c r="N3929" s="2" t="s">
        <v>33</v>
      </c>
      <c r="O3929" s="2">
        <v>73.0</v>
      </c>
      <c r="P3929" s="2">
        <v>4.0</v>
      </c>
      <c r="Q3929" s="2">
        <v>5.0</v>
      </c>
      <c r="R3929" s="2">
        <v>0.0</v>
      </c>
      <c r="S3929" s="3" t="s">
        <v>15963</v>
      </c>
      <c r="T3929" s="2" t="s">
        <v>15964</v>
      </c>
      <c r="Y3929" s="4" t="str">
        <f>IFERROR(__xludf.DUMMYFUNCTION("""COMPUTED_VALUE"""),"6.7954529")</f>
        <v>6.7954529</v>
      </c>
      <c r="Z3929" s="4" t="str">
        <f>IFERROR(__xludf.DUMMYFUNCTION("""COMPUTED_VALUE"""),"3.8884417")</f>
        <v>3.8884417</v>
      </c>
      <c r="AA3929" s="4" t="str">
        <f t="shared" si="1"/>
        <v>Not Neighbor</v>
      </c>
      <c r="AC3929" s="4">
        <f>IFERROR(__xludf.DUMMYFUNCTION("IFERROR(ABS(O3929-AVERAGE(FILTER(O3929:O7997,AA3929:AA7997=""Neighbor""))) / STDEV(FILTER(O3929:O7997, AA3929:AA7997 =""Neighbor"")), """")"),1.7676904867908323)</f>
        <v>1.767690487</v>
      </c>
      <c r="AF3929" s="2">
        <f>IFERROR(__xludf.DUMMYFUNCTION("IFERROR(ABS(R3929-AVERAGE(FILTER(R3929:R7997,AA3929:AA7997=""Neighbor""))) / STDEV(FILTER(R3929:R7997, AA3929:AA7997 =""Neighbor"")), """")"),0.277484612635627)</f>
        <v>0.2774846126</v>
      </c>
    </row>
    <row r="3930">
      <c r="A3930" s="2" t="s">
        <v>28</v>
      </c>
      <c r="B3930" s="2" t="s">
        <v>8911</v>
      </c>
      <c r="C3930" s="2" t="s">
        <v>9166</v>
      </c>
      <c r="D3930" s="2" t="s">
        <v>15965</v>
      </c>
      <c r="E3930" s="2" t="s">
        <v>15966</v>
      </c>
      <c r="F3930" s="2">
        <v>85.0</v>
      </c>
      <c r="G3930" s="2">
        <v>155.0</v>
      </c>
      <c r="H3930" s="2" t="b">
        <v>1</v>
      </c>
      <c r="I3930" s="2">
        <v>-1.0</v>
      </c>
      <c r="J3930" s="2" t="b">
        <v>0</v>
      </c>
      <c r="K3930" s="2" t="b">
        <v>0</v>
      </c>
      <c r="L3930" s="2" t="b">
        <v>0</v>
      </c>
      <c r="M3930" s="2" t="b">
        <v>0</v>
      </c>
      <c r="N3930" s="2" t="s">
        <v>33</v>
      </c>
      <c r="O3930" s="2">
        <v>50.0</v>
      </c>
      <c r="P3930" s="2">
        <v>14.0</v>
      </c>
      <c r="Q3930" s="2">
        <v>17.0</v>
      </c>
      <c r="R3930" s="2">
        <v>0.0</v>
      </c>
      <c r="S3930" s="3" t="s">
        <v>15967</v>
      </c>
      <c r="T3930" s="2" t="s">
        <v>15968</v>
      </c>
      <c r="Y3930" s="4" t="str">
        <f>IFERROR(__xludf.DUMMYFUNCTION("""COMPUTED_VALUE"""),"6.7856172")</f>
        <v>6.7856172</v>
      </c>
      <c r="Z3930" s="4" t="str">
        <f>IFERROR(__xludf.DUMMYFUNCTION("""COMPUTED_VALUE"""),"3.9483142")</f>
        <v>3.9483142</v>
      </c>
      <c r="AA3930" s="4" t="str">
        <f t="shared" si="1"/>
        <v>Not Neighbor</v>
      </c>
      <c r="AC3930" s="4">
        <f>IFERROR(__xludf.DUMMYFUNCTION("IFERROR(ABS(O3930-AVERAGE(FILTER(O3930:O7998,AA3930:AA7998=""Neighbor""))) / STDEV(FILTER(O3930:O7998, AA3930:AA7998 =""Neighbor"")), """")"),0.8022236509974224)</f>
        <v>0.802223651</v>
      </c>
      <c r="AF3930" s="2">
        <f>IFERROR(__xludf.DUMMYFUNCTION("IFERROR(ABS(R3930-AVERAGE(FILTER(R3930:R7998,AA3930:AA7998=""Neighbor""))) / STDEV(FILTER(R3930:R7998, AA3930:AA7998 =""Neighbor"")), """")"),0.277484612635627)</f>
        <v>0.2774846126</v>
      </c>
    </row>
    <row r="3931">
      <c r="A3931" s="2" t="s">
        <v>28</v>
      </c>
      <c r="B3931" s="2" t="s">
        <v>8911</v>
      </c>
      <c r="C3931" s="2" t="s">
        <v>9166</v>
      </c>
      <c r="D3931" s="2" t="s">
        <v>15969</v>
      </c>
      <c r="E3931" s="2" t="s">
        <v>15970</v>
      </c>
      <c r="F3931" s="2">
        <v>171.0</v>
      </c>
      <c r="G3931" s="2">
        <v>750.0</v>
      </c>
      <c r="H3931" s="2" t="b">
        <v>1</v>
      </c>
      <c r="I3931" s="2">
        <v>-1.0</v>
      </c>
      <c r="J3931" s="2" t="b">
        <v>0</v>
      </c>
      <c r="K3931" s="2" t="b">
        <v>0</v>
      </c>
      <c r="L3931" s="2" t="b">
        <v>0</v>
      </c>
      <c r="M3931" s="2" t="b">
        <v>0</v>
      </c>
      <c r="N3931" s="2" t="s">
        <v>33</v>
      </c>
      <c r="O3931" s="2">
        <v>104.0</v>
      </c>
      <c r="P3931" s="2">
        <v>41.0</v>
      </c>
      <c r="Q3931" s="2">
        <v>17.0</v>
      </c>
      <c r="R3931" s="2">
        <v>0.0</v>
      </c>
      <c r="S3931" s="3" t="s">
        <v>15971</v>
      </c>
      <c r="T3931" s="2" t="s">
        <v>15972</v>
      </c>
      <c r="Y3931" s="4" t="str">
        <f>IFERROR(__xludf.DUMMYFUNCTION("""COMPUTED_VALUE"""),"6.8137033")</f>
        <v>6.8137033</v>
      </c>
      <c r="Z3931" s="4" t="str">
        <f>IFERROR(__xludf.DUMMYFUNCTION("""COMPUTED_VALUE"""),"3.9282948")</f>
        <v>3.9282948</v>
      </c>
      <c r="AA3931" s="4" t="str">
        <f t="shared" si="1"/>
        <v>Not Neighbor</v>
      </c>
      <c r="AC3931" s="4">
        <f>IFERROR(__xludf.DUMMYFUNCTION("IFERROR(ABS(O3931-AVERAGE(FILTER(O3931:O7999,AA3931:AA7999=""Neighbor""))) / STDEV(FILTER(O3931:O7999, AA3931:AA7999 =""Neighbor"")), """")"),3.0689718741645584)</f>
        <v>3.068971874</v>
      </c>
      <c r="AF3931" s="2">
        <f>IFERROR(__xludf.DUMMYFUNCTION("IFERROR(ABS(R3931-AVERAGE(FILTER(R3931:R7999,AA3931:AA7999=""Neighbor""))) / STDEV(FILTER(R3931:R7999, AA3931:AA7999 =""Neighbor"")), """")"),0.277484612635627)</f>
        <v>0.2774846126</v>
      </c>
    </row>
    <row r="3932">
      <c r="A3932" s="2" t="s">
        <v>28</v>
      </c>
      <c r="B3932" s="2" t="s">
        <v>8911</v>
      </c>
      <c r="C3932" s="2" t="s">
        <v>9166</v>
      </c>
      <c r="D3932" s="2" t="s">
        <v>15973</v>
      </c>
      <c r="E3932" s="2" t="s">
        <v>15974</v>
      </c>
      <c r="F3932" s="2">
        <v>165.0</v>
      </c>
      <c r="G3932" s="2">
        <v>514.0</v>
      </c>
      <c r="H3932" s="2" t="b">
        <v>1</v>
      </c>
      <c r="I3932" s="2">
        <v>-1.0</v>
      </c>
      <c r="J3932" s="2" t="b">
        <v>0</v>
      </c>
      <c r="K3932" s="2" t="b">
        <v>0</v>
      </c>
      <c r="L3932" s="2" t="b">
        <v>0</v>
      </c>
      <c r="M3932" s="2" t="b">
        <v>0</v>
      </c>
      <c r="N3932" s="2" t="s">
        <v>33</v>
      </c>
      <c r="O3932" s="2">
        <v>72.0</v>
      </c>
      <c r="P3932" s="2">
        <v>68.0</v>
      </c>
      <c r="Q3932" s="2">
        <v>12.0</v>
      </c>
      <c r="R3932" s="2">
        <v>2.0</v>
      </c>
      <c r="S3932" s="3" t="s">
        <v>15975</v>
      </c>
      <c r="T3932" s="2" t="s">
        <v>15976</v>
      </c>
      <c r="Y3932" s="4" t="str">
        <f>IFERROR(__xludf.DUMMYFUNCTION("""COMPUTED_VALUE"""),"6.7856172")</f>
        <v>6.7856172</v>
      </c>
      <c r="Z3932" s="4" t="str">
        <f>IFERROR(__xludf.DUMMYFUNCTION("""COMPUTED_VALUE"""),"3.9483142")</f>
        <v>3.9483142</v>
      </c>
      <c r="AA3932" s="4" t="str">
        <f t="shared" si="1"/>
        <v>Not Neighbor</v>
      </c>
      <c r="AC3932" s="4">
        <f>IFERROR(__xludf.DUMMYFUNCTION("IFERROR(ABS(O3932-AVERAGE(FILTER(O3932:O8000,AA3932:AA8000=""Neighbor""))) / STDEV(FILTER(O3932:O8000, AA3932:AA8000 =""Neighbor"")), """")"),1.7257136678432927)</f>
        <v>1.725713668</v>
      </c>
      <c r="AF3932" s="2">
        <f>IFERROR(__xludf.DUMMYFUNCTION("IFERROR(ABS(R3932-AVERAGE(FILTER(R3932:R8000,AA3932:AA8000=""Neighbor""))) / STDEV(FILTER(R3932:R8000, AA3932:AA8000 =""Neighbor"")), """")"),4.092898036375499)</f>
        <v>4.092898036</v>
      </c>
    </row>
    <row r="3933">
      <c r="A3933" s="2" t="s">
        <v>28</v>
      </c>
      <c r="B3933" s="2" t="s">
        <v>8911</v>
      </c>
      <c r="C3933" s="2" t="s">
        <v>9166</v>
      </c>
      <c r="D3933" s="2" t="s">
        <v>15977</v>
      </c>
      <c r="E3933" s="2" t="s">
        <v>15978</v>
      </c>
      <c r="F3933" s="2">
        <v>61.0</v>
      </c>
      <c r="G3933" s="2">
        <v>140.0</v>
      </c>
      <c r="H3933" s="2" t="b">
        <v>1</v>
      </c>
      <c r="I3933" s="2">
        <v>-1.0</v>
      </c>
      <c r="J3933" s="2" t="b">
        <v>0</v>
      </c>
      <c r="K3933" s="2" t="b">
        <v>0</v>
      </c>
      <c r="L3933" s="2" t="b">
        <v>0</v>
      </c>
      <c r="M3933" s="2" t="b">
        <v>0</v>
      </c>
      <c r="N3933" s="2" t="s">
        <v>33</v>
      </c>
      <c r="O3933" s="2">
        <v>33.0</v>
      </c>
      <c r="P3933" s="2">
        <v>16.0</v>
      </c>
      <c r="Q3933" s="2">
        <v>7.0</v>
      </c>
      <c r="R3933" s="2">
        <v>0.0</v>
      </c>
      <c r="S3933" s="3" t="s">
        <v>15979</v>
      </c>
      <c r="T3933" s="2" t="s">
        <v>15980</v>
      </c>
      <c r="Y3933" s="4" t="str">
        <f>IFERROR(__xludf.DUMMYFUNCTION("""COMPUTED_VALUE"""),"6.7619589")</f>
        <v>6.7619589</v>
      </c>
      <c r="Z3933" s="4" t="str">
        <f>IFERROR(__xludf.DUMMYFUNCTION("""COMPUTED_VALUE"""),"4.0855845")</f>
        <v>4.0855845</v>
      </c>
      <c r="AA3933" s="4" t="str">
        <f t="shared" si="1"/>
        <v>Not Neighbor</v>
      </c>
      <c r="AC3933" s="4">
        <f>IFERROR(__xludf.DUMMYFUNCTION("IFERROR(ABS(O3933-AVERAGE(FILTER(O3933:O8001,AA3933:AA8001=""Neighbor""))) / STDEV(FILTER(O3933:O8001, AA3933:AA8001 =""Neighbor"")), """")"),0.08861772888925014)</f>
        <v>0.08861772889</v>
      </c>
      <c r="AF3933" s="2">
        <f>IFERROR(__xludf.DUMMYFUNCTION("IFERROR(ABS(R3933-AVERAGE(FILTER(R3933:R8001,AA3933:AA8001=""Neighbor""))) / STDEV(FILTER(R3933:R8001, AA3933:AA8001 =""Neighbor"")), """")"),0.277484612635627)</f>
        <v>0.2774846126</v>
      </c>
    </row>
    <row r="3934">
      <c r="A3934" s="2" t="s">
        <v>28</v>
      </c>
      <c r="B3934" s="2" t="s">
        <v>8911</v>
      </c>
      <c r="C3934" s="2" t="s">
        <v>9166</v>
      </c>
      <c r="D3934" s="2" t="s">
        <v>15981</v>
      </c>
      <c r="E3934" s="2" t="s">
        <v>15982</v>
      </c>
      <c r="F3934" s="2">
        <v>66.0</v>
      </c>
      <c r="G3934" s="2">
        <v>175.0</v>
      </c>
      <c r="H3934" s="2" t="b">
        <v>1</v>
      </c>
      <c r="I3934" s="2">
        <v>-1.0</v>
      </c>
      <c r="J3934" s="2" t="b">
        <v>0</v>
      </c>
      <c r="K3934" s="2" t="b">
        <v>0</v>
      </c>
      <c r="L3934" s="2" t="b">
        <v>0</v>
      </c>
      <c r="M3934" s="2" t="b">
        <v>0</v>
      </c>
      <c r="N3934" s="2" t="s">
        <v>33</v>
      </c>
      <c r="O3934" s="2">
        <v>32.0</v>
      </c>
      <c r="P3934" s="2">
        <v>16.0</v>
      </c>
      <c r="Q3934" s="2">
        <v>12.0</v>
      </c>
      <c r="R3934" s="2">
        <v>0.0</v>
      </c>
      <c r="S3934" s="3" t="s">
        <v>15983</v>
      </c>
      <c r="T3934" s="2" t="s">
        <v>15984</v>
      </c>
      <c r="Y3934" s="4" t="str">
        <f>IFERROR(__xludf.DUMMYFUNCTION("""COMPUTED_VALUE"""),"6.7927597")</f>
        <v>6.7927597</v>
      </c>
      <c r="Z3934" s="4" t="str">
        <f>IFERROR(__xludf.DUMMYFUNCTION("""COMPUTED_VALUE"""),"3.8909881")</f>
        <v>3.8909881</v>
      </c>
      <c r="AA3934" s="4" t="str">
        <f t="shared" si="1"/>
        <v>Not Neighbor</v>
      </c>
      <c r="AC3934" s="4">
        <f>IFERROR(__xludf.DUMMYFUNCTION("IFERROR(ABS(O3934-AVERAGE(FILTER(O3934:O8002,AA3934:AA8002=""Neighbor""))) / STDEV(FILTER(O3934:O8002, AA3934:AA8002 =""Neighbor"")), """")"),0.04664090994171059)</f>
        <v>0.04664090994</v>
      </c>
      <c r="AF3934" s="2">
        <f>IFERROR(__xludf.DUMMYFUNCTION("IFERROR(ABS(R3934-AVERAGE(FILTER(R3934:R8002,AA3934:AA8002=""Neighbor""))) / STDEV(FILTER(R3934:R8002, AA3934:AA8002 =""Neighbor"")), """")"),0.277484612635627)</f>
        <v>0.2774846126</v>
      </c>
    </row>
    <row r="3935">
      <c r="A3935" s="2" t="s">
        <v>28</v>
      </c>
      <c r="B3935" s="2" t="s">
        <v>8911</v>
      </c>
      <c r="C3935" s="2" t="s">
        <v>9282</v>
      </c>
      <c r="D3935" s="2" t="s">
        <v>15985</v>
      </c>
      <c r="E3935" s="2" t="s">
        <v>15986</v>
      </c>
      <c r="F3935" s="2">
        <v>94.0</v>
      </c>
      <c r="G3935" s="2">
        <v>579.0</v>
      </c>
      <c r="H3935" s="2" t="b">
        <v>1</v>
      </c>
      <c r="I3935" s="2">
        <v>-1.0</v>
      </c>
      <c r="J3935" s="2" t="b">
        <v>0</v>
      </c>
      <c r="K3935" s="2" t="b">
        <v>0</v>
      </c>
      <c r="L3935" s="2" t="b">
        <v>0</v>
      </c>
      <c r="M3935" s="2" t="b">
        <v>0</v>
      </c>
      <c r="N3935" s="2" t="s">
        <v>33</v>
      </c>
      <c r="O3935" s="2">
        <v>42.0</v>
      </c>
      <c r="P3935" s="2">
        <v>18.0</v>
      </c>
      <c r="Q3935" s="2">
        <v>28.0</v>
      </c>
      <c r="R3935" s="2">
        <v>1.0</v>
      </c>
      <c r="S3935" s="3" t="s">
        <v>15987</v>
      </c>
      <c r="T3935" s="2" t="s">
        <v>15988</v>
      </c>
      <c r="Y3935" s="4" t="str">
        <f>IFERROR(__xludf.DUMMYFUNCTION("""COMPUTED_VALUE"""),"6.7788807")</f>
        <v>6.7788807</v>
      </c>
      <c r="Z3935" s="4" t="str">
        <f>IFERROR(__xludf.DUMMYFUNCTION("""COMPUTED_VALUE"""),"3.9227384")</f>
        <v>3.9227384</v>
      </c>
      <c r="AA3935" s="4" t="str">
        <f t="shared" si="1"/>
        <v>Not Neighbor</v>
      </c>
      <c r="AC3935" s="4">
        <f>IFERROR(__xludf.DUMMYFUNCTION("IFERROR(ABS(O3935-AVERAGE(FILTER(O3935:O8003,AA3935:AA8003=""Neighbor""))) / STDEV(FILTER(O3935:O8003, AA3935:AA8003 =""Neighbor"")), """")"),0.46640909941710607)</f>
        <v>0.4664090994</v>
      </c>
      <c r="AF3935" s="2">
        <f>IFERROR(__xludf.DUMMYFUNCTION("IFERROR(ABS(R3935-AVERAGE(FILTER(R3935:R8003,AA3935:AA8003=""Neighbor""))) / STDEV(FILTER(R3935:R8003, AA3935:AA8003 =""Neighbor"")), """")"),1.907706711869936)</f>
        <v>1.907706712</v>
      </c>
    </row>
    <row r="3936">
      <c r="A3936" s="2" t="s">
        <v>28</v>
      </c>
      <c r="B3936" s="2" t="s">
        <v>8911</v>
      </c>
      <c r="C3936" s="2" t="s">
        <v>9282</v>
      </c>
      <c r="D3936" s="2" t="s">
        <v>15989</v>
      </c>
      <c r="E3936" s="2" t="s">
        <v>15990</v>
      </c>
      <c r="F3936" s="2">
        <v>71.0</v>
      </c>
      <c r="G3936" s="2">
        <v>117.0</v>
      </c>
      <c r="H3936" s="2" t="b">
        <v>1</v>
      </c>
      <c r="I3936" s="2">
        <v>-1.0</v>
      </c>
      <c r="J3936" s="2" t="b">
        <v>0</v>
      </c>
      <c r="K3936" s="2" t="b">
        <v>0</v>
      </c>
      <c r="L3936" s="2" t="b">
        <v>0</v>
      </c>
      <c r="M3936" s="2" t="b">
        <v>0</v>
      </c>
      <c r="N3936" s="2" t="s">
        <v>33</v>
      </c>
      <c r="O3936" s="2">
        <v>43.0</v>
      </c>
      <c r="P3936" s="2">
        <v>8.0</v>
      </c>
      <c r="Q3936" s="2">
        <v>13.0</v>
      </c>
      <c r="R3936" s="2">
        <v>0.0</v>
      </c>
      <c r="S3936" s="3" t="s">
        <v>15991</v>
      </c>
      <c r="T3936" s="2" t="s">
        <v>15992</v>
      </c>
      <c r="Y3936" s="4" t="str">
        <f>IFERROR(__xludf.DUMMYFUNCTION("""COMPUTED_VALUE"""),"6.7658338")</f>
        <v>6.7658338</v>
      </c>
      <c r="Z3936" s="4" t="str">
        <f>IFERROR(__xludf.DUMMYFUNCTION("""COMPUTED_VALUE"""),"3.9164585")</f>
        <v>3.9164585</v>
      </c>
      <c r="AA3936" s="4" t="str">
        <f t="shared" si="1"/>
        <v>Neighbor</v>
      </c>
      <c r="AC3936" s="4">
        <f>IFERROR(__xludf.DUMMYFUNCTION("IFERROR(ABS(O3936-AVERAGE(FILTER(O3936:O8004,AA3936:AA8004=""Neighbor""))) / STDEV(FILTER(O3936:O8004, AA3936:AA8004 =""Neighbor"")), """")"),0.5083859183646456)</f>
        <v>0.5083859184</v>
      </c>
      <c r="AF3936" s="2">
        <f>IFERROR(__xludf.DUMMYFUNCTION("IFERROR(ABS(R3936-AVERAGE(FILTER(R3936:R8004,AA3936:AA8004=""Neighbor""))) / STDEV(FILTER(R3936:R8004, AA3936:AA8004 =""Neighbor"")), """")"),0.277484612635627)</f>
        <v>0.2774846126</v>
      </c>
    </row>
    <row r="3937">
      <c r="A3937" s="2" t="s">
        <v>28</v>
      </c>
      <c r="B3937" s="2" t="s">
        <v>8911</v>
      </c>
      <c r="C3937" s="2" t="s">
        <v>9282</v>
      </c>
      <c r="D3937" s="2" t="s">
        <v>15993</v>
      </c>
      <c r="E3937" s="2" t="s">
        <v>15994</v>
      </c>
      <c r="F3937" s="2">
        <v>166.0</v>
      </c>
      <c r="G3937" s="2">
        <v>530.0</v>
      </c>
      <c r="H3937" s="2" t="b">
        <v>1</v>
      </c>
      <c r="I3937" s="2">
        <v>-1.0</v>
      </c>
      <c r="J3937" s="2" t="b">
        <v>0</v>
      </c>
      <c r="K3937" s="2" t="b">
        <v>0</v>
      </c>
      <c r="L3937" s="2" t="b">
        <v>0</v>
      </c>
      <c r="M3937" s="2" t="b">
        <v>0</v>
      </c>
      <c r="N3937" s="2" t="s">
        <v>33</v>
      </c>
      <c r="O3937" s="2">
        <v>59.0</v>
      </c>
      <c r="P3937" s="2">
        <v>33.0</v>
      </c>
      <c r="Q3937" s="2">
        <v>22.0</v>
      </c>
      <c r="R3937" s="2">
        <v>0.0</v>
      </c>
      <c r="S3937" s="3" t="s">
        <v>15995</v>
      </c>
      <c r="T3937" s="2" t="s">
        <v>15996</v>
      </c>
      <c r="Y3937" s="4" t="str">
        <f>IFERROR(__xludf.DUMMYFUNCTION("""COMPUTED_VALUE"""),"6.7658338")</f>
        <v>6.7658338</v>
      </c>
      <c r="Z3937" s="4" t="str">
        <f>IFERROR(__xludf.DUMMYFUNCTION("""COMPUTED_VALUE"""),"3.9164585")</f>
        <v>3.9164585</v>
      </c>
      <c r="AA3937" s="4" t="str">
        <f t="shared" si="1"/>
        <v>Not Neighbor</v>
      </c>
      <c r="AC3937" s="4">
        <f>IFERROR(__xludf.DUMMYFUNCTION("IFERROR(ABS(O3937-AVERAGE(FILTER(O3937:O8005,AA3937:AA8005=""Neighbor""))) / STDEV(FILTER(O3937:O8005, AA3937:AA8005 =""Neighbor"")), """")"),1.18109761530634)</f>
        <v>1.181097615</v>
      </c>
      <c r="AF3937" s="2">
        <f>IFERROR(__xludf.DUMMYFUNCTION("IFERROR(ABS(R3937-AVERAGE(FILTER(R3937:R8005,AA3937:AA8005=""Neighbor""))) / STDEV(FILTER(R3937:R8005, AA3937:AA8005 =""Neighbor"")), """")"),0.27985368853104775)</f>
        <v>0.2798536885</v>
      </c>
    </row>
    <row r="3938">
      <c r="A3938" s="2" t="s">
        <v>28</v>
      </c>
      <c r="B3938" s="2" t="s">
        <v>8911</v>
      </c>
      <c r="C3938" s="2" t="s">
        <v>9282</v>
      </c>
      <c r="D3938" s="2" t="s">
        <v>15997</v>
      </c>
      <c r="E3938" s="2" t="s">
        <v>15998</v>
      </c>
      <c r="F3938" s="2">
        <v>83.0</v>
      </c>
      <c r="G3938" s="2">
        <v>129.0</v>
      </c>
      <c r="H3938" s="2" t="b">
        <v>1</v>
      </c>
      <c r="I3938" s="2">
        <v>-1.0</v>
      </c>
      <c r="J3938" s="2" t="b">
        <v>0</v>
      </c>
      <c r="K3938" s="2" t="b">
        <v>0</v>
      </c>
      <c r="L3938" s="2" t="b">
        <v>0</v>
      </c>
      <c r="M3938" s="2" t="b">
        <v>0</v>
      </c>
      <c r="N3938" s="2" t="s">
        <v>33</v>
      </c>
      <c r="O3938" s="2">
        <v>35.0</v>
      </c>
      <c r="P3938" s="2">
        <v>11.0</v>
      </c>
      <c r="Q3938" s="2">
        <v>23.0</v>
      </c>
      <c r="R3938" s="2">
        <v>0.0</v>
      </c>
      <c r="S3938" s="3" t="s">
        <v>15999</v>
      </c>
      <c r="T3938" s="2" t="s">
        <v>16000</v>
      </c>
      <c r="Y3938" s="4" t="str">
        <f>IFERROR(__xludf.DUMMYFUNCTION("""COMPUTED_VALUE"""),"6.7942293")</f>
        <v>6.7942293</v>
      </c>
      <c r="Z3938" s="4" t="str">
        <f>IFERROR(__xludf.DUMMYFUNCTION("""COMPUTED_VALUE"""),"3.9132389")</f>
        <v>3.9132389</v>
      </c>
      <c r="AA3938" s="4" t="str">
        <f t="shared" si="1"/>
        <v>Not Neighbor</v>
      </c>
      <c r="AC3938" s="4">
        <f>IFERROR(__xludf.DUMMYFUNCTION("IFERROR(ABS(O3938-AVERAGE(FILTER(O3938:O8006,AA3938:AA8006=""Neighbor""))) / STDEV(FILTER(O3938:O8006, AA3938:AA8006 =""Neighbor"")), """")"),0.17968835514916962)</f>
        <v>0.1796883551</v>
      </c>
      <c r="AF3938" s="2">
        <f>IFERROR(__xludf.DUMMYFUNCTION("IFERROR(ABS(R3938-AVERAGE(FILTER(R3938:R8006,AA3938:AA8006=""Neighbor""))) / STDEV(FILTER(R3938:R8006, AA3938:AA8006 =""Neighbor"")), """")"),0.27985368853104775)</f>
        <v>0.2798536885</v>
      </c>
    </row>
    <row r="3939">
      <c r="A3939" s="2" t="s">
        <v>28</v>
      </c>
      <c r="B3939" s="2" t="s">
        <v>8911</v>
      </c>
      <c r="C3939" s="2" t="s">
        <v>8970</v>
      </c>
      <c r="D3939" s="2" t="s">
        <v>16001</v>
      </c>
      <c r="E3939" s="2" t="s">
        <v>16002</v>
      </c>
      <c r="F3939" s="2">
        <v>35.0</v>
      </c>
      <c r="G3939" s="2">
        <v>60.0</v>
      </c>
      <c r="H3939" s="2" t="b">
        <v>1</v>
      </c>
      <c r="I3939" s="2">
        <v>-1.0</v>
      </c>
      <c r="J3939" s="2" t="b">
        <v>0</v>
      </c>
      <c r="K3939" s="2" t="b">
        <v>0</v>
      </c>
      <c r="L3939" s="2" t="b">
        <v>0</v>
      </c>
      <c r="M3939" s="2" t="b">
        <v>0</v>
      </c>
      <c r="N3939" s="2" t="s">
        <v>33</v>
      </c>
      <c r="O3939" s="2">
        <v>10.0</v>
      </c>
      <c r="P3939" s="2">
        <v>1.0</v>
      </c>
      <c r="Q3939" s="2">
        <v>9.0</v>
      </c>
      <c r="R3939" s="2">
        <v>0.0</v>
      </c>
      <c r="S3939" s="3" t="s">
        <v>16003</v>
      </c>
      <c r="T3939" s="2" t="s">
        <v>16004</v>
      </c>
      <c r="Y3939" s="4" t="str">
        <f>IFERROR(__xludf.DUMMYFUNCTION("""COMPUTED_VALUE"""),"6.8657575")</f>
        <v>6.8657575</v>
      </c>
      <c r="Z3939" s="4" t="str">
        <f>IFERROR(__xludf.DUMMYFUNCTION("""COMPUTED_VALUE"""),"3.8053894")</f>
        <v>3.8053894</v>
      </c>
      <c r="AA3939" s="4" t="str">
        <f t="shared" si="1"/>
        <v>Not Neighbor</v>
      </c>
      <c r="AC3939" s="4">
        <f>IFERROR(__xludf.DUMMYFUNCTION("IFERROR(ABS(O3939-AVERAGE(FILTER(O3939:O8007,AA3939:AA8007=""Neighbor""))) / STDEV(FILTER(O3939:O8007, AA3939:AA8007 =""Neighbor"")), """")"),0.8634462908478828)</f>
        <v>0.8634462908</v>
      </c>
      <c r="AF3939" s="2">
        <f>IFERROR(__xludf.DUMMYFUNCTION("IFERROR(ABS(R3939-AVERAGE(FILTER(R3939:R8007,AA3939:AA8007=""Neighbor""))) / STDEV(FILTER(R3939:R8007, AA3939:AA8007 =""Neighbor"")), """")"),0.27985368853104775)</f>
        <v>0.2798536885</v>
      </c>
    </row>
    <row r="3940">
      <c r="A3940" s="2" t="s">
        <v>28</v>
      </c>
      <c r="B3940" s="2" t="s">
        <v>8911</v>
      </c>
      <c r="C3940" s="2" t="s">
        <v>9257</v>
      </c>
      <c r="D3940" s="2" t="s">
        <v>16005</v>
      </c>
      <c r="E3940" s="2" t="s">
        <v>16006</v>
      </c>
      <c r="F3940" s="2">
        <v>79.0</v>
      </c>
      <c r="G3940" s="2">
        <v>124.0</v>
      </c>
      <c r="H3940" s="2" t="b">
        <v>1</v>
      </c>
      <c r="I3940" s="2">
        <v>-1.0</v>
      </c>
      <c r="J3940" s="2" t="b">
        <v>0</v>
      </c>
      <c r="K3940" s="2" t="b">
        <v>0</v>
      </c>
      <c r="L3940" s="2" t="b">
        <v>0</v>
      </c>
      <c r="M3940" s="2" t="b">
        <v>0</v>
      </c>
      <c r="N3940" s="2" t="s">
        <v>33</v>
      </c>
      <c r="O3940" s="2">
        <v>47.0</v>
      </c>
      <c r="P3940" s="2">
        <v>5.0</v>
      </c>
      <c r="Q3940" s="2">
        <v>19.0</v>
      </c>
      <c r="R3940" s="2">
        <v>0.0</v>
      </c>
      <c r="S3940" s="3" t="s">
        <v>16007</v>
      </c>
      <c r="T3940" s="2" t="s">
        <v>16008</v>
      </c>
      <c r="Y3940" s="4" t="str">
        <f>IFERROR(__xludf.DUMMYFUNCTION("""COMPUTED_VALUE"""),"6.7775647")</f>
        <v>6.7775647</v>
      </c>
      <c r="Z3940" s="4" t="str">
        <f>IFERROR(__xludf.DUMMYFUNCTION("""COMPUTED_VALUE"""),"3.7841503")</f>
        <v>3.7841503</v>
      </c>
      <c r="AA3940" s="4" t="str">
        <f t="shared" si="1"/>
        <v>Not Neighbor</v>
      </c>
      <c r="AC3940" s="4">
        <f>IFERROR(__xludf.DUMMYFUNCTION("IFERROR(ABS(O3940-AVERAGE(FILTER(O3940:O8008,AA3940:AA8008=""Neighbor""))) / STDEV(FILTER(O3940:O8008, AA3940:AA8008 =""Neighbor"")), """")"),0.6803929852277548)</f>
        <v>0.6803929852</v>
      </c>
      <c r="AF3940" s="2">
        <f>IFERROR(__xludf.DUMMYFUNCTION("IFERROR(ABS(R3940-AVERAGE(FILTER(R3940:R8008,AA3940:AA8008=""Neighbor""))) / STDEV(FILTER(R3940:R8008, AA3940:AA8008 =""Neighbor"")), """")"),0.27985368853104775)</f>
        <v>0.2798536885</v>
      </c>
    </row>
    <row r="3941">
      <c r="A3941" s="2" t="s">
        <v>28</v>
      </c>
      <c r="B3941" s="2" t="s">
        <v>8911</v>
      </c>
      <c r="C3941" s="2" t="s">
        <v>9074</v>
      </c>
      <c r="D3941" s="2" t="s">
        <v>16009</v>
      </c>
      <c r="E3941" s="2" t="s">
        <v>16010</v>
      </c>
      <c r="F3941" s="2">
        <v>66.0</v>
      </c>
      <c r="G3941" s="2">
        <v>99.0</v>
      </c>
      <c r="H3941" s="2" t="b">
        <v>1</v>
      </c>
      <c r="I3941" s="2">
        <v>-1.0</v>
      </c>
      <c r="J3941" s="2" t="b">
        <v>0</v>
      </c>
      <c r="K3941" s="2" t="b">
        <v>0</v>
      </c>
      <c r="L3941" s="2" t="b">
        <v>0</v>
      </c>
      <c r="M3941" s="2" t="b">
        <v>0</v>
      </c>
      <c r="N3941" s="2" t="s">
        <v>33</v>
      </c>
      <c r="O3941" s="2">
        <v>45.0</v>
      </c>
      <c r="P3941" s="2">
        <v>8.0</v>
      </c>
      <c r="Q3941" s="2">
        <v>9.0</v>
      </c>
      <c r="R3941" s="2">
        <v>0.0</v>
      </c>
      <c r="S3941" s="3" t="s">
        <v>16011</v>
      </c>
      <c r="T3941" s="2" t="s">
        <v>16012</v>
      </c>
      <c r="Y3941" s="4" t="str">
        <f>IFERROR(__xludf.DUMMYFUNCTION("""COMPUTED_VALUE"""),"6.7957362")</f>
        <v>6.7957362</v>
      </c>
      <c r="Z3941" s="4" t="str">
        <f>IFERROR(__xludf.DUMMYFUNCTION("""COMPUTED_VALUE"""),"3.8528061")</f>
        <v>3.8528061</v>
      </c>
      <c r="AA3941" s="4" t="str">
        <f t="shared" si="1"/>
        <v>Neighbor</v>
      </c>
      <c r="AC3941" s="4">
        <f>IFERROR(__xludf.DUMMYFUNCTION("IFERROR(ABS(O3941-AVERAGE(FILTER(O3941:O8009,AA3941:AA8009=""Neighbor""))) / STDEV(FILTER(O3941:O8009, AA3941:AA8009 =""Neighbor"")), """")"),0.5969422135479906)</f>
        <v>0.5969422135</v>
      </c>
      <c r="AF3941" s="2">
        <f>IFERROR(__xludf.DUMMYFUNCTION("IFERROR(ABS(R3941-AVERAGE(FILTER(R3941:R8009,AA3941:AA8009=""Neighbor""))) / STDEV(FILTER(R3941:R8009, AA3941:AA8009 =""Neighbor"")), """")"),0.27985368853104775)</f>
        <v>0.2798536885</v>
      </c>
    </row>
    <row r="3942">
      <c r="A3942" s="2" t="s">
        <v>28</v>
      </c>
      <c r="B3942" s="2" t="s">
        <v>8911</v>
      </c>
      <c r="C3942" s="2" t="s">
        <v>9074</v>
      </c>
      <c r="D3942" s="2" t="s">
        <v>16013</v>
      </c>
      <c r="E3942" s="2" t="s">
        <v>16014</v>
      </c>
      <c r="F3942" s="2">
        <v>54.0</v>
      </c>
      <c r="G3942" s="2">
        <v>96.0</v>
      </c>
      <c r="H3942" s="2" t="b">
        <v>1</v>
      </c>
      <c r="I3942" s="2">
        <v>-1.0</v>
      </c>
      <c r="J3942" s="2" t="b">
        <v>0</v>
      </c>
      <c r="K3942" s="2" t="b">
        <v>0</v>
      </c>
      <c r="L3942" s="2" t="b">
        <v>0</v>
      </c>
      <c r="M3942" s="2" t="b">
        <v>0</v>
      </c>
      <c r="N3942" s="2" t="s">
        <v>33</v>
      </c>
      <c r="O3942" s="2">
        <v>32.0</v>
      </c>
      <c r="P3942" s="2">
        <v>14.0</v>
      </c>
      <c r="Q3942" s="2">
        <v>6.0</v>
      </c>
      <c r="R3942" s="2">
        <v>0.0</v>
      </c>
      <c r="S3942" s="3" t="s">
        <v>16015</v>
      </c>
      <c r="T3942" s="2" t="s">
        <v>16016</v>
      </c>
      <c r="Y3942" s="4" t="str">
        <f>IFERROR(__xludf.DUMMYFUNCTION("""COMPUTED_VALUE"""),"6.801286")</f>
        <v>6.801286</v>
      </c>
      <c r="Z3942" s="4" t="str">
        <f>IFERROR(__xludf.DUMMYFUNCTION("""COMPUTED_VALUE"""),"3.8608165")</f>
        <v>3.8608165</v>
      </c>
      <c r="AA3942" s="4" t="str">
        <f t="shared" si="1"/>
        <v>Neighbor</v>
      </c>
      <c r="AC3942" s="4">
        <f>IFERROR(__xludf.DUMMYFUNCTION("IFERROR(ABS(O3942-AVERAGE(FILTER(O3942:O8010,AA3942:AA8010=""Neighbor""))) / STDEV(FILTER(O3942:O8010, AA3942:AA8010 =""Neighbor"")), """")"),0.06395908193234282)</f>
        <v>0.06395908193</v>
      </c>
      <c r="AF3942" s="2">
        <f>IFERROR(__xludf.DUMMYFUNCTION("IFERROR(ABS(R3942-AVERAGE(FILTER(R3942:R8010,AA3942:AA8010=""Neighbor""))) / STDEV(FILTER(R3942:R8010, AA3942:AA8010 =""Neighbor"")), """")"),0.28228457602826473)</f>
        <v>0.282284576</v>
      </c>
    </row>
    <row r="3943">
      <c r="A3943" s="2" t="s">
        <v>28</v>
      </c>
      <c r="B3943" s="2" t="s">
        <v>8911</v>
      </c>
      <c r="C3943" s="2" t="s">
        <v>9074</v>
      </c>
      <c r="D3943" s="2" t="s">
        <v>16017</v>
      </c>
      <c r="E3943" s="2" t="s">
        <v>16018</v>
      </c>
      <c r="F3943" s="2">
        <v>141.0</v>
      </c>
      <c r="G3943" s="2">
        <v>369.0</v>
      </c>
      <c r="H3943" s="2" t="b">
        <v>1</v>
      </c>
      <c r="I3943" s="2">
        <v>-1.0</v>
      </c>
      <c r="J3943" s="2" t="b">
        <v>0</v>
      </c>
      <c r="K3943" s="2" t="b">
        <v>0</v>
      </c>
      <c r="L3943" s="2" t="b">
        <v>0</v>
      </c>
      <c r="M3943" s="2" t="b">
        <v>0</v>
      </c>
      <c r="N3943" s="2" t="s">
        <v>33</v>
      </c>
      <c r="O3943" s="2">
        <v>1.0</v>
      </c>
      <c r="P3943" s="2">
        <v>1.0</v>
      </c>
      <c r="Q3943" s="2">
        <v>41.0</v>
      </c>
      <c r="R3943" s="2">
        <v>0.0</v>
      </c>
      <c r="S3943" s="3" t="s">
        <v>16019</v>
      </c>
      <c r="T3943" s="2" t="s">
        <v>16020</v>
      </c>
      <c r="Y3943" s="4" t="str">
        <f>IFERROR(__xludf.DUMMYFUNCTION("""COMPUTED_VALUE"""),"6.7957362")</f>
        <v>6.7957362</v>
      </c>
      <c r="Z3943" s="4" t="str">
        <f>IFERROR(__xludf.DUMMYFUNCTION("""COMPUTED_VALUE"""),"3.8528061")</f>
        <v>3.8528061</v>
      </c>
      <c r="AA3943" s="4" t="str">
        <f t="shared" si="1"/>
        <v>Neighbor</v>
      </c>
      <c r="AC3943" s="4">
        <f>IFERROR(__xludf.DUMMYFUNCTION("IFERROR(ABS(O3943-AVERAGE(FILTER(O3943:O8011,AA3943:AA8011=""Neighbor""))) / STDEV(FILTER(O3943:O8011, AA3943:AA8011 =""Neighbor"")), """")"),1.21146001459243)</f>
        <v>1.211460015</v>
      </c>
      <c r="AF3943" s="2">
        <f>IFERROR(__xludf.DUMMYFUNCTION("IFERROR(ABS(R3943-AVERAGE(FILTER(R3943:R8011,AA3943:AA8011=""Neighbor""))) / STDEV(FILTER(R3943:R8011, AA3943:AA8011 =""Neighbor"")), """")"),0.2847800139711148)</f>
        <v>0.284780014</v>
      </c>
    </row>
    <row r="3944">
      <c r="A3944" s="2" t="s">
        <v>28</v>
      </c>
      <c r="B3944" s="2" t="s">
        <v>8911</v>
      </c>
      <c r="C3944" s="2" t="s">
        <v>9074</v>
      </c>
      <c r="D3944" s="2" t="s">
        <v>16021</v>
      </c>
      <c r="E3944" s="2" t="s">
        <v>16022</v>
      </c>
      <c r="F3944" s="2">
        <v>44.0</v>
      </c>
      <c r="G3944" s="2">
        <v>85.0</v>
      </c>
      <c r="H3944" s="2" t="b">
        <v>1</v>
      </c>
      <c r="I3944" s="2">
        <v>-1.0</v>
      </c>
      <c r="J3944" s="2" t="b">
        <v>0</v>
      </c>
      <c r="K3944" s="2" t="b">
        <v>0</v>
      </c>
      <c r="L3944" s="2" t="b">
        <v>0</v>
      </c>
      <c r="M3944" s="2" t="b">
        <v>0</v>
      </c>
      <c r="N3944" s="2" t="s">
        <v>33</v>
      </c>
      <c r="O3944" s="2">
        <v>18.0</v>
      </c>
      <c r="P3944" s="2">
        <v>2.0</v>
      </c>
      <c r="Q3944" s="2">
        <v>24.0</v>
      </c>
      <c r="R3944" s="2">
        <v>0.0</v>
      </c>
      <c r="S3944" s="3" t="s">
        <v>16023</v>
      </c>
      <c r="T3944" s="2" t="s">
        <v>16024</v>
      </c>
      <c r="Y3944" s="4" t="str">
        <f>IFERROR(__xludf.DUMMYFUNCTION("""COMPUTED_VALUE"""),"6.7957362")</f>
        <v>6.7957362</v>
      </c>
      <c r="Z3944" s="4" t="str">
        <f>IFERROR(__xludf.DUMMYFUNCTION("""COMPUTED_VALUE"""),"3.8528061")</f>
        <v>3.8528061</v>
      </c>
      <c r="AA3944" s="4" t="str">
        <f t="shared" si="1"/>
        <v>Neighbor</v>
      </c>
      <c r="AC3944" s="4">
        <f>IFERROR(__xludf.DUMMYFUNCTION("IFERROR(ABS(O3944-AVERAGE(FILTER(O3944:O8012,AA3944:AA8012=""Neighbor""))) / STDEV(FILTER(O3944:O8012, AA3944:AA8012 =""Neighbor"")), """")"),0.5345569180356854)</f>
        <v>0.534556918</v>
      </c>
      <c r="AF3944" s="2">
        <f>IFERROR(__xludf.DUMMYFUNCTION("IFERROR(ABS(R3944-AVERAGE(FILTER(R3944:R8012,AA3944:AA8012=""Neighbor""))) / STDEV(FILTER(R3944:R8012, AA3944:AA8012 =""Neighbor"")), """")"),0.2873429143769433)</f>
        <v>0.2873429144</v>
      </c>
    </row>
    <row r="3945">
      <c r="A3945" s="2" t="s">
        <v>28</v>
      </c>
      <c r="B3945" s="2" t="s">
        <v>8911</v>
      </c>
      <c r="C3945" s="2" t="s">
        <v>9074</v>
      </c>
      <c r="D3945" s="2" t="s">
        <v>16025</v>
      </c>
      <c r="E3945" s="2" t="s">
        <v>16026</v>
      </c>
      <c r="F3945" s="2">
        <v>49.0</v>
      </c>
      <c r="G3945" s="2">
        <v>103.0</v>
      </c>
      <c r="H3945" s="2" t="b">
        <v>1</v>
      </c>
      <c r="I3945" s="2">
        <v>-1.0</v>
      </c>
      <c r="J3945" s="2" t="b">
        <v>0</v>
      </c>
      <c r="K3945" s="2" t="b">
        <v>0</v>
      </c>
      <c r="L3945" s="2" t="b">
        <v>0</v>
      </c>
      <c r="M3945" s="2" t="b">
        <v>0</v>
      </c>
      <c r="N3945" s="2" t="s">
        <v>33</v>
      </c>
      <c r="O3945" s="2">
        <v>34.0</v>
      </c>
      <c r="P3945" s="2">
        <v>8.0</v>
      </c>
      <c r="Q3945" s="2">
        <v>5.0</v>
      </c>
      <c r="R3945" s="2">
        <v>0.0</v>
      </c>
      <c r="S3945" s="3" t="s">
        <v>16027</v>
      </c>
      <c r="T3945" s="2" t="s">
        <v>16028</v>
      </c>
      <c r="Y3945" s="4" t="str">
        <f>IFERROR(__xludf.DUMMYFUNCTION("""COMPUTED_VALUE"""),"6.7957362")</f>
        <v>6.7957362</v>
      </c>
      <c r="Z3945" s="4" t="str">
        <f>IFERROR(__xludf.DUMMYFUNCTION("""COMPUTED_VALUE"""),"3.8528061")</f>
        <v>3.8528061</v>
      </c>
      <c r="AA3945" s="4" t="str">
        <f t="shared" si="1"/>
        <v>Neighbor</v>
      </c>
      <c r="AC3945" s="4">
        <f>IFERROR(__xludf.DUMMYFUNCTION("IFERROR(ABS(O3945-AVERAGE(FILTER(O3945:O8013,AA3945:AA8013=""Neighbor""))) / STDEV(FILTER(O3945:O8013, AA3945:AA8013 =""Neighbor"")), """")"),0.11686697960598395)</f>
        <v>0.1168669796</v>
      </c>
      <c r="AF3945" s="2">
        <f>IFERROR(__xludf.DUMMYFUNCTION("IFERROR(ABS(R3945-AVERAGE(FILTER(R3945:R8013,AA3945:AA8013=""Neighbor""))) / STDEV(FILTER(R3945:R8013, AA3945:AA8013 =""Neighbor"")), """")"),0.28997637679031907)</f>
        <v>0.2899763768</v>
      </c>
    </row>
    <row r="3946">
      <c r="A3946" s="2" t="s">
        <v>28</v>
      </c>
      <c r="B3946" s="2" t="s">
        <v>8911</v>
      </c>
      <c r="C3946" s="2" t="s">
        <v>9074</v>
      </c>
      <c r="D3946" s="2" t="s">
        <v>16029</v>
      </c>
      <c r="E3946" s="2" t="s">
        <v>16030</v>
      </c>
      <c r="F3946" s="2">
        <v>45.0</v>
      </c>
      <c r="G3946" s="2">
        <v>83.0</v>
      </c>
      <c r="H3946" s="2" t="b">
        <v>1</v>
      </c>
      <c r="I3946" s="2">
        <v>-1.0</v>
      </c>
      <c r="J3946" s="2" t="b">
        <v>0</v>
      </c>
      <c r="K3946" s="2" t="b">
        <v>0</v>
      </c>
      <c r="L3946" s="2" t="b">
        <v>0</v>
      </c>
      <c r="M3946" s="2" t="b">
        <v>0</v>
      </c>
      <c r="N3946" s="2" t="s">
        <v>33</v>
      </c>
      <c r="O3946" s="2">
        <v>28.0</v>
      </c>
      <c r="P3946" s="2">
        <v>5.0</v>
      </c>
      <c r="Q3946" s="2">
        <v>11.0</v>
      </c>
      <c r="R3946" s="2">
        <v>0.0</v>
      </c>
      <c r="S3946" s="3" t="s">
        <v>16031</v>
      </c>
      <c r="T3946" s="2" t="s">
        <v>16032</v>
      </c>
      <c r="Y3946" s="4" t="str">
        <f>IFERROR(__xludf.DUMMYFUNCTION("""COMPUTED_VALUE"""),"6.7957362")</f>
        <v>6.7957362</v>
      </c>
      <c r="Z3946" s="4" t="str">
        <f>IFERROR(__xludf.DUMMYFUNCTION("""COMPUTED_VALUE"""),"3.8528061")</f>
        <v>3.8528061</v>
      </c>
      <c r="AA3946" s="4" t="str">
        <f t="shared" si="1"/>
        <v>Neighbor</v>
      </c>
      <c r="AC3946" s="4">
        <f>IFERROR(__xludf.DUMMYFUNCTION("IFERROR(ABS(O3946-AVERAGE(FILTER(O3946:O8014,AA3946:AA8014=""Neighbor""))) / STDEV(FILTER(O3946:O8014, AA3946:AA8014 =""Neighbor"")), """")"),0.12645727412747088)</f>
        <v>0.1264572741</v>
      </c>
      <c r="AF3946" s="2">
        <f>IFERROR(__xludf.DUMMYFUNCTION("IFERROR(ABS(R3946-AVERAGE(FILTER(R3946:R8014,AA3946:AA8014=""Neighbor""))) / STDEV(FILTER(R3946:R8014, AA3946:AA8014 =""Neighbor"")), """")"),0.29268370411981803)</f>
        <v>0.2926837041</v>
      </c>
    </row>
    <row r="3947">
      <c r="A3947" s="2" t="s">
        <v>28</v>
      </c>
      <c r="B3947" s="2" t="s">
        <v>8911</v>
      </c>
      <c r="C3947" s="2" t="s">
        <v>9074</v>
      </c>
      <c r="D3947" s="2" t="s">
        <v>16033</v>
      </c>
      <c r="E3947" s="2" t="s">
        <v>16034</v>
      </c>
      <c r="F3947" s="2">
        <v>108.0</v>
      </c>
      <c r="G3947" s="2">
        <v>170.0</v>
      </c>
      <c r="H3947" s="2" t="b">
        <v>1</v>
      </c>
      <c r="I3947" s="2">
        <v>-1.0</v>
      </c>
      <c r="J3947" s="2" t="b">
        <v>0</v>
      </c>
      <c r="K3947" s="2" t="b">
        <v>1</v>
      </c>
      <c r="L3947" s="2" t="b">
        <v>0</v>
      </c>
      <c r="M3947" s="2" t="b">
        <v>0</v>
      </c>
      <c r="N3947" s="2" t="s">
        <v>33</v>
      </c>
      <c r="O3947" s="2">
        <v>64.0</v>
      </c>
      <c r="P3947" s="2">
        <v>5.0</v>
      </c>
      <c r="Q3947" s="2">
        <v>32.0</v>
      </c>
      <c r="R3947" s="2">
        <v>0.0</v>
      </c>
      <c r="S3947" s="3" t="s">
        <v>16035</v>
      </c>
      <c r="T3947" s="2" t="s">
        <v>16036</v>
      </c>
      <c r="Y3947" s="4" t="str">
        <f>IFERROR(__xludf.DUMMYFUNCTION("""COMPUTED_VALUE"""),"6.7957362")</f>
        <v>6.7957362</v>
      </c>
      <c r="Z3947" s="4" t="str">
        <f>IFERROR(__xludf.DUMMYFUNCTION("""COMPUTED_VALUE"""),"3.8528061")</f>
        <v>3.8528061</v>
      </c>
      <c r="AA3947" s="4" t="str">
        <f t="shared" si="1"/>
        <v>Not Neighbor</v>
      </c>
      <c r="AC3947" s="4">
        <f>IFERROR(__xludf.DUMMYFUNCTION("IFERROR(ABS(O3947-AVERAGE(FILTER(O3947:O8015,AA3947:AA8015=""Neighbor""))) / STDEV(FILTER(O3947:O8015, AA3947:AA8015 =""Neighbor"")), """")"),1.3255300087941755)</f>
        <v>1.325530009</v>
      </c>
      <c r="AF3947" s="2">
        <f>IFERROR(__xludf.DUMMYFUNCTION("IFERROR(ABS(R3947-AVERAGE(FILTER(R3947:R8015,AA3947:AA8015=""Neighbor""))) / STDEV(FILTER(R3947:R8015, AA3947:AA8015 =""Neighbor"")), """")"),0.2954684201426394)</f>
        <v>0.2954684201</v>
      </c>
    </row>
    <row r="3948">
      <c r="A3948" s="2" t="s">
        <v>28</v>
      </c>
      <c r="B3948" s="2" t="s">
        <v>9299</v>
      </c>
      <c r="C3948" s="2" t="s">
        <v>9333</v>
      </c>
      <c r="D3948" s="2" t="s">
        <v>16037</v>
      </c>
      <c r="E3948" s="2" t="s">
        <v>16038</v>
      </c>
      <c r="F3948" s="2">
        <v>54.0</v>
      </c>
      <c r="G3948" s="2">
        <v>100.0</v>
      </c>
      <c r="H3948" s="2" t="b">
        <v>1</v>
      </c>
      <c r="I3948" s="2">
        <v>-1.0</v>
      </c>
      <c r="J3948" s="2" t="b">
        <v>0</v>
      </c>
      <c r="K3948" s="2" t="b">
        <v>0</v>
      </c>
      <c r="L3948" s="2" t="b">
        <v>0</v>
      </c>
      <c r="M3948" s="2" t="b">
        <v>0</v>
      </c>
      <c r="N3948" s="2" t="s">
        <v>33</v>
      </c>
      <c r="O3948" s="2">
        <v>50.0</v>
      </c>
      <c r="P3948" s="2">
        <v>0.0</v>
      </c>
      <c r="Q3948" s="2">
        <v>4.0</v>
      </c>
      <c r="R3948" s="2">
        <v>0.0</v>
      </c>
      <c r="S3948" s="3" t="s">
        <v>16039</v>
      </c>
      <c r="T3948" s="2" t="s">
        <v>16040</v>
      </c>
      <c r="Y3948" s="4" t="str">
        <f>IFERROR(__xludf.DUMMYFUNCTION("""COMPUTED_VALUE"""),"6.5169241")</f>
        <v>6.5169241</v>
      </c>
      <c r="Z3948" s="4" t="str">
        <f>IFERROR(__xludf.DUMMYFUNCTION("""COMPUTED_VALUE"""),"4.356513")</f>
        <v>4.356513</v>
      </c>
      <c r="AA3948" s="4" t="str">
        <f t="shared" si="1"/>
        <v>Not Neighbor</v>
      </c>
      <c r="AC3948" s="4">
        <f>IFERROR(__xludf.DUMMYFUNCTION("IFERROR(ABS(O3948-AVERAGE(FILTER(O3948:O8016,AA3948:AA8016=""Neighbor""))) / STDEV(FILTER(O3948:O8016, AA3948:AA8016 =""Neighbor"")), """")"),0.7604318430004651)</f>
        <v>0.760431843</v>
      </c>
      <c r="AF3948" s="2">
        <f>IFERROR(__xludf.DUMMYFUNCTION("IFERROR(ABS(R3948-AVERAGE(FILTER(R3948:R8016,AA3948:AA8016=""Neighbor""))) / STDEV(FILTER(R3948:R8016, AA3948:AA8016 =""Neighbor"")), """")"),0.2954684201426394)</f>
        <v>0.2954684201</v>
      </c>
    </row>
    <row r="3949">
      <c r="A3949" s="2" t="s">
        <v>28</v>
      </c>
      <c r="B3949" s="2" t="s">
        <v>9299</v>
      </c>
      <c r="C3949" s="2" t="s">
        <v>9518</v>
      </c>
      <c r="D3949" s="2" t="s">
        <v>16041</v>
      </c>
      <c r="E3949" s="2" t="s">
        <v>16042</v>
      </c>
      <c r="F3949" s="2">
        <v>164.0</v>
      </c>
      <c r="G3949" s="2">
        <v>610.0</v>
      </c>
      <c r="H3949" s="2" t="b">
        <v>1</v>
      </c>
      <c r="I3949" s="2">
        <v>-1.0</v>
      </c>
      <c r="J3949" s="2" t="b">
        <v>1</v>
      </c>
      <c r="K3949" s="2" t="b">
        <v>1</v>
      </c>
      <c r="L3949" s="2" t="b">
        <v>0</v>
      </c>
      <c r="M3949" s="2" t="b">
        <v>0</v>
      </c>
      <c r="N3949" s="2" t="s">
        <v>33</v>
      </c>
      <c r="O3949" s="2">
        <v>82.0</v>
      </c>
      <c r="P3949" s="2">
        <v>4.0</v>
      </c>
      <c r="Q3949" s="2">
        <v>63.0</v>
      </c>
      <c r="R3949" s="2">
        <v>0.0</v>
      </c>
      <c r="S3949" s="3" t="s">
        <v>16043</v>
      </c>
      <c r="T3949" s="2" t="s">
        <v>16044</v>
      </c>
      <c r="Y3949" s="4" t="str">
        <f>IFERROR(__xludf.DUMMYFUNCTION("""COMPUTED_VALUE"""),"6.6140101")</f>
        <v>6.6140101</v>
      </c>
      <c r="Z3949" s="4" t="str">
        <f>IFERROR(__xludf.DUMMYFUNCTION("""COMPUTED_VALUE"""),"4.5454416")</f>
        <v>4.5454416</v>
      </c>
      <c r="AA3949" s="4" t="str">
        <f t="shared" si="1"/>
        <v>Not Neighbor</v>
      </c>
      <c r="AC3949" s="4">
        <f>IFERROR(__xludf.DUMMYFUNCTION("IFERROR(ABS(O3949-AVERAGE(FILTER(O3949:O8017,AA3949:AA8017=""Neighbor""))) / STDEV(FILTER(O3949:O8017, AA3949:AA8017 =""Neighbor"")), """")"),2.052084793386089)</f>
        <v>2.052084793</v>
      </c>
      <c r="AF3949" s="2">
        <f>IFERROR(__xludf.DUMMYFUNCTION("IFERROR(ABS(R3949-AVERAGE(FILTER(R3949:R8017,AA3949:AA8017=""Neighbor""))) / STDEV(FILTER(R3949:R8017, AA3949:AA8017 =""Neighbor"")), """")"),0.2954684201426394)</f>
        <v>0.2954684201</v>
      </c>
    </row>
    <row r="3950">
      <c r="A3950" s="2" t="s">
        <v>28</v>
      </c>
      <c r="B3950" s="2" t="s">
        <v>9299</v>
      </c>
      <c r="C3950" s="2" t="s">
        <v>9518</v>
      </c>
      <c r="D3950" s="2" t="s">
        <v>16045</v>
      </c>
      <c r="E3950" s="2" t="s">
        <v>16046</v>
      </c>
      <c r="F3950" s="2">
        <v>29.0</v>
      </c>
      <c r="G3950" s="2">
        <v>51.0</v>
      </c>
      <c r="H3950" s="2" t="b">
        <v>1</v>
      </c>
      <c r="I3950" s="2">
        <v>-1.0</v>
      </c>
      <c r="J3950" s="2" t="b">
        <v>0</v>
      </c>
      <c r="K3950" s="2" t="b">
        <v>0</v>
      </c>
      <c r="L3950" s="2" t="b">
        <v>0</v>
      </c>
      <c r="M3950" s="2" t="b">
        <v>0</v>
      </c>
      <c r="N3950" s="2" t="s">
        <v>33</v>
      </c>
      <c r="O3950" s="2">
        <v>16.0</v>
      </c>
      <c r="P3950" s="2">
        <v>1.0</v>
      </c>
      <c r="Q3950" s="2">
        <v>9.0</v>
      </c>
      <c r="R3950" s="2">
        <v>0.0</v>
      </c>
      <c r="S3950" s="3" t="s">
        <v>16047</v>
      </c>
      <c r="T3950" s="2" t="s">
        <v>16048</v>
      </c>
      <c r="Y3950" s="4" t="str">
        <f>IFERROR(__xludf.DUMMYFUNCTION("""COMPUTED_VALUE"""),"43.591382")</f>
        <v>43.591382</v>
      </c>
      <c r="Z3950" s="4" t="str">
        <f>IFERROR(__xludf.DUMMYFUNCTION("""COMPUTED_VALUE"""),"-88.443713")</f>
        <v>-88.443713</v>
      </c>
      <c r="AA3950" s="4" t="str">
        <f t="shared" si="1"/>
        <v>Not Neighbor</v>
      </c>
      <c r="AC3950" s="4">
        <f>IFERROR(__xludf.DUMMYFUNCTION("IFERROR(ABS(O3950-AVERAGE(FILTER(O3950:O8018,AA3950:AA8018=""Neighbor""))) / STDEV(FILTER(O3950:O8018, AA3950:AA8018 =""Neighbor"")), """")"),0.6119494167842604)</f>
        <v>0.6119494168</v>
      </c>
      <c r="AF3950" s="2">
        <f>IFERROR(__xludf.DUMMYFUNCTION("IFERROR(ABS(R3950-AVERAGE(FILTER(R3950:R8018,AA3950:AA8018=""Neighbor""))) / STDEV(FILTER(R3950:R8018, AA3950:AA8018 =""Neighbor"")), """")"),0.2954684201426394)</f>
        <v>0.2954684201</v>
      </c>
    </row>
    <row r="3951">
      <c r="A3951" s="2" t="s">
        <v>28</v>
      </c>
      <c r="B3951" s="2" t="s">
        <v>9299</v>
      </c>
      <c r="C3951" s="2" t="s">
        <v>9300</v>
      </c>
      <c r="D3951" s="2" t="s">
        <v>16049</v>
      </c>
      <c r="E3951" s="2" t="s">
        <v>16050</v>
      </c>
      <c r="F3951" s="2">
        <v>217.0</v>
      </c>
      <c r="G3951" s="2">
        <v>694.0</v>
      </c>
      <c r="H3951" s="2" t="b">
        <v>1</v>
      </c>
      <c r="I3951" s="2">
        <v>-1.0</v>
      </c>
      <c r="J3951" s="2" t="b">
        <v>0</v>
      </c>
      <c r="K3951" s="2" t="b">
        <v>0</v>
      </c>
      <c r="L3951" s="2" t="b">
        <v>0</v>
      </c>
      <c r="M3951" s="2" t="b">
        <v>0</v>
      </c>
      <c r="N3951" s="2" t="s">
        <v>33</v>
      </c>
      <c r="O3951" s="2">
        <v>139.0</v>
      </c>
      <c r="P3951" s="2">
        <v>0.0</v>
      </c>
      <c r="Q3951" s="2">
        <v>53.0</v>
      </c>
      <c r="R3951" s="2">
        <v>0.0</v>
      </c>
      <c r="S3951" s="3" t="s">
        <v>16051</v>
      </c>
      <c r="T3951" s="2" t="s">
        <v>16052</v>
      </c>
      <c r="Y3951" s="4" t="str">
        <f>IFERROR(__xludf.DUMMYFUNCTION("""COMPUTED_VALUE"""),"6.510348")</f>
        <v>6.510348</v>
      </c>
      <c r="Z3951" s="4" t="str">
        <f>IFERROR(__xludf.DUMMYFUNCTION("""COMPUTED_VALUE"""),"4.1897788")</f>
        <v>4.1897788</v>
      </c>
      <c r="AA3951" s="4" t="str">
        <f t="shared" si="1"/>
        <v>Not Neighbor</v>
      </c>
      <c r="AC3951" s="4">
        <f>IFERROR(__xludf.DUMMYFUNCTION("IFERROR(ABS(O3951-AVERAGE(FILTER(O3951:O8019,AA3951:AA8019=""Neighbor""))) / STDEV(FILTER(O3951:O8019, AA3951:AA8019 =""Neighbor"")), """")"),4.352841611260482)</f>
        <v>4.352841611</v>
      </c>
      <c r="AF3951" s="2">
        <f>IFERROR(__xludf.DUMMYFUNCTION("IFERROR(ABS(R3951-AVERAGE(FILTER(R3951:R8019,AA3951:AA8019=""Neighbor""))) / STDEV(FILTER(R3951:R8019, AA3951:AA8019 =""Neighbor"")), """")"),0.2954684201426394)</f>
        <v>0.2954684201</v>
      </c>
    </row>
    <row r="3952">
      <c r="A3952" s="2" t="s">
        <v>28</v>
      </c>
      <c r="B3952" s="2" t="s">
        <v>9299</v>
      </c>
      <c r="C3952" s="2" t="s">
        <v>9300</v>
      </c>
      <c r="D3952" s="2" t="s">
        <v>16053</v>
      </c>
      <c r="E3952" s="2" t="s">
        <v>16054</v>
      </c>
      <c r="F3952" s="2">
        <v>89.0</v>
      </c>
      <c r="G3952" s="2">
        <v>169.0</v>
      </c>
      <c r="H3952" s="2" t="b">
        <v>1</v>
      </c>
      <c r="I3952" s="2">
        <v>-1.0</v>
      </c>
      <c r="J3952" s="2" t="b">
        <v>0</v>
      </c>
      <c r="K3952" s="2" t="b">
        <v>0</v>
      </c>
      <c r="L3952" s="2" t="b">
        <v>0</v>
      </c>
      <c r="M3952" s="2" t="b">
        <v>0</v>
      </c>
      <c r="N3952" s="2" t="s">
        <v>33</v>
      </c>
      <c r="O3952" s="2">
        <v>55.0</v>
      </c>
      <c r="P3952" s="2">
        <v>2.0</v>
      </c>
      <c r="Q3952" s="2">
        <v>24.0</v>
      </c>
      <c r="R3952" s="2">
        <v>0.0</v>
      </c>
      <c r="S3952" s="3" t="s">
        <v>16055</v>
      </c>
      <c r="T3952" s="2" t="s">
        <v>16056</v>
      </c>
      <c r="Y3952" s="4" t="str">
        <f>IFERROR(__xludf.DUMMYFUNCTION("""COMPUTED_VALUE"""),"6.5169241")</f>
        <v>6.5169241</v>
      </c>
      <c r="Z3952" s="4" t="str">
        <f>IFERROR(__xludf.DUMMYFUNCTION("""COMPUTED_VALUE"""),"4.356513")</f>
        <v>4.356513</v>
      </c>
      <c r="AA3952" s="4" t="str">
        <f t="shared" si="1"/>
        <v>Not Neighbor</v>
      </c>
      <c r="AC3952" s="4">
        <f>IFERROR(__xludf.DUMMYFUNCTION("IFERROR(ABS(O3952-AVERAGE(FILTER(O3952:O8020,AA3952:AA8020=""Neighbor""))) / STDEV(FILTER(O3952:O8020, AA3952:AA8020 =""Neighbor"")), """")"),0.9622526164982188)</f>
        <v>0.9622526165</v>
      </c>
      <c r="AF3952" s="2">
        <f>IFERROR(__xludf.DUMMYFUNCTION("IFERROR(ABS(R3952-AVERAGE(FILTER(R3952:R8020,AA3952:AA8020=""Neighbor""))) / STDEV(FILTER(R3952:R8020, AA3952:AA8020 =""Neighbor"")), """")"),0.2954684201426394)</f>
        <v>0.2954684201</v>
      </c>
    </row>
    <row r="3953">
      <c r="A3953" s="2" t="s">
        <v>28</v>
      </c>
      <c r="B3953" s="2" t="s">
        <v>9299</v>
      </c>
      <c r="C3953" s="2" t="s">
        <v>9387</v>
      </c>
      <c r="D3953" s="2" t="s">
        <v>16057</v>
      </c>
      <c r="E3953" s="2" t="s">
        <v>16058</v>
      </c>
      <c r="F3953" s="2">
        <v>131.0</v>
      </c>
      <c r="G3953" s="2">
        <v>246.0</v>
      </c>
      <c r="H3953" s="2" t="b">
        <v>1</v>
      </c>
      <c r="I3953" s="2">
        <v>-1.0</v>
      </c>
      <c r="J3953" s="2" t="b">
        <v>0</v>
      </c>
      <c r="K3953" s="2" t="b">
        <v>0</v>
      </c>
      <c r="L3953" s="2" t="b">
        <v>0</v>
      </c>
      <c r="M3953" s="2" t="b">
        <v>0</v>
      </c>
      <c r="N3953" s="2" t="s">
        <v>33</v>
      </c>
      <c r="O3953" s="2">
        <v>59.0</v>
      </c>
      <c r="P3953" s="2">
        <v>25.0</v>
      </c>
      <c r="Q3953" s="2">
        <v>24.0</v>
      </c>
      <c r="R3953" s="2">
        <v>0.0</v>
      </c>
      <c r="S3953" s="3" t="s">
        <v>16059</v>
      </c>
      <c r="T3953" s="2" t="s">
        <v>16060</v>
      </c>
      <c r="Y3953" s="4" t="str">
        <f>IFERROR(__xludf.DUMMYFUNCTION("""COMPUTED_VALUE"""),"6.5583796")</f>
        <v>6.5583796</v>
      </c>
      <c r="Z3953" s="4" t="str">
        <f>IFERROR(__xludf.DUMMYFUNCTION("""COMPUTED_VALUE"""),"4.4085642")</f>
        <v>4.4085642</v>
      </c>
      <c r="AA3953" s="4" t="str">
        <f t="shared" si="1"/>
        <v>Not Neighbor</v>
      </c>
      <c r="AC3953" s="4">
        <f>IFERROR(__xludf.DUMMYFUNCTION("IFERROR(ABS(O3953-AVERAGE(FILTER(O3953:O8021,AA3953:AA8021=""Neighbor""))) / STDEV(FILTER(O3953:O8021, AA3953:AA8021 =""Neighbor"")), """")"),1.1237092352964217)</f>
        <v>1.123709235</v>
      </c>
      <c r="AF3953" s="2">
        <f>IFERROR(__xludf.DUMMYFUNCTION("IFERROR(ABS(R3953-AVERAGE(FILTER(R3953:R8021,AA3953:AA8021=""Neighbor""))) / STDEV(FILTER(R3953:R8021, AA3953:AA8021 =""Neighbor"")), """")"),0.2954684201426394)</f>
        <v>0.2954684201</v>
      </c>
    </row>
    <row r="3954">
      <c r="A3954" s="2" t="s">
        <v>28</v>
      </c>
      <c r="B3954" s="2" t="s">
        <v>9299</v>
      </c>
      <c r="C3954" s="2" t="s">
        <v>9578</v>
      </c>
      <c r="D3954" s="2" t="s">
        <v>16061</v>
      </c>
      <c r="E3954" s="2" t="s">
        <v>16062</v>
      </c>
      <c r="F3954" s="2">
        <v>94.0</v>
      </c>
      <c r="G3954" s="2">
        <v>162.0</v>
      </c>
      <c r="H3954" s="2" t="b">
        <v>1</v>
      </c>
      <c r="I3954" s="2">
        <v>-1.0</v>
      </c>
      <c r="J3954" s="2" t="b">
        <v>0</v>
      </c>
      <c r="K3954" s="2" t="b">
        <v>0</v>
      </c>
      <c r="L3954" s="2" t="b">
        <v>0</v>
      </c>
      <c r="M3954" s="2" t="b">
        <v>0</v>
      </c>
      <c r="N3954" s="2" t="s">
        <v>33</v>
      </c>
      <c r="O3954" s="2">
        <v>36.0</v>
      </c>
      <c r="P3954" s="2">
        <v>3.0</v>
      </c>
      <c r="Q3954" s="2">
        <v>41.0</v>
      </c>
      <c r="R3954" s="2">
        <v>0.0</v>
      </c>
      <c r="S3954" s="3" t="s">
        <v>16063</v>
      </c>
      <c r="T3954" s="2" t="s">
        <v>16064</v>
      </c>
      <c r="Y3954" s="4" t="str">
        <f>IFERROR(__xludf.DUMMYFUNCTION("""COMPUTED_VALUE"""),"6.4419789")</f>
        <v>6.4419789</v>
      </c>
      <c r="Z3954" s="4" t="str">
        <f>IFERROR(__xludf.DUMMYFUNCTION("""COMPUTED_VALUE"""),"4.4102364")</f>
        <v>4.4102364</v>
      </c>
      <c r="AA3954" s="4" t="str">
        <f t="shared" si="1"/>
        <v>Not Neighbor</v>
      </c>
      <c r="AC3954" s="4">
        <f>IFERROR(__xludf.DUMMYFUNCTION("IFERROR(ABS(O3954-AVERAGE(FILTER(O3954:O8022,AA3954:AA8022=""Neighbor""))) / STDEV(FILTER(O3954:O8022, AA3954:AA8022 =""Neighbor"")), """")"),0.19533367720675457)</f>
        <v>0.1953336772</v>
      </c>
      <c r="AF3954" s="2">
        <f>IFERROR(__xludf.DUMMYFUNCTION("IFERROR(ABS(R3954-AVERAGE(FILTER(R3954:R8022,AA3954:AA8022=""Neighbor""))) / STDEV(FILTER(R3954:R8022, AA3954:AA8022 =""Neighbor"")), """")"),0.2954684201426394)</f>
        <v>0.2954684201</v>
      </c>
    </row>
    <row r="3955">
      <c r="A3955" s="2" t="s">
        <v>28</v>
      </c>
      <c r="B3955" s="2" t="s">
        <v>9299</v>
      </c>
      <c r="C3955" s="2" t="s">
        <v>9619</v>
      </c>
      <c r="D3955" s="2" t="s">
        <v>16065</v>
      </c>
      <c r="E3955" s="2" t="s">
        <v>16066</v>
      </c>
      <c r="F3955" s="2">
        <v>84.0</v>
      </c>
      <c r="G3955" s="2">
        <v>147.0</v>
      </c>
      <c r="H3955" s="2" t="b">
        <v>1</v>
      </c>
      <c r="I3955" s="2">
        <v>-1.0</v>
      </c>
      <c r="J3955" s="2" t="b">
        <v>0</v>
      </c>
      <c r="K3955" s="2" t="b">
        <v>0</v>
      </c>
      <c r="L3955" s="2" t="b">
        <v>0</v>
      </c>
      <c r="M3955" s="2" t="b">
        <v>0</v>
      </c>
      <c r="N3955" s="2" t="s">
        <v>33</v>
      </c>
      <c r="O3955" s="2">
        <v>29.0</v>
      </c>
      <c r="P3955" s="2">
        <v>2.0</v>
      </c>
      <c r="Q3955" s="2">
        <v>54.0</v>
      </c>
      <c r="R3955" s="2">
        <v>0.0</v>
      </c>
      <c r="S3955" s="3" t="s">
        <v>16067</v>
      </c>
      <c r="T3955" s="2" t="s">
        <v>16068</v>
      </c>
      <c r="Y3955" s="4" t="str">
        <f>IFERROR(__xludf.DUMMYFUNCTION("""COMPUTED_VALUE"""),"6.3781473")</f>
        <v>6.3781473</v>
      </c>
      <c r="Z3955" s="4" t="str">
        <f>IFERROR(__xludf.DUMMYFUNCTION("""COMPUTED_VALUE"""),"4.4284985")</f>
        <v>4.4284985</v>
      </c>
      <c r="AA3955" s="4" t="str">
        <f t="shared" si="1"/>
        <v>Not Neighbor</v>
      </c>
      <c r="AC3955" s="4">
        <f>IFERROR(__xludf.DUMMYFUNCTION("IFERROR(ABS(O3955-AVERAGE(FILTER(O3955:O8023,AA3955:AA8023=""Neighbor""))) / STDEV(FILTER(O3955:O8023, AA3955:AA8023 =""Neighbor"")), """")"),0.08721540569010068)</f>
        <v>0.08721540569</v>
      </c>
      <c r="AF3955" s="2">
        <f>IFERROR(__xludf.DUMMYFUNCTION("IFERROR(ABS(R3955-AVERAGE(FILTER(R3955:R8023,AA3955:AA8023=""Neighbor""))) / STDEV(FILTER(R3955:R8023, AA3955:AA8023 =""Neighbor"")), """")"),0.2954684201426394)</f>
        <v>0.2954684201</v>
      </c>
    </row>
    <row r="3956">
      <c r="A3956" s="2" t="s">
        <v>28</v>
      </c>
      <c r="B3956" s="2" t="s">
        <v>9299</v>
      </c>
      <c r="C3956" s="2" t="s">
        <v>9619</v>
      </c>
      <c r="D3956" s="2" t="s">
        <v>16069</v>
      </c>
      <c r="E3956" s="2" t="s">
        <v>16070</v>
      </c>
      <c r="F3956" s="2">
        <v>122.0</v>
      </c>
      <c r="G3956" s="2">
        <v>238.0</v>
      </c>
      <c r="H3956" s="2" t="b">
        <v>1</v>
      </c>
      <c r="I3956" s="2">
        <v>-1.0</v>
      </c>
      <c r="J3956" s="2" t="b">
        <v>0</v>
      </c>
      <c r="K3956" s="2" t="b">
        <v>0</v>
      </c>
      <c r="L3956" s="2" t="b">
        <v>0</v>
      </c>
      <c r="M3956" s="2" t="b">
        <v>0</v>
      </c>
      <c r="N3956" s="2" t="s">
        <v>33</v>
      </c>
      <c r="O3956" s="2">
        <v>28.0</v>
      </c>
      <c r="P3956" s="2">
        <v>5.0</v>
      </c>
      <c r="Q3956" s="2">
        <v>86.0</v>
      </c>
      <c r="R3956" s="2">
        <v>0.0</v>
      </c>
      <c r="S3956" s="3" t="s">
        <v>16071</v>
      </c>
      <c r="T3956" s="2" t="s">
        <v>16072</v>
      </c>
      <c r="Y3956" s="4" t="str">
        <f>IFERROR(__xludf.DUMMYFUNCTION("""COMPUTED_VALUE"""),"6.4038475")</f>
        <v>6.4038475</v>
      </c>
      <c r="Z3956" s="4" t="str">
        <f>IFERROR(__xludf.DUMMYFUNCTION("""COMPUTED_VALUE"""),"4.3331255")</f>
        <v>4.3331255</v>
      </c>
      <c r="AA3956" s="4" t="str">
        <f t="shared" si="1"/>
        <v>Not Neighbor</v>
      </c>
      <c r="AC3956" s="4">
        <f>IFERROR(__xludf.DUMMYFUNCTION("IFERROR(ABS(O3956-AVERAGE(FILTER(O3956:O8024,AA3956:AA8024=""Neighbor""))) / STDEV(FILTER(O3956:O8024, AA3956:AA8024 =""Neighbor"")), """")"),0.12757956038965143)</f>
        <v>0.1275795604</v>
      </c>
      <c r="AF3956" s="2">
        <f>IFERROR(__xludf.DUMMYFUNCTION("IFERROR(ABS(R3956-AVERAGE(FILTER(R3956:R8024,AA3956:AA8024=""Neighbor""))) / STDEV(FILTER(R3956:R8024, AA3956:AA8024 =""Neighbor"")), """")"),0.2954684201426394)</f>
        <v>0.2954684201</v>
      </c>
    </row>
    <row r="3957">
      <c r="A3957" s="2" t="s">
        <v>28</v>
      </c>
      <c r="B3957" s="2" t="s">
        <v>9648</v>
      </c>
      <c r="C3957" s="2" t="s">
        <v>9649</v>
      </c>
      <c r="D3957" s="2" t="s">
        <v>16073</v>
      </c>
      <c r="E3957" s="2" t="s">
        <v>16074</v>
      </c>
      <c r="F3957" s="2">
        <v>58.0</v>
      </c>
      <c r="G3957" s="2">
        <v>131.0</v>
      </c>
      <c r="H3957" s="2" t="b">
        <v>1</v>
      </c>
      <c r="I3957" s="2">
        <v>-1.0</v>
      </c>
      <c r="J3957" s="2" t="b">
        <v>0</v>
      </c>
      <c r="K3957" s="2" t="b">
        <v>1</v>
      </c>
      <c r="L3957" s="2" t="b">
        <v>0</v>
      </c>
      <c r="M3957" s="2" t="b">
        <v>0</v>
      </c>
      <c r="N3957" s="2" t="s">
        <v>33</v>
      </c>
      <c r="O3957" s="2">
        <v>28.0</v>
      </c>
      <c r="P3957" s="2">
        <v>15.0</v>
      </c>
      <c r="Q3957" s="2">
        <v>10.0</v>
      </c>
      <c r="R3957" s="2">
        <v>0.0</v>
      </c>
      <c r="S3957" s="3" t="s">
        <v>16075</v>
      </c>
      <c r="T3957" s="2" t="s">
        <v>16076</v>
      </c>
      <c r="Y3957" s="4" t="str">
        <f>IFERROR(__xludf.DUMMYFUNCTION("""COMPUTED_VALUE"""),"6.9844114")</f>
        <v>6.9844114</v>
      </c>
      <c r="Z3957" s="4" t="str">
        <f>IFERROR(__xludf.DUMMYFUNCTION("""COMPUTED_VALUE"""),"3.6902166")</f>
        <v>3.6902166</v>
      </c>
      <c r="AA3957" s="4" t="str">
        <f t="shared" si="1"/>
        <v>Not Neighbor</v>
      </c>
      <c r="AC3957" s="4">
        <f>IFERROR(__xludf.DUMMYFUNCTION("IFERROR(ABS(O3957-AVERAGE(FILTER(O3957:O8025,AA3957:AA8025=""Neighbor""))) / STDEV(FILTER(O3957:O8025, AA3957:AA8025 =""Neighbor"")), """")"),0.12757956038965143)</f>
        <v>0.1275795604</v>
      </c>
      <c r="AF3957" s="2">
        <f>IFERROR(__xludf.DUMMYFUNCTION("IFERROR(ABS(R3957-AVERAGE(FILTER(R3957:R8025,AA3957:AA8025=""Neighbor""))) / STDEV(FILTER(R3957:R8025, AA3957:AA8025 =""Neighbor"")), """")"),0.2954684201426394)</f>
        <v>0.2954684201</v>
      </c>
    </row>
    <row r="3958">
      <c r="A3958" s="2" t="s">
        <v>28</v>
      </c>
      <c r="B3958" s="2" t="s">
        <v>9648</v>
      </c>
      <c r="C3958" s="2" t="s">
        <v>9853</v>
      </c>
      <c r="D3958" s="2" t="s">
        <v>16077</v>
      </c>
      <c r="E3958" s="2" t="s">
        <v>16078</v>
      </c>
      <c r="F3958" s="2">
        <v>50.0</v>
      </c>
      <c r="G3958" s="2">
        <v>89.0</v>
      </c>
      <c r="H3958" s="2" t="b">
        <v>1</v>
      </c>
      <c r="I3958" s="2">
        <v>-1.0</v>
      </c>
      <c r="J3958" s="2" t="b">
        <v>0</v>
      </c>
      <c r="K3958" s="2" t="b">
        <v>0</v>
      </c>
      <c r="L3958" s="2" t="b">
        <v>0</v>
      </c>
      <c r="M3958" s="2" t="b">
        <v>0</v>
      </c>
      <c r="N3958" s="2" t="s">
        <v>33</v>
      </c>
      <c r="O3958" s="2">
        <v>16.0</v>
      </c>
      <c r="P3958" s="2">
        <v>7.0</v>
      </c>
      <c r="Q3958" s="2">
        <v>24.0</v>
      </c>
      <c r="R3958" s="2">
        <v>0.0</v>
      </c>
      <c r="S3958" s="3" t="s">
        <v>16079</v>
      </c>
      <c r="T3958" s="2" t="s">
        <v>16080</v>
      </c>
      <c r="Y3958" s="4" t="str">
        <f>IFERROR(__xludf.DUMMYFUNCTION("""COMPUTED_VALUE"""),"6.9318828")</f>
        <v>6.9318828</v>
      </c>
      <c r="Z3958" s="4" t="str">
        <f>IFERROR(__xludf.DUMMYFUNCTION("""COMPUTED_VALUE"""),"3.7244696")</f>
        <v>3.7244696</v>
      </c>
      <c r="AA3958" s="4" t="str">
        <f t="shared" si="1"/>
        <v>Neighbor</v>
      </c>
      <c r="AC3958" s="4">
        <f>IFERROR(__xludf.DUMMYFUNCTION("IFERROR(ABS(O3958-AVERAGE(FILTER(O3958:O8026,AA3958:AA8026=""Neighbor""))) / STDEV(FILTER(O3958:O8026, AA3958:AA8026 =""Neighbor"")), """")"),0.6119494167842604)</f>
        <v>0.6119494168</v>
      </c>
      <c r="AF3958" s="2">
        <f>IFERROR(__xludf.DUMMYFUNCTION("IFERROR(ABS(R3958-AVERAGE(FILTER(R3958:R8026,AA3958:AA8026=""Neighbor""))) / STDEV(FILTER(R3958:R8026, AA3958:AA8026 =""Neighbor"")), """")"),0.2954684201426394)</f>
        <v>0.2954684201</v>
      </c>
    </row>
    <row r="3959">
      <c r="A3959" s="2" t="s">
        <v>28</v>
      </c>
      <c r="B3959" s="2" t="s">
        <v>9648</v>
      </c>
      <c r="C3959" s="2" t="s">
        <v>9853</v>
      </c>
      <c r="D3959" s="2" t="s">
        <v>16081</v>
      </c>
      <c r="E3959" s="2" t="s">
        <v>16082</v>
      </c>
      <c r="F3959" s="2">
        <v>57.0</v>
      </c>
      <c r="G3959" s="2">
        <v>111.0</v>
      </c>
      <c r="H3959" s="2" t="b">
        <v>1</v>
      </c>
      <c r="I3959" s="2">
        <v>-1.0</v>
      </c>
      <c r="J3959" s="2" t="b">
        <v>0</v>
      </c>
      <c r="K3959" s="2" t="b">
        <v>0</v>
      </c>
      <c r="L3959" s="2" t="b">
        <v>0</v>
      </c>
      <c r="M3959" s="2" t="b">
        <v>0</v>
      </c>
      <c r="N3959" s="2" t="s">
        <v>33</v>
      </c>
      <c r="O3959" s="2">
        <v>23.0</v>
      </c>
      <c r="P3959" s="2">
        <v>11.0</v>
      </c>
      <c r="Q3959" s="2">
        <v>20.0</v>
      </c>
      <c r="R3959" s="2">
        <v>0.0</v>
      </c>
      <c r="S3959" s="3" t="s">
        <v>16083</v>
      </c>
      <c r="T3959" s="2" t="s">
        <v>16084</v>
      </c>
      <c r="Y3959" s="4" t="str">
        <f>IFERROR(__xludf.DUMMYFUNCTION("""COMPUTED_VALUE"""),"6.9318828")</f>
        <v>6.9318828</v>
      </c>
      <c r="Z3959" s="4" t="str">
        <f>IFERROR(__xludf.DUMMYFUNCTION("""COMPUTED_VALUE"""),"3.7244696")</f>
        <v>3.7244696</v>
      </c>
      <c r="AA3959" s="4" t="str">
        <f t="shared" si="1"/>
        <v>Neighbor</v>
      </c>
      <c r="AC3959" s="4">
        <f>IFERROR(__xludf.DUMMYFUNCTION("IFERROR(ABS(O3959-AVERAGE(FILTER(O3959:O8027,AA3959:AA8027=""Neighbor""))) / STDEV(FILTER(O3959:O8027, AA3959:AA8027 =""Neighbor"")), """")"),0.3385924867454448)</f>
        <v>0.3385924867</v>
      </c>
      <c r="AF3959" s="2">
        <f>IFERROR(__xludf.DUMMYFUNCTION("IFERROR(ABS(R3959-AVERAGE(FILTER(R3959:R8027,AA3959:AA8027=""Neighbor""))) / STDEV(FILTER(R3959:R8027, AA3959:AA8027 =""Neighbor"")), """")"),0.2983342888889252)</f>
        <v>0.2983342889</v>
      </c>
    </row>
    <row r="3960">
      <c r="A3960" s="2" t="s">
        <v>28</v>
      </c>
      <c r="B3960" s="2" t="s">
        <v>9648</v>
      </c>
      <c r="C3960" s="2" t="s">
        <v>9853</v>
      </c>
      <c r="D3960" s="2" t="s">
        <v>16085</v>
      </c>
      <c r="E3960" s="2" t="s">
        <v>16086</v>
      </c>
      <c r="F3960" s="2">
        <v>46.0</v>
      </c>
      <c r="G3960" s="2">
        <v>86.0</v>
      </c>
      <c r="H3960" s="2" t="b">
        <v>1</v>
      </c>
      <c r="I3960" s="2">
        <v>-1.0</v>
      </c>
      <c r="J3960" s="2" t="b">
        <v>0</v>
      </c>
      <c r="K3960" s="2" t="b">
        <v>0</v>
      </c>
      <c r="L3960" s="2" t="b">
        <v>0</v>
      </c>
      <c r="M3960" s="2" t="b">
        <v>0</v>
      </c>
      <c r="N3960" s="2" t="s">
        <v>33</v>
      </c>
      <c r="O3960" s="2">
        <v>19.0</v>
      </c>
      <c r="P3960" s="2">
        <v>5.0</v>
      </c>
      <c r="Q3960" s="2">
        <v>19.0</v>
      </c>
      <c r="R3960" s="2">
        <v>2.0</v>
      </c>
      <c r="S3960" s="3" t="s">
        <v>16087</v>
      </c>
      <c r="T3960" s="2" t="s">
        <v>16088</v>
      </c>
      <c r="Y3960" s="4" t="str">
        <f>IFERROR(__xludf.DUMMYFUNCTION("""COMPUTED_VALUE"""),"6.9318828")</f>
        <v>6.9318828</v>
      </c>
      <c r="Z3960" s="4" t="str">
        <f>IFERROR(__xludf.DUMMYFUNCTION("""COMPUTED_VALUE"""),"3.7244696")</f>
        <v>3.7244696</v>
      </c>
      <c r="AA3960" s="4" t="str">
        <f t="shared" si="1"/>
        <v>Not Neighbor</v>
      </c>
      <c r="AC3960" s="4">
        <f>IFERROR(__xludf.DUMMYFUNCTION("IFERROR(ABS(O3960-AVERAGE(FILTER(O3960:O8028,AA3960:AA8028=""Neighbor""))) / STDEV(FILTER(O3960:O8028, AA3960:AA8028 =""Neighbor"")), """")"),0.5012429699701256)</f>
        <v>0.50124297</v>
      </c>
      <c r="AF3960" s="2">
        <f>IFERROR(__xludf.DUMMYFUNCTION("IFERROR(ABS(R3960-AVERAGE(FILTER(R3960:R8028,AA3960:AA8028=""Neighbor""))) / STDEV(FILTER(R3960:R8028, AA3960:AA8028 =""Neighbor"")), """")"),3.7660667018670266)</f>
        <v>3.766066702</v>
      </c>
    </row>
    <row r="3961">
      <c r="A3961" s="2" t="s">
        <v>28</v>
      </c>
      <c r="B3961" s="2" t="s">
        <v>9648</v>
      </c>
      <c r="C3961" s="2" t="s">
        <v>9903</v>
      </c>
      <c r="D3961" s="2" t="s">
        <v>16089</v>
      </c>
      <c r="E3961" s="2" t="s">
        <v>16090</v>
      </c>
      <c r="F3961" s="2">
        <v>151.0</v>
      </c>
      <c r="G3961" s="2">
        <v>348.0</v>
      </c>
      <c r="H3961" s="2" t="b">
        <v>1</v>
      </c>
      <c r="I3961" s="2">
        <v>-1.0</v>
      </c>
      <c r="J3961" s="2" t="b">
        <v>0</v>
      </c>
      <c r="K3961" s="2" t="b">
        <v>0</v>
      </c>
      <c r="L3961" s="2" t="b">
        <v>0</v>
      </c>
      <c r="M3961" s="2" t="b">
        <v>0</v>
      </c>
      <c r="N3961" s="2" t="s">
        <v>33</v>
      </c>
      <c r="O3961" s="2">
        <v>68.0</v>
      </c>
      <c r="P3961" s="2">
        <v>19.0</v>
      </c>
      <c r="Q3961" s="2">
        <v>47.0</v>
      </c>
      <c r="R3961" s="2">
        <v>0.0</v>
      </c>
      <c r="S3961" s="3" t="s">
        <v>16091</v>
      </c>
      <c r="T3961" s="2" t="s">
        <v>16092</v>
      </c>
      <c r="Y3961" s="4" t="str">
        <f>IFERROR(__xludf.DUMMYFUNCTION("""COMPUTED_VALUE"""),"7.0020289")</f>
        <v>7.0020289</v>
      </c>
      <c r="Z3961" s="4" t="str">
        <f>IFERROR(__xludf.DUMMYFUNCTION("""COMPUTED_VALUE"""),"3.6661265")</f>
        <v>3.6661265</v>
      </c>
      <c r="AA3961" s="4" t="str">
        <f t="shared" si="1"/>
        <v>Not Neighbor</v>
      </c>
      <c r="AC3961" s="4">
        <f>IFERROR(__xludf.DUMMYFUNCTION("IFERROR(ABS(O3961-AVERAGE(FILTER(O3961:O8029,AA3961:AA8029=""Neighbor""))) / STDEV(FILTER(O3961:O8029, AA3961:AA8029 =""Neighbor"")), """")"),1.4491818808253927)</f>
        <v>1.449181881</v>
      </c>
      <c r="AF3961" s="2">
        <f>IFERROR(__xludf.DUMMYFUNCTION("IFERROR(ABS(R3961-AVERAGE(FILTER(R3961:R8029,AA3961:AA8029=""Neighbor""))) / STDEV(FILTER(R3961:R8029, AA3961:AA8029 =""Neighbor"")), """")"),0.3012853361493621)</f>
        <v>0.3012853361</v>
      </c>
    </row>
    <row r="3962">
      <c r="A3962" s="2" t="s">
        <v>28</v>
      </c>
      <c r="B3962" s="2" t="s">
        <v>9648</v>
      </c>
      <c r="C3962" s="2" t="s">
        <v>9751</v>
      </c>
      <c r="D3962" s="2" t="s">
        <v>16093</v>
      </c>
      <c r="E3962" s="2" t="s">
        <v>16094</v>
      </c>
      <c r="F3962" s="2">
        <v>50.0</v>
      </c>
      <c r="G3962" s="2">
        <v>156.0</v>
      </c>
      <c r="H3962" s="2" t="b">
        <v>1</v>
      </c>
      <c r="I3962" s="2">
        <v>-1.0</v>
      </c>
      <c r="J3962" s="2" t="b">
        <v>0</v>
      </c>
      <c r="K3962" s="2" t="b">
        <v>0</v>
      </c>
      <c r="L3962" s="2" t="b">
        <v>0</v>
      </c>
      <c r="M3962" s="2" t="b">
        <v>0</v>
      </c>
      <c r="N3962" s="2" t="s">
        <v>33</v>
      </c>
      <c r="O3962" s="2">
        <v>18.0</v>
      </c>
      <c r="P3962" s="2">
        <v>5.0</v>
      </c>
      <c r="Q3962" s="2">
        <v>23.0</v>
      </c>
      <c r="R3962" s="2">
        <v>0.0</v>
      </c>
      <c r="S3962" s="3" t="s">
        <v>16095</v>
      </c>
      <c r="T3962" s="2" t="s">
        <v>16096</v>
      </c>
      <c r="Y3962" s="4" t="str">
        <f>IFERROR(__xludf.DUMMYFUNCTION("""COMPUTED_VALUE"""),"7.0005006")</f>
        <v>7.0005006</v>
      </c>
      <c r="Z3962" s="4" t="str">
        <f>IFERROR(__xludf.DUMMYFUNCTION("""COMPUTED_VALUE"""),"3.6902166")</f>
        <v>3.6902166</v>
      </c>
      <c r="AA3962" s="4" t="str">
        <f t="shared" si="1"/>
        <v>Not Neighbor</v>
      </c>
      <c r="AC3962" s="4">
        <f>IFERROR(__xludf.DUMMYFUNCTION("IFERROR(ABS(O3962-AVERAGE(FILTER(O3962:O8030,AA3962:AA8030=""Neighbor""))) / STDEV(FILTER(O3962:O8030, AA3962:AA8030 =""Neighbor"")), """")"),0.5410475587618709)</f>
        <v>0.5410475588</v>
      </c>
      <c r="AF3962" s="2">
        <f>IFERROR(__xludf.DUMMYFUNCTION("IFERROR(ABS(R3962-AVERAGE(FILTER(R3962:R8030,AA3962:AA8030=""Neighbor""))) / STDEV(FILTER(R3962:R8030, AA3962:AA8030 =""Neighbor"")), """")"),0.3012853361493621)</f>
        <v>0.3012853361</v>
      </c>
    </row>
    <row r="3963">
      <c r="A3963" s="2" t="s">
        <v>28</v>
      </c>
      <c r="B3963" s="2" t="s">
        <v>9648</v>
      </c>
      <c r="C3963" s="2" t="s">
        <v>10038</v>
      </c>
      <c r="D3963" s="2" t="s">
        <v>16097</v>
      </c>
      <c r="E3963" s="2" t="s">
        <v>16098</v>
      </c>
      <c r="F3963" s="2">
        <v>91.0</v>
      </c>
      <c r="G3963" s="2">
        <v>223.0</v>
      </c>
      <c r="H3963" s="2" t="b">
        <v>1</v>
      </c>
      <c r="I3963" s="2">
        <v>-1.0</v>
      </c>
      <c r="J3963" s="2" t="b">
        <v>0</v>
      </c>
      <c r="K3963" s="2" t="b">
        <v>0</v>
      </c>
      <c r="L3963" s="2" t="b">
        <v>0</v>
      </c>
      <c r="M3963" s="2" t="b">
        <v>0</v>
      </c>
      <c r="N3963" s="2" t="s">
        <v>33</v>
      </c>
      <c r="O3963" s="2">
        <v>40.0</v>
      </c>
      <c r="P3963" s="2">
        <v>6.0</v>
      </c>
      <c r="Q3963" s="2">
        <v>20.0</v>
      </c>
      <c r="R3963" s="2">
        <v>0.0</v>
      </c>
      <c r="S3963" s="3" t="s">
        <v>16099</v>
      </c>
      <c r="T3963" s="2" t="s">
        <v>16100</v>
      </c>
      <c r="Y3963" s="4" t="str">
        <f>IFERROR(__xludf.DUMMYFUNCTION("""COMPUTED_VALUE"""),"6.9792066")</f>
        <v>6.9792066</v>
      </c>
      <c r="Z3963" s="4" t="str">
        <f>IFERROR(__xludf.DUMMYFUNCTION("""COMPUTED_VALUE"""),"3.6699295")</f>
        <v>3.6699295</v>
      </c>
      <c r="AA3963" s="4" t="str">
        <f t="shared" si="1"/>
        <v>Not Neighbor</v>
      </c>
      <c r="AC3963" s="4">
        <f>IFERROR(__xludf.DUMMYFUNCTION("IFERROR(ABS(O3963-AVERAGE(FILTER(O3963:O8031,AA3963:AA8031=""Neighbor""))) / STDEV(FILTER(O3963:O8031, AA3963:AA8031 =""Neighbor"")), """")"),0.3346533946565251)</f>
        <v>0.3346533947</v>
      </c>
      <c r="AF3963" s="2">
        <f>IFERROR(__xludf.DUMMYFUNCTION("IFERROR(ABS(R3963-AVERAGE(FILTER(R3963:R8031,AA3963:AA8031=""Neighbor""))) / STDEV(FILTER(R3963:R8031, AA3963:AA8031 =""Neighbor"")), """")"),0.3012853361493621)</f>
        <v>0.3012853361</v>
      </c>
    </row>
    <row r="3964">
      <c r="A3964" s="2" t="s">
        <v>28</v>
      </c>
      <c r="B3964" s="2" t="s">
        <v>10071</v>
      </c>
      <c r="C3964" s="2" t="s">
        <v>10273</v>
      </c>
      <c r="D3964" s="2" t="s">
        <v>16101</v>
      </c>
      <c r="E3964" s="2" t="s">
        <v>16102</v>
      </c>
      <c r="F3964" s="2">
        <v>40.0</v>
      </c>
      <c r="G3964" s="2">
        <v>65.0</v>
      </c>
      <c r="H3964" s="2" t="b">
        <v>1</v>
      </c>
      <c r="I3964" s="2">
        <v>-1.0</v>
      </c>
      <c r="J3964" s="2" t="b">
        <v>0</v>
      </c>
      <c r="K3964" s="2" t="b">
        <v>0</v>
      </c>
      <c r="L3964" s="2" t="b">
        <v>0</v>
      </c>
      <c r="M3964" s="2" t="b">
        <v>0</v>
      </c>
      <c r="N3964" s="2" t="s">
        <v>33</v>
      </c>
      <c r="O3964" s="2">
        <v>18.0</v>
      </c>
      <c r="P3964" s="2">
        <v>2.0</v>
      </c>
      <c r="Q3964" s="2">
        <v>14.0</v>
      </c>
      <c r="R3964" s="2">
        <v>0.0</v>
      </c>
      <c r="S3964" s="3" t="s">
        <v>16103</v>
      </c>
      <c r="T3964" s="2" t="s">
        <v>16104</v>
      </c>
      <c r="Y3964" s="4" t="str">
        <f>IFERROR(__xludf.DUMMYFUNCTION("""COMPUTED_VALUE"""),"6.8380191")</f>
        <v>6.8380191</v>
      </c>
      <c r="Z3964" s="4" t="str">
        <f>IFERROR(__xludf.DUMMYFUNCTION("""COMPUTED_VALUE"""),"3.6435798")</f>
        <v>3.6435798</v>
      </c>
      <c r="AA3964" s="4" t="str">
        <f t="shared" si="1"/>
        <v>Neighbor</v>
      </c>
      <c r="AC3964" s="4">
        <f>IFERROR(__xludf.DUMMYFUNCTION("IFERROR(ABS(O3964-AVERAGE(FILTER(O3964:O8032,AA3964:AA8032=""Neighbor""))) / STDEV(FILTER(O3964:O8032, AA3964:AA8032 =""Neighbor"")), """")"),0.5410475587618709)</f>
        <v>0.5410475588</v>
      </c>
      <c r="AF3964" s="2">
        <f>IFERROR(__xludf.DUMMYFUNCTION("IFERROR(ABS(R3964-AVERAGE(FILTER(R3964:R8032,AA3964:AA8032=""Neighbor""))) / STDEV(FILTER(R3964:R8032, AA3964:AA8032 =""Neighbor"")), """")"),0.3012853361493621)</f>
        <v>0.3012853361</v>
      </c>
    </row>
    <row r="3965">
      <c r="A3965" s="2" t="s">
        <v>28</v>
      </c>
      <c r="B3965" s="2" t="s">
        <v>10071</v>
      </c>
      <c r="C3965" s="2" t="s">
        <v>10273</v>
      </c>
      <c r="D3965" s="2" t="s">
        <v>16105</v>
      </c>
      <c r="E3965" s="2" t="s">
        <v>16106</v>
      </c>
      <c r="F3965" s="2">
        <v>137.0</v>
      </c>
      <c r="G3965" s="2">
        <v>750.0</v>
      </c>
      <c r="H3965" s="2" t="b">
        <v>1</v>
      </c>
      <c r="I3965" s="2">
        <v>-1.0</v>
      </c>
      <c r="J3965" s="2" t="b">
        <v>0</v>
      </c>
      <c r="K3965" s="2" t="b">
        <v>0</v>
      </c>
      <c r="L3965" s="2" t="b">
        <v>0</v>
      </c>
      <c r="M3965" s="2" t="b">
        <v>0</v>
      </c>
      <c r="N3965" s="2" t="s">
        <v>33</v>
      </c>
      <c r="O3965" s="2">
        <v>82.0</v>
      </c>
      <c r="P3965" s="2">
        <v>16.0</v>
      </c>
      <c r="Q3965" s="2">
        <v>24.0</v>
      </c>
      <c r="R3965" s="2">
        <v>1.0</v>
      </c>
      <c r="S3965" s="3" t="s">
        <v>16107</v>
      </c>
      <c r="T3965" s="2" t="s">
        <v>16108</v>
      </c>
      <c r="Y3965" s="4" t="str">
        <f>IFERROR(__xludf.DUMMYFUNCTION("""COMPUTED_VALUE"""),"6.8407627")</f>
        <v>6.8407627</v>
      </c>
      <c r="Z3965" s="4" t="str">
        <f>IFERROR(__xludf.DUMMYFUNCTION("""COMPUTED_VALUE"""),"3.645277")</f>
        <v>3.645277</v>
      </c>
      <c r="AA3965" s="4" t="str">
        <f t="shared" si="1"/>
        <v>Neighbor</v>
      </c>
      <c r="AC3965" s="4">
        <f>IFERROR(__xludf.DUMMYFUNCTION("IFERROR(ABS(O3965-AVERAGE(FILTER(O3965:O8033,AA3965:AA8033=""Neighbor""))) / STDEV(FILTER(O3965:O8033, AA3965:AA8033 =""Neighbor"")), """")"),1.9829027991256316)</f>
        <v>1.982902799</v>
      </c>
      <c r="AF3965" s="2">
        <f>IFERROR(__xludf.DUMMYFUNCTION("IFERROR(ABS(R3965-AVERAGE(FILTER(R3965:R8033,AA3965:AA8033=""Neighbor""))) / STDEV(FILTER(R3965:R8033, AA3965:AA8033 =""Neighbor"")), """")"),1.7118330378010183)</f>
        <v>1.711833038</v>
      </c>
    </row>
    <row r="3966">
      <c r="A3966" s="2" t="s">
        <v>28</v>
      </c>
      <c r="B3966" s="2" t="s">
        <v>10071</v>
      </c>
      <c r="C3966" s="2" t="s">
        <v>10273</v>
      </c>
      <c r="D3966" s="2" t="s">
        <v>16109</v>
      </c>
      <c r="E3966" s="2" t="s">
        <v>16110</v>
      </c>
      <c r="F3966" s="2">
        <v>114.0</v>
      </c>
      <c r="G3966" s="2">
        <v>492.0</v>
      </c>
      <c r="H3966" s="2" t="b">
        <v>1</v>
      </c>
      <c r="I3966" s="2">
        <v>-1.0</v>
      </c>
      <c r="J3966" s="2" t="b">
        <v>0</v>
      </c>
      <c r="K3966" s="2" t="b">
        <v>0</v>
      </c>
      <c r="L3966" s="2" t="b">
        <v>0</v>
      </c>
      <c r="M3966" s="2" t="b">
        <v>0</v>
      </c>
      <c r="N3966" s="2" t="s">
        <v>33</v>
      </c>
      <c r="O3966" s="2">
        <v>66.0</v>
      </c>
      <c r="P3966" s="2">
        <v>10.0</v>
      </c>
      <c r="Q3966" s="2">
        <v>34.0</v>
      </c>
      <c r="R3966" s="2">
        <v>0.0</v>
      </c>
      <c r="S3966" s="3" t="s">
        <v>16111</v>
      </c>
      <c r="T3966" s="2" t="s">
        <v>16112</v>
      </c>
      <c r="Y3966" s="4" t="str">
        <f>IFERROR(__xludf.DUMMYFUNCTION("""COMPUTED_VALUE"""),"6.8394584")</f>
        <v>6.8394584</v>
      </c>
      <c r="Z3966" s="4" t="str">
        <f>IFERROR(__xludf.DUMMYFUNCTION("""COMPUTED_VALUE"""),"3.6452156")</f>
        <v>3.6452156</v>
      </c>
      <c r="AA3966" s="4" t="str">
        <f t="shared" si="1"/>
        <v>Neighbor</v>
      </c>
      <c r="AC3966" s="4">
        <f>IFERROR(__xludf.DUMMYFUNCTION("IFERROR(ABS(O3966-AVERAGE(FILTER(O3966:O8034,AA3966:AA8034=""Neighbor""))) / STDEV(FILTER(O3966:O8034, AA3966:AA8034 =""Neighbor"")), """")"),1.4312589873111354)</f>
        <v>1.431258987</v>
      </c>
      <c r="AF3966" s="2">
        <f>IFERROR(__xludf.DUMMYFUNCTION("IFERROR(ABS(R3966-AVERAGE(FILTER(R3966:R8034,AA3966:AA8034=""Neighbor""))) / STDEV(FILTER(R3966:R8034, AA3966:AA8034 =""Neighbor"")), """")"),0.27685201312859)</f>
        <v>0.2768520131</v>
      </c>
    </row>
    <row r="3967">
      <c r="A3967" s="2" t="s">
        <v>28</v>
      </c>
      <c r="B3967" s="2" t="s">
        <v>10071</v>
      </c>
      <c r="C3967" s="2" t="s">
        <v>10273</v>
      </c>
      <c r="D3967" s="2" t="s">
        <v>16113</v>
      </c>
      <c r="E3967" s="2" t="s">
        <v>16114</v>
      </c>
      <c r="F3967" s="2">
        <v>36.0</v>
      </c>
      <c r="G3967" s="2">
        <v>72.0</v>
      </c>
      <c r="H3967" s="2" t="b">
        <v>1</v>
      </c>
      <c r="I3967" s="2">
        <v>-1.0</v>
      </c>
      <c r="J3967" s="2" t="b">
        <v>0</v>
      </c>
      <c r="K3967" s="2" t="b">
        <v>0</v>
      </c>
      <c r="L3967" s="2" t="b">
        <v>0</v>
      </c>
      <c r="M3967" s="2" t="b">
        <v>0</v>
      </c>
      <c r="N3967" s="2" t="s">
        <v>33</v>
      </c>
      <c r="O3967" s="2">
        <v>13.0</v>
      </c>
      <c r="P3967" s="2">
        <v>2.0</v>
      </c>
      <c r="Q3967" s="2">
        <v>21.0</v>
      </c>
      <c r="R3967" s="2">
        <v>0.0</v>
      </c>
      <c r="S3967" s="3" t="s">
        <v>16115</v>
      </c>
      <c r="T3967" s="2" t="s">
        <v>16116</v>
      </c>
      <c r="Y3967" s="4" t="str">
        <f>IFERROR(__xludf.DUMMYFUNCTION("""COMPUTED_VALUE"""),"6.8394584")</f>
        <v>6.8394584</v>
      </c>
      <c r="Z3967" s="4" t="str">
        <f>IFERROR(__xludf.DUMMYFUNCTION("""COMPUTED_VALUE"""),"3.6452156")</f>
        <v>3.6452156</v>
      </c>
      <c r="AA3967" s="4" t="str">
        <f t="shared" si="1"/>
        <v>Neighbor</v>
      </c>
      <c r="AC3967" s="4">
        <f>IFERROR(__xludf.DUMMYFUNCTION("IFERROR(ABS(O3967-AVERAGE(FILTER(O3967:O8035,AA3967:AA8035=""Neighbor""))) / STDEV(FILTER(O3967:O8035, AA3967:AA8035 =""Neighbor"")), """")"),0.7086478535665903)</f>
        <v>0.7086478536</v>
      </c>
      <c r="AF3967" s="2">
        <f>IFERROR(__xludf.DUMMYFUNCTION("IFERROR(ABS(R3967-AVERAGE(FILTER(R3967:R8035,AA3967:AA8035=""Neighbor""))) / STDEV(FILTER(R3967:R8035, AA3967:AA8035 =""Neighbor"")), """")"),0.27971371965164515)</f>
        <v>0.2797137197</v>
      </c>
    </row>
    <row r="3968">
      <c r="A3968" s="2" t="s">
        <v>28</v>
      </c>
      <c r="B3968" s="2" t="s">
        <v>10071</v>
      </c>
      <c r="C3968" s="2" t="s">
        <v>10273</v>
      </c>
      <c r="D3968" s="2" t="s">
        <v>16117</v>
      </c>
      <c r="E3968" s="2" t="s">
        <v>16118</v>
      </c>
      <c r="F3968" s="2">
        <v>48.0</v>
      </c>
      <c r="G3968" s="2">
        <v>70.0</v>
      </c>
      <c r="H3968" s="2" t="b">
        <v>1</v>
      </c>
      <c r="I3968" s="2">
        <v>-1.0</v>
      </c>
      <c r="J3968" s="2" t="b">
        <v>0</v>
      </c>
      <c r="K3968" s="2" t="b">
        <v>0</v>
      </c>
      <c r="L3968" s="2" t="b">
        <v>0</v>
      </c>
      <c r="M3968" s="2" t="b">
        <v>0</v>
      </c>
      <c r="N3968" s="2" t="s">
        <v>33</v>
      </c>
      <c r="O3968" s="2">
        <v>5.0</v>
      </c>
      <c r="P3968" s="2">
        <v>2.0</v>
      </c>
      <c r="Q3968" s="2">
        <v>29.0</v>
      </c>
      <c r="R3968" s="2">
        <v>0.0</v>
      </c>
      <c r="S3968" s="3" t="s">
        <v>16119</v>
      </c>
      <c r="T3968" s="2" t="s">
        <v>16120</v>
      </c>
      <c r="Y3968" s="4" t="str">
        <f>IFERROR(__xludf.DUMMYFUNCTION("""COMPUTED_VALUE"""),"6.8394584")</f>
        <v>6.8394584</v>
      </c>
      <c r="Z3968" s="4" t="str">
        <f>IFERROR(__xludf.DUMMYFUNCTION("""COMPUTED_VALUE"""),"3.6452156")</f>
        <v>3.6452156</v>
      </c>
      <c r="AA3968" s="4" t="str">
        <f t="shared" si="1"/>
        <v>Neighbor</v>
      </c>
      <c r="AC3968" s="4">
        <f>IFERROR(__xludf.DUMMYFUNCTION("IFERROR(ABS(O3968-AVERAGE(FILTER(O3968:O8036,AA3968:AA8036=""Neighbor""))) / STDEV(FILTER(O3968:O8036, AA3968:AA8036 =""Neighbor"")), """")"),1.047299821384256)</f>
        <v>1.047299821</v>
      </c>
      <c r="AF3968" s="2">
        <f>IFERROR(__xludf.DUMMYFUNCTION("IFERROR(ABS(R3968-AVERAGE(FILTER(R3968:R8036,AA3968:AA8036=""Neighbor""))) / STDEV(FILTER(R3968:R8036, AA3968:AA8036 =""Neighbor"")), """")"),0.28266617482350287)</f>
        <v>0.2826661748</v>
      </c>
    </row>
    <row r="3969">
      <c r="A3969" s="2" t="s">
        <v>28</v>
      </c>
      <c r="B3969" s="2" t="s">
        <v>10071</v>
      </c>
      <c r="C3969" s="2" t="s">
        <v>10273</v>
      </c>
      <c r="D3969" s="2" t="s">
        <v>16121</v>
      </c>
      <c r="E3969" s="2" t="s">
        <v>16122</v>
      </c>
      <c r="F3969" s="2">
        <v>92.0</v>
      </c>
      <c r="G3969" s="2">
        <v>414.0</v>
      </c>
      <c r="H3969" s="2" t="b">
        <v>1</v>
      </c>
      <c r="I3969" s="2">
        <v>-1.0</v>
      </c>
      <c r="J3969" s="2" t="b">
        <v>0</v>
      </c>
      <c r="K3969" s="2" t="b">
        <v>0</v>
      </c>
      <c r="L3969" s="2" t="b">
        <v>0</v>
      </c>
      <c r="M3969" s="2" t="b">
        <v>0</v>
      </c>
      <c r="N3969" s="2" t="s">
        <v>33</v>
      </c>
      <c r="O3969" s="2">
        <v>63.0</v>
      </c>
      <c r="P3969" s="2">
        <v>4.0</v>
      </c>
      <c r="Q3969" s="2">
        <v>16.0</v>
      </c>
      <c r="R3969" s="2">
        <v>0.0</v>
      </c>
      <c r="S3969" s="3" t="s">
        <v>16123</v>
      </c>
      <c r="T3969" s="2" t="s">
        <v>16124</v>
      </c>
      <c r="Y3969" s="4" t="str">
        <f>IFERROR(__xludf.DUMMYFUNCTION("""COMPUTED_VALUE"""),"6.8394584")</f>
        <v>6.8394584</v>
      </c>
      <c r="Z3969" s="4" t="str">
        <f>IFERROR(__xludf.DUMMYFUNCTION("""COMPUTED_VALUE"""),"3.6452156")</f>
        <v>3.6452156</v>
      </c>
      <c r="AA3969" s="4" t="str">
        <f t="shared" si="1"/>
        <v>Not Neighbor</v>
      </c>
      <c r="AC3969" s="4">
        <f>IFERROR(__xludf.DUMMYFUNCTION("IFERROR(ABS(O3969-AVERAGE(FILTER(O3969:O8037,AA3969:AA8037=""Neighbor""))) / STDEV(FILTER(O3969:O8037, AA3969:AA8037 =""Neighbor"")), """")"),1.3113191841783267)</f>
        <v>1.311319184</v>
      </c>
      <c r="AF3969" s="2">
        <f>IFERROR(__xludf.DUMMYFUNCTION("IFERROR(ABS(R3969-AVERAGE(FILTER(R3969:R8037,AA3969:AA8037=""Neighbor""))) / STDEV(FILTER(R3969:R8037, AA3969:AA8037 =""Neighbor"")), """")"),0.28571428571428575)</f>
        <v>0.2857142857</v>
      </c>
    </row>
    <row r="3970">
      <c r="A3970" s="2" t="s">
        <v>28</v>
      </c>
      <c r="B3970" s="2" t="s">
        <v>10071</v>
      </c>
      <c r="C3970" s="2" t="s">
        <v>10561</v>
      </c>
      <c r="D3970" s="2" t="s">
        <v>16125</v>
      </c>
      <c r="E3970" s="2" t="s">
        <v>16126</v>
      </c>
      <c r="F3970" s="2">
        <v>161.0</v>
      </c>
      <c r="G3970" s="2">
        <v>750.0</v>
      </c>
      <c r="H3970" s="2" t="b">
        <v>1</v>
      </c>
      <c r="I3970" s="2">
        <v>-1.0</v>
      </c>
      <c r="J3970" s="2" t="b">
        <v>1</v>
      </c>
      <c r="K3970" s="2" t="b">
        <v>0</v>
      </c>
      <c r="L3970" s="2" t="b">
        <v>0</v>
      </c>
      <c r="M3970" s="2" t="b">
        <v>0</v>
      </c>
      <c r="N3970" s="2" t="s">
        <v>33</v>
      </c>
      <c r="O3970" s="2">
        <v>52.0</v>
      </c>
      <c r="P3970" s="2">
        <v>57.0</v>
      </c>
      <c r="Q3970" s="2">
        <v>17.0</v>
      </c>
      <c r="R3970" s="2">
        <v>0.0</v>
      </c>
      <c r="S3970" s="3" t="s">
        <v>16127</v>
      </c>
      <c r="T3970" s="2" t="s">
        <v>16128</v>
      </c>
      <c r="Y3970" s="4" t="str">
        <f>IFERROR(__xludf.DUMMYFUNCTION("""COMPUTED_VALUE"""),"6.8322014")</f>
        <v>6.8322014</v>
      </c>
      <c r="Z3970" s="4" t="str">
        <f>IFERROR(__xludf.DUMMYFUNCTION("""COMPUTED_VALUE"""),"3.6319131")</f>
        <v>3.6319131</v>
      </c>
      <c r="AA3970" s="4" t="str">
        <f t="shared" si="1"/>
        <v>Not Neighbor</v>
      </c>
      <c r="AC3970" s="4">
        <f>IFERROR(__xludf.DUMMYFUNCTION("IFERROR(ABS(O3970-AVERAGE(FILTER(O3970:O8038,AA3970:AA8038=""Neighbor""))) / STDEV(FILTER(O3970:O8038, AA3970:AA8038 =""Neighbor"")), """")"),0.8596891264964621)</f>
        <v>0.8596891265</v>
      </c>
      <c r="AF3970" s="2">
        <f>IFERROR(__xludf.DUMMYFUNCTION("IFERROR(ABS(R3970-AVERAGE(FILTER(R3970:R8038,AA3970:AA8038=""Neighbor""))) / STDEV(FILTER(R3970:R8038, AA3970:AA8038 =""Neighbor"")), """")"),0.28571428571428575)</f>
        <v>0.2857142857</v>
      </c>
    </row>
    <row r="3971">
      <c r="A3971" s="2" t="s">
        <v>28</v>
      </c>
      <c r="B3971" s="2" t="s">
        <v>10071</v>
      </c>
      <c r="C3971" s="2" t="s">
        <v>10561</v>
      </c>
      <c r="D3971" s="2" t="s">
        <v>16129</v>
      </c>
      <c r="E3971" s="2" t="s">
        <v>16130</v>
      </c>
      <c r="F3971" s="2">
        <v>72.0</v>
      </c>
      <c r="G3971" s="2">
        <v>174.0</v>
      </c>
      <c r="H3971" s="2" t="b">
        <v>1</v>
      </c>
      <c r="I3971" s="2">
        <v>-1.0</v>
      </c>
      <c r="J3971" s="2" t="b">
        <v>0</v>
      </c>
      <c r="K3971" s="2" t="b">
        <v>0</v>
      </c>
      <c r="L3971" s="2" t="b">
        <v>0</v>
      </c>
      <c r="M3971" s="2" t="b">
        <v>0</v>
      </c>
      <c r="N3971" s="2" t="s">
        <v>33</v>
      </c>
      <c r="O3971" s="2">
        <v>66.0</v>
      </c>
      <c r="P3971" s="2">
        <v>40.0</v>
      </c>
      <c r="Q3971" s="2">
        <v>16.0</v>
      </c>
      <c r="R3971" s="2">
        <v>0.0</v>
      </c>
      <c r="S3971" s="3" t="s">
        <v>16131</v>
      </c>
      <c r="T3971" s="2" t="s">
        <v>16132</v>
      </c>
      <c r="Y3971" s="4" t="str">
        <f>IFERROR(__xludf.DUMMYFUNCTION("""COMPUTED_VALUE"""),"6.862963")</f>
        <v>6.862963</v>
      </c>
      <c r="Z3971" s="4" t="str">
        <f>IFERROR(__xludf.DUMMYFUNCTION("""COMPUTED_VALUE"""),"3.6331799")</f>
        <v>3.6331799</v>
      </c>
      <c r="AA3971" s="4" t="str">
        <f t="shared" si="1"/>
        <v>Not Neighbor</v>
      </c>
      <c r="AC3971" s="4">
        <f>IFERROR(__xludf.DUMMYFUNCTION("IFERROR(ABS(O3971-AVERAGE(FILTER(O3971:O8039,AA3971:AA8039=""Neighbor""))) / STDEV(FILTER(O3971:O8039, AA3971:AA8039 =""Neighbor"")), """")"),1.4344910180915624)</f>
        <v>1.434491018</v>
      </c>
      <c r="AF3971" s="2">
        <f>IFERROR(__xludf.DUMMYFUNCTION("IFERROR(ABS(R3971-AVERAGE(FILTER(R3971:R8039,AA3971:AA8039=""Neighbor""))) / STDEV(FILTER(R3971:R8039, AA3971:AA8039 =""Neighbor"")), """")"),0.28571428571428575)</f>
        <v>0.2857142857</v>
      </c>
    </row>
    <row r="3972">
      <c r="A3972" s="2" t="s">
        <v>28</v>
      </c>
      <c r="B3972" s="2" t="s">
        <v>10071</v>
      </c>
      <c r="C3972" s="2" t="s">
        <v>10561</v>
      </c>
      <c r="D3972" s="2" t="s">
        <v>16133</v>
      </c>
      <c r="E3972" s="2" t="s">
        <v>16134</v>
      </c>
      <c r="F3972" s="2">
        <v>84.0</v>
      </c>
      <c r="G3972" s="2">
        <v>310.0</v>
      </c>
      <c r="H3972" s="2" t="b">
        <v>1</v>
      </c>
      <c r="I3972" s="2">
        <v>-1.0</v>
      </c>
      <c r="J3972" s="2" t="b">
        <v>1</v>
      </c>
      <c r="K3972" s="2" t="b">
        <v>0</v>
      </c>
      <c r="L3972" s="2" t="b">
        <v>0</v>
      </c>
      <c r="M3972" s="2" t="b">
        <v>0</v>
      </c>
      <c r="N3972" s="2" t="s">
        <v>33</v>
      </c>
      <c r="O3972" s="2">
        <v>72.0</v>
      </c>
      <c r="P3972" s="2">
        <v>15.0</v>
      </c>
      <c r="Q3972" s="2">
        <v>56.0</v>
      </c>
      <c r="R3972" s="2">
        <v>0.0</v>
      </c>
      <c r="S3972" s="3" t="s">
        <v>16135</v>
      </c>
      <c r="T3972" s="2" t="s">
        <v>16136</v>
      </c>
      <c r="Y3972" s="4" t="str">
        <f>IFERROR(__xludf.DUMMYFUNCTION("""COMPUTED_VALUE"""),"6.8618055")</f>
        <v>6.8618055</v>
      </c>
      <c r="Z3972" s="4" t="str">
        <f>IFERROR(__xludf.DUMMYFUNCTION("""COMPUTED_VALUE"""),"3.609117")</f>
        <v>3.609117</v>
      </c>
      <c r="AA3972" s="4" t="str">
        <f t="shared" si="1"/>
        <v>Not Neighbor</v>
      </c>
      <c r="AC3972" s="4">
        <f>IFERROR(__xludf.DUMMYFUNCTION("IFERROR(ABS(O3972-AVERAGE(FILTER(O3972:O8040,AA3972:AA8040=""Neighbor""))) / STDEV(FILTER(O3972:O8040, AA3972:AA8040 =""Neighbor"")), """")"),1.680834685918034)</f>
        <v>1.680834686</v>
      </c>
      <c r="AF3972" s="2">
        <f>IFERROR(__xludf.DUMMYFUNCTION("IFERROR(ABS(R3972-AVERAGE(FILTER(R3972:R8040,AA3972:AA8040=""Neighbor""))) / STDEV(FILTER(R3972:R8040, AA3972:AA8040 =""Neighbor"")), """")"),0.28571428571428575)</f>
        <v>0.2857142857</v>
      </c>
    </row>
    <row r="3973">
      <c r="A3973" s="2" t="s">
        <v>28</v>
      </c>
      <c r="B3973" s="2" t="s">
        <v>10071</v>
      </c>
      <c r="C3973" s="2" t="s">
        <v>10561</v>
      </c>
      <c r="D3973" s="2" t="s">
        <v>16137</v>
      </c>
      <c r="E3973" s="2" t="s">
        <v>16138</v>
      </c>
      <c r="F3973" s="2">
        <v>52.0</v>
      </c>
      <c r="G3973" s="2">
        <v>121.0</v>
      </c>
      <c r="H3973" s="2" t="b">
        <v>1</v>
      </c>
      <c r="I3973" s="2">
        <v>-1.0</v>
      </c>
      <c r="J3973" s="2" t="b">
        <v>0</v>
      </c>
      <c r="K3973" s="2" t="b">
        <v>1</v>
      </c>
      <c r="L3973" s="2" t="b">
        <v>0</v>
      </c>
      <c r="M3973" s="2" t="b">
        <v>0</v>
      </c>
      <c r="N3973" s="2" t="s">
        <v>33</v>
      </c>
      <c r="O3973" s="2">
        <v>29.0</v>
      </c>
      <c r="P3973" s="2">
        <v>3.0</v>
      </c>
      <c r="Q3973" s="2">
        <v>12.0</v>
      </c>
      <c r="R3973" s="2">
        <v>0.0</v>
      </c>
      <c r="S3973" s="3" t="s">
        <v>16139</v>
      </c>
      <c r="T3973" s="2" t="s">
        <v>16140</v>
      </c>
      <c r="Y3973" s="4" t="str">
        <f>IFERROR(__xludf.DUMMYFUNCTION("""COMPUTED_VALUE"""),"6.8322014")</f>
        <v>6.8322014</v>
      </c>
      <c r="Z3973" s="4" t="str">
        <f>IFERROR(__xludf.DUMMYFUNCTION("""COMPUTED_VALUE"""),"3.6319131")</f>
        <v>3.6319131</v>
      </c>
      <c r="AA3973" s="4" t="str">
        <f t="shared" si="1"/>
        <v>Neighbor</v>
      </c>
      <c r="AC3973" s="4">
        <f>IFERROR(__xludf.DUMMYFUNCTION("IFERROR(ABS(O3973-AVERAGE(FILTER(O3973:O8041,AA3973:AA8041=""Neighbor""))) / STDEV(FILTER(O3973:O8041, AA3973:AA8041 =""Neighbor"")), """")"),0.08462826683834569)</f>
        <v>0.08462826684</v>
      </c>
      <c r="AF3973" s="2">
        <f>IFERROR(__xludf.DUMMYFUNCTION("IFERROR(ABS(R3973-AVERAGE(FILTER(R3973:R8041,AA3973:AA8041=""Neighbor""))) / STDEV(FILTER(R3973:R8041, AA3973:AA8041 =""Neighbor"")), """")"),0.28571428571428575)</f>
        <v>0.2857142857</v>
      </c>
    </row>
    <row r="3974">
      <c r="A3974" s="2" t="s">
        <v>28</v>
      </c>
      <c r="B3974" s="2" t="s">
        <v>10071</v>
      </c>
      <c r="C3974" s="2" t="s">
        <v>10561</v>
      </c>
      <c r="D3974" s="2" t="s">
        <v>16141</v>
      </c>
      <c r="E3974" s="2" t="s">
        <v>16142</v>
      </c>
      <c r="F3974" s="2">
        <v>68.0</v>
      </c>
      <c r="G3974" s="2">
        <v>253.0</v>
      </c>
      <c r="H3974" s="2" t="b">
        <v>1</v>
      </c>
      <c r="I3974" s="2">
        <v>-1.0</v>
      </c>
      <c r="J3974" s="2" t="b">
        <v>0</v>
      </c>
      <c r="K3974" s="2" t="b">
        <v>0</v>
      </c>
      <c r="L3974" s="2" t="b">
        <v>0</v>
      </c>
      <c r="M3974" s="2" t="b">
        <v>0</v>
      </c>
      <c r="N3974" s="2" t="s">
        <v>33</v>
      </c>
      <c r="O3974" s="2">
        <v>32.0</v>
      </c>
      <c r="P3974" s="2">
        <v>11.0</v>
      </c>
      <c r="Q3974" s="2">
        <v>17.0</v>
      </c>
      <c r="R3974" s="2">
        <v>0.0</v>
      </c>
      <c r="S3974" s="3" t="s">
        <v>16143</v>
      </c>
      <c r="T3974" s="2" t="s">
        <v>16144</v>
      </c>
      <c r="Y3974" s="4" t="str">
        <f>IFERROR(__xludf.DUMMYFUNCTION("""COMPUTED_VALUE"""),"6.8322014")</f>
        <v>6.8322014</v>
      </c>
      <c r="Z3974" s="4" t="str">
        <f>IFERROR(__xludf.DUMMYFUNCTION("""COMPUTED_VALUE"""),"3.6319131")</f>
        <v>3.6319131</v>
      </c>
      <c r="AA3974" s="4" t="str">
        <f t="shared" si="1"/>
        <v>Neighbor</v>
      </c>
      <c r="AC3974" s="4">
        <f>IFERROR(__xludf.DUMMYFUNCTION("IFERROR(ABS(O3974-AVERAGE(FILTER(O3974:O8042,AA3974:AA8042=""Neighbor""))) / STDEV(FILTER(O3974:O8042, AA3974:AA8042 =""Neighbor"")), """")"),0.03639810377770502)</f>
        <v>0.03639810378</v>
      </c>
      <c r="AF3974" s="2">
        <f>IFERROR(__xludf.DUMMYFUNCTION("IFERROR(ABS(R3974-AVERAGE(FILTER(R3974:R8042,AA3974:AA8042=""Neighbor""))) / STDEV(FILTER(R3974:R8042, AA3974:AA8042 =""Neighbor"")), """")"),0.28886333963573024)</f>
        <v>0.2888633396</v>
      </c>
    </row>
    <row r="3975">
      <c r="A3975" s="2" t="s">
        <v>28</v>
      </c>
      <c r="B3975" s="2" t="s">
        <v>10071</v>
      </c>
      <c r="C3975" s="2" t="s">
        <v>10561</v>
      </c>
      <c r="D3975" s="2" t="s">
        <v>16145</v>
      </c>
      <c r="E3975" s="2" t="s">
        <v>16146</v>
      </c>
      <c r="F3975" s="2">
        <v>78.0</v>
      </c>
      <c r="G3975" s="2">
        <v>248.0</v>
      </c>
      <c r="H3975" s="2" t="b">
        <v>1</v>
      </c>
      <c r="I3975" s="2">
        <v>-1.0</v>
      </c>
      <c r="J3975" s="2" t="b">
        <v>0</v>
      </c>
      <c r="K3975" s="2" t="b">
        <v>0</v>
      </c>
      <c r="L3975" s="2" t="b">
        <v>0</v>
      </c>
      <c r="M3975" s="2" t="b">
        <v>0</v>
      </c>
      <c r="N3975" s="2" t="s">
        <v>33</v>
      </c>
      <c r="O3975" s="2">
        <v>46.0</v>
      </c>
      <c r="P3975" s="2">
        <v>9.0</v>
      </c>
      <c r="Q3975" s="2">
        <v>19.0</v>
      </c>
      <c r="R3975" s="2">
        <v>0.0</v>
      </c>
      <c r="S3975" s="3" t="s">
        <v>16147</v>
      </c>
      <c r="T3975" s="2" t="s">
        <v>16148</v>
      </c>
      <c r="Y3975" s="4" t="str">
        <f>IFERROR(__xludf.DUMMYFUNCTION("""COMPUTED_VALUE"""),"6.8322014")</f>
        <v>6.8322014</v>
      </c>
      <c r="Z3975" s="4" t="str">
        <f>IFERROR(__xludf.DUMMYFUNCTION("""COMPUTED_VALUE"""),"3.6319131")</f>
        <v>3.6319131</v>
      </c>
      <c r="AA3975" s="4" t="str">
        <f t="shared" si="1"/>
        <v>Not Neighbor</v>
      </c>
      <c r="AC3975" s="4">
        <f>IFERROR(__xludf.DUMMYFUNCTION("IFERROR(ABS(O3975-AVERAGE(FILTER(O3975:O8043,AA3975:AA8043=""Neighbor""))) / STDEV(FILTER(O3975:O8043, AA3975:AA8043 =""Neighbor"")), """")"),0.5995258849631465)</f>
        <v>0.599525885</v>
      </c>
      <c r="AF3975" s="2">
        <f>IFERROR(__xludf.DUMMYFUNCTION("IFERROR(ABS(R3975-AVERAGE(FILTER(R3975:R8043,AA3975:AA8043=""Neighbor""))) / STDEV(FILTER(R3975:R8043, AA3975:AA8043 =""Neighbor"")), """")"),0.2921190429370537)</f>
        <v>0.2921190429</v>
      </c>
    </row>
    <row r="3976">
      <c r="A3976" s="2" t="s">
        <v>28</v>
      </c>
      <c r="B3976" s="2" t="s">
        <v>10071</v>
      </c>
      <c r="C3976" s="2" t="s">
        <v>10561</v>
      </c>
      <c r="D3976" s="2" t="s">
        <v>16149</v>
      </c>
      <c r="E3976" s="2" t="s">
        <v>16150</v>
      </c>
      <c r="F3976" s="2">
        <v>79.0</v>
      </c>
      <c r="G3976" s="2">
        <v>126.0</v>
      </c>
      <c r="H3976" s="2" t="b">
        <v>1</v>
      </c>
      <c r="I3976" s="2">
        <v>-1.0</v>
      </c>
      <c r="J3976" s="2" t="b">
        <v>0</v>
      </c>
      <c r="K3976" s="2" t="b">
        <v>0</v>
      </c>
      <c r="L3976" s="2" t="b">
        <v>0</v>
      </c>
      <c r="M3976" s="2" t="b">
        <v>0</v>
      </c>
      <c r="N3976" s="2" t="s">
        <v>33</v>
      </c>
      <c r="O3976" s="2">
        <v>39.0</v>
      </c>
      <c r="P3976" s="2">
        <v>22.0</v>
      </c>
      <c r="Q3976" s="2">
        <v>14.0</v>
      </c>
      <c r="R3976" s="2">
        <v>0.0</v>
      </c>
      <c r="S3976" s="3" t="s">
        <v>16151</v>
      </c>
      <c r="T3976" s="2" t="s">
        <v>16152</v>
      </c>
      <c r="Y3976" s="4" t="str">
        <f>IFERROR(__xludf.DUMMYFUNCTION("""COMPUTED_VALUE"""),"6.862963")</f>
        <v>6.862963</v>
      </c>
      <c r="Z3976" s="4" t="str">
        <f>IFERROR(__xludf.DUMMYFUNCTION("""COMPUTED_VALUE"""),"3.6331799")</f>
        <v>3.6331799</v>
      </c>
      <c r="AA3976" s="4" t="str">
        <f t="shared" si="1"/>
        <v>Not Neighbor</v>
      </c>
      <c r="AC3976" s="4">
        <f>IFERROR(__xludf.DUMMYFUNCTION("IFERROR(ABS(O3976-AVERAGE(FILTER(O3976:O8044,AA3976:AA8044=""Neighbor""))) / STDEV(FILTER(O3976:O8044, AA3976:AA8044 =""Neighbor"")), """")"),0.31815068360383814)</f>
        <v>0.3181506836</v>
      </c>
      <c r="AF3976" s="2">
        <f>IFERROR(__xludf.DUMMYFUNCTION("IFERROR(ABS(R3976-AVERAGE(FILTER(R3976:R8044,AA3976:AA8044=""Neighbor""))) / STDEV(FILTER(R3976:R8044, AA3976:AA8044 =""Neighbor"")), """")"),0.2921190429370537)</f>
        <v>0.2921190429</v>
      </c>
    </row>
    <row r="3977">
      <c r="A3977" s="2" t="s">
        <v>28</v>
      </c>
      <c r="B3977" s="2" t="s">
        <v>10071</v>
      </c>
      <c r="C3977" s="2" t="s">
        <v>10561</v>
      </c>
      <c r="D3977" s="2" t="s">
        <v>16153</v>
      </c>
      <c r="E3977" s="2" t="s">
        <v>16154</v>
      </c>
      <c r="F3977" s="2">
        <v>55.0</v>
      </c>
      <c r="G3977" s="2">
        <v>178.0</v>
      </c>
      <c r="H3977" s="2" t="b">
        <v>1</v>
      </c>
      <c r="I3977" s="2">
        <v>-1.0</v>
      </c>
      <c r="J3977" s="2" t="b">
        <v>0</v>
      </c>
      <c r="K3977" s="2" t="b">
        <v>0</v>
      </c>
      <c r="L3977" s="2" t="b">
        <v>0</v>
      </c>
      <c r="M3977" s="2" t="b">
        <v>0</v>
      </c>
      <c r="N3977" s="2" t="s">
        <v>33</v>
      </c>
      <c r="O3977" s="2">
        <v>23.0</v>
      </c>
      <c r="P3977" s="2">
        <v>22.0</v>
      </c>
      <c r="Q3977" s="2">
        <v>8.0</v>
      </c>
      <c r="R3977" s="2">
        <v>0.0</v>
      </c>
      <c r="S3977" s="3" t="s">
        <v>16155</v>
      </c>
      <c r="T3977" s="2" t="s">
        <v>16156</v>
      </c>
      <c r="Y3977" s="4" t="str">
        <f>IFERROR(__xludf.DUMMYFUNCTION("""COMPUTED_VALUE"""),"6.8322014")</f>
        <v>6.8322014</v>
      </c>
      <c r="Z3977" s="4" t="str">
        <f>IFERROR(__xludf.DUMMYFUNCTION("""COMPUTED_VALUE"""),"3.6319131")</f>
        <v>3.6319131</v>
      </c>
      <c r="AA3977" s="4" t="str">
        <f t="shared" si="1"/>
        <v>Not Neighbor</v>
      </c>
      <c r="AC3977" s="4">
        <f>IFERROR(__xludf.DUMMYFUNCTION("IFERROR(ABS(O3977-AVERAGE(FILTER(O3977:O8045,AA3977:AA8045=""Neighbor""))) / STDEV(FILTER(O3977:O8045, AA3977:AA8045 =""Neighbor"")), """")"),0.3249926337888668)</f>
        <v>0.3249926338</v>
      </c>
      <c r="AF3977" s="2">
        <f>IFERROR(__xludf.DUMMYFUNCTION("IFERROR(ABS(R3977-AVERAGE(FILTER(R3977:R8045,AA3977:AA8045=""Neighbor""))) / STDEV(FILTER(R3977:R8045, AA3977:AA8045 =""Neighbor"")), """")"),0.2921190429370537)</f>
        <v>0.2921190429</v>
      </c>
    </row>
    <row r="3978">
      <c r="A3978" s="2" t="s">
        <v>28</v>
      </c>
      <c r="B3978" s="2" t="s">
        <v>10071</v>
      </c>
      <c r="C3978" s="2" t="s">
        <v>10561</v>
      </c>
      <c r="D3978" s="2" t="s">
        <v>16157</v>
      </c>
      <c r="E3978" s="2" t="s">
        <v>16158</v>
      </c>
      <c r="F3978" s="2">
        <v>106.0</v>
      </c>
      <c r="G3978" s="2">
        <v>398.0</v>
      </c>
      <c r="H3978" s="2" t="b">
        <v>1</v>
      </c>
      <c r="I3978" s="2">
        <v>-1.0</v>
      </c>
      <c r="J3978" s="2" t="b">
        <v>0</v>
      </c>
      <c r="K3978" s="2" t="b">
        <v>0</v>
      </c>
      <c r="L3978" s="2" t="b">
        <v>0</v>
      </c>
      <c r="M3978" s="2" t="b">
        <v>0</v>
      </c>
      <c r="N3978" s="2" t="s">
        <v>33</v>
      </c>
      <c r="O3978" s="2">
        <v>31.0</v>
      </c>
      <c r="P3978" s="2">
        <v>36.0</v>
      </c>
      <c r="Q3978" s="2">
        <v>7.0</v>
      </c>
      <c r="R3978" s="2">
        <v>0.0</v>
      </c>
      <c r="S3978" s="3" t="s">
        <v>16159</v>
      </c>
      <c r="T3978" s="2" t="s">
        <v>16160</v>
      </c>
      <c r="Y3978" s="4" t="str">
        <f>IFERROR(__xludf.DUMMYFUNCTION("""COMPUTED_VALUE"""),"6.862963")</f>
        <v>6.862963</v>
      </c>
      <c r="Z3978" s="4" t="str">
        <f>IFERROR(__xludf.DUMMYFUNCTION("""COMPUTED_VALUE"""),"3.6331799")</f>
        <v>3.6331799</v>
      </c>
      <c r="AA3978" s="4" t="str">
        <f t="shared" si="1"/>
        <v>Neighbor</v>
      </c>
      <c r="AC3978" s="4">
        <f>IFERROR(__xludf.DUMMYFUNCTION("IFERROR(ABS(O3978-AVERAGE(FILTER(O3978:O8046,AA3978:AA8046=""Neighbor""))) / STDEV(FILTER(O3978:O8046, AA3978:AA8046 =""Neighbor"")), """")"),0.003420975092514339)</f>
        <v>0.003420975093</v>
      </c>
      <c r="AF3978" s="2">
        <f>IFERROR(__xludf.DUMMYFUNCTION("IFERROR(ABS(R3978-AVERAGE(FILTER(R3978:R8046,AA3978:AA8046=""Neighbor""))) / STDEV(FILTER(R3978:R8046, AA3978:AA8046 =""Neighbor"")), """")"),0.2921190429370537)</f>
        <v>0.2921190429</v>
      </c>
    </row>
    <row r="3979">
      <c r="A3979" s="2" t="s">
        <v>28</v>
      </c>
      <c r="B3979" s="2" t="s">
        <v>10071</v>
      </c>
      <c r="C3979" s="2" t="s">
        <v>10561</v>
      </c>
      <c r="D3979" s="2" t="s">
        <v>16161</v>
      </c>
      <c r="E3979" s="2" t="s">
        <v>16162</v>
      </c>
      <c r="F3979" s="2">
        <v>171.0</v>
      </c>
      <c r="G3979" s="2">
        <v>565.0</v>
      </c>
      <c r="H3979" s="2" t="b">
        <v>1</v>
      </c>
      <c r="I3979" s="2">
        <v>-1.0</v>
      </c>
      <c r="J3979" s="2" t="b">
        <v>0</v>
      </c>
      <c r="K3979" s="2" t="b">
        <v>0</v>
      </c>
      <c r="L3979" s="2" t="b">
        <v>0</v>
      </c>
      <c r="M3979" s="2" t="b">
        <v>0</v>
      </c>
      <c r="N3979" s="2" t="s">
        <v>33</v>
      </c>
      <c r="O3979" s="2">
        <v>61.0</v>
      </c>
      <c r="P3979" s="2">
        <v>81.0</v>
      </c>
      <c r="Q3979" s="2">
        <v>16.0</v>
      </c>
      <c r="R3979" s="2">
        <v>0.0</v>
      </c>
      <c r="S3979" s="3" t="s">
        <v>16163</v>
      </c>
      <c r="T3979" s="2" t="s">
        <v>16164</v>
      </c>
      <c r="Y3979" s="4" t="str">
        <f>IFERROR(__xludf.DUMMYFUNCTION("""COMPUTED_VALUE"""),"6.862963")</f>
        <v>6.862963</v>
      </c>
      <c r="Z3979" s="4" t="str">
        <f>IFERROR(__xludf.DUMMYFUNCTION("""COMPUTED_VALUE"""),"3.6331799")</f>
        <v>3.6331799</v>
      </c>
      <c r="AA3979" s="4" t="str">
        <f t="shared" si="1"/>
        <v>Not Neighbor</v>
      </c>
      <c r="AC3979" s="4">
        <f>IFERROR(__xludf.DUMMYFUNCTION("IFERROR(ABS(O3979-AVERAGE(FILTER(O3979:O8047,AA3979:AA8047=""Neighbor""))) / STDEV(FILTER(O3979:O8047, AA3979:AA8047 =""Neighbor"")), """")"),1.1892571701318528)</f>
        <v>1.18925717</v>
      </c>
      <c r="AF3979" s="2">
        <f>IFERROR(__xludf.DUMMYFUNCTION("IFERROR(ABS(R3979-AVERAGE(FILTER(R3979:R8047,AA3979:AA8047=""Neighbor""))) / STDEV(FILTER(R3979:R8047, AA3979:AA8047 =""Neighbor"")), """")"),0.2954875647579538)</f>
        <v>0.2954875648</v>
      </c>
    </row>
    <row r="3980">
      <c r="A3980" s="2" t="s">
        <v>28</v>
      </c>
      <c r="B3980" s="2" t="s">
        <v>10071</v>
      </c>
      <c r="C3980" s="2" t="s">
        <v>10561</v>
      </c>
      <c r="D3980" s="2" t="s">
        <v>16165</v>
      </c>
      <c r="E3980" s="2" t="s">
        <v>16166</v>
      </c>
      <c r="F3980" s="2">
        <v>84.0</v>
      </c>
      <c r="G3980" s="2">
        <v>389.0</v>
      </c>
      <c r="H3980" s="2" t="b">
        <v>1</v>
      </c>
      <c r="I3980" s="2">
        <v>-1.0</v>
      </c>
      <c r="J3980" s="2" t="b">
        <v>0</v>
      </c>
      <c r="K3980" s="2" t="b">
        <v>0</v>
      </c>
      <c r="L3980" s="2" t="b">
        <v>0</v>
      </c>
      <c r="M3980" s="2" t="b">
        <v>0</v>
      </c>
      <c r="N3980" s="2" t="s">
        <v>33</v>
      </c>
      <c r="O3980" s="2">
        <v>22.0</v>
      </c>
      <c r="P3980" s="2">
        <v>35.0</v>
      </c>
      <c r="Q3980" s="2">
        <v>22.0</v>
      </c>
      <c r="R3980" s="2">
        <v>0.0</v>
      </c>
      <c r="S3980" s="3" t="s">
        <v>16167</v>
      </c>
      <c r="T3980" s="2" t="s">
        <v>16168</v>
      </c>
      <c r="Y3980" s="4" t="str">
        <f>IFERROR(__xludf.DUMMYFUNCTION("""COMPUTED_VALUE"""),"6.8322014")</f>
        <v>6.8322014</v>
      </c>
      <c r="Z3980" s="4" t="str">
        <f>IFERROR(__xludf.DUMMYFUNCTION("""COMPUTED_VALUE"""),"3.6319131")</f>
        <v>3.6319131</v>
      </c>
      <c r="AA3980" s="4" t="str">
        <f t="shared" si="1"/>
        <v>Not Neighbor</v>
      </c>
      <c r="AC3980" s="4">
        <f>IFERROR(__xludf.DUMMYFUNCTION("IFERROR(ABS(O3980-AVERAGE(FILTER(O3980:O8048,AA3980:AA8048=""Neighbor""))) / STDEV(FILTER(O3980:O8048, AA3980:AA8048 =""Neighbor"")), """")"),0.36127143685691454)</f>
        <v>0.3612714369</v>
      </c>
      <c r="AF3980" s="2">
        <f>IFERROR(__xludf.DUMMYFUNCTION("IFERROR(ABS(R3980-AVERAGE(FILTER(R3980:R8048,AA3980:AA8048=""Neighbor""))) / STDEV(FILTER(R3980:R8048, AA3980:AA8048 =""Neighbor"")), """")"),0.2954875647579538)</f>
        <v>0.2954875648</v>
      </c>
    </row>
    <row r="3981">
      <c r="A3981" s="2" t="s">
        <v>28</v>
      </c>
      <c r="B3981" s="2" t="s">
        <v>10071</v>
      </c>
      <c r="C3981" s="2" t="s">
        <v>10138</v>
      </c>
      <c r="D3981" s="2" t="s">
        <v>16169</v>
      </c>
      <c r="E3981" s="2" t="s">
        <v>16170</v>
      </c>
      <c r="F3981" s="2">
        <v>45.0</v>
      </c>
      <c r="G3981" s="2">
        <v>97.0</v>
      </c>
      <c r="H3981" s="2" t="b">
        <v>1</v>
      </c>
      <c r="I3981" s="2">
        <v>-1.0</v>
      </c>
      <c r="J3981" s="2" t="b">
        <v>0</v>
      </c>
      <c r="K3981" s="2" t="b">
        <v>0</v>
      </c>
      <c r="L3981" s="2" t="b">
        <v>0</v>
      </c>
      <c r="M3981" s="2" t="b">
        <v>0</v>
      </c>
      <c r="N3981" s="2" t="s">
        <v>33</v>
      </c>
      <c r="O3981" s="2">
        <v>11.0</v>
      </c>
      <c r="P3981" s="2">
        <v>2.0</v>
      </c>
      <c r="Q3981" s="2">
        <v>30.0</v>
      </c>
      <c r="R3981" s="2">
        <v>0.0</v>
      </c>
      <c r="S3981" s="3" t="s">
        <v>16171</v>
      </c>
      <c r="T3981" s="2" t="s">
        <v>16172</v>
      </c>
      <c r="Y3981" s="4" t="str">
        <f>IFERROR(__xludf.DUMMYFUNCTION("""COMPUTED_VALUE"""),"6.8367813")</f>
        <v>6.8367813</v>
      </c>
      <c r="Z3981" s="4" t="str">
        <f>IFERROR(__xludf.DUMMYFUNCTION("""COMPUTED_VALUE"""),"3.6465093")</f>
        <v>3.6465093</v>
      </c>
      <c r="AA3981" s="4" t="str">
        <f t="shared" si="1"/>
        <v>Not Neighbor</v>
      </c>
      <c r="AC3981" s="4">
        <f>IFERROR(__xludf.DUMMYFUNCTION("IFERROR(ABS(O3981-AVERAGE(FILTER(O3981:O8049,AA3981:AA8049=""Neighbor""))) / STDEV(FILTER(O3981:O8049, AA3981:AA8049 =""Neighbor"")), """")"),0.7986000183152848)</f>
        <v>0.7986000183</v>
      </c>
      <c r="AF3981" s="2">
        <f>IFERROR(__xludf.DUMMYFUNCTION("IFERROR(ABS(R3981-AVERAGE(FILTER(R3981:R8049,AA3981:AA8049=""Neighbor""))) / STDEV(FILTER(R3981:R8049, AA3981:AA8049 =""Neighbor"")), """")"),0.2954875647579538)</f>
        <v>0.2954875648</v>
      </c>
    </row>
    <row r="3982">
      <c r="A3982" s="2" t="s">
        <v>28</v>
      </c>
      <c r="B3982" s="2" t="s">
        <v>10071</v>
      </c>
      <c r="C3982" s="2" t="s">
        <v>10138</v>
      </c>
      <c r="D3982" s="2" t="s">
        <v>16173</v>
      </c>
      <c r="E3982" s="2" t="s">
        <v>16174</v>
      </c>
      <c r="F3982" s="2">
        <v>141.0</v>
      </c>
      <c r="G3982" s="2">
        <v>419.0</v>
      </c>
      <c r="H3982" s="2" t="b">
        <v>1</v>
      </c>
      <c r="I3982" s="2">
        <v>-1.0</v>
      </c>
      <c r="J3982" s="2" t="b">
        <v>0</v>
      </c>
      <c r="K3982" s="2" t="b">
        <v>0</v>
      </c>
      <c r="L3982" s="2" t="b">
        <v>0</v>
      </c>
      <c r="M3982" s="2" t="b">
        <v>0</v>
      </c>
      <c r="N3982" s="2" t="s">
        <v>33</v>
      </c>
      <c r="O3982" s="2">
        <v>92.0</v>
      </c>
      <c r="P3982" s="2">
        <v>14.0</v>
      </c>
      <c r="Q3982" s="2">
        <v>29.0</v>
      </c>
      <c r="R3982" s="2">
        <v>0.0</v>
      </c>
      <c r="S3982" s="3" t="s">
        <v>16175</v>
      </c>
      <c r="T3982" s="2" t="s">
        <v>16176</v>
      </c>
      <c r="Y3982" s="4" t="str">
        <f>IFERROR(__xludf.DUMMYFUNCTION("""COMPUTED_VALUE"""),"6.8322014")</f>
        <v>6.8322014</v>
      </c>
      <c r="Z3982" s="4" t="str">
        <f>IFERROR(__xludf.DUMMYFUNCTION("""COMPUTED_VALUE"""),"3.6319131")</f>
        <v>3.6319131</v>
      </c>
      <c r="AA3982" s="4" t="str">
        <f t="shared" si="1"/>
        <v>Not Neighbor</v>
      </c>
      <c r="AC3982" s="4">
        <f>IFERROR(__xludf.DUMMYFUNCTION("IFERROR(ABS(O3982-AVERAGE(FILTER(O3982:O8050,AA3982:AA8050=""Neighbor""))) / STDEV(FILTER(O3982:O8050, AA3982:AA8050 =""Neighbor"")), """")"),2.4217286269690783)</f>
        <v>2.421728627</v>
      </c>
      <c r="AF3982" s="2">
        <f>IFERROR(__xludf.DUMMYFUNCTION("IFERROR(ABS(R3982-AVERAGE(FILTER(R3982:R8050,AA3982:AA8050=""Neighbor""))) / STDEV(FILTER(R3982:R8050, AA3982:AA8050 =""Neighbor"")), """")"),0.2954875647579538)</f>
        <v>0.2954875648</v>
      </c>
    </row>
    <row r="3983">
      <c r="A3983" s="2" t="s">
        <v>28</v>
      </c>
      <c r="B3983" s="2" t="s">
        <v>10071</v>
      </c>
      <c r="C3983" s="2" t="s">
        <v>10138</v>
      </c>
      <c r="D3983" s="2" t="s">
        <v>16177</v>
      </c>
      <c r="E3983" s="2" t="s">
        <v>16178</v>
      </c>
      <c r="F3983" s="2">
        <v>49.0</v>
      </c>
      <c r="G3983" s="2">
        <v>86.0</v>
      </c>
      <c r="H3983" s="2" t="b">
        <v>1</v>
      </c>
      <c r="I3983" s="2">
        <v>-1.0</v>
      </c>
      <c r="J3983" s="2" t="b">
        <v>1</v>
      </c>
      <c r="K3983" s="2" t="b">
        <v>0</v>
      </c>
      <c r="L3983" s="2" t="b">
        <v>0</v>
      </c>
      <c r="M3983" s="2" t="b">
        <v>0</v>
      </c>
      <c r="N3983" s="2" t="s">
        <v>33</v>
      </c>
      <c r="O3983" s="2">
        <v>28.0</v>
      </c>
      <c r="P3983" s="2">
        <v>2.0</v>
      </c>
      <c r="Q3983" s="2">
        <v>15.0</v>
      </c>
      <c r="R3983" s="2">
        <v>0.0</v>
      </c>
      <c r="S3983" s="3" t="s">
        <v>16179</v>
      </c>
      <c r="T3983" s="2" t="s">
        <v>16180</v>
      </c>
      <c r="Y3983" s="4" t="str">
        <f>IFERROR(__xludf.DUMMYFUNCTION("""COMPUTED_VALUE"""),"6.8387466")</f>
        <v>6.8387466</v>
      </c>
      <c r="Z3983" s="4" t="str">
        <f>IFERROR(__xludf.DUMMYFUNCTION("""COMPUTED_VALUE"""),"3.6509177")</f>
        <v>3.6509177</v>
      </c>
      <c r="AA3983" s="4" t="str">
        <f t="shared" si="1"/>
        <v>Neighbor</v>
      </c>
      <c r="AC3983" s="4">
        <f>IFERROR(__xludf.DUMMYFUNCTION("IFERROR(ABS(O3983-AVERAGE(FILTER(O3983:O8051,AA3983:AA8051=""Neighbor""))) / STDEV(FILTER(O3983:O8051, AA3983:AA8051 =""Neighbor"")), """")"),0.122728574243258)</f>
        <v>0.1227285742</v>
      </c>
      <c r="AF3983" s="2">
        <f>IFERROR(__xludf.DUMMYFUNCTION("IFERROR(ABS(R3983-AVERAGE(FILTER(R3983:R8051,AA3983:AA8051=""Neighbor""))) / STDEV(FILTER(R3983:R8051, AA3983:AA8051 =""Neighbor"")), """")"),0.2954875647579538)</f>
        <v>0.2954875648</v>
      </c>
    </row>
    <row r="3984">
      <c r="A3984" s="2" t="s">
        <v>28</v>
      </c>
      <c r="B3984" s="2" t="s">
        <v>10071</v>
      </c>
      <c r="C3984" s="2" t="s">
        <v>10138</v>
      </c>
      <c r="D3984" s="2" t="s">
        <v>16181</v>
      </c>
      <c r="E3984" s="2" t="s">
        <v>16182</v>
      </c>
      <c r="F3984" s="2">
        <v>55.0</v>
      </c>
      <c r="G3984" s="2">
        <v>90.0</v>
      </c>
      <c r="H3984" s="2" t="b">
        <v>1</v>
      </c>
      <c r="I3984" s="2">
        <v>-1.0</v>
      </c>
      <c r="J3984" s="2" t="b">
        <v>0</v>
      </c>
      <c r="K3984" s="2" t="b">
        <v>0</v>
      </c>
      <c r="L3984" s="2" t="b">
        <v>0</v>
      </c>
      <c r="M3984" s="2" t="b">
        <v>0</v>
      </c>
      <c r="N3984" s="2" t="s">
        <v>33</v>
      </c>
      <c r="O3984" s="2">
        <v>34.0</v>
      </c>
      <c r="P3984" s="2">
        <v>5.0</v>
      </c>
      <c r="Q3984" s="2">
        <v>15.0</v>
      </c>
      <c r="R3984" s="2">
        <v>0.0</v>
      </c>
      <c r="S3984" s="3" t="s">
        <v>16183</v>
      </c>
      <c r="T3984" s="2" t="s">
        <v>16184</v>
      </c>
      <c r="Y3984" s="4" t="str">
        <f>IFERROR(__xludf.DUMMYFUNCTION("""COMPUTED_VALUE"""),"6.8387466")</f>
        <v>6.8387466</v>
      </c>
      <c r="Z3984" s="4" t="str">
        <f>IFERROR(__xludf.DUMMYFUNCTION("""COMPUTED_VALUE"""),"3.6509177")</f>
        <v>3.6509177</v>
      </c>
      <c r="AA3984" s="4" t="str">
        <f t="shared" si="1"/>
        <v>Neighbor</v>
      </c>
      <c r="AC3984" s="4">
        <f>IFERROR(__xludf.DUMMYFUNCTION("IFERROR(ABS(O3984-AVERAGE(FILTER(O3984:O8052,AA3984:AA8052=""Neighbor""))) / STDEV(FILTER(O3984:O8052, AA3984:AA8052 =""Neighbor"")), """")"),0.11184254074640482)</f>
        <v>0.1118425407</v>
      </c>
      <c r="AF3984" s="2">
        <f>IFERROR(__xludf.DUMMYFUNCTION("IFERROR(ABS(R3984-AVERAGE(FILTER(R3984:R8052,AA3984:AA8052=""Neighbor""))) / STDEV(FILTER(R3984:R8052, AA3984:AA8052 =""Neighbor"")), """")"),0.2989755865061558)</f>
        <v>0.2989755865</v>
      </c>
    </row>
    <row r="3985">
      <c r="A3985" s="2" t="s">
        <v>28</v>
      </c>
      <c r="B3985" s="2" t="s">
        <v>10071</v>
      </c>
      <c r="C3985" s="2" t="s">
        <v>10138</v>
      </c>
      <c r="D3985" s="2" t="s">
        <v>16185</v>
      </c>
      <c r="E3985" s="2" t="s">
        <v>16186</v>
      </c>
      <c r="F3985" s="2">
        <v>51.0</v>
      </c>
      <c r="G3985" s="2">
        <v>136.0</v>
      </c>
      <c r="H3985" s="2" t="b">
        <v>1</v>
      </c>
      <c r="I3985" s="2">
        <v>-1.0</v>
      </c>
      <c r="J3985" s="2" t="b">
        <v>0</v>
      </c>
      <c r="K3985" s="2" t="b">
        <v>0</v>
      </c>
      <c r="L3985" s="2" t="b">
        <v>0</v>
      </c>
      <c r="M3985" s="2" t="b">
        <v>0</v>
      </c>
      <c r="N3985" s="2" t="s">
        <v>33</v>
      </c>
      <c r="O3985" s="2">
        <v>0.0</v>
      </c>
      <c r="P3985" s="2">
        <v>0.0</v>
      </c>
      <c r="Q3985" s="2">
        <v>0.0</v>
      </c>
      <c r="R3985" s="2">
        <v>0.0</v>
      </c>
      <c r="S3985" s="3" t="s">
        <v>16187</v>
      </c>
      <c r="T3985" s="2" t="s">
        <v>16188</v>
      </c>
      <c r="Y3985" s="4" t="str">
        <f>IFERROR(__xludf.DUMMYFUNCTION("""COMPUTED_VALUE"""),"6.8387466")</f>
        <v>6.8387466</v>
      </c>
      <c r="Z3985" s="4" t="str">
        <f>IFERROR(__xludf.DUMMYFUNCTION("""COMPUTED_VALUE"""),"3.6509177")</f>
        <v>3.6509177</v>
      </c>
      <c r="AA3985" s="4" t="str">
        <f t="shared" si="1"/>
        <v>Neighbor</v>
      </c>
      <c r="AC3985" s="4">
        <f>IFERROR(__xludf.DUMMYFUNCTION("IFERROR(ABS(O3985-AVERAGE(FILTER(O3985:O8053,AA3985:AA8053=""Neighbor""))) / STDEV(FILTER(O3985:O8053, AA3985:AA8053 =""Neighbor"")), """")"),1.2086874811841055)</f>
        <v>1.208687481</v>
      </c>
      <c r="AF3985" s="2">
        <f>IFERROR(__xludf.DUMMYFUNCTION("IFERROR(ABS(R3985-AVERAGE(FILTER(R3985:R8053,AA3985:AA8053=""Neighbor""))) / STDEV(FILTER(R3985:R8053, AA3985:AA8053 =""Neighbor"")), """")"),0.30259035796753486)</f>
        <v>0.302590358</v>
      </c>
    </row>
    <row r="3986">
      <c r="A3986" s="2" t="s">
        <v>28</v>
      </c>
      <c r="B3986" s="2" t="s">
        <v>10071</v>
      </c>
      <c r="C3986" s="2" t="s">
        <v>10138</v>
      </c>
      <c r="D3986" s="2" t="s">
        <v>16189</v>
      </c>
      <c r="E3986" s="2" t="s">
        <v>16190</v>
      </c>
      <c r="F3986" s="2">
        <v>27.0</v>
      </c>
      <c r="G3986" s="2">
        <v>58.0</v>
      </c>
      <c r="H3986" s="2" t="b">
        <v>1</v>
      </c>
      <c r="I3986" s="2">
        <v>-1.0</v>
      </c>
      <c r="J3986" s="2" t="b">
        <v>0</v>
      </c>
      <c r="K3986" s="2" t="b">
        <v>0</v>
      </c>
      <c r="L3986" s="2" t="b">
        <v>0</v>
      </c>
      <c r="M3986" s="2" t="b">
        <v>0</v>
      </c>
      <c r="N3986" s="2" t="s">
        <v>33</v>
      </c>
      <c r="O3986" s="2">
        <v>11.0</v>
      </c>
      <c r="P3986" s="2">
        <v>5.0</v>
      </c>
      <c r="Q3986" s="2">
        <v>10.0</v>
      </c>
      <c r="R3986" s="2">
        <v>0.0</v>
      </c>
      <c r="S3986" s="3" t="s">
        <v>16191</v>
      </c>
      <c r="T3986" s="2" t="s">
        <v>16192</v>
      </c>
      <c r="Y3986" s="4" t="str">
        <f>IFERROR(__xludf.DUMMYFUNCTION("""COMPUTED_VALUE"""),"6.8352439")</f>
        <v>6.8352439</v>
      </c>
      <c r="Z3986" s="4" t="str">
        <f>IFERROR(__xludf.DUMMYFUNCTION("""COMPUTED_VALUE"""),"3.6509419")</f>
        <v>3.6509419</v>
      </c>
      <c r="AA3986" s="4" t="str">
        <f t="shared" si="1"/>
        <v>Not Neighbor</v>
      </c>
      <c r="AC3986" s="4">
        <f>IFERROR(__xludf.DUMMYFUNCTION("IFERROR(ABS(O3986-AVERAGE(FILTER(O3986:O8054,AA3986:AA8054=""Neighbor""))) / STDEV(FILTER(O3986:O8054, AA3986:AA8054 =""Neighbor"")), """")"),0.8139713107915028)</f>
        <v>0.8139713108</v>
      </c>
      <c r="AF3986" s="2">
        <f>IFERROR(__xludf.DUMMYFUNCTION("IFERROR(ABS(R3986-AVERAGE(FILTER(R3986:R8054,AA3986:AA8054=""Neighbor""))) / STDEV(FILTER(R3986:R8054, AA3986:AA8054 =""Neighbor"")), """")"),0.30633976112742206)</f>
        <v>0.3063397611</v>
      </c>
    </row>
    <row r="3987">
      <c r="A3987" s="2" t="s">
        <v>28</v>
      </c>
      <c r="B3987" s="2" t="s">
        <v>10071</v>
      </c>
      <c r="C3987" s="2" t="s">
        <v>10606</v>
      </c>
      <c r="D3987" s="2" t="s">
        <v>16193</v>
      </c>
      <c r="E3987" s="2" t="s">
        <v>16194</v>
      </c>
      <c r="F3987" s="2">
        <v>35.0</v>
      </c>
      <c r="G3987" s="2">
        <v>68.0</v>
      </c>
      <c r="H3987" s="2" t="b">
        <v>1</v>
      </c>
      <c r="I3987" s="2">
        <v>-1.0</v>
      </c>
      <c r="J3987" s="2" t="b">
        <v>0</v>
      </c>
      <c r="K3987" s="2" t="b">
        <v>0</v>
      </c>
      <c r="L3987" s="2" t="b">
        <v>0</v>
      </c>
      <c r="M3987" s="2" t="b">
        <v>0</v>
      </c>
      <c r="N3987" s="2" t="s">
        <v>33</v>
      </c>
      <c r="O3987" s="2">
        <v>18.0</v>
      </c>
      <c r="P3987" s="2">
        <v>2.0</v>
      </c>
      <c r="Q3987" s="2">
        <v>15.0</v>
      </c>
      <c r="R3987" s="2">
        <v>0.0</v>
      </c>
      <c r="S3987" s="3" t="s">
        <v>16195</v>
      </c>
      <c r="T3987" s="2" t="s">
        <v>16196</v>
      </c>
      <c r="Y3987" s="4" t="str">
        <f>IFERROR(__xludf.DUMMYFUNCTION("""COMPUTED_VALUE"""),"6.8541842")</f>
        <v>6.8541842</v>
      </c>
      <c r="Z3987" s="4" t="str">
        <f>IFERROR(__xludf.DUMMYFUNCTION("""COMPUTED_VALUE"""),"3.6439485")</f>
        <v>3.6439485</v>
      </c>
      <c r="AA3987" s="4" t="str">
        <f t="shared" si="1"/>
        <v>Neighbor</v>
      </c>
      <c r="AC3987" s="4">
        <f>IFERROR(__xludf.DUMMYFUNCTION("IFERROR(ABS(O3987-AVERAGE(FILTER(O3987:O8055,AA3987:AA8055=""Neighbor""))) / STDEV(FILTER(O3987:O8055, AA3987:AA8055 =""Neighbor"")), """")"),0.5402223001230756)</f>
        <v>0.5402223001</v>
      </c>
      <c r="AF3987" s="2">
        <f>IFERROR(__xludf.DUMMYFUNCTION("IFERROR(ABS(R3987-AVERAGE(FILTER(R3987:R8055,AA3987:AA8055=""Neighbor""))) / STDEV(FILTER(R3987:R8055, AA3987:AA8055 =""Neighbor"")), """")"),0.30633976112742206)</f>
        <v>0.3063397611</v>
      </c>
    </row>
    <row r="3988">
      <c r="A3988" s="2" t="s">
        <v>28</v>
      </c>
      <c r="B3988" s="2" t="s">
        <v>10071</v>
      </c>
      <c r="C3988" s="2" t="s">
        <v>10606</v>
      </c>
      <c r="D3988" s="2" t="s">
        <v>16197</v>
      </c>
      <c r="E3988" s="2" t="s">
        <v>16198</v>
      </c>
      <c r="F3988" s="2">
        <v>48.0</v>
      </c>
      <c r="G3988" s="2">
        <v>79.0</v>
      </c>
      <c r="H3988" s="2" t="b">
        <v>1</v>
      </c>
      <c r="I3988" s="2">
        <v>-1.0</v>
      </c>
      <c r="J3988" s="2" t="b">
        <v>0</v>
      </c>
      <c r="K3988" s="2" t="b">
        <v>0</v>
      </c>
      <c r="L3988" s="2" t="b">
        <v>0</v>
      </c>
      <c r="M3988" s="2" t="b">
        <v>0</v>
      </c>
      <c r="N3988" s="2" t="s">
        <v>33</v>
      </c>
      <c r="O3988" s="2">
        <v>15.0</v>
      </c>
      <c r="P3988" s="2">
        <v>0.0</v>
      </c>
      <c r="Q3988" s="2">
        <v>32.0</v>
      </c>
      <c r="R3988" s="2">
        <v>0.0</v>
      </c>
      <c r="S3988" s="3" t="s">
        <v>16199</v>
      </c>
      <c r="T3988" s="2" t="s">
        <v>16200</v>
      </c>
      <c r="Y3988" s="4" t="str">
        <f>IFERROR(__xludf.DUMMYFUNCTION("""COMPUTED_VALUE"""),"6.8541842")</f>
        <v>6.8541842</v>
      </c>
      <c r="Z3988" s="4" t="str">
        <f>IFERROR(__xludf.DUMMYFUNCTION("""COMPUTED_VALUE"""),"3.6439485")</f>
        <v>3.6439485</v>
      </c>
      <c r="AA3988" s="4" t="str">
        <f t="shared" si="1"/>
        <v>Neighbor</v>
      </c>
      <c r="AC3988" s="4">
        <f>IFERROR(__xludf.DUMMYFUNCTION("IFERROR(ABS(O3988-AVERAGE(FILTER(O3988:O8056,AA3988:AA8056=""Neighbor""))) / STDEV(FILTER(O3988:O8056, AA3988:AA8056 =""Neighbor"")), """")"),0.6647453646835549)</f>
        <v>0.6647453647</v>
      </c>
      <c r="AF3988" s="2">
        <f>IFERROR(__xludf.DUMMYFUNCTION("IFERROR(ABS(R3988-AVERAGE(FILTER(R3988:R8056,AA3988:AA8056=""Neighbor""))) / STDEV(FILTER(R3988:R8056, AA3988:AA8056 =""Neighbor"")), """")"),0.310232382989589)</f>
        <v>0.310232383</v>
      </c>
    </row>
    <row r="3989">
      <c r="A3989" s="2" t="s">
        <v>28</v>
      </c>
      <c r="B3989" s="2" t="s">
        <v>10071</v>
      </c>
      <c r="C3989" s="2" t="s">
        <v>10290</v>
      </c>
      <c r="D3989" s="2" t="s">
        <v>16201</v>
      </c>
      <c r="E3989" s="2" t="s">
        <v>16202</v>
      </c>
      <c r="F3989" s="2">
        <v>79.0</v>
      </c>
      <c r="G3989" s="2">
        <v>193.0</v>
      </c>
      <c r="H3989" s="2" t="b">
        <v>1</v>
      </c>
      <c r="I3989" s="2">
        <v>-1.0</v>
      </c>
      <c r="J3989" s="2" t="b">
        <v>0</v>
      </c>
      <c r="K3989" s="2" t="b">
        <v>0</v>
      </c>
      <c r="L3989" s="2" t="b">
        <v>0</v>
      </c>
      <c r="M3989" s="2" t="b">
        <v>0</v>
      </c>
      <c r="N3989" s="2" t="s">
        <v>33</v>
      </c>
      <c r="O3989" s="2">
        <v>33.0</v>
      </c>
      <c r="P3989" s="2">
        <v>17.0</v>
      </c>
      <c r="Q3989" s="2">
        <v>27.0</v>
      </c>
      <c r="R3989" s="2">
        <v>1.0</v>
      </c>
      <c r="S3989" s="3" t="s">
        <v>16203</v>
      </c>
      <c r="T3989" s="2" t="s">
        <v>16204</v>
      </c>
      <c r="Y3989" s="4" t="str">
        <f>IFERROR(__xludf.DUMMYFUNCTION("""COMPUTED_VALUE"""),"6.8448475")</f>
        <v>6.8448475</v>
      </c>
      <c r="Z3989" s="4" t="str">
        <f>IFERROR(__xludf.DUMMYFUNCTION("""COMPUTED_VALUE"""),"3.6401475")</f>
        <v>3.6401475</v>
      </c>
      <c r="AA3989" s="4" t="str">
        <f t="shared" si="1"/>
        <v>Not Neighbor</v>
      </c>
      <c r="AC3989" s="4">
        <f>IFERROR(__xludf.DUMMYFUNCTION("IFERROR(ABS(O3989-AVERAGE(FILTER(O3989:O8057,AA3989:AA8057=""Neighbor""))) / STDEV(FILTER(O3989:O8057, AA3989:AA8057 =""Neighbor"")), """")"),0.016908675648217797)</f>
        <v>0.01690867565</v>
      </c>
      <c r="AF3989" s="2">
        <f>IFERROR(__xludf.DUMMYFUNCTION("IFERROR(ABS(R3989-AVERAGE(FILTER(R3989:R8057,AA3989:AA8057=""Neighbor""))) / STDEV(FILTER(R3989:R8057, AA3989:AA8057 =""Neighbor"")), """")"),1.526491194822093)</f>
        <v>1.526491195</v>
      </c>
    </row>
    <row r="3990">
      <c r="A3990" s="2" t="s">
        <v>28</v>
      </c>
      <c r="B3990" s="2" t="s">
        <v>10071</v>
      </c>
      <c r="C3990" s="2" t="s">
        <v>10340</v>
      </c>
      <c r="D3990" s="2" t="s">
        <v>16205</v>
      </c>
      <c r="E3990" s="2" t="s">
        <v>16206</v>
      </c>
      <c r="F3990" s="2">
        <v>88.0</v>
      </c>
      <c r="G3990" s="2">
        <v>162.0</v>
      </c>
      <c r="H3990" s="2" t="b">
        <v>1</v>
      </c>
      <c r="I3990" s="2">
        <v>-1.0</v>
      </c>
      <c r="J3990" s="2" t="b">
        <v>0</v>
      </c>
      <c r="K3990" s="2" t="b">
        <v>0</v>
      </c>
      <c r="L3990" s="2" t="b">
        <v>0</v>
      </c>
      <c r="M3990" s="2" t="b">
        <v>0</v>
      </c>
      <c r="N3990" s="2" t="s">
        <v>33</v>
      </c>
      <c r="O3990" s="2">
        <v>45.0</v>
      </c>
      <c r="P3990" s="2">
        <v>6.0</v>
      </c>
      <c r="Q3990" s="2">
        <v>33.0</v>
      </c>
      <c r="R3990" s="2">
        <v>0.0</v>
      </c>
      <c r="S3990" s="3" t="s">
        <v>16207</v>
      </c>
      <c r="T3990" s="2" t="s">
        <v>16208</v>
      </c>
      <c r="Y3990" s="4" t="str">
        <f>IFERROR(__xludf.DUMMYFUNCTION("""COMPUTED_VALUE"""),"6.7437374")</f>
        <v>6.7437374</v>
      </c>
      <c r="Z3990" s="4" t="str">
        <f>IFERROR(__xludf.DUMMYFUNCTION("""COMPUTED_VALUE"""),"3.664859")</f>
        <v>3.664859</v>
      </c>
      <c r="AA3990" s="4" t="str">
        <f t="shared" si="1"/>
        <v>Neighbor</v>
      </c>
      <c r="AC3990" s="4">
        <f>IFERROR(__xludf.DUMMYFUNCTION("IFERROR(ABS(O3990-AVERAGE(FILTER(O3990:O8058,AA3990:AA8058=""Neighbor""))) / STDEV(FILTER(O3990:O8058, AA3990:AA8058 =""Neighbor"")), """")"),0.47907914336617236)</f>
        <v>0.4790791434</v>
      </c>
      <c r="AF3990" s="2">
        <f>IFERROR(__xludf.DUMMYFUNCTION("IFERROR(ABS(R3990-AVERAGE(FILTER(R3990:R8058,AA3990:AA8058=""Neighbor""))) / STDEV(FILTER(R3990:R8058, AA3990:AA8058 =""Neighbor"")), """")"),0.31427759893396034)</f>
        <v>0.3142775989</v>
      </c>
    </row>
    <row r="3991">
      <c r="A3991" s="2" t="s">
        <v>28</v>
      </c>
      <c r="B3991" s="2" t="s">
        <v>10071</v>
      </c>
      <c r="C3991" s="2" t="s">
        <v>10340</v>
      </c>
      <c r="D3991" s="2" t="s">
        <v>16209</v>
      </c>
      <c r="E3991" s="2" t="s">
        <v>16210</v>
      </c>
      <c r="F3991" s="2">
        <v>63.0</v>
      </c>
      <c r="G3991" s="2">
        <v>105.0</v>
      </c>
      <c r="H3991" s="2" t="b">
        <v>1</v>
      </c>
      <c r="I3991" s="2">
        <v>-1.0</v>
      </c>
      <c r="J3991" s="2" t="b">
        <v>0</v>
      </c>
      <c r="K3991" s="2" t="b">
        <v>0</v>
      </c>
      <c r="L3991" s="2" t="b">
        <v>0</v>
      </c>
      <c r="M3991" s="2" t="b">
        <v>0</v>
      </c>
      <c r="N3991" s="2" t="s">
        <v>33</v>
      </c>
      <c r="O3991" s="2">
        <v>0.0</v>
      </c>
      <c r="P3991" s="2">
        <v>0.0</v>
      </c>
      <c r="Q3991" s="2">
        <v>0.0</v>
      </c>
      <c r="R3991" s="2">
        <v>0.0</v>
      </c>
      <c r="S3991" s="3" t="s">
        <v>16211</v>
      </c>
      <c r="T3991" s="2" t="s">
        <v>16212</v>
      </c>
      <c r="Y3991" s="4" t="str">
        <f>IFERROR(__xludf.DUMMYFUNCTION("""COMPUTED_VALUE"""),"6.7437374")</f>
        <v>6.7437374</v>
      </c>
      <c r="Z3991" s="4" t="str">
        <f>IFERROR(__xludf.DUMMYFUNCTION("""COMPUTED_VALUE"""),"3.664859")</f>
        <v>3.664859</v>
      </c>
      <c r="AA3991" s="4" t="str">
        <f t="shared" si="1"/>
        <v>Not Neighbor</v>
      </c>
      <c r="AC3991" s="4">
        <f>IFERROR(__xludf.DUMMYFUNCTION("IFERROR(ABS(O3991-AVERAGE(FILTER(O3991:O8059,AA3991:AA8059=""Neighbor""))) / STDEV(FILTER(O3991:O8059, AA3991:AA8059 =""Neighbor"")), """")"),1.2300814383823093)</f>
        <v>1.230081438</v>
      </c>
      <c r="AF3991" s="2">
        <f>IFERROR(__xludf.DUMMYFUNCTION("IFERROR(ABS(R3991-AVERAGE(FILTER(R3991:R8059,AA3991:AA8059=""Neighbor""))) / STDEV(FILTER(R3991:R8059, AA3991:AA8059 =""Neighbor"")), """")"),0.3184856684673712)</f>
        <v>0.3184856685</v>
      </c>
    </row>
    <row r="3992">
      <c r="A3992" s="2" t="s">
        <v>28</v>
      </c>
      <c r="B3992" s="2" t="s">
        <v>10071</v>
      </c>
      <c r="C3992" s="2" t="s">
        <v>10340</v>
      </c>
      <c r="D3992" s="2" t="s">
        <v>16213</v>
      </c>
      <c r="E3992" s="2" t="s">
        <v>16214</v>
      </c>
      <c r="F3992" s="2">
        <v>228.0</v>
      </c>
      <c r="G3992" s="2">
        <v>369.0</v>
      </c>
      <c r="H3992" s="2" t="b">
        <v>1</v>
      </c>
      <c r="I3992" s="2">
        <v>-1.0</v>
      </c>
      <c r="J3992" s="2" t="b">
        <v>0</v>
      </c>
      <c r="K3992" s="2" t="b">
        <v>0</v>
      </c>
      <c r="L3992" s="2" t="b">
        <v>0</v>
      </c>
      <c r="M3992" s="2" t="b">
        <v>0</v>
      </c>
      <c r="N3992" s="2" t="s">
        <v>33</v>
      </c>
      <c r="O3992" s="2">
        <v>115.0</v>
      </c>
      <c r="P3992" s="2">
        <v>25.0</v>
      </c>
      <c r="Q3992" s="2">
        <v>74.0</v>
      </c>
      <c r="R3992" s="2">
        <v>1.0</v>
      </c>
      <c r="S3992" s="3" t="s">
        <v>16215</v>
      </c>
      <c r="T3992" s="2" t="s">
        <v>16216</v>
      </c>
      <c r="Y3992" s="4" t="str">
        <f>IFERROR(__xludf.DUMMYFUNCTION("""COMPUTED_VALUE"""),"6.686103")</f>
        <v>6.686103</v>
      </c>
      <c r="Z3992" s="4" t="str">
        <f>IFERROR(__xludf.DUMMYFUNCTION("""COMPUTED_VALUE"""),"3.6046857")</f>
        <v>3.6046857</v>
      </c>
      <c r="AA3992" s="4" t="str">
        <f t="shared" si="1"/>
        <v>Not Neighbor</v>
      </c>
      <c r="AC3992" s="4">
        <f>IFERROR(__xludf.DUMMYFUNCTION("IFERROR(ABS(O3992-AVERAGE(FILTER(O3992:O8060,AA3992:AA8060=""Neighbor""))) / STDEV(FILTER(O3992:O8060, AA3992:AA8060 =""Neighbor"")), """")"),3.1562554736786383)</f>
        <v>3.156255474</v>
      </c>
      <c r="AF3992" s="2">
        <f>IFERROR(__xludf.DUMMYFUNCTION("IFERROR(ABS(R3992-AVERAGE(FILTER(R3992:R8060,AA3992:AA8060=""Neighbor""))) / STDEV(FILTER(R3992:R8060, AA3992:AA8060 =""Neighbor"")), """")"),1.5014324370604644)</f>
        <v>1.501432437</v>
      </c>
    </row>
    <row r="3993">
      <c r="A3993" s="2" t="s">
        <v>28</v>
      </c>
      <c r="B3993" s="2" t="s">
        <v>10071</v>
      </c>
      <c r="C3993" s="2" t="s">
        <v>10377</v>
      </c>
      <c r="D3993" s="2" t="s">
        <v>16217</v>
      </c>
      <c r="E3993" s="2" t="s">
        <v>16218</v>
      </c>
      <c r="F3993" s="2">
        <v>98.0</v>
      </c>
      <c r="G3993" s="2">
        <v>187.0</v>
      </c>
      <c r="H3993" s="2" t="b">
        <v>1</v>
      </c>
      <c r="I3993" s="2">
        <v>-1.0</v>
      </c>
      <c r="J3993" s="2" t="b">
        <v>0</v>
      </c>
      <c r="K3993" s="2" t="b">
        <v>0</v>
      </c>
      <c r="L3993" s="2" t="b">
        <v>0</v>
      </c>
      <c r="M3993" s="2" t="b">
        <v>0</v>
      </c>
      <c r="N3993" s="2" t="s">
        <v>33</v>
      </c>
      <c r="O3993" s="2">
        <v>45.0</v>
      </c>
      <c r="P3993" s="2">
        <v>28.0</v>
      </c>
      <c r="Q3993" s="2">
        <v>5.0</v>
      </c>
      <c r="R3993" s="2">
        <v>1.0</v>
      </c>
      <c r="S3993" s="3" t="s">
        <v>16219</v>
      </c>
      <c r="T3993" s="2" t="s">
        <v>16220</v>
      </c>
      <c r="Y3993" s="4" t="str">
        <f>IFERROR(__xludf.DUMMYFUNCTION("""COMPUTED_VALUE"""),"6.8322014")</f>
        <v>6.8322014</v>
      </c>
      <c r="Z3993" s="4" t="str">
        <f>IFERROR(__xludf.DUMMYFUNCTION("""COMPUTED_VALUE"""),"3.6319131")</f>
        <v>3.6319131</v>
      </c>
      <c r="AA3993" s="4" t="str">
        <f t="shared" si="1"/>
        <v>Neighbor</v>
      </c>
      <c r="AC3993" s="4">
        <f>IFERROR(__xludf.DUMMYFUNCTION("IFERROR(ABS(O3993-AVERAGE(FILTER(O3993:O8061,AA3993:AA8061=""Neighbor""))) / STDEV(FILTER(O3993:O8061, AA3993:AA8061 =""Neighbor"")), """")"),0.486311266337192)</f>
        <v>0.4863112663</v>
      </c>
      <c r="AF3993" s="2">
        <f>IFERROR(__xludf.DUMMYFUNCTION("IFERROR(ABS(R3993-AVERAGE(FILTER(R3993:R8061,AA3993:AA8061=""Neighbor""))) / STDEV(FILTER(R3993:R8061, AA3993:AA8061 =""Neighbor"")), """")"),1.5014324370604644)</f>
        <v>1.501432437</v>
      </c>
    </row>
    <row r="3994">
      <c r="A3994" s="2" t="s">
        <v>28</v>
      </c>
      <c r="B3994" s="2" t="s">
        <v>10071</v>
      </c>
      <c r="C3994" s="2" t="s">
        <v>10377</v>
      </c>
      <c r="D3994" s="2" t="s">
        <v>16221</v>
      </c>
      <c r="E3994" s="2" t="s">
        <v>16222</v>
      </c>
      <c r="F3994" s="2">
        <v>59.0</v>
      </c>
      <c r="G3994" s="2">
        <v>303.0</v>
      </c>
      <c r="H3994" s="2" t="b">
        <v>1</v>
      </c>
      <c r="I3994" s="2">
        <v>-1.0</v>
      </c>
      <c r="J3994" s="2" t="b">
        <v>0</v>
      </c>
      <c r="K3994" s="2" t="b">
        <v>0</v>
      </c>
      <c r="L3994" s="2" t="b">
        <v>0</v>
      </c>
      <c r="M3994" s="2" t="b">
        <v>0</v>
      </c>
      <c r="N3994" s="2" t="s">
        <v>33</v>
      </c>
      <c r="O3994" s="2">
        <v>30.0</v>
      </c>
      <c r="P3994" s="2">
        <v>14.0</v>
      </c>
      <c r="Q3994" s="2">
        <v>7.0</v>
      </c>
      <c r="R3994" s="2">
        <v>0.0</v>
      </c>
      <c r="S3994" s="3" t="s">
        <v>16223</v>
      </c>
      <c r="T3994" s="2" t="s">
        <v>16224</v>
      </c>
      <c r="Y3994" s="4" t="str">
        <f>IFERROR(__xludf.DUMMYFUNCTION("""COMPUTED_VALUE"""),"6.8322014")</f>
        <v>6.8322014</v>
      </c>
      <c r="Z3994" s="4" t="str">
        <f>IFERROR(__xludf.DUMMYFUNCTION("""COMPUTED_VALUE"""),"3.6319131")</f>
        <v>3.6319131</v>
      </c>
      <c r="AA3994" s="4" t="str">
        <f t="shared" si="1"/>
        <v>Not Neighbor</v>
      </c>
      <c r="AC3994" s="4">
        <f>IFERROR(__xludf.DUMMYFUNCTION("IFERROR(ABS(O3994-AVERAGE(FILTER(O3994:O8062,AA3994:AA8062=""Neighbor""))) / STDEV(FILTER(O3994:O8062, AA3994:AA8062 =""Neighbor"")), """")"),0.0726298378174459)</f>
        <v>0.07262983782</v>
      </c>
      <c r="AF3994" s="2">
        <f>IFERROR(__xludf.DUMMYFUNCTION("IFERROR(ABS(R3994-AVERAGE(FILTER(R3994:R8062,AA3994:AA8062=""Neighbor""))) / STDEV(FILTER(R3994:R8062, AA3994:AA8062 =""Neighbor"")), """")"),0.28495013808837016)</f>
        <v>0.2849501381</v>
      </c>
    </row>
    <row r="3995">
      <c r="A3995" s="2" t="s">
        <v>28</v>
      </c>
      <c r="B3995" s="2" t="s">
        <v>10071</v>
      </c>
      <c r="C3995" s="2" t="s">
        <v>10377</v>
      </c>
      <c r="D3995" s="2" t="s">
        <v>16225</v>
      </c>
      <c r="E3995" s="2" t="s">
        <v>16226</v>
      </c>
      <c r="F3995" s="2">
        <v>186.0</v>
      </c>
      <c r="G3995" s="2">
        <v>332.0</v>
      </c>
      <c r="H3995" s="2" t="b">
        <v>1</v>
      </c>
      <c r="I3995" s="2">
        <v>-1.0</v>
      </c>
      <c r="J3995" s="2" t="b">
        <v>0</v>
      </c>
      <c r="K3995" s="2" t="b">
        <v>0</v>
      </c>
      <c r="L3995" s="2" t="b">
        <v>0</v>
      </c>
      <c r="M3995" s="2" t="b">
        <v>0</v>
      </c>
      <c r="N3995" s="2" t="s">
        <v>33</v>
      </c>
      <c r="O3995" s="2">
        <v>92.0</v>
      </c>
      <c r="P3995" s="2">
        <v>59.0</v>
      </c>
      <c r="Q3995" s="2">
        <v>11.0</v>
      </c>
      <c r="R3995" s="2">
        <v>1.0</v>
      </c>
      <c r="S3995" s="3" t="s">
        <v>16227</v>
      </c>
      <c r="T3995" s="2" t="s">
        <v>16228</v>
      </c>
      <c r="Y3995" s="4" t="str">
        <f>IFERROR(__xludf.DUMMYFUNCTION("""COMPUTED_VALUE"""),"6.6994255")</f>
        <v>6.6994255</v>
      </c>
      <c r="Z3995" s="4" t="str">
        <f>IFERROR(__xludf.DUMMYFUNCTION("""COMPUTED_VALUE"""),"3.5155086")</f>
        <v>3.5155086</v>
      </c>
      <c r="AA3995" s="4" t="str">
        <f t="shared" si="1"/>
        <v>Not Neighbor</v>
      </c>
      <c r="AC3995" s="4">
        <f>IFERROR(__xludf.DUMMYFUNCTION("IFERROR(ABS(O3995-AVERAGE(FILTER(O3995:O8063,AA3995:AA8063=""Neighbor""))) / STDEV(FILTER(O3995:O8063, AA3995:AA8063 =""Neighbor"")), """")"),2.26895613341701)</f>
        <v>2.268956133</v>
      </c>
      <c r="AF3995" s="2">
        <f>IFERROR(__xludf.DUMMYFUNCTION("IFERROR(ABS(R3995-AVERAGE(FILTER(R3995:R8063,AA3995:AA8063=""Neighbor""))) / STDEV(FILTER(R3995:R8063, AA3995:AA8063 =""Neighbor"")), """")"),1.5672257594860357)</f>
        <v>1.567225759</v>
      </c>
    </row>
    <row r="3996">
      <c r="A3996" s="2" t="s">
        <v>28</v>
      </c>
      <c r="B3996" s="2" t="s">
        <v>10071</v>
      </c>
      <c r="C3996" s="2" t="s">
        <v>10377</v>
      </c>
      <c r="D3996" s="2" t="s">
        <v>16229</v>
      </c>
      <c r="E3996" s="2" t="s">
        <v>16230</v>
      </c>
      <c r="F3996" s="2">
        <v>127.0</v>
      </c>
      <c r="G3996" s="2">
        <v>284.0</v>
      </c>
      <c r="H3996" s="2" t="b">
        <v>1</v>
      </c>
      <c r="I3996" s="2">
        <v>-1.0</v>
      </c>
      <c r="J3996" s="2" t="b">
        <v>0</v>
      </c>
      <c r="K3996" s="2" t="b">
        <v>0</v>
      </c>
      <c r="L3996" s="2" t="b">
        <v>0</v>
      </c>
      <c r="M3996" s="2" t="b">
        <v>0</v>
      </c>
      <c r="N3996" s="2" t="s">
        <v>33</v>
      </c>
      <c r="O3996" s="2">
        <v>0.0</v>
      </c>
      <c r="P3996" s="2">
        <v>0.0</v>
      </c>
      <c r="Q3996" s="2">
        <v>0.0</v>
      </c>
      <c r="R3996" s="2">
        <v>0.0</v>
      </c>
      <c r="S3996" s="3" t="s">
        <v>16231</v>
      </c>
      <c r="T3996" s="2" t="s">
        <v>16232</v>
      </c>
      <c r="Y3996" s="4" t="str">
        <f>IFERROR(__xludf.DUMMYFUNCTION("""COMPUTED_VALUE"""),"6.8322014")</f>
        <v>6.8322014</v>
      </c>
      <c r="Z3996" s="4" t="str">
        <f>IFERROR(__xludf.DUMMYFUNCTION("""COMPUTED_VALUE"""),"3.6319131")</f>
        <v>3.6319131</v>
      </c>
      <c r="AA3996" s="4" t="str">
        <f t="shared" si="1"/>
        <v>Neighbor</v>
      </c>
      <c r="AC3996" s="4">
        <f>IFERROR(__xludf.DUMMYFUNCTION("IFERROR(ABS(O3996-AVERAGE(FILTER(O3996:O8064,AA3996:AA8064=""Neighbor""))) / STDEV(FILTER(O3996:O8064, AA3996:AA8064 =""Neighbor"")), """")"),1.205655307769602)</f>
        <v>1.205655308</v>
      </c>
      <c r="AF3996" s="2">
        <f>IFERROR(__xludf.DUMMYFUNCTION("IFERROR(ABS(R3996-AVERAGE(FILTER(R3996:R8064,AA3996:AA8064=""Neighbor""))) / STDEV(FILTER(R3996:R8064, AA3996:AA8064 =""Neighbor"")), """")"),0.28495013808837016)</f>
        <v>0.2849501381</v>
      </c>
    </row>
    <row r="3997">
      <c r="A3997" s="2" t="s">
        <v>28</v>
      </c>
      <c r="B3997" s="2" t="s">
        <v>10071</v>
      </c>
      <c r="C3997" s="2" t="s">
        <v>10377</v>
      </c>
      <c r="D3997" s="2" t="s">
        <v>16233</v>
      </c>
      <c r="E3997" s="2" t="s">
        <v>16234</v>
      </c>
      <c r="F3997" s="2">
        <v>127.0</v>
      </c>
      <c r="G3997" s="2">
        <v>293.0</v>
      </c>
      <c r="H3997" s="2" t="b">
        <v>1</v>
      </c>
      <c r="I3997" s="2">
        <v>-1.0</v>
      </c>
      <c r="J3997" s="2" t="b">
        <v>0</v>
      </c>
      <c r="K3997" s="2" t="b">
        <v>0</v>
      </c>
      <c r="L3997" s="2" t="b">
        <v>0</v>
      </c>
      <c r="M3997" s="2" t="b">
        <v>0</v>
      </c>
      <c r="N3997" s="2" t="s">
        <v>33</v>
      </c>
      <c r="O3997" s="2">
        <v>89.0</v>
      </c>
      <c r="P3997" s="2">
        <v>25.0</v>
      </c>
      <c r="Q3997" s="2">
        <v>9.0</v>
      </c>
      <c r="R3997" s="2">
        <v>0.0</v>
      </c>
      <c r="S3997" s="3" t="s">
        <v>16235</v>
      </c>
      <c r="T3997" s="2" t="s">
        <v>16236</v>
      </c>
      <c r="Y3997" s="4" t="str">
        <f>IFERROR(__xludf.DUMMYFUNCTION("""COMPUTED_VALUE"""),"6.8322014")</f>
        <v>6.8322014</v>
      </c>
      <c r="Z3997" s="4" t="str">
        <f>IFERROR(__xludf.DUMMYFUNCTION("""COMPUTED_VALUE"""),"3.6319131")</f>
        <v>3.6319131</v>
      </c>
      <c r="AA3997" s="4" t="str">
        <f t="shared" si="1"/>
        <v>Neighbor</v>
      </c>
      <c r="AC3997" s="4">
        <f>IFERROR(__xludf.DUMMYFUNCTION("IFERROR(ABS(O3997-AVERAGE(FILTER(O3997:O8065,AA3997:AA8065=""Neighbor""))) / STDEV(FILTER(O3997:O8065, AA3997:AA8065 =""Neighbor"")), """")"),2.1381852876987986)</f>
        <v>2.138185288</v>
      </c>
      <c r="AF3997" s="2">
        <f>IFERROR(__xludf.DUMMYFUNCTION("IFERROR(ABS(R3997-AVERAGE(FILTER(R3997:R8065,AA3997:AA8065=""Neighbor""))) / STDEV(FILTER(R3997:R8065, AA3997:AA8065 =""Neighbor"")), """")"),0.2888921020321278)</f>
        <v>0.288892102</v>
      </c>
    </row>
    <row r="3998">
      <c r="A3998" s="2" t="s">
        <v>28</v>
      </c>
      <c r="B3998" s="2" t="s">
        <v>10071</v>
      </c>
      <c r="C3998" s="2" t="s">
        <v>10377</v>
      </c>
      <c r="D3998" s="2" t="s">
        <v>16237</v>
      </c>
      <c r="E3998" s="2" t="s">
        <v>16238</v>
      </c>
      <c r="F3998" s="2">
        <v>118.0</v>
      </c>
      <c r="G3998" s="2">
        <v>247.0</v>
      </c>
      <c r="H3998" s="2" t="b">
        <v>1</v>
      </c>
      <c r="I3998" s="2">
        <v>-1.0</v>
      </c>
      <c r="J3998" s="2" t="b">
        <v>0</v>
      </c>
      <c r="K3998" s="2" t="b">
        <v>1</v>
      </c>
      <c r="L3998" s="2" t="b">
        <v>0</v>
      </c>
      <c r="M3998" s="2" t="b">
        <v>0</v>
      </c>
      <c r="N3998" s="2" t="s">
        <v>33</v>
      </c>
      <c r="O3998" s="2">
        <v>29.0</v>
      </c>
      <c r="P3998" s="2">
        <v>35.0</v>
      </c>
      <c r="Q3998" s="2">
        <v>25.0</v>
      </c>
      <c r="R3998" s="2">
        <v>1.0</v>
      </c>
      <c r="S3998" s="3" t="s">
        <v>16239</v>
      </c>
      <c r="T3998" s="2" t="s">
        <v>16240</v>
      </c>
      <c r="Y3998" s="4" t="str">
        <f>IFERROR(__xludf.DUMMYFUNCTION("""COMPUTED_VALUE"""),"6.8322014")</f>
        <v>6.8322014</v>
      </c>
      <c r="Z3998" s="4" t="str">
        <f>IFERROR(__xludf.DUMMYFUNCTION("""COMPUTED_VALUE"""),"3.6319131")</f>
        <v>3.6319131</v>
      </c>
      <c r="AA3998" s="4" t="str">
        <f t="shared" si="1"/>
        <v>Neighbor</v>
      </c>
      <c r="AC3998" s="4">
        <f>IFERROR(__xludf.DUMMYFUNCTION("IFERROR(ABS(O3998-AVERAGE(FILTER(O3998:O8066,AA3998:AA8066=""Neighbor""))) / STDEV(FILTER(O3998:O8066, AA3998:AA8066 =""Neighbor"")), """")"),0.09003675671931559)</f>
        <v>0.09003675672</v>
      </c>
      <c r="AF3998" s="2">
        <f>IFERROR(__xludf.DUMMYFUNCTION("IFERROR(ABS(R3998-AVERAGE(FILTER(R3998:R8066,AA3998:AA8066=""Neighbor""))) / STDEV(FILTER(R3998:R8066, AA3998:AA8066 =""Neighbor"")), """")"),1.5138470561387531)</f>
        <v>1.513847056</v>
      </c>
    </row>
    <row r="3999">
      <c r="A3999" s="2" t="s">
        <v>28</v>
      </c>
      <c r="B3999" s="2" t="s">
        <v>10071</v>
      </c>
      <c r="C3999" s="2" t="s">
        <v>10377</v>
      </c>
      <c r="D3999" s="2" t="s">
        <v>16241</v>
      </c>
      <c r="E3999" s="2" t="s">
        <v>16242</v>
      </c>
      <c r="F3999" s="2">
        <v>48.0</v>
      </c>
      <c r="G3999" s="2">
        <v>71.0</v>
      </c>
      <c r="H3999" s="2" t="b">
        <v>1</v>
      </c>
      <c r="I3999" s="2">
        <v>-1.0</v>
      </c>
      <c r="J3999" s="2" t="b">
        <v>0</v>
      </c>
      <c r="K3999" s="2" t="b">
        <v>0</v>
      </c>
      <c r="L3999" s="2" t="b">
        <v>0</v>
      </c>
      <c r="M3999" s="2" t="b">
        <v>0</v>
      </c>
      <c r="N3999" s="2" t="s">
        <v>33</v>
      </c>
      <c r="O3999" s="2">
        <v>12.0</v>
      </c>
      <c r="P3999" s="2">
        <v>8.0</v>
      </c>
      <c r="Q3999" s="2">
        <v>24.0</v>
      </c>
      <c r="R3999" s="2">
        <v>0.0</v>
      </c>
      <c r="S3999" s="3" t="s">
        <v>16243</v>
      </c>
      <c r="T3999" s="2" t="s">
        <v>16244</v>
      </c>
      <c r="Y3999" s="4" t="str">
        <f>IFERROR(__xludf.DUMMYFUNCTION("""COMPUTED_VALUE"""),"6.8322014")</f>
        <v>6.8322014</v>
      </c>
      <c r="Z3999" s="4" t="str">
        <f>IFERROR(__xludf.DUMMYFUNCTION("""COMPUTED_VALUE"""),"3.6319131")</f>
        <v>3.6319131</v>
      </c>
      <c r="AA3999" s="4" t="str">
        <f t="shared" si="1"/>
        <v>Not Neighbor</v>
      </c>
      <c r="AC3999" s="4">
        <f>IFERROR(__xludf.DUMMYFUNCTION("IFERROR(ABS(O3999-AVERAGE(FILTER(O3999:O8067,AA3999:AA8067=""Neighbor""))) / STDEV(FILTER(O3999:O8067, AA3999:AA8067 =""Neighbor"")), """")"),0.7641151527292408)</f>
        <v>0.7641151527</v>
      </c>
      <c r="AF3999" s="2">
        <f>IFERROR(__xludf.DUMMYFUNCTION("IFERROR(ABS(R3999-AVERAGE(FILTER(R3999:R8067,AA3999:AA8067=""Neighbor""))) / STDEV(FILTER(R3999:R8067, AA3999:AA8067 =""Neighbor"")), """")"),0.255956298680813)</f>
        <v>0.2559562987</v>
      </c>
    </row>
    <row r="4000">
      <c r="A4000" s="2" t="s">
        <v>28</v>
      </c>
      <c r="B4000" s="2" t="s">
        <v>10071</v>
      </c>
      <c r="C4000" s="2" t="s">
        <v>10377</v>
      </c>
      <c r="D4000" s="2" t="s">
        <v>16245</v>
      </c>
      <c r="E4000" s="2" t="s">
        <v>16246</v>
      </c>
      <c r="F4000" s="2">
        <v>51.0</v>
      </c>
      <c r="G4000" s="2">
        <v>195.0</v>
      </c>
      <c r="H4000" s="2" t="b">
        <v>1</v>
      </c>
      <c r="I4000" s="2">
        <v>-1.0</v>
      </c>
      <c r="J4000" s="2" t="b">
        <v>0</v>
      </c>
      <c r="K4000" s="2" t="b">
        <v>0</v>
      </c>
      <c r="L4000" s="2" t="b">
        <v>0</v>
      </c>
      <c r="M4000" s="2" t="b">
        <v>0</v>
      </c>
      <c r="N4000" s="2" t="s">
        <v>33</v>
      </c>
      <c r="O4000" s="2">
        <v>22.0</v>
      </c>
      <c r="P4000" s="2">
        <v>24.0</v>
      </c>
      <c r="Q4000" s="2">
        <v>2.0</v>
      </c>
      <c r="R4000" s="2">
        <v>0.0</v>
      </c>
      <c r="S4000" s="3" t="s">
        <v>16247</v>
      </c>
      <c r="T4000" s="2" t="s">
        <v>16248</v>
      </c>
      <c r="Y4000" s="4" t="str">
        <f>IFERROR(__xludf.DUMMYFUNCTION("""COMPUTED_VALUE"""),"6.7153131")</f>
        <v>6.7153131</v>
      </c>
      <c r="Z4000" s="4" t="str">
        <f>IFERROR(__xludf.DUMMYFUNCTION("""COMPUTED_VALUE"""),"3.5128653")</f>
        <v>3.5128653</v>
      </c>
      <c r="AA4000" s="4" t="str">
        <f t="shared" si="1"/>
        <v>Not Neighbor</v>
      </c>
      <c r="AC4000" s="4">
        <f>IFERROR(__xludf.DUMMYFUNCTION("IFERROR(ABS(O4000-AVERAGE(FILTER(O4000:O8068,AA4000:AA8068=""Neighbor""))) / STDEV(FILTER(O4000:O8068, AA4000:AA8068 =""Neighbor"")), """")"),0.3683144980781233)</f>
        <v>0.3683144981</v>
      </c>
      <c r="AF4000" s="2">
        <f>IFERROR(__xludf.DUMMYFUNCTION("IFERROR(ABS(R4000-AVERAGE(FILTER(R4000:R8068,AA4000:AA8068=""Neighbor""))) / STDEV(FILTER(R4000:R8068, AA4000:AA8068 =""Neighbor"")), """")"),0.255956298680813)</f>
        <v>0.2559562987</v>
      </c>
    </row>
    <row r="4001">
      <c r="A4001" s="2" t="s">
        <v>28</v>
      </c>
      <c r="B4001" s="2" t="s">
        <v>10071</v>
      </c>
      <c r="C4001" s="2" t="s">
        <v>10377</v>
      </c>
      <c r="D4001" s="2" t="s">
        <v>16249</v>
      </c>
      <c r="E4001" s="2" t="s">
        <v>16250</v>
      </c>
      <c r="F4001" s="2">
        <v>43.0</v>
      </c>
      <c r="G4001" s="2">
        <v>75.0</v>
      </c>
      <c r="H4001" s="2" t="b">
        <v>1</v>
      </c>
      <c r="I4001" s="2">
        <v>-1.0</v>
      </c>
      <c r="J4001" s="2" t="b">
        <v>0</v>
      </c>
      <c r="K4001" s="2" t="b">
        <v>0</v>
      </c>
      <c r="L4001" s="2" t="b">
        <v>0</v>
      </c>
      <c r="M4001" s="2" t="b">
        <v>0</v>
      </c>
      <c r="N4001" s="2" t="s">
        <v>33</v>
      </c>
      <c r="O4001" s="2">
        <v>38.0</v>
      </c>
      <c r="P4001" s="2">
        <v>7.0</v>
      </c>
      <c r="Q4001" s="2">
        <v>2.0</v>
      </c>
      <c r="R4001" s="2">
        <v>0.0</v>
      </c>
      <c r="S4001" s="3" t="s">
        <v>16251</v>
      </c>
      <c r="T4001" s="2" t="s">
        <v>16252</v>
      </c>
      <c r="Y4001" s="4" t="str">
        <f>IFERROR(__xludf.DUMMYFUNCTION("""COMPUTED_VALUE"""),"6.8322014")</f>
        <v>6.8322014</v>
      </c>
      <c r="Z4001" s="4" t="str">
        <f>IFERROR(__xludf.DUMMYFUNCTION("""COMPUTED_VALUE"""),"3.6319131")</f>
        <v>3.6319131</v>
      </c>
      <c r="AA4001" s="4" t="str">
        <f t="shared" si="1"/>
        <v>Neighbor</v>
      </c>
      <c r="AC4001" s="4">
        <f>IFERROR(__xludf.DUMMYFUNCTION("IFERROR(ABS(O4001-AVERAGE(FILTER(O4001:O8069,AA4001:AA8069=""Neighbor""))) / STDEV(FILTER(O4001:O8069, AA4001:AA8069 =""Neighbor"")), """")"),0.2649665493636647)</f>
        <v>0.2649665494</v>
      </c>
      <c r="AF4001" s="2">
        <f>IFERROR(__xludf.DUMMYFUNCTION("IFERROR(ABS(R4001-AVERAGE(FILTER(R4001:R8069,AA4001:AA8069=""Neighbor""))) / STDEV(FILTER(R4001:R8069, AA4001:AA8069 =""Neighbor"")), """")"),0.255956298680813)</f>
        <v>0.2559562987</v>
      </c>
    </row>
    <row r="4002">
      <c r="A4002" s="2" t="s">
        <v>28</v>
      </c>
      <c r="B4002" s="2" t="s">
        <v>10071</v>
      </c>
      <c r="C4002" s="2" t="s">
        <v>10377</v>
      </c>
      <c r="D4002" s="2" t="s">
        <v>16253</v>
      </c>
      <c r="E4002" s="2" t="s">
        <v>16254</v>
      </c>
      <c r="F4002" s="2">
        <v>75.0</v>
      </c>
      <c r="G4002" s="2">
        <v>133.0</v>
      </c>
      <c r="H4002" s="2" t="b">
        <v>1</v>
      </c>
      <c r="I4002" s="2">
        <v>-1.0</v>
      </c>
      <c r="J4002" s="2" t="b">
        <v>0</v>
      </c>
      <c r="K4002" s="2" t="b">
        <v>0</v>
      </c>
      <c r="L4002" s="2" t="b">
        <v>0</v>
      </c>
      <c r="M4002" s="2" t="b">
        <v>0</v>
      </c>
      <c r="N4002" s="2" t="s">
        <v>33</v>
      </c>
      <c r="O4002" s="2">
        <v>29.0</v>
      </c>
      <c r="P4002" s="2">
        <v>30.0</v>
      </c>
      <c r="Q4002" s="2">
        <v>10.0</v>
      </c>
      <c r="R4002" s="2">
        <v>0.0</v>
      </c>
      <c r="S4002" s="3" t="s">
        <v>16255</v>
      </c>
      <c r="T4002" s="2" t="s">
        <v>16256</v>
      </c>
      <c r="Y4002" s="4" t="str">
        <f>IFERROR(__xludf.DUMMYFUNCTION("""COMPUTED_VALUE"""),"6.8322014")</f>
        <v>6.8322014</v>
      </c>
      <c r="Z4002" s="4" t="str">
        <f>IFERROR(__xludf.DUMMYFUNCTION("""COMPUTED_VALUE"""),"3.6319131")</f>
        <v>3.6319131</v>
      </c>
      <c r="AA4002" s="4" t="str">
        <f t="shared" si="1"/>
        <v>Neighbor</v>
      </c>
      <c r="AC4002" s="4">
        <f>IFERROR(__xludf.DUMMYFUNCTION("IFERROR(ABS(O4002-AVERAGE(FILTER(O4002:O8070,AA4002:AA8070=""Neighbor""))) / STDEV(FILTER(O4002:O8070, AA4002:AA8070 =""Neighbor"")), """")"),0.08256464317902769)</f>
        <v>0.08256464318</v>
      </c>
      <c r="AF4002" s="2">
        <f>IFERROR(__xludf.DUMMYFUNCTION("IFERROR(ABS(R4002-AVERAGE(FILTER(R4002:R8070,AA4002:AA8070=""Neighbor""))) / STDEV(FILTER(R4002:R8070, AA4002:AA8070 =""Neighbor"")), """")"),0.25973124082465987)</f>
        <v>0.2597312408</v>
      </c>
    </row>
    <row r="4003">
      <c r="A4003" s="2" t="s">
        <v>28</v>
      </c>
      <c r="B4003" s="2" t="s">
        <v>10071</v>
      </c>
      <c r="C4003" s="2" t="s">
        <v>10377</v>
      </c>
      <c r="D4003" s="2" t="s">
        <v>16257</v>
      </c>
      <c r="E4003" s="2" t="s">
        <v>16258</v>
      </c>
      <c r="F4003" s="2">
        <v>45.0</v>
      </c>
      <c r="G4003" s="2">
        <v>96.0</v>
      </c>
      <c r="H4003" s="2" t="b">
        <v>1</v>
      </c>
      <c r="I4003" s="2">
        <v>-1.0</v>
      </c>
      <c r="J4003" s="2" t="b">
        <v>0</v>
      </c>
      <c r="K4003" s="2" t="b">
        <v>0</v>
      </c>
      <c r="L4003" s="2" t="b">
        <v>0</v>
      </c>
      <c r="M4003" s="2" t="b">
        <v>0</v>
      </c>
      <c r="N4003" s="2" t="s">
        <v>33</v>
      </c>
      <c r="O4003" s="2">
        <v>25.0</v>
      </c>
      <c r="P4003" s="2">
        <v>6.0</v>
      </c>
      <c r="Q4003" s="2">
        <v>8.0</v>
      </c>
      <c r="R4003" s="2">
        <v>0.0</v>
      </c>
      <c r="S4003" s="3" t="s">
        <v>16259</v>
      </c>
      <c r="T4003" s="2" t="s">
        <v>16260</v>
      </c>
      <c r="Y4003" s="4" t="str">
        <f>IFERROR(__xludf.DUMMYFUNCTION("""COMPUTED_VALUE"""),"6.8322014")</f>
        <v>6.8322014</v>
      </c>
      <c r="Z4003" s="4" t="str">
        <f>IFERROR(__xludf.DUMMYFUNCTION("""COMPUTED_VALUE"""),"3.6319131")</f>
        <v>3.6319131</v>
      </c>
      <c r="AA4003" s="4" t="str">
        <f t="shared" si="1"/>
        <v>Neighbor</v>
      </c>
      <c r="AC4003" s="4">
        <f>IFERROR(__xludf.DUMMYFUNCTION("IFERROR(ABS(O4003-AVERAGE(FILTER(O4003:O8071,AA4003:AA8071=""Neighbor""))) / STDEV(FILTER(O4003:O8071, AA4003:AA8071 =""Neighbor"")), """")"),0.23764744240869867)</f>
        <v>0.2376474424</v>
      </c>
      <c r="AF4003" s="2">
        <f>IFERROR(__xludf.DUMMYFUNCTION("IFERROR(ABS(R4003-AVERAGE(FILTER(R4003:R8071,AA4003:AA8071=""Neighbor""))) / STDEV(FILTER(R4003:R8071, AA4003:AA8071 =""Neighbor"")), """")"),0.2636785502963753)</f>
        <v>0.2636785503</v>
      </c>
    </row>
    <row r="4004">
      <c r="A4004" s="2" t="s">
        <v>28</v>
      </c>
      <c r="B4004" s="2" t="s">
        <v>10071</v>
      </c>
      <c r="C4004" s="2" t="s">
        <v>10377</v>
      </c>
      <c r="D4004" s="2" t="s">
        <v>16261</v>
      </c>
      <c r="E4004" s="2" t="s">
        <v>16262</v>
      </c>
      <c r="F4004" s="2">
        <v>62.0</v>
      </c>
      <c r="G4004" s="2">
        <v>153.0</v>
      </c>
      <c r="H4004" s="2" t="b">
        <v>1</v>
      </c>
      <c r="I4004" s="2">
        <v>-1.0</v>
      </c>
      <c r="J4004" s="2" t="b">
        <v>0</v>
      </c>
      <c r="K4004" s="2" t="b">
        <v>0</v>
      </c>
      <c r="L4004" s="2" t="b">
        <v>0</v>
      </c>
      <c r="M4004" s="2" t="b">
        <v>0</v>
      </c>
      <c r="N4004" s="2" t="s">
        <v>33</v>
      </c>
      <c r="O4004" s="2">
        <v>45.0</v>
      </c>
      <c r="P4004" s="2">
        <v>7.0</v>
      </c>
      <c r="Q4004" s="2">
        <v>4.0</v>
      </c>
      <c r="R4004" s="2">
        <v>0.0</v>
      </c>
      <c r="S4004" s="3" t="s">
        <v>16263</v>
      </c>
      <c r="T4004" s="2" t="s">
        <v>16264</v>
      </c>
      <c r="Y4004" s="4" t="str">
        <f>IFERROR(__xludf.DUMMYFUNCTION("""COMPUTED_VALUE"""),"6.8322014")</f>
        <v>6.8322014</v>
      </c>
      <c r="Z4004" s="4" t="str">
        <f>IFERROR(__xludf.DUMMYFUNCTION("""COMPUTED_VALUE"""),"3.6319131")</f>
        <v>3.6319131</v>
      </c>
      <c r="AA4004" s="4" t="str">
        <f t="shared" si="1"/>
        <v>Neighbor</v>
      </c>
      <c r="AC4004" s="4">
        <f>IFERROR(__xludf.DUMMYFUNCTION("IFERROR(ABS(O4004-AVERAGE(FILTER(O4004:O8072,AA4004:AA8072=""Neighbor""))) / STDEV(FILTER(O4004:O8072, AA4004:AA8072 =""Neighbor"")), """")"),0.5171214898898158)</f>
        <v>0.5171214899</v>
      </c>
      <c r="AF4004" s="2">
        <f>IFERROR(__xludf.DUMMYFUNCTION("IFERROR(ABS(R4004-AVERAGE(FILTER(R4004:R8072,AA4004:AA8072=""Neighbor""))) / STDEV(FILTER(R4004:R8072, AA4004:AA8072 =""Neighbor"")), """")"),0.2678117783933813)</f>
        <v>0.2678117784</v>
      </c>
    </row>
    <row r="4005">
      <c r="A4005" s="2" t="s">
        <v>28</v>
      </c>
      <c r="B4005" s="2" t="s">
        <v>10071</v>
      </c>
      <c r="C4005" s="2" t="s">
        <v>10377</v>
      </c>
      <c r="D4005" s="2" t="s">
        <v>16265</v>
      </c>
      <c r="E4005" s="2" t="s">
        <v>16266</v>
      </c>
      <c r="F4005" s="2">
        <v>132.0</v>
      </c>
      <c r="G4005" s="2">
        <v>355.0</v>
      </c>
      <c r="H4005" s="2" t="b">
        <v>1</v>
      </c>
      <c r="I4005" s="2">
        <v>-1.0</v>
      </c>
      <c r="J4005" s="2" t="b">
        <v>0</v>
      </c>
      <c r="K4005" s="2" t="b">
        <v>0</v>
      </c>
      <c r="L4005" s="2" t="b">
        <v>0</v>
      </c>
      <c r="M4005" s="2" t="b">
        <v>0</v>
      </c>
      <c r="N4005" s="2" t="s">
        <v>33</v>
      </c>
      <c r="O4005" s="2">
        <v>79.0</v>
      </c>
      <c r="P4005" s="2">
        <v>38.0</v>
      </c>
      <c r="Q4005" s="2">
        <v>7.0</v>
      </c>
      <c r="R4005" s="2">
        <v>0.0</v>
      </c>
      <c r="S4005" s="3" t="s">
        <v>16267</v>
      </c>
      <c r="T4005" s="2" t="s">
        <v>16268</v>
      </c>
      <c r="Y4005" s="4" t="str">
        <f>IFERROR(__xludf.DUMMYFUNCTION("""COMPUTED_VALUE"""),"6.8322014")</f>
        <v>6.8322014</v>
      </c>
      <c r="Z4005" s="4" t="str">
        <f>IFERROR(__xludf.DUMMYFUNCTION("""COMPUTED_VALUE"""),"3.6319131")</f>
        <v>3.6319131</v>
      </c>
      <c r="AA4005" s="4" t="str">
        <f t="shared" si="1"/>
        <v>Not Neighbor</v>
      </c>
      <c r="AC4005" s="4">
        <f>IFERROR(__xludf.DUMMYFUNCTION("IFERROR(ABS(O4005-AVERAGE(FILTER(O4005:O8073,AA4005:AA8073=""Neighbor""))) / STDEV(FILTER(O4005:O8073, AA4005:AA8073 =""Neighbor"")), """")"),1.8017132833622531)</f>
        <v>1.801713283</v>
      </c>
      <c r="AF4005" s="2">
        <f>IFERROR(__xludf.DUMMYFUNCTION("IFERROR(ABS(R4005-AVERAGE(FILTER(R4005:R8073,AA4005:AA8073=""Neighbor""))) / STDEV(FILTER(R4005:R8073, AA4005:AA8073 =""Neighbor"")), """")"),0.2721460189998971)</f>
        <v>0.272146019</v>
      </c>
    </row>
    <row r="4006">
      <c r="A4006" s="2" t="s">
        <v>28</v>
      </c>
      <c r="B4006" s="2" t="s">
        <v>10071</v>
      </c>
      <c r="C4006" s="2" t="s">
        <v>10377</v>
      </c>
      <c r="D4006" s="2" t="s">
        <v>16269</v>
      </c>
      <c r="E4006" s="2" t="s">
        <v>16270</v>
      </c>
      <c r="F4006" s="2">
        <v>100.0</v>
      </c>
      <c r="G4006" s="2">
        <v>304.0</v>
      </c>
      <c r="H4006" s="2" t="b">
        <v>1</v>
      </c>
      <c r="I4006" s="2">
        <v>-1.0</v>
      </c>
      <c r="J4006" s="2" t="b">
        <v>0</v>
      </c>
      <c r="K4006" s="2" t="b">
        <v>0</v>
      </c>
      <c r="L4006" s="2" t="b">
        <v>0</v>
      </c>
      <c r="M4006" s="2" t="b">
        <v>0</v>
      </c>
      <c r="N4006" s="2" t="s">
        <v>33</v>
      </c>
      <c r="O4006" s="2">
        <v>41.0</v>
      </c>
      <c r="P4006" s="2">
        <v>44.0</v>
      </c>
      <c r="Q4006" s="2">
        <v>8.0</v>
      </c>
      <c r="R4006" s="2">
        <v>0.0</v>
      </c>
      <c r="S4006" s="3" t="s">
        <v>16271</v>
      </c>
      <c r="T4006" s="2" t="s">
        <v>16272</v>
      </c>
      <c r="Y4006" s="4" t="str">
        <f>IFERROR(__xludf.DUMMYFUNCTION("""COMPUTED_VALUE"""),"6.6994255")</f>
        <v>6.6994255</v>
      </c>
      <c r="Z4006" s="4" t="str">
        <f>IFERROR(__xludf.DUMMYFUNCTION("""COMPUTED_VALUE"""),"3.5155086")</f>
        <v>3.5155086</v>
      </c>
      <c r="AA4006" s="4" t="str">
        <f t="shared" si="1"/>
        <v>Not Neighbor</v>
      </c>
      <c r="AC4006" s="4">
        <f>IFERROR(__xludf.DUMMYFUNCTION("IFERROR(ABS(O4006-AVERAGE(FILTER(O4006:O8074,AA4006:AA8074=""Neighbor""))) / STDEV(FILTER(O4006:O8074, AA4006:AA8074 =""Neighbor"")), """")"),0.37721175373383975)</f>
        <v>0.3772117537</v>
      </c>
      <c r="AF4006" s="2">
        <f>IFERROR(__xludf.DUMMYFUNCTION("IFERROR(ABS(R4006-AVERAGE(FILTER(R4006:R8074,AA4006:AA8074=""Neighbor""))) / STDEV(FILTER(R4006:R8074, AA4006:AA8074 =""Neighbor"")), """")"),0.2721460189998971)</f>
        <v>0.272146019</v>
      </c>
    </row>
    <row r="4007">
      <c r="A4007" s="2" t="s">
        <v>28</v>
      </c>
      <c r="B4007" s="2" t="s">
        <v>10071</v>
      </c>
      <c r="C4007" s="2" t="s">
        <v>10377</v>
      </c>
      <c r="D4007" s="2" t="s">
        <v>16273</v>
      </c>
      <c r="E4007" s="2" t="s">
        <v>16274</v>
      </c>
      <c r="F4007" s="2">
        <v>17.0</v>
      </c>
      <c r="G4007" s="2">
        <v>66.0</v>
      </c>
      <c r="H4007" s="2" t="b">
        <v>1</v>
      </c>
      <c r="I4007" s="2">
        <v>-1.0</v>
      </c>
      <c r="J4007" s="2" t="b">
        <v>0</v>
      </c>
      <c r="K4007" s="2" t="b">
        <v>0</v>
      </c>
      <c r="L4007" s="2" t="b">
        <v>0</v>
      </c>
      <c r="M4007" s="2" t="b">
        <v>0</v>
      </c>
      <c r="N4007" s="2" t="s">
        <v>33</v>
      </c>
      <c r="O4007" s="2">
        <v>5.0</v>
      </c>
      <c r="P4007" s="2">
        <v>5.0</v>
      </c>
      <c r="Q4007" s="2">
        <v>7.0</v>
      </c>
      <c r="R4007" s="2">
        <v>0.0</v>
      </c>
      <c r="S4007" s="3" t="s">
        <v>16275</v>
      </c>
      <c r="T4007" s="2" t="s">
        <v>16276</v>
      </c>
      <c r="Y4007" s="4" t="str">
        <f>IFERROR(__xludf.DUMMYFUNCTION("""COMPUTED_VALUE"""),"6.8322014")</f>
        <v>6.8322014</v>
      </c>
      <c r="Z4007" s="4" t="str">
        <f>IFERROR(__xludf.DUMMYFUNCTION("""COMPUTED_VALUE"""),"3.6319131")</f>
        <v>3.6319131</v>
      </c>
      <c r="AA4007" s="4" t="str">
        <f t="shared" si="1"/>
        <v>Neighbor</v>
      </c>
      <c r="AC4007" s="4">
        <f>IFERROR(__xludf.DUMMYFUNCTION("IFERROR(ABS(O4007-AVERAGE(FILTER(O4007:O8075,AA4007:AA8075=""Neighbor""))) / STDEV(FILTER(O4007:O8075, AA4007:AA8075 =""Neighbor"")), """")"),0.9723160111772887)</f>
        <v>0.9723160112</v>
      </c>
      <c r="AF4007" s="2">
        <f>IFERROR(__xludf.DUMMYFUNCTION("IFERROR(ABS(R4007-AVERAGE(FILTER(R4007:R8075,AA4007:AA8075=""Neighbor""))) / STDEV(FILTER(R4007:R8075, AA4007:AA8075 =""Neighbor"")), """")"),0.2721460189998971)</f>
        <v>0.272146019</v>
      </c>
    </row>
    <row r="4008">
      <c r="A4008" s="2" t="s">
        <v>28</v>
      </c>
      <c r="B4008" s="2" t="s">
        <v>10071</v>
      </c>
      <c r="C4008" s="2" t="s">
        <v>10377</v>
      </c>
      <c r="D4008" s="2" t="s">
        <v>16277</v>
      </c>
      <c r="E4008" s="2" t="s">
        <v>16278</v>
      </c>
      <c r="F4008" s="2">
        <v>21.0</v>
      </c>
      <c r="G4008" s="2">
        <v>57.0</v>
      </c>
      <c r="H4008" s="2" t="b">
        <v>1</v>
      </c>
      <c r="I4008" s="2">
        <v>-1.0</v>
      </c>
      <c r="J4008" s="2" t="b">
        <v>0</v>
      </c>
      <c r="K4008" s="2" t="b">
        <v>1</v>
      </c>
      <c r="L4008" s="2" t="b">
        <v>0</v>
      </c>
      <c r="M4008" s="2" t="b">
        <v>0</v>
      </c>
      <c r="N4008" s="2" t="s">
        <v>33</v>
      </c>
      <c r="O4008" s="2">
        <v>8.0</v>
      </c>
      <c r="P4008" s="2">
        <v>8.0</v>
      </c>
      <c r="Q4008" s="2">
        <v>0.0</v>
      </c>
      <c r="R4008" s="2">
        <v>0.0</v>
      </c>
      <c r="S4008" s="3" t="s">
        <v>16279</v>
      </c>
      <c r="T4008" s="2" t="s">
        <v>16280</v>
      </c>
      <c r="Y4008" s="4" t="str">
        <f>IFERROR(__xludf.DUMMYFUNCTION("""COMPUTED_VALUE"""),"6.8322014")</f>
        <v>6.8322014</v>
      </c>
      <c r="Z4008" s="4" t="str">
        <f>IFERROR(__xludf.DUMMYFUNCTION("""COMPUTED_VALUE"""),"3.6319131")</f>
        <v>3.6319131</v>
      </c>
      <c r="AA4008" s="4" t="str">
        <f t="shared" si="1"/>
        <v>Not Neighbor</v>
      </c>
      <c r="AC4008" s="4">
        <f>IFERROR(__xludf.DUMMYFUNCTION("IFERROR(ABS(O4008-AVERAGE(FILTER(O4008:O8076,AA4008:AA8076=""Neighbor""))) / STDEV(FILTER(O4008:O8076, AA4008:AA8076 =""Neighbor"")), """")"),0.8908625667602812)</f>
        <v>0.8908625668</v>
      </c>
      <c r="AF4008" s="2">
        <f>IFERROR(__xludf.DUMMYFUNCTION("IFERROR(ABS(R4008-AVERAGE(FILTER(R4008:R8076,AA4008:AA8076=""Neighbor""))) / STDEV(FILTER(R4008:R8076, AA4008:AA8076 =""Neighbor"")), """")"),0.2766981423582086)</f>
        <v>0.2766981424</v>
      </c>
    </row>
    <row r="4009">
      <c r="A4009" s="2" t="s">
        <v>28</v>
      </c>
      <c r="B4009" s="2" t="s">
        <v>10071</v>
      </c>
      <c r="C4009" s="2" t="s">
        <v>10377</v>
      </c>
      <c r="D4009" s="2" t="s">
        <v>16281</v>
      </c>
      <c r="E4009" s="2" t="s">
        <v>16282</v>
      </c>
      <c r="F4009" s="2">
        <v>80.0</v>
      </c>
      <c r="G4009" s="2">
        <v>213.0</v>
      </c>
      <c r="H4009" s="2" t="b">
        <v>1</v>
      </c>
      <c r="I4009" s="2">
        <v>-1.0</v>
      </c>
      <c r="J4009" s="2" t="b">
        <v>0</v>
      </c>
      <c r="K4009" s="2" t="b">
        <v>1</v>
      </c>
      <c r="L4009" s="2" t="b">
        <v>0</v>
      </c>
      <c r="M4009" s="2" t="b">
        <v>0</v>
      </c>
      <c r="N4009" s="2" t="s">
        <v>33</v>
      </c>
      <c r="O4009" s="2">
        <v>30.0</v>
      </c>
      <c r="P4009" s="2">
        <v>38.0</v>
      </c>
      <c r="Q4009" s="2">
        <v>7.0</v>
      </c>
      <c r="R4009" s="2">
        <v>1.0</v>
      </c>
      <c r="S4009" s="3" t="s">
        <v>16283</v>
      </c>
      <c r="T4009" s="2" t="s">
        <v>16284</v>
      </c>
      <c r="Y4009" s="4" t="str">
        <f>IFERROR(__xludf.DUMMYFUNCTION("""COMPUTED_VALUE"""),"6.7776923")</f>
        <v>6.7776923</v>
      </c>
      <c r="Z4009" s="4" t="str">
        <f>IFERROR(__xludf.DUMMYFUNCTION("""COMPUTED_VALUE"""),"3.5675093")</f>
        <v>3.5675093</v>
      </c>
      <c r="AA4009" s="4" t="str">
        <f t="shared" si="1"/>
        <v>Not Neighbor</v>
      </c>
      <c r="AC4009" s="4">
        <f>IFERROR(__xludf.DUMMYFUNCTION("IFERROR(ABS(O4009-AVERAGE(FILTER(O4009:O8077,AA4009:AA8077=""Neighbor""))) / STDEV(FILTER(O4009:O8077, AA4009:AA8077 =""Neighbor"")), """")"),0.0664822811015135)</f>
        <v>0.0664822811</v>
      </c>
      <c r="AF4009" s="2">
        <f>IFERROR(__xludf.DUMMYFUNCTION("IFERROR(ABS(R4009-AVERAGE(FILTER(R4009:R8077,AA4009:AA8077=""Neighbor""))) / STDEV(FILTER(R4009:R8077, AA4009:AA8077 =""Neighbor"")), """")"),1.4388303402626847)</f>
        <v>1.43883034</v>
      </c>
    </row>
    <row r="4010">
      <c r="A4010" s="2" t="s">
        <v>28</v>
      </c>
      <c r="B4010" s="2" t="s">
        <v>10071</v>
      </c>
      <c r="C4010" s="2" t="s">
        <v>10377</v>
      </c>
      <c r="D4010" s="2" t="s">
        <v>16285</v>
      </c>
      <c r="E4010" s="2" t="s">
        <v>16286</v>
      </c>
      <c r="F4010" s="2">
        <v>40.0</v>
      </c>
      <c r="G4010" s="2">
        <v>81.0</v>
      </c>
      <c r="H4010" s="2" t="b">
        <v>1</v>
      </c>
      <c r="I4010" s="2">
        <v>-1.0</v>
      </c>
      <c r="J4010" s="2" t="b">
        <v>0</v>
      </c>
      <c r="K4010" s="2" t="b">
        <v>0</v>
      </c>
      <c r="L4010" s="2" t="b">
        <v>0</v>
      </c>
      <c r="M4010" s="2" t="b">
        <v>0</v>
      </c>
      <c r="N4010" s="2" t="s">
        <v>33</v>
      </c>
      <c r="O4010" s="2">
        <v>23.0</v>
      </c>
      <c r="P4010" s="2">
        <v>9.0</v>
      </c>
      <c r="Q4010" s="2">
        <v>4.0</v>
      </c>
      <c r="R4010" s="2">
        <v>0.0</v>
      </c>
      <c r="S4010" s="3" t="s">
        <v>16287</v>
      </c>
      <c r="T4010" s="2" t="s">
        <v>16288</v>
      </c>
      <c r="Y4010" s="4" t="str">
        <f>IFERROR(__xludf.DUMMYFUNCTION("""COMPUTED_VALUE"""),"6.8322014")</f>
        <v>6.8322014</v>
      </c>
      <c r="Z4010" s="4" t="str">
        <f>IFERROR(__xludf.DUMMYFUNCTION("""COMPUTED_VALUE"""),"3.6319131")</f>
        <v>3.6319131</v>
      </c>
      <c r="AA4010" s="4" t="str">
        <f t="shared" si="1"/>
        <v>Neighbor</v>
      </c>
      <c r="AC4010" s="4">
        <f>IFERROR(__xludf.DUMMYFUNCTION("IFERROR(ABS(O4010-AVERAGE(FILTER(O4010:O8078,AA4010:AA8078=""Neighbor""))) / STDEV(FILTER(O4010:O8078, AA4010:AA8078 =""Neighbor"")), """")"),0.32878509926566685)</f>
        <v>0.3287850993</v>
      </c>
      <c r="AF4010" s="2">
        <f>IFERROR(__xludf.DUMMYFUNCTION("IFERROR(ABS(R4010-AVERAGE(FILTER(R4010:R8078,AA4010:AA8078=""Neighbor""))) / STDEV(FILTER(R4010:R8078, AA4010:AA8078 =""Neighbor"")), """")"),0.2766981423582086)</f>
        <v>0.2766981424</v>
      </c>
    </row>
    <row r="4011">
      <c r="A4011" s="2" t="s">
        <v>28</v>
      </c>
      <c r="B4011" s="2" t="s">
        <v>10071</v>
      </c>
      <c r="C4011" s="2" t="s">
        <v>10377</v>
      </c>
      <c r="D4011" s="2" t="s">
        <v>16289</v>
      </c>
      <c r="E4011" s="2" t="s">
        <v>16290</v>
      </c>
      <c r="F4011" s="2">
        <v>156.0</v>
      </c>
      <c r="G4011" s="2">
        <v>750.0</v>
      </c>
      <c r="H4011" s="2" t="b">
        <v>1</v>
      </c>
      <c r="I4011" s="2">
        <v>-1.0</v>
      </c>
      <c r="J4011" s="2" t="b">
        <v>0</v>
      </c>
      <c r="K4011" s="2" t="b">
        <v>0</v>
      </c>
      <c r="L4011" s="2" t="b">
        <v>0</v>
      </c>
      <c r="M4011" s="2" t="b">
        <v>0</v>
      </c>
      <c r="N4011" s="2" t="s">
        <v>33</v>
      </c>
      <c r="O4011" s="2">
        <v>78.0</v>
      </c>
      <c r="P4011" s="2">
        <v>30.0</v>
      </c>
      <c r="Q4011" s="2">
        <v>13.0</v>
      </c>
      <c r="R4011" s="2">
        <v>0.0</v>
      </c>
      <c r="S4011" s="3" t="s">
        <v>16291</v>
      </c>
      <c r="T4011" s="2" t="s">
        <v>16292</v>
      </c>
      <c r="Y4011" s="4" t="str">
        <f>IFERROR(__xludf.DUMMYFUNCTION("""COMPUTED_VALUE"""),"6.8322014")</f>
        <v>6.8322014</v>
      </c>
      <c r="Z4011" s="4" t="str">
        <f>IFERROR(__xludf.DUMMYFUNCTION("""COMPUTED_VALUE"""),"3.6319131")</f>
        <v>3.6319131</v>
      </c>
      <c r="AA4011" s="4" t="str">
        <f t="shared" si="1"/>
        <v>Not Neighbor</v>
      </c>
      <c r="AC4011" s="4">
        <f>IFERROR(__xludf.DUMMYFUNCTION("IFERROR(ABS(O4011-AVERAGE(FILTER(O4011:O8079,AA4011:AA8079=""Neighbor""))) / STDEV(FILTER(O4011:O8079, AA4011:AA8079 =""Neighbor"")), """")"),1.6954355806664814)</f>
        <v>1.695435581</v>
      </c>
      <c r="AF4011" s="2">
        <f>IFERROR(__xludf.DUMMYFUNCTION("IFERROR(ABS(R4011-AVERAGE(FILTER(R4011:R8079,AA4011:AA8079=""Neighbor""))) / STDEV(FILTER(R4011:R8079, AA4011:AA8079 =""Neighbor"")), """")"),0.2814870737309186)</f>
        <v>0.2814870737</v>
      </c>
    </row>
    <row r="4012">
      <c r="A4012" s="2" t="s">
        <v>28</v>
      </c>
      <c r="B4012" s="2" t="s">
        <v>10071</v>
      </c>
      <c r="C4012" s="2" t="s">
        <v>10377</v>
      </c>
      <c r="D4012" s="2" t="s">
        <v>16293</v>
      </c>
      <c r="E4012" s="2" t="s">
        <v>16294</v>
      </c>
      <c r="F4012" s="2">
        <v>188.0</v>
      </c>
      <c r="G4012" s="2">
        <v>602.0</v>
      </c>
      <c r="H4012" s="2" t="b">
        <v>1</v>
      </c>
      <c r="I4012" s="2">
        <v>-1.0</v>
      </c>
      <c r="J4012" s="2" t="b">
        <v>0</v>
      </c>
      <c r="K4012" s="2" t="b">
        <v>0</v>
      </c>
      <c r="L4012" s="2" t="b">
        <v>0</v>
      </c>
      <c r="M4012" s="2" t="b">
        <v>0</v>
      </c>
      <c r="N4012" s="2" t="s">
        <v>33</v>
      </c>
      <c r="O4012" s="2">
        <v>110.0</v>
      </c>
      <c r="P4012" s="2">
        <v>36.0</v>
      </c>
      <c r="Q4012" s="2">
        <v>25.0</v>
      </c>
      <c r="R4012" s="2">
        <v>1.0</v>
      </c>
      <c r="S4012" s="3" t="s">
        <v>16295</v>
      </c>
      <c r="T4012" s="2" t="s">
        <v>16296</v>
      </c>
      <c r="Y4012" s="4" t="str">
        <f>IFERROR(__xludf.DUMMYFUNCTION("""COMPUTED_VALUE"""),"6.8085443")</f>
        <v>6.8085443</v>
      </c>
      <c r="Z4012" s="4" t="str">
        <f>IFERROR(__xludf.DUMMYFUNCTION("""COMPUTED_VALUE"""),"3.5860212")</f>
        <v>3.5860212</v>
      </c>
      <c r="AA4012" s="4" t="str">
        <f t="shared" si="1"/>
        <v>Not Neighbor</v>
      </c>
      <c r="AC4012" s="4">
        <f>IFERROR(__xludf.DUMMYFUNCTION("IFERROR(ABS(O4012-AVERAGE(FILTER(O4012:O8080,AA4012:AA8080=""Neighbor""))) / STDEV(FILTER(O4012:O8080, AA4012:AA8080 =""Neighbor"")), """")"),2.8765808327998794)</f>
        <v>2.876580833</v>
      </c>
      <c r="AF4012" s="2">
        <f>IFERROR(__xludf.DUMMYFUNCTION("IFERROR(ABS(R4012-AVERAGE(FILTER(R4012:R8080,AA4012:AA8080=""Neighbor""))) / STDEV(FILTER(R4012:R8080, AA4012:AA8080 =""Neighbor"")), """")"),1.407435368654593)</f>
        <v>1.407435369</v>
      </c>
    </row>
    <row r="4013">
      <c r="A4013" s="2" t="s">
        <v>28</v>
      </c>
      <c r="B4013" s="2" t="s">
        <v>10071</v>
      </c>
      <c r="C4013" s="2" t="s">
        <v>10377</v>
      </c>
      <c r="D4013" s="2" t="s">
        <v>16297</v>
      </c>
      <c r="E4013" s="2" t="s">
        <v>16298</v>
      </c>
      <c r="F4013" s="2">
        <v>24.0</v>
      </c>
      <c r="G4013" s="2">
        <v>59.0</v>
      </c>
      <c r="H4013" s="2" t="b">
        <v>1</v>
      </c>
      <c r="I4013" s="2">
        <v>-1.0</v>
      </c>
      <c r="J4013" s="2" t="b">
        <v>0</v>
      </c>
      <c r="K4013" s="2" t="b">
        <v>0</v>
      </c>
      <c r="L4013" s="2" t="b">
        <v>0</v>
      </c>
      <c r="M4013" s="2" t="b">
        <v>0</v>
      </c>
      <c r="N4013" s="2" t="s">
        <v>33</v>
      </c>
      <c r="O4013" s="2">
        <v>13.0</v>
      </c>
      <c r="P4013" s="2">
        <v>5.0</v>
      </c>
      <c r="Q4013" s="2">
        <v>3.0</v>
      </c>
      <c r="R4013" s="2">
        <v>0.0</v>
      </c>
      <c r="S4013" s="3" t="s">
        <v>16299</v>
      </c>
      <c r="T4013" s="2" t="s">
        <v>16300</v>
      </c>
      <c r="Y4013" s="4" t="str">
        <f>IFERROR(__xludf.DUMMYFUNCTION("""COMPUTED_VALUE"""),"6.8322014")</f>
        <v>6.8322014</v>
      </c>
      <c r="Z4013" s="4" t="str">
        <f>IFERROR(__xludf.DUMMYFUNCTION("""COMPUTED_VALUE"""),"3.6319131")</f>
        <v>3.6319131</v>
      </c>
      <c r="AA4013" s="4" t="str">
        <f t="shared" si="1"/>
        <v>Neighbor</v>
      </c>
      <c r="AC4013" s="4">
        <f>IFERROR(__xludf.DUMMYFUNCTION("IFERROR(ABS(O4013-AVERAGE(FILTER(O4013:O8081,AA4013:AA8081=""Neighbor""))) / STDEV(FILTER(O4013:O8081, AA4013:AA8081 =""Neighbor"")), """")"),0.703765712729483)</f>
        <v>0.7037657127</v>
      </c>
      <c r="AF4013" s="2">
        <f>IFERROR(__xludf.DUMMYFUNCTION("IFERROR(ABS(R4013-AVERAGE(FILTER(R4013:R8081,AA4013:AA8081=""Neighbor""))) / STDEV(FILTER(R4013:R8081, AA4013:AA8081 =""Neighbor"")), """")"),0.2814870737309186)</f>
        <v>0.2814870737</v>
      </c>
    </row>
    <row r="4014">
      <c r="A4014" s="2" t="s">
        <v>28</v>
      </c>
      <c r="B4014" s="2" t="s">
        <v>10071</v>
      </c>
      <c r="C4014" s="2" t="s">
        <v>10377</v>
      </c>
      <c r="D4014" s="2" t="s">
        <v>16301</v>
      </c>
      <c r="E4014" s="2" t="s">
        <v>16302</v>
      </c>
      <c r="F4014" s="2">
        <v>73.0</v>
      </c>
      <c r="G4014" s="2">
        <v>195.0</v>
      </c>
      <c r="H4014" s="2" t="b">
        <v>1</v>
      </c>
      <c r="I4014" s="2">
        <v>-1.0</v>
      </c>
      <c r="J4014" s="2" t="b">
        <v>0</v>
      </c>
      <c r="K4014" s="2" t="b">
        <v>0</v>
      </c>
      <c r="L4014" s="2" t="b">
        <v>0</v>
      </c>
      <c r="M4014" s="2" t="b">
        <v>0</v>
      </c>
      <c r="N4014" s="2" t="s">
        <v>33</v>
      </c>
      <c r="O4014" s="2">
        <v>24.0</v>
      </c>
      <c r="P4014" s="2">
        <v>22.0</v>
      </c>
      <c r="Q4014" s="2">
        <v>22.0</v>
      </c>
      <c r="R4014" s="2">
        <v>0.0</v>
      </c>
      <c r="S4014" s="3" t="s">
        <v>16303</v>
      </c>
      <c r="T4014" s="2" t="s">
        <v>16304</v>
      </c>
      <c r="Y4014" s="4" t="str">
        <f>IFERROR(__xludf.DUMMYFUNCTION("""COMPUTED_VALUE"""),"6.8322014")</f>
        <v>6.8322014</v>
      </c>
      <c r="Z4014" s="4" t="str">
        <f>IFERROR(__xludf.DUMMYFUNCTION("""COMPUTED_VALUE"""),"3.6319131")</f>
        <v>3.6319131</v>
      </c>
      <c r="AA4014" s="4" t="str">
        <f t="shared" si="1"/>
        <v>Neighbor</v>
      </c>
      <c r="AC4014" s="4">
        <f>IFERROR(__xludf.DUMMYFUNCTION("IFERROR(ABS(O4014-AVERAGE(FILTER(O4014:O8082,AA4014:AA8082=""Neighbor""))) / STDEV(FILTER(O4014:O8082, AA4014:AA8082 =""Neighbor"")), """")"),0.31924688701558157)</f>
        <v>0.319246887</v>
      </c>
      <c r="AF4014" s="2">
        <f>IFERROR(__xludf.DUMMYFUNCTION("IFERROR(ABS(R4014-AVERAGE(FILTER(R4014:R8082,AA4014:AA8082=""Neighbor""))) / STDEV(FILTER(R4014:R8082, AA4014:AA8082 =""Neighbor"")), """")"),0.2865341275306264)</f>
        <v>0.2865341275</v>
      </c>
    </row>
    <row r="4015">
      <c r="A4015" s="2" t="s">
        <v>28</v>
      </c>
      <c r="B4015" s="2" t="s">
        <v>10071</v>
      </c>
      <c r="C4015" s="2" t="s">
        <v>10377</v>
      </c>
      <c r="D4015" s="2" t="s">
        <v>16305</v>
      </c>
      <c r="E4015" s="2" t="s">
        <v>16306</v>
      </c>
      <c r="F4015" s="2">
        <v>93.0</v>
      </c>
      <c r="G4015" s="2">
        <v>109.0</v>
      </c>
      <c r="H4015" s="2" t="b">
        <v>1</v>
      </c>
      <c r="I4015" s="2">
        <v>-1.0</v>
      </c>
      <c r="J4015" s="2" t="b">
        <v>0</v>
      </c>
      <c r="K4015" s="2" t="b">
        <v>0</v>
      </c>
      <c r="L4015" s="2" t="b">
        <v>0</v>
      </c>
      <c r="M4015" s="2" t="b">
        <v>0</v>
      </c>
      <c r="N4015" s="2" t="s">
        <v>33</v>
      </c>
      <c r="O4015" s="2">
        <v>64.0</v>
      </c>
      <c r="P4015" s="2">
        <v>7.0</v>
      </c>
      <c r="Q4015" s="2">
        <v>16.0</v>
      </c>
      <c r="R4015" s="2">
        <v>0.0</v>
      </c>
      <c r="S4015" s="3" t="s">
        <v>16307</v>
      </c>
      <c r="T4015" s="2" t="s">
        <v>16308</v>
      </c>
      <c r="Y4015" s="4" t="str">
        <f>IFERROR(__xludf.DUMMYFUNCTION("""COMPUTED_VALUE"""),"6.8322014")</f>
        <v>6.8322014</v>
      </c>
      <c r="Z4015" s="4" t="str">
        <f>IFERROR(__xludf.DUMMYFUNCTION("""COMPUTED_VALUE"""),"3.6319131")</f>
        <v>3.6319131</v>
      </c>
      <c r="AA4015" s="4" t="str">
        <f t="shared" si="1"/>
        <v>Not Neighbor</v>
      </c>
      <c r="AC4015" s="4">
        <f>IFERROR(__xludf.DUMMYFUNCTION("IFERROR(ABS(O4015-AVERAGE(FILTER(O4015:O8083,AA4015:AA8083=""Neighbor""))) / STDEV(FILTER(O4015:O8083, AA4015:AA8083 =""Neighbor"")), """")"),1.1147776705895494)</f>
        <v>1.114777671</v>
      </c>
      <c r="AF4015" s="2">
        <f>IFERROR(__xludf.DUMMYFUNCTION("IFERROR(ABS(R4015-AVERAGE(FILTER(R4015:R8083,AA4015:AA8083=""Neighbor""))) / STDEV(FILTER(R4015:R8083, AA4015:AA8083 =""Neighbor"")), """")"),0.2918634104827062)</f>
        <v>0.2918634105</v>
      </c>
    </row>
    <row r="4016">
      <c r="A4016" s="2" t="s">
        <v>28</v>
      </c>
      <c r="B4016" s="2" t="s">
        <v>10071</v>
      </c>
      <c r="C4016" s="2" t="s">
        <v>10377</v>
      </c>
      <c r="D4016" s="2" t="s">
        <v>16309</v>
      </c>
      <c r="E4016" s="2" t="s">
        <v>16310</v>
      </c>
      <c r="F4016" s="2">
        <v>57.0</v>
      </c>
      <c r="G4016" s="2">
        <v>110.0</v>
      </c>
      <c r="H4016" s="2" t="b">
        <v>1</v>
      </c>
      <c r="I4016" s="2">
        <v>-1.0</v>
      </c>
      <c r="J4016" s="2" t="b">
        <v>0</v>
      </c>
      <c r="K4016" s="2" t="b">
        <v>0</v>
      </c>
      <c r="L4016" s="2" t="b">
        <v>0</v>
      </c>
      <c r="M4016" s="2" t="b">
        <v>0</v>
      </c>
      <c r="N4016" s="2" t="s">
        <v>33</v>
      </c>
      <c r="O4016" s="2">
        <v>21.0</v>
      </c>
      <c r="P4016" s="2">
        <v>26.0</v>
      </c>
      <c r="Q4016" s="2">
        <v>3.0</v>
      </c>
      <c r="R4016" s="2">
        <v>0.0</v>
      </c>
      <c r="S4016" s="3" t="s">
        <v>16311</v>
      </c>
      <c r="T4016" s="2" t="s">
        <v>16312</v>
      </c>
      <c r="Y4016" s="4" t="str">
        <f>IFERROR(__xludf.DUMMYFUNCTION("""COMPUTED_VALUE"""),"6.7714263")</f>
        <v>6.7714263</v>
      </c>
      <c r="Z4016" s="4" t="str">
        <f>IFERROR(__xludf.DUMMYFUNCTION("""COMPUTED_VALUE"""),"3.5332049")</f>
        <v>3.5332049</v>
      </c>
      <c r="AA4016" s="4" t="str">
        <f t="shared" si="1"/>
        <v>Not Neighbor</v>
      </c>
      <c r="AC4016" s="4">
        <f>IFERROR(__xludf.DUMMYFUNCTION("IFERROR(ABS(O4016-AVERAGE(FILTER(O4016:O8084,AA4016:AA8084=""Neighbor""))) / STDEV(FILTER(O4016:O8084, AA4016:AA8084 =""Neighbor"")), """")"),0.43331035177471516)</f>
        <v>0.4333103518</v>
      </c>
      <c r="AF4016" s="2">
        <f>IFERROR(__xludf.DUMMYFUNCTION("IFERROR(ABS(R4016-AVERAGE(FILTER(R4016:R8084,AA4016:AA8084=""Neighbor""))) / STDEV(FILTER(R4016:R8084, AA4016:AA8084 =""Neighbor"")), """")"),0.2918634104827062)</f>
        <v>0.2918634105</v>
      </c>
    </row>
    <row r="4017">
      <c r="A4017" s="2" t="s">
        <v>28</v>
      </c>
      <c r="B4017" s="2" t="s">
        <v>10071</v>
      </c>
      <c r="C4017" s="2" t="s">
        <v>10377</v>
      </c>
      <c r="D4017" s="2" t="s">
        <v>16313</v>
      </c>
      <c r="E4017" s="2" t="s">
        <v>16314</v>
      </c>
      <c r="F4017" s="2">
        <v>212.0</v>
      </c>
      <c r="G4017" s="2">
        <v>750.0</v>
      </c>
      <c r="H4017" s="2" t="b">
        <v>1</v>
      </c>
      <c r="I4017" s="2">
        <v>-1.0</v>
      </c>
      <c r="J4017" s="2" t="b">
        <v>0</v>
      </c>
      <c r="K4017" s="2" t="b">
        <v>0</v>
      </c>
      <c r="L4017" s="2" t="b">
        <v>0</v>
      </c>
      <c r="M4017" s="2" t="b">
        <v>0</v>
      </c>
      <c r="N4017" s="2" t="s">
        <v>33</v>
      </c>
      <c r="O4017" s="2">
        <v>103.0</v>
      </c>
      <c r="P4017" s="2">
        <v>45.0</v>
      </c>
      <c r="Q4017" s="2">
        <v>47.0</v>
      </c>
      <c r="R4017" s="2">
        <v>2.0</v>
      </c>
      <c r="S4017" s="3" t="s">
        <v>16315</v>
      </c>
      <c r="T4017" s="2" t="s">
        <v>16316</v>
      </c>
      <c r="Y4017" s="4" t="str">
        <f>IFERROR(__xludf.DUMMYFUNCTION("""COMPUTED_VALUE"""),"6.8322014")</f>
        <v>6.8322014</v>
      </c>
      <c r="Z4017" s="4" t="str">
        <f>IFERROR(__xludf.DUMMYFUNCTION("""COMPUTED_VALUE"""),"3.6319131")</f>
        <v>3.6319131</v>
      </c>
      <c r="AA4017" s="4" t="str">
        <f t="shared" si="1"/>
        <v>Not Neighbor</v>
      </c>
      <c r="AC4017" s="4">
        <f>IFERROR(__xludf.DUMMYFUNCTION("IFERROR(ABS(O4017-AVERAGE(FILTER(O4017:O8085,AA4017:AA8085=""Neighbor""))) / STDEV(FILTER(O4017:O8085, AA4017:AA8085 =""Neighbor"")), """")"),2.5188575048269057)</f>
        <v>2.518857505</v>
      </c>
      <c r="AF4017" s="2">
        <f>IFERROR(__xludf.DUMMYFUNCTION("IFERROR(ABS(R4017-AVERAGE(FILTER(R4017:R8085,AA4017:AA8085=""Neighbor""))) / STDEV(FILTER(R4017:R8085, AA4017:AA8085 =""Neighbor"")), """")"),2.9770067869236034)</f>
        <v>2.977006787</v>
      </c>
    </row>
    <row r="4018">
      <c r="A4018" s="2" t="s">
        <v>28</v>
      </c>
      <c r="B4018" s="2" t="s">
        <v>10071</v>
      </c>
      <c r="C4018" s="2" t="s">
        <v>10377</v>
      </c>
      <c r="D4018" s="2" t="s">
        <v>16317</v>
      </c>
      <c r="E4018" s="2" t="s">
        <v>16318</v>
      </c>
      <c r="F4018" s="2">
        <v>162.0</v>
      </c>
      <c r="G4018" s="2">
        <v>351.0</v>
      </c>
      <c r="H4018" s="2" t="b">
        <v>1</v>
      </c>
      <c r="I4018" s="2">
        <v>-1.0</v>
      </c>
      <c r="J4018" s="2" t="b">
        <v>0</v>
      </c>
      <c r="K4018" s="2" t="b">
        <v>0</v>
      </c>
      <c r="L4018" s="2" t="b">
        <v>0</v>
      </c>
      <c r="M4018" s="2" t="b">
        <v>0</v>
      </c>
      <c r="N4018" s="2" t="s">
        <v>33</v>
      </c>
      <c r="O4018" s="2">
        <v>52.0</v>
      </c>
      <c r="P4018" s="2">
        <v>19.0</v>
      </c>
      <c r="Q4018" s="2">
        <v>68.0</v>
      </c>
      <c r="R4018" s="2">
        <v>1.0</v>
      </c>
      <c r="S4018" s="3" t="s">
        <v>16319</v>
      </c>
      <c r="T4018" s="2" t="s">
        <v>16320</v>
      </c>
      <c r="Y4018" s="4" t="str">
        <f>IFERROR(__xludf.DUMMYFUNCTION("""COMPUTED_VALUE"""),"6.7714263")</f>
        <v>6.7714263</v>
      </c>
      <c r="Z4018" s="4" t="str">
        <f>IFERROR(__xludf.DUMMYFUNCTION("""COMPUTED_VALUE"""),"3.5332049")</f>
        <v>3.5332049</v>
      </c>
      <c r="AA4018" s="4" t="str">
        <f t="shared" si="1"/>
        <v>Not Neighbor</v>
      </c>
      <c r="AC4018" s="4">
        <f>IFERROR(__xludf.DUMMYFUNCTION("IFERROR(ABS(O4018-AVERAGE(FILTER(O4018:O8086,AA4018:AA8086=""Neighbor""))) / STDEV(FILTER(O4018:O8086, AA4018:AA8086 =""Neighbor"")), """")"),0.6827531062088243)</f>
        <v>0.6827531062</v>
      </c>
      <c r="AF4018" s="2">
        <f>IFERROR(__xludf.DUMMYFUNCTION("IFERROR(ABS(R4018-AVERAGE(FILTER(R4018:R8086,AA4018:AA8086=""Neighbor""))) / STDEV(FILTER(R4018:R8086, AA4018:AA8086 =""Neighbor"")), """")"),1.3425716882204486)</f>
        <v>1.342571688</v>
      </c>
    </row>
    <row r="4019">
      <c r="A4019" s="2" t="s">
        <v>28</v>
      </c>
      <c r="B4019" s="2" t="s">
        <v>10071</v>
      </c>
      <c r="C4019" s="2" t="s">
        <v>10377</v>
      </c>
      <c r="D4019" s="2" t="s">
        <v>16321</v>
      </c>
      <c r="E4019" s="2" t="s">
        <v>16322</v>
      </c>
      <c r="F4019" s="2">
        <v>83.0</v>
      </c>
      <c r="G4019" s="2">
        <v>166.0</v>
      </c>
      <c r="H4019" s="2" t="b">
        <v>1</v>
      </c>
      <c r="I4019" s="2">
        <v>-1.0</v>
      </c>
      <c r="J4019" s="2" t="b">
        <v>0</v>
      </c>
      <c r="K4019" s="2" t="b">
        <v>0</v>
      </c>
      <c r="L4019" s="2" t="b">
        <v>0</v>
      </c>
      <c r="M4019" s="2" t="b">
        <v>0</v>
      </c>
      <c r="N4019" s="2" t="s">
        <v>33</v>
      </c>
      <c r="O4019" s="2">
        <v>62.0</v>
      </c>
      <c r="P4019" s="2">
        <v>14.0</v>
      </c>
      <c r="Q4019" s="2">
        <v>3.0</v>
      </c>
      <c r="R4019" s="2">
        <v>0.0</v>
      </c>
      <c r="S4019" s="3" t="s">
        <v>16323</v>
      </c>
      <c r="T4019" s="2" t="s">
        <v>16324</v>
      </c>
      <c r="Y4019" s="4" t="str">
        <f>IFERROR(__xludf.DUMMYFUNCTION("""COMPUTED_VALUE"""),"6.6994255")</f>
        <v>6.6994255</v>
      </c>
      <c r="Z4019" s="4" t="str">
        <f>IFERROR(__xludf.DUMMYFUNCTION("""COMPUTED_VALUE"""),"3.5155086")</f>
        <v>3.5155086</v>
      </c>
      <c r="AA4019" s="4" t="str">
        <f t="shared" si="1"/>
        <v>Not Neighbor</v>
      </c>
      <c r="AC4019" s="4">
        <f>IFERROR(__xludf.DUMMYFUNCTION("IFERROR(ABS(O4019-AVERAGE(FILTER(O4019:O8087,AA4019:AA8087=""Neighbor""))) / STDEV(FILTER(O4019:O8087, AA4019:AA8087 =""Neighbor"")), """")"),1.042773576526095)</f>
        <v>1.042773577</v>
      </c>
      <c r="AF4019" s="2">
        <f>IFERROR(__xludf.DUMMYFUNCTION("IFERROR(ABS(R4019-AVERAGE(FILTER(R4019:R8087,AA4019:AA8087=""Neighbor""))) / STDEV(FILTER(R4019:R8087, AA4019:AA8087 =""Neighbor"")), """")"),0.2918634104827062)</f>
        <v>0.2918634105</v>
      </c>
    </row>
    <row r="4020">
      <c r="A4020" s="2" t="s">
        <v>28</v>
      </c>
      <c r="B4020" s="2" t="s">
        <v>10071</v>
      </c>
      <c r="C4020" s="2" t="s">
        <v>10377</v>
      </c>
      <c r="D4020" s="2" t="s">
        <v>16325</v>
      </c>
      <c r="E4020" s="2" t="s">
        <v>16326</v>
      </c>
      <c r="F4020" s="2">
        <v>85.0</v>
      </c>
      <c r="G4020" s="2">
        <v>225.0</v>
      </c>
      <c r="H4020" s="2" t="b">
        <v>1</v>
      </c>
      <c r="I4020" s="2">
        <v>-1.0</v>
      </c>
      <c r="J4020" s="2" t="b">
        <v>0</v>
      </c>
      <c r="K4020" s="2" t="b">
        <v>0</v>
      </c>
      <c r="L4020" s="2" t="b">
        <v>0</v>
      </c>
      <c r="M4020" s="2" t="b">
        <v>0</v>
      </c>
      <c r="N4020" s="2" t="s">
        <v>33</v>
      </c>
      <c r="O4020" s="2">
        <v>70.0</v>
      </c>
      <c r="P4020" s="2">
        <v>6.0</v>
      </c>
      <c r="Q4020" s="2">
        <v>6.0</v>
      </c>
      <c r="R4020" s="2">
        <v>0.0</v>
      </c>
      <c r="S4020" s="3" t="s">
        <v>16327</v>
      </c>
      <c r="T4020" s="2" t="s">
        <v>16328</v>
      </c>
      <c r="Y4020" s="4" t="str">
        <f>IFERROR(__xludf.DUMMYFUNCTION("""COMPUTED_VALUE"""),"6.6772055")</f>
        <v>6.6772055</v>
      </c>
      <c r="Z4020" s="4" t="str">
        <f>IFERROR(__xludf.DUMMYFUNCTION("""COMPUTED_VALUE"""),"3.4485725")</f>
        <v>3.4485725</v>
      </c>
      <c r="AA4020" s="4" t="str">
        <f t="shared" si="1"/>
        <v>Not Neighbor</v>
      </c>
      <c r="AC4020" s="4">
        <f>IFERROR(__xludf.DUMMYFUNCTION("IFERROR(ABS(O4020-AVERAGE(FILTER(O4020:O8088,AA4020:AA8088=""Neighbor""))) / STDEV(FILTER(O4020:O8088, AA4020:AA8088 =""Neighbor"")), """")"),1.3307899527799116)</f>
        <v>1.330789953</v>
      </c>
      <c r="AF4020" s="2">
        <f>IFERROR(__xludf.DUMMYFUNCTION("IFERROR(ABS(R4020-AVERAGE(FILTER(R4020:R8088,AA4020:AA8088=""Neighbor""))) / STDEV(FILTER(R4020:R8088, AA4020:AA8088 =""Neighbor"")), """")"),0.2918634104827062)</f>
        <v>0.2918634105</v>
      </c>
    </row>
    <row r="4021">
      <c r="A4021" s="2" t="s">
        <v>28</v>
      </c>
      <c r="B4021" s="2" t="s">
        <v>10071</v>
      </c>
      <c r="C4021" s="2" t="s">
        <v>10072</v>
      </c>
      <c r="D4021" s="2" t="s">
        <v>16329</v>
      </c>
      <c r="E4021" s="2" t="s">
        <v>16330</v>
      </c>
      <c r="F4021" s="2">
        <v>84.0</v>
      </c>
      <c r="G4021" s="2">
        <v>142.0</v>
      </c>
      <c r="H4021" s="2" t="b">
        <v>1</v>
      </c>
      <c r="I4021" s="2">
        <v>-1.0</v>
      </c>
      <c r="J4021" s="2" t="b">
        <v>0</v>
      </c>
      <c r="K4021" s="2" t="b">
        <v>0</v>
      </c>
      <c r="L4021" s="2" t="b">
        <v>0</v>
      </c>
      <c r="M4021" s="2" t="b">
        <v>0</v>
      </c>
      <c r="N4021" s="2" t="s">
        <v>33</v>
      </c>
      <c r="O4021" s="2">
        <v>39.0</v>
      </c>
      <c r="P4021" s="2">
        <v>23.0</v>
      </c>
      <c r="Q4021" s="2">
        <v>19.0</v>
      </c>
      <c r="R4021" s="2">
        <v>0.0</v>
      </c>
      <c r="S4021" s="3" t="s">
        <v>16331</v>
      </c>
      <c r="T4021" s="2" t="s">
        <v>16332</v>
      </c>
      <c r="Y4021" s="4" t="str">
        <f>IFERROR(__xludf.DUMMYFUNCTION("""COMPUTED_VALUE"""),"6.8592481")</f>
        <v>6.8592481</v>
      </c>
      <c r="Z4021" s="4" t="str">
        <f>IFERROR(__xludf.DUMMYFUNCTION("""COMPUTED_VALUE"""),"3.6532652")</f>
        <v>3.6532652</v>
      </c>
      <c r="AA4021" s="4" t="str">
        <f t="shared" si="1"/>
        <v>Neighbor</v>
      </c>
      <c r="AC4021" s="4">
        <f>IFERROR(__xludf.DUMMYFUNCTION("IFERROR(ABS(O4021-AVERAGE(FILTER(O4021:O8089,AA4021:AA8089=""Neighbor""))) / STDEV(FILTER(O4021:O8089, AA4021:AA8089 =""Neighbor"")), """")"),0.21472649479637226)</f>
        <v>0.2147264948</v>
      </c>
      <c r="AF4021" s="2">
        <f>IFERROR(__xludf.DUMMYFUNCTION("IFERROR(ABS(R4021-AVERAGE(FILTER(R4021:R8089,AA4021:AA8089=""Neighbor""))) / STDEV(FILTER(R4021:R8089, AA4021:AA8089 =""Neighbor"")), """")"),0.2918634104827062)</f>
        <v>0.2918634105</v>
      </c>
    </row>
    <row r="4022">
      <c r="A4022" s="2" t="s">
        <v>28</v>
      </c>
      <c r="B4022" s="2" t="s">
        <v>10071</v>
      </c>
      <c r="C4022" s="2" t="s">
        <v>10072</v>
      </c>
      <c r="D4022" s="2" t="s">
        <v>16333</v>
      </c>
      <c r="E4022" s="2" t="s">
        <v>16334</v>
      </c>
      <c r="F4022" s="2">
        <v>162.0</v>
      </c>
      <c r="G4022" s="2">
        <v>299.0</v>
      </c>
      <c r="H4022" s="2" t="b">
        <v>1</v>
      </c>
      <c r="I4022" s="2">
        <v>-1.0</v>
      </c>
      <c r="J4022" s="2" t="b">
        <v>0</v>
      </c>
      <c r="K4022" s="2" t="b">
        <v>0</v>
      </c>
      <c r="L4022" s="2" t="b">
        <v>0</v>
      </c>
      <c r="M4022" s="2" t="b">
        <v>0</v>
      </c>
      <c r="N4022" s="2" t="s">
        <v>33</v>
      </c>
      <c r="O4022" s="2">
        <v>105.0</v>
      </c>
      <c r="P4022" s="2">
        <v>28.0</v>
      </c>
      <c r="Q4022" s="2">
        <v>24.0</v>
      </c>
      <c r="R4022" s="2">
        <v>0.0</v>
      </c>
      <c r="S4022" s="3" t="s">
        <v>16335</v>
      </c>
      <c r="T4022" s="2" t="s">
        <v>16336</v>
      </c>
      <c r="Y4022" s="4" t="str">
        <f>IFERROR(__xludf.DUMMYFUNCTION("""COMPUTED_VALUE"""),"6.8592481")</f>
        <v>6.8592481</v>
      </c>
      <c r="Z4022" s="4" t="str">
        <f>IFERROR(__xludf.DUMMYFUNCTION("""COMPUTED_VALUE"""),"3.6532652")</f>
        <v>3.6532652</v>
      </c>
      <c r="AA4022" s="4" t="str">
        <f t="shared" si="1"/>
        <v>Neighbor</v>
      </c>
      <c r="AC4022" s="4">
        <f>IFERROR(__xludf.DUMMYFUNCTION("IFERROR(ABS(O4022-AVERAGE(FILTER(O4022:O8090,AA4022:AA8090=""Neighbor""))) / STDEV(FILTER(O4022:O8090, AA4022:AA8090 =""Neighbor"")), """")"),2.5524953265067847)</f>
        <v>2.552495327</v>
      </c>
      <c r="AF4022" s="2">
        <f>IFERROR(__xludf.DUMMYFUNCTION("IFERROR(ABS(R4022-AVERAGE(FILTER(R4022:R8090,AA4022:AA8090=""Neighbor""))) / STDEV(FILTER(R4022:R8090, AA4022:AA8090 =""Neighbor"")), """")"),0.29750231137309024)</f>
        <v>0.2975023114</v>
      </c>
    </row>
    <row r="4023">
      <c r="A4023" s="2" t="s">
        <v>28</v>
      </c>
      <c r="B4023" s="2" t="s">
        <v>10071</v>
      </c>
      <c r="C4023" s="2" t="s">
        <v>10072</v>
      </c>
      <c r="D4023" s="2" t="s">
        <v>16337</v>
      </c>
      <c r="E4023" s="2" t="s">
        <v>16338</v>
      </c>
      <c r="F4023" s="2">
        <v>107.0</v>
      </c>
      <c r="G4023" s="2">
        <v>197.0</v>
      </c>
      <c r="H4023" s="2" t="b">
        <v>1</v>
      </c>
      <c r="I4023" s="2">
        <v>-1.0</v>
      </c>
      <c r="J4023" s="2" t="b">
        <v>1</v>
      </c>
      <c r="K4023" s="2" t="b">
        <v>1</v>
      </c>
      <c r="L4023" s="2" t="b">
        <v>0</v>
      </c>
      <c r="M4023" s="2" t="b">
        <v>0</v>
      </c>
      <c r="N4023" s="2" t="s">
        <v>33</v>
      </c>
      <c r="O4023" s="2">
        <v>62.0</v>
      </c>
      <c r="P4023" s="2">
        <v>26.0</v>
      </c>
      <c r="Q4023" s="2">
        <v>16.0</v>
      </c>
      <c r="R4023" s="2">
        <v>1.0</v>
      </c>
      <c r="S4023" s="3" t="s">
        <v>16339</v>
      </c>
      <c r="T4023" s="2" t="s">
        <v>16340</v>
      </c>
      <c r="Y4023" s="4" t="str">
        <f>IFERROR(__xludf.DUMMYFUNCTION("""COMPUTED_VALUE"""),"6.8614105")</f>
        <v>6.8614105</v>
      </c>
      <c r="Z4023" s="4" t="str">
        <f>IFERROR(__xludf.DUMMYFUNCTION("""COMPUTED_VALUE"""),"3.6564925")</f>
        <v>3.6564925</v>
      </c>
      <c r="AA4023" s="4" t="str">
        <f t="shared" si="1"/>
        <v>Not Neighbor</v>
      </c>
      <c r="AC4023" s="4">
        <f>IFERROR(__xludf.DUMMYFUNCTION("IFERROR(ABS(O4023-AVERAGE(FILTER(O4023:O8091,AA4023:AA8091=""Neighbor""))) / STDEV(FILTER(O4023:O8091, AA4023:AA8091 =""Neighbor"")), """")"),1.28848006321015)</f>
        <v>1.288480063</v>
      </c>
      <c r="AF4023" s="2">
        <f>IFERROR(__xludf.DUMMYFUNCTION("IFERROR(ABS(R4023-AVERAGE(FILTER(R4023:R8091,AA4023:AA8091=""Neighbor""))) / STDEV(FILTER(R4023:R8091, AA4023:AA8091 =""Neighbor"")), """")"),1.2746248212761522)</f>
        <v>1.274624821</v>
      </c>
    </row>
    <row r="4024">
      <c r="A4024" s="2" t="s">
        <v>28</v>
      </c>
      <c r="B4024" s="2" t="s">
        <v>10071</v>
      </c>
      <c r="C4024" s="2" t="s">
        <v>10072</v>
      </c>
      <c r="D4024" s="2" t="s">
        <v>16341</v>
      </c>
      <c r="E4024" s="2" t="s">
        <v>16342</v>
      </c>
      <c r="F4024" s="2">
        <v>75.0</v>
      </c>
      <c r="G4024" s="2">
        <v>168.0</v>
      </c>
      <c r="H4024" s="2" t="b">
        <v>1</v>
      </c>
      <c r="I4024" s="2">
        <v>-1.0</v>
      </c>
      <c r="J4024" s="2" t="b">
        <v>0</v>
      </c>
      <c r="K4024" s="2" t="b">
        <v>0</v>
      </c>
      <c r="L4024" s="2" t="b">
        <v>0</v>
      </c>
      <c r="M4024" s="2" t="b">
        <v>0</v>
      </c>
      <c r="N4024" s="2" t="s">
        <v>33</v>
      </c>
      <c r="O4024" s="2">
        <v>29.0</v>
      </c>
      <c r="P4024" s="2">
        <v>33.0</v>
      </c>
      <c r="Q4024" s="2">
        <v>9.0</v>
      </c>
      <c r="R4024" s="2">
        <v>0.0</v>
      </c>
      <c r="S4024" s="3" t="s">
        <v>16343</v>
      </c>
      <c r="T4024" s="2" t="s">
        <v>16344</v>
      </c>
      <c r="Y4024" s="4" t="str">
        <f>IFERROR(__xludf.DUMMYFUNCTION("""COMPUTED_VALUE"""),"6.8322014")</f>
        <v>6.8322014</v>
      </c>
      <c r="Z4024" s="4" t="str">
        <f>IFERROR(__xludf.DUMMYFUNCTION("""COMPUTED_VALUE"""),"3.6319131")</f>
        <v>3.6319131</v>
      </c>
      <c r="AA4024" s="4" t="str">
        <f t="shared" si="1"/>
        <v>Neighbor</v>
      </c>
      <c r="AC4024" s="4">
        <f>IFERROR(__xludf.DUMMYFUNCTION("IFERROR(ABS(O4024-AVERAGE(FILTER(O4024:O8092,AA4024:AA8092=""Neighbor""))) / STDEV(FILTER(O4024:O8092, AA4024:AA8092 =""Neighbor"")), """")"),0.04186397317289303)</f>
        <v>0.04186397317</v>
      </c>
      <c r="AF4024" s="2">
        <f>IFERROR(__xludf.DUMMYFUNCTION("IFERROR(ABS(R4024-AVERAGE(FILTER(R4024:R8092,AA4024:AA8092=""Neighbor""))) / STDEV(FILTER(R4024:R8092, AA4024:AA8092 =""Neighbor"")), """")"),0.30348210030384576)</f>
        <v>0.3034821003</v>
      </c>
    </row>
    <row r="4025">
      <c r="A4025" s="2" t="s">
        <v>28</v>
      </c>
      <c r="B4025" s="2" t="s">
        <v>10071</v>
      </c>
      <c r="C4025" s="2" t="s">
        <v>10093</v>
      </c>
      <c r="D4025" s="2" t="s">
        <v>16345</v>
      </c>
      <c r="E4025" s="2" t="s">
        <v>16346</v>
      </c>
      <c r="F4025" s="2">
        <v>27.0</v>
      </c>
      <c r="G4025" s="2">
        <v>65.0</v>
      </c>
      <c r="H4025" s="2" t="b">
        <v>1</v>
      </c>
      <c r="I4025" s="2">
        <v>-1.0</v>
      </c>
      <c r="J4025" s="2" t="b">
        <v>0</v>
      </c>
      <c r="K4025" s="2" t="b">
        <v>0</v>
      </c>
      <c r="L4025" s="2" t="b">
        <v>0</v>
      </c>
      <c r="M4025" s="2" t="b">
        <v>0</v>
      </c>
      <c r="N4025" s="2" t="s">
        <v>33</v>
      </c>
      <c r="O4025" s="2">
        <v>9.0</v>
      </c>
      <c r="P4025" s="2">
        <v>12.0</v>
      </c>
      <c r="Q4025" s="2">
        <v>6.0</v>
      </c>
      <c r="R4025" s="2">
        <v>0.0</v>
      </c>
      <c r="S4025" s="3" t="s">
        <v>16347</v>
      </c>
      <c r="T4025" s="2" t="s">
        <v>16348</v>
      </c>
      <c r="Y4025" s="4" t="str">
        <f>IFERROR(__xludf.DUMMYFUNCTION("""COMPUTED_VALUE"""),"6.8322014")</f>
        <v>6.8322014</v>
      </c>
      <c r="Z4025" s="4" t="str">
        <f>IFERROR(__xludf.DUMMYFUNCTION("""COMPUTED_VALUE"""),"3.6319131")</f>
        <v>3.6319131</v>
      </c>
      <c r="AA4025" s="4" t="str">
        <f t="shared" si="1"/>
        <v>Not Neighbor</v>
      </c>
      <c r="AC4025" s="4">
        <f>IFERROR(__xludf.DUMMYFUNCTION("IFERROR(ABS(O4025-AVERAGE(FILTER(O4025:O8093,AA4025:AA8093=""Neighbor""))) / STDEV(FILTER(O4025:O8093, AA4025:AA8093 =""Neighbor"")), """")"),0.8326683985439898)</f>
        <v>0.8326683985</v>
      </c>
      <c r="AF4025" s="2">
        <f>IFERROR(__xludf.DUMMYFUNCTION("IFERROR(ABS(R4025-AVERAGE(FILTER(R4025:R8093,AA4025:AA8093=""Neighbor""))) / STDEV(FILTER(R4025:R8093, AA4025:AA8093 =""Neighbor"")), """")"),0.3098386676965934)</f>
        <v>0.3098386677</v>
      </c>
    </row>
    <row r="4026">
      <c r="A4026" s="2" t="s">
        <v>28</v>
      </c>
      <c r="B4026" s="2" t="s">
        <v>10071</v>
      </c>
      <c r="C4026" s="2" t="s">
        <v>10093</v>
      </c>
      <c r="D4026" s="2" t="s">
        <v>16349</v>
      </c>
      <c r="E4026" s="2" t="s">
        <v>16350</v>
      </c>
      <c r="F4026" s="2">
        <v>115.0</v>
      </c>
      <c r="G4026" s="2">
        <v>335.0</v>
      </c>
      <c r="H4026" s="2" t="b">
        <v>1</v>
      </c>
      <c r="I4026" s="2">
        <v>-1.0</v>
      </c>
      <c r="J4026" s="2" t="b">
        <v>0</v>
      </c>
      <c r="K4026" s="2" t="b">
        <v>0</v>
      </c>
      <c r="L4026" s="2" t="b">
        <v>0</v>
      </c>
      <c r="M4026" s="2" t="b">
        <v>0</v>
      </c>
      <c r="N4026" s="2" t="s">
        <v>33</v>
      </c>
      <c r="O4026" s="2">
        <v>65.0</v>
      </c>
      <c r="P4026" s="2">
        <v>33.0</v>
      </c>
      <c r="Q4026" s="2">
        <v>15.0</v>
      </c>
      <c r="R4026" s="2">
        <v>0.0</v>
      </c>
      <c r="S4026" s="3" t="s">
        <v>16351</v>
      </c>
      <c r="T4026" s="2" t="s">
        <v>16352</v>
      </c>
      <c r="Y4026" s="4" t="str">
        <f>IFERROR(__xludf.DUMMYFUNCTION("""COMPUTED_VALUE"""),"6.8073418")</f>
        <v>6.8073418</v>
      </c>
      <c r="Z4026" s="4" t="str">
        <f>IFERROR(__xludf.DUMMYFUNCTION("""COMPUTED_VALUE"""),"3.7358924")</f>
        <v>3.7358924</v>
      </c>
      <c r="AA4026" s="4" t="str">
        <f t="shared" si="1"/>
        <v>Not Neighbor</v>
      </c>
      <c r="AC4026" s="4">
        <f>IFERROR(__xludf.DUMMYFUNCTION("IFERROR(ABS(O4026-AVERAGE(FILTER(O4026:O8094,AA4026:AA8094=""Neighbor""))) / STDEV(FILTER(O4026:O8094, AA4026:AA8094 =""Neighbor"")), """")"),1.3793539125785639)</f>
        <v>1.379353913</v>
      </c>
      <c r="AF4026" s="2">
        <f>IFERROR(__xludf.DUMMYFUNCTION("IFERROR(ABS(R4026-AVERAGE(FILTER(R4026:R8094,AA4026:AA8094=""Neighbor""))) / STDEV(FILTER(R4026:R8094, AA4026:AA8094 =""Neighbor"")), """")"),0.3098386676965934)</f>
        <v>0.3098386677</v>
      </c>
    </row>
    <row r="4027">
      <c r="A4027" s="2" t="s">
        <v>28</v>
      </c>
      <c r="B4027" s="2" t="s">
        <v>10071</v>
      </c>
      <c r="C4027" s="2" t="s">
        <v>10093</v>
      </c>
      <c r="D4027" s="2" t="s">
        <v>16353</v>
      </c>
      <c r="E4027" s="2" t="s">
        <v>16354</v>
      </c>
      <c r="F4027" s="2">
        <v>43.0</v>
      </c>
      <c r="G4027" s="2">
        <v>94.0</v>
      </c>
      <c r="H4027" s="2" t="b">
        <v>1</v>
      </c>
      <c r="I4027" s="2">
        <v>-1.0</v>
      </c>
      <c r="J4027" s="2" t="b">
        <v>0</v>
      </c>
      <c r="K4027" s="2" t="b">
        <v>0</v>
      </c>
      <c r="L4027" s="2" t="b">
        <v>0</v>
      </c>
      <c r="M4027" s="2" t="b">
        <v>0</v>
      </c>
      <c r="N4027" s="2" t="s">
        <v>33</v>
      </c>
      <c r="O4027" s="2">
        <v>0.0</v>
      </c>
      <c r="P4027" s="2">
        <v>0.0</v>
      </c>
      <c r="Q4027" s="2">
        <v>0.0</v>
      </c>
      <c r="R4027" s="2">
        <v>0.0</v>
      </c>
      <c r="S4027" s="3" t="s">
        <v>16355</v>
      </c>
      <c r="T4027" s="2" t="s">
        <v>16356</v>
      </c>
      <c r="Y4027" s="4" t="str">
        <f>IFERROR(__xludf.DUMMYFUNCTION("""COMPUTED_VALUE"""),"6.8322014")</f>
        <v>6.8322014</v>
      </c>
      <c r="Z4027" s="4" t="str">
        <f>IFERROR(__xludf.DUMMYFUNCTION("""COMPUTED_VALUE"""),"3.6319131")</f>
        <v>3.6319131</v>
      </c>
      <c r="AA4027" s="4" t="str">
        <f t="shared" si="1"/>
        <v>Neighbor</v>
      </c>
      <c r="AC4027" s="4">
        <f>IFERROR(__xludf.DUMMYFUNCTION("IFERROR(ABS(O4027-AVERAGE(FILTER(O4027:O8095,AA4027:AA8095=""Neighbor""))) / STDEV(FILTER(O4027:O8095, AA4027:AA8095 =""Neighbor"")), """")"),1.1881719842601146)</f>
        <v>1.188171984</v>
      </c>
      <c r="AF4027" s="2">
        <f>IFERROR(__xludf.DUMMYFUNCTION("IFERROR(ABS(R4027-AVERAGE(FILTER(R4027:R8095,AA4027:AA8095=""Neighbor""))) / STDEV(FILTER(R4027:R8095, AA4027:AA8095 =""Neighbor"")), """")"),0.3098386676965934)</f>
        <v>0.3098386677</v>
      </c>
    </row>
    <row r="4028">
      <c r="A4028" s="2" t="s">
        <v>28</v>
      </c>
      <c r="B4028" s="2" t="s">
        <v>10071</v>
      </c>
      <c r="C4028" s="2" t="s">
        <v>10093</v>
      </c>
      <c r="D4028" s="2" t="s">
        <v>16357</v>
      </c>
      <c r="E4028" s="2" t="s">
        <v>16358</v>
      </c>
      <c r="F4028" s="2">
        <v>65.0</v>
      </c>
      <c r="G4028" s="2">
        <v>119.0</v>
      </c>
      <c r="H4028" s="2" t="b">
        <v>1</v>
      </c>
      <c r="I4028" s="2">
        <v>-1.0</v>
      </c>
      <c r="J4028" s="2" t="b">
        <v>0</v>
      </c>
      <c r="K4028" s="2" t="b">
        <v>0</v>
      </c>
      <c r="L4028" s="2" t="b">
        <v>0</v>
      </c>
      <c r="M4028" s="2" t="b">
        <v>0</v>
      </c>
      <c r="N4028" s="2" t="s">
        <v>33</v>
      </c>
      <c r="O4028" s="2">
        <v>25.0</v>
      </c>
      <c r="P4028" s="2">
        <v>16.0</v>
      </c>
      <c r="Q4028" s="2">
        <v>21.0</v>
      </c>
      <c r="R4028" s="2">
        <v>1.0</v>
      </c>
      <c r="S4028" s="3" t="s">
        <v>16359</v>
      </c>
      <c r="T4028" s="2" t="s">
        <v>16360</v>
      </c>
      <c r="Y4028" s="4" t="str">
        <f>IFERROR(__xludf.DUMMYFUNCTION("""COMPUTED_VALUE"""),"6.8322014")</f>
        <v>6.8322014</v>
      </c>
      <c r="Z4028" s="4" t="str">
        <f>IFERROR(__xludf.DUMMYFUNCTION("""COMPUTED_VALUE"""),"3.6319131")</f>
        <v>3.6319131</v>
      </c>
      <c r="AA4028" s="4" t="str">
        <f t="shared" si="1"/>
        <v>Neighbor</v>
      </c>
      <c r="AC4028" s="4">
        <f>IFERROR(__xludf.DUMMYFUNCTION("IFERROR(ABS(O4028-AVERAGE(FILTER(O4028:O8096,AA4028:AA8096=""Neighbor""))) / STDEV(FILTER(O4028:O8096, AA4028:AA8096 =""Neighbor"")), """")"),0.2527683497801879)</f>
        <v>0.2527683498</v>
      </c>
      <c r="AF4028" s="2">
        <f>IFERROR(__xludf.DUMMYFUNCTION("IFERROR(ABS(R4028-AVERAGE(FILTER(R4028:R8096,AA4028:AA8096=""Neighbor""))) / STDEV(FILTER(R4028:R8096, AA4028:AA8096 =""Neighbor"")), """")"),1.2031310848167962)</f>
        <v>1.203131085</v>
      </c>
    </row>
    <row r="4029">
      <c r="A4029" s="2" t="s">
        <v>28</v>
      </c>
      <c r="B4029" s="2" t="s">
        <v>10071</v>
      </c>
      <c r="C4029" s="2" t="s">
        <v>10167</v>
      </c>
      <c r="D4029" s="2" t="s">
        <v>16361</v>
      </c>
      <c r="E4029" s="2" t="s">
        <v>16362</v>
      </c>
      <c r="F4029" s="2">
        <v>178.0</v>
      </c>
      <c r="G4029" s="2">
        <v>354.0</v>
      </c>
      <c r="H4029" s="2" t="b">
        <v>1</v>
      </c>
      <c r="I4029" s="2">
        <v>-1.0</v>
      </c>
      <c r="J4029" s="2" t="b">
        <v>0</v>
      </c>
      <c r="K4029" s="2" t="b">
        <v>0</v>
      </c>
      <c r="L4029" s="2" t="b">
        <v>0</v>
      </c>
      <c r="M4029" s="2" t="b">
        <v>0</v>
      </c>
      <c r="N4029" s="2" t="s">
        <v>33</v>
      </c>
      <c r="O4029" s="2">
        <v>51.0</v>
      </c>
      <c r="P4029" s="2">
        <v>94.0</v>
      </c>
      <c r="Q4029" s="2">
        <v>6.0</v>
      </c>
      <c r="R4029" s="2">
        <v>0.0</v>
      </c>
      <c r="S4029" s="3" t="s">
        <v>16363</v>
      </c>
      <c r="T4029" s="2" t="s">
        <v>16364</v>
      </c>
      <c r="Y4029" s="4" t="str">
        <f>IFERROR(__xludf.DUMMYFUNCTION("""COMPUTED_VALUE"""),"6.8416271")</f>
        <v>6.8416271</v>
      </c>
      <c r="Z4029" s="4" t="str">
        <f>IFERROR(__xludf.DUMMYFUNCTION("""COMPUTED_VALUE"""),"3.6243664")</f>
        <v>3.6243664</v>
      </c>
      <c r="AA4029" s="4" t="str">
        <f t="shared" si="1"/>
        <v>Neighbor</v>
      </c>
      <c r="AC4029" s="4">
        <f>IFERROR(__xludf.DUMMYFUNCTION("IFERROR(ABS(O4029-AVERAGE(FILTER(O4029:O8097,AA4029:AA8097=""Neighbor""))) / STDEV(FILTER(O4029:O8097, AA4029:AA8097 =""Neighbor"")), """")"),0.7580103705584836)</f>
        <v>0.7580103706</v>
      </c>
      <c r="AF4029" s="2">
        <f>IFERROR(__xludf.DUMMYFUNCTION("IFERROR(ABS(R4029-AVERAGE(FILTER(R4029:R8097,AA4029:AA8097=""Neighbor""))) / STDEV(FILTER(R4029:R8097, AA4029:AA8097 =""Neighbor"")), """")"),0.26742409025204766)</f>
        <v>0.2674240903</v>
      </c>
    </row>
    <row r="4030">
      <c r="A4030" s="2" t="s">
        <v>28</v>
      </c>
      <c r="B4030" s="2" t="s">
        <v>10071</v>
      </c>
      <c r="C4030" s="2" t="s">
        <v>10167</v>
      </c>
      <c r="D4030" s="2" t="s">
        <v>16365</v>
      </c>
      <c r="E4030" s="2" t="s">
        <v>16366</v>
      </c>
      <c r="F4030" s="2">
        <v>29.0</v>
      </c>
      <c r="G4030" s="2">
        <v>90.0</v>
      </c>
      <c r="H4030" s="2" t="b">
        <v>1</v>
      </c>
      <c r="I4030" s="2">
        <v>-1.0</v>
      </c>
      <c r="J4030" s="2" t="b">
        <v>0</v>
      </c>
      <c r="K4030" s="2" t="b">
        <v>0</v>
      </c>
      <c r="L4030" s="2" t="b">
        <v>0</v>
      </c>
      <c r="M4030" s="2" t="b">
        <v>0</v>
      </c>
      <c r="N4030" s="2" t="s">
        <v>33</v>
      </c>
      <c r="O4030" s="2">
        <v>12.0</v>
      </c>
      <c r="P4030" s="2">
        <v>15.0</v>
      </c>
      <c r="Q4030" s="2">
        <v>1.0</v>
      </c>
      <c r="R4030" s="2">
        <v>0.0</v>
      </c>
      <c r="S4030" s="3" t="s">
        <v>16367</v>
      </c>
      <c r="T4030" s="2" t="s">
        <v>16368</v>
      </c>
      <c r="Y4030" s="4" t="str">
        <f>IFERROR(__xludf.DUMMYFUNCTION("""COMPUTED_VALUE"""),"6.8348956")</f>
        <v>6.8348956</v>
      </c>
      <c r="Z4030" s="4" t="str">
        <f>IFERROR(__xludf.DUMMYFUNCTION("""COMPUTED_VALUE"""),"3.6293797")</f>
        <v>3.6293797</v>
      </c>
      <c r="AA4030" s="4" t="str">
        <f t="shared" si="1"/>
        <v>Neighbor</v>
      </c>
      <c r="AC4030" s="4">
        <f>IFERROR(__xludf.DUMMYFUNCTION("IFERROR(ABS(O4030-AVERAGE(FILTER(O4030:O8098,AA4030:AA8098=""Neighbor""))) / STDEV(FILTER(O4030:O8098, AA4030:AA8098 =""Neighbor"")), """")"),0.7251911459292851)</f>
        <v>0.7251911459</v>
      </c>
      <c r="AF4030" s="2">
        <f>IFERROR(__xludf.DUMMYFUNCTION("IFERROR(ABS(R4030-AVERAGE(FILTER(R4030:R8098,AA4030:AA8098=""Neighbor""))) / STDEV(FILTER(R4030:R8098, AA4030:AA8098 =""Neighbor"")), """")"),0.27361708674793656)</f>
        <v>0.2736170867</v>
      </c>
    </row>
    <row r="4031">
      <c r="A4031" s="2" t="s">
        <v>28</v>
      </c>
      <c r="B4031" s="2" t="s">
        <v>10071</v>
      </c>
      <c r="C4031" s="2" t="s">
        <v>10167</v>
      </c>
      <c r="D4031" s="2" t="s">
        <v>16369</v>
      </c>
      <c r="E4031" s="2" t="s">
        <v>16370</v>
      </c>
      <c r="F4031" s="2">
        <v>15.0</v>
      </c>
      <c r="G4031" s="2">
        <v>56.0</v>
      </c>
      <c r="H4031" s="2" t="b">
        <v>1</v>
      </c>
      <c r="I4031" s="2">
        <v>-1.0</v>
      </c>
      <c r="J4031" s="2" t="b">
        <v>0</v>
      </c>
      <c r="K4031" s="2" t="b">
        <v>0</v>
      </c>
      <c r="L4031" s="2" t="b">
        <v>0</v>
      </c>
      <c r="M4031" s="2" t="b">
        <v>0</v>
      </c>
      <c r="N4031" s="2" t="s">
        <v>33</v>
      </c>
      <c r="O4031" s="2">
        <v>10.0</v>
      </c>
      <c r="P4031" s="2">
        <v>3.0</v>
      </c>
      <c r="Q4031" s="2">
        <v>2.0</v>
      </c>
      <c r="R4031" s="2">
        <v>0.0</v>
      </c>
      <c r="S4031" s="3" t="s">
        <v>16371</v>
      </c>
      <c r="T4031" s="2" t="s">
        <v>16372</v>
      </c>
      <c r="Y4031" s="4" t="str">
        <f>IFERROR(__xludf.DUMMYFUNCTION("""COMPUTED_VALUE"""),"6.8321274")</f>
        <v>6.8321274</v>
      </c>
      <c r="Z4031" s="4" t="str">
        <f>IFERROR(__xludf.DUMMYFUNCTION("""COMPUTED_VALUE"""),"3.6334904")</f>
        <v>3.6334904</v>
      </c>
      <c r="AA4031" s="4" t="str">
        <f t="shared" si="1"/>
        <v>Neighbor</v>
      </c>
      <c r="AC4031" s="4">
        <f>IFERROR(__xludf.DUMMYFUNCTION("IFERROR(ABS(O4031-AVERAGE(FILTER(O4031:O8099,AA4031:AA8099=""Neighbor""))) / STDEV(FILTER(O4031:O8099, AA4031:AA8099 =""Neighbor"")), """")"),0.8279286168222163)</f>
        <v>0.8279286168</v>
      </c>
      <c r="AF4031" s="2">
        <f>IFERROR(__xludf.DUMMYFUNCTION("IFERROR(ABS(R4031-AVERAGE(FILTER(R4031:R8099,AA4031:AA8099=""Neighbor""))) / STDEV(FILTER(R4031:R8099, AA4031:AA8099 =""Neighbor"")), """")"),0.2802621677476181)</f>
        <v>0.2802621677</v>
      </c>
    </row>
    <row r="4032">
      <c r="A4032" s="2" t="s">
        <v>28</v>
      </c>
      <c r="B4032" s="2" t="s">
        <v>10071</v>
      </c>
      <c r="C4032" s="2" t="s">
        <v>10167</v>
      </c>
      <c r="D4032" s="2" t="s">
        <v>16373</v>
      </c>
      <c r="E4032" s="2" t="s">
        <v>16374</v>
      </c>
      <c r="F4032" s="2">
        <v>39.0</v>
      </c>
      <c r="G4032" s="2">
        <v>97.0</v>
      </c>
      <c r="H4032" s="2" t="b">
        <v>1</v>
      </c>
      <c r="I4032" s="2">
        <v>-1.0</v>
      </c>
      <c r="J4032" s="2" t="b">
        <v>0</v>
      </c>
      <c r="K4032" s="2" t="b">
        <v>0</v>
      </c>
      <c r="L4032" s="2" t="b">
        <v>0</v>
      </c>
      <c r="M4032" s="2" t="b">
        <v>0</v>
      </c>
      <c r="N4032" s="2" t="s">
        <v>33</v>
      </c>
      <c r="O4032" s="2">
        <v>17.0</v>
      </c>
      <c r="P4032" s="2">
        <v>13.0</v>
      </c>
      <c r="Q4032" s="2">
        <v>5.0</v>
      </c>
      <c r="R4032" s="2">
        <v>0.0</v>
      </c>
      <c r="S4032" s="3" t="s">
        <v>16375</v>
      </c>
      <c r="T4032" s="2" t="s">
        <v>16376</v>
      </c>
      <c r="Y4032" s="4" t="str">
        <f>IFERROR(__xludf.DUMMYFUNCTION("""COMPUTED_VALUE"""),"6.8301056")</f>
        <v>6.8301056</v>
      </c>
      <c r="Z4032" s="4" t="str">
        <f>IFERROR(__xludf.DUMMYFUNCTION("""COMPUTED_VALUE"""),"3.6365211")</f>
        <v>3.6365211</v>
      </c>
      <c r="AA4032" s="4" t="str">
        <f t="shared" si="1"/>
        <v>Neighbor</v>
      </c>
      <c r="AC4032" s="4">
        <f>IFERROR(__xludf.DUMMYFUNCTION("IFERROR(ABS(O4032-AVERAGE(FILTER(O4032:O8100,AA4032:AA8100=""Neighbor""))) / STDEV(FILTER(O4032:O8100, AA4032:AA8100 =""Neighbor"")), """")"),0.5968653059060218)</f>
        <v>0.5968653059</v>
      </c>
      <c r="AF4032" s="2">
        <f>IFERROR(__xludf.DUMMYFUNCTION("IFERROR(ABS(R4032-AVERAGE(FILTER(R4032:R8100,AA4032:AA8100=""Neighbor""))) / STDEV(FILTER(R4032:R8100, AA4032:AA8100 =""Neighbor"")), """")"),0.2874172848876246)</f>
        <v>0.2874172849</v>
      </c>
    </row>
    <row r="4033">
      <c r="A4033" s="2" t="s">
        <v>28</v>
      </c>
      <c r="B4033" s="2" t="s">
        <v>10071</v>
      </c>
      <c r="C4033" s="2" t="s">
        <v>10167</v>
      </c>
      <c r="D4033" s="2" t="s">
        <v>16377</v>
      </c>
      <c r="E4033" s="2" t="s">
        <v>16378</v>
      </c>
      <c r="F4033" s="2">
        <v>42.0</v>
      </c>
      <c r="G4033" s="2">
        <v>69.0</v>
      </c>
      <c r="H4033" s="2" t="b">
        <v>1</v>
      </c>
      <c r="I4033" s="2">
        <v>-1.0</v>
      </c>
      <c r="J4033" s="2" t="b">
        <v>0</v>
      </c>
      <c r="K4033" s="2" t="b">
        <v>0</v>
      </c>
      <c r="L4033" s="2" t="b">
        <v>0</v>
      </c>
      <c r="M4033" s="2" t="b">
        <v>0</v>
      </c>
      <c r="N4033" s="2" t="s">
        <v>33</v>
      </c>
      <c r="O4033" s="2">
        <v>13.0</v>
      </c>
      <c r="P4033" s="2">
        <v>20.0</v>
      </c>
      <c r="Q4033" s="2">
        <v>8.0</v>
      </c>
      <c r="R4033" s="2">
        <v>0.0</v>
      </c>
      <c r="S4033" s="3" t="s">
        <v>16379</v>
      </c>
      <c r="T4033" s="2" t="s">
        <v>16380</v>
      </c>
      <c r="Y4033" s="4" t="str">
        <f>IFERROR(__xludf.DUMMYFUNCTION("""COMPUTED_VALUE"""),"6.8322014")</f>
        <v>6.8322014</v>
      </c>
      <c r="Z4033" s="4" t="str">
        <f>IFERROR(__xludf.DUMMYFUNCTION("""COMPUTED_VALUE"""),"3.6319131")</f>
        <v>3.6319131</v>
      </c>
      <c r="AA4033" s="4" t="str">
        <f t="shared" si="1"/>
        <v>Neighbor</v>
      </c>
      <c r="AC4033" s="4">
        <f>IFERROR(__xludf.DUMMYFUNCTION("IFERROR(ABS(O4033-AVERAGE(FILTER(O4033:O8101,AA4033:AA8101=""Neighbor""))) / STDEV(FILTER(O4033:O8101, AA4033:AA8101 =""Neighbor"")), """")"),0.7671420321637681)</f>
        <v>0.7671420322</v>
      </c>
      <c r="AF4033" s="2">
        <f>IFERROR(__xludf.DUMMYFUNCTION("IFERROR(ABS(R4033-AVERAGE(FILTER(R4033:R8101,AA4033:AA8101=""Neighbor""))) / STDEV(FILTER(R4033:R8101, AA4033:AA8101 =""Neighbor"")), """")"),0.29515138076596914)</f>
        <v>0.2951513808</v>
      </c>
    </row>
    <row r="4034">
      <c r="A4034" s="2" t="s">
        <v>28</v>
      </c>
      <c r="B4034" s="2" t="s">
        <v>10071</v>
      </c>
      <c r="C4034" s="2" t="s">
        <v>10167</v>
      </c>
      <c r="D4034" s="2" t="s">
        <v>16381</v>
      </c>
      <c r="E4034" s="2" t="s">
        <v>16382</v>
      </c>
      <c r="F4034" s="2">
        <v>15.0</v>
      </c>
      <c r="G4034" s="2">
        <v>43.0</v>
      </c>
      <c r="H4034" s="2" t="b">
        <v>1</v>
      </c>
      <c r="I4034" s="2">
        <v>-1.0</v>
      </c>
      <c r="J4034" s="2" t="b">
        <v>0</v>
      </c>
      <c r="K4034" s="2" t="b">
        <v>0</v>
      </c>
      <c r="L4034" s="2" t="b">
        <v>0</v>
      </c>
      <c r="M4034" s="2" t="b">
        <v>0</v>
      </c>
      <c r="N4034" s="2" t="s">
        <v>33</v>
      </c>
      <c r="O4034" s="2">
        <v>2.0</v>
      </c>
      <c r="P4034" s="2">
        <v>5.0</v>
      </c>
      <c r="Q4034" s="2">
        <v>8.0</v>
      </c>
      <c r="R4034" s="2">
        <v>0.0</v>
      </c>
      <c r="S4034" s="3" t="s">
        <v>16383</v>
      </c>
      <c r="T4034" s="2" t="s">
        <v>16384</v>
      </c>
      <c r="Y4034" s="4" t="str">
        <f>IFERROR(__xludf.DUMMYFUNCTION("""COMPUTED_VALUE"""),"6.8348956")</f>
        <v>6.8348956</v>
      </c>
      <c r="Z4034" s="4" t="str">
        <f>IFERROR(__xludf.DUMMYFUNCTION("""COMPUTED_VALUE"""),"3.6293797")</f>
        <v>3.6293797</v>
      </c>
      <c r="AA4034" s="4" t="str">
        <f t="shared" si="1"/>
        <v>Neighbor</v>
      </c>
      <c r="AC4034" s="4">
        <f>IFERROR(__xludf.DUMMYFUNCTION("IFERROR(ABS(O4034-AVERAGE(FILTER(O4034:O8102,AA4034:AA8102=""Neighbor""))) / STDEV(FILTER(O4034:O8102, AA4034:AA8102 =""Neighbor"")), """")"),1.2074917805132854)</f>
        <v>1.207491781</v>
      </c>
      <c r="AF4034" s="2">
        <f>IFERROR(__xludf.DUMMYFUNCTION("IFERROR(ABS(R4034-AVERAGE(FILTER(R4034:R8102,AA4034:AA8102=""Neighbor""))) / STDEV(FILTER(R4034:R8102, AA4034:AA8102 =""Neighbor"")), """")"),0.3035472309364955)</f>
        <v>0.3035472309</v>
      </c>
    </row>
    <row r="4035">
      <c r="A4035" s="2" t="s">
        <v>28</v>
      </c>
      <c r="B4035" s="2" t="s">
        <v>10071</v>
      </c>
      <c r="C4035" s="2" t="s">
        <v>10167</v>
      </c>
      <c r="D4035" s="2" t="s">
        <v>16385</v>
      </c>
      <c r="E4035" s="2" t="s">
        <v>16386</v>
      </c>
      <c r="F4035" s="2">
        <v>21.0</v>
      </c>
      <c r="G4035" s="2">
        <v>66.0</v>
      </c>
      <c r="H4035" s="2" t="b">
        <v>1</v>
      </c>
      <c r="I4035" s="2">
        <v>-1.0</v>
      </c>
      <c r="J4035" s="2" t="b">
        <v>0</v>
      </c>
      <c r="K4035" s="2" t="b">
        <v>0</v>
      </c>
      <c r="L4035" s="2" t="b">
        <v>0</v>
      </c>
      <c r="M4035" s="2" t="b">
        <v>0</v>
      </c>
      <c r="N4035" s="2" t="s">
        <v>33</v>
      </c>
      <c r="O4035" s="2">
        <v>13.0</v>
      </c>
      <c r="P4035" s="2">
        <v>2.0</v>
      </c>
      <c r="Q4035" s="2">
        <v>4.0</v>
      </c>
      <c r="R4035" s="2">
        <v>0.0</v>
      </c>
      <c r="S4035" s="3" t="s">
        <v>16387</v>
      </c>
      <c r="T4035" s="2" t="s">
        <v>16388</v>
      </c>
      <c r="Y4035" s="4" t="str">
        <f>IFERROR(__xludf.DUMMYFUNCTION("""COMPUTED_VALUE"""),"6.8322014")</f>
        <v>6.8322014</v>
      </c>
      <c r="Z4035" s="4" t="str">
        <f>IFERROR(__xludf.DUMMYFUNCTION("""COMPUTED_VALUE"""),"3.6319131")</f>
        <v>3.6319131</v>
      </c>
      <c r="AA4035" s="4" t="str">
        <f t="shared" si="1"/>
        <v>Neighbor</v>
      </c>
      <c r="AC4035" s="4">
        <f>IFERROR(__xludf.DUMMYFUNCTION("IFERROR(ABS(O4035-AVERAGE(FILTER(O4035:O8103,AA4035:AA8103=""Neighbor""))) / STDEV(FILTER(O4035:O8103, AA4035:AA8103 =""Neighbor"")), """")"),0.8871222786295886)</f>
        <v>0.8871222786</v>
      </c>
      <c r="AF4035" s="2">
        <f>IFERROR(__xludf.DUMMYFUNCTION("IFERROR(ABS(R4035-AVERAGE(FILTER(R4035:R8103,AA4035:AA8103=""Neighbor""))) / STDEV(FILTER(R4035:R8103, AA4035:AA8103 =""Neighbor"")), """")"),0.31270524199764177)</f>
        <v>0.312705242</v>
      </c>
    </row>
    <row r="4036">
      <c r="A4036" s="2" t="s">
        <v>28</v>
      </c>
      <c r="B4036" s="2" t="s">
        <v>10071</v>
      </c>
      <c r="C4036" s="2" t="s">
        <v>10167</v>
      </c>
      <c r="D4036" s="2" t="s">
        <v>16389</v>
      </c>
      <c r="E4036" s="2" t="s">
        <v>16390</v>
      </c>
      <c r="F4036" s="2">
        <v>85.0</v>
      </c>
      <c r="G4036" s="2">
        <v>266.0</v>
      </c>
      <c r="H4036" s="2" t="b">
        <v>1</v>
      </c>
      <c r="I4036" s="2">
        <v>-1.0</v>
      </c>
      <c r="J4036" s="2" t="b">
        <v>0</v>
      </c>
      <c r="K4036" s="2" t="b">
        <v>0</v>
      </c>
      <c r="L4036" s="2" t="b">
        <v>0</v>
      </c>
      <c r="M4036" s="2" t="b">
        <v>0</v>
      </c>
      <c r="N4036" s="2" t="s">
        <v>33</v>
      </c>
      <c r="O4036" s="2">
        <v>21.0</v>
      </c>
      <c r="P4036" s="2">
        <v>31.0</v>
      </c>
      <c r="Q4036" s="2">
        <v>22.0</v>
      </c>
      <c r="R4036" s="2">
        <v>3.0</v>
      </c>
      <c r="S4036" s="3" t="s">
        <v>16391</v>
      </c>
      <c r="T4036" s="2" t="s">
        <v>16392</v>
      </c>
      <c r="Y4036" s="4" t="str">
        <f>IFERROR(__xludf.DUMMYFUNCTION("""COMPUTED_VALUE"""),"6.8348956")</f>
        <v>6.8348956</v>
      </c>
      <c r="Z4036" s="4" t="str">
        <f>IFERROR(__xludf.DUMMYFUNCTION("""COMPUTED_VALUE"""),"3.6293797")</f>
        <v>3.6293797</v>
      </c>
      <c r="AA4036" s="4" t="str">
        <f t="shared" si="1"/>
        <v>Neighbor</v>
      </c>
      <c r="AC4036" s="4">
        <f>IFERROR(__xludf.DUMMYFUNCTION("IFERROR(ABS(O4036-AVERAGE(FILTER(O4036:O8104,AA4036:AA8104=""Neighbor""))) / STDEV(FILTER(O4036:O8104, AA4036:AA8104 =""Neighbor"")), """")"),0.6382222075475724)</f>
        <v>0.6382222075</v>
      </c>
      <c r="AF4036" s="2">
        <f>IFERROR(__xludf.DUMMYFUNCTION("IFERROR(ABS(R4036-AVERAGE(FILTER(R4036:R8104,AA4036:AA8104=""Neighbor""))) / STDEV(FILTER(R4036:R8104, AA4036:AA8104 =""Neighbor"")), """")"),3.5502347340234657)</f>
        <v>3.550234734</v>
      </c>
    </row>
    <row r="4037">
      <c r="A4037" s="2" t="s">
        <v>28</v>
      </c>
      <c r="B4037" s="2" t="s">
        <v>10071</v>
      </c>
      <c r="C4037" s="2" t="s">
        <v>10167</v>
      </c>
      <c r="D4037" s="2" t="s">
        <v>16393</v>
      </c>
      <c r="E4037" s="2" t="s">
        <v>16394</v>
      </c>
      <c r="F4037" s="2">
        <v>17.0</v>
      </c>
      <c r="G4037" s="2">
        <v>44.0</v>
      </c>
      <c r="H4037" s="2" t="b">
        <v>1</v>
      </c>
      <c r="I4037" s="2">
        <v>-1.0</v>
      </c>
      <c r="J4037" s="2" t="b">
        <v>0</v>
      </c>
      <c r="K4037" s="2" t="b">
        <v>0</v>
      </c>
      <c r="L4037" s="2" t="b">
        <v>0</v>
      </c>
      <c r="M4037" s="2" t="b">
        <v>0</v>
      </c>
      <c r="N4037" s="2" t="s">
        <v>33</v>
      </c>
      <c r="O4037" s="2">
        <v>10.0</v>
      </c>
      <c r="P4037" s="2">
        <v>2.0</v>
      </c>
      <c r="Q4037" s="2">
        <v>5.0</v>
      </c>
      <c r="R4037" s="2">
        <v>0.0</v>
      </c>
      <c r="S4037" s="3" t="s">
        <v>16395</v>
      </c>
      <c r="T4037" s="2" t="s">
        <v>16396</v>
      </c>
      <c r="Y4037" s="4" t="str">
        <f>IFERROR(__xludf.DUMMYFUNCTION("""COMPUTED_VALUE"""),"6.8348956")</f>
        <v>6.8348956</v>
      </c>
      <c r="Z4037" s="4" t="str">
        <f>IFERROR(__xludf.DUMMYFUNCTION("""COMPUTED_VALUE"""),"3.6293797")</f>
        <v>3.6293797</v>
      </c>
      <c r="AA4037" s="4" t="str">
        <f t="shared" si="1"/>
        <v>Neighbor</v>
      </c>
      <c r="AC4037" s="4">
        <f>IFERROR(__xludf.DUMMYFUNCTION("IFERROR(ABS(O4037-AVERAGE(FILTER(O4037:O8105,AA4037:AA8105=""Neighbor""))) / STDEV(FILTER(O4037:O8105, AA4037:AA8105 =""Neighbor"")), """")"),1.070811830998896)</f>
        <v>1.070811831</v>
      </c>
      <c r="AF4037" s="2">
        <f>IFERROR(__xludf.DUMMYFUNCTION("IFERROR(ABS(R4037-AVERAGE(FILTER(R4037:R8105,AA4037:AA8105=""Neighbor""))) / STDEV(FILTER(R4037:R8105, AA4037:AA8105 =""Neighbor"")), """")"),0.25819888974716115)</f>
        <v>0.2581988897</v>
      </c>
    </row>
    <row r="4038">
      <c r="A4038" s="2" t="s">
        <v>28</v>
      </c>
      <c r="B4038" s="2" t="s">
        <v>10071</v>
      </c>
      <c r="C4038" s="2" t="s">
        <v>10167</v>
      </c>
      <c r="D4038" s="2" t="s">
        <v>16397</v>
      </c>
      <c r="E4038" s="2" t="s">
        <v>16398</v>
      </c>
      <c r="F4038" s="2">
        <v>24.0</v>
      </c>
      <c r="G4038" s="2">
        <v>54.0</v>
      </c>
      <c r="H4038" s="2" t="b">
        <v>1</v>
      </c>
      <c r="I4038" s="2">
        <v>-1.0</v>
      </c>
      <c r="J4038" s="2" t="b">
        <v>0</v>
      </c>
      <c r="K4038" s="2" t="b">
        <v>0</v>
      </c>
      <c r="L4038" s="2" t="b">
        <v>0</v>
      </c>
      <c r="M4038" s="2" t="b">
        <v>0</v>
      </c>
      <c r="N4038" s="2" t="s">
        <v>33</v>
      </c>
      <c r="O4038" s="2">
        <v>16.0</v>
      </c>
      <c r="P4038" s="2">
        <v>2.0</v>
      </c>
      <c r="Q4038" s="2">
        <v>4.0</v>
      </c>
      <c r="R4038" s="2">
        <v>0.0</v>
      </c>
      <c r="S4038" s="3" t="s">
        <v>16399</v>
      </c>
      <c r="T4038" s="2" t="s">
        <v>16400</v>
      </c>
      <c r="Y4038" s="4" t="str">
        <f>IFERROR(__xludf.DUMMYFUNCTION("""COMPUTED_VALUE"""),"6.828797")</f>
        <v>6.828797</v>
      </c>
      <c r="Z4038" s="4" t="str">
        <f>IFERROR(__xludf.DUMMYFUNCTION("""COMPUTED_VALUE"""),"3.6335378")</f>
        <v>3.6335378</v>
      </c>
      <c r="AA4038" s="4" t="str">
        <f t="shared" si="1"/>
        <v>Not Neighbor</v>
      </c>
      <c r="AC4038" s="4">
        <f>IFERROR(__xludf.DUMMYFUNCTION("IFERROR(ABS(O4038-AVERAGE(FILTER(O4038:O8106,AA4038:AA8106=""Neighbor""))) / STDEV(FILTER(O4038:O8106, AA4038:AA8106 =""Neighbor"")), """")"),0.935528343857064)</f>
        <v>0.9355283439</v>
      </c>
      <c r="AF4038" s="2">
        <f>IFERROR(__xludf.DUMMYFUNCTION("IFERROR(ABS(R4038-AVERAGE(FILTER(R4038:R8106,AA4038:AA8106=""Neighbor""))) / STDEV(FILTER(R4038:R8106, AA4038:AA8106 =""Neighbor"")), """")"),0.26726124191242434)</f>
        <v>0.2672612419</v>
      </c>
    </row>
    <row r="4039">
      <c r="A4039" s="2" t="s">
        <v>28</v>
      </c>
      <c r="B4039" s="2" t="s">
        <v>10071</v>
      </c>
      <c r="C4039" s="2" t="s">
        <v>10167</v>
      </c>
      <c r="D4039" s="2" t="s">
        <v>16401</v>
      </c>
      <c r="E4039" s="2" t="s">
        <v>16402</v>
      </c>
      <c r="F4039" s="2">
        <v>61.0</v>
      </c>
      <c r="G4039" s="2">
        <v>120.0</v>
      </c>
      <c r="H4039" s="2" t="b">
        <v>1</v>
      </c>
      <c r="I4039" s="2">
        <v>-1.0</v>
      </c>
      <c r="J4039" s="2" t="b">
        <v>0</v>
      </c>
      <c r="K4039" s="2" t="b">
        <v>1</v>
      </c>
      <c r="L4039" s="2" t="b">
        <v>0</v>
      </c>
      <c r="M4039" s="2" t="b">
        <v>0</v>
      </c>
      <c r="N4039" s="2" t="s">
        <v>33</v>
      </c>
      <c r="O4039" s="2">
        <v>4.0</v>
      </c>
      <c r="P4039" s="2">
        <v>37.0</v>
      </c>
      <c r="Q4039" s="2">
        <v>16.0</v>
      </c>
      <c r="R4039" s="2">
        <v>0.0</v>
      </c>
      <c r="S4039" s="3" t="s">
        <v>16403</v>
      </c>
      <c r="T4039" s="2" t="s">
        <v>16404</v>
      </c>
      <c r="Y4039" s="4" t="str">
        <f>IFERROR(__xludf.DUMMYFUNCTION("""COMPUTED_VALUE"""),"6.8416271")</f>
        <v>6.8416271</v>
      </c>
      <c r="Z4039" s="4" t="str">
        <f>IFERROR(__xludf.DUMMYFUNCTION("""COMPUTED_VALUE"""),"3.6243664")</f>
        <v>3.6243664</v>
      </c>
      <c r="AA4039" s="4" t="str">
        <f t="shared" si="1"/>
        <v>Not Neighbor</v>
      </c>
      <c r="AC4039" s="4">
        <f>IFERROR(__xludf.DUMMYFUNCTION("IFERROR(ABS(O4039-AVERAGE(FILTER(O4039:O8107,AA4039:AA8107=""Neighbor""))) / STDEV(FILTER(O4039:O8107, AA4039:AA8107 =""Neighbor"")), """")"),1.3795078968739758)</f>
        <v>1.379507897</v>
      </c>
      <c r="AF4039" s="2">
        <f>IFERROR(__xludf.DUMMYFUNCTION("IFERROR(ABS(R4039-AVERAGE(FILTER(R4039:R8107,AA4039:AA8107=""Neighbor""))) / STDEV(FILTER(R4039:R8107, AA4039:AA8107 =""Neighbor"")), """")"),0.26726124191242434)</f>
        <v>0.2672612419</v>
      </c>
    </row>
    <row r="4040">
      <c r="A4040" s="2" t="s">
        <v>28</v>
      </c>
      <c r="B4040" s="2" t="s">
        <v>10071</v>
      </c>
      <c r="C4040" s="2" t="s">
        <v>10167</v>
      </c>
      <c r="D4040" s="2" t="s">
        <v>16405</v>
      </c>
      <c r="E4040" s="2" t="s">
        <v>16406</v>
      </c>
      <c r="F4040" s="2">
        <v>87.0</v>
      </c>
      <c r="G4040" s="2">
        <v>159.0</v>
      </c>
      <c r="H4040" s="2" t="b">
        <v>1</v>
      </c>
      <c r="I4040" s="2">
        <v>-1.0</v>
      </c>
      <c r="J4040" s="2" t="b">
        <v>0</v>
      </c>
      <c r="K4040" s="2" t="b">
        <v>0</v>
      </c>
      <c r="L4040" s="2" t="b">
        <v>0</v>
      </c>
      <c r="M4040" s="2" t="b">
        <v>0</v>
      </c>
      <c r="N4040" s="2" t="s">
        <v>33</v>
      </c>
      <c r="O4040" s="2">
        <v>58.0</v>
      </c>
      <c r="P4040" s="2">
        <v>18.0</v>
      </c>
      <c r="Q4040" s="2">
        <v>7.0</v>
      </c>
      <c r="R4040" s="2">
        <v>0.0</v>
      </c>
      <c r="S4040" s="3" t="s">
        <v>16407</v>
      </c>
      <c r="T4040" s="2" t="s">
        <v>16408</v>
      </c>
      <c r="Y4040" s="4" t="str">
        <f>IFERROR(__xludf.DUMMYFUNCTION("""COMPUTED_VALUE"""),"6.6211078")</f>
        <v>6.6211078</v>
      </c>
      <c r="Z4040" s="4" t="str">
        <f>IFERROR(__xludf.DUMMYFUNCTION("""COMPUTED_VALUE"""),"3.3609343")</f>
        <v>3.3609343</v>
      </c>
      <c r="AA4040" s="4" t="str">
        <f t="shared" si="1"/>
        <v>Not Neighbor</v>
      </c>
      <c r="AC4040" s="4">
        <f>IFERROR(__xludf.DUMMYFUNCTION("IFERROR(ABS(O4040-AVERAGE(FILTER(O4040:O8108,AA4040:AA8108=""Neighbor""))) / STDEV(FILTER(O4040:O8108, AA4040:AA8108 =""Neighbor"")), """")"),0.6184000917021271)</f>
        <v>0.6184000917</v>
      </c>
      <c r="AF4040" s="2">
        <f>IFERROR(__xludf.DUMMYFUNCTION("IFERROR(ABS(R4040-AVERAGE(FILTER(R4040:R8108,AA4040:AA8108=""Neighbor""))) / STDEV(FILTER(R4040:R8108, AA4040:AA8108 =""Neighbor"")), """")"),0.26726124191242434)</f>
        <v>0.2672612419</v>
      </c>
    </row>
    <row r="4041">
      <c r="A4041" s="2" t="s">
        <v>28</v>
      </c>
      <c r="B4041" s="2" t="s">
        <v>10071</v>
      </c>
      <c r="C4041" s="2" t="s">
        <v>10167</v>
      </c>
      <c r="D4041" s="2" t="s">
        <v>16409</v>
      </c>
      <c r="E4041" s="2" t="s">
        <v>16410</v>
      </c>
      <c r="F4041" s="2">
        <v>49.0</v>
      </c>
      <c r="G4041" s="2">
        <v>105.0</v>
      </c>
      <c r="H4041" s="2" t="b">
        <v>1</v>
      </c>
      <c r="I4041" s="2">
        <v>-1.0</v>
      </c>
      <c r="J4041" s="2" t="b">
        <v>0</v>
      </c>
      <c r="K4041" s="2" t="b">
        <v>0</v>
      </c>
      <c r="L4041" s="2" t="b">
        <v>0</v>
      </c>
      <c r="M4041" s="2" t="b">
        <v>0</v>
      </c>
      <c r="N4041" s="2" t="s">
        <v>33</v>
      </c>
      <c r="O4041" s="2">
        <v>21.0</v>
      </c>
      <c r="P4041" s="2">
        <v>21.0</v>
      </c>
      <c r="Q4041" s="2">
        <v>4.0</v>
      </c>
      <c r="R4041" s="2">
        <v>0.0</v>
      </c>
      <c r="S4041" s="3" t="s">
        <v>16411</v>
      </c>
      <c r="T4041" s="2" t="s">
        <v>16412</v>
      </c>
      <c r="Y4041" s="4" t="str">
        <f>IFERROR(__xludf.DUMMYFUNCTION("""COMPUTED_VALUE"""),"6.8342826")</f>
        <v>6.8342826</v>
      </c>
      <c r="Z4041" s="4" t="str">
        <f>IFERROR(__xludf.DUMMYFUNCTION("""COMPUTED_VALUE"""),"3.6248677")</f>
        <v>3.6248677</v>
      </c>
      <c r="AA4041" s="4" t="str">
        <f t="shared" si="1"/>
        <v>Neighbor</v>
      </c>
      <c r="AC4041" s="4">
        <f>IFERROR(__xludf.DUMMYFUNCTION("IFERROR(ABS(O4041-AVERAGE(FILTER(O4041:O8109,AA4041:AA8109=""Neighbor""))) / STDEV(FILTER(O4041:O8109, AA4041:AA8109 =""Neighbor"")), """")"),0.7505368634333508)</f>
        <v>0.7505368634</v>
      </c>
      <c r="AF4041" s="2">
        <f>IFERROR(__xludf.DUMMYFUNCTION("IFERROR(ABS(R4041-AVERAGE(FILTER(R4041:R8109,AA4041:AA8109=""Neighbor""))) / STDEV(FILTER(R4041:R8109, AA4041:AA8109 =""Neighbor"")), """")"),0.26726124191242434)</f>
        <v>0.2672612419</v>
      </c>
    </row>
    <row r="4042">
      <c r="A4042" s="2" t="s">
        <v>28</v>
      </c>
      <c r="B4042" s="2" t="s">
        <v>10071</v>
      </c>
      <c r="C4042" s="2" t="s">
        <v>10167</v>
      </c>
      <c r="D4042" s="2" t="s">
        <v>16413</v>
      </c>
      <c r="E4042" s="2" t="s">
        <v>16414</v>
      </c>
      <c r="F4042" s="2">
        <v>49.0</v>
      </c>
      <c r="G4042" s="2">
        <v>111.0</v>
      </c>
      <c r="H4042" s="2" t="b">
        <v>1</v>
      </c>
      <c r="I4042" s="2">
        <v>-1.0</v>
      </c>
      <c r="J4042" s="2" t="b">
        <v>1</v>
      </c>
      <c r="K4042" s="2" t="b">
        <v>0</v>
      </c>
      <c r="L4042" s="2" t="b">
        <v>0</v>
      </c>
      <c r="M4042" s="2" t="b">
        <v>0</v>
      </c>
      <c r="N4042" s="2" t="s">
        <v>33</v>
      </c>
      <c r="O4042" s="2">
        <v>18.0</v>
      </c>
      <c r="P4042" s="2">
        <v>12.0</v>
      </c>
      <c r="Q4042" s="2">
        <v>13.0</v>
      </c>
      <c r="R4042" s="2">
        <v>0.0</v>
      </c>
      <c r="S4042" s="3" t="s">
        <v>16415</v>
      </c>
      <c r="T4042" s="2" t="s">
        <v>16416</v>
      </c>
      <c r="Y4042" s="4" t="str">
        <f>IFERROR(__xludf.DUMMYFUNCTION("""COMPUTED_VALUE"""),"6.8348956")</f>
        <v>6.8348956</v>
      </c>
      <c r="Z4042" s="4" t="str">
        <f>IFERROR(__xludf.DUMMYFUNCTION("""COMPUTED_VALUE"""),"3.6293797")</f>
        <v>3.6293797</v>
      </c>
      <c r="AA4042" s="4" t="str">
        <f t="shared" si="1"/>
        <v>Neighbor</v>
      </c>
      <c r="AC4042" s="4">
        <f>IFERROR(__xludf.DUMMYFUNCTION("IFERROR(ABS(O4042-AVERAGE(FILTER(O4042:O8110,AA4042:AA8110=""Neighbor""))) / STDEV(FILTER(O4042:O8110, AA4042:AA8110 =""Neighbor"")), """")"),0.9045590595889389)</f>
        <v>0.9045590596</v>
      </c>
      <c r="AF4042" s="2">
        <f>IFERROR(__xludf.DUMMYFUNCTION("IFERROR(ABS(R4042-AVERAGE(FILTER(R4042:R8110,AA4042:AA8110=""Neighbor""))) / STDEV(FILTER(R4042:R8110, AA4042:AA8110 =""Neighbor"")), """")"),0.2773500981126146)</f>
        <v>0.2773500981</v>
      </c>
    </row>
    <row r="4043">
      <c r="A4043" s="2" t="s">
        <v>28</v>
      </c>
      <c r="B4043" s="2" t="s">
        <v>10071</v>
      </c>
      <c r="C4043" s="2" t="s">
        <v>10167</v>
      </c>
      <c r="D4043" s="2" t="s">
        <v>16417</v>
      </c>
      <c r="E4043" s="2" t="s">
        <v>16418</v>
      </c>
      <c r="F4043" s="2">
        <v>152.0</v>
      </c>
      <c r="G4043" s="2">
        <v>678.0</v>
      </c>
      <c r="H4043" s="2" t="b">
        <v>1</v>
      </c>
      <c r="I4043" s="2">
        <v>-1.0</v>
      </c>
      <c r="J4043" s="2" t="b">
        <v>0</v>
      </c>
      <c r="K4043" s="2" t="b">
        <v>0</v>
      </c>
      <c r="L4043" s="2" t="b">
        <v>0</v>
      </c>
      <c r="M4043" s="2" t="b">
        <v>0</v>
      </c>
      <c r="N4043" s="2" t="s">
        <v>33</v>
      </c>
      <c r="O4043" s="2">
        <v>59.0</v>
      </c>
      <c r="P4043" s="2">
        <v>48.0</v>
      </c>
      <c r="Q4043" s="2">
        <v>40.0</v>
      </c>
      <c r="R4043" s="2">
        <v>0.0</v>
      </c>
      <c r="S4043" s="3" t="s">
        <v>16419</v>
      </c>
      <c r="T4043" s="2" t="s">
        <v>16420</v>
      </c>
      <c r="Y4043" s="4" t="str">
        <f>IFERROR(__xludf.DUMMYFUNCTION("""COMPUTED_VALUE"""),"6.8348956")</f>
        <v>6.8348956</v>
      </c>
      <c r="Z4043" s="4" t="str">
        <f>IFERROR(__xludf.DUMMYFUNCTION("""COMPUTED_VALUE"""),"3.6293797")</f>
        <v>3.6293797</v>
      </c>
      <c r="AA4043" s="4" t="str">
        <f t="shared" si="1"/>
        <v>Neighbor</v>
      </c>
      <c r="AC4043" s="4">
        <f>IFERROR(__xludf.DUMMYFUNCTION("IFERROR(ABS(O4043-AVERAGE(FILTER(O4043:O8111,AA4043:AA8111=""Neighbor""))) / STDEV(FILTER(O4043:O8111, AA4043:AA8111 =""Neighbor"")), """")"),0.5100965964581524)</f>
        <v>0.5100965965</v>
      </c>
      <c r="AF4043" s="2">
        <f>IFERROR(__xludf.DUMMYFUNCTION("IFERROR(ABS(R4043-AVERAGE(FILTER(R4043:R8111,AA4043:AA8111=""Neighbor""))) / STDEV(FILTER(R4043:R8111, AA4043:AA8111 =""Neighbor"")), """")"),0.2886751345948128)</f>
        <v>0.2886751346</v>
      </c>
    </row>
    <row r="4044">
      <c r="A4044" s="2" t="s">
        <v>28</v>
      </c>
      <c r="B4044" s="2" t="s">
        <v>10071</v>
      </c>
      <c r="C4044" s="2" t="s">
        <v>10220</v>
      </c>
      <c r="D4044" s="2" t="s">
        <v>16421</v>
      </c>
      <c r="E4044" s="2" t="s">
        <v>16422</v>
      </c>
      <c r="F4044" s="2">
        <v>95.0</v>
      </c>
      <c r="G4044" s="2">
        <v>410.0</v>
      </c>
      <c r="H4044" s="2" t="b">
        <v>1</v>
      </c>
      <c r="I4044" s="2">
        <v>-1.0</v>
      </c>
      <c r="J4044" s="2" t="b">
        <v>0</v>
      </c>
      <c r="K4044" s="2" t="b">
        <v>0</v>
      </c>
      <c r="L4044" s="2" t="b">
        <v>0</v>
      </c>
      <c r="M4044" s="2" t="b">
        <v>0</v>
      </c>
      <c r="N4044" s="2" t="s">
        <v>33</v>
      </c>
      <c r="O4044" s="2">
        <v>50.0</v>
      </c>
      <c r="P4044" s="2">
        <v>15.0</v>
      </c>
      <c r="Q4044" s="2">
        <v>8.0</v>
      </c>
      <c r="R4044" s="2">
        <v>1.0</v>
      </c>
      <c r="S4044" s="3" t="s">
        <v>16423</v>
      </c>
      <c r="T4044" s="2" t="s">
        <v>16424</v>
      </c>
      <c r="Y4044" s="4" t="str">
        <f>IFERROR(__xludf.DUMMYFUNCTION("""COMPUTED_VALUE"""),"6.8322014")</f>
        <v>6.8322014</v>
      </c>
      <c r="Z4044" s="4" t="str">
        <f>IFERROR(__xludf.DUMMYFUNCTION("""COMPUTED_VALUE"""),"3.6319131")</f>
        <v>3.6319131</v>
      </c>
      <c r="AA4044" s="4" t="str">
        <f t="shared" si="1"/>
        <v>Neighbor</v>
      </c>
      <c r="AC4044" s="4">
        <f>IFERROR(__xludf.DUMMYFUNCTION("IFERROR(ABS(O4044-AVERAGE(FILTER(O4044:O8112,AA4044:AA8112=""Neighbor""))) / STDEV(FILTER(O4044:O8112, AA4044:AA8112 =""Neighbor"")), """")"),0.2226552756273724)</f>
        <v>0.2226552756</v>
      </c>
      <c r="AF4044" s="2">
        <f>IFERROR(__xludf.DUMMYFUNCTION("IFERROR(ABS(R4044-AVERAGE(FILTER(R4044:R8112,AA4044:AA8112=""Neighbor""))) / STDEV(FILTER(R4044:R8112, AA4044:AA8112 =""Neighbor"")), """")"),3.015113445777636)</f>
        <v>3.015113446</v>
      </c>
    </row>
    <row r="4045">
      <c r="A4045" s="2" t="s">
        <v>28</v>
      </c>
      <c r="B4045" s="2" t="s">
        <v>10071</v>
      </c>
      <c r="C4045" s="2" t="s">
        <v>10220</v>
      </c>
      <c r="D4045" s="2" t="s">
        <v>16425</v>
      </c>
      <c r="E4045" s="2" t="s">
        <v>16426</v>
      </c>
      <c r="F4045" s="2">
        <v>64.0</v>
      </c>
      <c r="G4045" s="2">
        <v>94.0</v>
      </c>
      <c r="H4045" s="2" t="b">
        <v>1</v>
      </c>
      <c r="I4045" s="2">
        <v>-1.0</v>
      </c>
      <c r="J4045" s="2" t="b">
        <v>0</v>
      </c>
      <c r="K4045" s="2" t="b">
        <v>0</v>
      </c>
      <c r="L4045" s="2" t="b">
        <v>0</v>
      </c>
      <c r="M4045" s="2" t="b">
        <v>0</v>
      </c>
      <c r="N4045" s="2" t="s">
        <v>33</v>
      </c>
      <c r="O4045" s="2">
        <v>48.0</v>
      </c>
      <c r="P4045" s="2">
        <v>5.0</v>
      </c>
      <c r="Q4045" s="2">
        <v>8.0</v>
      </c>
      <c r="R4045" s="2">
        <v>0.0</v>
      </c>
      <c r="S4045" s="3" t="s">
        <v>16427</v>
      </c>
      <c r="T4045" s="2" t="s">
        <v>16428</v>
      </c>
      <c r="Y4045" s="4" t="str">
        <f>IFERROR(__xludf.DUMMYFUNCTION("""COMPUTED_VALUE"""),"6.8322014")</f>
        <v>6.8322014</v>
      </c>
      <c r="Z4045" s="4" t="str">
        <f>IFERROR(__xludf.DUMMYFUNCTION("""COMPUTED_VALUE"""),"3.6319131")</f>
        <v>3.6319131</v>
      </c>
      <c r="AA4045" s="4" t="str">
        <f t="shared" si="1"/>
        <v>Neighbor</v>
      </c>
      <c r="AC4045" s="4">
        <f>IFERROR(__xludf.DUMMYFUNCTION("IFERROR(ABS(O4045-AVERAGE(FILTER(O4045:O8113,AA4045:AA8113=""Neighbor""))) / STDEV(FILTER(O4045:O8113, AA4045:AA8113 =""Neighbor"")), """")"),0.16642030043196085)</f>
        <v>0.1664203004</v>
      </c>
      <c r="AF4045" s="2" t="str">
        <f>IFERROR(__xludf.DUMMYFUNCTION("IFERROR(ABS(R4045-AVERAGE(FILTER(R4045:R8113,AA4045:AA8113=""Neighbor""))) / STDEV(FILTER(R4045:R8113, AA4045:AA8113 =""Neighbor"")), """")"),"")</f>
        <v/>
      </c>
    </row>
    <row r="4046">
      <c r="A4046" s="2" t="s">
        <v>28</v>
      </c>
      <c r="B4046" s="2" t="s">
        <v>10071</v>
      </c>
      <c r="C4046" s="2" t="s">
        <v>10220</v>
      </c>
      <c r="D4046" s="2" t="s">
        <v>16429</v>
      </c>
      <c r="E4046" s="2" t="s">
        <v>16430</v>
      </c>
      <c r="F4046" s="2">
        <v>53.0</v>
      </c>
      <c r="G4046" s="2">
        <v>109.0</v>
      </c>
      <c r="H4046" s="2" t="b">
        <v>1</v>
      </c>
      <c r="I4046" s="2">
        <v>-1.0</v>
      </c>
      <c r="J4046" s="2" t="b">
        <v>1</v>
      </c>
      <c r="K4046" s="2" t="b">
        <v>0</v>
      </c>
      <c r="L4046" s="2" t="b">
        <v>0</v>
      </c>
      <c r="M4046" s="2" t="b">
        <v>0</v>
      </c>
      <c r="N4046" s="2" t="s">
        <v>33</v>
      </c>
      <c r="O4046" s="2">
        <v>33.0</v>
      </c>
      <c r="P4046" s="2">
        <v>2.0</v>
      </c>
      <c r="Q4046" s="2">
        <v>10.0</v>
      </c>
      <c r="R4046" s="2">
        <v>0.0</v>
      </c>
      <c r="S4046" s="3" t="s">
        <v>16431</v>
      </c>
      <c r="T4046" s="2" t="s">
        <v>16432</v>
      </c>
      <c r="Y4046" s="4" t="str">
        <f>IFERROR(__xludf.DUMMYFUNCTION("""COMPUTED_VALUE"""),"6.8322014")</f>
        <v>6.8322014</v>
      </c>
      <c r="Z4046" s="4" t="str">
        <f>IFERROR(__xludf.DUMMYFUNCTION("""COMPUTED_VALUE"""),"3.6319131")</f>
        <v>3.6319131</v>
      </c>
      <c r="AA4046" s="4" t="str">
        <f t="shared" si="1"/>
        <v>Neighbor</v>
      </c>
      <c r="AC4046" s="4">
        <f>IFERROR(__xludf.DUMMYFUNCTION("IFERROR(ABS(O4046-AVERAGE(FILTER(O4046:O8114,AA4046:AA8114=""Neighbor""))) / STDEV(FILTER(O4046:O8114, AA4046:AA8114 =""Neighbor"")), """")"),0.2968794930629976)</f>
        <v>0.2968794931</v>
      </c>
      <c r="AF4046" s="2" t="str">
        <f>IFERROR(__xludf.DUMMYFUNCTION("IFERROR(ABS(R4046-AVERAGE(FILTER(R4046:R8114,AA4046:AA8114=""Neighbor""))) / STDEV(FILTER(R4046:R8114, AA4046:AA8114 =""Neighbor"")), """")"),"")</f>
        <v/>
      </c>
    </row>
    <row r="4047">
      <c r="A4047" s="2" t="s">
        <v>28</v>
      </c>
      <c r="B4047" s="2" t="s">
        <v>10071</v>
      </c>
      <c r="C4047" s="2" t="s">
        <v>10220</v>
      </c>
      <c r="D4047" s="2" t="s">
        <v>16433</v>
      </c>
      <c r="E4047" s="2" t="s">
        <v>16434</v>
      </c>
      <c r="F4047" s="2">
        <v>130.0</v>
      </c>
      <c r="G4047" s="2">
        <v>185.0</v>
      </c>
      <c r="H4047" s="2" t="b">
        <v>1</v>
      </c>
      <c r="I4047" s="2">
        <v>-1.0</v>
      </c>
      <c r="J4047" s="2" t="b">
        <v>1</v>
      </c>
      <c r="K4047" s="2" t="b">
        <v>0</v>
      </c>
      <c r="L4047" s="2" t="b">
        <v>0</v>
      </c>
      <c r="M4047" s="2" t="b">
        <v>0</v>
      </c>
      <c r="N4047" s="2" t="s">
        <v>33</v>
      </c>
      <c r="O4047" s="2">
        <v>73.0</v>
      </c>
      <c r="P4047" s="2">
        <v>16.0</v>
      </c>
      <c r="Q4047" s="2">
        <v>40.0</v>
      </c>
      <c r="R4047" s="2">
        <v>0.0</v>
      </c>
      <c r="S4047" s="3" t="s">
        <v>16435</v>
      </c>
      <c r="T4047" s="2" t="s">
        <v>16436</v>
      </c>
      <c r="Y4047" s="4" t="str">
        <f>IFERROR(__xludf.DUMMYFUNCTION("""COMPUTED_VALUE"""),"6.8322014")</f>
        <v>6.8322014</v>
      </c>
      <c r="Z4047" s="4" t="str">
        <f>IFERROR(__xludf.DUMMYFUNCTION("""COMPUTED_VALUE"""),"3.6319131")</f>
        <v>3.6319131</v>
      </c>
      <c r="AA4047" s="4" t="str">
        <f t="shared" si="1"/>
        <v>Not Neighbor</v>
      </c>
      <c r="AC4047" s="4">
        <f>IFERROR(__xludf.DUMMYFUNCTION("IFERROR(ABS(O4047-AVERAGE(FILTER(O4047:O8115,AA4047:AA8115=""Neighbor""))) / STDEV(FILTER(O4047:O8115, AA4047:AA8115 =""Neighbor"")), """")"),0.8691483243375385)</f>
        <v>0.8691483243</v>
      </c>
      <c r="AF4047" s="2" t="str">
        <f>IFERROR(__xludf.DUMMYFUNCTION("IFERROR(ABS(R4047-AVERAGE(FILTER(R4047:R8115,AA4047:AA8115=""Neighbor""))) / STDEV(FILTER(R4047:R8115, AA4047:AA8115 =""Neighbor"")), """")"),"")</f>
        <v/>
      </c>
    </row>
    <row r="4048">
      <c r="A4048" s="2" t="s">
        <v>28</v>
      </c>
      <c r="B4048" s="2" t="s">
        <v>10071</v>
      </c>
      <c r="C4048" s="2" t="s">
        <v>10220</v>
      </c>
      <c r="D4048" s="2" t="s">
        <v>16437</v>
      </c>
      <c r="E4048" s="2" t="s">
        <v>16438</v>
      </c>
      <c r="F4048" s="2">
        <v>43.0</v>
      </c>
      <c r="G4048" s="2">
        <v>76.0</v>
      </c>
      <c r="H4048" s="2" t="b">
        <v>1</v>
      </c>
      <c r="I4048" s="2">
        <v>-1.0</v>
      </c>
      <c r="J4048" s="2" t="b">
        <v>1</v>
      </c>
      <c r="K4048" s="2" t="b">
        <v>0</v>
      </c>
      <c r="L4048" s="2" t="b">
        <v>0</v>
      </c>
      <c r="M4048" s="2" t="b">
        <v>0</v>
      </c>
      <c r="N4048" s="2" t="s">
        <v>33</v>
      </c>
      <c r="O4048" s="2">
        <v>29.0</v>
      </c>
      <c r="P4048" s="2">
        <v>7.0</v>
      </c>
      <c r="Q4048" s="2">
        <v>4.0</v>
      </c>
      <c r="R4048" s="2">
        <v>0.0</v>
      </c>
      <c r="S4048" s="3" t="s">
        <v>16439</v>
      </c>
      <c r="T4048" s="2" t="s">
        <v>16440</v>
      </c>
      <c r="Y4048" s="4" t="str">
        <f>IFERROR(__xludf.DUMMYFUNCTION("""COMPUTED_VALUE"""),"6.7382882")</f>
        <v>6.7382882</v>
      </c>
      <c r="Z4048" s="4" t="str">
        <f>IFERROR(__xludf.DUMMYFUNCTION("""COMPUTED_VALUE"""),"3.6567789")</f>
        <v>3.6567789</v>
      </c>
      <c r="AA4048" s="4" t="str">
        <f t="shared" si="1"/>
        <v>Not Neighbor</v>
      </c>
      <c r="AC4048" s="4">
        <f>IFERROR(__xludf.DUMMYFUNCTION("IFERROR(ABS(O4048-AVERAGE(FILTER(O4048:O8116,AA4048:AA8116=""Neighbor""))) / STDEV(FILTER(O4048:O8116, AA4048:AA8116 =""Neighbor"")), """")"),0.4327249104148596)</f>
        <v>0.4327249104</v>
      </c>
      <c r="AF4048" s="2" t="str">
        <f>IFERROR(__xludf.DUMMYFUNCTION("IFERROR(ABS(R4048-AVERAGE(FILTER(R4048:R8116,AA4048:AA8116=""Neighbor""))) / STDEV(FILTER(R4048:R8116, AA4048:AA8116 =""Neighbor"")), """")"),"")</f>
        <v/>
      </c>
    </row>
    <row r="4049">
      <c r="A4049" s="2" t="s">
        <v>28</v>
      </c>
      <c r="B4049" s="2" t="s">
        <v>10071</v>
      </c>
      <c r="C4049" s="2" t="s">
        <v>10220</v>
      </c>
      <c r="D4049" s="2" t="s">
        <v>16441</v>
      </c>
      <c r="E4049" s="2" t="s">
        <v>16442</v>
      </c>
      <c r="F4049" s="2">
        <v>49.0</v>
      </c>
      <c r="G4049" s="2">
        <v>103.0</v>
      </c>
      <c r="H4049" s="2" t="b">
        <v>1</v>
      </c>
      <c r="I4049" s="2">
        <v>-1.0</v>
      </c>
      <c r="J4049" s="2" t="b">
        <v>1</v>
      </c>
      <c r="K4049" s="2" t="b">
        <v>0</v>
      </c>
      <c r="L4049" s="2" t="b">
        <v>0</v>
      </c>
      <c r="M4049" s="2" t="b">
        <v>0</v>
      </c>
      <c r="N4049" s="2" t="s">
        <v>33</v>
      </c>
      <c r="O4049" s="2">
        <v>0.0</v>
      </c>
      <c r="P4049" s="2">
        <v>0.0</v>
      </c>
      <c r="Q4049" s="2">
        <v>0.0</v>
      </c>
      <c r="R4049" s="2">
        <v>0.0</v>
      </c>
      <c r="S4049" s="3" t="s">
        <v>16443</v>
      </c>
      <c r="T4049" s="2" t="s">
        <v>16444</v>
      </c>
      <c r="Y4049" s="4" t="str">
        <f>IFERROR(__xludf.DUMMYFUNCTION("""COMPUTED_VALUE"""),"6.8322014")</f>
        <v>6.8322014</v>
      </c>
      <c r="Z4049" s="4" t="str">
        <f>IFERROR(__xludf.DUMMYFUNCTION("""COMPUTED_VALUE"""),"3.6319131")</f>
        <v>3.6319131</v>
      </c>
      <c r="AA4049" s="4" t="str">
        <f t="shared" si="1"/>
        <v>Neighbor</v>
      </c>
      <c r="AC4049" s="4">
        <f>IFERROR(__xludf.DUMMYFUNCTION("IFERROR(ABS(O4049-AVERAGE(FILTER(O4049:O8117,AA4049:AA8117=""Neighbor""))) / STDEV(FILTER(O4049:O8117, AA4049:AA8117 =""Neighbor"")), """")"),1.2907777242289402)</f>
        <v>1.290777724</v>
      </c>
      <c r="AF4049" s="2" t="str">
        <f>IFERROR(__xludf.DUMMYFUNCTION("IFERROR(ABS(R4049-AVERAGE(FILTER(R4049:R8117,AA4049:AA8117=""Neighbor""))) / STDEV(FILTER(R4049:R8117, AA4049:AA8117 =""Neighbor"")), """")"),"")</f>
        <v/>
      </c>
    </row>
    <row r="4050">
      <c r="A4050" s="2" t="s">
        <v>28</v>
      </c>
      <c r="B4050" s="2" t="s">
        <v>10071</v>
      </c>
      <c r="C4050" s="2" t="s">
        <v>10220</v>
      </c>
      <c r="D4050" s="2" t="s">
        <v>16445</v>
      </c>
      <c r="E4050" s="2" t="s">
        <v>16446</v>
      </c>
      <c r="F4050" s="2">
        <v>81.0</v>
      </c>
      <c r="G4050" s="2">
        <v>155.0</v>
      </c>
      <c r="H4050" s="2" t="b">
        <v>1</v>
      </c>
      <c r="I4050" s="2">
        <v>-1.0</v>
      </c>
      <c r="J4050" s="2" t="b">
        <v>0</v>
      </c>
      <c r="K4050" s="2" t="b">
        <v>0</v>
      </c>
      <c r="L4050" s="2" t="b">
        <v>0</v>
      </c>
      <c r="M4050" s="2" t="b">
        <v>0</v>
      </c>
      <c r="N4050" s="2" t="s">
        <v>33</v>
      </c>
      <c r="O4050" s="2">
        <v>45.0</v>
      </c>
      <c r="P4050" s="2">
        <v>14.0</v>
      </c>
      <c r="Q4050" s="2">
        <v>17.0</v>
      </c>
      <c r="R4050" s="2">
        <v>0.0</v>
      </c>
      <c r="S4050" s="3" t="s">
        <v>16447</v>
      </c>
      <c r="T4050" s="2" t="s">
        <v>16448</v>
      </c>
      <c r="Y4050" s="4" t="str">
        <f>IFERROR(__xludf.DUMMYFUNCTION("""COMPUTED_VALUE"""),"6.8322014")</f>
        <v>6.8322014</v>
      </c>
      <c r="Z4050" s="4" t="str">
        <f>IFERROR(__xludf.DUMMYFUNCTION("""COMPUTED_VALUE"""),"3.6319131")</f>
        <v>3.6319131</v>
      </c>
      <c r="AA4050" s="4" t="str">
        <f t="shared" si="1"/>
        <v>Neighbor</v>
      </c>
      <c r="AC4050" s="4">
        <f>IFERROR(__xludf.DUMMYFUNCTION("IFERROR(ABS(O4050-AVERAGE(FILTER(O4050:O8118,AA4050:AA8118=""Neighbor""))) / STDEV(FILTER(O4050:O8118, AA4050:AA8118 =""Neighbor"")), """")"),0.15594197555903333)</f>
        <v>0.1559419756</v>
      </c>
      <c r="AF4050" s="2" t="str">
        <f>IFERROR(__xludf.DUMMYFUNCTION("IFERROR(ABS(R4050-AVERAGE(FILTER(R4050:R8118,AA4050:AA8118=""Neighbor""))) / STDEV(FILTER(R4050:R8118, AA4050:AA8118 =""Neighbor"")), """")"),"")</f>
        <v/>
      </c>
    </row>
    <row r="4051">
      <c r="A4051" s="2" t="s">
        <v>28</v>
      </c>
      <c r="B4051" s="2" t="s">
        <v>10071</v>
      </c>
      <c r="C4051" s="2" t="s">
        <v>10220</v>
      </c>
      <c r="D4051" s="2" t="s">
        <v>16449</v>
      </c>
      <c r="E4051" s="2" t="s">
        <v>16450</v>
      </c>
      <c r="F4051" s="2">
        <v>56.0</v>
      </c>
      <c r="G4051" s="2">
        <v>99.0</v>
      </c>
      <c r="H4051" s="2" t="b">
        <v>1</v>
      </c>
      <c r="I4051" s="2">
        <v>-1.0</v>
      </c>
      <c r="J4051" s="2" t="b">
        <v>0</v>
      </c>
      <c r="K4051" s="2" t="b">
        <v>0</v>
      </c>
      <c r="L4051" s="2" t="b">
        <v>0</v>
      </c>
      <c r="M4051" s="2" t="b">
        <v>0</v>
      </c>
      <c r="N4051" s="2" t="s">
        <v>33</v>
      </c>
      <c r="O4051" s="2">
        <v>47.0</v>
      </c>
      <c r="P4051" s="2">
        <v>4.0</v>
      </c>
      <c r="Q4051" s="2">
        <v>3.0</v>
      </c>
      <c r="R4051" s="2">
        <v>0.0</v>
      </c>
      <c r="S4051" s="3" t="s">
        <v>16451</v>
      </c>
      <c r="T4051" s="2" t="s">
        <v>16452</v>
      </c>
      <c r="Y4051" s="4" t="str">
        <f>IFERROR(__xludf.DUMMYFUNCTION("""COMPUTED_VALUE"""),"6.8322014")</f>
        <v>6.8322014</v>
      </c>
      <c r="Z4051" s="4" t="str">
        <f>IFERROR(__xludf.DUMMYFUNCTION("""COMPUTED_VALUE"""),"3.6319131")</f>
        <v>3.6319131</v>
      </c>
      <c r="AA4051" s="4" t="str">
        <f t="shared" si="1"/>
        <v>Neighbor</v>
      </c>
      <c r="AC4051" s="4">
        <f>IFERROR(__xludf.DUMMYFUNCTION("IFERROR(ABS(O4051-AVERAGE(FILTER(O4051:O8119,AA4051:AA8119=""Neighbor""))) / STDEV(FILTER(O4051:O8119, AA4051:AA8119 =""Neighbor"")), """")"),0.1077189654955252)</f>
        <v>0.1077189655</v>
      </c>
      <c r="AF4051" s="2" t="str">
        <f>IFERROR(__xludf.DUMMYFUNCTION("IFERROR(ABS(R4051-AVERAGE(FILTER(R4051:R8119,AA4051:AA8119=""Neighbor""))) / STDEV(FILTER(R4051:R8119, AA4051:AA8119 =""Neighbor"")), """")"),"")</f>
        <v/>
      </c>
    </row>
    <row r="4052">
      <c r="A4052" s="2" t="s">
        <v>28</v>
      </c>
      <c r="B4052" s="2" t="s">
        <v>10071</v>
      </c>
      <c r="C4052" s="2" t="s">
        <v>10220</v>
      </c>
      <c r="D4052" s="2" t="s">
        <v>16453</v>
      </c>
      <c r="E4052" s="2" t="s">
        <v>16454</v>
      </c>
      <c r="F4052" s="2">
        <v>92.0</v>
      </c>
      <c r="G4052" s="2">
        <v>136.0</v>
      </c>
      <c r="H4052" s="2" t="b">
        <v>1</v>
      </c>
      <c r="I4052" s="2">
        <v>-1.0</v>
      </c>
      <c r="J4052" s="2" t="b">
        <v>0</v>
      </c>
      <c r="K4052" s="2" t="b">
        <v>0</v>
      </c>
      <c r="L4052" s="2" t="b">
        <v>0</v>
      </c>
      <c r="M4052" s="2" t="b">
        <v>0</v>
      </c>
      <c r="N4052" s="2" t="s">
        <v>33</v>
      </c>
      <c r="O4052" s="2">
        <v>41.0</v>
      </c>
      <c r="P4052" s="2">
        <v>27.0</v>
      </c>
      <c r="Q4052" s="2">
        <v>22.0</v>
      </c>
      <c r="R4052" s="2">
        <v>0.0</v>
      </c>
      <c r="S4052" s="3" t="s">
        <v>16455</v>
      </c>
      <c r="T4052" s="2" t="s">
        <v>16456</v>
      </c>
      <c r="Y4052" s="4" t="str">
        <f>IFERROR(__xludf.DUMMYFUNCTION("""COMPUTED_VALUE"""),"6.8322014")</f>
        <v>6.8322014</v>
      </c>
      <c r="Z4052" s="4" t="str">
        <f>IFERROR(__xludf.DUMMYFUNCTION("""COMPUTED_VALUE"""),"3.6319131")</f>
        <v>3.6319131</v>
      </c>
      <c r="AA4052" s="4" t="str">
        <f t="shared" si="1"/>
        <v>Neighbor</v>
      </c>
      <c r="AC4052" s="4">
        <f>IFERROR(__xludf.DUMMYFUNCTION("IFERROR(ABS(O4052-AVERAGE(FILTER(O4052:O8120,AA4052:AA8120=""Neighbor""))) / STDEV(FILTER(O4052:O8120, AA4052:AA8120 =""Neighbor"")), """")"),0.2736557851551377)</f>
        <v>0.2736557852</v>
      </c>
      <c r="AF4052" s="2" t="str">
        <f>IFERROR(__xludf.DUMMYFUNCTION("IFERROR(ABS(R4052-AVERAGE(FILTER(R4052:R8120,AA4052:AA8120=""Neighbor""))) / STDEV(FILTER(R4052:R8120, AA4052:AA8120 =""Neighbor"")), """")"),"")</f>
        <v/>
      </c>
    </row>
    <row r="4053">
      <c r="A4053" s="2" t="s">
        <v>28</v>
      </c>
      <c r="B4053" s="2" t="s">
        <v>10071</v>
      </c>
      <c r="C4053" s="2" t="s">
        <v>10220</v>
      </c>
      <c r="D4053" s="2" t="s">
        <v>16457</v>
      </c>
      <c r="E4053" s="2" t="s">
        <v>16458</v>
      </c>
      <c r="F4053" s="2">
        <v>141.0</v>
      </c>
      <c r="G4053" s="2">
        <v>395.0</v>
      </c>
      <c r="H4053" s="2" t="b">
        <v>1</v>
      </c>
      <c r="I4053" s="2">
        <v>-1.0</v>
      </c>
      <c r="J4053" s="2" t="b">
        <v>0</v>
      </c>
      <c r="K4053" s="2" t="b">
        <v>0</v>
      </c>
      <c r="L4053" s="2" t="b">
        <v>0</v>
      </c>
      <c r="M4053" s="2" t="b">
        <v>0</v>
      </c>
      <c r="N4053" s="2" t="s">
        <v>33</v>
      </c>
      <c r="O4053" s="2">
        <v>72.0</v>
      </c>
      <c r="P4053" s="2">
        <v>34.0</v>
      </c>
      <c r="Q4053" s="2">
        <v>13.0</v>
      </c>
      <c r="R4053" s="2">
        <v>0.0</v>
      </c>
      <c r="S4053" s="3" t="s">
        <v>16459</v>
      </c>
      <c r="T4053" s="2" t="s">
        <v>16460</v>
      </c>
      <c r="Y4053" s="4" t="str">
        <f>IFERROR(__xludf.DUMMYFUNCTION("""COMPUTED_VALUE"""),"6.8322014")</f>
        <v>6.8322014</v>
      </c>
      <c r="Z4053" s="4" t="str">
        <f>IFERROR(__xludf.DUMMYFUNCTION("""COMPUTED_VALUE"""),"3.6319131")</f>
        <v>3.6319131</v>
      </c>
      <c r="AA4053" s="4" t="str">
        <f t="shared" si="1"/>
        <v>Not Neighbor</v>
      </c>
      <c r="AC4053" s="4">
        <f>IFERROR(__xludf.DUMMYFUNCTION("IFERROR(ABS(O4053-AVERAGE(FILTER(O4053:O8121,AA4053:AA8121=""Neighbor""))) / STDEV(FILTER(O4053:O8121, AA4053:AA8121 =""Neighbor"")), """")"),0.4150654569699292)</f>
        <v>0.415065457</v>
      </c>
      <c r="AF4053" s="2" t="str">
        <f>IFERROR(__xludf.DUMMYFUNCTION("IFERROR(ABS(R4053-AVERAGE(FILTER(R4053:R8121,AA4053:AA8121=""Neighbor""))) / STDEV(FILTER(R4053:R8121, AA4053:AA8121 =""Neighbor"")), """")"),"")</f>
        <v/>
      </c>
    </row>
    <row r="4054">
      <c r="A4054" s="2" t="s">
        <v>28</v>
      </c>
      <c r="B4054" s="2" t="s">
        <v>10071</v>
      </c>
      <c r="C4054" s="2" t="s">
        <v>10220</v>
      </c>
      <c r="D4054" s="2" t="s">
        <v>16461</v>
      </c>
      <c r="E4054" s="2" t="s">
        <v>16462</v>
      </c>
      <c r="F4054" s="2">
        <v>55.0</v>
      </c>
      <c r="G4054" s="2">
        <v>126.0</v>
      </c>
      <c r="H4054" s="2" t="b">
        <v>1</v>
      </c>
      <c r="I4054" s="2">
        <v>-1.0</v>
      </c>
      <c r="J4054" s="2" t="b">
        <v>1</v>
      </c>
      <c r="K4054" s="2" t="b">
        <v>0</v>
      </c>
      <c r="L4054" s="2" t="b">
        <v>0</v>
      </c>
      <c r="M4054" s="2" t="b">
        <v>0</v>
      </c>
      <c r="N4054" s="2" t="s">
        <v>33</v>
      </c>
      <c r="O4054" s="2">
        <v>33.0</v>
      </c>
      <c r="P4054" s="2">
        <v>12.0</v>
      </c>
      <c r="Q4054" s="2">
        <v>3.0</v>
      </c>
      <c r="R4054" s="2">
        <v>0.0</v>
      </c>
      <c r="S4054" s="3" t="s">
        <v>16463</v>
      </c>
      <c r="T4054" s="2" t="s">
        <v>16464</v>
      </c>
      <c r="Y4054" s="4" t="str">
        <f>IFERROR(__xludf.DUMMYFUNCTION("""COMPUTED_VALUE"""),"6.7437374")</f>
        <v>6.7437374</v>
      </c>
      <c r="Z4054" s="4" t="str">
        <f>IFERROR(__xludf.DUMMYFUNCTION("""COMPUTED_VALUE"""),"3.664859")</f>
        <v>3.664859</v>
      </c>
      <c r="AA4054" s="4" t="str">
        <f t="shared" si="1"/>
        <v>Not Neighbor</v>
      </c>
      <c r="AC4054" s="4">
        <f>IFERROR(__xludf.DUMMYFUNCTION("IFERROR(ABS(O4054-AVERAGE(FILTER(O4054:O8122,AA4054:AA8122=""Neighbor""))) / STDEV(FILTER(O4054:O8122, AA4054:AA8122 =""Neighbor"")), """")"),0.48424303313158407)</f>
        <v>0.4842430331</v>
      </c>
      <c r="AF4054" s="2" t="str">
        <f>IFERROR(__xludf.DUMMYFUNCTION("IFERROR(ABS(R4054-AVERAGE(FILTER(R4054:R8122,AA4054:AA8122=""Neighbor""))) / STDEV(FILTER(R4054:R8122, AA4054:AA8122 =""Neighbor"")), """")"),"")</f>
        <v/>
      </c>
    </row>
    <row r="4055">
      <c r="A4055" s="2" t="s">
        <v>28</v>
      </c>
      <c r="B4055" s="2" t="s">
        <v>10071</v>
      </c>
      <c r="C4055" s="2" t="s">
        <v>10220</v>
      </c>
      <c r="D4055" s="2" t="s">
        <v>16465</v>
      </c>
      <c r="E4055" s="2" t="s">
        <v>16466</v>
      </c>
      <c r="F4055" s="2">
        <v>135.0</v>
      </c>
      <c r="G4055" s="2">
        <v>400.0</v>
      </c>
      <c r="H4055" s="2" t="b">
        <v>1</v>
      </c>
      <c r="I4055" s="2">
        <v>-1.0</v>
      </c>
      <c r="J4055" s="2" t="b">
        <v>0</v>
      </c>
      <c r="K4055" s="2" t="b">
        <v>1</v>
      </c>
      <c r="L4055" s="2" t="b">
        <v>0</v>
      </c>
      <c r="M4055" s="2" t="b">
        <v>0</v>
      </c>
      <c r="N4055" s="2" t="s">
        <v>33</v>
      </c>
      <c r="O4055" s="2">
        <v>75.0</v>
      </c>
      <c r="P4055" s="2">
        <v>26.0</v>
      </c>
      <c r="Q4055" s="2">
        <v>29.0</v>
      </c>
      <c r="R4055" s="2">
        <v>0.0</v>
      </c>
      <c r="S4055" s="3" t="s">
        <v>16467</v>
      </c>
      <c r="T4055" s="2" t="s">
        <v>16468</v>
      </c>
      <c r="Y4055" s="4" t="str">
        <f>IFERROR(__xludf.DUMMYFUNCTION("""COMPUTED_VALUE"""),"6.8322014")</f>
        <v>6.8322014</v>
      </c>
      <c r="Z4055" s="4" t="str">
        <f>IFERROR(__xludf.DUMMYFUNCTION("""COMPUTED_VALUE"""),"3.6319131")</f>
        <v>3.6319131</v>
      </c>
      <c r="AA4055" s="4" t="str">
        <f t="shared" si="1"/>
        <v>Neighbor</v>
      </c>
      <c r="AC4055" s="4">
        <f>IFERROR(__xludf.DUMMYFUNCTION("IFERROR(ABS(O4055-AVERAGE(FILTER(O4055:O8123,AA4055:AA8123=""Neighbor""))) / STDEV(FILTER(O4055:O8123, AA4055:AA8123 =""Neighbor"")), """")"),0.48424303313158407)</f>
        <v>0.4842430331</v>
      </c>
      <c r="AF4055" s="2" t="str">
        <f>IFERROR(__xludf.DUMMYFUNCTION("IFERROR(ABS(R4055-AVERAGE(FILTER(R4055:R8123,AA4055:AA8123=""Neighbor""))) / STDEV(FILTER(R4055:R8123, AA4055:AA8123 =""Neighbor"")), """")"),"")</f>
        <v/>
      </c>
    </row>
    <row r="4056">
      <c r="A4056" s="2" t="s">
        <v>28</v>
      </c>
      <c r="B4056" s="2" t="s">
        <v>10071</v>
      </c>
      <c r="C4056" s="2" t="s">
        <v>10220</v>
      </c>
      <c r="D4056" s="2" t="s">
        <v>16469</v>
      </c>
      <c r="E4056" s="2" t="s">
        <v>16470</v>
      </c>
      <c r="F4056" s="2">
        <v>99.0</v>
      </c>
      <c r="G4056" s="2">
        <v>152.0</v>
      </c>
      <c r="H4056" s="2" t="b">
        <v>1</v>
      </c>
      <c r="I4056" s="2">
        <v>-1.0</v>
      </c>
      <c r="J4056" s="2" t="b">
        <v>0</v>
      </c>
      <c r="K4056" s="2" t="b">
        <v>0</v>
      </c>
      <c r="L4056" s="2" t="b">
        <v>0</v>
      </c>
      <c r="M4056" s="2" t="b">
        <v>0</v>
      </c>
      <c r="N4056" s="2" t="s">
        <v>33</v>
      </c>
      <c r="O4056" s="2">
        <v>37.0</v>
      </c>
      <c r="P4056" s="2">
        <v>15.0</v>
      </c>
      <c r="Q4056" s="2">
        <v>39.0</v>
      </c>
      <c r="R4056" s="2">
        <v>0.0</v>
      </c>
      <c r="S4056" s="3" t="s">
        <v>16471</v>
      </c>
      <c r="T4056" s="2" t="s">
        <v>16472</v>
      </c>
      <c r="Y4056" s="4" t="str">
        <f>IFERROR(__xludf.DUMMYFUNCTION("""COMPUTED_VALUE"""),"6.8326838")</f>
        <v>6.8326838</v>
      </c>
      <c r="Z4056" s="4" t="str">
        <f>IFERROR(__xludf.DUMMYFUNCTION("""COMPUTED_VALUE"""),"3.6355516")</f>
        <v>3.6355516</v>
      </c>
      <c r="AA4056" s="4" t="str">
        <f t="shared" si="1"/>
        <v>Not Neighbor</v>
      </c>
      <c r="AC4056" s="4">
        <f>IFERROR(__xludf.DUMMYFUNCTION("IFERROR(ABS(O4056-AVERAGE(FILTER(O4056:O8124,AA4056:AA8124=""Neighbor""))) / STDEV(FILTER(O4056:O8124, AA4056:AA8124 =""Neighbor"")), """")"),0.19892867000485642)</f>
        <v>0.19892867</v>
      </c>
      <c r="AF4056" s="2" t="str">
        <f>IFERROR(__xludf.DUMMYFUNCTION("IFERROR(ABS(R4056-AVERAGE(FILTER(R4056:R8124,AA4056:AA8124=""Neighbor""))) / STDEV(FILTER(R4056:R8124, AA4056:AA8124 =""Neighbor"")), """")"),"")</f>
        <v/>
      </c>
    </row>
    <row r="4057">
      <c r="A4057" s="2" t="s">
        <v>28</v>
      </c>
      <c r="B4057" s="2" t="s">
        <v>10071</v>
      </c>
      <c r="C4057" s="2" t="s">
        <v>10496</v>
      </c>
      <c r="D4057" s="2" t="s">
        <v>16473</v>
      </c>
      <c r="E4057" s="2" t="s">
        <v>16474</v>
      </c>
      <c r="F4057" s="2">
        <v>102.0</v>
      </c>
      <c r="G4057" s="2">
        <v>253.0</v>
      </c>
      <c r="H4057" s="2" t="b">
        <v>1</v>
      </c>
      <c r="I4057" s="2">
        <v>-1.0</v>
      </c>
      <c r="J4057" s="2" t="b">
        <v>0</v>
      </c>
      <c r="K4057" s="2" t="b">
        <v>0</v>
      </c>
      <c r="L4057" s="2" t="b">
        <v>0</v>
      </c>
      <c r="M4057" s="2" t="b">
        <v>0</v>
      </c>
      <c r="N4057" s="2" t="s">
        <v>33</v>
      </c>
      <c r="O4057" s="2">
        <v>37.0</v>
      </c>
      <c r="P4057" s="2">
        <v>37.0</v>
      </c>
      <c r="Q4057" s="2">
        <v>11.0</v>
      </c>
      <c r="R4057" s="2">
        <v>1.0</v>
      </c>
      <c r="S4057" s="3" t="s">
        <v>16475</v>
      </c>
      <c r="T4057" s="2" t="s">
        <v>16476</v>
      </c>
      <c r="Y4057" s="4" t="str">
        <f>IFERROR(__xludf.DUMMYFUNCTION("""COMPUTED_VALUE"""),"6.7612286")</f>
        <v>6.7612286</v>
      </c>
      <c r="Z4057" s="4" t="str">
        <f>IFERROR(__xludf.DUMMYFUNCTION("""COMPUTED_VALUE"""),"3.4889323")</f>
        <v>3.4889323</v>
      </c>
      <c r="AA4057" s="4" t="str">
        <f t="shared" si="1"/>
        <v>Not Neighbor</v>
      </c>
      <c r="AC4057" s="4">
        <f>IFERROR(__xludf.DUMMYFUNCTION("IFERROR(ABS(O4057-AVERAGE(FILTER(O4057:O8125,AA4057:AA8125=""Neighbor""))) / STDEV(FILTER(O4057:O8125, AA4057:AA8125 =""Neighbor"")), """")"),0.19892867000485642)</f>
        <v>0.19892867</v>
      </c>
      <c r="AF4057" s="2" t="str">
        <f>IFERROR(__xludf.DUMMYFUNCTION("IFERROR(ABS(R4057-AVERAGE(FILTER(R4057:R8125,AA4057:AA8125=""Neighbor""))) / STDEV(FILTER(R4057:R8125, AA4057:AA8125 =""Neighbor"")), """")"),"")</f>
        <v/>
      </c>
    </row>
    <row r="4058">
      <c r="A4058" s="2" t="s">
        <v>28</v>
      </c>
      <c r="B4058" s="2" t="s">
        <v>10071</v>
      </c>
      <c r="C4058" s="2" t="s">
        <v>10496</v>
      </c>
      <c r="D4058" s="2" t="s">
        <v>16477</v>
      </c>
      <c r="E4058" s="2" t="s">
        <v>16478</v>
      </c>
      <c r="F4058" s="2">
        <v>22.0</v>
      </c>
      <c r="G4058" s="2">
        <v>129.0</v>
      </c>
      <c r="H4058" s="2" t="b">
        <v>1</v>
      </c>
      <c r="I4058" s="2">
        <v>-1.0</v>
      </c>
      <c r="J4058" s="2" t="b">
        <v>0</v>
      </c>
      <c r="K4058" s="2" t="b">
        <v>0</v>
      </c>
      <c r="L4058" s="2" t="b">
        <v>0</v>
      </c>
      <c r="M4058" s="2" t="b">
        <v>0</v>
      </c>
      <c r="N4058" s="2" t="s">
        <v>33</v>
      </c>
      <c r="O4058" s="2">
        <v>9.0</v>
      </c>
      <c r="P4058" s="2">
        <v>3.0</v>
      </c>
      <c r="Q4058" s="2">
        <v>2.0</v>
      </c>
      <c r="R4058" s="2">
        <v>0.0</v>
      </c>
      <c r="S4058" s="3" t="s">
        <v>16479</v>
      </c>
      <c r="T4058" s="2" t="s">
        <v>16480</v>
      </c>
      <c r="Y4058" s="4" t="str">
        <f>IFERROR(__xludf.DUMMYFUNCTION("""COMPUTED_VALUE"""),"6.8322014")</f>
        <v>6.8322014</v>
      </c>
      <c r="Z4058" s="4" t="str">
        <f>IFERROR(__xludf.DUMMYFUNCTION("""COMPUTED_VALUE"""),"3.6319131")</f>
        <v>3.6319131</v>
      </c>
      <c r="AA4058" s="4" t="str">
        <f t="shared" si="1"/>
        <v>Neighbor</v>
      </c>
      <c r="AC4058" s="4">
        <f>IFERROR(__xludf.DUMMYFUNCTION("IFERROR(ABS(O4058-AVERAGE(FILTER(O4058:O8126,AA4058:AA8126=""Neighbor""))) / STDEV(FILTER(O4058:O8126, AA4058:AA8126 =""Neighbor"")), """")"),0.7559289460184544)</f>
        <v>0.755928946</v>
      </c>
      <c r="AF4058" s="2" t="str">
        <f>IFERROR(__xludf.DUMMYFUNCTION("IFERROR(ABS(R4058-AVERAGE(FILTER(R4058:R8126,AA4058:AA8126=""Neighbor""))) / STDEV(FILTER(R4058:R8126, AA4058:AA8126 =""Neighbor"")), """")"),"")</f>
        <v/>
      </c>
    </row>
    <row r="4059">
      <c r="A4059" s="2" t="s">
        <v>28</v>
      </c>
      <c r="B4059" s="2" t="s">
        <v>10071</v>
      </c>
      <c r="C4059" s="2" t="s">
        <v>10496</v>
      </c>
      <c r="D4059" s="2" t="s">
        <v>16481</v>
      </c>
      <c r="E4059" s="2" t="s">
        <v>16482</v>
      </c>
      <c r="F4059" s="2">
        <v>189.0</v>
      </c>
      <c r="G4059" s="2">
        <v>393.0</v>
      </c>
      <c r="H4059" s="2" t="b">
        <v>1</v>
      </c>
      <c r="I4059" s="2">
        <v>-1.0</v>
      </c>
      <c r="J4059" s="2" t="b">
        <v>0</v>
      </c>
      <c r="K4059" s="2" t="b">
        <v>0</v>
      </c>
      <c r="L4059" s="2" t="b">
        <v>0</v>
      </c>
      <c r="M4059" s="2" t="b">
        <v>0</v>
      </c>
      <c r="N4059" s="2" t="s">
        <v>33</v>
      </c>
      <c r="O4059" s="2">
        <v>104.0</v>
      </c>
      <c r="P4059" s="2">
        <v>51.0</v>
      </c>
      <c r="Q4059" s="2">
        <v>23.0</v>
      </c>
      <c r="R4059" s="2">
        <v>0.0</v>
      </c>
      <c r="S4059" s="3" t="s">
        <v>16483</v>
      </c>
      <c r="T4059" s="2" t="s">
        <v>16484</v>
      </c>
      <c r="Y4059" s="4" t="str">
        <f>IFERROR(__xludf.DUMMYFUNCTION("""COMPUTED_VALUE"""),"6.8322014")</f>
        <v>6.8322014</v>
      </c>
      <c r="Z4059" s="4" t="str">
        <f>IFERROR(__xludf.DUMMYFUNCTION("""COMPUTED_VALUE"""),"3.6319131")</f>
        <v>3.6319131</v>
      </c>
      <c r="AA4059" s="4" t="str">
        <f t="shared" si="1"/>
        <v>Neighbor</v>
      </c>
      <c r="AC4059" s="4">
        <f>IFERROR(__xludf.DUMMYFUNCTION("IFERROR(ABS(O4059-AVERAGE(FILTER(O4059:O8127,AA4059:AA8127=""Neighbor""))) / STDEV(FILTER(O4059:O8127, AA4059:AA8127 =""Neighbor"")), """")"),0.7071067811865475)</f>
        <v>0.7071067812</v>
      </c>
      <c r="AF4059" s="2" t="str">
        <f>IFERROR(__xludf.DUMMYFUNCTION("IFERROR(ABS(R4059-AVERAGE(FILTER(R4059:R8127,AA4059:AA8127=""Neighbor""))) / STDEV(FILTER(R4059:R8127, AA4059:AA8127 =""Neighbor"")), """")"),"")</f>
        <v/>
      </c>
    </row>
    <row r="4060">
      <c r="A4060" s="2" t="s">
        <v>28</v>
      </c>
      <c r="B4060" s="2" t="s">
        <v>10071</v>
      </c>
      <c r="C4060" s="2" t="s">
        <v>10496</v>
      </c>
      <c r="D4060" s="2" t="s">
        <v>16485</v>
      </c>
      <c r="E4060" s="2" t="s">
        <v>16486</v>
      </c>
      <c r="F4060" s="2">
        <v>92.0</v>
      </c>
      <c r="G4060" s="2">
        <v>209.0</v>
      </c>
      <c r="H4060" s="2" t="b">
        <v>1</v>
      </c>
      <c r="I4060" s="2">
        <v>-1.0</v>
      </c>
      <c r="J4060" s="2" t="b">
        <v>0</v>
      </c>
      <c r="K4060" s="2" t="b">
        <v>0</v>
      </c>
      <c r="L4060" s="2" t="b">
        <v>0</v>
      </c>
      <c r="M4060" s="2" t="b">
        <v>0</v>
      </c>
      <c r="N4060" s="2" t="s">
        <v>33</v>
      </c>
      <c r="O4060" s="2">
        <v>28.0</v>
      </c>
      <c r="P4060" s="2">
        <v>23.0</v>
      </c>
      <c r="Q4060" s="2">
        <v>28.0</v>
      </c>
      <c r="R4060" s="2">
        <v>0.0</v>
      </c>
      <c r="S4060" s="3" t="s">
        <v>16487</v>
      </c>
      <c r="T4060" s="2" t="s">
        <v>16488</v>
      </c>
      <c r="Y4060" s="4" t="str">
        <f>IFERROR(__xludf.DUMMYFUNCTION("""COMPUTED_VALUE"""),"6.8322014")</f>
        <v>6.8322014</v>
      </c>
      <c r="Z4060" s="4" t="str">
        <f>IFERROR(__xludf.DUMMYFUNCTION("""COMPUTED_VALUE"""),"3.6319131")</f>
        <v>3.6319131</v>
      </c>
      <c r="AA4060" s="4" t="str">
        <f t="shared" si="1"/>
        <v>Neighbor</v>
      </c>
      <c r="AC4060" s="4" t="str">
        <f>IFERROR(__xludf.DUMMYFUNCTION("IFERROR(ABS(O4060-AVERAGE(FILTER(O4060:O8128,AA4060:AA8128=""Neighbor""))) / STDEV(FILTER(O4060:O8128, AA4060:AA8128 =""Neighbor"")), """")"),"")</f>
        <v/>
      </c>
      <c r="AF4060" s="2" t="str">
        <f>IFERROR(__xludf.DUMMYFUNCTION("IFERROR(ABS(R4060-AVERAGE(FILTER(R4060:R8128,AA4060:AA8128=""Neighbor""))) / STDEV(FILTER(R4060:R8128, AA4060:AA8128 =""Neighbor"")), """")"),"")</f>
        <v/>
      </c>
    </row>
    <row r="4061">
      <c r="A4061" s="2" t="s">
        <v>28</v>
      </c>
      <c r="B4061" s="2" t="s">
        <v>10071</v>
      </c>
      <c r="C4061" s="2" t="s">
        <v>10496</v>
      </c>
      <c r="D4061" s="2" t="s">
        <v>16489</v>
      </c>
      <c r="E4061" s="2" t="s">
        <v>16490</v>
      </c>
      <c r="F4061" s="2">
        <v>63.0</v>
      </c>
      <c r="G4061" s="2">
        <v>122.0</v>
      </c>
      <c r="H4061" s="2" t="b">
        <v>1</v>
      </c>
      <c r="I4061" s="2">
        <v>-1.0</v>
      </c>
      <c r="J4061" s="2" t="b">
        <v>0</v>
      </c>
      <c r="K4061" s="2" t="b">
        <v>0</v>
      </c>
      <c r="L4061" s="2" t="b">
        <v>0</v>
      </c>
      <c r="M4061" s="2" t="b">
        <v>0</v>
      </c>
      <c r="N4061" s="2" t="s">
        <v>33</v>
      </c>
      <c r="O4061" s="2">
        <v>32.0</v>
      </c>
      <c r="P4061" s="2">
        <v>20.0</v>
      </c>
      <c r="Q4061" s="2">
        <v>3.0</v>
      </c>
      <c r="R4061" s="2">
        <v>1.0</v>
      </c>
      <c r="S4061" s="3" t="s">
        <v>16491</v>
      </c>
      <c r="T4061" s="2" t="s">
        <v>16492</v>
      </c>
      <c r="Y4061" s="4" t="str">
        <f>IFERROR(__xludf.DUMMYFUNCTION("""COMPUTED_VALUE"""),"6.8322014")</f>
        <v>6.8322014</v>
      </c>
      <c r="Z4061" s="4" t="str">
        <f>IFERROR(__xludf.DUMMYFUNCTION("""COMPUTED_VALUE"""),"3.6319131")</f>
        <v>3.6319131</v>
      </c>
      <c r="AA4061" s="4" t="str">
        <f t="shared" si="1"/>
        <v>Not Neighbor</v>
      </c>
      <c r="AC4061" s="4" t="str">
        <f>IFERROR(__xludf.DUMMYFUNCTION("IFERROR(ABS(O4061-AVERAGE(FILTER(O4061:O8129,AA4061:AA8129=""Neighbor""))) / STDEV(FILTER(O4061:O8129, AA4061:AA8129 =""Neighbor"")), """")"),"")</f>
        <v/>
      </c>
      <c r="AF4061" s="2" t="str">
        <f>IFERROR(__xludf.DUMMYFUNCTION("IFERROR(ABS(R4061-AVERAGE(FILTER(R4061:R8129,AA4061:AA8129=""Neighbor""))) / STDEV(FILTER(R4061:R8129, AA4061:AA8129 =""Neighbor"")), """")"),"")</f>
        <v/>
      </c>
    </row>
    <row r="4062">
      <c r="A4062" s="2" t="s">
        <v>28</v>
      </c>
      <c r="B4062" s="2" t="s">
        <v>10071</v>
      </c>
      <c r="C4062" s="2" t="s">
        <v>10496</v>
      </c>
      <c r="D4062" s="2" t="s">
        <v>16493</v>
      </c>
      <c r="E4062" s="2" t="s">
        <v>16494</v>
      </c>
      <c r="F4062" s="2">
        <v>113.0</v>
      </c>
      <c r="G4062" s="2">
        <v>173.0</v>
      </c>
      <c r="H4062" s="2" t="b">
        <v>1</v>
      </c>
      <c r="I4062" s="2">
        <v>-1.0</v>
      </c>
      <c r="J4062" s="2" t="b">
        <v>0</v>
      </c>
      <c r="K4062" s="2" t="b">
        <v>0</v>
      </c>
      <c r="L4062" s="2" t="b">
        <v>0</v>
      </c>
      <c r="M4062" s="2" t="b">
        <v>0</v>
      </c>
      <c r="N4062" s="2" t="s">
        <v>33</v>
      </c>
      <c r="O4062" s="2">
        <v>45.0</v>
      </c>
      <c r="P4062" s="2">
        <v>22.0</v>
      </c>
      <c r="Q4062" s="2">
        <v>35.0</v>
      </c>
      <c r="R4062" s="2">
        <v>0.0</v>
      </c>
      <c r="S4062" s="3" t="s">
        <v>16495</v>
      </c>
      <c r="T4062" s="2" t="s">
        <v>16496</v>
      </c>
      <c r="Y4062" s="4" t="str">
        <f>IFERROR(__xludf.DUMMYFUNCTION("""COMPUTED_VALUE"""),"6.8618055")</f>
        <v>6.8618055</v>
      </c>
      <c r="Z4062" s="4" t="str">
        <f>IFERROR(__xludf.DUMMYFUNCTION("""COMPUTED_VALUE"""),"3.609117")</f>
        <v>3.609117</v>
      </c>
      <c r="AA4062" s="4" t="str">
        <f t="shared" si="1"/>
        <v>Not Neighbor</v>
      </c>
      <c r="AC4062" s="4" t="str">
        <f>IFERROR(__xludf.DUMMYFUNCTION("IFERROR(ABS(O4062-AVERAGE(FILTER(O4062:O8130,AA4062:AA8130=""Neighbor""))) / STDEV(FILTER(O4062:O8130, AA4062:AA8130 =""Neighbor"")), """")"),"")</f>
        <v/>
      </c>
      <c r="AF4062" s="2" t="str">
        <f>IFERROR(__xludf.DUMMYFUNCTION("IFERROR(ABS(R4062-AVERAGE(FILTER(R4062:R8130,AA4062:AA8130=""Neighbor""))) / STDEV(FILTER(R4062:R8130, AA4062:AA8130 =""Neighbor"")), """")"),"")</f>
        <v/>
      </c>
    </row>
    <row r="4063">
      <c r="A4063" s="2" t="s">
        <v>28</v>
      </c>
      <c r="B4063" s="2" t="s">
        <v>10071</v>
      </c>
      <c r="C4063" s="2" t="s">
        <v>10496</v>
      </c>
      <c r="D4063" s="2" t="s">
        <v>16497</v>
      </c>
      <c r="E4063" s="2" t="s">
        <v>16498</v>
      </c>
      <c r="F4063" s="2">
        <v>115.0</v>
      </c>
      <c r="G4063" s="2">
        <v>235.0</v>
      </c>
      <c r="H4063" s="2" t="b">
        <v>1</v>
      </c>
      <c r="I4063" s="2">
        <v>-1.0</v>
      </c>
      <c r="J4063" s="2" t="b">
        <v>0</v>
      </c>
      <c r="K4063" s="2" t="b">
        <v>0</v>
      </c>
      <c r="L4063" s="2" t="b">
        <v>0</v>
      </c>
      <c r="M4063" s="2" t="b">
        <v>0</v>
      </c>
      <c r="N4063" s="2" t="s">
        <v>33</v>
      </c>
      <c r="O4063" s="2">
        <v>31.0</v>
      </c>
      <c r="P4063" s="2">
        <v>27.0</v>
      </c>
      <c r="Q4063" s="2">
        <v>53.0</v>
      </c>
      <c r="R4063" s="2">
        <v>0.0</v>
      </c>
      <c r="S4063" s="3" t="s">
        <v>16499</v>
      </c>
      <c r="T4063" s="2" t="s">
        <v>16500</v>
      </c>
      <c r="Y4063" s="4" t="str">
        <f>IFERROR(__xludf.DUMMYFUNCTION("""COMPUTED_VALUE"""),"6.8322014")</f>
        <v>6.8322014</v>
      </c>
      <c r="Z4063" s="4" t="str">
        <f>IFERROR(__xludf.DUMMYFUNCTION("""COMPUTED_VALUE"""),"3.6319131")</f>
        <v>3.6319131</v>
      </c>
      <c r="AA4063" s="4" t="str">
        <f t="shared" si="1"/>
        <v>Not Neighbor</v>
      </c>
      <c r="AC4063" s="4" t="str">
        <f>IFERROR(__xludf.DUMMYFUNCTION("IFERROR(ABS(O4063-AVERAGE(FILTER(O4063:O8131,AA4063:AA8131=""Neighbor""))) / STDEV(FILTER(O4063:O8131, AA4063:AA8131 =""Neighbor"")), """")"),"")</f>
        <v/>
      </c>
      <c r="AF4063" s="2" t="str">
        <f>IFERROR(__xludf.DUMMYFUNCTION("IFERROR(ABS(R4063-AVERAGE(FILTER(R4063:R8131,AA4063:AA8131=""Neighbor""))) / STDEV(FILTER(R4063:R8131, AA4063:AA8131 =""Neighbor"")), """")"),"")</f>
        <v/>
      </c>
    </row>
    <row r="4064">
      <c r="A4064" s="2" t="s">
        <v>28</v>
      </c>
      <c r="B4064" s="2" t="s">
        <v>10071</v>
      </c>
      <c r="C4064" s="2" t="s">
        <v>10438</v>
      </c>
      <c r="D4064" s="2" t="s">
        <v>16501</v>
      </c>
      <c r="E4064" s="2" t="s">
        <v>16502</v>
      </c>
      <c r="F4064" s="2">
        <v>34.0</v>
      </c>
      <c r="G4064" s="2">
        <v>67.0</v>
      </c>
      <c r="H4064" s="2" t="b">
        <v>1</v>
      </c>
      <c r="I4064" s="2">
        <v>-1.0</v>
      </c>
      <c r="J4064" s="2" t="b">
        <v>0</v>
      </c>
      <c r="K4064" s="2" t="b">
        <v>0</v>
      </c>
      <c r="L4064" s="2" t="b">
        <v>0</v>
      </c>
      <c r="M4064" s="2" t="b">
        <v>0</v>
      </c>
      <c r="N4064" s="2" t="s">
        <v>33</v>
      </c>
      <c r="O4064" s="2">
        <v>0.0</v>
      </c>
      <c r="P4064" s="2">
        <v>0.0</v>
      </c>
      <c r="Q4064" s="2">
        <v>0.0</v>
      </c>
      <c r="R4064" s="2">
        <v>0.0</v>
      </c>
      <c r="S4064" s="3" t="s">
        <v>16503</v>
      </c>
      <c r="T4064" s="2" t="s">
        <v>16504</v>
      </c>
      <c r="Y4064" s="4" t="str">
        <f>IFERROR(__xludf.DUMMYFUNCTION("""COMPUTED_VALUE"""),"6.498293")</f>
        <v>6.498293</v>
      </c>
      <c r="Z4064" s="4" t="str">
        <f>IFERROR(__xludf.DUMMYFUNCTION("""COMPUTED_VALUE"""),"3.348572")</f>
        <v>3.348572</v>
      </c>
      <c r="AA4064" s="4" t="str">
        <f t="shared" si="1"/>
        <v>Not Neighbor</v>
      </c>
      <c r="AC4064" s="4" t="str">
        <f>IFERROR(__xludf.DUMMYFUNCTION("IFERROR(ABS(O4064-AVERAGE(FILTER(O4064:O8132,AA4064:AA8132=""Neighbor""))) / STDEV(FILTER(O4064:O8132, AA4064:AA8132 =""Neighbor"")), """")"),"")</f>
        <v/>
      </c>
      <c r="AF4064" s="2" t="str">
        <f>IFERROR(__xludf.DUMMYFUNCTION("IFERROR(ABS(R4064-AVERAGE(FILTER(R4064:R8132,AA4064:AA8132=""Neighbor""))) / STDEV(FILTER(R4064:R8132, AA4064:AA8132 =""Neighbor"")), """")"),"")</f>
        <v/>
      </c>
    </row>
    <row r="4065">
      <c r="A4065" s="2" t="s">
        <v>28</v>
      </c>
      <c r="B4065" s="2" t="s">
        <v>10071</v>
      </c>
      <c r="C4065" s="2" t="s">
        <v>10438</v>
      </c>
      <c r="D4065" s="2" t="s">
        <v>16505</v>
      </c>
      <c r="E4065" s="2" t="s">
        <v>16506</v>
      </c>
      <c r="F4065" s="2">
        <v>118.0</v>
      </c>
      <c r="G4065" s="2">
        <v>500.0</v>
      </c>
      <c r="H4065" s="2" t="b">
        <v>1</v>
      </c>
      <c r="I4065" s="2">
        <v>-1.0</v>
      </c>
      <c r="J4065" s="2" t="b">
        <v>0</v>
      </c>
      <c r="K4065" s="2" t="b">
        <v>1</v>
      </c>
      <c r="L4065" s="2" t="b">
        <v>0</v>
      </c>
      <c r="M4065" s="2" t="b">
        <v>0</v>
      </c>
      <c r="N4065" s="2" t="s">
        <v>33</v>
      </c>
      <c r="O4065" s="2">
        <v>72.0</v>
      </c>
      <c r="P4065" s="2">
        <v>15.0</v>
      </c>
      <c r="Q4065" s="2">
        <v>22.0</v>
      </c>
      <c r="R4065" s="2">
        <v>0.0</v>
      </c>
      <c r="S4065" s="3" t="s">
        <v>16507</v>
      </c>
      <c r="T4065" s="2" t="s">
        <v>16508</v>
      </c>
      <c r="Y4065" s="4" t="str">
        <f>IFERROR(__xludf.DUMMYFUNCTION("""COMPUTED_VALUE"""),"6.8322014")</f>
        <v>6.8322014</v>
      </c>
      <c r="Z4065" s="4" t="str">
        <f>IFERROR(__xludf.DUMMYFUNCTION("""COMPUTED_VALUE"""),"3.6319131")</f>
        <v>3.6319131</v>
      </c>
      <c r="AA4065" s="4" t="str">
        <f t="shared" si="1"/>
        <v>Not Neighbor</v>
      </c>
      <c r="AC4065" s="4" t="str">
        <f>IFERROR(__xludf.DUMMYFUNCTION("IFERROR(ABS(O4065-AVERAGE(FILTER(O4065:O8133,AA4065:AA8133=""Neighbor""))) / STDEV(FILTER(O4065:O8133, AA4065:AA8133 =""Neighbor"")), """")"),"")</f>
        <v/>
      </c>
      <c r="AF4065" s="2" t="str">
        <f>IFERROR(__xludf.DUMMYFUNCTION("IFERROR(ABS(R4065-AVERAGE(FILTER(R4065:R8133,AA4065:AA8133=""Neighbor""))) / STDEV(FILTER(R4065:R8133, AA4065:AA8133 =""Neighbor"")), """")"),"")</f>
        <v/>
      </c>
    </row>
    <row r="4066">
      <c r="A4066" s="2" t="s">
        <v>28</v>
      </c>
      <c r="B4066" s="2" t="s">
        <v>10071</v>
      </c>
      <c r="C4066" s="2" t="s">
        <v>10438</v>
      </c>
      <c r="D4066" s="2" t="s">
        <v>16509</v>
      </c>
      <c r="E4066" s="2" t="s">
        <v>16510</v>
      </c>
      <c r="F4066" s="2">
        <v>120.0</v>
      </c>
      <c r="G4066" s="2">
        <v>440.0</v>
      </c>
      <c r="H4066" s="2" t="b">
        <v>1</v>
      </c>
      <c r="I4066" s="2">
        <v>-1.0</v>
      </c>
      <c r="J4066" s="2" t="b">
        <v>0</v>
      </c>
      <c r="K4066" s="2" t="b">
        <v>0</v>
      </c>
      <c r="L4066" s="2" t="b">
        <v>0</v>
      </c>
      <c r="M4066" s="2" t="b">
        <v>0</v>
      </c>
      <c r="N4066" s="2" t="s">
        <v>33</v>
      </c>
      <c r="O4066" s="2">
        <v>46.0</v>
      </c>
      <c r="P4066" s="2">
        <v>8.0</v>
      </c>
      <c r="Q4066" s="2">
        <v>45.0</v>
      </c>
      <c r="R4066" s="2">
        <v>2.0</v>
      </c>
      <c r="S4066" s="3" t="s">
        <v>16511</v>
      </c>
      <c r="T4066" s="2" t="s">
        <v>16512</v>
      </c>
      <c r="Y4066" s="4" t="str">
        <f>IFERROR(__xludf.DUMMYFUNCTION("""COMPUTED_VALUE"""),"6.498293")</f>
        <v>6.498293</v>
      </c>
      <c r="Z4066" s="4" t="str">
        <f>IFERROR(__xludf.DUMMYFUNCTION("""COMPUTED_VALUE"""),"3.348572")</f>
        <v>3.348572</v>
      </c>
      <c r="AA4066" s="4" t="str">
        <f t="shared" si="1"/>
        <v>Not Neighbor</v>
      </c>
      <c r="AC4066" s="4" t="str">
        <f>IFERROR(__xludf.DUMMYFUNCTION("IFERROR(ABS(O4066-AVERAGE(FILTER(O4066:O8134,AA4066:AA8134=""Neighbor""))) / STDEV(FILTER(O4066:O8134, AA4066:AA8134 =""Neighbor"")), """")"),"")</f>
        <v/>
      </c>
      <c r="AF4066" s="2" t="str">
        <f>IFERROR(__xludf.DUMMYFUNCTION("IFERROR(ABS(R4066-AVERAGE(FILTER(R4066:R8134,AA4066:AA8134=""Neighbor""))) / STDEV(FILTER(R4066:R8134, AA4066:AA8134 =""Neighbor"")), """")"),"")</f>
        <v/>
      </c>
    </row>
    <row r="4067">
      <c r="A4067" s="2" t="s">
        <v>28</v>
      </c>
      <c r="B4067" s="2" t="s">
        <v>8509</v>
      </c>
      <c r="C4067" s="2" t="s">
        <v>8775</v>
      </c>
      <c r="D4067" s="2" t="s">
        <v>16513</v>
      </c>
      <c r="E4067" s="2" t="s">
        <v>16514</v>
      </c>
      <c r="F4067" s="2">
        <v>100.0</v>
      </c>
      <c r="G4067" s="2">
        <v>158.0</v>
      </c>
      <c r="H4067" s="2" t="b">
        <v>1</v>
      </c>
      <c r="I4067" s="2">
        <v>-1.0</v>
      </c>
      <c r="J4067" s="2" t="b">
        <v>1</v>
      </c>
      <c r="K4067" s="2" t="b">
        <v>0</v>
      </c>
      <c r="L4067" s="2" t="b">
        <v>0</v>
      </c>
      <c r="M4067" s="2" t="b">
        <v>0</v>
      </c>
      <c r="N4067" s="2" t="s">
        <v>33</v>
      </c>
      <c r="O4067" s="2">
        <v>66.0</v>
      </c>
      <c r="P4067" s="2">
        <v>18.0</v>
      </c>
      <c r="Q4067" s="2">
        <v>7.0</v>
      </c>
      <c r="R4067" s="2">
        <v>0.0</v>
      </c>
      <c r="S4067" s="3" t="s">
        <v>16515</v>
      </c>
      <c r="T4067" s="2" t="s">
        <v>16516</v>
      </c>
      <c r="Y4067" s="4" t="str">
        <f>IFERROR(__xludf.DUMMYFUNCTION("""COMPUTED_VALUE"""),"7.2946562")</f>
        <v>7.2946562</v>
      </c>
      <c r="Z4067" s="4" t="str">
        <f>IFERROR(__xludf.DUMMYFUNCTION("""COMPUTED_VALUE"""),"3.5407909")</f>
        <v>3.5407909</v>
      </c>
      <c r="AA4067" s="4" t="str">
        <f t="shared" si="1"/>
        <v>Not Neighbor</v>
      </c>
      <c r="AC4067" s="4" t="str">
        <f>IFERROR(__xludf.DUMMYFUNCTION("IFERROR(ABS(O4067-AVERAGE(FILTER(O4067:O8135,AA4067:AA8135=""Neighbor""))) / STDEV(FILTER(O4067:O8135, AA4067:AA8135 =""Neighbor"")), """")"),"")</f>
        <v/>
      </c>
      <c r="AF4067" s="2" t="str">
        <f>IFERROR(__xludf.DUMMYFUNCTION("IFERROR(ABS(R4067-AVERAGE(FILTER(R4067:R8135,AA4067:AA8135=""Neighbor""))) / STDEV(FILTER(R4067:R8135, AA4067:AA8135 =""Neighbor"")), """")"),"")</f>
        <v/>
      </c>
    </row>
    <row r="4068">
      <c r="A4068" s="2" t="s">
        <v>28</v>
      </c>
      <c r="B4068" s="2" t="s">
        <v>7915</v>
      </c>
      <c r="C4068" s="2" t="s">
        <v>8002</v>
      </c>
      <c r="D4068" s="2" t="s">
        <v>16517</v>
      </c>
      <c r="E4068" s="2" t="s">
        <v>16518</v>
      </c>
      <c r="F4068" s="2">
        <v>54.0</v>
      </c>
      <c r="G4068" s="2">
        <v>118.0</v>
      </c>
      <c r="H4068" s="2" t="b">
        <v>1</v>
      </c>
      <c r="I4068" s="2">
        <v>-1.0</v>
      </c>
      <c r="J4068" s="2" t="b">
        <v>0</v>
      </c>
      <c r="K4068" s="2" t="b">
        <v>0</v>
      </c>
      <c r="L4068" s="2" t="b">
        <v>0</v>
      </c>
      <c r="M4068" s="2" t="b">
        <v>0</v>
      </c>
      <c r="N4068" s="2" t="s">
        <v>33</v>
      </c>
      <c r="O4068" s="2">
        <v>30.0</v>
      </c>
      <c r="P4068" s="2">
        <v>11.0</v>
      </c>
      <c r="Q4068" s="2">
        <v>6.0</v>
      </c>
      <c r="R4068" s="2">
        <v>0.0</v>
      </c>
      <c r="S4068" s="3" t="s">
        <v>16519</v>
      </c>
      <c r="T4068" s="2" t="s">
        <v>16520</v>
      </c>
      <c r="Y4068" s="4" t="str">
        <f>IFERROR(__xludf.DUMMYFUNCTION("""COMPUTED_VALUE"""),"6.948262")</f>
        <v>6.948262</v>
      </c>
      <c r="Z4068" s="4" t="str">
        <f>IFERROR(__xludf.DUMMYFUNCTION("""COMPUTED_VALUE"""),"3.5079264")</f>
        <v>3.5079264</v>
      </c>
      <c r="AA4068" s="4" t="str">
        <f t="shared" si="1"/>
        <v>Not Neighbor</v>
      </c>
      <c r="AC4068" s="4" t="str">
        <f>IFERROR(__xludf.DUMMYFUNCTION("IFERROR(ABS(O4068-AVERAGE(FILTER(O4068:O8136,AA4068:AA8136=""Neighbor""))) / STDEV(FILTER(O4068:O8136, AA4068:AA8136 =""Neighbor"")), """")"),"")</f>
        <v/>
      </c>
      <c r="AF4068" s="2" t="str">
        <f>IFERROR(__xludf.DUMMYFUNCTION("IFERROR(ABS(R4068-AVERAGE(FILTER(R4068:R8136,AA4068:AA8136=""Neighbor""))) / STDEV(FILTER(R4068:R8136, AA4068:AA8136 =""Neighbor"")), """")"),"")</f>
        <v/>
      </c>
    </row>
    <row r="4069">
      <c r="A4069" s="2" t="s">
        <v>28</v>
      </c>
      <c r="B4069" s="2" t="s">
        <v>5384</v>
      </c>
      <c r="C4069" s="2" t="s">
        <v>6058</v>
      </c>
      <c r="D4069" s="2" t="s">
        <v>16521</v>
      </c>
      <c r="E4069" s="2" t="s">
        <v>16522</v>
      </c>
      <c r="F4069" s="2">
        <v>35.0</v>
      </c>
      <c r="G4069" s="2">
        <v>69.0</v>
      </c>
      <c r="H4069" s="2" t="b">
        <v>1</v>
      </c>
      <c r="I4069" s="2">
        <v>-1.0</v>
      </c>
      <c r="J4069" s="2" t="b">
        <v>0</v>
      </c>
      <c r="K4069" s="2" t="b">
        <v>0</v>
      </c>
      <c r="L4069" s="2" t="b">
        <v>0</v>
      </c>
      <c r="M4069" s="2" t="b">
        <v>0</v>
      </c>
      <c r="N4069" s="2" t="s">
        <v>33</v>
      </c>
      <c r="O4069" s="2">
        <v>9.0</v>
      </c>
      <c r="P4069" s="2">
        <v>16.0</v>
      </c>
      <c r="Q4069" s="2">
        <v>5.0</v>
      </c>
      <c r="R4069" s="2">
        <v>2.0</v>
      </c>
      <c r="S4069" s="3" t="s">
        <v>16523</v>
      </c>
      <c r="T4069" s="2" t="s">
        <v>16524</v>
      </c>
      <c r="Y4069" s="4" t="str">
        <f>IFERROR(__xludf.DUMMYFUNCTION("""COMPUTED_VALUE"""),"6.9269085")</f>
        <v>6.9269085</v>
      </c>
      <c r="Z4069" s="4" t="str">
        <f>IFERROR(__xludf.DUMMYFUNCTION("""COMPUTED_VALUE"""),"3.8451731")</f>
        <v>3.8451731</v>
      </c>
      <c r="AA4069" s="4" t="str">
        <f t="shared" si="1"/>
        <v>Not Neighbor</v>
      </c>
      <c r="AC4069" s="4" t="str">
        <f>IFERROR(__xludf.DUMMYFUNCTION("IFERROR(ABS(O4069-AVERAGE(FILTER(O4069:O8137,AA4069:AA8137=""Neighbor""))) / STDEV(FILTER(O4069:O8137, AA4069:AA8137 =""Neighbor"")), """")"),"")</f>
        <v/>
      </c>
      <c r="AF4069" s="2" t="str">
        <f>IFERROR(__xludf.DUMMYFUNCTION("IFERROR(ABS(R4069-AVERAGE(FILTER(R4069:R8137,AA4069:AA8137=""Neighbor""))) / STDEV(FILTER(R4069:R8137, AA4069:AA8137 =""Neighbor"")), """")"),"")</f>
        <v/>
      </c>
    </row>
    <row r="4070">
      <c r="A4070" s="2" t="s">
        <v>28</v>
      </c>
      <c r="B4070" s="2" t="s">
        <v>3320</v>
      </c>
      <c r="C4070" s="2" t="s">
        <v>3504</v>
      </c>
      <c r="D4070" s="2" t="s">
        <v>16525</v>
      </c>
      <c r="E4070" s="2" t="s">
        <v>16526</v>
      </c>
      <c r="F4070" s="2">
        <v>47.0</v>
      </c>
      <c r="G4070" s="2">
        <v>92.0</v>
      </c>
      <c r="H4070" s="2" t="b">
        <v>1</v>
      </c>
      <c r="I4070" s="2">
        <v>-1.0</v>
      </c>
      <c r="J4070" s="2" t="b">
        <v>0</v>
      </c>
      <c r="K4070" s="2" t="b">
        <v>0</v>
      </c>
      <c r="L4070" s="2" t="b">
        <v>0</v>
      </c>
      <c r="M4070" s="2" t="b">
        <v>0</v>
      </c>
      <c r="N4070" s="2" t="s">
        <v>33</v>
      </c>
      <c r="O4070" s="2">
        <v>31.0</v>
      </c>
      <c r="P4070" s="2">
        <v>9.0</v>
      </c>
      <c r="Q4070" s="2">
        <v>1.0</v>
      </c>
      <c r="R4070" s="2">
        <v>0.0</v>
      </c>
      <c r="S4070" s="3" t="s">
        <v>16527</v>
      </c>
      <c r="T4070" s="2" t="s">
        <v>16528</v>
      </c>
      <c r="Y4070" s="4" t="str">
        <f>IFERROR(__xludf.DUMMYFUNCTION("""COMPUTED_VALUE"""),"6.9697423")</f>
        <v>6.9697423</v>
      </c>
      <c r="Z4070" s="4" t="str">
        <f>IFERROR(__xludf.DUMMYFUNCTION("""COMPUTED_VALUE"""),"2.7227017")</f>
        <v>2.7227017</v>
      </c>
      <c r="AA4070" s="4" t="str">
        <f t="shared" si="1"/>
        <v>Not Neighbor</v>
      </c>
      <c r="AC4070" s="4" t="str">
        <f>IFERROR(__xludf.DUMMYFUNCTION("IFERROR(ABS(O4070-AVERAGE(FILTER(O4070:O8138,AA4070:AA8138=""Neighbor""))) / STDEV(FILTER(O4070:O8138, AA4070:AA8138 =""Neighbor"")), """")"),"")</f>
        <v/>
      </c>
      <c r="AF4070" s="2" t="str">
        <f>IFERROR(__xludf.DUMMYFUNCTION("IFERROR(ABS(R4070-AVERAGE(FILTER(R4070:R8138,AA4070:AA8138=""Neighbor""))) / STDEV(FILTER(R4070:R8138, AA4070:AA8138 =""Neighbor"")), """")"),"")</f>
        <v/>
      </c>
    </row>
    <row r="4071">
      <c r="Y4071" s="4"/>
      <c r="Z4071" s="4"/>
      <c r="AF4071" s="2" t="str">
        <f>IFERROR(__xludf.DUMMYFUNCTION("IFERROR(ABS(R4071-AVERAGE(FILTER(R4071:R8139,AA4071:AA8139=""Neighbor""))) / STDEV(FILTER(R4071:R8139, AA4071:AA8139 =""Neighbor"")), """")"),"")</f>
        <v/>
      </c>
    </row>
    <row r="4072">
      <c r="Y4072" s="4"/>
      <c r="Z4072" s="4"/>
      <c r="AF4072" s="2" t="str">
        <f>IFERROR(__xludf.DUMMYFUNCTION("IFERROR(ABS(R4072-AVERAGE(FILTER(R4072:R8140,AA4072:AA8140=""Neighbor""))) / STDEV(FILTER(R4072:R8140, AA4072:AA8140 =""Neighbor"")), """")"),"")</f>
        <v/>
      </c>
    </row>
  </sheetData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  <hyperlink r:id="rId18" ref="S19"/>
    <hyperlink r:id="rId19" ref="S20"/>
    <hyperlink r:id="rId20" ref="S21"/>
    <hyperlink r:id="rId21" ref="S22"/>
    <hyperlink r:id="rId22" ref="S23"/>
    <hyperlink r:id="rId23" ref="S24"/>
    <hyperlink r:id="rId24" ref="S25"/>
    <hyperlink r:id="rId25" ref="S26"/>
    <hyperlink r:id="rId26" ref="S27"/>
    <hyperlink r:id="rId27" ref="S28"/>
    <hyperlink r:id="rId28" ref="S29"/>
    <hyperlink r:id="rId29" ref="S30"/>
    <hyperlink r:id="rId30" ref="S31"/>
    <hyperlink r:id="rId31" ref="S32"/>
    <hyperlink r:id="rId32" ref="S33"/>
    <hyperlink r:id="rId33" ref="S34"/>
    <hyperlink r:id="rId34" ref="S35"/>
    <hyperlink r:id="rId35" ref="S36"/>
    <hyperlink r:id="rId36" ref="S37"/>
    <hyperlink r:id="rId37" ref="S38"/>
    <hyperlink r:id="rId38" ref="S39"/>
    <hyperlink r:id="rId39" ref="S40"/>
    <hyperlink r:id="rId40" ref="S41"/>
    <hyperlink r:id="rId41" ref="S42"/>
    <hyperlink r:id="rId42" ref="S43"/>
    <hyperlink r:id="rId43" ref="S44"/>
    <hyperlink r:id="rId44" ref="S45"/>
    <hyperlink r:id="rId45" ref="S46"/>
    <hyperlink r:id="rId46" ref="S47"/>
    <hyperlink r:id="rId47" ref="S48"/>
    <hyperlink r:id="rId48" ref="S49"/>
    <hyperlink r:id="rId49" ref="S50"/>
    <hyperlink r:id="rId50" ref="S51"/>
    <hyperlink r:id="rId51" ref="S52"/>
    <hyperlink r:id="rId52" ref="S53"/>
    <hyperlink r:id="rId53" ref="S54"/>
    <hyperlink r:id="rId54" ref="S55"/>
    <hyperlink r:id="rId55" ref="S56"/>
    <hyperlink r:id="rId56" ref="S57"/>
    <hyperlink r:id="rId57" ref="S58"/>
    <hyperlink r:id="rId58" ref="S59"/>
    <hyperlink r:id="rId59" ref="S60"/>
    <hyperlink r:id="rId60" ref="S61"/>
    <hyperlink r:id="rId61" ref="S62"/>
    <hyperlink r:id="rId62" ref="S63"/>
    <hyperlink r:id="rId63" ref="S64"/>
    <hyperlink r:id="rId64" ref="S65"/>
    <hyperlink r:id="rId65" ref="S66"/>
    <hyperlink r:id="rId66" ref="S67"/>
    <hyperlink r:id="rId67" ref="S68"/>
    <hyperlink r:id="rId68" ref="S69"/>
    <hyperlink r:id="rId69" ref="S70"/>
    <hyperlink r:id="rId70" ref="S71"/>
    <hyperlink r:id="rId71" ref="S72"/>
    <hyperlink r:id="rId72" ref="S73"/>
    <hyperlink r:id="rId73" ref="S74"/>
    <hyperlink r:id="rId74" ref="S75"/>
    <hyperlink r:id="rId75" ref="S76"/>
    <hyperlink r:id="rId76" ref="S77"/>
    <hyperlink r:id="rId77" ref="S78"/>
    <hyperlink r:id="rId78" ref="S79"/>
    <hyperlink r:id="rId79" ref="S80"/>
    <hyperlink r:id="rId80" ref="S81"/>
    <hyperlink r:id="rId81" ref="S82"/>
    <hyperlink r:id="rId82" ref="S83"/>
    <hyperlink r:id="rId83" ref="S84"/>
    <hyperlink r:id="rId84" ref="S85"/>
    <hyperlink r:id="rId85" ref="S86"/>
    <hyperlink r:id="rId86" ref="S87"/>
    <hyperlink r:id="rId87" ref="S88"/>
    <hyperlink r:id="rId88" ref="S89"/>
    <hyperlink r:id="rId89" ref="S90"/>
    <hyperlink r:id="rId90" ref="S91"/>
    <hyperlink r:id="rId91" ref="S92"/>
    <hyperlink r:id="rId92" ref="S93"/>
    <hyperlink r:id="rId93" ref="S94"/>
    <hyperlink r:id="rId94" ref="S95"/>
    <hyperlink r:id="rId95" ref="S96"/>
    <hyperlink r:id="rId96" ref="S97"/>
    <hyperlink r:id="rId97" ref="S98"/>
    <hyperlink r:id="rId98" ref="S99"/>
    <hyperlink r:id="rId99" ref="S100"/>
    <hyperlink r:id="rId100" ref="S101"/>
    <hyperlink r:id="rId101" ref="S102"/>
    <hyperlink r:id="rId102" ref="S103"/>
    <hyperlink r:id="rId103" ref="S104"/>
    <hyperlink r:id="rId104" ref="S105"/>
    <hyperlink r:id="rId105" ref="S106"/>
    <hyperlink r:id="rId106" ref="S107"/>
    <hyperlink r:id="rId107" ref="S108"/>
    <hyperlink r:id="rId108" ref="S109"/>
    <hyperlink r:id="rId109" ref="S110"/>
    <hyperlink r:id="rId110" ref="S111"/>
    <hyperlink r:id="rId111" ref="S112"/>
    <hyperlink r:id="rId112" ref="S113"/>
    <hyperlink r:id="rId113" ref="S114"/>
    <hyperlink r:id="rId114" ref="S115"/>
    <hyperlink r:id="rId115" ref="S116"/>
    <hyperlink r:id="rId116" ref="S117"/>
    <hyperlink r:id="rId117" ref="S118"/>
    <hyperlink r:id="rId118" ref="S119"/>
    <hyperlink r:id="rId119" ref="S120"/>
    <hyperlink r:id="rId120" ref="S121"/>
    <hyperlink r:id="rId121" ref="S122"/>
    <hyperlink r:id="rId122" ref="S123"/>
    <hyperlink r:id="rId123" ref="S124"/>
    <hyperlink r:id="rId124" ref="S125"/>
    <hyperlink r:id="rId125" ref="S126"/>
    <hyperlink r:id="rId126" ref="S127"/>
    <hyperlink r:id="rId127" ref="S128"/>
    <hyperlink r:id="rId128" ref="S129"/>
    <hyperlink r:id="rId129" ref="S130"/>
    <hyperlink r:id="rId130" ref="S131"/>
    <hyperlink r:id="rId131" ref="S132"/>
    <hyperlink r:id="rId132" ref="S133"/>
    <hyperlink r:id="rId133" ref="S134"/>
    <hyperlink r:id="rId134" ref="S135"/>
    <hyperlink r:id="rId135" ref="S136"/>
    <hyperlink r:id="rId136" ref="S137"/>
    <hyperlink r:id="rId137" ref="S138"/>
    <hyperlink r:id="rId138" ref="S139"/>
    <hyperlink r:id="rId139" ref="S140"/>
    <hyperlink r:id="rId140" ref="S141"/>
    <hyperlink r:id="rId141" ref="S142"/>
    <hyperlink r:id="rId142" ref="S143"/>
    <hyperlink r:id="rId143" ref="S144"/>
    <hyperlink r:id="rId144" ref="S145"/>
    <hyperlink r:id="rId145" ref="S146"/>
    <hyperlink r:id="rId146" ref="S147"/>
    <hyperlink r:id="rId147" ref="S148"/>
    <hyperlink r:id="rId148" ref="S149"/>
    <hyperlink r:id="rId149" ref="S150"/>
    <hyperlink r:id="rId150" ref="S151"/>
    <hyperlink r:id="rId151" ref="S152"/>
    <hyperlink r:id="rId152" ref="S153"/>
    <hyperlink r:id="rId153" ref="S154"/>
    <hyperlink r:id="rId154" ref="S155"/>
    <hyperlink r:id="rId155" ref="S156"/>
    <hyperlink r:id="rId156" ref="S157"/>
    <hyperlink r:id="rId157" ref="S158"/>
    <hyperlink r:id="rId158" ref="S159"/>
    <hyperlink r:id="rId159" ref="S160"/>
    <hyperlink r:id="rId160" ref="S161"/>
    <hyperlink r:id="rId161" ref="S162"/>
    <hyperlink r:id="rId162" ref="S163"/>
    <hyperlink r:id="rId163" ref="S164"/>
    <hyperlink r:id="rId164" ref="S165"/>
    <hyperlink r:id="rId165" ref="S166"/>
    <hyperlink r:id="rId166" ref="S167"/>
    <hyperlink r:id="rId167" ref="S168"/>
    <hyperlink r:id="rId168" ref="S169"/>
    <hyperlink r:id="rId169" ref="S170"/>
    <hyperlink r:id="rId170" ref="S171"/>
    <hyperlink r:id="rId171" ref="S172"/>
    <hyperlink r:id="rId172" ref="S173"/>
    <hyperlink r:id="rId173" ref="S174"/>
    <hyperlink r:id="rId174" ref="S175"/>
    <hyperlink r:id="rId175" ref="S176"/>
    <hyperlink r:id="rId176" ref="S177"/>
    <hyperlink r:id="rId177" ref="S178"/>
    <hyperlink r:id="rId178" ref="S179"/>
    <hyperlink r:id="rId179" ref="S180"/>
    <hyperlink r:id="rId180" ref="S181"/>
    <hyperlink r:id="rId181" ref="S182"/>
    <hyperlink r:id="rId182" ref="S183"/>
    <hyperlink r:id="rId183" ref="S184"/>
    <hyperlink r:id="rId184" ref="S185"/>
    <hyperlink r:id="rId185" ref="S186"/>
    <hyperlink r:id="rId186" ref="S187"/>
    <hyperlink r:id="rId187" ref="S188"/>
    <hyperlink r:id="rId188" ref="S189"/>
    <hyperlink r:id="rId189" ref="S190"/>
    <hyperlink r:id="rId190" ref="S191"/>
    <hyperlink r:id="rId191" ref="S192"/>
    <hyperlink r:id="rId192" ref="S193"/>
    <hyperlink r:id="rId193" ref="S194"/>
    <hyperlink r:id="rId194" ref="S195"/>
    <hyperlink r:id="rId195" ref="S196"/>
    <hyperlink r:id="rId196" ref="S197"/>
    <hyperlink r:id="rId197" ref="S198"/>
    <hyperlink r:id="rId198" ref="S199"/>
    <hyperlink r:id="rId199" ref="S200"/>
    <hyperlink r:id="rId200" ref="S201"/>
    <hyperlink r:id="rId201" ref="S202"/>
    <hyperlink r:id="rId202" ref="S203"/>
    <hyperlink r:id="rId203" ref="S204"/>
    <hyperlink r:id="rId204" ref="S205"/>
    <hyperlink r:id="rId205" ref="S206"/>
    <hyperlink r:id="rId206" ref="S207"/>
    <hyperlink r:id="rId207" ref="S208"/>
    <hyperlink r:id="rId208" ref="S209"/>
    <hyperlink r:id="rId209" ref="S210"/>
    <hyperlink r:id="rId210" ref="S211"/>
    <hyperlink r:id="rId211" ref="S212"/>
    <hyperlink r:id="rId212" ref="S213"/>
    <hyperlink r:id="rId213" ref="S214"/>
    <hyperlink r:id="rId214" ref="S215"/>
    <hyperlink r:id="rId215" ref="S216"/>
    <hyperlink r:id="rId216" ref="S217"/>
    <hyperlink r:id="rId217" ref="S218"/>
    <hyperlink r:id="rId218" ref="S219"/>
    <hyperlink r:id="rId219" ref="S220"/>
    <hyperlink r:id="rId220" ref="S221"/>
    <hyperlink r:id="rId221" ref="S222"/>
    <hyperlink r:id="rId222" ref="S223"/>
    <hyperlink r:id="rId223" ref="S224"/>
    <hyperlink r:id="rId224" ref="S225"/>
    <hyperlink r:id="rId225" ref="S226"/>
    <hyperlink r:id="rId226" ref="S227"/>
    <hyperlink r:id="rId227" ref="S228"/>
    <hyperlink r:id="rId228" ref="S229"/>
    <hyperlink r:id="rId229" ref="S230"/>
    <hyperlink r:id="rId230" ref="S231"/>
    <hyperlink r:id="rId231" ref="S232"/>
    <hyperlink r:id="rId232" ref="S233"/>
    <hyperlink r:id="rId233" ref="S234"/>
    <hyperlink r:id="rId234" ref="S235"/>
    <hyperlink r:id="rId235" ref="S236"/>
    <hyperlink r:id="rId236" ref="S237"/>
    <hyperlink r:id="rId237" ref="S238"/>
    <hyperlink r:id="rId238" ref="S239"/>
    <hyperlink r:id="rId239" ref="S240"/>
    <hyperlink r:id="rId240" ref="S241"/>
    <hyperlink r:id="rId241" ref="S242"/>
    <hyperlink r:id="rId242" ref="S243"/>
    <hyperlink r:id="rId243" ref="S244"/>
    <hyperlink r:id="rId244" ref="S245"/>
    <hyperlink r:id="rId245" ref="S246"/>
    <hyperlink r:id="rId246" ref="S247"/>
    <hyperlink r:id="rId247" ref="S248"/>
    <hyperlink r:id="rId248" ref="S249"/>
    <hyperlink r:id="rId249" ref="S250"/>
    <hyperlink r:id="rId250" ref="S251"/>
    <hyperlink r:id="rId251" ref="S252"/>
    <hyperlink r:id="rId252" ref="S253"/>
    <hyperlink r:id="rId253" ref="S254"/>
    <hyperlink r:id="rId254" ref="S255"/>
    <hyperlink r:id="rId255" ref="S256"/>
    <hyperlink r:id="rId256" ref="S257"/>
    <hyperlink r:id="rId257" ref="S258"/>
    <hyperlink r:id="rId258" ref="S259"/>
    <hyperlink r:id="rId259" ref="S260"/>
    <hyperlink r:id="rId260" ref="S261"/>
    <hyperlink r:id="rId261" ref="S262"/>
    <hyperlink r:id="rId262" ref="S263"/>
    <hyperlink r:id="rId263" ref="S264"/>
    <hyperlink r:id="rId264" ref="S265"/>
    <hyperlink r:id="rId265" ref="S266"/>
    <hyperlink r:id="rId266" ref="S267"/>
    <hyperlink r:id="rId267" ref="S268"/>
    <hyperlink r:id="rId268" ref="S269"/>
    <hyperlink r:id="rId269" ref="S270"/>
    <hyperlink r:id="rId270" ref="S271"/>
    <hyperlink r:id="rId271" ref="S272"/>
    <hyperlink r:id="rId272" ref="S273"/>
    <hyperlink r:id="rId273" ref="S274"/>
    <hyperlink r:id="rId274" ref="S275"/>
    <hyperlink r:id="rId275" ref="S276"/>
    <hyperlink r:id="rId276" ref="S277"/>
    <hyperlink r:id="rId277" ref="S278"/>
    <hyperlink r:id="rId278" ref="S279"/>
    <hyperlink r:id="rId279" ref="S280"/>
    <hyperlink r:id="rId280" ref="S281"/>
    <hyperlink r:id="rId281" ref="S282"/>
    <hyperlink r:id="rId282" ref="S283"/>
    <hyperlink r:id="rId283" ref="S284"/>
    <hyperlink r:id="rId284" ref="S285"/>
    <hyperlink r:id="rId285" ref="S286"/>
    <hyperlink r:id="rId286" ref="S287"/>
    <hyperlink r:id="rId287" ref="S288"/>
    <hyperlink r:id="rId288" ref="S289"/>
    <hyperlink r:id="rId289" ref="S290"/>
    <hyperlink r:id="rId290" ref="S291"/>
    <hyperlink r:id="rId291" ref="S292"/>
    <hyperlink r:id="rId292" ref="S293"/>
    <hyperlink r:id="rId293" ref="S294"/>
    <hyperlink r:id="rId294" ref="S295"/>
    <hyperlink r:id="rId295" ref="S296"/>
    <hyperlink r:id="rId296" ref="S297"/>
    <hyperlink r:id="rId297" ref="S298"/>
    <hyperlink r:id="rId298" ref="S299"/>
    <hyperlink r:id="rId299" ref="S300"/>
    <hyperlink r:id="rId300" ref="S301"/>
    <hyperlink r:id="rId301" ref="S302"/>
    <hyperlink r:id="rId302" ref="S303"/>
    <hyperlink r:id="rId303" ref="S304"/>
    <hyperlink r:id="rId304" ref="S305"/>
    <hyperlink r:id="rId305" ref="S306"/>
    <hyperlink r:id="rId306" ref="S307"/>
    <hyperlink r:id="rId307" ref="S308"/>
    <hyperlink r:id="rId308" ref="S309"/>
    <hyperlink r:id="rId309" ref="S310"/>
    <hyperlink r:id="rId310" ref="S311"/>
    <hyperlink r:id="rId311" ref="S312"/>
    <hyperlink r:id="rId312" ref="S313"/>
    <hyperlink r:id="rId313" ref="S314"/>
    <hyperlink r:id="rId314" ref="S315"/>
    <hyperlink r:id="rId315" ref="S316"/>
    <hyperlink r:id="rId316" ref="S317"/>
    <hyperlink r:id="rId317" ref="S318"/>
    <hyperlink r:id="rId318" ref="S319"/>
    <hyperlink r:id="rId319" ref="S320"/>
    <hyperlink r:id="rId320" ref="S321"/>
    <hyperlink r:id="rId321" ref="S322"/>
    <hyperlink r:id="rId322" ref="S323"/>
    <hyperlink r:id="rId323" ref="S324"/>
    <hyperlink r:id="rId324" ref="S325"/>
    <hyperlink r:id="rId325" ref="S326"/>
    <hyperlink r:id="rId326" ref="S327"/>
    <hyperlink r:id="rId327" ref="S328"/>
    <hyperlink r:id="rId328" ref="S329"/>
    <hyperlink r:id="rId329" ref="S330"/>
    <hyperlink r:id="rId330" ref="S331"/>
    <hyperlink r:id="rId331" ref="S332"/>
    <hyperlink r:id="rId332" ref="S333"/>
    <hyperlink r:id="rId333" ref="S334"/>
    <hyperlink r:id="rId334" ref="S335"/>
    <hyperlink r:id="rId335" ref="S336"/>
    <hyperlink r:id="rId336" ref="S337"/>
    <hyperlink r:id="rId337" ref="S338"/>
    <hyperlink r:id="rId338" ref="S339"/>
    <hyperlink r:id="rId339" ref="S340"/>
    <hyperlink r:id="rId340" ref="S341"/>
    <hyperlink r:id="rId341" ref="S342"/>
    <hyperlink r:id="rId342" ref="S343"/>
    <hyperlink r:id="rId343" ref="S344"/>
    <hyperlink r:id="rId344" ref="S345"/>
    <hyperlink r:id="rId345" ref="S346"/>
    <hyperlink r:id="rId346" ref="S347"/>
    <hyperlink r:id="rId347" ref="S348"/>
    <hyperlink r:id="rId348" ref="S349"/>
    <hyperlink r:id="rId349" ref="S350"/>
    <hyperlink r:id="rId350" ref="S351"/>
    <hyperlink r:id="rId351" ref="S352"/>
    <hyperlink r:id="rId352" ref="S353"/>
    <hyperlink r:id="rId353" ref="S354"/>
    <hyperlink r:id="rId354" ref="S355"/>
    <hyperlink r:id="rId355" ref="S356"/>
    <hyperlink r:id="rId356" ref="S357"/>
    <hyperlink r:id="rId357" ref="S358"/>
    <hyperlink r:id="rId358" ref="S359"/>
    <hyperlink r:id="rId359" ref="S360"/>
    <hyperlink r:id="rId360" ref="S361"/>
    <hyperlink r:id="rId361" ref="S362"/>
    <hyperlink r:id="rId362" ref="S363"/>
    <hyperlink r:id="rId363" ref="S364"/>
    <hyperlink r:id="rId364" ref="S365"/>
    <hyperlink r:id="rId365" ref="S366"/>
    <hyperlink r:id="rId366" ref="S367"/>
    <hyperlink r:id="rId367" ref="S368"/>
    <hyperlink r:id="rId368" ref="S369"/>
    <hyperlink r:id="rId369" ref="S370"/>
    <hyperlink r:id="rId370" ref="S371"/>
    <hyperlink r:id="rId371" ref="S372"/>
    <hyperlink r:id="rId372" ref="S373"/>
    <hyperlink r:id="rId373" ref="S374"/>
    <hyperlink r:id="rId374" ref="S375"/>
    <hyperlink r:id="rId375" ref="S376"/>
    <hyperlink r:id="rId376" ref="S377"/>
    <hyperlink r:id="rId377" ref="S378"/>
    <hyperlink r:id="rId378" ref="S379"/>
    <hyperlink r:id="rId379" ref="S380"/>
    <hyperlink r:id="rId380" ref="S381"/>
    <hyperlink r:id="rId381" ref="S382"/>
    <hyperlink r:id="rId382" ref="S383"/>
    <hyperlink r:id="rId383" ref="S384"/>
    <hyperlink r:id="rId384" ref="S385"/>
    <hyperlink r:id="rId385" ref="S386"/>
    <hyperlink r:id="rId386" ref="S387"/>
    <hyperlink r:id="rId387" ref="S388"/>
    <hyperlink r:id="rId388" ref="S389"/>
    <hyperlink r:id="rId389" ref="S390"/>
    <hyperlink r:id="rId390" ref="S391"/>
    <hyperlink r:id="rId391" ref="S392"/>
    <hyperlink r:id="rId392" ref="S393"/>
    <hyperlink r:id="rId393" ref="S394"/>
    <hyperlink r:id="rId394" ref="S395"/>
    <hyperlink r:id="rId395" ref="S396"/>
    <hyperlink r:id="rId396" ref="S397"/>
    <hyperlink r:id="rId397" ref="S398"/>
    <hyperlink r:id="rId398" ref="S399"/>
    <hyperlink r:id="rId399" ref="S400"/>
    <hyperlink r:id="rId400" ref="S401"/>
    <hyperlink r:id="rId401" ref="S402"/>
    <hyperlink r:id="rId402" ref="S403"/>
    <hyperlink r:id="rId403" ref="S404"/>
    <hyperlink r:id="rId404" ref="S405"/>
    <hyperlink r:id="rId405" ref="S406"/>
    <hyperlink r:id="rId406" ref="S407"/>
    <hyperlink r:id="rId407" ref="S408"/>
    <hyperlink r:id="rId408" ref="S409"/>
    <hyperlink r:id="rId409" ref="S410"/>
    <hyperlink r:id="rId410" ref="S411"/>
    <hyperlink r:id="rId411" ref="S412"/>
    <hyperlink r:id="rId412" ref="S413"/>
    <hyperlink r:id="rId413" ref="S414"/>
    <hyperlink r:id="rId414" ref="S415"/>
    <hyperlink r:id="rId415" ref="S416"/>
    <hyperlink r:id="rId416" ref="S417"/>
    <hyperlink r:id="rId417" ref="S418"/>
    <hyperlink r:id="rId418" ref="S419"/>
    <hyperlink r:id="rId419" ref="S420"/>
    <hyperlink r:id="rId420" ref="S421"/>
    <hyperlink r:id="rId421" ref="S422"/>
    <hyperlink r:id="rId422" ref="S423"/>
    <hyperlink r:id="rId423" ref="S424"/>
    <hyperlink r:id="rId424" ref="S425"/>
    <hyperlink r:id="rId425" ref="S426"/>
    <hyperlink r:id="rId426" ref="S427"/>
    <hyperlink r:id="rId427" ref="S428"/>
    <hyperlink r:id="rId428" ref="S429"/>
    <hyperlink r:id="rId429" ref="S430"/>
    <hyperlink r:id="rId430" ref="S431"/>
    <hyperlink r:id="rId431" ref="S432"/>
    <hyperlink r:id="rId432" ref="S433"/>
    <hyperlink r:id="rId433" ref="S434"/>
    <hyperlink r:id="rId434" ref="S435"/>
    <hyperlink r:id="rId435" ref="S436"/>
    <hyperlink r:id="rId436" ref="S437"/>
    <hyperlink r:id="rId437" ref="S438"/>
    <hyperlink r:id="rId438" ref="S439"/>
    <hyperlink r:id="rId439" ref="S440"/>
    <hyperlink r:id="rId440" ref="S441"/>
    <hyperlink r:id="rId441" ref="S442"/>
    <hyperlink r:id="rId442" ref="S443"/>
    <hyperlink r:id="rId443" ref="S444"/>
    <hyperlink r:id="rId444" ref="S445"/>
    <hyperlink r:id="rId445" ref="S446"/>
    <hyperlink r:id="rId446" ref="S447"/>
    <hyperlink r:id="rId447" ref="S448"/>
    <hyperlink r:id="rId448" ref="S449"/>
    <hyperlink r:id="rId449" ref="S450"/>
    <hyperlink r:id="rId450" ref="S451"/>
    <hyperlink r:id="rId451" ref="S452"/>
    <hyperlink r:id="rId452" ref="S453"/>
    <hyperlink r:id="rId453" ref="S454"/>
    <hyperlink r:id="rId454" ref="S455"/>
    <hyperlink r:id="rId455" ref="S456"/>
    <hyperlink r:id="rId456" ref="S457"/>
    <hyperlink r:id="rId457" ref="S458"/>
    <hyperlink r:id="rId458" ref="S459"/>
    <hyperlink r:id="rId459" ref="S460"/>
    <hyperlink r:id="rId460" ref="S461"/>
    <hyperlink r:id="rId461" ref="S462"/>
    <hyperlink r:id="rId462" ref="S463"/>
    <hyperlink r:id="rId463" ref="S464"/>
    <hyperlink r:id="rId464" ref="S465"/>
    <hyperlink r:id="rId465" ref="S466"/>
    <hyperlink r:id="rId466" ref="S467"/>
    <hyperlink r:id="rId467" ref="S468"/>
    <hyperlink r:id="rId468" ref="S469"/>
    <hyperlink r:id="rId469" ref="S470"/>
    <hyperlink r:id="rId470" ref="S471"/>
    <hyperlink r:id="rId471" ref="S472"/>
    <hyperlink r:id="rId472" ref="S473"/>
    <hyperlink r:id="rId473" ref="S474"/>
    <hyperlink r:id="rId474" ref="S475"/>
    <hyperlink r:id="rId475" ref="S476"/>
    <hyperlink r:id="rId476" ref="S477"/>
    <hyperlink r:id="rId477" ref="S478"/>
    <hyperlink r:id="rId478" ref="S479"/>
    <hyperlink r:id="rId479" ref="S480"/>
    <hyperlink r:id="rId480" ref="S481"/>
    <hyperlink r:id="rId481" ref="S482"/>
    <hyperlink r:id="rId482" ref="S483"/>
    <hyperlink r:id="rId483" ref="S484"/>
    <hyperlink r:id="rId484" ref="S485"/>
    <hyperlink r:id="rId485" ref="S486"/>
    <hyperlink r:id="rId486" ref="S487"/>
    <hyperlink r:id="rId487" ref="S488"/>
    <hyperlink r:id="rId488" ref="S489"/>
    <hyperlink r:id="rId489" ref="S490"/>
    <hyperlink r:id="rId490" ref="S491"/>
    <hyperlink r:id="rId491" ref="S492"/>
    <hyperlink r:id="rId492" ref="S493"/>
    <hyperlink r:id="rId493" ref="S494"/>
    <hyperlink r:id="rId494" ref="S495"/>
    <hyperlink r:id="rId495" ref="S496"/>
    <hyperlink r:id="rId496" ref="S497"/>
    <hyperlink r:id="rId497" ref="S498"/>
    <hyperlink r:id="rId498" ref="S499"/>
    <hyperlink r:id="rId499" ref="S500"/>
    <hyperlink r:id="rId500" ref="S501"/>
    <hyperlink r:id="rId501" ref="S502"/>
    <hyperlink r:id="rId502" ref="S503"/>
    <hyperlink r:id="rId503" ref="S504"/>
    <hyperlink r:id="rId504" ref="S505"/>
    <hyperlink r:id="rId505" ref="S506"/>
    <hyperlink r:id="rId506" ref="S507"/>
    <hyperlink r:id="rId507" ref="S508"/>
    <hyperlink r:id="rId508" ref="S509"/>
    <hyperlink r:id="rId509" ref="S510"/>
    <hyperlink r:id="rId510" ref="S511"/>
    <hyperlink r:id="rId511" ref="S512"/>
    <hyperlink r:id="rId512" ref="S513"/>
    <hyperlink r:id="rId513" ref="S514"/>
    <hyperlink r:id="rId514" ref="S515"/>
    <hyperlink r:id="rId515" ref="S516"/>
    <hyperlink r:id="rId516" ref="S517"/>
    <hyperlink r:id="rId517" ref="S518"/>
    <hyperlink r:id="rId518" ref="S519"/>
    <hyperlink r:id="rId519" ref="S520"/>
    <hyperlink r:id="rId520" ref="S521"/>
    <hyperlink r:id="rId521" ref="S522"/>
    <hyperlink r:id="rId522" ref="S523"/>
    <hyperlink r:id="rId523" ref="S524"/>
    <hyperlink r:id="rId524" ref="S525"/>
    <hyperlink r:id="rId525" ref="S526"/>
    <hyperlink r:id="rId526" ref="S527"/>
    <hyperlink r:id="rId527" ref="S528"/>
    <hyperlink r:id="rId528" ref="S529"/>
    <hyperlink r:id="rId529" ref="S530"/>
    <hyperlink r:id="rId530" ref="S531"/>
    <hyperlink r:id="rId531" ref="S532"/>
    <hyperlink r:id="rId532" ref="S533"/>
    <hyperlink r:id="rId533" ref="S534"/>
    <hyperlink r:id="rId534" ref="S535"/>
    <hyperlink r:id="rId535" ref="S536"/>
    <hyperlink r:id="rId536" ref="S537"/>
    <hyperlink r:id="rId537" ref="S538"/>
    <hyperlink r:id="rId538" ref="S539"/>
    <hyperlink r:id="rId539" ref="S540"/>
    <hyperlink r:id="rId540" ref="S541"/>
    <hyperlink r:id="rId541" ref="S542"/>
    <hyperlink r:id="rId542" ref="S543"/>
    <hyperlink r:id="rId543" ref="S544"/>
    <hyperlink r:id="rId544" ref="S545"/>
    <hyperlink r:id="rId545" ref="S546"/>
    <hyperlink r:id="rId546" ref="S547"/>
    <hyperlink r:id="rId547" ref="S548"/>
    <hyperlink r:id="rId548" ref="S549"/>
    <hyperlink r:id="rId549" ref="S550"/>
    <hyperlink r:id="rId550" ref="S551"/>
    <hyperlink r:id="rId551" ref="S552"/>
    <hyperlink r:id="rId552" ref="S553"/>
    <hyperlink r:id="rId553" ref="S554"/>
    <hyperlink r:id="rId554" ref="S555"/>
    <hyperlink r:id="rId555" ref="S556"/>
    <hyperlink r:id="rId556" ref="S557"/>
    <hyperlink r:id="rId557" ref="S558"/>
    <hyperlink r:id="rId558" ref="S559"/>
    <hyperlink r:id="rId559" ref="S560"/>
    <hyperlink r:id="rId560" ref="S561"/>
    <hyperlink r:id="rId561" ref="S562"/>
    <hyperlink r:id="rId562" ref="S563"/>
    <hyperlink r:id="rId563" ref="S564"/>
    <hyperlink r:id="rId564" ref="S565"/>
    <hyperlink r:id="rId565" ref="S566"/>
    <hyperlink r:id="rId566" ref="S567"/>
    <hyperlink r:id="rId567" ref="S568"/>
    <hyperlink r:id="rId568" ref="S569"/>
    <hyperlink r:id="rId569" ref="S570"/>
    <hyperlink r:id="rId570" ref="S571"/>
    <hyperlink r:id="rId571" ref="S572"/>
    <hyperlink r:id="rId572" ref="S573"/>
    <hyperlink r:id="rId573" ref="S574"/>
    <hyperlink r:id="rId574" ref="S575"/>
    <hyperlink r:id="rId575" ref="S576"/>
    <hyperlink r:id="rId576" ref="S577"/>
    <hyperlink r:id="rId577" ref="S578"/>
    <hyperlink r:id="rId578" ref="S579"/>
    <hyperlink r:id="rId579" ref="S580"/>
    <hyperlink r:id="rId580" ref="S581"/>
    <hyperlink r:id="rId581" ref="S582"/>
    <hyperlink r:id="rId582" ref="S583"/>
    <hyperlink r:id="rId583" ref="S584"/>
    <hyperlink r:id="rId584" ref="S585"/>
    <hyperlink r:id="rId585" ref="S586"/>
    <hyperlink r:id="rId586" ref="S587"/>
    <hyperlink r:id="rId587" ref="S588"/>
    <hyperlink r:id="rId588" ref="S589"/>
    <hyperlink r:id="rId589" ref="S590"/>
    <hyperlink r:id="rId590" ref="S591"/>
    <hyperlink r:id="rId591" ref="S592"/>
    <hyperlink r:id="rId592" ref="S593"/>
    <hyperlink r:id="rId593" ref="S594"/>
    <hyperlink r:id="rId594" ref="S595"/>
    <hyperlink r:id="rId595" ref="S596"/>
    <hyperlink r:id="rId596" ref="S597"/>
    <hyperlink r:id="rId597" ref="S598"/>
    <hyperlink r:id="rId598" ref="S599"/>
    <hyperlink r:id="rId599" ref="S600"/>
    <hyperlink r:id="rId600" ref="S601"/>
    <hyperlink r:id="rId601" ref="S602"/>
    <hyperlink r:id="rId602" ref="S603"/>
    <hyperlink r:id="rId603" ref="S604"/>
    <hyperlink r:id="rId604" ref="S605"/>
    <hyperlink r:id="rId605" ref="S606"/>
    <hyperlink r:id="rId606" ref="S607"/>
    <hyperlink r:id="rId607" ref="S608"/>
    <hyperlink r:id="rId608" ref="S609"/>
    <hyperlink r:id="rId609" ref="S610"/>
    <hyperlink r:id="rId610" ref="S611"/>
    <hyperlink r:id="rId611" ref="S612"/>
    <hyperlink r:id="rId612" ref="S613"/>
    <hyperlink r:id="rId613" ref="S614"/>
    <hyperlink r:id="rId614" ref="S615"/>
    <hyperlink r:id="rId615" ref="S616"/>
    <hyperlink r:id="rId616" ref="S617"/>
    <hyperlink r:id="rId617" ref="S618"/>
    <hyperlink r:id="rId618" ref="S619"/>
    <hyperlink r:id="rId619" ref="S620"/>
    <hyperlink r:id="rId620" ref="S621"/>
    <hyperlink r:id="rId621" ref="S622"/>
    <hyperlink r:id="rId622" ref="S623"/>
    <hyperlink r:id="rId623" ref="S624"/>
    <hyperlink r:id="rId624" ref="S625"/>
    <hyperlink r:id="rId625" ref="S626"/>
    <hyperlink r:id="rId626" ref="S627"/>
    <hyperlink r:id="rId627" ref="S628"/>
    <hyperlink r:id="rId628" ref="S629"/>
    <hyperlink r:id="rId629" ref="S630"/>
    <hyperlink r:id="rId630" ref="S631"/>
    <hyperlink r:id="rId631" ref="S632"/>
    <hyperlink r:id="rId632" ref="S633"/>
    <hyperlink r:id="rId633" ref="S634"/>
    <hyperlink r:id="rId634" ref="S635"/>
    <hyperlink r:id="rId635" ref="S636"/>
    <hyperlink r:id="rId636" ref="S637"/>
    <hyperlink r:id="rId637" ref="S638"/>
    <hyperlink r:id="rId638" ref="S639"/>
    <hyperlink r:id="rId639" ref="S640"/>
    <hyperlink r:id="rId640" ref="S641"/>
    <hyperlink r:id="rId641" ref="S642"/>
    <hyperlink r:id="rId642" ref="S643"/>
    <hyperlink r:id="rId643" ref="S644"/>
    <hyperlink r:id="rId644" ref="S645"/>
    <hyperlink r:id="rId645" ref="S646"/>
    <hyperlink r:id="rId646" ref="S647"/>
    <hyperlink r:id="rId647" ref="S648"/>
    <hyperlink r:id="rId648" ref="S649"/>
    <hyperlink r:id="rId649" ref="S650"/>
    <hyperlink r:id="rId650" ref="S651"/>
    <hyperlink r:id="rId651" ref="S652"/>
    <hyperlink r:id="rId652" ref="S653"/>
    <hyperlink r:id="rId653" ref="S654"/>
    <hyperlink r:id="rId654" ref="S655"/>
    <hyperlink r:id="rId655" ref="S656"/>
    <hyperlink r:id="rId656" ref="S657"/>
    <hyperlink r:id="rId657" ref="S658"/>
    <hyperlink r:id="rId658" ref="S659"/>
    <hyperlink r:id="rId659" ref="S660"/>
    <hyperlink r:id="rId660" ref="S661"/>
    <hyperlink r:id="rId661" ref="S662"/>
    <hyperlink r:id="rId662" ref="S663"/>
    <hyperlink r:id="rId663" ref="S664"/>
    <hyperlink r:id="rId664" ref="S665"/>
    <hyperlink r:id="rId665" ref="S666"/>
    <hyperlink r:id="rId666" ref="S667"/>
    <hyperlink r:id="rId667" ref="S668"/>
    <hyperlink r:id="rId668" ref="S669"/>
    <hyperlink r:id="rId669" ref="S670"/>
    <hyperlink r:id="rId670" ref="S671"/>
    <hyperlink r:id="rId671" ref="S672"/>
    <hyperlink r:id="rId672" ref="S673"/>
    <hyperlink r:id="rId673" ref="S674"/>
    <hyperlink r:id="rId674" ref="S675"/>
    <hyperlink r:id="rId675" ref="S676"/>
    <hyperlink r:id="rId676" ref="S677"/>
    <hyperlink r:id="rId677" ref="S678"/>
    <hyperlink r:id="rId678" ref="S679"/>
    <hyperlink r:id="rId679" ref="S680"/>
    <hyperlink r:id="rId680" ref="S681"/>
    <hyperlink r:id="rId681" ref="S682"/>
    <hyperlink r:id="rId682" ref="S683"/>
    <hyperlink r:id="rId683" ref="S684"/>
    <hyperlink r:id="rId684" ref="S685"/>
    <hyperlink r:id="rId685" ref="S686"/>
    <hyperlink r:id="rId686" ref="S687"/>
    <hyperlink r:id="rId687" ref="S688"/>
    <hyperlink r:id="rId688" ref="S689"/>
    <hyperlink r:id="rId689" ref="S690"/>
    <hyperlink r:id="rId690" ref="S691"/>
    <hyperlink r:id="rId691" ref="S692"/>
    <hyperlink r:id="rId692" ref="S693"/>
    <hyperlink r:id="rId693" ref="S694"/>
    <hyperlink r:id="rId694" ref="S695"/>
    <hyperlink r:id="rId695" ref="S696"/>
    <hyperlink r:id="rId696" ref="S697"/>
    <hyperlink r:id="rId697" ref="S698"/>
    <hyperlink r:id="rId698" ref="S699"/>
    <hyperlink r:id="rId699" ref="S700"/>
    <hyperlink r:id="rId700" ref="S701"/>
    <hyperlink r:id="rId701" ref="S702"/>
    <hyperlink r:id="rId702" ref="S703"/>
    <hyperlink r:id="rId703" ref="S704"/>
    <hyperlink r:id="rId704" ref="S705"/>
    <hyperlink r:id="rId705" ref="S706"/>
    <hyperlink r:id="rId706" ref="S707"/>
    <hyperlink r:id="rId707" ref="S708"/>
    <hyperlink r:id="rId708" ref="S709"/>
    <hyperlink r:id="rId709" ref="S710"/>
    <hyperlink r:id="rId710" ref="S711"/>
    <hyperlink r:id="rId711" ref="S712"/>
    <hyperlink r:id="rId712" ref="S713"/>
    <hyperlink r:id="rId713" ref="S714"/>
    <hyperlink r:id="rId714" ref="S715"/>
    <hyperlink r:id="rId715" ref="S716"/>
    <hyperlink r:id="rId716" ref="S717"/>
    <hyperlink r:id="rId717" ref="S718"/>
    <hyperlink r:id="rId718" ref="S719"/>
    <hyperlink r:id="rId719" ref="S720"/>
    <hyperlink r:id="rId720" ref="S721"/>
    <hyperlink r:id="rId721" ref="S722"/>
    <hyperlink r:id="rId722" ref="S723"/>
    <hyperlink r:id="rId723" ref="S724"/>
    <hyperlink r:id="rId724" ref="S725"/>
    <hyperlink r:id="rId725" ref="S726"/>
    <hyperlink r:id="rId726" ref="S727"/>
    <hyperlink r:id="rId727" ref="S728"/>
    <hyperlink r:id="rId728" ref="S729"/>
    <hyperlink r:id="rId729" ref="S730"/>
    <hyperlink r:id="rId730" ref="S731"/>
    <hyperlink r:id="rId731" ref="S732"/>
    <hyperlink r:id="rId732" ref="S733"/>
    <hyperlink r:id="rId733" ref="S734"/>
    <hyperlink r:id="rId734" ref="S735"/>
    <hyperlink r:id="rId735" ref="S736"/>
    <hyperlink r:id="rId736" ref="S737"/>
    <hyperlink r:id="rId737" ref="S738"/>
    <hyperlink r:id="rId738" ref="S739"/>
    <hyperlink r:id="rId739" ref="S740"/>
    <hyperlink r:id="rId740" ref="S741"/>
    <hyperlink r:id="rId741" ref="S742"/>
    <hyperlink r:id="rId742" ref="S743"/>
    <hyperlink r:id="rId743" ref="S744"/>
    <hyperlink r:id="rId744" ref="S745"/>
    <hyperlink r:id="rId745" ref="S746"/>
    <hyperlink r:id="rId746" ref="S747"/>
    <hyperlink r:id="rId747" ref="S748"/>
    <hyperlink r:id="rId748" ref="S749"/>
    <hyperlink r:id="rId749" ref="S750"/>
    <hyperlink r:id="rId750" ref="S751"/>
    <hyperlink r:id="rId751" ref="S752"/>
    <hyperlink r:id="rId752" ref="S753"/>
    <hyperlink r:id="rId753" ref="S754"/>
    <hyperlink r:id="rId754" ref="S755"/>
    <hyperlink r:id="rId755" ref="S756"/>
    <hyperlink r:id="rId756" ref="S757"/>
    <hyperlink r:id="rId757" ref="S758"/>
    <hyperlink r:id="rId758" ref="S759"/>
    <hyperlink r:id="rId759" ref="S760"/>
    <hyperlink r:id="rId760" ref="S761"/>
    <hyperlink r:id="rId761" ref="S762"/>
    <hyperlink r:id="rId762" ref="S763"/>
    <hyperlink r:id="rId763" ref="S764"/>
    <hyperlink r:id="rId764" ref="S765"/>
    <hyperlink r:id="rId765" ref="S766"/>
    <hyperlink r:id="rId766" ref="S767"/>
    <hyperlink r:id="rId767" ref="S768"/>
    <hyperlink r:id="rId768" ref="S769"/>
    <hyperlink r:id="rId769" ref="S770"/>
    <hyperlink r:id="rId770" ref="S771"/>
    <hyperlink r:id="rId771" ref="S772"/>
    <hyperlink r:id="rId772" ref="S773"/>
    <hyperlink r:id="rId773" ref="S774"/>
    <hyperlink r:id="rId774" ref="S775"/>
    <hyperlink r:id="rId775" ref="S776"/>
    <hyperlink r:id="rId776" ref="S777"/>
    <hyperlink r:id="rId777" ref="S778"/>
    <hyperlink r:id="rId778" ref="S779"/>
    <hyperlink r:id="rId779" ref="S780"/>
    <hyperlink r:id="rId780" ref="S781"/>
    <hyperlink r:id="rId781" ref="S782"/>
    <hyperlink r:id="rId782" ref="S783"/>
    <hyperlink r:id="rId783" ref="S784"/>
    <hyperlink r:id="rId784" ref="S785"/>
    <hyperlink r:id="rId785" ref="S786"/>
    <hyperlink r:id="rId786" ref="S787"/>
    <hyperlink r:id="rId787" ref="S788"/>
    <hyperlink r:id="rId788" ref="S789"/>
    <hyperlink r:id="rId789" ref="S790"/>
    <hyperlink r:id="rId790" ref="S791"/>
    <hyperlink r:id="rId791" ref="S792"/>
    <hyperlink r:id="rId792" ref="S793"/>
    <hyperlink r:id="rId793" ref="S794"/>
    <hyperlink r:id="rId794" ref="S795"/>
    <hyperlink r:id="rId795" ref="S796"/>
    <hyperlink r:id="rId796" ref="S797"/>
    <hyperlink r:id="rId797" ref="S798"/>
    <hyperlink r:id="rId798" ref="S799"/>
    <hyperlink r:id="rId799" ref="S800"/>
    <hyperlink r:id="rId800" ref="S801"/>
    <hyperlink r:id="rId801" ref="S802"/>
    <hyperlink r:id="rId802" ref="S803"/>
    <hyperlink r:id="rId803" ref="S804"/>
    <hyperlink r:id="rId804" ref="S805"/>
    <hyperlink r:id="rId805" ref="S806"/>
    <hyperlink r:id="rId806" ref="S807"/>
    <hyperlink r:id="rId807" ref="S808"/>
    <hyperlink r:id="rId808" ref="S809"/>
    <hyperlink r:id="rId809" ref="S810"/>
    <hyperlink r:id="rId810" ref="S811"/>
    <hyperlink r:id="rId811" ref="S812"/>
    <hyperlink r:id="rId812" ref="S813"/>
    <hyperlink r:id="rId813" ref="S814"/>
    <hyperlink r:id="rId814" ref="S815"/>
    <hyperlink r:id="rId815" ref="S816"/>
    <hyperlink r:id="rId816" ref="S817"/>
    <hyperlink r:id="rId817" ref="S818"/>
    <hyperlink r:id="rId818" ref="S819"/>
    <hyperlink r:id="rId819" ref="S820"/>
    <hyperlink r:id="rId820" ref="S821"/>
    <hyperlink r:id="rId821" ref="S822"/>
    <hyperlink r:id="rId822" ref="S823"/>
    <hyperlink r:id="rId823" ref="S824"/>
    <hyperlink r:id="rId824" ref="S825"/>
    <hyperlink r:id="rId825" ref="S826"/>
    <hyperlink r:id="rId826" ref="S827"/>
    <hyperlink r:id="rId827" ref="S828"/>
    <hyperlink r:id="rId828" ref="S829"/>
    <hyperlink r:id="rId829" ref="S830"/>
    <hyperlink r:id="rId830" ref="S831"/>
    <hyperlink r:id="rId831" ref="S832"/>
    <hyperlink r:id="rId832" ref="S833"/>
    <hyperlink r:id="rId833" ref="S834"/>
    <hyperlink r:id="rId834" ref="S835"/>
    <hyperlink r:id="rId835" ref="S836"/>
    <hyperlink r:id="rId836" ref="S837"/>
    <hyperlink r:id="rId837" ref="S838"/>
    <hyperlink r:id="rId838" ref="S839"/>
    <hyperlink r:id="rId839" ref="S840"/>
    <hyperlink r:id="rId840" ref="S841"/>
    <hyperlink r:id="rId841" ref="S842"/>
    <hyperlink r:id="rId842" ref="S843"/>
    <hyperlink r:id="rId843" ref="S844"/>
    <hyperlink r:id="rId844" ref="S845"/>
    <hyperlink r:id="rId845" ref="S846"/>
    <hyperlink r:id="rId846" ref="S847"/>
    <hyperlink r:id="rId847" ref="S848"/>
    <hyperlink r:id="rId848" ref="S849"/>
    <hyperlink r:id="rId849" ref="S850"/>
    <hyperlink r:id="rId850" ref="S851"/>
    <hyperlink r:id="rId851" ref="S852"/>
    <hyperlink r:id="rId852" ref="S853"/>
    <hyperlink r:id="rId853" ref="S854"/>
    <hyperlink r:id="rId854" ref="S855"/>
    <hyperlink r:id="rId855" ref="S856"/>
    <hyperlink r:id="rId856" ref="S857"/>
    <hyperlink r:id="rId857" ref="S858"/>
    <hyperlink r:id="rId858" ref="S859"/>
    <hyperlink r:id="rId859" ref="S860"/>
    <hyperlink r:id="rId860" ref="S861"/>
    <hyperlink r:id="rId861" ref="S862"/>
    <hyperlink r:id="rId862" ref="S863"/>
    <hyperlink r:id="rId863" ref="S864"/>
    <hyperlink r:id="rId864" ref="S865"/>
    <hyperlink r:id="rId865" ref="S866"/>
    <hyperlink r:id="rId866" ref="S867"/>
    <hyperlink r:id="rId867" ref="S868"/>
    <hyperlink r:id="rId868" ref="S869"/>
    <hyperlink r:id="rId869" ref="S870"/>
    <hyperlink r:id="rId870" ref="S871"/>
    <hyperlink r:id="rId871" ref="S872"/>
    <hyperlink r:id="rId872" ref="S873"/>
    <hyperlink r:id="rId873" ref="S874"/>
    <hyperlink r:id="rId874" ref="S875"/>
    <hyperlink r:id="rId875" ref="S876"/>
    <hyperlink r:id="rId876" ref="S877"/>
    <hyperlink r:id="rId877" ref="S878"/>
    <hyperlink r:id="rId878" ref="S879"/>
    <hyperlink r:id="rId879" ref="S880"/>
    <hyperlink r:id="rId880" ref="S881"/>
    <hyperlink r:id="rId881" ref="S882"/>
    <hyperlink r:id="rId882" ref="S883"/>
    <hyperlink r:id="rId883" ref="S884"/>
    <hyperlink r:id="rId884" ref="S885"/>
    <hyperlink r:id="rId885" ref="S886"/>
    <hyperlink r:id="rId886" ref="S887"/>
    <hyperlink r:id="rId887" ref="S888"/>
    <hyperlink r:id="rId888" ref="S889"/>
    <hyperlink r:id="rId889" ref="S890"/>
    <hyperlink r:id="rId890" ref="S891"/>
    <hyperlink r:id="rId891" ref="S892"/>
    <hyperlink r:id="rId892" ref="S893"/>
    <hyperlink r:id="rId893" ref="S894"/>
    <hyperlink r:id="rId894" ref="S895"/>
    <hyperlink r:id="rId895" ref="S896"/>
    <hyperlink r:id="rId896" ref="S897"/>
    <hyperlink r:id="rId897" ref="S898"/>
    <hyperlink r:id="rId898" ref="S899"/>
    <hyperlink r:id="rId899" ref="S900"/>
    <hyperlink r:id="rId900" ref="S901"/>
    <hyperlink r:id="rId901" ref="S902"/>
    <hyperlink r:id="rId902" ref="S903"/>
    <hyperlink r:id="rId903" ref="S904"/>
    <hyperlink r:id="rId904" ref="S905"/>
    <hyperlink r:id="rId905" ref="S906"/>
    <hyperlink r:id="rId906" ref="S907"/>
    <hyperlink r:id="rId907" ref="S908"/>
    <hyperlink r:id="rId908" ref="S909"/>
    <hyperlink r:id="rId909" ref="S910"/>
    <hyperlink r:id="rId910" ref="S911"/>
    <hyperlink r:id="rId911" ref="S912"/>
    <hyperlink r:id="rId912" ref="S913"/>
    <hyperlink r:id="rId913" ref="S914"/>
    <hyperlink r:id="rId914" ref="S915"/>
    <hyperlink r:id="rId915" ref="S916"/>
    <hyperlink r:id="rId916" ref="S917"/>
    <hyperlink r:id="rId917" ref="S918"/>
    <hyperlink r:id="rId918" ref="S919"/>
    <hyperlink r:id="rId919" ref="S920"/>
    <hyperlink r:id="rId920" ref="S921"/>
    <hyperlink r:id="rId921" ref="S922"/>
    <hyperlink r:id="rId922" ref="S923"/>
    <hyperlink r:id="rId923" ref="S924"/>
    <hyperlink r:id="rId924" ref="S925"/>
    <hyperlink r:id="rId925" ref="S926"/>
    <hyperlink r:id="rId926" ref="S927"/>
    <hyperlink r:id="rId927" ref="S928"/>
    <hyperlink r:id="rId928" ref="S929"/>
    <hyperlink r:id="rId929" ref="S930"/>
    <hyperlink r:id="rId930" ref="S931"/>
    <hyperlink r:id="rId931" ref="S932"/>
    <hyperlink r:id="rId932" ref="S933"/>
    <hyperlink r:id="rId933" ref="S934"/>
    <hyperlink r:id="rId934" ref="S935"/>
    <hyperlink r:id="rId935" ref="S936"/>
    <hyperlink r:id="rId936" ref="S937"/>
    <hyperlink r:id="rId937" ref="S938"/>
    <hyperlink r:id="rId938" ref="S939"/>
    <hyperlink r:id="rId939" ref="S940"/>
    <hyperlink r:id="rId940" ref="S941"/>
    <hyperlink r:id="rId941" ref="S942"/>
    <hyperlink r:id="rId942" ref="S943"/>
    <hyperlink r:id="rId943" ref="S944"/>
    <hyperlink r:id="rId944" ref="S945"/>
    <hyperlink r:id="rId945" ref="S946"/>
    <hyperlink r:id="rId946" ref="S947"/>
    <hyperlink r:id="rId947" ref="S948"/>
    <hyperlink r:id="rId948" ref="S949"/>
    <hyperlink r:id="rId949" ref="S950"/>
    <hyperlink r:id="rId950" ref="S951"/>
    <hyperlink r:id="rId951" ref="S952"/>
    <hyperlink r:id="rId952" ref="S953"/>
    <hyperlink r:id="rId953" ref="S954"/>
    <hyperlink r:id="rId954" ref="S955"/>
    <hyperlink r:id="rId955" ref="S956"/>
    <hyperlink r:id="rId956" ref="S957"/>
    <hyperlink r:id="rId957" ref="S958"/>
    <hyperlink r:id="rId958" ref="S959"/>
    <hyperlink r:id="rId959" ref="S960"/>
    <hyperlink r:id="rId960" ref="S961"/>
    <hyperlink r:id="rId961" ref="S962"/>
    <hyperlink r:id="rId962" ref="S963"/>
    <hyperlink r:id="rId963" ref="S964"/>
    <hyperlink r:id="rId964" ref="S965"/>
    <hyperlink r:id="rId965" ref="S966"/>
    <hyperlink r:id="rId966" ref="S967"/>
    <hyperlink r:id="rId967" ref="S968"/>
    <hyperlink r:id="rId968" ref="S969"/>
    <hyperlink r:id="rId969" ref="S970"/>
    <hyperlink r:id="rId970" ref="S971"/>
    <hyperlink r:id="rId971" ref="S972"/>
    <hyperlink r:id="rId972" ref="S973"/>
    <hyperlink r:id="rId973" ref="S974"/>
    <hyperlink r:id="rId974" ref="S975"/>
    <hyperlink r:id="rId975" ref="S976"/>
    <hyperlink r:id="rId976" ref="S977"/>
    <hyperlink r:id="rId977" ref="S978"/>
    <hyperlink r:id="rId978" ref="S979"/>
    <hyperlink r:id="rId979" ref="S980"/>
    <hyperlink r:id="rId980" ref="S981"/>
    <hyperlink r:id="rId981" ref="S982"/>
    <hyperlink r:id="rId982" ref="S983"/>
    <hyperlink r:id="rId983" ref="S984"/>
    <hyperlink r:id="rId984" ref="S985"/>
    <hyperlink r:id="rId985" ref="S986"/>
    <hyperlink r:id="rId986" ref="S987"/>
    <hyperlink r:id="rId987" ref="S988"/>
    <hyperlink r:id="rId988" ref="S989"/>
    <hyperlink r:id="rId989" ref="S990"/>
    <hyperlink r:id="rId990" ref="S991"/>
    <hyperlink r:id="rId991" ref="S992"/>
    <hyperlink r:id="rId992" ref="S993"/>
    <hyperlink r:id="rId993" ref="S994"/>
    <hyperlink r:id="rId994" ref="S995"/>
    <hyperlink r:id="rId995" ref="S996"/>
    <hyperlink r:id="rId996" ref="S997"/>
    <hyperlink r:id="rId997" ref="S998"/>
    <hyperlink r:id="rId998" ref="S999"/>
    <hyperlink r:id="rId999" ref="S1000"/>
    <hyperlink r:id="rId1000" ref="S1001"/>
    <hyperlink r:id="rId1001" ref="S1002"/>
    <hyperlink r:id="rId1002" ref="S1003"/>
    <hyperlink r:id="rId1003" ref="S1004"/>
    <hyperlink r:id="rId1004" ref="S1005"/>
    <hyperlink r:id="rId1005" ref="S1006"/>
    <hyperlink r:id="rId1006" ref="S1007"/>
    <hyperlink r:id="rId1007" ref="S1008"/>
    <hyperlink r:id="rId1008" ref="S1009"/>
    <hyperlink r:id="rId1009" ref="S1010"/>
    <hyperlink r:id="rId1010" ref="S1011"/>
    <hyperlink r:id="rId1011" ref="S1012"/>
    <hyperlink r:id="rId1012" ref="S1013"/>
    <hyperlink r:id="rId1013" ref="S1014"/>
    <hyperlink r:id="rId1014" ref="S1015"/>
    <hyperlink r:id="rId1015" ref="S1016"/>
    <hyperlink r:id="rId1016" ref="S1017"/>
    <hyperlink r:id="rId1017" ref="S1018"/>
    <hyperlink r:id="rId1018" ref="S1019"/>
    <hyperlink r:id="rId1019" ref="S1020"/>
    <hyperlink r:id="rId1020" ref="S1021"/>
    <hyperlink r:id="rId1021" ref="S1022"/>
    <hyperlink r:id="rId1022" ref="S1023"/>
    <hyperlink r:id="rId1023" ref="S1024"/>
    <hyperlink r:id="rId1024" ref="S1025"/>
    <hyperlink r:id="rId1025" ref="S1026"/>
    <hyperlink r:id="rId1026" ref="S1027"/>
    <hyperlink r:id="rId1027" ref="S1028"/>
    <hyperlink r:id="rId1028" ref="S1029"/>
    <hyperlink r:id="rId1029" ref="S1030"/>
    <hyperlink r:id="rId1030" ref="S1031"/>
    <hyperlink r:id="rId1031" ref="S1032"/>
    <hyperlink r:id="rId1032" ref="S1033"/>
    <hyperlink r:id="rId1033" ref="S1034"/>
    <hyperlink r:id="rId1034" ref="S1035"/>
    <hyperlink r:id="rId1035" ref="S1036"/>
    <hyperlink r:id="rId1036" ref="S1037"/>
    <hyperlink r:id="rId1037" ref="S1038"/>
    <hyperlink r:id="rId1038" ref="S1039"/>
    <hyperlink r:id="rId1039" ref="S1040"/>
    <hyperlink r:id="rId1040" ref="S1041"/>
    <hyperlink r:id="rId1041" ref="S1042"/>
    <hyperlink r:id="rId1042" ref="S1043"/>
    <hyperlink r:id="rId1043" ref="S1044"/>
    <hyperlink r:id="rId1044" ref="S1045"/>
    <hyperlink r:id="rId1045" ref="S1046"/>
    <hyperlink r:id="rId1046" ref="S1047"/>
    <hyperlink r:id="rId1047" ref="S1048"/>
    <hyperlink r:id="rId1048" ref="S1049"/>
    <hyperlink r:id="rId1049" ref="S1050"/>
    <hyperlink r:id="rId1050" ref="S1051"/>
    <hyperlink r:id="rId1051" ref="S1052"/>
    <hyperlink r:id="rId1052" ref="S1053"/>
    <hyperlink r:id="rId1053" ref="S1054"/>
    <hyperlink r:id="rId1054" ref="S1055"/>
    <hyperlink r:id="rId1055" ref="S1056"/>
    <hyperlink r:id="rId1056" ref="S1057"/>
    <hyperlink r:id="rId1057" ref="S1058"/>
    <hyperlink r:id="rId1058" ref="S1059"/>
    <hyperlink r:id="rId1059" ref="S1060"/>
    <hyperlink r:id="rId1060" ref="S1061"/>
    <hyperlink r:id="rId1061" ref="S1062"/>
    <hyperlink r:id="rId1062" ref="S1063"/>
    <hyperlink r:id="rId1063" ref="S1064"/>
    <hyperlink r:id="rId1064" ref="S1065"/>
    <hyperlink r:id="rId1065" ref="S1066"/>
    <hyperlink r:id="rId1066" ref="S1067"/>
    <hyperlink r:id="rId1067" ref="S1068"/>
    <hyperlink r:id="rId1068" ref="S1069"/>
    <hyperlink r:id="rId1069" ref="S1070"/>
    <hyperlink r:id="rId1070" ref="S1071"/>
    <hyperlink r:id="rId1071" ref="S1072"/>
    <hyperlink r:id="rId1072" ref="S1073"/>
    <hyperlink r:id="rId1073" ref="S1074"/>
    <hyperlink r:id="rId1074" ref="S1075"/>
    <hyperlink r:id="rId1075" ref="S1076"/>
    <hyperlink r:id="rId1076" ref="S1077"/>
    <hyperlink r:id="rId1077" ref="S1078"/>
    <hyperlink r:id="rId1078" ref="S1079"/>
    <hyperlink r:id="rId1079" ref="S1080"/>
    <hyperlink r:id="rId1080" ref="S1081"/>
    <hyperlink r:id="rId1081" ref="S1082"/>
    <hyperlink r:id="rId1082" ref="S1083"/>
    <hyperlink r:id="rId1083" ref="S1084"/>
    <hyperlink r:id="rId1084" ref="S1085"/>
    <hyperlink r:id="rId1085" ref="S1086"/>
    <hyperlink r:id="rId1086" ref="S1087"/>
    <hyperlink r:id="rId1087" ref="S1088"/>
    <hyperlink r:id="rId1088" ref="S1089"/>
    <hyperlink r:id="rId1089" ref="S1090"/>
    <hyperlink r:id="rId1090" ref="S1091"/>
    <hyperlink r:id="rId1091" ref="S1092"/>
    <hyperlink r:id="rId1092" ref="S1093"/>
    <hyperlink r:id="rId1093" ref="S1094"/>
    <hyperlink r:id="rId1094" ref="S1095"/>
    <hyperlink r:id="rId1095" ref="S1096"/>
    <hyperlink r:id="rId1096" ref="S1097"/>
    <hyperlink r:id="rId1097" ref="S1098"/>
    <hyperlink r:id="rId1098" ref="S1099"/>
    <hyperlink r:id="rId1099" ref="S1100"/>
    <hyperlink r:id="rId1100" ref="S1101"/>
    <hyperlink r:id="rId1101" ref="S1102"/>
    <hyperlink r:id="rId1102" ref="S1103"/>
    <hyperlink r:id="rId1103" ref="S1104"/>
    <hyperlink r:id="rId1104" ref="S1105"/>
    <hyperlink r:id="rId1105" ref="S1106"/>
    <hyperlink r:id="rId1106" ref="S1107"/>
    <hyperlink r:id="rId1107" ref="S1108"/>
    <hyperlink r:id="rId1108" ref="S1109"/>
    <hyperlink r:id="rId1109" ref="S1110"/>
    <hyperlink r:id="rId1110" ref="S1111"/>
    <hyperlink r:id="rId1111" ref="S1112"/>
    <hyperlink r:id="rId1112" ref="S1113"/>
    <hyperlink r:id="rId1113" ref="S1114"/>
    <hyperlink r:id="rId1114" ref="S1115"/>
    <hyperlink r:id="rId1115" ref="S1116"/>
    <hyperlink r:id="rId1116" ref="S1117"/>
    <hyperlink r:id="rId1117" ref="S1118"/>
    <hyperlink r:id="rId1118" ref="S1119"/>
    <hyperlink r:id="rId1119" ref="S1120"/>
    <hyperlink r:id="rId1120" ref="S1121"/>
    <hyperlink r:id="rId1121" ref="S1122"/>
    <hyperlink r:id="rId1122" ref="S1123"/>
    <hyperlink r:id="rId1123" ref="S1124"/>
    <hyperlink r:id="rId1124" ref="S1125"/>
    <hyperlink r:id="rId1125" ref="S1126"/>
    <hyperlink r:id="rId1126" ref="S1127"/>
    <hyperlink r:id="rId1127" ref="S1128"/>
    <hyperlink r:id="rId1128" ref="S1129"/>
    <hyperlink r:id="rId1129" ref="S1130"/>
    <hyperlink r:id="rId1130" ref="S1131"/>
    <hyperlink r:id="rId1131" ref="S1132"/>
    <hyperlink r:id="rId1132" ref="S1133"/>
    <hyperlink r:id="rId1133" ref="S1134"/>
    <hyperlink r:id="rId1134" ref="S1135"/>
    <hyperlink r:id="rId1135" ref="S1136"/>
    <hyperlink r:id="rId1136" ref="S1137"/>
    <hyperlink r:id="rId1137" ref="S1138"/>
    <hyperlink r:id="rId1138" ref="S1139"/>
    <hyperlink r:id="rId1139" ref="S1140"/>
    <hyperlink r:id="rId1140" ref="S1141"/>
    <hyperlink r:id="rId1141" ref="S1142"/>
    <hyperlink r:id="rId1142" ref="S1143"/>
    <hyperlink r:id="rId1143" ref="S1144"/>
    <hyperlink r:id="rId1144" ref="S1145"/>
    <hyperlink r:id="rId1145" ref="S1146"/>
    <hyperlink r:id="rId1146" ref="S1147"/>
    <hyperlink r:id="rId1147" ref="S1148"/>
    <hyperlink r:id="rId1148" ref="S1149"/>
    <hyperlink r:id="rId1149" ref="S1150"/>
    <hyperlink r:id="rId1150" ref="S1151"/>
    <hyperlink r:id="rId1151" ref="S1152"/>
    <hyperlink r:id="rId1152" ref="S1153"/>
    <hyperlink r:id="rId1153" ref="S1154"/>
    <hyperlink r:id="rId1154" ref="S1155"/>
    <hyperlink r:id="rId1155" ref="S1156"/>
    <hyperlink r:id="rId1156" ref="S1157"/>
    <hyperlink r:id="rId1157" ref="S1158"/>
    <hyperlink r:id="rId1158" ref="S1159"/>
    <hyperlink r:id="rId1159" ref="S1160"/>
    <hyperlink r:id="rId1160" ref="S1161"/>
    <hyperlink r:id="rId1161" ref="S1162"/>
    <hyperlink r:id="rId1162" ref="S1163"/>
    <hyperlink r:id="rId1163" ref="S1164"/>
    <hyperlink r:id="rId1164" ref="S1165"/>
    <hyperlink r:id="rId1165" ref="S1166"/>
    <hyperlink r:id="rId1166" ref="S1167"/>
    <hyperlink r:id="rId1167" ref="S1168"/>
    <hyperlink r:id="rId1168" ref="S1169"/>
    <hyperlink r:id="rId1169" ref="S1170"/>
    <hyperlink r:id="rId1170" ref="S1171"/>
    <hyperlink r:id="rId1171" ref="S1172"/>
    <hyperlink r:id="rId1172" ref="S1173"/>
    <hyperlink r:id="rId1173" ref="S1174"/>
    <hyperlink r:id="rId1174" ref="S1175"/>
    <hyperlink r:id="rId1175" ref="S1176"/>
    <hyperlink r:id="rId1176" ref="S1177"/>
    <hyperlink r:id="rId1177" ref="S1178"/>
    <hyperlink r:id="rId1178" ref="S1179"/>
    <hyperlink r:id="rId1179" ref="S1180"/>
    <hyperlink r:id="rId1180" ref="S1181"/>
    <hyperlink r:id="rId1181" ref="S1182"/>
    <hyperlink r:id="rId1182" ref="S1183"/>
    <hyperlink r:id="rId1183" ref="S1184"/>
    <hyperlink r:id="rId1184" ref="S1185"/>
    <hyperlink r:id="rId1185" ref="S1186"/>
    <hyperlink r:id="rId1186" ref="S1187"/>
    <hyperlink r:id="rId1187" ref="S1188"/>
    <hyperlink r:id="rId1188" ref="S1189"/>
    <hyperlink r:id="rId1189" ref="S1190"/>
    <hyperlink r:id="rId1190" ref="S1191"/>
    <hyperlink r:id="rId1191" ref="S1192"/>
    <hyperlink r:id="rId1192" ref="S1193"/>
    <hyperlink r:id="rId1193" ref="S1194"/>
    <hyperlink r:id="rId1194" ref="S1195"/>
    <hyperlink r:id="rId1195" ref="S1196"/>
    <hyperlink r:id="rId1196" ref="S1197"/>
    <hyperlink r:id="rId1197" ref="S1198"/>
    <hyperlink r:id="rId1198" ref="S1199"/>
    <hyperlink r:id="rId1199" ref="S1200"/>
    <hyperlink r:id="rId1200" ref="S1201"/>
    <hyperlink r:id="rId1201" ref="S1202"/>
    <hyperlink r:id="rId1202" ref="S1203"/>
    <hyperlink r:id="rId1203" ref="S1204"/>
    <hyperlink r:id="rId1204" ref="S1205"/>
    <hyperlink r:id="rId1205" ref="S1206"/>
    <hyperlink r:id="rId1206" ref="S1207"/>
    <hyperlink r:id="rId1207" ref="S1208"/>
    <hyperlink r:id="rId1208" ref="S1209"/>
    <hyperlink r:id="rId1209" ref="S1210"/>
    <hyperlink r:id="rId1210" ref="S1211"/>
    <hyperlink r:id="rId1211" ref="S1212"/>
    <hyperlink r:id="rId1212" ref="S1213"/>
    <hyperlink r:id="rId1213" ref="S1214"/>
    <hyperlink r:id="rId1214" ref="S1215"/>
    <hyperlink r:id="rId1215" ref="S1216"/>
    <hyperlink r:id="rId1216" ref="S1217"/>
    <hyperlink r:id="rId1217" ref="S1218"/>
    <hyperlink r:id="rId1218" ref="S1219"/>
    <hyperlink r:id="rId1219" ref="S1220"/>
    <hyperlink r:id="rId1220" ref="S1221"/>
    <hyperlink r:id="rId1221" ref="S1222"/>
    <hyperlink r:id="rId1222" ref="S1223"/>
    <hyperlink r:id="rId1223" ref="S1224"/>
    <hyperlink r:id="rId1224" ref="S1225"/>
    <hyperlink r:id="rId1225" ref="S1226"/>
    <hyperlink r:id="rId1226" ref="S1227"/>
    <hyperlink r:id="rId1227" ref="S1228"/>
    <hyperlink r:id="rId1228" ref="S1229"/>
    <hyperlink r:id="rId1229" ref="S1230"/>
    <hyperlink r:id="rId1230" ref="S1231"/>
    <hyperlink r:id="rId1231" ref="S1232"/>
    <hyperlink r:id="rId1232" ref="S1233"/>
    <hyperlink r:id="rId1233" ref="S1234"/>
    <hyperlink r:id="rId1234" ref="S1235"/>
    <hyperlink r:id="rId1235" ref="S1236"/>
    <hyperlink r:id="rId1236" ref="S1237"/>
    <hyperlink r:id="rId1237" ref="S1238"/>
    <hyperlink r:id="rId1238" ref="S1239"/>
    <hyperlink r:id="rId1239" ref="S1240"/>
    <hyperlink r:id="rId1240" ref="S1241"/>
    <hyperlink r:id="rId1241" ref="S1242"/>
    <hyperlink r:id="rId1242" ref="S1243"/>
    <hyperlink r:id="rId1243" ref="S1244"/>
    <hyperlink r:id="rId1244" ref="S1245"/>
    <hyperlink r:id="rId1245" ref="S1246"/>
    <hyperlink r:id="rId1246" ref="S1247"/>
    <hyperlink r:id="rId1247" ref="S1248"/>
    <hyperlink r:id="rId1248" ref="S1249"/>
    <hyperlink r:id="rId1249" ref="S1250"/>
    <hyperlink r:id="rId1250" ref="S1251"/>
    <hyperlink r:id="rId1251" ref="S1252"/>
    <hyperlink r:id="rId1252" ref="S1253"/>
    <hyperlink r:id="rId1253" ref="S1254"/>
    <hyperlink r:id="rId1254" ref="S1255"/>
    <hyperlink r:id="rId1255" ref="S1256"/>
    <hyperlink r:id="rId1256" ref="S1257"/>
    <hyperlink r:id="rId1257" ref="S1258"/>
    <hyperlink r:id="rId1258" ref="S1259"/>
    <hyperlink r:id="rId1259" ref="S1260"/>
    <hyperlink r:id="rId1260" ref="S1261"/>
    <hyperlink r:id="rId1261" ref="S1262"/>
    <hyperlink r:id="rId1262" ref="S1263"/>
    <hyperlink r:id="rId1263" ref="S1264"/>
    <hyperlink r:id="rId1264" ref="S1265"/>
    <hyperlink r:id="rId1265" ref="S1266"/>
    <hyperlink r:id="rId1266" ref="S1267"/>
    <hyperlink r:id="rId1267" ref="S1268"/>
    <hyperlink r:id="rId1268" ref="S1269"/>
    <hyperlink r:id="rId1269" ref="S1270"/>
    <hyperlink r:id="rId1270" ref="S1271"/>
    <hyperlink r:id="rId1271" ref="S1272"/>
    <hyperlink r:id="rId1272" ref="S1273"/>
    <hyperlink r:id="rId1273" ref="S1274"/>
    <hyperlink r:id="rId1274" ref="S1275"/>
    <hyperlink r:id="rId1275" ref="S1276"/>
    <hyperlink r:id="rId1276" ref="S1277"/>
    <hyperlink r:id="rId1277" ref="S1278"/>
    <hyperlink r:id="rId1278" ref="S1279"/>
    <hyperlink r:id="rId1279" ref="S1280"/>
    <hyperlink r:id="rId1280" ref="S1281"/>
    <hyperlink r:id="rId1281" ref="S1282"/>
    <hyperlink r:id="rId1282" ref="S1283"/>
    <hyperlink r:id="rId1283" ref="S1284"/>
    <hyperlink r:id="rId1284" ref="S1285"/>
    <hyperlink r:id="rId1285" ref="S1286"/>
    <hyperlink r:id="rId1286" ref="S1287"/>
    <hyperlink r:id="rId1287" ref="S1288"/>
    <hyperlink r:id="rId1288" ref="S1289"/>
    <hyperlink r:id="rId1289" ref="S1290"/>
    <hyperlink r:id="rId1290" ref="S1291"/>
    <hyperlink r:id="rId1291" ref="S1292"/>
    <hyperlink r:id="rId1292" ref="S1293"/>
    <hyperlink r:id="rId1293" ref="S1294"/>
    <hyperlink r:id="rId1294" ref="S1295"/>
    <hyperlink r:id="rId1295" ref="S1296"/>
    <hyperlink r:id="rId1296" ref="S1297"/>
    <hyperlink r:id="rId1297" ref="S1298"/>
    <hyperlink r:id="rId1298" ref="S1299"/>
    <hyperlink r:id="rId1299" ref="S1300"/>
    <hyperlink r:id="rId1300" ref="S1301"/>
    <hyperlink r:id="rId1301" ref="S1302"/>
    <hyperlink r:id="rId1302" ref="S1303"/>
    <hyperlink r:id="rId1303" ref="S1304"/>
    <hyperlink r:id="rId1304" ref="S1305"/>
    <hyperlink r:id="rId1305" ref="S1306"/>
    <hyperlink r:id="rId1306" ref="S1307"/>
    <hyperlink r:id="rId1307" ref="S1308"/>
    <hyperlink r:id="rId1308" ref="S1309"/>
    <hyperlink r:id="rId1309" ref="S1310"/>
    <hyperlink r:id="rId1310" ref="S1311"/>
    <hyperlink r:id="rId1311" ref="S1312"/>
    <hyperlink r:id="rId1312" ref="S1313"/>
    <hyperlink r:id="rId1313" ref="S1314"/>
    <hyperlink r:id="rId1314" ref="S1315"/>
    <hyperlink r:id="rId1315" ref="S1316"/>
    <hyperlink r:id="rId1316" ref="S1317"/>
    <hyperlink r:id="rId1317" ref="S1318"/>
    <hyperlink r:id="rId1318" ref="S1319"/>
    <hyperlink r:id="rId1319" ref="S1320"/>
    <hyperlink r:id="rId1320" ref="S1321"/>
    <hyperlink r:id="rId1321" ref="S1322"/>
    <hyperlink r:id="rId1322" ref="S1323"/>
    <hyperlink r:id="rId1323" ref="S1324"/>
    <hyperlink r:id="rId1324" ref="S1325"/>
    <hyperlink r:id="rId1325" ref="S1326"/>
    <hyperlink r:id="rId1326" ref="S1327"/>
    <hyperlink r:id="rId1327" ref="S1328"/>
    <hyperlink r:id="rId1328" ref="S1329"/>
    <hyperlink r:id="rId1329" ref="S1330"/>
    <hyperlink r:id="rId1330" ref="S1331"/>
    <hyperlink r:id="rId1331" ref="S1332"/>
    <hyperlink r:id="rId1332" ref="S1333"/>
    <hyperlink r:id="rId1333" ref="S1334"/>
    <hyperlink r:id="rId1334" ref="S1335"/>
    <hyperlink r:id="rId1335" ref="S1336"/>
    <hyperlink r:id="rId1336" ref="S1337"/>
    <hyperlink r:id="rId1337" ref="S1338"/>
    <hyperlink r:id="rId1338" ref="S1339"/>
    <hyperlink r:id="rId1339" ref="S1340"/>
    <hyperlink r:id="rId1340" ref="S1341"/>
    <hyperlink r:id="rId1341" ref="S1342"/>
    <hyperlink r:id="rId1342" ref="S1343"/>
    <hyperlink r:id="rId1343" ref="S1344"/>
    <hyperlink r:id="rId1344" ref="S1345"/>
    <hyperlink r:id="rId1345" ref="S1346"/>
    <hyperlink r:id="rId1346" ref="S1347"/>
    <hyperlink r:id="rId1347" ref="S1348"/>
    <hyperlink r:id="rId1348" ref="S1349"/>
    <hyperlink r:id="rId1349" ref="S1350"/>
    <hyperlink r:id="rId1350" ref="S1351"/>
    <hyperlink r:id="rId1351" ref="S1352"/>
    <hyperlink r:id="rId1352" ref="S1353"/>
    <hyperlink r:id="rId1353" ref="S1354"/>
    <hyperlink r:id="rId1354" ref="S1355"/>
    <hyperlink r:id="rId1355" ref="S1356"/>
    <hyperlink r:id="rId1356" ref="S1357"/>
    <hyperlink r:id="rId1357" ref="S1358"/>
    <hyperlink r:id="rId1358" ref="S1359"/>
    <hyperlink r:id="rId1359" ref="S1360"/>
    <hyperlink r:id="rId1360" ref="S1361"/>
    <hyperlink r:id="rId1361" ref="S1362"/>
    <hyperlink r:id="rId1362" ref="S1363"/>
    <hyperlink r:id="rId1363" ref="S1364"/>
    <hyperlink r:id="rId1364" ref="S1365"/>
    <hyperlink r:id="rId1365" ref="S1366"/>
    <hyperlink r:id="rId1366" ref="S1367"/>
    <hyperlink r:id="rId1367" ref="S1368"/>
    <hyperlink r:id="rId1368" ref="S1369"/>
    <hyperlink r:id="rId1369" ref="S1370"/>
    <hyperlink r:id="rId1370" ref="S1371"/>
    <hyperlink r:id="rId1371" ref="S1372"/>
    <hyperlink r:id="rId1372" ref="S1373"/>
    <hyperlink r:id="rId1373" ref="S1374"/>
    <hyperlink r:id="rId1374" ref="S1375"/>
    <hyperlink r:id="rId1375" ref="S1376"/>
    <hyperlink r:id="rId1376" ref="S1377"/>
    <hyperlink r:id="rId1377" ref="S1378"/>
    <hyperlink r:id="rId1378" ref="S1379"/>
    <hyperlink r:id="rId1379" ref="S1380"/>
    <hyperlink r:id="rId1380" ref="S1381"/>
    <hyperlink r:id="rId1381" ref="S1382"/>
    <hyperlink r:id="rId1382" ref="S1383"/>
    <hyperlink r:id="rId1383" ref="S1384"/>
    <hyperlink r:id="rId1384" ref="S1385"/>
    <hyperlink r:id="rId1385" ref="S1386"/>
    <hyperlink r:id="rId1386" ref="S1387"/>
    <hyperlink r:id="rId1387" ref="S1388"/>
    <hyperlink r:id="rId1388" ref="S1389"/>
    <hyperlink r:id="rId1389" ref="S1390"/>
    <hyperlink r:id="rId1390" ref="S1391"/>
    <hyperlink r:id="rId1391" ref="S1392"/>
    <hyperlink r:id="rId1392" ref="S1393"/>
    <hyperlink r:id="rId1393" ref="S1394"/>
    <hyperlink r:id="rId1394" ref="S1395"/>
    <hyperlink r:id="rId1395" ref="S1396"/>
    <hyperlink r:id="rId1396" ref="S1397"/>
    <hyperlink r:id="rId1397" ref="S1398"/>
    <hyperlink r:id="rId1398" ref="S1399"/>
    <hyperlink r:id="rId1399" ref="S1400"/>
    <hyperlink r:id="rId1400" ref="S1401"/>
    <hyperlink r:id="rId1401" ref="S1402"/>
    <hyperlink r:id="rId1402" ref="S1403"/>
    <hyperlink r:id="rId1403" ref="S1404"/>
    <hyperlink r:id="rId1404" ref="S1405"/>
    <hyperlink r:id="rId1405" ref="S1406"/>
    <hyperlink r:id="rId1406" ref="S1407"/>
    <hyperlink r:id="rId1407" ref="S1408"/>
    <hyperlink r:id="rId1408" ref="S1409"/>
    <hyperlink r:id="rId1409" ref="S1410"/>
    <hyperlink r:id="rId1410" ref="S1411"/>
    <hyperlink r:id="rId1411" ref="S1412"/>
    <hyperlink r:id="rId1412" ref="S1413"/>
    <hyperlink r:id="rId1413" ref="S1414"/>
    <hyperlink r:id="rId1414" ref="S1415"/>
    <hyperlink r:id="rId1415" ref="S1416"/>
    <hyperlink r:id="rId1416" ref="S1417"/>
    <hyperlink r:id="rId1417" ref="S1418"/>
    <hyperlink r:id="rId1418" ref="S1419"/>
    <hyperlink r:id="rId1419" ref="S1420"/>
    <hyperlink r:id="rId1420" ref="S1421"/>
    <hyperlink r:id="rId1421" ref="S1422"/>
    <hyperlink r:id="rId1422" ref="S1423"/>
    <hyperlink r:id="rId1423" ref="S1424"/>
    <hyperlink r:id="rId1424" ref="S1425"/>
    <hyperlink r:id="rId1425" ref="S1426"/>
    <hyperlink r:id="rId1426" ref="S1427"/>
    <hyperlink r:id="rId1427" ref="S1428"/>
    <hyperlink r:id="rId1428" ref="S1429"/>
    <hyperlink r:id="rId1429" ref="S1430"/>
    <hyperlink r:id="rId1430" ref="S1431"/>
    <hyperlink r:id="rId1431" ref="S1432"/>
    <hyperlink r:id="rId1432" ref="S1433"/>
    <hyperlink r:id="rId1433" ref="S1434"/>
    <hyperlink r:id="rId1434" ref="S1435"/>
    <hyperlink r:id="rId1435" ref="S1436"/>
    <hyperlink r:id="rId1436" ref="S1437"/>
    <hyperlink r:id="rId1437" ref="S1438"/>
    <hyperlink r:id="rId1438" ref="S1439"/>
    <hyperlink r:id="rId1439" ref="S1440"/>
    <hyperlink r:id="rId1440" ref="S1441"/>
    <hyperlink r:id="rId1441" ref="S1442"/>
    <hyperlink r:id="rId1442" ref="S1443"/>
    <hyperlink r:id="rId1443" ref="S1444"/>
    <hyperlink r:id="rId1444" ref="S1445"/>
    <hyperlink r:id="rId1445" ref="S1446"/>
    <hyperlink r:id="rId1446" ref="S1447"/>
    <hyperlink r:id="rId1447" ref="S1448"/>
    <hyperlink r:id="rId1448" ref="S1449"/>
    <hyperlink r:id="rId1449" ref="S1450"/>
    <hyperlink r:id="rId1450" ref="S1451"/>
    <hyperlink r:id="rId1451" ref="S1452"/>
    <hyperlink r:id="rId1452" ref="S1453"/>
    <hyperlink r:id="rId1453" ref="S1454"/>
    <hyperlink r:id="rId1454" ref="S1455"/>
    <hyperlink r:id="rId1455" ref="S1456"/>
    <hyperlink r:id="rId1456" ref="S1457"/>
    <hyperlink r:id="rId1457" ref="S1458"/>
    <hyperlink r:id="rId1458" ref="S1459"/>
    <hyperlink r:id="rId1459" ref="S1460"/>
    <hyperlink r:id="rId1460" ref="S1461"/>
    <hyperlink r:id="rId1461" ref="S1462"/>
    <hyperlink r:id="rId1462" ref="S1463"/>
    <hyperlink r:id="rId1463" ref="S1464"/>
    <hyperlink r:id="rId1464" ref="S1465"/>
    <hyperlink r:id="rId1465" ref="S1466"/>
    <hyperlink r:id="rId1466" ref="S1467"/>
    <hyperlink r:id="rId1467" ref="S1468"/>
    <hyperlink r:id="rId1468" ref="S1469"/>
    <hyperlink r:id="rId1469" ref="S1470"/>
    <hyperlink r:id="rId1470" ref="S1471"/>
    <hyperlink r:id="rId1471" ref="S1472"/>
    <hyperlink r:id="rId1472" ref="S1473"/>
    <hyperlink r:id="rId1473" ref="S1474"/>
    <hyperlink r:id="rId1474" ref="S1475"/>
    <hyperlink r:id="rId1475" ref="S1476"/>
    <hyperlink r:id="rId1476" ref="S1477"/>
    <hyperlink r:id="rId1477" ref="S1478"/>
    <hyperlink r:id="rId1478" ref="S1479"/>
    <hyperlink r:id="rId1479" ref="S1480"/>
    <hyperlink r:id="rId1480" ref="S1481"/>
    <hyperlink r:id="rId1481" ref="S1482"/>
    <hyperlink r:id="rId1482" ref="S1483"/>
    <hyperlink r:id="rId1483" ref="S1484"/>
    <hyperlink r:id="rId1484" ref="S1485"/>
    <hyperlink r:id="rId1485" ref="S1486"/>
    <hyperlink r:id="rId1486" ref="S1487"/>
    <hyperlink r:id="rId1487" ref="S1488"/>
    <hyperlink r:id="rId1488" ref="S1489"/>
    <hyperlink r:id="rId1489" ref="S1490"/>
    <hyperlink r:id="rId1490" ref="S1491"/>
    <hyperlink r:id="rId1491" ref="S1492"/>
    <hyperlink r:id="rId1492" ref="S1493"/>
    <hyperlink r:id="rId1493" ref="S1494"/>
    <hyperlink r:id="rId1494" ref="S1495"/>
    <hyperlink r:id="rId1495" ref="S1496"/>
    <hyperlink r:id="rId1496" ref="S1497"/>
    <hyperlink r:id="rId1497" ref="S1498"/>
    <hyperlink r:id="rId1498" ref="S1499"/>
    <hyperlink r:id="rId1499" ref="S1500"/>
    <hyperlink r:id="rId1500" ref="S1501"/>
    <hyperlink r:id="rId1501" ref="S1502"/>
    <hyperlink r:id="rId1502" ref="S1503"/>
    <hyperlink r:id="rId1503" ref="S1504"/>
    <hyperlink r:id="rId1504" ref="S1505"/>
    <hyperlink r:id="rId1505" ref="S1506"/>
    <hyperlink r:id="rId1506" ref="S1507"/>
    <hyperlink r:id="rId1507" ref="S1508"/>
    <hyperlink r:id="rId1508" ref="S1509"/>
    <hyperlink r:id="rId1509" ref="S1510"/>
    <hyperlink r:id="rId1510" ref="S1511"/>
    <hyperlink r:id="rId1511" ref="S1512"/>
    <hyperlink r:id="rId1512" ref="S1513"/>
    <hyperlink r:id="rId1513" ref="S1514"/>
    <hyperlink r:id="rId1514" ref="S1515"/>
    <hyperlink r:id="rId1515" ref="S1516"/>
    <hyperlink r:id="rId1516" ref="S1517"/>
    <hyperlink r:id="rId1517" ref="S1518"/>
    <hyperlink r:id="rId1518" ref="S1519"/>
    <hyperlink r:id="rId1519" ref="S1520"/>
    <hyperlink r:id="rId1520" ref="S1521"/>
    <hyperlink r:id="rId1521" ref="S1522"/>
    <hyperlink r:id="rId1522" ref="S1523"/>
    <hyperlink r:id="rId1523" ref="S1524"/>
    <hyperlink r:id="rId1524" ref="S1525"/>
    <hyperlink r:id="rId1525" ref="S1526"/>
    <hyperlink r:id="rId1526" ref="S1527"/>
    <hyperlink r:id="rId1527" ref="S1528"/>
    <hyperlink r:id="rId1528" ref="S1529"/>
    <hyperlink r:id="rId1529" ref="S1530"/>
    <hyperlink r:id="rId1530" ref="S1531"/>
    <hyperlink r:id="rId1531" ref="S1532"/>
    <hyperlink r:id="rId1532" ref="S1533"/>
    <hyperlink r:id="rId1533" ref="S1534"/>
    <hyperlink r:id="rId1534" ref="S1535"/>
    <hyperlink r:id="rId1535" ref="S1536"/>
    <hyperlink r:id="rId1536" ref="S1537"/>
    <hyperlink r:id="rId1537" ref="S1538"/>
    <hyperlink r:id="rId1538" ref="S1539"/>
    <hyperlink r:id="rId1539" ref="S1540"/>
    <hyperlink r:id="rId1540" ref="S1541"/>
    <hyperlink r:id="rId1541" ref="S1542"/>
    <hyperlink r:id="rId1542" ref="S1543"/>
    <hyperlink r:id="rId1543" ref="S1544"/>
    <hyperlink r:id="rId1544" ref="S1545"/>
    <hyperlink r:id="rId1545" ref="S1546"/>
    <hyperlink r:id="rId1546" ref="S1547"/>
    <hyperlink r:id="rId1547" ref="S1548"/>
    <hyperlink r:id="rId1548" ref="S1549"/>
    <hyperlink r:id="rId1549" ref="S1550"/>
    <hyperlink r:id="rId1550" ref="S1551"/>
    <hyperlink r:id="rId1551" ref="S1552"/>
    <hyperlink r:id="rId1552" ref="S1553"/>
    <hyperlink r:id="rId1553" ref="S1554"/>
    <hyperlink r:id="rId1554" ref="S1555"/>
    <hyperlink r:id="rId1555" ref="S1556"/>
    <hyperlink r:id="rId1556" ref="S1557"/>
    <hyperlink r:id="rId1557" ref="S1558"/>
    <hyperlink r:id="rId1558" ref="S1559"/>
    <hyperlink r:id="rId1559" ref="S1560"/>
    <hyperlink r:id="rId1560" ref="S1561"/>
    <hyperlink r:id="rId1561" ref="S1562"/>
    <hyperlink r:id="rId1562" ref="S1563"/>
    <hyperlink r:id="rId1563" ref="S1564"/>
    <hyperlink r:id="rId1564" ref="S1565"/>
    <hyperlink r:id="rId1565" ref="S1566"/>
    <hyperlink r:id="rId1566" ref="S1567"/>
    <hyperlink r:id="rId1567" ref="S1568"/>
    <hyperlink r:id="rId1568" ref="S1569"/>
    <hyperlink r:id="rId1569" ref="S1570"/>
    <hyperlink r:id="rId1570" ref="S1571"/>
    <hyperlink r:id="rId1571" ref="S1572"/>
    <hyperlink r:id="rId1572" ref="S1573"/>
    <hyperlink r:id="rId1573" ref="S1574"/>
    <hyperlink r:id="rId1574" ref="S1575"/>
    <hyperlink r:id="rId1575" ref="S1576"/>
    <hyperlink r:id="rId1576" ref="S1577"/>
    <hyperlink r:id="rId1577" ref="S1578"/>
    <hyperlink r:id="rId1578" ref="S1579"/>
    <hyperlink r:id="rId1579" ref="S1580"/>
    <hyperlink r:id="rId1580" ref="S1581"/>
    <hyperlink r:id="rId1581" ref="S1582"/>
    <hyperlink r:id="rId1582" ref="S1583"/>
    <hyperlink r:id="rId1583" ref="S1584"/>
    <hyperlink r:id="rId1584" ref="S1585"/>
    <hyperlink r:id="rId1585" ref="S1586"/>
    <hyperlink r:id="rId1586" ref="S1587"/>
    <hyperlink r:id="rId1587" ref="S1588"/>
    <hyperlink r:id="rId1588" ref="S1589"/>
    <hyperlink r:id="rId1589" ref="S1590"/>
    <hyperlink r:id="rId1590" ref="S1591"/>
    <hyperlink r:id="rId1591" ref="S1592"/>
    <hyperlink r:id="rId1592" ref="S1593"/>
    <hyperlink r:id="rId1593" ref="S1594"/>
    <hyperlink r:id="rId1594" ref="S1595"/>
    <hyperlink r:id="rId1595" ref="S1596"/>
    <hyperlink r:id="rId1596" ref="S1597"/>
    <hyperlink r:id="rId1597" ref="S1598"/>
    <hyperlink r:id="rId1598" ref="S1599"/>
    <hyperlink r:id="rId1599" ref="S1600"/>
    <hyperlink r:id="rId1600" ref="S1601"/>
    <hyperlink r:id="rId1601" ref="S1602"/>
    <hyperlink r:id="rId1602" ref="S1603"/>
    <hyperlink r:id="rId1603" ref="S1604"/>
    <hyperlink r:id="rId1604" ref="S1605"/>
    <hyperlink r:id="rId1605" ref="S1606"/>
    <hyperlink r:id="rId1606" ref="S1607"/>
    <hyperlink r:id="rId1607" ref="S1608"/>
    <hyperlink r:id="rId1608" ref="S1609"/>
    <hyperlink r:id="rId1609" ref="S1610"/>
    <hyperlink r:id="rId1610" ref="S1611"/>
    <hyperlink r:id="rId1611" ref="S1612"/>
    <hyperlink r:id="rId1612" ref="S1613"/>
    <hyperlink r:id="rId1613" ref="S1614"/>
    <hyperlink r:id="rId1614" ref="S1615"/>
    <hyperlink r:id="rId1615" ref="S1616"/>
    <hyperlink r:id="rId1616" ref="S1617"/>
    <hyperlink r:id="rId1617" ref="S1618"/>
    <hyperlink r:id="rId1618" ref="S1619"/>
    <hyperlink r:id="rId1619" ref="S1620"/>
    <hyperlink r:id="rId1620" ref="S1621"/>
    <hyperlink r:id="rId1621" ref="S1622"/>
    <hyperlink r:id="rId1622" ref="S1623"/>
    <hyperlink r:id="rId1623" ref="S1624"/>
    <hyperlink r:id="rId1624" ref="S1625"/>
    <hyperlink r:id="rId1625" ref="S1626"/>
    <hyperlink r:id="rId1626" ref="S1627"/>
    <hyperlink r:id="rId1627" ref="S1628"/>
    <hyperlink r:id="rId1628" ref="S1629"/>
    <hyperlink r:id="rId1629" ref="S1630"/>
    <hyperlink r:id="rId1630" ref="S1631"/>
    <hyperlink r:id="rId1631" ref="S1632"/>
    <hyperlink r:id="rId1632" ref="S1633"/>
    <hyperlink r:id="rId1633" ref="S1634"/>
    <hyperlink r:id="rId1634" ref="S1635"/>
    <hyperlink r:id="rId1635" ref="S1636"/>
    <hyperlink r:id="rId1636" ref="S1637"/>
    <hyperlink r:id="rId1637" ref="S1638"/>
    <hyperlink r:id="rId1638" ref="S1639"/>
    <hyperlink r:id="rId1639" ref="S1640"/>
    <hyperlink r:id="rId1640" ref="S1641"/>
    <hyperlink r:id="rId1641" ref="S1642"/>
    <hyperlink r:id="rId1642" ref="S1643"/>
    <hyperlink r:id="rId1643" ref="S1644"/>
    <hyperlink r:id="rId1644" ref="S1645"/>
    <hyperlink r:id="rId1645" ref="S1646"/>
    <hyperlink r:id="rId1646" ref="S1647"/>
    <hyperlink r:id="rId1647" ref="S1648"/>
    <hyperlink r:id="rId1648" ref="S1649"/>
    <hyperlink r:id="rId1649" ref="S1650"/>
    <hyperlink r:id="rId1650" ref="S1651"/>
    <hyperlink r:id="rId1651" ref="S1652"/>
    <hyperlink r:id="rId1652" ref="S1653"/>
    <hyperlink r:id="rId1653" ref="S1654"/>
    <hyperlink r:id="rId1654" ref="S1655"/>
    <hyperlink r:id="rId1655" ref="S1656"/>
    <hyperlink r:id="rId1656" ref="S1657"/>
    <hyperlink r:id="rId1657" ref="S1658"/>
    <hyperlink r:id="rId1658" ref="S1659"/>
    <hyperlink r:id="rId1659" ref="S1660"/>
    <hyperlink r:id="rId1660" ref="S1661"/>
    <hyperlink r:id="rId1661" ref="S1662"/>
    <hyperlink r:id="rId1662" ref="S1663"/>
    <hyperlink r:id="rId1663" ref="S1664"/>
    <hyperlink r:id="rId1664" ref="S1665"/>
    <hyperlink r:id="rId1665" ref="S1666"/>
    <hyperlink r:id="rId1666" ref="S1667"/>
    <hyperlink r:id="rId1667" ref="S1668"/>
    <hyperlink r:id="rId1668" ref="S1669"/>
    <hyperlink r:id="rId1669" ref="S1670"/>
    <hyperlink r:id="rId1670" ref="S1671"/>
    <hyperlink r:id="rId1671" ref="S1672"/>
    <hyperlink r:id="rId1672" ref="S1673"/>
    <hyperlink r:id="rId1673" ref="S1674"/>
    <hyperlink r:id="rId1674" ref="S1675"/>
    <hyperlink r:id="rId1675" ref="S1676"/>
    <hyperlink r:id="rId1676" ref="S1677"/>
    <hyperlink r:id="rId1677" ref="S1678"/>
    <hyperlink r:id="rId1678" ref="S1679"/>
    <hyperlink r:id="rId1679" ref="S1680"/>
    <hyperlink r:id="rId1680" ref="S1681"/>
    <hyperlink r:id="rId1681" ref="S1682"/>
    <hyperlink r:id="rId1682" ref="S1683"/>
    <hyperlink r:id="rId1683" ref="S1684"/>
    <hyperlink r:id="rId1684" ref="S1685"/>
    <hyperlink r:id="rId1685" ref="S1686"/>
    <hyperlink r:id="rId1686" ref="S1687"/>
    <hyperlink r:id="rId1687" ref="S1688"/>
    <hyperlink r:id="rId1688" ref="S1689"/>
    <hyperlink r:id="rId1689" ref="S1690"/>
    <hyperlink r:id="rId1690" ref="S1691"/>
    <hyperlink r:id="rId1691" ref="S1692"/>
    <hyperlink r:id="rId1692" ref="S1693"/>
    <hyperlink r:id="rId1693" ref="S1694"/>
    <hyperlink r:id="rId1694" ref="S1695"/>
    <hyperlink r:id="rId1695" ref="S1696"/>
    <hyperlink r:id="rId1696" ref="S1697"/>
    <hyperlink r:id="rId1697" ref="S1698"/>
    <hyperlink r:id="rId1698" ref="S1699"/>
    <hyperlink r:id="rId1699" ref="S1700"/>
    <hyperlink r:id="rId1700" ref="S1701"/>
    <hyperlink r:id="rId1701" ref="S1702"/>
    <hyperlink r:id="rId1702" ref="S1703"/>
    <hyperlink r:id="rId1703" ref="S1704"/>
    <hyperlink r:id="rId1704" ref="S1705"/>
    <hyperlink r:id="rId1705" ref="S1706"/>
    <hyperlink r:id="rId1706" ref="S1707"/>
    <hyperlink r:id="rId1707" ref="S1708"/>
    <hyperlink r:id="rId1708" ref="S1709"/>
    <hyperlink r:id="rId1709" ref="S1710"/>
    <hyperlink r:id="rId1710" ref="S1711"/>
    <hyperlink r:id="rId1711" ref="S1712"/>
    <hyperlink r:id="rId1712" ref="S1713"/>
    <hyperlink r:id="rId1713" ref="S1714"/>
    <hyperlink r:id="rId1714" ref="S1715"/>
    <hyperlink r:id="rId1715" ref="S1716"/>
    <hyperlink r:id="rId1716" ref="S1717"/>
    <hyperlink r:id="rId1717" ref="S1718"/>
    <hyperlink r:id="rId1718" ref="S1719"/>
    <hyperlink r:id="rId1719" ref="S1720"/>
    <hyperlink r:id="rId1720" ref="S1721"/>
    <hyperlink r:id="rId1721" ref="S1722"/>
    <hyperlink r:id="rId1722" ref="S1723"/>
    <hyperlink r:id="rId1723" ref="S1724"/>
    <hyperlink r:id="rId1724" ref="S1725"/>
    <hyperlink r:id="rId1725" ref="S1726"/>
    <hyperlink r:id="rId1726" ref="S1727"/>
    <hyperlink r:id="rId1727" ref="S1728"/>
    <hyperlink r:id="rId1728" ref="S1729"/>
    <hyperlink r:id="rId1729" ref="S1730"/>
    <hyperlink r:id="rId1730" ref="S1731"/>
    <hyperlink r:id="rId1731" ref="S1732"/>
    <hyperlink r:id="rId1732" ref="S1733"/>
    <hyperlink r:id="rId1733" ref="S1734"/>
    <hyperlink r:id="rId1734" ref="S1735"/>
    <hyperlink r:id="rId1735" ref="S1736"/>
    <hyperlink r:id="rId1736" ref="S1737"/>
    <hyperlink r:id="rId1737" ref="S1738"/>
    <hyperlink r:id="rId1738" ref="S1739"/>
    <hyperlink r:id="rId1739" ref="S1740"/>
    <hyperlink r:id="rId1740" ref="S1741"/>
    <hyperlink r:id="rId1741" ref="S1742"/>
    <hyperlink r:id="rId1742" ref="S1743"/>
    <hyperlink r:id="rId1743" ref="S1744"/>
    <hyperlink r:id="rId1744" ref="S1745"/>
    <hyperlink r:id="rId1745" ref="S1746"/>
    <hyperlink r:id="rId1746" ref="S1747"/>
    <hyperlink r:id="rId1747" ref="S1748"/>
    <hyperlink r:id="rId1748" ref="S1749"/>
    <hyperlink r:id="rId1749" ref="S1750"/>
    <hyperlink r:id="rId1750" ref="S1751"/>
    <hyperlink r:id="rId1751" ref="S1752"/>
    <hyperlink r:id="rId1752" ref="S1753"/>
    <hyperlink r:id="rId1753" ref="S1754"/>
    <hyperlink r:id="rId1754" ref="S1755"/>
    <hyperlink r:id="rId1755" ref="S1756"/>
    <hyperlink r:id="rId1756" ref="S1757"/>
    <hyperlink r:id="rId1757" ref="S1758"/>
    <hyperlink r:id="rId1758" ref="S1759"/>
    <hyperlink r:id="rId1759" ref="S1760"/>
    <hyperlink r:id="rId1760" ref="S1761"/>
    <hyperlink r:id="rId1761" ref="S1762"/>
    <hyperlink r:id="rId1762" ref="S1763"/>
    <hyperlink r:id="rId1763" ref="S1764"/>
    <hyperlink r:id="rId1764" ref="S1765"/>
    <hyperlink r:id="rId1765" ref="S1766"/>
    <hyperlink r:id="rId1766" ref="S1767"/>
    <hyperlink r:id="rId1767" ref="S1768"/>
    <hyperlink r:id="rId1768" ref="S1769"/>
    <hyperlink r:id="rId1769" ref="S1770"/>
    <hyperlink r:id="rId1770" ref="S1771"/>
    <hyperlink r:id="rId1771" ref="S1772"/>
    <hyperlink r:id="rId1772" ref="S1773"/>
    <hyperlink r:id="rId1773" ref="S1774"/>
    <hyperlink r:id="rId1774" ref="S1775"/>
    <hyperlink r:id="rId1775" ref="S1776"/>
    <hyperlink r:id="rId1776" ref="S1777"/>
    <hyperlink r:id="rId1777" ref="S1778"/>
    <hyperlink r:id="rId1778" ref="S1779"/>
    <hyperlink r:id="rId1779" ref="S1780"/>
    <hyperlink r:id="rId1780" ref="S1781"/>
    <hyperlink r:id="rId1781" ref="S1782"/>
    <hyperlink r:id="rId1782" ref="S1783"/>
    <hyperlink r:id="rId1783" ref="S1784"/>
    <hyperlink r:id="rId1784" ref="S1785"/>
    <hyperlink r:id="rId1785" ref="S1786"/>
    <hyperlink r:id="rId1786" ref="S1787"/>
    <hyperlink r:id="rId1787" ref="S1788"/>
    <hyperlink r:id="rId1788" ref="S1789"/>
    <hyperlink r:id="rId1789" ref="S1790"/>
    <hyperlink r:id="rId1790" ref="S1791"/>
    <hyperlink r:id="rId1791" ref="S1792"/>
    <hyperlink r:id="rId1792" ref="S1793"/>
    <hyperlink r:id="rId1793" ref="S1794"/>
    <hyperlink r:id="rId1794" ref="S1795"/>
    <hyperlink r:id="rId1795" ref="S1796"/>
    <hyperlink r:id="rId1796" ref="S1797"/>
    <hyperlink r:id="rId1797" ref="S1798"/>
    <hyperlink r:id="rId1798" ref="S1799"/>
    <hyperlink r:id="rId1799" ref="S1800"/>
    <hyperlink r:id="rId1800" ref="S1801"/>
    <hyperlink r:id="rId1801" ref="S1802"/>
    <hyperlink r:id="rId1802" ref="S1803"/>
    <hyperlink r:id="rId1803" ref="S1804"/>
    <hyperlink r:id="rId1804" ref="S1805"/>
    <hyperlink r:id="rId1805" ref="S1806"/>
    <hyperlink r:id="rId1806" ref="S1807"/>
    <hyperlink r:id="rId1807" ref="S1808"/>
    <hyperlink r:id="rId1808" ref="S1809"/>
    <hyperlink r:id="rId1809" ref="S1810"/>
    <hyperlink r:id="rId1810" ref="S1811"/>
    <hyperlink r:id="rId1811" ref="S1812"/>
    <hyperlink r:id="rId1812" ref="S1813"/>
    <hyperlink r:id="rId1813" ref="S1814"/>
    <hyperlink r:id="rId1814" ref="S1815"/>
    <hyperlink r:id="rId1815" ref="S1816"/>
    <hyperlink r:id="rId1816" ref="S1817"/>
    <hyperlink r:id="rId1817" ref="S1818"/>
    <hyperlink r:id="rId1818" ref="S1819"/>
    <hyperlink r:id="rId1819" ref="S1820"/>
    <hyperlink r:id="rId1820" ref="S1821"/>
    <hyperlink r:id="rId1821" ref="S1822"/>
    <hyperlink r:id="rId1822" ref="S1823"/>
    <hyperlink r:id="rId1823" ref="S1824"/>
    <hyperlink r:id="rId1824" ref="S1825"/>
    <hyperlink r:id="rId1825" ref="S1826"/>
    <hyperlink r:id="rId1826" ref="S1827"/>
    <hyperlink r:id="rId1827" ref="S1828"/>
    <hyperlink r:id="rId1828" ref="S1829"/>
    <hyperlink r:id="rId1829" ref="S1830"/>
    <hyperlink r:id="rId1830" ref="S1831"/>
    <hyperlink r:id="rId1831" ref="S1832"/>
    <hyperlink r:id="rId1832" ref="S1833"/>
    <hyperlink r:id="rId1833" ref="S1834"/>
    <hyperlink r:id="rId1834" ref="S1835"/>
    <hyperlink r:id="rId1835" ref="S1836"/>
    <hyperlink r:id="rId1836" ref="S1837"/>
    <hyperlink r:id="rId1837" ref="S1838"/>
    <hyperlink r:id="rId1838" ref="S1839"/>
    <hyperlink r:id="rId1839" ref="S1840"/>
    <hyperlink r:id="rId1840" ref="S1841"/>
    <hyperlink r:id="rId1841" ref="S1842"/>
    <hyperlink r:id="rId1842" ref="S1843"/>
    <hyperlink r:id="rId1843" ref="S1844"/>
    <hyperlink r:id="rId1844" ref="S1845"/>
    <hyperlink r:id="rId1845" ref="S1846"/>
    <hyperlink r:id="rId1846" ref="S1847"/>
    <hyperlink r:id="rId1847" ref="S1848"/>
    <hyperlink r:id="rId1848" ref="S1849"/>
    <hyperlink r:id="rId1849" ref="S1850"/>
    <hyperlink r:id="rId1850" ref="S1851"/>
    <hyperlink r:id="rId1851" ref="S1852"/>
    <hyperlink r:id="rId1852" ref="S1853"/>
    <hyperlink r:id="rId1853" ref="S1854"/>
    <hyperlink r:id="rId1854" ref="S1855"/>
    <hyperlink r:id="rId1855" ref="S1856"/>
    <hyperlink r:id="rId1856" ref="S1857"/>
    <hyperlink r:id="rId1857" ref="S1858"/>
    <hyperlink r:id="rId1858" ref="S1859"/>
    <hyperlink r:id="rId1859" ref="S1860"/>
    <hyperlink r:id="rId1860" ref="S1861"/>
    <hyperlink r:id="rId1861" ref="S1862"/>
    <hyperlink r:id="rId1862" ref="S1863"/>
    <hyperlink r:id="rId1863" ref="S1864"/>
    <hyperlink r:id="rId1864" ref="S1865"/>
    <hyperlink r:id="rId1865" ref="S1866"/>
    <hyperlink r:id="rId1866" ref="S1867"/>
    <hyperlink r:id="rId1867" ref="S1868"/>
    <hyperlink r:id="rId1868" ref="S1869"/>
    <hyperlink r:id="rId1869" ref="S1870"/>
    <hyperlink r:id="rId1870" ref="S1871"/>
    <hyperlink r:id="rId1871" ref="S1872"/>
    <hyperlink r:id="rId1872" ref="S1873"/>
    <hyperlink r:id="rId1873" ref="S1874"/>
    <hyperlink r:id="rId1874" ref="S1875"/>
    <hyperlink r:id="rId1875" ref="S1876"/>
    <hyperlink r:id="rId1876" ref="S1877"/>
    <hyperlink r:id="rId1877" ref="S1878"/>
    <hyperlink r:id="rId1878" ref="S1879"/>
    <hyperlink r:id="rId1879" ref="S1880"/>
    <hyperlink r:id="rId1880" ref="S1881"/>
    <hyperlink r:id="rId1881" ref="S1882"/>
    <hyperlink r:id="rId1882" ref="S1883"/>
    <hyperlink r:id="rId1883" ref="S1884"/>
    <hyperlink r:id="rId1884" ref="S1885"/>
    <hyperlink r:id="rId1885" ref="S1886"/>
    <hyperlink r:id="rId1886" ref="S1887"/>
    <hyperlink r:id="rId1887" ref="S1888"/>
    <hyperlink r:id="rId1888" ref="S1889"/>
    <hyperlink r:id="rId1889" ref="S1890"/>
    <hyperlink r:id="rId1890" ref="S1891"/>
    <hyperlink r:id="rId1891" ref="S1892"/>
    <hyperlink r:id="rId1892" ref="S1893"/>
    <hyperlink r:id="rId1893" ref="S1894"/>
    <hyperlink r:id="rId1894" ref="S1895"/>
    <hyperlink r:id="rId1895" ref="S1896"/>
    <hyperlink r:id="rId1896" ref="S1897"/>
    <hyperlink r:id="rId1897" ref="S1898"/>
    <hyperlink r:id="rId1898" ref="S1899"/>
    <hyperlink r:id="rId1899" ref="S1900"/>
    <hyperlink r:id="rId1900" ref="S1901"/>
    <hyperlink r:id="rId1901" ref="S1902"/>
    <hyperlink r:id="rId1902" ref="S1903"/>
    <hyperlink r:id="rId1903" ref="S1904"/>
    <hyperlink r:id="rId1904" ref="S1905"/>
    <hyperlink r:id="rId1905" ref="S1906"/>
    <hyperlink r:id="rId1906" ref="S1907"/>
    <hyperlink r:id="rId1907" ref="S1908"/>
    <hyperlink r:id="rId1908" ref="S1909"/>
    <hyperlink r:id="rId1909" ref="S1910"/>
    <hyperlink r:id="rId1910" ref="S1911"/>
    <hyperlink r:id="rId1911" ref="S1912"/>
    <hyperlink r:id="rId1912" ref="S1913"/>
    <hyperlink r:id="rId1913" ref="S1914"/>
    <hyperlink r:id="rId1914" ref="S1915"/>
    <hyperlink r:id="rId1915" ref="S1916"/>
    <hyperlink r:id="rId1916" ref="S1917"/>
    <hyperlink r:id="rId1917" ref="S1918"/>
    <hyperlink r:id="rId1918" ref="S1919"/>
    <hyperlink r:id="rId1919" ref="S1920"/>
    <hyperlink r:id="rId1920" ref="S1921"/>
    <hyperlink r:id="rId1921" ref="S1922"/>
    <hyperlink r:id="rId1922" ref="S1923"/>
    <hyperlink r:id="rId1923" ref="S1924"/>
    <hyperlink r:id="rId1924" ref="S1925"/>
    <hyperlink r:id="rId1925" ref="S1926"/>
    <hyperlink r:id="rId1926" ref="S1927"/>
    <hyperlink r:id="rId1927" ref="S1928"/>
    <hyperlink r:id="rId1928" ref="S1929"/>
    <hyperlink r:id="rId1929" ref="S1930"/>
    <hyperlink r:id="rId1930" ref="S1931"/>
    <hyperlink r:id="rId1931" ref="S1932"/>
    <hyperlink r:id="rId1932" ref="S1933"/>
    <hyperlink r:id="rId1933" ref="S1934"/>
    <hyperlink r:id="rId1934" ref="S1935"/>
    <hyperlink r:id="rId1935" ref="S1936"/>
    <hyperlink r:id="rId1936" ref="S1937"/>
    <hyperlink r:id="rId1937" ref="S1938"/>
    <hyperlink r:id="rId1938" ref="S1939"/>
    <hyperlink r:id="rId1939" ref="S1940"/>
    <hyperlink r:id="rId1940" ref="S1941"/>
    <hyperlink r:id="rId1941" ref="S1942"/>
    <hyperlink r:id="rId1942" ref="S1943"/>
    <hyperlink r:id="rId1943" ref="S1944"/>
    <hyperlink r:id="rId1944" ref="S1945"/>
    <hyperlink r:id="rId1945" ref="S1946"/>
    <hyperlink r:id="rId1946" ref="S1947"/>
    <hyperlink r:id="rId1947" ref="S1948"/>
    <hyperlink r:id="rId1948" ref="S1949"/>
    <hyperlink r:id="rId1949" ref="S1950"/>
    <hyperlink r:id="rId1950" ref="S1951"/>
    <hyperlink r:id="rId1951" ref="S1952"/>
    <hyperlink r:id="rId1952" ref="S1953"/>
    <hyperlink r:id="rId1953" ref="S1954"/>
    <hyperlink r:id="rId1954" ref="S1955"/>
    <hyperlink r:id="rId1955" ref="S1956"/>
    <hyperlink r:id="rId1956" ref="S1957"/>
    <hyperlink r:id="rId1957" ref="S1958"/>
    <hyperlink r:id="rId1958" ref="S1959"/>
    <hyperlink r:id="rId1959" ref="S1960"/>
    <hyperlink r:id="rId1960" ref="S1961"/>
    <hyperlink r:id="rId1961" ref="S1962"/>
    <hyperlink r:id="rId1962" ref="S1963"/>
    <hyperlink r:id="rId1963" ref="S1964"/>
    <hyperlink r:id="rId1964" ref="S1965"/>
    <hyperlink r:id="rId1965" ref="S1966"/>
    <hyperlink r:id="rId1966" ref="S1967"/>
    <hyperlink r:id="rId1967" ref="S1968"/>
    <hyperlink r:id="rId1968" ref="S1969"/>
    <hyperlink r:id="rId1969" ref="S1970"/>
    <hyperlink r:id="rId1970" ref="S1971"/>
    <hyperlink r:id="rId1971" ref="S1972"/>
    <hyperlink r:id="rId1972" ref="S1973"/>
    <hyperlink r:id="rId1973" ref="S1974"/>
    <hyperlink r:id="rId1974" ref="S1975"/>
    <hyperlink r:id="rId1975" ref="S1976"/>
    <hyperlink r:id="rId1976" ref="S1977"/>
    <hyperlink r:id="rId1977" ref="S1978"/>
    <hyperlink r:id="rId1978" ref="S1979"/>
    <hyperlink r:id="rId1979" ref="S1980"/>
    <hyperlink r:id="rId1980" ref="S1981"/>
    <hyperlink r:id="rId1981" ref="S1982"/>
    <hyperlink r:id="rId1982" ref="S1983"/>
    <hyperlink r:id="rId1983" ref="S1984"/>
    <hyperlink r:id="rId1984" ref="S1985"/>
    <hyperlink r:id="rId1985" ref="S1986"/>
    <hyperlink r:id="rId1986" ref="S1987"/>
    <hyperlink r:id="rId1987" ref="S1988"/>
    <hyperlink r:id="rId1988" ref="S1989"/>
    <hyperlink r:id="rId1989" ref="S1990"/>
    <hyperlink r:id="rId1990" ref="S1991"/>
    <hyperlink r:id="rId1991" ref="S1992"/>
    <hyperlink r:id="rId1992" ref="S1993"/>
    <hyperlink r:id="rId1993" ref="S1994"/>
    <hyperlink r:id="rId1994" ref="S1995"/>
    <hyperlink r:id="rId1995" ref="S1996"/>
    <hyperlink r:id="rId1996" ref="S1997"/>
    <hyperlink r:id="rId1997" ref="S1998"/>
    <hyperlink r:id="rId1998" ref="S1999"/>
    <hyperlink r:id="rId1999" ref="S2000"/>
    <hyperlink r:id="rId2000" ref="S2001"/>
    <hyperlink r:id="rId2001" ref="S2002"/>
    <hyperlink r:id="rId2002" ref="S2003"/>
    <hyperlink r:id="rId2003" ref="S2004"/>
    <hyperlink r:id="rId2004" ref="S2005"/>
    <hyperlink r:id="rId2005" ref="S2006"/>
    <hyperlink r:id="rId2006" ref="S2007"/>
    <hyperlink r:id="rId2007" ref="S2008"/>
    <hyperlink r:id="rId2008" ref="S2009"/>
    <hyperlink r:id="rId2009" ref="S2010"/>
    <hyperlink r:id="rId2010" ref="S2011"/>
    <hyperlink r:id="rId2011" ref="S2012"/>
    <hyperlink r:id="rId2012" ref="S2013"/>
    <hyperlink r:id="rId2013" ref="S2014"/>
    <hyperlink r:id="rId2014" ref="S2015"/>
    <hyperlink r:id="rId2015" ref="S2016"/>
    <hyperlink r:id="rId2016" ref="S2017"/>
    <hyperlink r:id="rId2017" ref="S2018"/>
    <hyperlink r:id="rId2018" ref="S2019"/>
    <hyperlink r:id="rId2019" ref="S2020"/>
    <hyperlink r:id="rId2020" ref="S2021"/>
    <hyperlink r:id="rId2021" ref="S2022"/>
    <hyperlink r:id="rId2022" ref="S2023"/>
    <hyperlink r:id="rId2023" ref="S2024"/>
    <hyperlink r:id="rId2024" ref="S2025"/>
    <hyperlink r:id="rId2025" ref="S2026"/>
    <hyperlink r:id="rId2026" ref="S2027"/>
    <hyperlink r:id="rId2027" ref="S2028"/>
    <hyperlink r:id="rId2028" ref="S2029"/>
    <hyperlink r:id="rId2029" ref="S2030"/>
    <hyperlink r:id="rId2030" ref="S2031"/>
    <hyperlink r:id="rId2031" ref="S2032"/>
    <hyperlink r:id="rId2032" ref="S2033"/>
    <hyperlink r:id="rId2033" ref="S2034"/>
    <hyperlink r:id="rId2034" ref="S2035"/>
    <hyperlink r:id="rId2035" ref="S2036"/>
    <hyperlink r:id="rId2036" ref="S2037"/>
    <hyperlink r:id="rId2037" ref="S2038"/>
    <hyperlink r:id="rId2038" ref="S2039"/>
    <hyperlink r:id="rId2039" ref="S2040"/>
    <hyperlink r:id="rId2040" ref="S2041"/>
    <hyperlink r:id="rId2041" ref="S2042"/>
    <hyperlink r:id="rId2042" ref="S2043"/>
    <hyperlink r:id="rId2043" ref="S2044"/>
    <hyperlink r:id="rId2044" ref="S2045"/>
    <hyperlink r:id="rId2045" ref="S2046"/>
    <hyperlink r:id="rId2046" ref="S2047"/>
    <hyperlink r:id="rId2047" ref="S2048"/>
    <hyperlink r:id="rId2048" ref="S2049"/>
    <hyperlink r:id="rId2049" ref="S2050"/>
    <hyperlink r:id="rId2050" ref="S2051"/>
    <hyperlink r:id="rId2051" ref="S2052"/>
    <hyperlink r:id="rId2052" ref="S2053"/>
    <hyperlink r:id="rId2053" ref="S2054"/>
    <hyperlink r:id="rId2054" ref="S2055"/>
    <hyperlink r:id="rId2055" ref="S2056"/>
    <hyperlink r:id="rId2056" ref="S2057"/>
    <hyperlink r:id="rId2057" ref="S2058"/>
    <hyperlink r:id="rId2058" ref="S2059"/>
    <hyperlink r:id="rId2059" ref="S2060"/>
    <hyperlink r:id="rId2060" ref="S2061"/>
    <hyperlink r:id="rId2061" ref="S2062"/>
    <hyperlink r:id="rId2062" ref="S2063"/>
    <hyperlink r:id="rId2063" ref="S2064"/>
    <hyperlink r:id="rId2064" ref="S2065"/>
    <hyperlink r:id="rId2065" ref="S2066"/>
    <hyperlink r:id="rId2066" ref="S2067"/>
    <hyperlink r:id="rId2067" ref="S2068"/>
    <hyperlink r:id="rId2068" ref="S2069"/>
    <hyperlink r:id="rId2069" ref="S2070"/>
    <hyperlink r:id="rId2070" ref="S2071"/>
    <hyperlink r:id="rId2071" ref="S2072"/>
    <hyperlink r:id="rId2072" ref="S2073"/>
    <hyperlink r:id="rId2073" ref="S2074"/>
    <hyperlink r:id="rId2074" ref="S2075"/>
    <hyperlink r:id="rId2075" ref="S2076"/>
    <hyperlink r:id="rId2076" ref="S2077"/>
    <hyperlink r:id="rId2077" ref="S2078"/>
    <hyperlink r:id="rId2078" ref="S2079"/>
    <hyperlink r:id="rId2079" ref="S2080"/>
    <hyperlink r:id="rId2080" ref="S2081"/>
    <hyperlink r:id="rId2081" ref="S2082"/>
    <hyperlink r:id="rId2082" ref="S2083"/>
    <hyperlink r:id="rId2083" ref="S2084"/>
    <hyperlink r:id="rId2084" ref="S2085"/>
    <hyperlink r:id="rId2085" ref="S2086"/>
    <hyperlink r:id="rId2086" ref="S2087"/>
    <hyperlink r:id="rId2087" ref="S2088"/>
    <hyperlink r:id="rId2088" ref="S2089"/>
    <hyperlink r:id="rId2089" ref="S2090"/>
    <hyperlink r:id="rId2090" ref="S2091"/>
    <hyperlink r:id="rId2091" ref="S2092"/>
    <hyperlink r:id="rId2092" ref="S2093"/>
    <hyperlink r:id="rId2093" ref="S2094"/>
    <hyperlink r:id="rId2094" ref="S2095"/>
    <hyperlink r:id="rId2095" ref="S2096"/>
    <hyperlink r:id="rId2096" ref="S2097"/>
    <hyperlink r:id="rId2097" ref="S2098"/>
    <hyperlink r:id="rId2098" ref="S2099"/>
    <hyperlink r:id="rId2099" ref="S2100"/>
    <hyperlink r:id="rId2100" ref="S2101"/>
    <hyperlink r:id="rId2101" ref="S2102"/>
    <hyperlink r:id="rId2102" ref="S2103"/>
    <hyperlink r:id="rId2103" ref="S2104"/>
    <hyperlink r:id="rId2104" ref="S2105"/>
    <hyperlink r:id="rId2105" ref="S2106"/>
    <hyperlink r:id="rId2106" ref="S2107"/>
    <hyperlink r:id="rId2107" ref="S2108"/>
    <hyperlink r:id="rId2108" ref="S2109"/>
    <hyperlink r:id="rId2109" ref="S2110"/>
    <hyperlink r:id="rId2110" ref="S2111"/>
    <hyperlink r:id="rId2111" ref="S2112"/>
    <hyperlink r:id="rId2112" ref="S2113"/>
    <hyperlink r:id="rId2113" ref="S2114"/>
    <hyperlink r:id="rId2114" ref="S2115"/>
    <hyperlink r:id="rId2115" ref="S2116"/>
    <hyperlink r:id="rId2116" ref="S2117"/>
    <hyperlink r:id="rId2117" ref="S2118"/>
    <hyperlink r:id="rId2118" ref="S2119"/>
    <hyperlink r:id="rId2119" ref="S2120"/>
    <hyperlink r:id="rId2120" ref="S2121"/>
    <hyperlink r:id="rId2121" ref="S2122"/>
    <hyperlink r:id="rId2122" ref="S2123"/>
    <hyperlink r:id="rId2123" ref="S2124"/>
    <hyperlink r:id="rId2124" ref="S2125"/>
    <hyperlink r:id="rId2125" ref="S2126"/>
    <hyperlink r:id="rId2126" ref="S2127"/>
    <hyperlink r:id="rId2127" ref="S2128"/>
    <hyperlink r:id="rId2128" ref="S2129"/>
    <hyperlink r:id="rId2129" ref="S2130"/>
    <hyperlink r:id="rId2130" ref="S2131"/>
    <hyperlink r:id="rId2131" ref="S2132"/>
    <hyperlink r:id="rId2132" ref="S2133"/>
    <hyperlink r:id="rId2133" ref="S2134"/>
    <hyperlink r:id="rId2134" ref="S2135"/>
    <hyperlink r:id="rId2135" ref="S2136"/>
    <hyperlink r:id="rId2136" ref="S2137"/>
    <hyperlink r:id="rId2137" ref="S2138"/>
    <hyperlink r:id="rId2138" ref="S2139"/>
    <hyperlink r:id="rId2139" ref="S2140"/>
    <hyperlink r:id="rId2140" ref="S2141"/>
    <hyperlink r:id="rId2141" ref="S2142"/>
    <hyperlink r:id="rId2142" ref="S2143"/>
    <hyperlink r:id="rId2143" ref="S2144"/>
    <hyperlink r:id="rId2144" ref="S2145"/>
    <hyperlink r:id="rId2145" ref="S2146"/>
    <hyperlink r:id="rId2146" ref="S2147"/>
    <hyperlink r:id="rId2147" ref="S2148"/>
    <hyperlink r:id="rId2148" ref="S2149"/>
    <hyperlink r:id="rId2149" ref="S2150"/>
    <hyperlink r:id="rId2150" ref="S2151"/>
    <hyperlink r:id="rId2151" ref="S2152"/>
    <hyperlink r:id="rId2152" ref="S2153"/>
    <hyperlink r:id="rId2153" ref="S2154"/>
    <hyperlink r:id="rId2154" ref="S2155"/>
    <hyperlink r:id="rId2155" ref="S2156"/>
    <hyperlink r:id="rId2156" ref="S2157"/>
    <hyperlink r:id="rId2157" ref="S2158"/>
    <hyperlink r:id="rId2158" ref="S2159"/>
    <hyperlink r:id="rId2159" ref="S2160"/>
    <hyperlink r:id="rId2160" ref="S2161"/>
    <hyperlink r:id="rId2161" ref="S2162"/>
    <hyperlink r:id="rId2162" ref="S2163"/>
    <hyperlink r:id="rId2163" ref="S2164"/>
    <hyperlink r:id="rId2164" ref="S2165"/>
    <hyperlink r:id="rId2165" ref="S2166"/>
    <hyperlink r:id="rId2166" ref="S2167"/>
    <hyperlink r:id="rId2167" ref="S2168"/>
    <hyperlink r:id="rId2168" ref="S2169"/>
    <hyperlink r:id="rId2169" ref="S2170"/>
    <hyperlink r:id="rId2170" ref="S2171"/>
    <hyperlink r:id="rId2171" ref="S2172"/>
    <hyperlink r:id="rId2172" ref="S2173"/>
    <hyperlink r:id="rId2173" ref="S2174"/>
    <hyperlink r:id="rId2174" ref="S2175"/>
    <hyperlink r:id="rId2175" ref="S2176"/>
    <hyperlink r:id="rId2176" ref="S2177"/>
    <hyperlink r:id="rId2177" ref="S2178"/>
    <hyperlink r:id="rId2178" ref="S2179"/>
    <hyperlink r:id="rId2179" ref="S2180"/>
    <hyperlink r:id="rId2180" ref="S2181"/>
    <hyperlink r:id="rId2181" ref="S2182"/>
    <hyperlink r:id="rId2182" ref="S2183"/>
    <hyperlink r:id="rId2183" ref="S2184"/>
    <hyperlink r:id="rId2184" ref="S2185"/>
    <hyperlink r:id="rId2185" ref="S2186"/>
    <hyperlink r:id="rId2186" ref="S2187"/>
    <hyperlink r:id="rId2187" ref="S2188"/>
    <hyperlink r:id="rId2188" ref="S2189"/>
    <hyperlink r:id="rId2189" ref="S2190"/>
    <hyperlink r:id="rId2190" ref="S2191"/>
    <hyperlink r:id="rId2191" ref="S2192"/>
    <hyperlink r:id="rId2192" ref="S2193"/>
    <hyperlink r:id="rId2193" ref="S2194"/>
    <hyperlink r:id="rId2194" ref="S2195"/>
    <hyperlink r:id="rId2195" ref="S2196"/>
    <hyperlink r:id="rId2196" ref="S2197"/>
    <hyperlink r:id="rId2197" ref="S2198"/>
    <hyperlink r:id="rId2198" ref="S2199"/>
    <hyperlink r:id="rId2199" ref="S2200"/>
    <hyperlink r:id="rId2200" ref="S2201"/>
    <hyperlink r:id="rId2201" ref="S2202"/>
    <hyperlink r:id="rId2202" ref="S2203"/>
    <hyperlink r:id="rId2203" ref="S2204"/>
    <hyperlink r:id="rId2204" ref="S2205"/>
    <hyperlink r:id="rId2205" ref="S2206"/>
    <hyperlink r:id="rId2206" ref="S2207"/>
    <hyperlink r:id="rId2207" ref="S2208"/>
    <hyperlink r:id="rId2208" ref="S2209"/>
    <hyperlink r:id="rId2209" ref="S2210"/>
    <hyperlink r:id="rId2210" ref="S2211"/>
    <hyperlink r:id="rId2211" ref="S2212"/>
    <hyperlink r:id="rId2212" ref="S2213"/>
    <hyperlink r:id="rId2213" ref="S2214"/>
    <hyperlink r:id="rId2214" ref="S2215"/>
    <hyperlink r:id="rId2215" ref="S2216"/>
    <hyperlink r:id="rId2216" ref="S2217"/>
    <hyperlink r:id="rId2217" ref="S2218"/>
    <hyperlink r:id="rId2218" ref="S2219"/>
    <hyperlink r:id="rId2219" ref="S2220"/>
    <hyperlink r:id="rId2220" ref="S2221"/>
    <hyperlink r:id="rId2221" ref="S2222"/>
    <hyperlink r:id="rId2222" ref="S2223"/>
    <hyperlink r:id="rId2223" ref="S2224"/>
    <hyperlink r:id="rId2224" ref="S2225"/>
    <hyperlink r:id="rId2225" ref="S2226"/>
    <hyperlink r:id="rId2226" ref="S2227"/>
    <hyperlink r:id="rId2227" ref="S2228"/>
    <hyperlink r:id="rId2228" ref="S2229"/>
    <hyperlink r:id="rId2229" ref="S2230"/>
    <hyperlink r:id="rId2230" ref="S2231"/>
    <hyperlink r:id="rId2231" ref="S2232"/>
    <hyperlink r:id="rId2232" ref="S2233"/>
    <hyperlink r:id="rId2233" ref="S2234"/>
    <hyperlink r:id="rId2234" ref="S2235"/>
    <hyperlink r:id="rId2235" ref="S2236"/>
    <hyperlink r:id="rId2236" ref="S2237"/>
    <hyperlink r:id="rId2237" ref="S2238"/>
    <hyperlink r:id="rId2238" ref="S2239"/>
    <hyperlink r:id="rId2239" ref="S2240"/>
    <hyperlink r:id="rId2240" ref="S2241"/>
    <hyperlink r:id="rId2241" ref="S2242"/>
    <hyperlink r:id="rId2242" ref="S2243"/>
    <hyperlink r:id="rId2243" ref="S2244"/>
    <hyperlink r:id="rId2244" ref="S2245"/>
    <hyperlink r:id="rId2245" ref="S2246"/>
    <hyperlink r:id="rId2246" ref="S2247"/>
    <hyperlink r:id="rId2247" ref="S2248"/>
    <hyperlink r:id="rId2248" ref="S2249"/>
    <hyperlink r:id="rId2249" ref="S2250"/>
    <hyperlink r:id="rId2250" ref="S2251"/>
    <hyperlink r:id="rId2251" ref="S2252"/>
    <hyperlink r:id="rId2252" ref="S2253"/>
    <hyperlink r:id="rId2253" ref="S2254"/>
    <hyperlink r:id="rId2254" ref="S2255"/>
    <hyperlink r:id="rId2255" ref="S2256"/>
    <hyperlink r:id="rId2256" ref="S2257"/>
    <hyperlink r:id="rId2257" ref="S2258"/>
    <hyperlink r:id="rId2258" ref="S2259"/>
    <hyperlink r:id="rId2259" ref="S2260"/>
    <hyperlink r:id="rId2260" ref="S2261"/>
    <hyperlink r:id="rId2261" ref="S2262"/>
    <hyperlink r:id="rId2262" ref="S2263"/>
    <hyperlink r:id="rId2263" ref="S2264"/>
    <hyperlink r:id="rId2264" ref="S2265"/>
    <hyperlink r:id="rId2265" ref="S2266"/>
    <hyperlink r:id="rId2266" ref="S2267"/>
    <hyperlink r:id="rId2267" ref="S2268"/>
    <hyperlink r:id="rId2268" ref="S2269"/>
    <hyperlink r:id="rId2269" ref="S2270"/>
    <hyperlink r:id="rId2270" ref="S2271"/>
    <hyperlink r:id="rId2271" ref="S2272"/>
    <hyperlink r:id="rId2272" ref="S2273"/>
    <hyperlink r:id="rId2273" ref="S2274"/>
    <hyperlink r:id="rId2274" ref="S2275"/>
    <hyperlink r:id="rId2275" ref="S2276"/>
    <hyperlink r:id="rId2276" ref="S2277"/>
    <hyperlink r:id="rId2277" ref="S2278"/>
    <hyperlink r:id="rId2278" ref="S2279"/>
    <hyperlink r:id="rId2279" ref="S2280"/>
    <hyperlink r:id="rId2280" ref="S2281"/>
    <hyperlink r:id="rId2281" ref="S2282"/>
    <hyperlink r:id="rId2282" ref="S2283"/>
    <hyperlink r:id="rId2283" ref="S2284"/>
    <hyperlink r:id="rId2284" ref="S2285"/>
    <hyperlink r:id="rId2285" ref="S2286"/>
    <hyperlink r:id="rId2286" ref="S2287"/>
    <hyperlink r:id="rId2287" ref="S2288"/>
    <hyperlink r:id="rId2288" ref="S2289"/>
    <hyperlink r:id="rId2289" ref="S2290"/>
    <hyperlink r:id="rId2290" ref="S2291"/>
    <hyperlink r:id="rId2291" ref="S2292"/>
    <hyperlink r:id="rId2292" ref="S2293"/>
    <hyperlink r:id="rId2293" ref="S2294"/>
    <hyperlink r:id="rId2294" ref="S2295"/>
    <hyperlink r:id="rId2295" ref="S2296"/>
    <hyperlink r:id="rId2296" ref="S2297"/>
    <hyperlink r:id="rId2297" ref="S2298"/>
    <hyperlink r:id="rId2298" ref="S2299"/>
    <hyperlink r:id="rId2299" ref="S2300"/>
    <hyperlink r:id="rId2300" ref="S2301"/>
    <hyperlink r:id="rId2301" ref="S2302"/>
    <hyperlink r:id="rId2302" ref="S2303"/>
    <hyperlink r:id="rId2303" ref="S2304"/>
    <hyperlink r:id="rId2304" ref="S2305"/>
    <hyperlink r:id="rId2305" ref="S2306"/>
    <hyperlink r:id="rId2306" ref="S2307"/>
    <hyperlink r:id="rId2307" ref="S2308"/>
    <hyperlink r:id="rId2308" ref="S2309"/>
    <hyperlink r:id="rId2309" ref="S2310"/>
    <hyperlink r:id="rId2310" ref="S2311"/>
    <hyperlink r:id="rId2311" ref="S2312"/>
    <hyperlink r:id="rId2312" ref="S2313"/>
    <hyperlink r:id="rId2313" ref="S2314"/>
    <hyperlink r:id="rId2314" ref="S2315"/>
    <hyperlink r:id="rId2315" ref="S2316"/>
    <hyperlink r:id="rId2316" ref="S2317"/>
    <hyperlink r:id="rId2317" ref="S2318"/>
    <hyperlink r:id="rId2318" ref="S2319"/>
    <hyperlink r:id="rId2319" ref="S2320"/>
    <hyperlink r:id="rId2320" ref="S2321"/>
    <hyperlink r:id="rId2321" ref="S2322"/>
    <hyperlink r:id="rId2322" ref="S2323"/>
    <hyperlink r:id="rId2323" ref="S2324"/>
    <hyperlink r:id="rId2324" ref="S2325"/>
    <hyperlink r:id="rId2325" ref="S2326"/>
    <hyperlink r:id="rId2326" ref="S2327"/>
    <hyperlink r:id="rId2327" ref="S2328"/>
    <hyperlink r:id="rId2328" ref="S2329"/>
    <hyperlink r:id="rId2329" ref="S2330"/>
    <hyperlink r:id="rId2330" ref="S2331"/>
    <hyperlink r:id="rId2331" ref="S2332"/>
    <hyperlink r:id="rId2332" ref="S2333"/>
    <hyperlink r:id="rId2333" ref="S2334"/>
    <hyperlink r:id="rId2334" ref="S2335"/>
    <hyperlink r:id="rId2335" ref="S2336"/>
    <hyperlink r:id="rId2336" ref="S2337"/>
    <hyperlink r:id="rId2337" ref="S2338"/>
    <hyperlink r:id="rId2338" ref="S2339"/>
    <hyperlink r:id="rId2339" ref="S2340"/>
    <hyperlink r:id="rId2340" ref="S2341"/>
    <hyperlink r:id="rId2341" ref="S2342"/>
    <hyperlink r:id="rId2342" ref="S2343"/>
    <hyperlink r:id="rId2343" ref="S2344"/>
    <hyperlink r:id="rId2344" ref="S2345"/>
    <hyperlink r:id="rId2345" ref="S2346"/>
    <hyperlink r:id="rId2346" ref="S2347"/>
    <hyperlink r:id="rId2347" ref="S2348"/>
    <hyperlink r:id="rId2348" ref="S2349"/>
    <hyperlink r:id="rId2349" ref="S2350"/>
    <hyperlink r:id="rId2350" ref="S2351"/>
    <hyperlink r:id="rId2351" ref="S2352"/>
    <hyperlink r:id="rId2352" ref="S2353"/>
    <hyperlink r:id="rId2353" ref="S2354"/>
    <hyperlink r:id="rId2354" ref="S2355"/>
    <hyperlink r:id="rId2355" ref="S2356"/>
    <hyperlink r:id="rId2356" ref="S2357"/>
    <hyperlink r:id="rId2357" ref="S2358"/>
    <hyperlink r:id="rId2358" ref="S2359"/>
    <hyperlink r:id="rId2359" ref="S2360"/>
    <hyperlink r:id="rId2360" ref="S2361"/>
    <hyperlink r:id="rId2361" ref="S2362"/>
    <hyperlink r:id="rId2362" ref="S2363"/>
    <hyperlink r:id="rId2363" ref="S2364"/>
    <hyperlink r:id="rId2364" ref="S2365"/>
    <hyperlink r:id="rId2365" ref="S2366"/>
    <hyperlink r:id="rId2366" ref="S2367"/>
    <hyperlink r:id="rId2367" ref="S2368"/>
    <hyperlink r:id="rId2368" ref="S2369"/>
    <hyperlink r:id="rId2369" ref="S2370"/>
    <hyperlink r:id="rId2370" ref="S2371"/>
    <hyperlink r:id="rId2371" ref="S2372"/>
    <hyperlink r:id="rId2372" ref="S2373"/>
    <hyperlink r:id="rId2373" ref="S2374"/>
    <hyperlink r:id="rId2374" ref="S2375"/>
    <hyperlink r:id="rId2375" ref="S2376"/>
    <hyperlink r:id="rId2376" ref="S2377"/>
    <hyperlink r:id="rId2377" ref="S2378"/>
    <hyperlink r:id="rId2378" ref="S2379"/>
    <hyperlink r:id="rId2379" ref="S2380"/>
    <hyperlink r:id="rId2380" ref="S2381"/>
    <hyperlink r:id="rId2381" ref="S2382"/>
    <hyperlink r:id="rId2382" ref="S2383"/>
    <hyperlink r:id="rId2383" ref="S2384"/>
    <hyperlink r:id="rId2384" ref="S2385"/>
    <hyperlink r:id="rId2385" ref="S2386"/>
    <hyperlink r:id="rId2386" ref="S2387"/>
    <hyperlink r:id="rId2387" ref="S2388"/>
    <hyperlink r:id="rId2388" ref="S2389"/>
    <hyperlink r:id="rId2389" ref="S2390"/>
    <hyperlink r:id="rId2390" ref="S2391"/>
    <hyperlink r:id="rId2391" ref="S2392"/>
    <hyperlink r:id="rId2392" ref="S2393"/>
    <hyperlink r:id="rId2393" ref="S2394"/>
    <hyperlink r:id="rId2394" ref="S2395"/>
    <hyperlink r:id="rId2395" ref="S2396"/>
    <hyperlink r:id="rId2396" ref="S2397"/>
    <hyperlink r:id="rId2397" ref="S2398"/>
    <hyperlink r:id="rId2398" ref="S2399"/>
    <hyperlink r:id="rId2399" ref="S2400"/>
    <hyperlink r:id="rId2400" ref="S2401"/>
    <hyperlink r:id="rId2401" ref="S2402"/>
    <hyperlink r:id="rId2402" ref="S2403"/>
    <hyperlink r:id="rId2403" ref="S2404"/>
    <hyperlink r:id="rId2404" ref="S2405"/>
    <hyperlink r:id="rId2405" ref="S2406"/>
    <hyperlink r:id="rId2406" ref="S2407"/>
    <hyperlink r:id="rId2407" ref="S2408"/>
    <hyperlink r:id="rId2408" ref="S2409"/>
    <hyperlink r:id="rId2409" ref="S2410"/>
    <hyperlink r:id="rId2410" ref="S2411"/>
    <hyperlink r:id="rId2411" ref="S2412"/>
    <hyperlink r:id="rId2412" ref="S2413"/>
    <hyperlink r:id="rId2413" ref="S2414"/>
    <hyperlink r:id="rId2414" ref="S2415"/>
    <hyperlink r:id="rId2415" ref="S2416"/>
    <hyperlink r:id="rId2416" ref="S2417"/>
    <hyperlink r:id="rId2417" ref="S2418"/>
    <hyperlink r:id="rId2418" ref="S2419"/>
    <hyperlink r:id="rId2419" ref="S2420"/>
    <hyperlink r:id="rId2420" ref="S2421"/>
    <hyperlink r:id="rId2421" ref="S2422"/>
    <hyperlink r:id="rId2422" ref="S2423"/>
    <hyperlink r:id="rId2423" ref="S2424"/>
    <hyperlink r:id="rId2424" ref="S2425"/>
    <hyperlink r:id="rId2425" ref="S2426"/>
    <hyperlink r:id="rId2426" ref="S2427"/>
    <hyperlink r:id="rId2427" ref="S2428"/>
    <hyperlink r:id="rId2428" ref="S2429"/>
    <hyperlink r:id="rId2429" ref="S2430"/>
    <hyperlink r:id="rId2430" ref="S2431"/>
    <hyperlink r:id="rId2431" ref="S2432"/>
    <hyperlink r:id="rId2432" ref="S2433"/>
    <hyperlink r:id="rId2433" ref="S2434"/>
    <hyperlink r:id="rId2434" ref="S2435"/>
    <hyperlink r:id="rId2435" ref="S2436"/>
    <hyperlink r:id="rId2436" ref="S2437"/>
    <hyperlink r:id="rId2437" ref="S2438"/>
    <hyperlink r:id="rId2438" ref="S2439"/>
    <hyperlink r:id="rId2439" ref="S2440"/>
    <hyperlink r:id="rId2440" ref="S2441"/>
    <hyperlink r:id="rId2441" ref="S2442"/>
    <hyperlink r:id="rId2442" ref="S2443"/>
    <hyperlink r:id="rId2443" ref="S2444"/>
    <hyperlink r:id="rId2444" ref="S2445"/>
    <hyperlink r:id="rId2445" ref="S2446"/>
    <hyperlink r:id="rId2446" ref="S2447"/>
    <hyperlink r:id="rId2447" ref="S2448"/>
    <hyperlink r:id="rId2448" ref="S2449"/>
    <hyperlink r:id="rId2449" ref="S2450"/>
    <hyperlink r:id="rId2450" ref="S2451"/>
    <hyperlink r:id="rId2451" ref="S2452"/>
    <hyperlink r:id="rId2452" ref="S2453"/>
    <hyperlink r:id="rId2453" ref="S2454"/>
    <hyperlink r:id="rId2454" ref="S2455"/>
    <hyperlink r:id="rId2455" ref="S2456"/>
    <hyperlink r:id="rId2456" ref="S2457"/>
    <hyperlink r:id="rId2457" ref="S2458"/>
    <hyperlink r:id="rId2458" ref="S2459"/>
    <hyperlink r:id="rId2459" ref="S2460"/>
    <hyperlink r:id="rId2460" ref="S2461"/>
    <hyperlink r:id="rId2461" ref="S2462"/>
    <hyperlink r:id="rId2462" ref="S2463"/>
    <hyperlink r:id="rId2463" ref="S2464"/>
    <hyperlink r:id="rId2464" ref="S2465"/>
    <hyperlink r:id="rId2465" ref="S2466"/>
    <hyperlink r:id="rId2466" ref="S2467"/>
    <hyperlink r:id="rId2467" ref="S2468"/>
    <hyperlink r:id="rId2468" ref="S2469"/>
    <hyperlink r:id="rId2469" ref="S2470"/>
    <hyperlink r:id="rId2470" ref="S2471"/>
    <hyperlink r:id="rId2471" ref="S2472"/>
    <hyperlink r:id="rId2472" ref="S2473"/>
    <hyperlink r:id="rId2473" ref="S2474"/>
    <hyperlink r:id="rId2474" ref="S2475"/>
    <hyperlink r:id="rId2475" ref="S2476"/>
    <hyperlink r:id="rId2476" ref="S2477"/>
    <hyperlink r:id="rId2477" ref="S2478"/>
    <hyperlink r:id="rId2478" ref="S2479"/>
    <hyperlink r:id="rId2479" ref="S2480"/>
    <hyperlink r:id="rId2480" ref="S2481"/>
    <hyperlink r:id="rId2481" ref="S2482"/>
    <hyperlink r:id="rId2482" ref="S2483"/>
    <hyperlink r:id="rId2483" ref="S2484"/>
    <hyperlink r:id="rId2484" ref="S2485"/>
    <hyperlink r:id="rId2485" ref="S2486"/>
    <hyperlink r:id="rId2486" ref="S2487"/>
    <hyperlink r:id="rId2487" ref="S2488"/>
    <hyperlink r:id="rId2488" ref="S2489"/>
    <hyperlink r:id="rId2489" ref="S2490"/>
    <hyperlink r:id="rId2490" ref="S2491"/>
    <hyperlink r:id="rId2491" ref="S2492"/>
    <hyperlink r:id="rId2492" ref="S2493"/>
    <hyperlink r:id="rId2493" ref="S2494"/>
    <hyperlink r:id="rId2494" ref="S2495"/>
    <hyperlink r:id="rId2495" ref="S2496"/>
    <hyperlink r:id="rId2496" ref="S2497"/>
    <hyperlink r:id="rId2497" ref="S2498"/>
    <hyperlink r:id="rId2498" ref="S2499"/>
    <hyperlink r:id="rId2499" ref="S2500"/>
    <hyperlink r:id="rId2500" ref="S2501"/>
    <hyperlink r:id="rId2501" ref="S2502"/>
    <hyperlink r:id="rId2502" ref="S2503"/>
    <hyperlink r:id="rId2503" ref="S2504"/>
    <hyperlink r:id="rId2504" ref="S2505"/>
    <hyperlink r:id="rId2505" ref="S2506"/>
    <hyperlink r:id="rId2506" ref="S2507"/>
    <hyperlink r:id="rId2507" ref="S2508"/>
    <hyperlink r:id="rId2508" ref="S2509"/>
    <hyperlink r:id="rId2509" ref="S2510"/>
    <hyperlink r:id="rId2510" ref="S2511"/>
    <hyperlink r:id="rId2511" ref="S2512"/>
    <hyperlink r:id="rId2512" ref="S2513"/>
    <hyperlink r:id="rId2513" ref="S2514"/>
    <hyperlink r:id="rId2514" ref="S2515"/>
    <hyperlink r:id="rId2515" ref="S2516"/>
    <hyperlink r:id="rId2516" ref="S2517"/>
    <hyperlink r:id="rId2517" ref="S2518"/>
    <hyperlink r:id="rId2518" ref="S2519"/>
    <hyperlink r:id="rId2519" ref="S2520"/>
    <hyperlink r:id="rId2520" ref="S2521"/>
    <hyperlink r:id="rId2521" ref="S2522"/>
    <hyperlink r:id="rId2522" ref="S2523"/>
    <hyperlink r:id="rId2523" ref="S2524"/>
    <hyperlink r:id="rId2524" ref="S2525"/>
    <hyperlink r:id="rId2525" ref="S2526"/>
    <hyperlink r:id="rId2526" ref="S2527"/>
    <hyperlink r:id="rId2527" ref="S2528"/>
    <hyperlink r:id="rId2528" ref="S2529"/>
    <hyperlink r:id="rId2529" ref="S2530"/>
    <hyperlink r:id="rId2530" ref="S2531"/>
    <hyperlink r:id="rId2531" ref="S2532"/>
    <hyperlink r:id="rId2532" ref="S2533"/>
    <hyperlink r:id="rId2533" ref="S2534"/>
    <hyperlink r:id="rId2534" ref="S2535"/>
    <hyperlink r:id="rId2535" ref="S2536"/>
    <hyperlink r:id="rId2536" ref="S2537"/>
    <hyperlink r:id="rId2537" ref="S2538"/>
    <hyperlink r:id="rId2538" ref="S2539"/>
    <hyperlink r:id="rId2539" ref="S2540"/>
    <hyperlink r:id="rId2540" ref="S2541"/>
    <hyperlink r:id="rId2541" ref="S2542"/>
    <hyperlink r:id="rId2542" ref="S2543"/>
    <hyperlink r:id="rId2543" ref="S2544"/>
    <hyperlink r:id="rId2544" ref="S2545"/>
    <hyperlink r:id="rId2545" ref="S2546"/>
    <hyperlink r:id="rId2546" ref="S2547"/>
    <hyperlink r:id="rId2547" ref="S2548"/>
    <hyperlink r:id="rId2548" ref="S2549"/>
    <hyperlink r:id="rId2549" ref="S2550"/>
    <hyperlink r:id="rId2550" ref="S2551"/>
    <hyperlink r:id="rId2551" ref="S2552"/>
    <hyperlink r:id="rId2552" ref="S2553"/>
    <hyperlink r:id="rId2553" ref="S2554"/>
    <hyperlink r:id="rId2554" ref="S2555"/>
    <hyperlink r:id="rId2555" ref="S2556"/>
    <hyperlink r:id="rId2556" ref="S2557"/>
    <hyperlink r:id="rId2557" ref="S2558"/>
    <hyperlink r:id="rId2558" ref="S2559"/>
    <hyperlink r:id="rId2559" ref="S2560"/>
    <hyperlink r:id="rId2560" ref="S2561"/>
    <hyperlink r:id="rId2561" ref="S2562"/>
    <hyperlink r:id="rId2562" ref="S2563"/>
    <hyperlink r:id="rId2563" ref="S2564"/>
    <hyperlink r:id="rId2564" ref="S2565"/>
    <hyperlink r:id="rId2565" ref="S2566"/>
    <hyperlink r:id="rId2566" ref="S2567"/>
    <hyperlink r:id="rId2567" ref="S2568"/>
    <hyperlink r:id="rId2568" ref="S2569"/>
    <hyperlink r:id="rId2569" ref="S2570"/>
    <hyperlink r:id="rId2570" ref="S2571"/>
    <hyperlink r:id="rId2571" ref="S2572"/>
    <hyperlink r:id="rId2572" ref="S2573"/>
    <hyperlink r:id="rId2573" ref="S2574"/>
    <hyperlink r:id="rId2574" ref="S2575"/>
    <hyperlink r:id="rId2575" ref="S2576"/>
    <hyperlink r:id="rId2576" ref="S2577"/>
    <hyperlink r:id="rId2577" ref="S2578"/>
    <hyperlink r:id="rId2578" ref="S2579"/>
    <hyperlink r:id="rId2579" ref="S2580"/>
    <hyperlink r:id="rId2580" ref="S2581"/>
    <hyperlink r:id="rId2581" ref="S2582"/>
    <hyperlink r:id="rId2582" ref="S2583"/>
    <hyperlink r:id="rId2583" ref="S2584"/>
    <hyperlink r:id="rId2584" ref="S2585"/>
    <hyperlink r:id="rId2585" ref="S2586"/>
    <hyperlink r:id="rId2586" ref="S2587"/>
    <hyperlink r:id="rId2587" ref="S2588"/>
    <hyperlink r:id="rId2588" ref="S2589"/>
    <hyperlink r:id="rId2589" ref="S2590"/>
    <hyperlink r:id="rId2590" ref="S2591"/>
    <hyperlink r:id="rId2591" ref="S2592"/>
    <hyperlink r:id="rId2592" ref="S2593"/>
    <hyperlink r:id="rId2593" ref="S2594"/>
    <hyperlink r:id="rId2594" ref="S2595"/>
    <hyperlink r:id="rId2595" ref="S2596"/>
    <hyperlink r:id="rId2596" ref="S2597"/>
    <hyperlink r:id="rId2597" ref="S2598"/>
    <hyperlink r:id="rId2598" ref="S2599"/>
    <hyperlink r:id="rId2599" ref="S2600"/>
    <hyperlink r:id="rId2600" ref="S2601"/>
    <hyperlink r:id="rId2601" ref="S2602"/>
    <hyperlink r:id="rId2602" ref="S2603"/>
    <hyperlink r:id="rId2603" ref="S2604"/>
    <hyperlink r:id="rId2604" ref="S2605"/>
    <hyperlink r:id="rId2605" ref="S2606"/>
    <hyperlink r:id="rId2606" ref="S2607"/>
    <hyperlink r:id="rId2607" ref="S2608"/>
    <hyperlink r:id="rId2608" ref="S2609"/>
    <hyperlink r:id="rId2609" ref="S2610"/>
    <hyperlink r:id="rId2610" ref="S2611"/>
    <hyperlink r:id="rId2611" ref="S2612"/>
    <hyperlink r:id="rId2612" ref="S2613"/>
    <hyperlink r:id="rId2613" ref="S2614"/>
    <hyperlink r:id="rId2614" ref="S2615"/>
    <hyperlink r:id="rId2615" ref="S2616"/>
    <hyperlink r:id="rId2616" ref="S2617"/>
    <hyperlink r:id="rId2617" ref="S2618"/>
    <hyperlink r:id="rId2618" ref="S2619"/>
    <hyperlink r:id="rId2619" ref="S2620"/>
    <hyperlink r:id="rId2620" ref="S2621"/>
    <hyperlink r:id="rId2621" ref="S2622"/>
    <hyperlink r:id="rId2622" ref="S2623"/>
    <hyperlink r:id="rId2623" ref="S2624"/>
    <hyperlink r:id="rId2624" ref="S2625"/>
    <hyperlink r:id="rId2625" ref="S2626"/>
    <hyperlink r:id="rId2626" ref="S2627"/>
    <hyperlink r:id="rId2627" ref="S2628"/>
    <hyperlink r:id="rId2628" ref="S2629"/>
    <hyperlink r:id="rId2629" ref="S2630"/>
    <hyperlink r:id="rId2630" ref="S2631"/>
    <hyperlink r:id="rId2631" ref="S2632"/>
    <hyperlink r:id="rId2632" ref="S2633"/>
    <hyperlink r:id="rId2633" ref="S2634"/>
    <hyperlink r:id="rId2634" ref="S2635"/>
    <hyperlink r:id="rId2635" ref="S2636"/>
    <hyperlink r:id="rId2636" ref="S2637"/>
    <hyperlink r:id="rId2637" ref="S2638"/>
    <hyperlink r:id="rId2638" ref="S2639"/>
    <hyperlink r:id="rId2639" ref="S2640"/>
    <hyperlink r:id="rId2640" ref="S2641"/>
    <hyperlink r:id="rId2641" ref="S2642"/>
    <hyperlink r:id="rId2642" ref="S2643"/>
    <hyperlink r:id="rId2643" ref="S2644"/>
    <hyperlink r:id="rId2644" ref="S2645"/>
    <hyperlink r:id="rId2645" ref="S2646"/>
    <hyperlink r:id="rId2646" ref="S2647"/>
    <hyperlink r:id="rId2647" ref="S2648"/>
    <hyperlink r:id="rId2648" ref="S2649"/>
    <hyperlink r:id="rId2649" ref="S2650"/>
    <hyperlink r:id="rId2650" ref="S2651"/>
    <hyperlink r:id="rId2651" ref="S2652"/>
    <hyperlink r:id="rId2652" ref="S2653"/>
    <hyperlink r:id="rId2653" ref="S2654"/>
    <hyperlink r:id="rId2654" ref="S2655"/>
    <hyperlink r:id="rId2655" ref="S2656"/>
    <hyperlink r:id="rId2656" ref="S2657"/>
    <hyperlink r:id="rId2657" ref="S2658"/>
    <hyperlink r:id="rId2658" ref="S2659"/>
    <hyperlink r:id="rId2659" ref="S2660"/>
    <hyperlink r:id="rId2660" ref="S2661"/>
    <hyperlink r:id="rId2661" ref="S2662"/>
    <hyperlink r:id="rId2662" ref="S2663"/>
    <hyperlink r:id="rId2663" ref="S2664"/>
    <hyperlink r:id="rId2664" ref="S2665"/>
    <hyperlink r:id="rId2665" ref="S2666"/>
    <hyperlink r:id="rId2666" ref="S2667"/>
    <hyperlink r:id="rId2667" ref="S2668"/>
    <hyperlink r:id="rId2668" ref="S2669"/>
    <hyperlink r:id="rId2669" ref="S2670"/>
    <hyperlink r:id="rId2670" ref="S2671"/>
    <hyperlink r:id="rId2671" ref="S2672"/>
    <hyperlink r:id="rId2672" ref="S2673"/>
    <hyperlink r:id="rId2673" ref="S2674"/>
    <hyperlink r:id="rId2674" ref="S2675"/>
    <hyperlink r:id="rId2675" ref="S2676"/>
    <hyperlink r:id="rId2676" ref="S2677"/>
    <hyperlink r:id="rId2677" ref="S2678"/>
    <hyperlink r:id="rId2678" ref="S2679"/>
    <hyperlink r:id="rId2679" ref="S2680"/>
    <hyperlink r:id="rId2680" ref="S2681"/>
    <hyperlink r:id="rId2681" ref="S2682"/>
    <hyperlink r:id="rId2682" ref="S2683"/>
    <hyperlink r:id="rId2683" ref="S2684"/>
    <hyperlink r:id="rId2684" ref="S2685"/>
    <hyperlink r:id="rId2685" ref="S2686"/>
    <hyperlink r:id="rId2686" ref="S2687"/>
    <hyperlink r:id="rId2687" ref="S2688"/>
    <hyperlink r:id="rId2688" ref="S2689"/>
    <hyperlink r:id="rId2689" ref="S2690"/>
    <hyperlink r:id="rId2690" ref="S2691"/>
    <hyperlink r:id="rId2691" ref="S2692"/>
    <hyperlink r:id="rId2692" ref="S2693"/>
    <hyperlink r:id="rId2693" ref="S2694"/>
    <hyperlink r:id="rId2694" ref="S2695"/>
    <hyperlink r:id="rId2695" ref="S2696"/>
    <hyperlink r:id="rId2696" ref="S2697"/>
    <hyperlink r:id="rId2697" ref="S2698"/>
    <hyperlink r:id="rId2698" ref="S2699"/>
    <hyperlink r:id="rId2699" ref="S2700"/>
    <hyperlink r:id="rId2700" ref="S2701"/>
    <hyperlink r:id="rId2701" ref="S2702"/>
    <hyperlink r:id="rId2702" ref="S2703"/>
    <hyperlink r:id="rId2703" ref="S2704"/>
    <hyperlink r:id="rId2704" ref="S2705"/>
    <hyperlink r:id="rId2705" ref="S2706"/>
    <hyperlink r:id="rId2706" ref="S2707"/>
    <hyperlink r:id="rId2707" ref="S2708"/>
    <hyperlink r:id="rId2708" ref="S2709"/>
    <hyperlink r:id="rId2709" ref="S2710"/>
    <hyperlink r:id="rId2710" ref="S2711"/>
    <hyperlink r:id="rId2711" ref="S2712"/>
    <hyperlink r:id="rId2712" ref="S2713"/>
    <hyperlink r:id="rId2713" ref="S2714"/>
    <hyperlink r:id="rId2714" ref="S2715"/>
    <hyperlink r:id="rId2715" ref="S2716"/>
    <hyperlink r:id="rId2716" ref="S2717"/>
    <hyperlink r:id="rId2717" ref="S2718"/>
    <hyperlink r:id="rId2718" ref="S2719"/>
    <hyperlink r:id="rId2719" ref="S2720"/>
    <hyperlink r:id="rId2720" ref="S2721"/>
    <hyperlink r:id="rId2721" ref="S2722"/>
    <hyperlink r:id="rId2722" ref="S2723"/>
    <hyperlink r:id="rId2723" ref="S2724"/>
    <hyperlink r:id="rId2724" ref="S2725"/>
    <hyperlink r:id="rId2725" ref="S2726"/>
    <hyperlink r:id="rId2726" ref="S2727"/>
    <hyperlink r:id="rId2727" ref="S2728"/>
    <hyperlink r:id="rId2728" ref="S2729"/>
    <hyperlink r:id="rId2729" ref="S2730"/>
    <hyperlink r:id="rId2730" ref="S2731"/>
    <hyperlink r:id="rId2731" ref="S2732"/>
    <hyperlink r:id="rId2732" ref="S2733"/>
    <hyperlink r:id="rId2733" ref="S2734"/>
    <hyperlink r:id="rId2734" ref="S2735"/>
    <hyperlink r:id="rId2735" ref="S2736"/>
    <hyperlink r:id="rId2736" ref="S2737"/>
    <hyperlink r:id="rId2737" ref="S2738"/>
    <hyperlink r:id="rId2738" ref="S2739"/>
    <hyperlink r:id="rId2739" ref="S2740"/>
    <hyperlink r:id="rId2740" ref="S2741"/>
    <hyperlink r:id="rId2741" ref="S2742"/>
    <hyperlink r:id="rId2742" ref="S2743"/>
    <hyperlink r:id="rId2743" ref="S2744"/>
    <hyperlink r:id="rId2744" ref="S2745"/>
    <hyperlink r:id="rId2745" ref="S2746"/>
    <hyperlink r:id="rId2746" ref="S2747"/>
    <hyperlink r:id="rId2747" ref="S2748"/>
    <hyperlink r:id="rId2748" ref="S2749"/>
    <hyperlink r:id="rId2749" ref="S2750"/>
    <hyperlink r:id="rId2750" ref="S2751"/>
    <hyperlink r:id="rId2751" ref="S2752"/>
    <hyperlink r:id="rId2752" ref="S2753"/>
    <hyperlink r:id="rId2753" ref="S2754"/>
    <hyperlink r:id="rId2754" ref="S2755"/>
    <hyperlink r:id="rId2755" ref="S2756"/>
    <hyperlink r:id="rId2756" ref="S2757"/>
    <hyperlink r:id="rId2757" ref="S2758"/>
    <hyperlink r:id="rId2758" ref="S2759"/>
    <hyperlink r:id="rId2759" ref="S2760"/>
    <hyperlink r:id="rId2760" ref="S2761"/>
    <hyperlink r:id="rId2761" ref="S2762"/>
    <hyperlink r:id="rId2762" ref="S2763"/>
    <hyperlink r:id="rId2763" ref="S2764"/>
    <hyperlink r:id="rId2764" ref="S2765"/>
    <hyperlink r:id="rId2765" ref="S2766"/>
    <hyperlink r:id="rId2766" ref="S2767"/>
    <hyperlink r:id="rId2767" ref="S2768"/>
    <hyperlink r:id="rId2768" ref="S2769"/>
    <hyperlink r:id="rId2769" ref="S2770"/>
    <hyperlink r:id="rId2770" ref="S2771"/>
    <hyperlink r:id="rId2771" ref="S2772"/>
    <hyperlink r:id="rId2772" ref="S2773"/>
    <hyperlink r:id="rId2773" ref="S2774"/>
    <hyperlink r:id="rId2774" ref="S2775"/>
    <hyperlink r:id="rId2775" ref="S2776"/>
    <hyperlink r:id="rId2776" ref="S2777"/>
    <hyperlink r:id="rId2777" ref="S2778"/>
    <hyperlink r:id="rId2778" ref="S2779"/>
    <hyperlink r:id="rId2779" ref="S2780"/>
    <hyperlink r:id="rId2780" ref="S2781"/>
    <hyperlink r:id="rId2781" ref="S2782"/>
    <hyperlink r:id="rId2782" ref="S2783"/>
    <hyperlink r:id="rId2783" ref="S2784"/>
    <hyperlink r:id="rId2784" ref="S2785"/>
    <hyperlink r:id="rId2785" ref="S2786"/>
    <hyperlink r:id="rId2786" ref="S2787"/>
    <hyperlink r:id="rId2787" ref="S2788"/>
    <hyperlink r:id="rId2788" ref="S2789"/>
    <hyperlink r:id="rId2789" ref="S2790"/>
    <hyperlink r:id="rId2790" ref="S2791"/>
    <hyperlink r:id="rId2791" ref="S2792"/>
    <hyperlink r:id="rId2792" ref="S2793"/>
    <hyperlink r:id="rId2793" ref="S2794"/>
    <hyperlink r:id="rId2794" ref="S2795"/>
    <hyperlink r:id="rId2795" ref="S2796"/>
    <hyperlink r:id="rId2796" ref="S2797"/>
    <hyperlink r:id="rId2797" ref="S2798"/>
    <hyperlink r:id="rId2798" ref="S2799"/>
    <hyperlink r:id="rId2799" ref="S2800"/>
    <hyperlink r:id="rId2800" ref="S2801"/>
    <hyperlink r:id="rId2801" ref="S2802"/>
    <hyperlink r:id="rId2802" ref="S2803"/>
    <hyperlink r:id="rId2803" ref="S2804"/>
    <hyperlink r:id="rId2804" ref="S2805"/>
    <hyperlink r:id="rId2805" ref="S2806"/>
    <hyperlink r:id="rId2806" ref="S2807"/>
    <hyperlink r:id="rId2807" ref="S2808"/>
    <hyperlink r:id="rId2808" ref="S2809"/>
    <hyperlink r:id="rId2809" ref="S2810"/>
    <hyperlink r:id="rId2810" ref="S2811"/>
    <hyperlink r:id="rId2811" ref="S2812"/>
    <hyperlink r:id="rId2812" ref="S2813"/>
    <hyperlink r:id="rId2813" ref="S2814"/>
    <hyperlink r:id="rId2814" ref="S2815"/>
    <hyperlink r:id="rId2815" ref="S2816"/>
    <hyperlink r:id="rId2816" ref="S2817"/>
    <hyperlink r:id="rId2817" ref="S2818"/>
    <hyperlink r:id="rId2818" ref="S2819"/>
    <hyperlink r:id="rId2819" ref="S2820"/>
    <hyperlink r:id="rId2820" ref="S2821"/>
    <hyperlink r:id="rId2821" ref="S2822"/>
    <hyperlink r:id="rId2822" ref="S2823"/>
    <hyperlink r:id="rId2823" ref="S2824"/>
    <hyperlink r:id="rId2824" ref="S2825"/>
    <hyperlink r:id="rId2825" ref="S2826"/>
    <hyperlink r:id="rId2826" ref="S2827"/>
    <hyperlink r:id="rId2827" ref="S2828"/>
    <hyperlink r:id="rId2828" ref="S2829"/>
    <hyperlink r:id="rId2829" ref="S2830"/>
    <hyperlink r:id="rId2830" ref="S2831"/>
    <hyperlink r:id="rId2831" ref="S2832"/>
    <hyperlink r:id="rId2832" ref="S2833"/>
    <hyperlink r:id="rId2833" ref="S2834"/>
    <hyperlink r:id="rId2834" ref="S2835"/>
    <hyperlink r:id="rId2835" ref="S2836"/>
    <hyperlink r:id="rId2836" ref="S2837"/>
    <hyperlink r:id="rId2837" ref="S2838"/>
    <hyperlink r:id="rId2838" ref="S2839"/>
    <hyperlink r:id="rId2839" ref="S2840"/>
    <hyperlink r:id="rId2840" ref="S2841"/>
    <hyperlink r:id="rId2841" ref="S2842"/>
    <hyperlink r:id="rId2842" ref="S2843"/>
    <hyperlink r:id="rId2843" ref="S2844"/>
    <hyperlink r:id="rId2844" ref="S2845"/>
    <hyperlink r:id="rId2845" ref="S2846"/>
    <hyperlink r:id="rId2846" ref="S2847"/>
    <hyperlink r:id="rId2847" ref="S2848"/>
    <hyperlink r:id="rId2848" ref="S2849"/>
    <hyperlink r:id="rId2849" ref="S2850"/>
    <hyperlink r:id="rId2850" ref="S2851"/>
    <hyperlink r:id="rId2851" ref="S2852"/>
    <hyperlink r:id="rId2852" ref="S2853"/>
    <hyperlink r:id="rId2853" ref="S2854"/>
    <hyperlink r:id="rId2854" ref="S2855"/>
    <hyperlink r:id="rId2855" ref="S2856"/>
    <hyperlink r:id="rId2856" ref="S2857"/>
    <hyperlink r:id="rId2857" ref="S2858"/>
    <hyperlink r:id="rId2858" ref="S2859"/>
    <hyperlink r:id="rId2859" ref="S2860"/>
    <hyperlink r:id="rId2860" ref="S2861"/>
    <hyperlink r:id="rId2861" ref="S2862"/>
    <hyperlink r:id="rId2862" ref="S2863"/>
    <hyperlink r:id="rId2863" ref="S2864"/>
    <hyperlink r:id="rId2864" ref="S2865"/>
    <hyperlink r:id="rId2865" ref="S2866"/>
    <hyperlink r:id="rId2866" ref="S2867"/>
    <hyperlink r:id="rId2867" ref="S2868"/>
    <hyperlink r:id="rId2868" ref="S2869"/>
    <hyperlink r:id="rId2869" ref="S2870"/>
    <hyperlink r:id="rId2870" ref="S2871"/>
    <hyperlink r:id="rId2871" ref="S2872"/>
    <hyperlink r:id="rId2872" ref="S2873"/>
    <hyperlink r:id="rId2873" ref="S2874"/>
    <hyperlink r:id="rId2874" ref="S2875"/>
    <hyperlink r:id="rId2875" ref="S2876"/>
    <hyperlink r:id="rId2876" ref="S2877"/>
    <hyperlink r:id="rId2877" ref="S2878"/>
    <hyperlink r:id="rId2878" ref="S2879"/>
    <hyperlink r:id="rId2879" ref="S2880"/>
    <hyperlink r:id="rId2880" ref="S2881"/>
    <hyperlink r:id="rId2881" ref="S2882"/>
    <hyperlink r:id="rId2882" ref="S2883"/>
    <hyperlink r:id="rId2883" ref="S2884"/>
    <hyperlink r:id="rId2884" ref="S2885"/>
    <hyperlink r:id="rId2885" ref="S2886"/>
    <hyperlink r:id="rId2886" ref="S2887"/>
    <hyperlink r:id="rId2887" ref="S2888"/>
    <hyperlink r:id="rId2888" ref="S2889"/>
    <hyperlink r:id="rId2889" ref="S2890"/>
    <hyperlink r:id="rId2890" ref="S2891"/>
    <hyperlink r:id="rId2891" ref="S2892"/>
    <hyperlink r:id="rId2892" ref="S2893"/>
    <hyperlink r:id="rId2893" ref="S2894"/>
    <hyperlink r:id="rId2894" ref="S2895"/>
    <hyperlink r:id="rId2895" ref="S2896"/>
    <hyperlink r:id="rId2896" ref="S2897"/>
    <hyperlink r:id="rId2897" ref="S2898"/>
    <hyperlink r:id="rId2898" ref="S2899"/>
    <hyperlink r:id="rId2899" ref="S2900"/>
    <hyperlink r:id="rId2900" ref="S2901"/>
    <hyperlink r:id="rId2901" ref="S2902"/>
    <hyperlink r:id="rId2902" ref="S2903"/>
    <hyperlink r:id="rId2903" ref="S2904"/>
    <hyperlink r:id="rId2904" ref="S2905"/>
    <hyperlink r:id="rId2905" ref="S2906"/>
    <hyperlink r:id="rId2906" ref="S2907"/>
    <hyperlink r:id="rId2907" ref="S2908"/>
    <hyperlink r:id="rId2908" ref="S2909"/>
    <hyperlink r:id="rId2909" ref="S2910"/>
    <hyperlink r:id="rId2910" ref="S2911"/>
    <hyperlink r:id="rId2911" ref="S2912"/>
    <hyperlink r:id="rId2912" ref="S2913"/>
    <hyperlink r:id="rId2913" ref="S2914"/>
    <hyperlink r:id="rId2914" ref="S2915"/>
    <hyperlink r:id="rId2915" ref="S2916"/>
    <hyperlink r:id="rId2916" ref="S2917"/>
    <hyperlink r:id="rId2917" ref="S2918"/>
    <hyperlink r:id="rId2918" ref="S2919"/>
    <hyperlink r:id="rId2919" ref="S2920"/>
    <hyperlink r:id="rId2920" ref="S2921"/>
    <hyperlink r:id="rId2921" ref="S2922"/>
    <hyperlink r:id="rId2922" ref="S2923"/>
    <hyperlink r:id="rId2923" ref="S2924"/>
    <hyperlink r:id="rId2924" ref="S2925"/>
    <hyperlink r:id="rId2925" ref="S2926"/>
    <hyperlink r:id="rId2926" ref="S2927"/>
    <hyperlink r:id="rId2927" ref="S2928"/>
    <hyperlink r:id="rId2928" ref="S2929"/>
    <hyperlink r:id="rId2929" ref="S2930"/>
    <hyperlink r:id="rId2930" ref="S2931"/>
    <hyperlink r:id="rId2931" ref="S2932"/>
    <hyperlink r:id="rId2932" ref="S2933"/>
    <hyperlink r:id="rId2933" ref="S2934"/>
    <hyperlink r:id="rId2934" ref="S2935"/>
    <hyperlink r:id="rId2935" ref="S2936"/>
    <hyperlink r:id="rId2936" ref="S2937"/>
    <hyperlink r:id="rId2937" ref="S2938"/>
    <hyperlink r:id="rId2938" ref="S2939"/>
    <hyperlink r:id="rId2939" ref="S2940"/>
    <hyperlink r:id="rId2940" ref="S2941"/>
    <hyperlink r:id="rId2941" ref="S2942"/>
    <hyperlink r:id="rId2942" ref="S2943"/>
    <hyperlink r:id="rId2943" ref="S2944"/>
    <hyperlink r:id="rId2944" ref="S2945"/>
    <hyperlink r:id="rId2945" ref="S2946"/>
    <hyperlink r:id="rId2946" ref="S2947"/>
    <hyperlink r:id="rId2947" ref="S2948"/>
    <hyperlink r:id="rId2948" ref="S2949"/>
    <hyperlink r:id="rId2949" ref="S2950"/>
    <hyperlink r:id="rId2950" ref="S2951"/>
    <hyperlink r:id="rId2951" ref="S2952"/>
    <hyperlink r:id="rId2952" ref="S2953"/>
    <hyperlink r:id="rId2953" ref="S2954"/>
    <hyperlink r:id="rId2954" ref="S2955"/>
    <hyperlink r:id="rId2955" ref="S2956"/>
    <hyperlink r:id="rId2956" ref="S2957"/>
    <hyperlink r:id="rId2957" ref="S2958"/>
    <hyperlink r:id="rId2958" ref="S2959"/>
    <hyperlink r:id="rId2959" ref="S2960"/>
    <hyperlink r:id="rId2960" ref="S2961"/>
    <hyperlink r:id="rId2961" ref="S2962"/>
    <hyperlink r:id="rId2962" ref="S2963"/>
    <hyperlink r:id="rId2963" ref="S2964"/>
    <hyperlink r:id="rId2964" ref="S2965"/>
    <hyperlink r:id="rId2965" ref="S2966"/>
    <hyperlink r:id="rId2966" ref="S2967"/>
    <hyperlink r:id="rId2967" ref="S2968"/>
    <hyperlink r:id="rId2968" ref="S2969"/>
    <hyperlink r:id="rId2969" ref="S2970"/>
    <hyperlink r:id="rId2970" ref="S2971"/>
    <hyperlink r:id="rId2971" ref="S2972"/>
    <hyperlink r:id="rId2972" ref="S2973"/>
    <hyperlink r:id="rId2973" ref="S2974"/>
    <hyperlink r:id="rId2974" ref="S2975"/>
    <hyperlink r:id="rId2975" ref="S2976"/>
    <hyperlink r:id="rId2976" ref="S2977"/>
    <hyperlink r:id="rId2977" ref="S2978"/>
    <hyperlink r:id="rId2978" ref="S2979"/>
    <hyperlink r:id="rId2979" ref="S2980"/>
    <hyperlink r:id="rId2980" ref="S2981"/>
    <hyperlink r:id="rId2981" ref="S2982"/>
    <hyperlink r:id="rId2982" ref="S2983"/>
    <hyperlink r:id="rId2983" ref="S2984"/>
    <hyperlink r:id="rId2984" ref="S2985"/>
    <hyperlink r:id="rId2985" ref="S2986"/>
    <hyperlink r:id="rId2986" ref="S2987"/>
    <hyperlink r:id="rId2987" ref="S2988"/>
    <hyperlink r:id="rId2988" ref="S2989"/>
    <hyperlink r:id="rId2989" ref="S2990"/>
    <hyperlink r:id="rId2990" ref="S2991"/>
    <hyperlink r:id="rId2991" ref="S2992"/>
    <hyperlink r:id="rId2992" ref="S2993"/>
    <hyperlink r:id="rId2993" ref="S2994"/>
    <hyperlink r:id="rId2994" ref="S2995"/>
    <hyperlink r:id="rId2995" ref="S2996"/>
    <hyperlink r:id="rId2996" ref="S2997"/>
    <hyperlink r:id="rId2997" ref="S2998"/>
    <hyperlink r:id="rId2998" ref="S2999"/>
    <hyperlink r:id="rId2999" ref="S3000"/>
    <hyperlink r:id="rId3000" ref="S3001"/>
    <hyperlink r:id="rId3001" ref="S3002"/>
    <hyperlink r:id="rId3002" ref="S3003"/>
    <hyperlink r:id="rId3003" ref="S3004"/>
    <hyperlink r:id="rId3004" ref="S3005"/>
    <hyperlink r:id="rId3005" ref="S3006"/>
    <hyperlink r:id="rId3006" ref="S3007"/>
    <hyperlink r:id="rId3007" ref="S3008"/>
    <hyperlink r:id="rId3008" ref="S3009"/>
    <hyperlink r:id="rId3009" ref="S3010"/>
    <hyperlink r:id="rId3010" ref="S3011"/>
    <hyperlink r:id="rId3011" ref="S3012"/>
    <hyperlink r:id="rId3012" ref="S3013"/>
    <hyperlink r:id="rId3013" ref="S3014"/>
    <hyperlink r:id="rId3014" ref="S3015"/>
    <hyperlink r:id="rId3015" ref="S3016"/>
    <hyperlink r:id="rId3016" ref="S3017"/>
    <hyperlink r:id="rId3017" ref="S3018"/>
    <hyperlink r:id="rId3018" ref="S3019"/>
    <hyperlink r:id="rId3019" ref="S3020"/>
    <hyperlink r:id="rId3020" ref="S3021"/>
    <hyperlink r:id="rId3021" ref="S3022"/>
    <hyperlink r:id="rId3022" ref="S3023"/>
    <hyperlink r:id="rId3023" ref="S3024"/>
    <hyperlink r:id="rId3024" ref="S3025"/>
    <hyperlink r:id="rId3025" ref="S3026"/>
    <hyperlink r:id="rId3026" ref="S3027"/>
    <hyperlink r:id="rId3027" ref="S3028"/>
    <hyperlink r:id="rId3028" ref="S3029"/>
    <hyperlink r:id="rId3029" ref="S3030"/>
    <hyperlink r:id="rId3030" ref="S3031"/>
    <hyperlink r:id="rId3031" ref="S3032"/>
    <hyperlink r:id="rId3032" ref="S3033"/>
    <hyperlink r:id="rId3033" ref="S3034"/>
    <hyperlink r:id="rId3034" ref="S3035"/>
    <hyperlink r:id="rId3035" ref="S3036"/>
    <hyperlink r:id="rId3036" ref="S3037"/>
    <hyperlink r:id="rId3037" ref="S3038"/>
    <hyperlink r:id="rId3038" ref="S3039"/>
    <hyperlink r:id="rId3039" ref="S3040"/>
    <hyperlink r:id="rId3040" ref="S3041"/>
    <hyperlink r:id="rId3041" ref="S3042"/>
    <hyperlink r:id="rId3042" ref="S3043"/>
    <hyperlink r:id="rId3043" ref="S3044"/>
    <hyperlink r:id="rId3044" ref="S3045"/>
    <hyperlink r:id="rId3045" ref="S3046"/>
    <hyperlink r:id="rId3046" ref="S3047"/>
    <hyperlink r:id="rId3047" ref="S3048"/>
    <hyperlink r:id="rId3048" ref="S3049"/>
    <hyperlink r:id="rId3049" ref="S3050"/>
    <hyperlink r:id="rId3050" ref="S3051"/>
    <hyperlink r:id="rId3051" ref="S3052"/>
    <hyperlink r:id="rId3052" ref="S3053"/>
    <hyperlink r:id="rId3053" ref="S3054"/>
    <hyperlink r:id="rId3054" ref="S3055"/>
    <hyperlink r:id="rId3055" ref="S3056"/>
    <hyperlink r:id="rId3056" ref="S3057"/>
    <hyperlink r:id="rId3057" ref="S3058"/>
    <hyperlink r:id="rId3058" ref="S3059"/>
    <hyperlink r:id="rId3059" ref="S3060"/>
    <hyperlink r:id="rId3060" ref="S3061"/>
    <hyperlink r:id="rId3061" ref="S3062"/>
    <hyperlink r:id="rId3062" ref="S3063"/>
    <hyperlink r:id="rId3063" ref="S3064"/>
    <hyperlink r:id="rId3064" ref="S3065"/>
    <hyperlink r:id="rId3065" ref="S3066"/>
    <hyperlink r:id="rId3066" ref="S3067"/>
    <hyperlink r:id="rId3067" ref="S3068"/>
    <hyperlink r:id="rId3068" ref="S3069"/>
    <hyperlink r:id="rId3069" ref="S3070"/>
    <hyperlink r:id="rId3070" ref="S3071"/>
    <hyperlink r:id="rId3071" ref="S3072"/>
    <hyperlink r:id="rId3072" ref="S3073"/>
    <hyperlink r:id="rId3073" ref="S3074"/>
    <hyperlink r:id="rId3074" ref="S3075"/>
    <hyperlink r:id="rId3075" ref="S3076"/>
    <hyperlink r:id="rId3076" ref="S3077"/>
    <hyperlink r:id="rId3077" ref="S3078"/>
    <hyperlink r:id="rId3078" ref="S3079"/>
    <hyperlink r:id="rId3079" ref="S3080"/>
    <hyperlink r:id="rId3080" ref="S3081"/>
    <hyperlink r:id="rId3081" ref="S3082"/>
    <hyperlink r:id="rId3082" ref="S3083"/>
    <hyperlink r:id="rId3083" ref="S3084"/>
    <hyperlink r:id="rId3084" ref="S3085"/>
    <hyperlink r:id="rId3085" ref="S3086"/>
    <hyperlink r:id="rId3086" ref="S3087"/>
    <hyperlink r:id="rId3087" ref="S3088"/>
    <hyperlink r:id="rId3088" ref="S3089"/>
    <hyperlink r:id="rId3089" ref="S3090"/>
    <hyperlink r:id="rId3090" ref="S3091"/>
    <hyperlink r:id="rId3091" ref="S3092"/>
    <hyperlink r:id="rId3092" ref="S3093"/>
    <hyperlink r:id="rId3093" ref="S3094"/>
    <hyperlink r:id="rId3094" ref="S3095"/>
    <hyperlink r:id="rId3095" ref="S3096"/>
    <hyperlink r:id="rId3096" ref="S3097"/>
    <hyperlink r:id="rId3097" ref="S3098"/>
    <hyperlink r:id="rId3098" ref="S3099"/>
    <hyperlink r:id="rId3099" ref="S3100"/>
    <hyperlink r:id="rId3100" ref="S3101"/>
    <hyperlink r:id="rId3101" ref="S3102"/>
    <hyperlink r:id="rId3102" ref="S3103"/>
    <hyperlink r:id="rId3103" ref="S3104"/>
    <hyperlink r:id="rId3104" ref="S3105"/>
    <hyperlink r:id="rId3105" ref="S3106"/>
    <hyperlink r:id="rId3106" ref="S3107"/>
    <hyperlink r:id="rId3107" ref="S3108"/>
    <hyperlink r:id="rId3108" ref="S3109"/>
    <hyperlink r:id="rId3109" ref="S3110"/>
    <hyperlink r:id="rId3110" ref="S3111"/>
    <hyperlink r:id="rId3111" ref="S3112"/>
    <hyperlink r:id="rId3112" ref="S3113"/>
    <hyperlink r:id="rId3113" ref="S3114"/>
    <hyperlink r:id="rId3114" ref="S3115"/>
    <hyperlink r:id="rId3115" ref="S3116"/>
    <hyperlink r:id="rId3116" ref="S3117"/>
    <hyperlink r:id="rId3117" ref="S3118"/>
    <hyperlink r:id="rId3118" ref="S3119"/>
    <hyperlink r:id="rId3119" ref="S3120"/>
    <hyperlink r:id="rId3120" ref="S3121"/>
    <hyperlink r:id="rId3121" ref="S3122"/>
    <hyperlink r:id="rId3122" ref="S3123"/>
    <hyperlink r:id="rId3123" ref="S3124"/>
    <hyperlink r:id="rId3124" ref="S3125"/>
    <hyperlink r:id="rId3125" ref="S3126"/>
    <hyperlink r:id="rId3126" ref="S3127"/>
    <hyperlink r:id="rId3127" ref="S3128"/>
    <hyperlink r:id="rId3128" ref="S3129"/>
    <hyperlink r:id="rId3129" ref="S3130"/>
    <hyperlink r:id="rId3130" ref="S3131"/>
    <hyperlink r:id="rId3131" ref="S3132"/>
    <hyperlink r:id="rId3132" ref="S3133"/>
    <hyperlink r:id="rId3133" ref="S3134"/>
    <hyperlink r:id="rId3134" ref="S3135"/>
    <hyperlink r:id="rId3135" ref="S3136"/>
    <hyperlink r:id="rId3136" ref="S3137"/>
    <hyperlink r:id="rId3137" ref="S3138"/>
    <hyperlink r:id="rId3138" ref="S3139"/>
    <hyperlink r:id="rId3139" ref="S3140"/>
    <hyperlink r:id="rId3140" ref="S3141"/>
    <hyperlink r:id="rId3141" ref="S3142"/>
    <hyperlink r:id="rId3142" ref="S3143"/>
    <hyperlink r:id="rId3143" ref="S3144"/>
    <hyperlink r:id="rId3144" ref="S3145"/>
    <hyperlink r:id="rId3145" ref="S3146"/>
    <hyperlink r:id="rId3146" ref="S3147"/>
    <hyperlink r:id="rId3147" ref="S3148"/>
    <hyperlink r:id="rId3148" ref="S3149"/>
    <hyperlink r:id="rId3149" ref="S3150"/>
    <hyperlink r:id="rId3150" ref="S3151"/>
    <hyperlink r:id="rId3151" ref="S3152"/>
    <hyperlink r:id="rId3152" ref="S3153"/>
    <hyperlink r:id="rId3153" ref="S3154"/>
    <hyperlink r:id="rId3154" ref="S3155"/>
    <hyperlink r:id="rId3155" ref="S3156"/>
    <hyperlink r:id="rId3156" ref="S3157"/>
    <hyperlink r:id="rId3157" ref="S3158"/>
    <hyperlink r:id="rId3158" ref="S3159"/>
    <hyperlink r:id="rId3159" ref="S3160"/>
    <hyperlink r:id="rId3160" ref="S3161"/>
    <hyperlink r:id="rId3161" ref="S3162"/>
    <hyperlink r:id="rId3162" ref="S3163"/>
    <hyperlink r:id="rId3163" ref="S3164"/>
    <hyperlink r:id="rId3164" ref="S3165"/>
    <hyperlink r:id="rId3165" ref="S3166"/>
    <hyperlink r:id="rId3166" ref="S3167"/>
    <hyperlink r:id="rId3167" ref="S3168"/>
    <hyperlink r:id="rId3168" ref="S3169"/>
    <hyperlink r:id="rId3169" ref="S3170"/>
    <hyperlink r:id="rId3170" ref="S3171"/>
    <hyperlink r:id="rId3171" ref="S3172"/>
    <hyperlink r:id="rId3172" ref="S3173"/>
    <hyperlink r:id="rId3173" ref="S3174"/>
    <hyperlink r:id="rId3174" ref="S3175"/>
    <hyperlink r:id="rId3175" ref="S3176"/>
    <hyperlink r:id="rId3176" ref="S3177"/>
    <hyperlink r:id="rId3177" ref="S3178"/>
    <hyperlink r:id="rId3178" ref="S3179"/>
    <hyperlink r:id="rId3179" ref="S3180"/>
    <hyperlink r:id="rId3180" ref="S3181"/>
    <hyperlink r:id="rId3181" ref="S3182"/>
    <hyperlink r:id="rId3182" ref="S3183"/>
    <hyperlink r:id="rId3183" ref="S3184"/>
    <hyperlink r:id="rId3184" ref="S3185"/>
    <hyperlink r:id="rId3185" ref="S3186"/>
    <hyperlink r:id="rId3186" ref="S3187"/>
    <hyperlink r:id="rId3187" ref="S3188"/>
    <hyperlink r:id="rId3188" ref="S3189"/>
    <hyperlink r:id="rId3189" ref="S3190"/>
    <hyperlink r:id="rId3190" ref="S3191"/>
    <hyperlink r:id="rId3191" ref="S3192"/>
    <hyperlink r:id="rId3192" ref="S3193"/>
    <hyperlink r:id="rId3193" ref="S3194"/>
    <hyperlink r:id="rId3194" ref="S3195"/>
    <hyperlink r:id="rId3195" ref="S3196"/>
    <hyperlink r:id="rId3196" ref="S3197"/>
    <hyperlink r:id="rId3197" ref="S3198"/>
    <hyperlink r:id="rId3198" ref="S3199"/>
    <hyperlink r:id="rId3199" ref="S3200"/>
    <hyperlink r:id="rId3200" ref="S3201"/>
    <hyperlink r:id="rId3201" ref="S3202"/>
    <hyperlink r:id="rId3202" ref="S3203"/>
    <hyperlink r:id="rId3203" ref="S3204"/>
    <hyperlink r:id="rId3204" ref="S3205"/>
    <hyperlink r:id="rId3205" ref="S3206"/>
    <hyperlink r:id="rId3206" ref="S3207"/>
    <hyperlink r:id="rId3207" ref="S3208"/>
    <hyperlink r:id="rId3208" ref="S3209"/>
    <hyperlink r:id="rId3209" ref="S3210"/>
    <hyperlink r:id="rId3210" ref="S3211"/>
    <hyperlink r:id="rId3211" ref="S3212"/>
    <hyperlink r:id="rId3212" ref="S3213"/>
    <hyperlink r:id="rId3213" ref="S3214"/>
    <hyperlink r:id="rId3214" ref="S3215"/>
    <hyperlink r:id="rId3215" ref="S3216"/>
    <hyperlink r:id="rId3216" ref="S3217"/>
    <hyperlink r:id="rId3217" ref="S3218"/>
    <hyperlink r:id="rId3218" ref="S3219"/>
    <hyperlink r:id="rId3219" ref="S3220"/>
    <hyperlink r:id="rId3220" ref="S3221"/>
    <hyperlink r:id="rId3221" ref="S3222"/>
    <hyperlink r:id="rId3222" ref="S3223"/>
    <hyperlink r:id="rId3223" ref="S3224"/>
    <hyperlink r:id="rId3224" ref="S3225"/>
    <hyperlink r:id="rId3225" ref="S3226"/>
    <hyperlink r:id="rId3226" ref="S3227"/>
    <hyperlink r:id="rId3227" ref="S3228"/>
    <hyperlink r:id="rId3228" ref="S3229"/>
    <hyperlink r:id="rId3229" ref="S3230"/>
    <hyperlink r:id="rId3230" ref="S3231"/>
    <hyperlink r:id="rId3231" ref="S3232"/>
    <hyperlink r:id="rId3232" ref="S3233"/>
    <hyperlink r:id="rId3233" ref="S3234"/>
    <hyperlink r:id="rId3234" ref="S3235"/>
    <hyperlink r:id="rId3235" ref="S3236"/>
    <hyperlink r:id="rId3236" ref="S3237"/>
    <hyperlink r:id="rId3237" ref="S3238"/>
    <hyperlink r:id="rId3238" ref="S3239"/>
    <hyperlink r:id="rId3239" ref="S3240"/>
    <hyperlink r:id="rId3240" ref="S3241"/>
    <hyperlink r:id="rId3241" ref="S3242"/>
    <hyperlink r:id="rId3242" ref="S3243"/>
    <hyperlink r:id="rId3243" ref="S3244"/>
    <hyperlink r:id="rId3244" ref="S3245"/>
    <hyperlink r:id="rId3245" ref="S3246"/>
    <hyperlink r:id="rId3246" ref="S3247"/>
    <hyperlink r:id="rId3247" ref="S3248"/>
    <hyperlink r:id="rId3248" ref="S3249"/>
    <hyperlink r:id="rId3249" ref="S3250"/>
    <hyperlink r:id="rId3250" ref="S3251"/>
    <hyperlink r:id="rId3251" ref="S3252"/>
    <hyperlink r:id="rId3252" ref="S3253"/>
    <hyperlink r:id="rId3253" ref="S3254"/>
    <hyperlink r:id="rId3254" ref="S3255"/>
    <hyperlink r:id="rId3255" ref="S3256"/>
    <hyperlink r:id="rId3256" ref="S3257"/>
    <hyperlink r:id="rId3257" ref="S3258"/>
    <hyperlink r:id="rId3258" ref="S3259"/>
    <hyperlink r:id="rId3259" ref="S3260"/>
    <hyperlink r:id="rId3260" ref="S3261"/>
    <hyperlink r:id="rId3261" ref="S3262"/>
    <hyperlink r:id="rId3262" ref="S3263"/>
    <hyperlink r:id="rId3263" ref="S3264"/>
    <hyperlink r:id="rId3264" ref="S3265"/>
    <hyperlink r:id="rId3265" ref="S3266"/>
    <hyperlink r:id="rId3266" ref="S3267"/>
    <hyperlink r:id="rId3267" ref="S3268"/>
    <hyperlink r:id="rId3268" ref="S3269"/>
    <hyperlink r:id="rId3269" ref="S3270"/>
    <hyperlink r:id="rId3270" ref="S3271"/>
    <hyperlink r:id="rId3271" ref="S3272"/>
    <hyperlink r:id="rId3272" ref="S3273"/>
    <hyperlink r:id="rId3273" ref="S3274"/>
    <hyperlink r:id="rId3274" ref="S3275"/>
    <hyperlink r:id="rId3275" ref="S3276"/>
    <hyperlink r:id="rId3276" ref="S3277"/>
    <hyperlink r:id="rId3277" ref="S3278"/>
    <hyperlink r:id="rId3278" ref="S3279"/>
    <hyperlink r:id="rId3279" ref="S3280"/>
    <hyperlink r:id="rId3280" ref="S3281"/>
    <hyperlink r:id="rId3281" ref="S3282"/>
    <hyperlink r:id="rId3282" ref="S3283"/>
    <hyperlink r:id="rId3283" ref="S3284"/>
    <hyperlink r:id="rId3284" ref="S3285"/>
    <hyperlink r:id="rId3285" ref="S3286"/>
    <hyperlink r:id="rId3286" ref="S3287"/>
    <hyperlink r:id="rId3287" ref="S3288"/>
    <hyperlink r:id="rId3288" ref="S3289"/>
    <hyperlink r:id="rId3289" ref="S3290"/>
    <hyperlink r:id="rId3290" ref="S3291"/>
    <hyperlink r:id="rId3291" ref="S3292"/>
    <hyperlink r:id="rId3292" ref="S3293"/>
    <hyperlink r:id="rId3293" ref="S3294"/>
    <hyperlink r:id="rId3294" ref="S3295"/>
    <hyperlink r:id="rId3295" ref="S3296"/>
    <hyperlink r:id="rId3296" ref="S3297"/>
    <hyperlink r:id="rId3297" ref="S3298"/>
    <hyperlink r:id="rId3298" ref="S3299"/>
    <hyperlink r:id="rId3299" ref="S3300"/>
    <hyperlink r:id="rId3300" ref="S3301"/>
    <hyperlink r:id="rId3301" ref="S3302"/>
    <hyperlink r:id="rId3302" ref="S3303"/>
    <hyperlink r:id="rId3303" ref="S3304"/>
    <hyperlink r:id="rId3304" ref="S3305"/>
    <hyperlink r:id="rId3305" ref="S3306"/>
    <hyperlink r:id="rId3306" ref="S3307"/>
    <hyperlink r:id="rId3307" ref="S3308"/>
    <hyperlink r:id="rId3308" ref="S3309"/>
    <hyperlink r:id="rId3309" ref="S3310"/>
    <hyperlink r:id="rId3310" ref="S3311"/>
    <hyperlink r:id="rId3311" ref="S3312"/>
    <hyperlink r:id="rId3312" ref="S3313"/>
    <hyperlink r:id="rId3313" ref="S3314"/>
    <hyperlink r:id="rId3314" ref="S3315"/>
    <hyperlink r:id="rId3315" ref="S3316"/>
    <hyperlink r:id="rId3316" ref="S3317"/>
    <hyperlink r:id="rId3317" ref="S3318"/>
    <hyperlink r:id="rId3318" ref="S3319"/>
    <hyperlink r:id="rId3319" ref="S3320"/>
    <hyperlink r:id="rId3320" ref="S3321"/>
    <hyperlink r:id="rId3321" ref="S3322"/>
    <hyperlink r:id="rId3322" ref="S3323"/>
    <hyperlink r:id="rId3323" ref="S3324"/>
    <hyperlink r:id="rId3324" ref="S3325"/>
    <hyperlink r:id="rId3325" ref="S3326"/>
    <hyperlink r:id="rId3326" ref="S3327"/>
    <hyperlink r:id="rId3327" ref="S3328"/>
    <hyperlink r:id="rId3328" ref="S3329"/>
    <hyperlink r:id="rId3329" ref="S3330"/>
    <hyperlink r:id="rId3330" ref="S3331"/>
    <hyperlink r:id="rId3331" ref="S3332"/>
    <hyperlink r:id="rId3332" ref="S3333"/>
    <hyperlink r:id="rId3333" ref="S3334"/>
    <hyperlink r:id="rId3334" ref="S3335"/>
    <hyperlink r:id="rId3335" ref="S3336"/>
    <hyperlink r:id="rId3336" ref="S3337"/>
    <hyperlink r:id="rId3337" ref="S3338"/>
    <hyperlink r:id="rId3338" ref="S3339"/>
    <hyperlink r:id="rId3339" ref="S3340"/>
    <hyperlink r:id="rId3340" ref="S3341"/>
    <hyperlink r:id="rId3341" ref="S3342"/>
    <hyperlink r:id="rId3342" ref="S3343"/>
    <hyperlink r:id="rId3343" ref="S3344"/>
    <hyperlink r:id="rId3344" ref="S3345"/>
    <hyperlink r:id="rId3345" ref="S3346"/>
    <hyperlink r:id="rId3346" ref="S3347"/>
    <hyperlink r:id="rId3347" ref="S3348"/>
    <hyperlink r:id="rId3348" ref="S3349"/>
    <hyperlink r:id="rId3349" ref="S3350"/>
    <hyperlink r:id="rId3350" ref="S3351"/>
    <hyperlink r:id="rId3351" ref="S3352"/>
    <hyperlink r:id="rId3352" ref="S3353"/>
    <hyperlink r:id="rId3353" ref="S3354"/>
    <hyperlink r:id="rId3354" ref="S3355"/>
    <hyperlink r:id="rId3355" ref="S3356"/>
    <hyperlink r:id="rId3356" ref="S3357"/>
    <hyperlink r:id="rId3357" ref="S3358"/>
    <hyperlink r:id="rId3358" ref="S3359"/>
    <hyperlink r:id="rId3359" ref="S3360"/>
    <hyperlink r:id="rId3360" ref="S3361"/>
    <hyperlink r:id="rId3361" ref="S3362"/>
    <hyperlink r:id="rId3362" ref="S3363"/>
    <hyperlink r:id="rId3363" ref="S3364"/>
    <hyperlink r:id="rId3364" ref="S3365"/>
    <hyperlink r:id="rId3365" ref="S3366"/>
    <hyperlink r:id="rId3366" ref="S3367"/>
    <hyperlink r:id="rId3367" ref="S3368"/>
    <hyperlink r:id="rId3368" ref="S3369"/>
    <hyperlink r:id="rId3369" ref="S3370"/>
    <hyperlink r:id="rId3370" ref="S3371"/>
    <hyperlink r:id="rId3371" ref="S3372"/>
    <hyperlink r:id="rId3372" ref="S3373"/>
    <hyperlink r:id="rId3373" ref="S3374"/>
    <hyperlink r:id="rId3374" ref="S3375"/>
    <hyperlink r:id="rId3375" ref="S3376"/>
    <hyperlink r:id="rId3376" ref="S3377"/>
    <hyperlink r:id="rId3377" ref="S3378"/>
    <hyperlink r:id="rId3378" ref="S3379"/>
    <hyperlink r:id="rId3379" ref="S3380"/>
    <hyperlink r:id="rId3380" ref="S3381"/>
    <hyperlink r:id="rId3381" ref="S3382"/>
    <hyperlink r:id="rId3382" ref="S3383"/>
    <hyperlink r:id="rId3383" ref="S3384"/>
    <hyperlink r:id="rId3384" ref="S3385"/>
    <hyperlink r:id="rId3385" ref="S3386"/>
    <hyperlink r:id="rId3386" ref="S3387"/>
    <hyperlink r:id="rId3387" ref="S3388"/>
    <hyperlink r:id="rId3388" ref="S3389"/>
    <hyperlink r:id="rId3389" ref="S3390"/>
    <hyperlink r:id="rId3390" ref="S3391"/>
    <hyperlink r:id="rId3391" ref="S3392"/>
    <hyperlink r:id="rId3392" ref="S3393"/>
    <hyperlink r:id="rId3393" ref="S3394"/>
    <hyperlink r:id="rId3394" ref="S3395"/>
    <hyperlink r:id="rId3395" ref="S3396"/>
    <hyperlink r:id="rId3396" ref="S3397"/>
    <hyperlink r:id="rId3397" ref="S3398"/>
    <hyperlink r:id="rId3398" ref="S3399"/>
    <hyperlink r:id="rId3399" ref="S3400"/>
    <hyperlink r:id="rId3400" ref="S3401"/>
    <hyperlink r:id="rId3401" ref="S3402"/>
    <hyperlink r:id="rId3402" ref="S3403"/>
    <hyperlink r:id="rId3403" ref="S3404"/>
    <hyperlink r:id="rId3404" ref="S3405"/>
    <hyperlink r:id="rId3405" ref="S3406"/>
    <hyperlink r:id="rId3406" ref="S3407"/>
    <hyperlink r:id="rId3407" ref="S3408"/>
    <hyperlink r:id="rId3408" ref="S3409"/>
    <hyperlink r:id="rId3409" ref="S3410"/>
    <hyperlink r:id="rId3410" ref="S3411"/>
    <hyperlink r:id="rId3411" ref="S3412"/>
    <hyperlink r:id="rId3412" ref="S3413"/>
    <hyperlink r:id="rId3413" ref="S3414"/>
    <hyperlink r:id="rId3414" ref="S3415"/>
    <hyperlink r:id="rId3415" ref="S3416"/>
    <hyperlink r:id="rId3416" ref="S3417"/>
    <hyperlink r:id="rId3417" ref="S3418"/>
    <hyperlink r:id="rId3418" ref="S3419"/>
    <hyperlink r:id="rId3419" ref="S3420"/>
    <hyperlink r:id="rId3420" ref="S3421"/>
    <hyperlink r:id="rId3421" ref="S3422"/>
    <hyperlink r:id="rId3422" ref="S3423"/>
    <hyperlink r:id="rId3423" ref="S3424"/>
    <hyperlink r:id="rId3424" ref="S3425"/>
    <hyperlink r:id="rId3425" ref="S3426"/>
    <hyperlink r:id="rId3426" ref="S3427"/>
    <hyperlink r:id="rId3427" ref="S3428"/>
    <hyperlink r:id="rId3428" ref="S3429"/>
    <hyperlink r:id="rId3429" ref="S3430"/>
    <hyperlink r:id="rId3430" ref="S3431"/>
    <hyperlink r:id="rId3431" ref="S3432"/>
    <hyperlink r:id="rId3432" ref="S3433"/>
    <hyperlink r:id="rId3433" ref="S3434"/>
    <hyperlink r:id="rId3434" ref="S3435"/>
    <hyperlink r:id="rId3435" ref="S3436"/>
    <hyperlink r:id="rId3436" ref="S3437"/>
    <hyperlink r:id="rId3437" ref="S3438"/>
    <hyperlink r:id="rId3438" ref="S3439"/>
    <hyperlink r:id="rId3439" ref="S3440"/>
    <hyperlink r:id="rId3440" ref="S3441"/>
    <hyperlink r:id="rId3441" ref="S3442"/>
    <hyperlink r:id="rId3442" ref="S3443"/>
    <hyperlink r:id="rId3443" ref="S3444"/>
    <hyperlink r:id="rId3444" ref="S3445"/>
    <hyperlink r:id="rId3445" ref="S3446"/>
    <hyperlink r:id="rId3446" ref="S3447"/>
    <hyperlink r:id="rId3447" ref="S3448"/>
    <hyperlink r:id="rId3448" ref="S3449"/>
    <hyperlink r:id="rId3449" ref="S3450"/>
    <hyperlink r:id="rId3450" ref="S3451"/>
    <hyperlink r:id="rId3451" ref="S3452"/>
    <hyperlink r:id="rId3452" ref="S3453"/>
    <hyperlink r:id="rId3453" ref="S3454"/>
    <hyperlink r:id="rId3454" ref="S3455"/>
    <hyperlink r:id="rId3455" ref="S3456"/>
    <hyperlink r:id="rId3456" ref="S3457"/>
    <hyperlink r:id="rId3457" ref="S3458"/>
    <hyperlink r:id="rId3458" ref="S3459"/>
    <hyperlink r:id="rId3459" ref="S3460"/>
    <hyperlink r:id="rId3460" ref="S3461"/>
    <hyperlink r:id="rId3461" ref="S3462"/>
    <hyperlink r:id="rId3462" ref="S3463"/>
    <hyperlink r:id="rId3463" ref="S3464"/>
    <hyperlink r:id="rId3464" ref="S3465"/>
    <hyperlink r:id="rId3465" ref="S3466"/>
    <hyperlink r:id="rId3466" ref="S3467"/>
    <hyperlink r:id="rId3467" ref="S3468"/>
    <hyperlink r:id="rId3468" ref="S3469"/>
    <hyperlink r:id="rId3469" ref="S3470"/>
    <hyperlink r:id="rId3470" ref="S3471"/>
    <hyperlink r:id="rId3471" ref="S3472"/>
    <hyperlink r:id="rId3472" ref="S3473"/>
    <hyperlink r:id="rId3473" ref="S3474"/>
    <hyperlink r:id="rId3474" ref="S3475"/>
    <hyperlink r:id="rId3475" ref="S3476"/>
    <hyperlink r:id="rId3476" ref="S3477"/>
    <hyperlink r:id="rId3477" ref="S3478"/>
    <hyperlink r:id="rId3478" ref="S3479"/>
    <hyperlink r:id="rId3479" ref="S3480"/>
    <hyperlink r:id="rId3480" ref="S3481"/>
    <hyperlink r:id="rId3481" ref="S3482"/>
    <hyperlink r:id="rId3482" ref="S3483"/>
    <hyperlink r:id="rId3483" ref="S3484"/>
    <hyperlink r:id="rId3484" ref="S3485"/>
    <hyperlink r:id="rId3485" ref="S3486"/>
    <hyperlink r:id="rId3486" ref="S3487"/>
    <hyperlink r:id="rId3487" ref="S3488"/>
    <hyperlink r:id="rId3488" ref="S3489"/>
    <hyperlink r:id="rId3489" ref="S3490"/>
    <hyperlink r:id="rId3490" ref="S3491"/>
    <hyperlink r:id="rId3491" ref="S3492"/>
    <hyperlink r:id="rId3492" ref="S3493"/>
    <hyperlink r:id="rId3493" ref="S3494"/>
    <hyperlink r:id="rId3494" ref="S3495"/>
    <hyperlink r:id="rId3495" ref="S3496"/>
    <hyperlink r:id="rId3496" ref="S3497"/>
    <hyperlink r:id="rId3497" ref="S3498"/>
    <hyperlink r:id="rId3498" ref="S3499"/>
    <hyperlink r:id="rId3499" ref="S3500"/>
    <hyperlink r:id="rId3500" ref="S3501"/>
    <hyperlink r:id="rId3501" ref="S3502"/>
    <hyperlink r:id="rId3502" ref="S3503"/>
    <hyperlink r:id="rId3503" ref="S3504"/>
    <hyperlink r:id="rId3504" ref="S3505"/>
    <hyperlink r:id="rId3505" ref="S3506"/>
    <hyperlink r:id="rId3506" ref="S3507"/>
    <hyperlink r:id="rId3507" ref="S3508"/>
    <hyperlink r:id="rId3508" ref="S3509"/>
    <hyperlink r:id="rId3509" ref="S3510"/>
    <hyperlink r:id="rId3510" ref="S3511"/>
    <hyperlink r:id="rId3511" ref="S3512"/>
    <hyperlink r:id="rId3512" ref="S3513"/>
    <hyperlink r:id="rId3513" ref="S3514"/>
    <hyperlink r:id="rId3514" ref="S3515"/>
    <hyperlink r:id="rId3515" ref="S3516"/>
    <hyperlink r:id="rId3516" ref="S3517"/>
    <hyperlink r:id="rId3517" ref="S3518"/>
    <hyperlink r:id="rId3518" ref="S3519"/>
    <hyperlink r:id="rId3519" ref="S3520"/>
    <hyperlink r:id="rId3520" ref="S3521"/>
    <hyperlink r:id="rId3521" ref="S3522"/>
    <hyperlink r:id="rId3522" ref="S3523"/>
    <hyperlink r:id="rId3523" ref="S3524"/>
    <hyperlink r:id="rId3524" ref="S3525"/>
    <hyperlink r:id="rId3525" ref="S3526"/>
    <hyperlink r:id="rId3526" ref="S3527"/>
    <hyperlink r:id="rId3527" ref="S3528"/>
    <hyperlink r:id="rId3528" ref="S3529"/>
    <hyperlink r:id="rId3529" ref="S3530"/>
    <hyperlink r:id="rId3530" ref="S3531"/>
    <hyperlink r:id="rId3531" ref="S3532"/>
    <hyperlink r:id="rId3532" ref="S3533"/>
    <hyperlink r:id="rId3533" ref="S3534"/>
    <hyperlink r:id="rId3534" ref="S3535"/>
    <hyperlink r:id="rId3535" ref="S3536"/>
    <hyperlink r:id="rId3536" ref="S3537"/>
    <hyperlink r:id="rId3537" ref="S3538"/>
    <hyperlink r:id="rId3538" ref="S3539"/>
    <hyperlink r:id="rId3539" ref="S3540"/>
    <hyperlink r:id="rId3540" ref="S3541"/>
    <hyperlink r:id="rId3541" ref="S3542"/>
    <hyperlink r:id="rId3542" ref="S3543"/>
    <hyperlink r:id="rId3543" ref="S3544"/>
    <hyperlink r:id="rId3544" ref="S3545"/>
    <hyperlink r:id="rId3545" ref="S3546"/>
    <hyperlink r:id="rId3546" ref="S3547"/>
    <hyperlink r:id="rId3547" ref="S3548"/>
    <hyperlink r:id="rId3548" ref="S3549"/>
    <hyperlink r:id="rId3549" ref="S3550"/>
    <hyperlink r:id="rId3550" ref="S3551"/>
    <hyperlink r:id="rId3551" ref="S3552"/>
    <hyperlink r:id="rId3552" ref="S3553"/>
    <hyperlink r:id="rId3553" ref="S3554"/>
    <hyperlink r:id="rId3554" ref="S3555"/>
    <hyperlink r:id="rId3555" ref="S3556"/>
    <hyperlink r:id="rId3556" ref="S3557"/>
    <hyperlink r:id="rId3557" ref="S3558"/>
    <hyperlink r:id="rId3558" ref="S3559"/>
    <hyperlink r:id="rId3559" ref="S3560"/>
    <hyperlink r:id="rId3560" ref="S3561"/>
    <hyperlink r:id="rId3561" ref="S3562"/>
    <hyperlink r:id="rId3562" ref="S3563"/>
    <hyperlink r:id="rId3563" ref="S3564"/>
    <hyperlink r:id="rId3564" ref="S3565"/>
    <hyperlink r:id="rId3565" ref="S3566"/>
    <hyperlink r:id="rId3566" ref="S3567"/>
    <hyperlink r:id="rId3567" ref="S3568"/>
    <hyperlink r:id="rId3568" ref="S3569"/>
    <hyperlink r:id="rId3569" ref="S3570"/>
    <hyperlink r:id="rId3570" ref="S3571"/>
    <hyperlink r:id="rId3571" ref="S3572"/>
    <hyperlink r:id="rId3572" ref="S3573"/>
    <hyperlink r:id="rId3573" ref="S3574"/>
    <hyperlink r:id="rId3574" ref="S3575"/>
    <hyperlink r:id="rId3575" ref="S3576"/>
    <hyperlink r:id="rId3576" ref="S3577"/>
    <hyperlink r:id="rId3577" ref="S3578"/>
    <hyperlink r:id="rId3578" ref="S3579"/>
    <hyperlink r:id="rId3579" ref="S3580"/>
    <hyperlink r:id="rId3580" ref="S3581"/>
    <hyperlink r:id="rId3581" ref="S3582"/>
    <hyperlink r:id="rId3582" ref="S3583"/>
    <hyperlink r:id="rId3583" ref="S3584"/>
    <hyperlink r:id="rId3584" ref="S3585"/>
    <hyperlink r:id="rId3585" ref="S3586"/>
    <hyperlink r:id="rId3586" ref="S3587"/>
    <hyperlink r:id="rId3587" ref="S3588"/>
    <hyperlink r:id="rId3588" ref="S3589"/>
    <hyperlink r:id="rId3589" ref="S3590"/>
    <hyperlink r:id="rId3590" ref="S3591"/>
    <hyperlink r:id="rId3591" ref="S3592"/>
    <hyperlink r:id="rId3592" ref="S3593"/>
    <hyperlink r:id="rId3593" ref="S3594"/>
    <hyperlink r:id="rId3594" ref="S3595"/>
    <hyperlink r:id="rId3595" ref="S3596"/>
    <hyperlink r:id="rId3596" ref="S3597"/>
    <hyperlink r:id="rId3597" ref="S3598"/>
    <hyperlink r:id="rId3598" ref="S3599"/>
    <hyperlink r:id="rId3599" ref="S3600"/>
    <hyperlink r:id="rId3600" ref="S3601"/>
    <hyperlink r:id="rId3601" ref="S3602"/>
    <hyperlink r:id="rId3602" ref="S3603"/>
    <hyperlink r:id="rId3603" ref="S3604"/>
    <hyperlink r:id="rId3604" ref="S3605"/>
    <hyperlink r:id="rId3605" ref="S3606"/>
    <hyperlink r:id="rId3606" ref="S3607"/>
    <hyperlink r:id="rId3607" ref="S3608"/>
    <hyperlink r:id="rId3608" ref="S3609"/>
    <hyperlink r:id="rId3609" ref="S3610"/>
    <hyperlink r:id="rId3610" ref="S3611"/>
    <hyperlink r:id="rId3611" ref="S3612"/>
    <hyperlink r:id="rId3612" ref="S3613"/>
    <hyperlink r:id="rId3613" ref="S3614"/>
    <hyperlink r:id="rId3614" ref="S3615"/>
    <hyperlink r:id="rId3615" ref="S3616"/>
    <hyperlink r:id="rId3616" ref="S3617"/>
    <hyperlink r:id="rId3617" ref="S3618"/>
    <hyperlink r:id="rId3618" ref="S3619"/>
    <hyperlink r:id="rId3619" ref="S3620"/>
    <hyperlink r:id="rId3620" ref="S3621"/>
    <hyperlink r:id="rId3621" ref="S3622"/>
    <hyperlink r:id="rId3622" ref="S3623"/>
    <hyperlink r:id="rId3623" ref="S3624"/>
    <hyperlink r:id="rId3624" ref="S3625"/>
    <hyperlink r:id="rId3625" ref="S3626"/>
    <hyperlink r:id="rId3626" ref="S3627"/>
    <hyperlink r:id="rId3627" ref="S3628"/>
    <hyperlink r:id="rId3628" ref="S3629"/>
    <hyperlink r:id="rId3629" ref="S3630"/>
    <hyperlink r:id="rId3630" ref="S3631"/>
    <hyperlink r:id="rId3631" ref="S3632"/>
    <hyperlink r:id="rId3632" ref="S3633"/>
    <hyperlink r:id="rId3633" ref="S3634"/>
    <hyperlink r:id="rId3634" ref="S3635"/>
    <hyperlink r:id="rId3635" ref="S3636"/>
    <hyperlink r:id="rId3636" ref="S3637"/>
    <hyperlink r:id="rId3637" ref="S3638"/>
    <hyperlink r:id="rId3638" ref="S3639"/>
    <hyperlink r:id="rId3639" ref="S3640"/>
    <hyperlink r:id="rId3640" ref="S3641"/>
    <hyperlink r:id="rId3641" ref="S3642"/>
    <hyperlink r:id="rId3642" ref="S3643"/>
    <hyperlink r:id="rId3643" ref="S3644"/>
    <hyperlink r:id="rId3644" ref="S3645"/>
    <hyperlink r:id="rId3645" ref="S3646"/>
    <hyperlink r:id="rId3646" ref="S3647"/>
    <hyperlink r:id="rId3647" ref="S3648"/>
    <hyperlink r:id="rId3648" ref="S3649"/>
    <hyperlink r:id="rId3649" ref="S3650"/>
    <hyperlink r:id="rId3650" ref="S3651"/>
    <hyperlink r:id="rId3651" ref="S3652"/>
    <hyperlink r:id="rId3652" ref="S3653"/>
    <hyperlink r:id="rId3653" ref="S3654"/>
    <hyperlink r:id="rId3654" ref="S3655"/>
    <hyperlink r:id="rId3655" ref="S3656"/>
    <hyperlink r:id="rId3656" ref="S3657"/>
    <hyperlink r:id="rId3657" ref="S3658"/>
    <hyperlink r:id="rId3658" ref="S3659"/>
    <hyperlink r:id="rId3659" ref="S3660"/>
    <hyperlink r:id="rId3660" ref="S3661"/>
    <hyperlink r:id="rId3661" ref="S3662"/>
    <hyperlink r:id="rId3662" ref="S3663"/>
    <hyperlink r:id="rId3663" ref="S3664"/>
    <hyperlink r:id="rId3664" ref="S3665"/>
    <hyperlink r:id="rId3665" ref="S3666"/>
    <hyperlink r:id="rId3666" ref="S3667"/>
    <hyperlink r:id="rId3667" ref="S3668"/>
    <hyperlink r:id="rId3668" ref="S3669"/>
    <hyperlink r:id="rId3669" ref="S3670"/>
    <hyperlink r:id="rId3670" ref="S3671"/>
    <hyperlink r:id="rId3671" ref="S3672"/>
    <hyperlink r:id="rId3672" ref="S3673"/>
    <hyperlink r:id="rId3673" ref="S3674"/>
    <hyperlink r:id="rId3674" ref="S3675"/>
    <hyperlink r:id="rId3675" ref="S3676"/>
    <hyperlink r:id="rId3676" ref="S3677"/>
    <hyperlink r:id="rId3677" ref="S3678"/>
    <hyperlink r:id="rId3678" ref="S3679"/>
    <hyperlink r:id="rId3679" ref="S3680"/>
    <hyperlink r:id="rId3680" ref="S3681"/>
    <hyperlink r:id="rId3681" ref="S3682"/>
    <hyperlink r:id="rId3682" ref="S3683"/>
    <hyperlink r:id="rId3683" ref="S3684"/>
    <hyperlink r:id="rId3684" ref="S3685"/>
    <hyperlink r:id="rId3685" ref="S3686"/>
    <hyperlink r:id="rId3686" ref="S3687"/>
    <hyperlink r:id="rId3687" ref="S3688"/>
    <hyperlink r:id="rId3688" ref="S3689"/>
    <hyperlink r:id="rId3689" ref="S3690"/>
    <hyperlink r:id="rId3690" ref="S3691"/>
    <hyperlink r:id="rId3691" ref="S3692"/>
    <hyperlink r:id="rId3692" ref="S3693"/>
    <hyperlink r:id="rId3693" ref="S3694"/>
    <hyperlink r:id="rId3694" ref="S3695"/>
    <hyperlink r:id="rId3695" ref="S3696"/>
    <hyperlink r:id="rId3696" ref="S3697"/>
    <hyperlink r:id="rId3697" ref="S3698"/>
    <hyperlink r:id="rId3698" ref="S3699"/>
    <hyperlink r:id="rId3699" ref="S3700"/>
    <hyperlink r:id="rId3700" ref="S3701"/>
    <hyperlink r:id="rId3701" ref="S3702"/>
    <hyperlink r:id="rId3702" ref="S3703"/>
    <hyperlink r:id="rId3703" ref="S3704"/>
    <hyperlink r:id="rId3704" ref="S3705"/>
    <hyperlink r:id="rId3705" ref="S3706"/>
    <hyperlink r:id="rId3706" ref="S3707"/>
    <hyperlink r:id="rId3707" ref="S3708"/>
    <hyperlink r:id="rId3708" ref="S3709"/>
    <hyperlink r:id="rId3709" ref="S3710"/>
    <hyperlink r:id="rId3710" ref="S3711"/>
    <hyperlink r:id="rId3711" ref="S3712"/>
    <hyperlink r:id="rId3712" ref="S3713"/>
    <hyperlink r:id="rId3713" ref="S3714"/>
    <hyperlink r:id="rId3714" ref="S3715"/>
    <hyperlink r:id="rId3715" ref="S3716"/>
    <hyperlink r:id="rId3716" ref="S3717"/>
    <hyperlink r:id="rId3717" ref="S3718"/>
    <hyperlink r:id="rId3718" ref="S3719"/>
    <hyperlink r:id="rId3719" ref="S3720"/>
    <hyperlink r:id="rId3720" ref="S3721"/>
    <hyperlink r:id="rId3721" ref="S3722"/>
    <hyperlink r:id="rId3722" ref="S3723"/>
    <hyperlink r:id="rId3723" ref="S3724"/>
    <hyperlink r:id="rId3724" ref="S3725"/>
    <hyperlink r:id="rId3725" ref="S3726"/>
    <hyperlink r:id="rId3726" ref="S3727"/>
    <hyperlink r:id="rId3727" ref="S3728"/>
    <hyperlink r:id="rId3728" ref="S3729"/>
    <hyperlink r:id="rId3729" ref="S3730"/>
    <hyperlink r:id="rId3730" ref="S3731"/>
    <hyperlink r:id="rId3731" ref="S3732"/>
    <hyperlink r:id="rId3732" ref="S3733"/>
    <hyperlink r:id="rId3733" ref="S3734"/>
    <hyperlink r:id="rId3734" ref="S3735"/>
    <hyperlink r:id="rId3735" ref="S3736"/>
    <hyperlink r:id="rId3736" ref="S3737"/>
    <hyperlink r:id="rId3737" ref="S3738"/>
    <hyperlink r:id="rId3738" ref="S3739"/>
    <hyperlink r:id="rId3739" ref="S3740"/>
    <hyperlink r:id="rId3740" ref="S3741"/>
    <hyperlink r:id="rId3741" ref="S3742"/>
    <hyperlink r:id="rId3742" ref="S3743"/>
    <hyperlink r:id="rId3743" ref="S3744"/>
    <hyperlink r:id="rId3744" ref="S3745"/>
    <hyperlink r:id="rId3745" ref="S3746"/>
    <hyperlink r:id="rId3746" ref="S3747"/>
    <hyperlink r:id="rId3747" ref="S3748"/>
    <hyperlink r:id="rId3748" ref="S3749"/>
    <hyperlink r:id="rId3749" ref="S3750"/>
    <hyperlink r:id="rId3750" ref="S3751"/>
    <hyperlink r:id="rId3751" ref="S3752"/>
    <hyperlink r:id="rId3752" ref="S3753"/>
    <hyperlink r:id="rId3753" ref="S3754"/>
    <hyperlink r:id="rId3754" ref="S3755"/>
    <hyperlink r:id="rId3755" ref="S3756"/>
    <hyperlink r:id="rId3756" ref="S3757"/>
    <hyperlink r:id="rId3757" ref="S3758"/>
    <hyperlink r:id="rId3758" ref="S3759"/>
    <hyperlink r:id="rId3759" ref="S3760"/>
    <hyperlink r:id="rId3760" ref="S3761"/>
    <hyperlink r:id="rId3761" ref="S3762"/>
    <hyperlink r:id="rId3762" ref="S3763"/>
    <hyperlink r:id="rId3763" ref="S3764"/>
    <hyperlink r:id="rId3764" ref="S3765"/>
    <hyperlink r:id="rId3765" ref="S3766"/>
    <hyperlink r:id="rId3766" ref="S3767"/>
    <hyperlink r:id="rId3767" ref="S3768"/>
    <hyperlink r:id="rId3768" ref="S3769"/>
    <hyperlink r:id="rId3769" ref="S3770"/>
    <hyperlink r:id="rId3770" ref="S3771"/>
    <hyperlink r:id="rId3771" ref="S3772"/>
    <hyperlink r:id="rId3772" ref="S3773"/>
    <hyperlink r:id="rId3773" ref="S3774"/>
    <hyperlink r:id="rId3774" ref="S3775"/>
    <hyperlink r:id="rId3775" ref="S3776"/>
    <hyperlink r:id="rId3776" ref="S3777"/>
    <hyperlink r:id="rId3777" ref="S3778"/>
    <hyperlink r:id="rId3778" ref="S3779"/>
    <hyperlink r:id="rId3779" ref="S3780"/>
    <hyperlink r:id="rId3780" ref="S3781"/>
    <hyperlink r:id="rId3781" ref="S3782"/>
    <hyperlink r:id="rId3782" ref="S3783"/>
    <hyperlink r:id="rId3783" ref="S3784"/>
    <hyperlink r:id="rId3784" ref="S3785"/>
    <hyperlink r:id="rId3785" ref="S3786"/>
    <hyperlink r:id="rId3786" ref="S3787"/>
    <hyperlink r:id="rId3787" ref="S3788"/>
    <hyperlink r:id="rId3788" ref="S3789"/>
    <hyperlink r:id="rId3789" ref="S3790"/>
    <hyperlink r:id="rId3790" ref="S3791"/>
    <hyperlink r:id="rId3791" ref="S3792"/>
    <hyperlink r:id="rId3792" ref="S3793"/>
    <hyperlink r:id="rId3793" ref="S3794"/>
    <hyperlink r:id="rId3794" ref="S3795"/>
    <hyperlink r:id="rId3795" ref="S3796"/>
    <hyperlink r:id="rId3796" ref="S3797"/>
    <hyperlink r:id="rId3797" ref="S3798"/>
    <hyperlink r:id="rId3798" ref="S3799"/>
    <hyperlink r:id="rId3799" ref="S3800"/>
    <hyperlink r:id="rId3800" ref="S3801"/>
    <hyperlink r:id="rId3801" ref="S3802"/>
    <hyperlink r:id="rId3802" ref="S3803"/>
    <hyperlink r:id="rId3803" ref="S3804"/>
    <hyperlink r:id="rId3804" ref="S3805"/>
    <hyperlink r:id="rId3805" ref="S3806"/>
    <hyperlink r:id="rId3806" ref="S3807"/>
    <hyperlink r:id="rId3807" ref="S3808"/>
    <hyperlink r:id="rId3808" ref="S3809"/>
    <hyperlink r:id="rId3809" ref="S3810"/>
    <hyperlink r:id="rId3810" ref="S3811"/>
    <hyperlink r:id="rId3811" ref="S3812"/>
    <hyperlink r:id="rId3812" ref="S3813"/>
    <hyperlink r:id="rId3813" ref="S3814"/>
    <hyperlink r:id="rId3814" ref="S3815"/>
    <hyperlink r:id="rId3815" ref="S3816"/>
    <hyperlink r:id="rId3816" ref="S3817"/>
    <hyperlink r:id="rId3817" ref="S3818"/>
    <hyperlink r:id="rId3818" ref="S3819"/>
    <hyperlink r:id="rId3819" ref="S3820"/>
    <hyperlink r:id="rId3820" ref="S3821"/>
    <hyperlink r:id="rId3821" ref="S3822"/>
    <hyperlink r:id="rId3822" ref="S3823"/>
    <hyperlink r:id="rId3823" ref="S3824"/>
    <hyperlink r:id="rId3824" ref="S3825"/>
    <hyperlink r:id="rId3825" ref="S3826"/>
    <hyperlink r:id="rId3826" ref="S3827"/>
    <hyperlink r:id="rId3827" ref="S3828"/>
    <hyperlink r:id="rId3828" ref="S3829"/>
    <hyperlink r:id="rId3829" ref="S3830"/>
    <hyperlink r:id="rId3830" ref="S3831"/>
    <hyperlink r:id="rId3831" ref="S3832"/>
    <hyperlink r:id="rId3832" ref="S3833"/>
    <hyperlink r:id="rId3833" ref="S3834"/>
    <hyperlink r:id="rId3834" ref="S3835"/>
    <hyperlink r:id="rId3835" ref="S3836"/>
    <hyperlink r:id="rId3836" ref="S3837"/>
    <hyperlink r:id="rId3837" ref="S3838"/>
    <hyperlink r:id="rId3838" ref="S3839"/>
    <hyperlink r:id="rId3839" ref="S3840"/>
    <hyperlink r:id="rId3840" ref="S3841"/>
    <hyperlink r:id="rId3841" ref="S3842"/>
    <hyperlink r:id="rId3842" ref="S3843"/>
    <hyperlink r:id="rId3843" ref="S3844"/>
    <hyperlink r:id="rId3844" ref="S3845"/>
    <hyperlink r:id="rId3845" ref="S3846"/>
    <hyperlink r:id="rId3846" ref="S3847"/>
    <hyperlink r:id="rId3847" ref="S3848"/>
    <hyperlink r:id="rId3848" ref="S3849"/>
    <hyperlink r:id="rId3849" ref="S3850"/>
    <hyperlink r:id="rId3850" ref="S3851"/>
    <hyperlink r:id="rId3851" ref="S3852"/>
    <hyperlink r:id="rId3852" ref="S3853"/>
    <hyperlink r:id="rId3853" ref="S3854"/>
    <hyperlink r:id="rId3854" ref="S3855"/>
    <hyperlink r:id="rId3855" ref="S3856"/>
    <hyperlink r:id="rId3856" ref="S3857"/>
    <hyperlink r:id="rId3857" ref="S3858"/>
    <hyperlink r:id="rId3858" ref="S3859"/>
    <hyperlink r:id="rId3859" ref="S3860"/>
    <hyperlink r:id="rId3860" ref="S3861"/>
    <hyperlink r:id="rId3861" ref="S3862"/>
    <hyperlink r:id="rId3862" ref="S3863"/>
    <hyperlink r:id="rId3863" ref="S3864"/>
    <hyperlink r:id="rId3864" ref="S3865"/>
    <hyperlink r:id="rId3865" ref="S3866"/>
    <hyperlink r:id="rId3866" ref="S3867"/>
    <hyperlink r:id="rId3867" ref="S3868"/>
    <hyperlink r:id="rId3868" ref="S3869"/>
    <hyperlink r:id="rId3869" ref="S3870"/>
    <hyperlink r:id="rId3870" ref="S3871"/>
    <hyperlink r:id="rId3871" ref="S3872"/>
    <hyperlink r:id="rId3872" ref="S3873"/>
    <hyperlink r:id="rId3873" ref="S3874"/>
    <hyperlink r:id="rId3874" ref="S3875"/>
    <hyperlink r:id="rId3875" ref="S3876"/>
    <hyperlink r:id="rId3876" ref="S3877"/>
    <hyperlink r:id="rId3877" ref="S3878"/>
    <hyperlink r:id="rId3878" ref="S3879"/>
    <hyperlink r:id="rId3879" ref="S3880"/>
    <hyperlink r:id="rId3880" ref="S3881"/>
    <hyperlink r:id="rId3881" ref="S3882"/>
    <hyperlink r:id="rId3882" ref="S3883"/>
    <hyperlink r:id="rId3883" ref="S3884"/>
    <hyperlink r:id="rId3884" ref="S3885"/>
    <hyperlink r:id="rId3885" ref="S3886"/>
    <hyperlink r:id="rId3886" ref="S3887"/>
    <hyperlink r:id="rId3887" ref="S3888"/>
    <hyperlink r:id="rId3888" ref="S3889"/>
    <hyperlink r:id="rId3889" ref="S3890"/>
    <hyperlink r:id="rId3890" ref="S3891"/>
    <hyperlink r:id="rId3891" ref="S3892"/>
    <hyperlink r:id="rId3892" ref="S3893"/>
    <hyperlink r:id="rId3893" ref="S3894"/>
    <hyperlink r:id="rId3894" ref="S3895"/>
    <hyperlink r:id="rId3895" ref="S3896"/>
    <hyperlink r:id="rId3896" ref="S3897"/>
    <hyperlink r:id="rId3897" ref="S3898"/>
    <hyperlink r:id="rId3898" ref="S3899"/>
    <hyperlink r:id="rId3899" ref="S3900"/>
    <hyperlink r:id="rId3900" ref="S3901"/>
    <hyperlink r:id="rId3901" ref="S3902"/>
    <hyperlink r:id="rId3902" ref="S3903"/>
    <hyperlink r:id="rId3903" ref="S3904"/>
    <hyperlink r:id="rId3904" ref="S3905"/>
    <hyperlink r:id="rId3905" ref="S3906"/>
    <hyperlink r:id="rId3906" ref="S3907"/>
    <hyperlink r:id="rId3907" ref="S3908"/>
    <hyperlink r:id="rId3908" ref="S3909"/>
    <hyperlink r:id="rId3909" ref="S3910"/>
    <hyperlink r:id="rId3910" ref="S3911"/>
    <hyperlink r:id="rId3911" ref="S3912"/>
    <hyperlink r:id="rId3912" ref="S3913"/>
    <hyperlink r:id="rId3913" ref="S3914"/>
    <hyperlink r:id="rId3914" ref="S3915"/>
    <hyperlink r:id="rId3915" ref="S3916"/>
    <hyperlink r:id="rId3916" ref="S3917"/>
    <hyperlink r:id="rId3917" ref="S3918"/>
    <hyperlink r:id="rId3918" ref="S3919"/>
    <hyperlink r:id="rId3919" ref="S3920"/>
    <hyperlink r:id="rId3920" ref="S3921"/>
    <hyperlink r:id="rId3921" ref="S3922"/>
    <hyperlink r:id="rId3922" ref="S3923"/>
    <hyperlink r:id="rId3923" ref="S3924"/>
    <hyperlink r:id="rId3924" ref="S3925"/>
    <hyperlink r:id="rId3925" ref="S3926"/>
    <hyperlink r:id="rId3926" ref="S3927"/>
    <hyperlink r:id="rId3927" ref="S3928"/>
    <hyperlink r:id="rId3928" ref="S3929"/>
    <hyperlink r:id="rId3929" ref="S3930"/>
    <hyperlink r:id="rId3930" ref="S3931"/>
    <hyperlink r:id="rId3931" ref="S3932"/>
    <hyperlink r:id="rId3932" ref="S3933"/>
    <hyperlink r:id="rId3933" ref="S3934"/>
    <hyperlink r:id="rId3934" ref="S3935"/>
    <hyperlink r:id="rId3935" ref="S3936"/>
    <hyperlink r:id="rId3936" ref="S3937"/>
    <hyperlink r:id="rId3937" ref="S3938"/>
    <hyperlink r:id="rId3938" ref="S3939"/>
    <hyperlink r:id="rId3939" ref="S3940"/>
    <hyperlink r:id="rId3940" ref="S3941"/>
    <hyperlink r:id="rId3941" ref="S3942"/>
    <hyperlink r:id="rId3942" ref="S3943"/>
    <hyperlink r:id="rId3943" ref="S3944"/>
    <hyperlink r:id="rId3944" ref="S3945"/>
    <hyperlink r:id="rId3945" ref="S3946"/>
    <hyperlink r:id="rId3946" ref="S3947"/>
    <hyperlink r:id="rId3947" ref="S3948"/>
    <hyperlink r:id="rId3948" ref="S3949"/>
    <hyperlink r:id="rId3949" ref="S3950"/>
    <hyperlink r:id="rId3950" ref="S3951"/>
    <hyperlink r:id="rId3951" ref="S3952"/>
    <hyperlink r:id="rId3952" ref="S3953"/>
    <hyperlink r:id="rId3953" ref="S3954"/>
    <hyperlink r:id="rId3954" ref="S3955"/>
    <hyperlink r:id="rId3955" ref="S3956"/>
    <hyperlink r:id="rId3956" ref="S3957"/>
    <hyperlink r:id="rId3957" ref="S3958"/>
    <hyperlink r:id="rId3958" ref="S3959"/>
    <hyperlink r:id="rId3959" ref="S3960"/>
    <hyperlink r:id="rId3960" ref="S3961"/>
    <hyperlink r:id="rId3961" ref="S3962"/>
    <hyperlink r:id="rId3962" ref="S3963"/>
    <hyperlink r:id="rId3963" ref="S3964"/>
    <hyperlink r:id="rId3964" ref="S3965"/>
    <hyperlink r:id="rId3965" ref="S3966"/>
    <hyperlink r:id="rId3966" ref="S3967"/>
    <hyperlink r:id="rId3967" ref="S3968"/>
    <hyperlink r:id="rId3968" ref="S3969"/>
    <hyperlink r:id="rId3969" ref="S3970"/>
    <hyperlink r:id="rId3970" ref="S3971"/>
    <hyperlink r:id="rId3971" ref="S3972"/>
    <hyperlink r:id="rId3972" ref="S3973"/>
    <hyperlink r:id="rId3973" ref="S3974"/>
    <hyperlink r:id="rId3974" ref="S3975"/>
    <hyperlink r:id="rId3975" ref="S3976"/>
    <hyperlink r:id="rId3976" ref="S3977"/>
    <hyperlink r:id="rId3977" ref="S3978"/>
    <hyperlink r:id="rId3978" ref="S3979"/>
    <hyperlink r:id="rId3979" ref="S3980"/>
    <hyperlink r:id="rId3980" ref="S3981"/>
    <hyperlink r:id="rId3981" ref="S3982"/>
    <hyperlink r:id="rId3982" ref="S3983"/>
    <hyperlink r:id="rId3983" ref="S3984"/>
    <hyperlink r:id="rId3984" ref="S3985"/>
    <hyperlink r:id="rId3985" ref="S3986"/>
    <hyperlink r:id="rId3986" ref="S3987"/>
    <hyperlink r:id="rId3987" ref="S3988"/>
    <hyperlink r:id="rId3988" ref="S3989"/>
    <hyperlink r:id="rId3989" ref="S3990"/>
    <hyperlink r:id="rId3990" ref="S3991"/>
    <hyperlink r:id="rId3991" ref="S3992"/>
    <hyperlink r:id="rId3992" ref="S3993"/>
    <hyperlink r:id="rId3993" ref="S3994"/>
    <hyperlink r:id="rId3994" ref="S3995"/>
    <hyperlink r:id="rId3995" ref="S3996"/>
    <hyperlink r:id="rId3996" ref="S3997"/>
    <hyperlink r:id="rId3997" ref="S3998"/>
    <hyperlink r:id="rId3998" ref="S3999"/>
    <hyperlink r:id="rId3999" ref="S4000"/>
    <hyperlink r:id="rId4000" ref="S4001"/>
    <hyperlink r:id="rId4001" ref="S4002"/>
    <hyperlink r:id="rId4002" ref="S4003"/>
    <hyperlink r:id="rId4003" ref="S4004"/>
    <hyperlink r:id="rId4004" ref="S4005"/>
    <hyperlink r:id="rId4005" ref="S4006"/>
    <hyperlink r:id="rId4006" ref="S4007"/>
    <hyperlink r:id="rId4007" ref="S4008"/>
    <hyperlink r:id="rId4008" ref="S4009"/>
    <hyperlink r:id="rId4009" ref="S4010"/>
    <hyperlink r:id="rId4010" ref="S4011"/>
    <hyperlink r:id="rId4011" ref="S4012"/>
    <hyperlink r:id="rId4012" ref="S4013"/>
    <hyperlink r:id="rId4013" ref="S4014"/>
    <hyperlink r:id="rId4014" ref="S4015"/>
    <hyperlink r:id="rId4015" ref="S4016"/>
    <hyperlink r:id="rId4016" ref="S4017"/>
    <hyperlink r:id="rId4017" ref="S4018"/>
    <hyperlink r:id="rId4018" ref="S4019"/>
    <hyperlink r:id="rId4019" ref="S4020"/>
    <hyperlink r:id="rId4020" ref="S4021"/>
    <hyperlink r:id="rId4021" ref="S4022"/>
    <hyperlink r:id="rId4022" ref="S4023"/>
    <hyperlink r:id="rId4023" ref="S4024"/>
    <hyperlink r:id="rId4024" ref="S4025"/>
    <hyperlink r:id="rId4025" ref="S4026"/>
    <hyperlink r:id="rId4026" ref="S4027"/>
    <hyperlink r:id="rId4027" ref="S4028"/>
    <hyperlink r:id="rId4028" ref="S4029"/>
    <hyperlink r:id="rId4029" ref="S4030"/>
    <hyperlink r:id="rId4030" ref="S4031"/>
    <hyperlink r:id="rId4031" ref="S4032"/>
    <hyperlink r:id="rId4032" ref="S4033"/>
    <hyperlink r:id="rId4033" ref="S4034"/>
    <hyperlink r:id="rId4034" ref="S4035"/>
    <hyperlink r:id="rId4035" ref="S4036"/>
    <hyperlink r:id="rId4036" ref="S4037"/>
    <hyperlink r:id="rId4037" ref="S4038"/>
    <hyperlink r:id="rId4038" ref="S4039"/>
    <hyperlink r:id="rId4039" ref="S4040"/>
    <hyperlink r:id="rId4040" ref="S4041"/>
    <hyperlink r:id="rId4041" ref="S4042"/>
    <hyperlink r:id="rId4042" ref="S4043"/>
    <hyperlink r:id="rId4043" ref="S4044"/>
    <hyperlink r:id="rId4044" ref="S4045"/>
    <hyperlink r:id="rId4045" ref="S4046"/>
    <hyperlink r:id="rId4046" ref="S4047"/>
    <hyperlink r:id="rId4047" ref="S4048"/>
    <hyperlink r:id="rId4048" ref="S4049"/>
    <hyperlink r:id="rId4049" ref="S4050"/>
    <hyperlink r:id="rId4050" ref="S4051"/>
    <hyperlink r:id="rId4051" ref="S4052"/>
    <hyperlink r:id="rId4052" ref="S4053"/>
    <hyperlink r:id="rId4053" ref="S4054"/>
    <hyperlink r:id="rId4054" ref="S4055"/>
    <hyperlink r:id="rId4055" ref="S4056"/>
    <hyperlink r:id="rId4056" ref="S4057"/>
    <hyperlink r:id="rId4057" ref="S4058"/>
    <hyperlink r:id="rId4058" ref="S4059"/>
    <hyperlink r:id="rId4059" ref="S4060"/>
    <hyperlink r:id="rId4060" ref="S4061"/>
    <hyperlink r:id="rId4061" ref="S4062"/>
    <hyperlink r:id="rId4062" ref="S4063"/>
    <hyperlink r:id="rId4063" ref="S4064"/>
    <hyperlink r:id="rId4064" ref="S4065"/>
    <hyperlink r:id="rId4065" ref="S4066"/>
    <hyperlink r:id="rId4066" ref="S4067"/>
    <hyperlink r:id="rId4067" ref="S4068"/>
    <hyperlink r:id="rId4068" ref="S4069"/>
    <hyperlink r:id="rId4069" ref="S4070"/>
  </hyperlinks>
  <drawing r:id="rId4070"/>
</worksheet>
</file>